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13.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14.xml" ContentType="application/vnd.openxmlformats-officedocument.drawing+xml"/>
  <Override PartName="/xl/charts/chart7.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8.xml" ContentType="application/vnd.openxmlformats-officedocument.drawingml.chart+xml"/>
  <Override PartName="/xl/drawings/drawing17.xml" ContentType="application/vnd.openxmlformats-officedocument.drawing+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charts/chart10.xml" ContentType="application/vnd.openxmlformats-officedocument.drawingml.chart+xml"/>
  <Override PartName="/xl/drawings/drawing20.xml" ContentType="application/vnd.openxmlformats-officedocument.drawing+xml"/>
  <Override PartName="/xl/charts/chart11.xml" ContentType="application/vnd.openxmlformats-officedocument.drawingml.chart+xml"/>
  <Override PartName="/xl/drawings/drawing21.xml" ContentType="application/vnd.openxmlformats-officedocument.drawing+xml"/>
  <Override PartName="/xl/charts/chart12.xml" ContentType="application/vnd.openxmlformats-officedocument.drawingml.chart+xml"/>
  <Override PartName="/xl/drawings/drawing22.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3.xml" ContentType="application/vnd.openxmlformats-officedocument.drawing+xml"/>
  <Override PartName="/xl/charts/chart16.xml" ContentType="application/vnd.openxmlformats-officedocument.drawingml.chart+xml"/>
  <Override PartName="/xl/drawings/drawing24.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mc:AlternateContent xmlns:mc="http://schemas.openxmlformats.org/markup-compatibility/2006">
    <mc:Choice Requires="x15">
      <x15ac:absPath xmlns:x15ac="http://schemas.microsoft.com/office/spreadsheetml/2010/11/ac" url="https://d.docs.live.net/f82d64a42721f930/Courses New/Chapter 1. Models and Analysis/G. Data Bases and Data Retrieval/Commodity Price/"/>
    </mc:Choice>
  </mc:AlternateContent>
  <xr:revisionPtr revIDLastSave="343" documentId="13_ncr:1_{E2C705F9-E75C-4592-909D-F6AF9301BBB2}" xr6:coauthVersionLast="47" xr6:coauthVersionMax="47" xr10:uidLastSave="{ED75CC4D-284F-45D2-B73D-72AF85CE16C5}"/>
  <bookViews>
    <workbookView xWindow="0" yWindow="0" windowWidth="19200" windowHeight="10080" tabRatio="709" activeTab="4" xr2:uid="{00000000-000D-0000-FFFF-FFFF00000000}"/>
  </bookViews>
  <sheets>
    <sheet name="Table of Contents" sheetId="49" r:id="rId1"/>
    <sheet name="Monthly Historic Chart" sheetId="64" r:id="rId2"/>
    <sheet name="Prices for Graph" sheetId="66" r:id="rId3"/>
    <sheet name="Download Data" sheetId="40" r:id="rId4"/>
    <sheet name="Monthly Prices" sheetId="24" r:id="rId5"/>
    <sheet name="Annual Real" sheetId="52" r:id="rId6"/>
    <sheet name="Offset Chart" sheetId="42" r:id="rId7"/>
    <sheet name="Single Series" sheetId="63" r:id="rId8"/>
    <sheet name="Forecast Prices" sheetId="51" r:id="rId9"/>
    <sheet name="History and Forecast Chart" sheetId="65" r:id="rId10"/>
    <sheet name="Monthly Historic Data" sheetId="44" r:id="rId11"/>
    <sheet name="History and Forecast" sheetId="56" r:id="rId12"/>
    <sheet name="Annual Nominal" sheetId="50" r:id="rId13"/>
    <sheet name="Scatter" sheetId="37" r:id="rId14"/>
    <sheet name="Distribution Chart" sheetId="43" r:id="rId15"/>
    <sheet name="Hist and Fcst Chart" sheetId="61" r:id="rId16"/>
    <sheet name="Distribution Chart 1" sheetId="47" r:id="rId17"/>
    <sheet name="12 Month Moving Volatility" sheetId="46" r:id="rId18"/>
    <sheet name="12 Mo Vol" sheetId="48" r:id="rId19"/>
    <sheet name="Distributions" sheetId="39" r:id="rId20"/>
    <sheet name="regression" sheetId="38" r:id="rId21"/>
    <sheet name="Offset" sheetId="34" r:id="rId22"/>
    <sheet name="Misc" sheetId="41" r:id="rId23"/>
    <sheet name="Description" sheetId="53" r:id="rId24"/>
    <sheet name="Video Points" sheetId="54" r:id="rId25"/>
    <sheet name="Inflation Retrieve" sheetId="67" r:id="rId26"/>
    <sheet name="US CPI Rate" sheetId="76" r:id="rId27"/>
    <sheet name="US Implicit Deflator" sheetId="77" r:id="rId28"/>
    <sheet name="BREAK" sheetId="68" r:id="rId29"/>
    <sheet name="US CPI Rate1" sheetId="79" r:id="rId30"/>
    <sheet name="US Implicit Deflator1" sheetId="80" r:id="rId31"/>
  </sheets>
  <functionGroups builtInGroupCount="19"/>
  <definedNames>
    <definedName name="Applied_Max">'History and Forecast Chart'!$AB$5</definedName>
    <definedName name="Apply_Input">'History and Forecast Chart'!$AB$4</definedName>
    <definedName name="code">'Inflation Retrieve'!$E$2</definedName>
    <definedName name="cpi_url">'Inflation Retrieve'!$F$4</definedName>
    <definedName name="def_url">'Inflation Retrieve'!$F$5</definedName>
    <definedName name="econ_url">'Inflation Retrieve'!$F$8</definedName>
    <definedName name="end_time">'Inflation Retrieve'!$Q$5</definedName>
    <definedName name="Erlend">OFFSET(Offset!$D$8,Offset!$E$3,Offset!$E$4,Offset!$E$5,Offset!$E$6)</definedName>
    <definedName name="fa_name">'History and Forecast'!$I$10:$I$55</definedName>
    <definedName name="First">OFFSET('Monthly Prices'!$A$7,'Prices for Graph'!$U$6,'Prices for Graph'!$U$7,'Prices for Graph'!$U$8,'Prices for Graph'!$U$9)</definedName>
    <definedName name="firstp">"offset(Volatility!$P$13;'Monthly Prices'!$D$5;'Monthly Prices'!$D$6;'Monthly Prices'!$D$7;'Monthly Prices'!$D$8)"</definedName>
    <definedName name="Lag_first">OFFSET('Monthly Prices'!$A$7,'Prices for Graph'!$U$6-1,'Prices for Graph'!$U$7,'Prices for Graph'!$U$8,'Prices for Graph'!$U$9)</definedName>
    <definedName name="Lag_Second">OFFSET('Monthly Prices'!$A$7,'Prices for Graph'!$V$6-1,'Prices for Graph'!$V$7,'Prices for Graph'!$V$8,'Prices for Graph'!$V$9)</definedName>
    <definedName name="List_Box_Output">'History and Forecast'!$D$62:$D$84</definedName>
    <definedName name="list_output">'History and Forecast'!$D$62:$D$77</definedName>
    <definedName name="LN_First">LN(First/Lag_first)</definedName>
    <definedName name="LN_second">LN(Second/Lag_Second)</definedName>
    <definedName name="Max">'History and Forecast'!$G$109</definedName>
    <definedName name="NA">Misc!$H$5</definedName>
    <definedName name="Second">OFFSET('Monthly Prices'!$A$7,'Prices for Graph'!$V$6,'Prices for Graph'!$V$7,'Prices for Graph'!$V$8,'Prices for Graph'!$V$9)</definedName>
    <definedName name="series_name">'Inflation Retrieve'!$D$8</definedName>
    <definedName name="start_time">'Inflation Retrieve'!$Q$4</definedName>
    <definedName name="tot_num">'Prices for Graph'!$M$5</definedName>
    <definedName name="total_to_read">'Inflation Retrieve'!$G$2</definedName>
    <definedName name="truefalse">'History and Forecast Chart'!$L$3:$L$48</definedName>
    <definedName name="url">'Download Data'!$C$6</definedName>
    <definedName name="url_annual">'Download Data'!$C$7</definedName>
    <definedName name="url_forecast">'Download Data'!$Q$2</definedName>
    <definedName name="x_range">OFFSET('Prices for Graph'!$C$19,'Prices for Graph'!$U$6,1,'Prices for Graph'!$U$8,'Prices for Graph'!$U$9)</definedName>
  </definedNames>
  <calcPr calcId="191029" calcMode="autoNoTable"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 i="67" l="1" a="1"/>
  <c r="F8" i="67" s="1"/>
  <c r="D8" i="67" a="1"/>
  <c r="D8" i="67" s="1"/>
  <c r="X22" i="66"/>
  <c r="X23" i="66"/>
  <c r="X24" i="66"/>
  <c r="X25" i="66"/>
  <c r="X26" i="66"/>
  <c r="X27" i="66"/>
  <c r="X28" i="66"/>
  <c r="X29" i="66"/>
  <c r="X30" i="66"/>
  <c r="X31" i="66"/>
  <c r="X32" i="66"/>
  <c r="X33" i="66"/>
  <c r="X34" i="66"/>
  <c r="X35" i="66"/>
  <c r="X36" i="66"/>
  <c r="X37" i="66"/>
  <c r="X38" i="66"/>
  <c r="X39" i="66"/>
  <c r="X40" i="66"/>
  <c r="X41" i="66"/>
  <c r="X42" i="66"/>
  <c r="X43" i="66"/>
  <c r="X44" i="66"/>
  <c r="X45" i="66"/>
  <c r="X46" i="66"/>
  <c r="X47" i="66"/>
  <c r="X48" i="66"/>
  <c r="X49" i="66"/>
  <c r="X50" i="66"/>
  <c r="X51" i="66"/>
  <c r="X52" i="66"/>
  <c r="X53" i="66"/>
  <c r="X54" i="66"/>
  <c r="X55" i="66"/>
  <c r="X56" i="66"/>
  <c r="X57" i="66"/>
  <c r="X58" i="66"/>
  <c r="X59" i="66"/>
  <c r="X60" i="66"/>
  <c r="X61" i="66"/>
  <c r="X62" i="66"/>
  <c r="X63" i="66"/>
  <c r="X64" i="66"/>
  <c r="X65" i="66"/>
  <c r="X66" i="66"/>
  <c r="X67" i="66"/>
  <c r="X68" i="66"/>
  <c r="X69" i="66"/>
  <c r="X70" i="66"/>
  <c r="X71" i="66"/>
  <c r="X72" i="66"/>
  <c r="X73" i="66"/>
  <c r="X74" i="66"/>
  <c r="X75" i="66"/>
  <c r="X76" i="66"/>
  <c r="X77" i="66"/>
  <c r="X78" i="66"/>
  <c r="X79" i="66"/>
  <c r="X80" i="66"/>
  <c r="X81" i="66"/>
  <c r="X82" i="66"/>
  <c r="X83" i="66"/>
  <c r="X84" i="66"/>
  <c r="X85" i="66"/>
  <c r="X86" i="66"/>
  <c r="X87" i="66"/>
  <c r="X88" i="66"/>
  <c r="X89" i="66"/>
  <c r="X90" i="66"/>
  <c r="X91" i="66"/>
  <c r="X92" i="66"/>
  <c r="X93" i="66"/>
  <c r="X94" i="66"/>
  <c r="X95" i="66"/>
  <c r="X96" i="66"/>
  <c r="X97" i="66"/>
  <c r="X98" i="66"/>
  <c r="X99" i="66"/>
  <c r="X100" i="66"/>
  <c r="X101" i="66"/>
  <c r="X102" i="66"/>
  <c r="X103" i="66"/>
  <c r="X104" i="66"/>
  <c r="X105" i="66"/>
  <c r="X106" i="66"/>
  <c r="X107" i="66"/>
  <c r="X108" i="66"/>
  <c r="X109" i="66"/>
  <c r="X110" i="66"/>
  <c r="X111" i="66"/>
  <c r="X112" i="66"/>
  <c r="X113" i="66"/>
  <c r="X114" i="66"/>
  <c r="X115" i="66"/>
  <c r="X116" i="66"/>
  <c r="X117" i="66"/>
  <c r="X118" i="66"/>
  <c r="X119" i="66"/>
  <c r="X120" i="66"/>
  <c r="X121" i="66"/>
  <c r="X122" i="66"/>
  <c r="X123" i="66"/>
  <c r="X124" i="66"/>
  <c r="X125" i="66"/>
  <c r="X126" i="66"/>
  <c r="X127" i="66"/>
  <c r="X128" i="66"/>
  <c r="X129" i="66"/>
  <c r="X130" i="66"/>
  <c r="X131" i="66"/>
  <c r="X132" i="66"/>
  <c r="X133" i="66"/>
  <c r="X134" i="66"/>
  <c r="X135" i="66"/>
  <c r="X136" i="66"/>
  <c r="X137" i="66"/>
  <c r="X138" i="66"/>
  <c r="X139" i="66"/>
  <c r="X140" i="66"/>
  <c r="X141" i="66"/>
  <c r="X142" i="66"/>
  <c r="X143" i="66"/>
  <c r="X144" i="66"/>
  <c r="X145" i="66"/>
  <c r="X146" i="66"/>
  <c r="X147" i="66"/>
  <c r="X148" i="66"/>
  <c r="X149" i="66"/>
  <c r="X150" i="66"/>
  <c r="X151" i="66"/>
  <c r="X152" i="66"/>
  <c r="X153" i="66"/>
  <c r="X154" i="66"/>
  <c r="X155" i="66"/>
  <c r="X156" i="66"/>
  <c r="X157" i="66"/>
  <c r="X158" i="66"/>
  <c r="X159" i="66"/>
  <c r="X160" i="66"/>
  <c r="X161" i="66"/>
  <c r="X162" i="66"/>
  <c r="X163" i="66"/>
  <c r="X164" i="66"/>
  <c r="X165" i="66"/>
  <c r="X166" i="66"/>
  <c r="X167" i="66"/>
  <c r="X168" i="66"/>
  <c r="X169" i="66"/>
  <c r="X170" i="66"/>
  <c r="X171" i="66"/>
  <c r="X172" i="66"/>
  <c r="X173" i="66"/>
  <c r="X174" i="66"/>
  <c r="X175" i="66"/>
  <c r="X176" i="66"/>
  <c r="X177" i="66"/>
  <c r="X178" i="66"/>
  <c r="X179" i="66"/>
  <c r="X180" i="66"/>
  <c r="X181" i="66"/>
  <c r="X182" i="66"/>
  <c r="X183" i="66"/>
  <c r="X184" i="66"/>
  <c r="X185" i="66"/>
  <c r="X186" i="66"/>
  <c r="X187" i="66"/>
  <c r="X188" i="66"/>
  <c r="X189" i="66"/>
  <c r="X190" i="66"/>
  <c r="X191" i="66"/>
  <c r="X192" i="66"/>
  <c r="X193" i="66"/>
  <c r="X194" i="66"/>
  <c r="X195" i="66"/>
  <c r="X196" i="66"/>
  <c r="X197" i="66"/>
  <c r="X198" i="66"/>
  <c r="X199" i="66"/>
  <c r="X200" i="66"/>
  <c r="X201" i="66"/>
  <c r="X202" i="66"/>
  <c r="X203" i="66"/>
  <c r="X204" i="66"/>
  <c r="X205" i="66"/>
  <c r="X206" i="66"/>
  <c r="X207" i="66"/>
  <c r="X208" i="66"/>
  <c r="X209" i="66"/>
  <c r="X210" i="66"/>
  <c r="X211" i="66"/>
  <c r="X212" i="66"/>
  <c r="X213" i="66"/>
  <c r="X214" i="66"/>
  <c r="X215" i="66"/>
  <c r="X216" i="66"/>
  <c r="X217" i="66"/>
  <c r="X218" i="66"/>
  <c r="X219" i="66"/>
  <c r="X220" i="66"/>
  <c r="X221" i="66"/>
  <c r="X222" i="66"/>
  <c r="X223" i="66"/>
  <c r="X224" i="66"/>
  <c r="X225" i="66"/>
  <c r="X226" i="66"/>
  <c r="X227" i="66"/>
  <c r="X228" i="66"/>
  <c r="X229" i="66"/>
  <c r="X230" i="66"/>
  <c r="X231" i="66"/>
  <c r="X232" i="66"/>
  <c r="X233" i="66"/>
  <c r="X234" i="66"/>
  <c r="X235" i="66"/>
  <c r="X236" i="66"/>
  <c r="X237" i="66"/>
  <c r="X238" i="66"/>
  <c r="X239" i="66"/>
  <c r="X240" i="66"/>
  <c r="X241" i="66"/>
  <c r="X242" i="66"/>
  <c r="X243" i="66"/>
  <c r="X244" i="66"/>
  <c r="X245" i="66"/>
  <c r="X246" i="66"/>
  <c r="X247" i="66"/>
  <c r="X248" i="66"/>
  <c r="X249" i="66"/>
  <c r="X250" i="66"/>
  <c r="X251" i="66"/>
  <c r="X252" i="66"/>
  <c r="X253" i="66"/>
  <c r="X254" i="66"/>
  <c r="X255" i="66"/>
  <c r="X256" i="66"/>
  <c r="X257" i="66"/>
  <c r="X258" i="66"/>
  <c r="X259" i="66"/>
  <c r="X260" i="66"/>
  <c r="X261" i="66"/>
  <c r="X262" i="66"/>
  <c r="X263" i="66"/>
  <c r="X264" i="66"/>
  <c r="X265" i="66"/>
  <c r="X266" i="66"/>
  <c r="X267" i="66"/>
  <c r="X268" i="66"/>
  <c r="X269" i="66"/>
  <c r="X270" i="66"/>
  <c r="X271" i="66"/>
  <c r="X272" i="66"/>
  <c r="X273" i="66"/>
  <c r="X274" i="66"/>
  <c r="X275" i="66"/>
  <c r="X276" i="66"/>
  <c r="X277" i="66"/>
  <c r="X278" i="66"/>
  <c r="X279" i="66"/>
  <c r="X280" i="66"/>
  <c r="X281" i="66"/>
  <c r="X282" i="66"/>
  <c r="X283" i="66"/>
  <c r="X284" i="66"/>
  <c r="X285" i="66"/>
  <c r="X286" i="66"/>
  <c r="X287" i="66"/>
  <c r="X288" i="66"/>
  <c r="X289" i="66"/>
  <c r="X290" i="66"/>
  <c r="X291" i="66"/>
  <c r="X292" i="66"/>
  <c r="X293" i="66"/>
  <c r="X294" i="66"/>
  <c r="X295" i="66"/>
  <c r="X296" i="66"/>
  <c r="X297" i="66"/>
  <c r="X298" i="66"/>
  <c r="X299" i="66"/>
  <c r="X300" i="66"/>
  <c r="X301" i="66"/>
  <c r="X302" i="66"/>
  <c r="X303" i="66"/>
  <c r="X304" i="66"/>
  <c r="X305" i="66"/>
  <c r="X306" i="66"/>
  <c r="X307" i="66"/>
  <c r="X308" i="66"/>
  <c r="X309" i="66"/>
  <c r="X310" i="66"/>
  <c r="X311" i="66"/>
  <c r="X312" i="66"/>
  <c r="X313" i="66"/>
  <c r="X314" i="66"/>
  <c r="X315" i="66"/>
  <c r="X316" i="66"/>
  <c r="X317" i="66"/>
  <c r="X318" i="66"/>
  <c r="X319" i="66"/>
  <c r="X320" i="66"/>
  <c r="X321" i="66"/>
  <c r="X322" i="66"/>
  <c r="X323" i="66"/>
  <c r="X324" i="66"/>
  <c r="X325" i="66"/>
  <c r="X326" i="66"/>
  <c r="X327" i="66"/>
  <c r="X328" i="66"/>
  <c r="X329" i="66"/>
  <c r="X330" i="66"/>
  <c r="X331" i="66"/>
  <c r="X332" i="66"/>
  <c r="X333" i="66"/>
  <c r="X334" i="66"/>
  <c r="X335" i="66"/>
  <c r="X336" i="66"/>
  <c r="X337" i="66"/>
  <c r="X338" i="66"/>
  <c r="X339" i="66"/>
  <c r="X340" i="66"/>
  <c r="X341" i="66"/>
  <c r="X342" i="66"/>
  <c r="X343" i="66"/>
  <c r="X344" i="66"/>
  <c r="X345" i="66"/>
  <c r="X346" i="66"/>
  <c r="X347" i="66"/>
  <c r="X348" i="66"/>
  <c r="X349" i="66"/>
  <c r="X350" i="66"/>
  <c r="X351" i="66"/>
  <c r="X352" i="66"/>
  <c r="X353" i="66"/>
  <c r="X354" i="66"/>
  <c r="X355" i="66"/>
  <c r="X356" i="66"/>
  <c r="X357" i="66"/>
  <c r="X358" i="66"/>
  <c r="X359" i="66"/>
  <c r="X360" i="66"/>
  <c r="X361" i="66"/>
  <c r="X362" i="66"/>
  <c r="X363" i="66"/>
  <c r="X364" i="66"/>
  <c r="X365" i="66"/>
  <c r="X366" i="66"/>
  <c r="X367" i="66"/>
  <c r="X368" i="66"/>
  <c r="X369" i="66"/>
  <c r="X370" i="66"/>
  <c r="X371" i="66"/>
  <c r="X372" i="66"/>
  <c r="X373" i="66"/>
  <c r="X374" i="66"/>
  <c r="X375" i="66"/>
  <c r="X376" i="66"/>
  <c r="X377" i="66"/>
  <c r="X378" i="66"/>
  <c r="X379" i="66"/>
  <c r="X380" i="66"/>
  <c r="X381" i="66"/>
  <c r="X382" i="66"/>
  <c r="X383" i="66"/>
  <c r="X384" i="66"/>
  <c r="X385" i="66"/>
  <c r="X386" i="66"/>
  <c r="X387" i="66"/>
  <c r="X388" i="66"/>
  <c r="X389" i="66"/>
  <c r="X390" i="66"/>
  <c r="X391" i="66"/>
  <c r="X392" i="66"/>
  <c r="X393" i="66"/>
  <c r="X394" i="66"/>
  <c r="X395" i="66"/>
  <c r="X396" i="66"/>
  <c r="X397" i="66"/>
  <c r="X398" i="66"/>
  <c r="X399" i="66"/>
  <c r="X400" i="66"/>
  <c r="X401" i="66"/>
  <c r="X402" i="66"/>
  <c r="X403" i="66"/>
  <c r="X404" i="66"/>
  <c r="X405" i="66"/>
  <c r="X406" i="66"/>
  <c r="X407" i="66"/>
  <c r="X408" i="66"/>
  <c r="X409" i="66"/>
  <c r="X410" i="66"/>
  <c r="X411" i="66"/>
  <c r="X412" i="66"/>
  <c r="X413" i="66"/>
  <c r="X414" i="66"/>
  <c r="X415" i="66"/>
  <c r="X416" i="66"/>
  <c r="X417" i="66"/>
  <c r="X418" i="66"/>
  <c r="X419" i="66"/>
  <c r="X420" i="66"/>
  <c r="X421" i="66"/>
  <c r="X422" i="66"/>
  <c r="X423" i="66"/>
  <c r="X424" i="66"/>
  <c r="X425" i="66"/>
  <c r="X426" i="66"/>
  <c r="X427" i="66"/>
  <c r="X428" i="66"/>
  <c r="X429" i="66"/>
  <c r="X430" i="66"/>
  <c r="X431" i="66"/>
  <c r="X432" i="66"/>
  <c r="X433" i="66"/>
  <c r="X434" i="66"/>
  <c r="X435" i="66"/>
  <c r="X436" i="66"/>
  <c r="X437" i="66"/>
  <c r="X438" i="66"/>
  <c r="X439" i="66"/>
  <c r="X440" i="66"/>
  <c r="X441" i="66"/>
  <c r="X442" i="66"/>
  <c r="X443" i="66"/>
  <c r="X444" i="66"/>
  <c r="X445" i="66"/>
  <c r="X446" i="66"/>
  <c r="X447" i="66"/>
  <c r="X448" i="66"/>
  <c r="X449" i="66"/>
  <c r="X450" i="66"/>
  <c r="X451" i="66"/>
  <c r="X452" i="66"/>
  <c r="X453" i="66"/>
  <c r="X454" i="66"/>
  <c r="X455" i="66"/>
  <c r="X456" i="66"/>
  <c r="X457" i="66"/>
  <c r="X458" i="66"/>
  <c r="X459" i="66"/>
  <c r="X460" i="66"/>
  <c r="X461" i="66"/>
  <c r="X462" i="66"/>
  <c r="X463" i="66"/>
  <c r="X464" i="66"/>
  <c r="X465" i="66"/>
  <c r="X466" i="66"/>
  <c r="X467" i="66"/>
  <c r="X468" i="66"/>
  <c r="X469" i="66"/>
  <c r="X470" i="66"/>
  <c r="X471" i="66"/>
  <c r="X472" i="66"/>
  <c r="X473" i="66"/>
  <c r="X474" i="66"/>
  <c r="X475" i="66"/>
  <c r="X476" i="66"/>
  <c r="X477" i="66"/>
  <c r="X478" i="66"/>
  <c r="X479" i="66"/>
  <c r="X480" i="66"/>
  <c r="X481" i="66"/>
  <c r="X482" i="66"/>
  <c r="X483" i="66"/>
  <c r="X484" i="66"/>
  <c r="X485" i="66"/>
  <c r="X486" i="66"/>
  <c r="X487" i="66"/>
  <c r="X488" i="66"/>
  <c r="X489" i="66"/>
  <c r="X490" i="66"/>
  <c r="X491" i="66"/>
  <c r="X492" i="66"/>
  <c r="X493" i="66"/>
  <c r="X494" i="66"/>
  <c r="X495" i="66"/>
  <c r="X496" i="66"/>
  <c r="X497" i="66"/>
  <c r="X498" i="66"/>
  <c r="X499" i="66"/>
  <c r="X500" i="66"/>
  <c r="X501" i="66"/>
  <c r="X502" i="66"/>
  <c r="X503" i="66"/>
  <c r="X504" i="66"/>
  <c r="X505" i="66"/>
  <c r="X506" i="66"/>
  <c r="X507" i="66"/>
  <c r="X508" i="66"/>
  <c r="X509" i="66"/>
  <c r="X510" i="66"/>
  <c r="X511" i="66"/>
  <c r="X512" i="66"/>
  <c r="X513" i="66"/>
  <c r="X514" i="66"/>
  <c r="X515" i="66"/>
  <c r="X516" i="66"/>
  <c r="X517" i="66"/>
  <c r="X518" i="66"/>
  <c r="X519" i="66"/>
  <c r="X520" i="66"/>
  <c r="X521" i="66"/>
  <c r="X522" i="66"/>
  <c r="X523" i="66"/>
  <c r="X524" i="66"/>
  <c r="X525" i="66"/>
  <c r="X526" i="66"/>
  <c r="X527" i="66"/>
  <c r="X528" i="66"/>
  <c r="X529" i="66"/>
  <c r="X530" i="66"/>
  <c r="X531" i="66"/>
  <c r="X532" i="66"/>
  <c r="X533" i="66"/>
  <c r="X534" i="66"/>
  <c r="X535" i="66"/>
  <c r="X536" i="66"/>
  <c r="X537" i="66"/>
  <c r="X538" i="66"/>
  <c r="X539" i="66"/>
  <c r="X540" i="66"/>
  <c r="X541" i="66"/>
  <c r="X542" i="66"/>
  <c r="X543" i="66"/>
  <c r="X544" i="66"/>
  <c r="X545" i="66"/>
  <c r="X546" i="66"/>
  <c r="X547" i="66"/>
  <c r="X548" i="66"/>
  <c r="X549" i="66"/>
  <c r="X550" i="66"/>
  <c r="X551" i="66"/>
  <c r="X552" i="66"/>
  <c r="X553" i="66"/>
  <c r="X554" i="66"/>
  <c r="X555" i="66"/>
  <c r="X556" i="66"/>
  <c r="X557" i="66"/>
  <c r="X558" i="66"/>
  <c r="X559" i="66"/>
  <c r="X560" i="66"/>
  <c r="X561" i="66"/>
  <c r="X562" i="66"/>
  <c r="X563" i="66"/>
  <c r="X564" i="66"/>
  <c r="X565" i="66"/>
  <c r="X566" i="66"/>
  <c r="X567" i="66"/>
  <c r="X568" i="66"/>
  <c r="X569" i="66"/>
  <c r="X570" i="66"/>
  <c r="X571" i="66"/>
  <c r="X572" i="66"/>
  <c r="X573" i="66"/>
  <c r="X574" i="66"/>
  <c r="X575" i="66"/>
  <c r="X576" i="66"/>
  <c r="X577" i="66"/>
  <c r="X578" i="66"/>
  <c r="X579" i="66"/>
  <c r="X580" i="66"/>
  <c r="X581" i="66"/>
  <c r="X582" i="66"/>
  <c r="X583" i="66"/>
  <c r="X584" i="66"/>
  <c r="X585" i="66"/>
  <c r="X586" i="66"/>
  <c r="X587" i="66"/>
  <c r="X588" i="66"/>
  <c r="X589" i="66"/>
  <c r="X590" i="66"/>
  <c r="X591" i="66"/>
  <c r="X592" i="66"/>
  <c r="X593" i="66"/>
  <c r="X594" i="66"/>
  <c r="X595" i="66"/>
  <c r="X596" i="66"/>
  <c r="X597" i="66"/>
  <c r="X598" i="66"/>
  <c r="X599" i="66"/>
  <c r="X600" i="66"/>
  <c r="X601" i="66"/>
  <c r="X602" i="66"/>
  <c r="X603" i="66"/>
  <c r="X604" i="66"/>
  <c r="X605" i="66"/>
  <c r="X606" i="66"/>
  <c r="X607" i="66"/>
  <c r="X608" i="66"/>
  <c r="X609" i="66"/>
  <c r="X610" i="66"/>
  <c r="X611" i="66"/>
  <c r="X612" i="66"/>
  <c r="X613" i="66"/>
  <c r="X614" i="66"/>
  <c r="X615" i="66"/>
  <c r="X616" i="66"/>
  <c r="X617" i="66"/>
  <c r="X618" i="66"/>
  <c r="X619" i="66"/>
  <c r="X620" i="66"/>
  <c r="X621" i="66"/>
  <c r="X622" i="66"/>
  <c r="X623" i="66"/>
  <c r="X624" i="66"/>
  <c r="X625" i="66"/>
  <c r="X626" i="66"/>
  <c r="X627" i="66"/>
  <c r="X628" i="66"/>
  <c r="X629" i="66"/>
  <c r="X630" i="66"/>
  <c r="X631" i="66"/>
  <c r="X632" i="66"/>
  <c r="X633" i="66"/>
  <c r="X634" i="66"/>
  <c r="X635" i="66"/>
  <c r="X636" i="66"/>
  <c r="X637" i="66"/>
  <c r="X638" i="66"/>
  <c r="X639" i="66"/>
  <c r="X640" i="66"/>
  <c r="X641" i="66"/>
  <c r="X642" i="66"/>
  <c r="X643" i="66"/>
  <c r="X644" i="66"/>
  <c r="X645" i="66"/>
  <c r="X646" i="66"/>
  <c r="X647" i="66"/>
  <c r="X648" i="66"/>
  <c r="X649" i="66"/>
  <c r="X650" i="66"/>
  <c r="X651" i="66"/>
  <c r="X652" i="66"/>
  <c r="X653" i="66"/>
  <c r="X654" i="66"/>
  <c r="X655" i="66"/>
  <c r="X656" i="66"/>
  <c r="X657" i="66"/>
  <c r="X658" i="66"/>
  <c r="X659" i="66"/>
  <c r="X660" i="66"/>
  <c r="X661" i="66"/>
  <c r="X662" i="66"/>
  <c r="X663" i="66"/>
  <c r="X664" i="66"/>
  <c r="X665" i="66"/>
  <c r="X666" i="66"/>
  <c r="X667" i="66"/>
  <c r="X668" i="66"/>
  <c r="X669" i="66"/>
  <c r="X670" i="66"/>
  <c r="X671" i="66"/>
  <c r="X672" i="66"/>
  <c r="X673" i="66"/>
  <c r="X674" i="66"/>
  <c r="X675" i="66"/>
  <c r="X676" i="66"/>
  <c r="X677" i="66"/>
  <c r="X678" i="66"/>
  <c r="X679" i="66"/>
  <c r="X680" i="66"/>
  <c r="X681" i="66"/>
  <c r="X682" i="66"/>
  <c r="X683" i="66"/>
  <c r="X684" i="66"/>
  <c r="X685" i="66"/>
  <c r="X686" i="66"/>
  <c r="X687" i="66"/>
  <c r="X688" i="66"/>
  <c r="X689" i="66"/>
  <c r="X690" i="66"/>
  <c r="X691" i="66"/>
  <c r="X692" i="66"/>
  <c r="X693" i="66"/>
  <c r="X694" i="66"/>
  <c r="X695" i="66"/>
  <c r="X696" i="66"/>
  <c r="X697" i="66"/>
  <c r="X698" i="66"/>
  <c r="X699" i="66"/>
  <c r="X700" i="66"/>
  <c r="X701" i="66"/>
  <c r="X702" i="66"/>
  <c r="X703" i="66"/>
  <c r="X704" i="66"/>
  <c r="X705" i="66"/>
  <c r="X706" i="66"/>
  <c r="X707" i="66"/>
  <c r="X708" i="66"/>
  <c r="X709" i="66"/>
  <c r="X710" i="66"/>
  <c r="X711" i="66"/>
  <c r="X712" i="66"/>
  <c r="X713" i="66"/>
  <c r="X714" i="66"/>
  <c r="X715" i="66"/>
  <c r="X716" i="66"/>
  <c r="X717" i="66"/>
  <c r="X718" i="66"/>
  <c r="X719" i="66"/>
  <c r="X720" i="66"/>
  <c r="X721" i="66"/>
  <c r="X722" i="66"/>
  <c r="X723" i="66"/>
  <c r="X724" i="66"/>
  <c r="X725" i="66"/>
  <c r="X726" i="66"/>
  <c r="X727" i="66"/>
  <c r="X728" i="66"/>
  <c r="X729" i="66"/>
  <c r="X730" i="66"/>
  <c r="X731" i="66"/>
  <c r="X732" i="66"/>
  <c r="X733" i="66"/>
  <c r="X734" i="66"/>
  <c r="X735" i="66"/>
  <c r="X736" i="66"/>
  <c r="X737" i="66"/>
  <c r="X738" i="66"/>
  <c r="X739" i="66"/>
  <c r="X740" i="66"/>
  <c r="X741" i="66"/>
  <c r="X742" i="66"/>
  <c r="X743" i="66"/>
  <c r="X744" i="66"/>
  <c r="X745" i="66"/>
  <c r="X746" i="66"/>
  <c r="X747" i="66"/>
  <c r="X748" i="66"/>
  <c r="X749" i="66"/>
  <c r="X750" i="66"/>
  <c r="X751" i="66"/>
  <c r="X752" i="66"/>
  <c r="X753" i="66"/>
  <c r="X754" i="66"/>
  <c r="X755" i="66"/>
  <c r="X756" i="66"/>
  <c r="X757" i="66"/>
  <c r="X758" i="66"/>
  <c r="X759" i="66"/>
  <c r="X760" i="66"/>
  <c r="X761" i="66"/>
  <c r="X762" i="66"/>
  <c r="X763" i="66"/>
  <c r="X764" i="66"/>
  <c r="X765" i="66"/>
  <c r="X766" i="66"/>
  <c r="X767" i="66"/>
  <c r="X768" i="66"/>
  <c r="X769" i="66"/>
  <c r="X770" i="66"/>
  <c r="X771" i="66"/>
  <c r="X772" i="66"/>
  <c r="X773" i="66"/>
  <c r="X774" i="66"/>
  <c r="X775" i="66"/>
  <c r="X776" i="66"/>
  <c r="X777" i="66"/>
  <c r="X778" i="66"/>
  <c r="X779" i="66"/>
  <c r="X780" i="66"/>
  <c r="X781" i="66"/>
  <c r="X782" i="66"/>
  <c r="X783" i="66"/>
  <c r="X784" i="66"/>
  <c r="X785" i="66"/>
  <c r="X786" i="66"/>
  <c r="X787" i="66"/>
  <c r="X788" i="66"/>
  <c r="X789" i="66"/>
  <c r="X790" i="66"/>
  <c r="X791" i="66"/>
  <c r="X792" i="66"/>
  <c r="X793" i="66"/>
  <c r="X794" i="66"/>
  <c r="X795" i="66"/>
  <c r="X796" i="66"/>
  <c r="X797" i="66"/>
  <c r="X798" i="66"/>
  <c r="X799" i="66"/>
  <c r="X800" i="66"/>
  <c r="X801" i="66"/>
  <c r="X802" i="66"/>
  <c r="X803" i="66"/>
  <c r="X804" i="66"/>
  <c r="X805" i="66"/>
  <c r="X806" i="66"/>
  <c r="X807" i="66"/>
  <c r="X808" i="66"/>
  <c r="X809" i="66"/>
  <c r="X810" i="66"/>
  <c r="X811" i="66"/>
  <c r="X812" i="66"/>
  <c r="X813" i="66"/>
  <c r="X814" i="66"/>
  <c r="X815" i="66"/>
  <c r="X21" i="66"/>
  <c r="X20" i="66" a="1"/>
  <c r="X20" i="66" l="1"/>
  <c r="G2" i="67" l="1"/>
  <c r="Y20" i="66" l="1"/>
  <c r="Z20" i="66" s="1"/>
  <c r="M800" i="66" l="1"/>
  <c r="J800" i="66"/>
  <c r="M799" i="66"/>
  <c r="O799" i="66" s="1"/>
  <c r="J799" i="66"/>
  <c r="L799" i="66" s="1"/>
  <c r="M798" i="66"/>
  <c r="O798" i="66" s="1"/>
  <c r="J798" i="66"/>
  <c r="L798" i="66" s="1"/>
  <c r="M797" i="66"/>
  <c r="O797" i="66" s="1"/>
  <c r="J797" i="66"/>
  <c r="L797" i="66" s="1"/>
  <c r="M796" i="66"/>
  <c r="J796" i="66"/>
  <c r="M795" i="66"/>
  <c r="O795" i="66" s="1"/>
  <c r="J795" i="66"/>
  <c r="L795" i="66" s="1"/>
  <c r="M794" i="66"/>
  <c r="O794" i="66" s="1"/>
  <c r="J794" i="66"/>
  <c r="L794" i="66" s="1"/>
  <c r="M793" i="66"/>
  <c r="O793" i="66" s="1"/>
  <c r="J793" i="66"/>
  <c r="L793" i="66" s="1"/>
  <c r="M792" i="66"/>
  <c r="O792" i="66" s="1"/>
  <c r="J792" i="66"/>
  <c r="L792" i="66" s="1"/>
  <c r="M791" i="66"/>
  <c r="O791" i="66" s="1"/>
  <c r="J791" i="66"/>
  <c r="L791" i="66" s="1"/>
  <c r="M790" i="66"/>
  <c r="O790" i="66" s="1"/>
  <c r="J790" i="66"/>
  <c r="L790" i="66" s="1"/>
  <c r="M789" i="66"/>
  <c r="O789" i="66" s="1"/>
  <c r="J789" i="66"/>
  <c r="L789" i="66" s="1"/>
  <c r="M788" i="66"/>
  <c r="O788" i="66" s="1"/>
  <c r="J788" i="66"/>
  <c r="M787" i="66"/>
  <c r="O787" i="66" s="1"/>
  <c r="J787" i="66"/>
  <c r="L787" i="66" s="1"/>
  <c r="M786" i="66"/>
  <c r="O786" i="66" s="1"/>
  <c r="J786" i="66"/>
  <c r="L786" i="66" s="1"/>
  <c r="M785" i="66"/>
  <c r="O785" i="66" s="1"/>
  <c r="J785" i="66"/>
  <c r="L785" i="66" s="1"/>
  <c r="M784" i="66"/>
  <c r="O784" i="66" s="1"/>
  <c r="J784" i="66"/>
  <c r="M783" i="66"/>
  <c r="O783" i="66" s="1"/>
  <c r="J783" i="66"/>
  <c r="L783" i="66" s="1"/>
  <c r="M782" i="66"/>
  <c r="O782" i="66" s="1"/>
  <c r="J782" i="66"/>
  <c r="L782" i="66" s="1"/>
  <c r="M781" i="66"/>
  <c r="O781" i="66" s="1"/>
  <c r="J781" i="66"/>
  <c r="L781" i="66" s="1"/>
  <c r="M780" i="66"/>
  <c r="O780" i="66" s="1"/>
  <c r="J780" i="66"/>
  <c r="M779" i="66"/>
  <c r="O779" i="66" s="1"/>
  <c r="J779" i="66"/>
  <c r="L779" i="66" s="1"/>
  <c r="M778" i="66"/>
  <c r="O778" i="66" s="1"/>
  <c r="J778" i="66"/>
  <c r="L778" i="66" s="1"/>
  <c r="M777" i="66"/>
  <c r="O777" i="66" s="1"/>
  <c r="J777" i="66"/>
  <c r="L777" i="66" s="1"/>
  <c r="M776" i="66"/>
  <c r="O776" i="66" s="1"/>
  <c r="J776" i="66"/>
  <c r="L776" i="66" s="1"/>
  <c r="M775" i="66"/>
  <c r="O775" i="66" s="1"/>
  <c r="J775" i="66"/>
  <c r="L775" i="66" s="1"/>
  <c r="M774" i="66"/>
  <c r="O774" i="66" s="1"/>
  <c r="J774" i="66"/>
  <c r="L774" i="66" s="1"/>
  <c r="M773" i="66"/>
  <c r="O773" i="66" s="1"/>
  <c r="J773" i="66"/>
  <c r="L773" i="66" s="1"/>
  <c r="M772" i="66"/>
  <c r="O772" i="66" s="1"/>
  <c r="J772" i="66"/>
  <c r="M771" i="66"/>
  <c r="O771" i="66" s="1"/>
  <c r="J771" i="66"/>
  <c r="L771" i="66" s="1"/>
  <c r="M770" i="66"/>
  <c r="O770" i="66" s="1"/>
  <c r="J770" i="66"/>
  <c r="L770" i="66" s="1"/>
  <c r="M769" i="66"/>
  <c r="O769" i="66" s="1"/>
  <c r="J769" i="66"/>
  <c r="L769" i="66" s="1"/>
  <c r="M768" i="66"/>
  <c r="O768" i="66" s="1"/>
  <c r="J768" i="66"/>
  <c r="M767" i="66"/>
  <c r="O767" i="66" s="1"/>
  <c r="J767" i="66"/>
  <c r="L767" i="66" s="1"/>
  <c r="M766" i="66"/>
  <c r="J766" i="66"/>
  <c r="M765" i="66"/>
  <c r="J765" i="66"/>
  <c r="M764" i="66"/>
  <c r="J764" i="66"/>
  <c r="M763" i="66"/>
  <c r="J763" i="66"/>
  <c r="M762" i="66"/>
  <c r="J762" i="66"/>
  <c r="M761" i="66"/>
  <c r="J761" i="66"/>
  <c r="M760" i="66"/>
  <c r="J760" i="66"/>
  <c r="M759" i="66"/>
  <c r="J759" i="66"/>
  <c r="M758" i="66"/>
  <c r="J758" i="66"/>
  <c r="M757" i="66"/>
  <c r="J757" i="66"/>
  <c r="M756" i="66"/>
  <c r="J756" i="66"/>
  <c r="M755" i="66"/>
  <c r="J755" i="66"/>
  <c r="M754" i="66"/>
  <c r="J754" i="66"/>
  <c r="M753" i="66"/>
  <c r="J753" i="66"/>
  <c r="M752" i="66"/>
  <c r="J752" i="66"/>
  <c r="M751" i="66"/>
  <c r="J751" i="66"/>
  <c r="M750" i="66"/>
  <c r="J750" i="66"/>
  <c r="M749" i="66"/>
  <c r="J749" i="66"/>
  <c r="M748" i="66"/>
  <c r="J748" i="66"/>
  <c r="M747" i="66"/>
  <c r="J747" i="66"/>
  <c r="M746" i="66"/>
  <c r="J746" i="66"/>
  <c r="M745" i="66"/>
  <c r="J745" i="66"/>
  <c r="M744" i="66"/>
  <c r="J744" i="66"/>
  <c r="M743" i="66"/>
  <c r="J743" i="66"/>
  <c r="M742" i="66"/>
  <c r="J742" i="66"/>
  <c r="M741" i="66"/>
  <c r="J741" i="66"/>
  <c r="M740" i="66"/>
  <c r="J740" i="66"/>
  <c r="M739" i="66"/>
  <c r="J739" i="66"/>
  <c r="M738" i="66"/>
  <c r="J738" i="66"/>
  <c r="M737" i="66"/>
  <c r="J737" i="66"/>
  <c r="M736" i="66"/>
  <c r="J736" i="66"/>
  <c r="M735" i="66"/>
  <c r="J735" i="66"/>
  <c r="M734" i="66"/>
  <c r="J734" i="66"/>
  <c r="M733" i="66"/>
  <c r="J733" i="66"/>
  <c r="M732" i="66"/>
  <c r="J732" i="66"/>
  <c r="M731" i="66"/>
  <c r="J731" i="66"/>
  <c r="M730" i="66"/>
  <c r="J730" i="66"/>
  <c r="M729" i="66"/>
  <c r="J729" i="66"/>
  <c r="M728" i="66"/>
  <c r="J728" i="66"/>
  <c r="M727" i="66"/>
  <c r="J727" i="66"/>
  <c r="M726" i="66"/>
  <c r="J726" i="66"/>
  <c r="M725" i="66"/>
  <c r="J725" i="66"/>
  <c r="M724" i="66"/>
  <c r="J724" i="66"/>
  <c r="M723" i="66"/>
  <c r="J723" i="66"/>
  <c r="M722" i="66"/>
  <c r="J722" i="66"/>
  <c r="M721" i="66"/>
  <c r="J721" i="66"/>
  <c r="M720" i="66"/>
  <c r="J720" i="66"/>
  <c r="M719" i="66"/>
  <c r="J719" i="66"/>
  <c r="M718" i="66"/>
  <c r="J718" i="66"/>
  <c r="M717" i="66"/>
  <c r="J717" i="66"/>
  <c r="M716" i="66"/>
  <c r="J716" i="66"/>
  <c r="M715" i="66"/>
  <c r="J715" i="66"/>
  <c r="M714" i="66"/>
  <c r="J714" i="66"/>
  <c r="M713" i="66"/>
  <c r="J713" i="66"/>
  <c r="M712" i="66"/>
  <c r="J712" i="66"/>
  <c r="M711" i="66"/>
  <c r="J711" i="66"/>
  <c r="M710" i="66"/>
  <c r="J710" i="66"/>
  <c r="M709" i="66"/>
  <c r="J709" i="66"/>
  <c r="M708" i="66"/>
  <c r="J708" i="66"/>
  <c r="M707" i="66"/>
  <c r="J707" i="66"/>
  <c r="M706" i="66"/>
  <c r="J706" i="66"/>
  <c r="M705" i="66"/>
  <c r="J705" i="66"/>
  <c r="M704" i="66"/>
  <c r="J704" i="66"/>
  <c r="M703" i="66"/>
  <c r="J703" i="66"/>
  <c r="M702" i="66"/>
  <c r="J702" i="66"/>
  <c r="M701" i="66"/>
  <c r="J701" i="66"/>
  <c r="M700" i="66"/>
  <c r="J700" i="66"/>
  <c r="M699" i="66"/>
  <c r="J699" i="66"/>
  <c r="M698" i="66"/>
  <c r="J698" i="66"/>
  <c r="M697" i="66"/>
  <c r="J697" i="66"/>
  <c r="M696" i="66"/>
  <c r="J696" i="66"/>
  <c r="M695" i="66"/>
  <c r="J695" i="66"/>
  <c r="M694" i="66"/>
  <c r="J694" i="66"/>
  <c r="M693" i="66"/>
  <c r="J693" i="66"/>
  <c r="M692" i="66"/>
  <c r="J692" i="66"/>
  <c r="M691" i="66"/>
  <c r="J691" i="66"/>
  <c r="M690" i="66"/>
  <c r="J690" i="66"/>
  <c r="M689" i="66"/>
  <c r="J689" i="66"/>
  <c r="M688" i="66"/>
  <c r="J688" i="66"/>
  <c r="M687" i="66"/>
  <c r="J687" i="66"/>
  <c r="M686" i="66"/>
  <c r="J686" i="66"/>
  <c r="M685" i="66"/>
  <c r="J685" i="66"/>
  <c r="M684" i="66"/>
  <c r="J684" i="66"/>
  <c r="M683" i="66"/>
  <c r="J683" i="66"/>
  <c r="M682" i="66"/>
  <c r="J682" i="66"/>
  <c r="M681" i="66"/>
  <c r="J681" i="66"/>
  <c r="M680" i="66"/>
  <c r="J680" i="66"/>
  <c r="M679" i="66"/>
  <c r="J679" i="66"/>
  <c r="M678" i="66"/>
  <c r="J678" i="66"/>
  <c r="M677" i="66"/>
  <c r="J677" i="66"/>
  <c r="M676" i="66"/>
  <c r="J676" i="66"/>
  <c r="M675" i="66"/>
  <c r="J675" i="66"/>
  <c r="M674" i="66"/>
  <c r="J674" i="66"/>
  <c r="M673" i="66"/>
  <c r="J673" i="66"/>
  <c r="M672" i="66"/>
  <c r="J672" i="66"/>
  <c r="M671" i="66"/>
  <c r="J671" i="66"/>
  <c r="M670" i="66"/>
  <c r="J670" i="66"/>
  <c r="M669" i="66"/>
  <c r="J669" i="66"/>
  <c r="M668" i="66"/>
  <c r="J668" i="66"/>
  <c r="M667" i="66"/>
  <c r="J667" i="66"/>
  <c r="M666" i="66"/>
  <c r="J666" i="66"/>
  <c r="M665" i="66"/>
  <c r="J665" i="66"/>
  <c r="M664" i="66"/>
  <c r="J664" i="66"/>
  <c r="M663" i="66"/>
  <c r="J663" i="66"/>
  <c r="M662" i="66"/>
  <c r="J662" i="66"/>
  <c r="M661" i="66"/>
  <c r="J661" i="66"/>
  <c r="M660" i="66"/>
  <c r="J660" i="66"/>
  <c r="M659" i="66"/>
  <c r="J659" i="66"/>
  <c r="M658" i="66"/>
  <c r="J658" i="66"/>
  <c r="M657" i="66"/>
  <c r="J657" i="66"/>
  <c r="M656" i="66"/>
  <c r="J656" i="66"/>
  <c r="M655" i="66"/>
  <c r="J655" i="66"/>
  <c r="M654" i="66"/>
  <c r="J654" i="66"/>
  <c r="M653" i="66"/>
  <c r="J653" i="66"/>
  <c r="M652" i="66"/>
  <c r="J652" i="66"/>
  <c r="M651" i="66"/>
  <c r="J651" i="66"/>
  <c r="M650" i="66"/>
  <c r="J650" i="66"/>
  <c r="M649" i="66"/>
  <c r="J649" i="66"/>
  <c r="M648" i="66"/>
  <c r="J648" i="66"/>
  <c r="M647" i="66"/>
  <c r="J647" i="66"/>
  <c r="M646" i="66"/>
  <c r="J646" i="66"/>
  <c r="M645" i="66"/>
  <c r="J645" i="66"/>
  <c r="M644" i="66"/>
  <c r="J644" i="66"/>
  <c r="M643" i="66"/>
  <c r="J643" i="66"/>
  <c r="M642" i="66"/>
  <c r="J642" i="66"/>
  <c r="M641" i="66"/>
  <c r="J641" i="66"/>
  <c r="M640" i="66"/>
  <c r="J640" i="66"/>
  <c r="M639" i="66"/>
  <c r="J639" i="66"/>
  <c r="M638" i="66"/>
  <c r="J638" i="66"/>
  <c r="M637" i="66"/>
  <c r="J637" i="66"/>
  <c r="M636" i="66"/>
  <c r="J636" i="66"/>
  <c r="M635" i="66"/>
  <c r="J635" i="66"/>
  <c r="M634" i="66"/>
  <c r="J634" i="66"/>
  <c r="M633" i="66"/>
  <c r="J633" i="66"/>
  <c r="M632" i="66"/>
  <c r="J632" i="66"/>
  <c r="M631" i="66"/>
  <c r="J631" i="66"/>
  <c r="M630" i="66"/>
  <c r="J630" i="66"/>
  <c r="M629" i="66"/>
  <c r="J629" i="66"/>
  <c r="M628" i="66"/>
  <c r="J628" i="66"/>
  <c r="M627" i="66"/>
  <c r="J627" i="66"/>
  <c r="M626" i="66"/>
  <c r="J626" i="66"/>
  <c r="M625" i="66"/>
  <c r="J625" i="66"/>
  <c r="M624" i="66"/>
  <c r="J624" i="66"/>
  <c r="M623" i="66"/>
  <c r="J623" i="66"/>
  <c r="M622" i="66"/>
  <c r="J622" i="66"/>
  <c r="M621" i="66"/>
  <c r="J621" i="66"/>
  <c r="M620" i="66"/>
  <c r="J620" i="66"/>
  <c r="M619" i="66"/>
  <c r="J619" i="66"/>
  <c r="M618" i="66"/>
  <c r="J618" i="66"/>
  <c r="M617" i="66"/>
  <c r="J617" i="66"/>
  <c r="M616" i="66"/>
  <c r="J616" i="66"/>
  <c r="M615" i="66"/>
  <c r="J615" i="66"/>
  <c r="M614" i="66"/>
  <c r="J614" i="66"/>
  <c r="M613" i="66"/>
  <c r="J613" i="66"/>
  <c r="M612" i="66"/>
  <c r="J612" i="66"/>
  <c r="M611" i="66"/>
  <c r="J611" i="66"/>
  <c r="M610" i="66"/>
  <c r="J610" i="66"/>
  <c r="M609" i="66"/>
  <c r="J609" i="66"/>
  <c r="M608" i="66"/>
  <c r="J608" i="66"/>
  <c r="M607" i="66"/>
  <c r="J607" i="66"/>
  <c r="M606" i="66"/>
  <c r="J606" i="66"/>
  <c r="M605" i="66"/>
  <c r="J605" i="66"/>
  <c r="M604" i="66"/>
  <c r="J604" i="66"/>
  <c r="M603" i="66"/>
  <c r="J603" i="66"/>
  <c r="M602" i="66"/>
  <c r="J602" i="66"/>
  <c r="M601" i="66"/>
  <c r="J601" i="66"/>
  <c r="M600" i="66"/>
  <c r="J600" i="66"/>
  <c r="M599" i="66"/>
  <c r="J599" i="66"/>
  <c r="M598" i="66"/>
  <c r="J598" i="66"/>
  <c r="M597" i="66"/>
  <c r="J597" i="66"/>
  <c r="M596" i="66"/>
  <c r="J596" i="66"/>
  <c r="M595" i="66"/>
  <c r="J595" i="66"/>
  <c r="M594" i="66"/>
  <c r="J594" i="66"/>
  <c r="M593" i="66"/>
  <c r="J593" i="66"/>
  <c r="M592" i="66"/>
  <c r="J592" i="66"/>
  <c r="M591" i="66"/>
  <c r="J591" i="66"/>
  <c r="M590" i="66"/>
  <c r="J590" i="66"/>
  <c r="M589" i="66"/>
  <c r="J589" i="66"/>
  <c r="M588" i="66"/>
  <c r="J588" i="66"/>
  <c r="M587" i="66"/>
  <c r="J587" i="66"/>
  <c r="M586" i="66"/>
  <c r="J586" i="66"/>
  <c r="M585" i="66"/>
  <c r="J585" i="66"/>
  <c r="M584" i="66"/>
  <c r="J584" i="66"/>
  <c r="M583" i="66"/>
  <c r="J583" i="66"/>
  <c r="M582" i="66"/>
  <c r="J582" i="66"/>
  <c r="M581" i="66"/>
  <c r="J581" i="66"/>
  <c r="M580" i="66"/>
  <c r="J580" i="66"/>
  <c r="M579" i="66"/>
  <c r="J579" i="66"/>
  <c r="M578" i="66"/>
  <c r="J578" i="66"/>
  <c r="M577" i="66"/>
  <c r="J577" i="66"/>
  <c r="M576" i="66"/>
  <c r="J576" i="66"/>
  <c r="M575" i="66"/>
  <c r="J575" i="66"/>
  <c r="M574" i="66"/>
  <c r="J574" i="66"/>
  <c r="M573" i="66"/>
  <c r="J573" i="66"/>
  <c r="M572" i="66"/>
  <c r="J572" i="66"/>
  <c r="M571" i="66"/>
  <c r="J571" i="66"/>
  <c r="M570" i="66"/>
  <c r="J570" i="66"/>
  <c r="M569" i="66"/>
  <c r="J569" i="66"/>
  <c r="M568" i="66"/>
  <c r="J568" i="66"/>
  <c r="M567" i="66"/>
  <c r="J567" i="66"/>
  <c r="M566" i="66"/>
  <c r="J566" i="66"/>
  <c r="M565" i="66"/>
  <c r="J565" i="66"/>
  <c r="M564" i="66"/>
  <c r="J564" i="66"/>
  <c r="M563" i="66"/>
  <c r="J563" i="66"/>
  <c r="M562" i="66"/>
  <c r="J562" i="66"/>
  <c r="M561" i="66"/>
  <c r="J561" i="66"/>
  <c r="M560" i="66"/>
  <c r="J560" i="66"/>
  <c r="M559" i="66"/>
  <c r="J559" i="66"/>
  <c r="M558" i="66"/>
  <c r="J558" i="66"/>
  <c r="M557" i="66"/>
  <c r="J557" i="66"/>
  <c r="M556" i="66"/>
  <c r="J556" i="66"/>
  <c r="M555" i="66"/>
  <c r="J555" i="66"/>
  <c r="M554" i="66"/>
  <c r="J554" i="66"/>
  <c r="M553" i="66"/>
  <c r="J553" i="66"/>
  <c r="M552" i="66"/>
  <c r="J552" i="66"/>
  <c r="M551" i="66"/>
  <c r="J551" i="66"/>
  <c r="M550" i="66"/>
  <c r="J550" i="66"/>
  <c r="M549" i="66"/>
  <c r="J549" i="66"/>
  <c r="M548" i="66"/>
  <c r="J548" i="66"/>
  <c r="M547" i="66"/>
  <c r="J547" i="66"/>
  <c r="M546" i="66"/>
  <c r="J546" i="66"/>
  <c r="M545" i="66"/>
  <c r="J545" i="66"/>
  <c r="M544" i="66"/>
  <c r="J544" i="66"/>
  <c r="M543" i="66"/>
  <c r="J543" i="66"/>
  <c r="M542" i="66"/>
  <c r="J542" i="66"/>
  <c r="M541" i="66"/>
  <c r="J541" i="66"/>
  <c r="M540" i="66"/>
  <c r="J540" i="66"/>
  <c r="M539" i="66"/>
  <c r="J539" i="66"/>
  <c r="M538" i="66"/>
  <c r="J538" i="66"/>
  <c r="M537" i="66"/>
  <c r="J537" i="66"/>
  <c r="M536" i="66"/>
  <c r="J536" i="66"/>
  <c r="M535" i="66"/>
  <c r="J535" i="66"/>
  <c r="M534" i="66"/>
  <c r="J534" i="66"/>
  <c r="M533" i="66"/>
  <c r="J533" i="66"/>
  <c r="M532" i="66"/>
  <c r="J532" i="66"/>
  <c r="M531" i="66"/>
  <c r="J531" i="66"/>
  <c r="M530" i="66"/>
  <c r="J530" i="66"/>
  <c r="M529" i="66"/>
  <c r="J529" i="66"/>
  <c r="M528" i="66"/>
  <c r="J528" i="66"/>
  <c r="M527" i="66"/>
  <c r="J527" i="66"/>
  <c r="M526" i="66"/>
  <c r="J526" i="66"/>
  <c r="M525" i="66"/>
  <c r="J525" i="66"/>
  <c r="M524" i="66"/>
  <c r="J524" i="66"/>
  <c r="M523" i="66"/>
  <c r="J523" i="66"/>
  <c r="M522" i="66"/>
  <c r="J522" i="66"/>
  <c r="M521" i="66"/>
  <c r="J521" i="66"/>
  <c r="M520" i="66"/>
  <c r="J520" i="66"/>
  <c r="M519" i="66"/>
  <c r="J519" i="66"/>
  <c r="M518" i="66"/>
  <c r="J518" i="66"/>
  <c r="M517" i="66"/>
  <c r="J517" i="66"/>
  <c r="M516" i="66"/>
  <c r="J516" i="66"/>
  <c r="M515" i="66"/>
  <c r="J515" i="66"/>
  <c r="M514" i="66"/>
  <c r="J514" i="66"/>
  <c r="M513" i="66"/>
  <c r="J513" i="66"/>
  <c r="M512" i="66"/>
  <c r="J512" i="66"/>
  <c r="M511" i="66"/>
  <c r="J511" i="66"/>
  <c r="M510" i="66"/>
  <c r="J510" i="66"/>
  <c r="M509" i="66"/>
  <c r="J509" i="66"/>
  <c r="M508" i="66"/>
  <c r="J508" i="66"/>
  <c r="M507" i="66"/>
  <c r="J507" i="66"/>
  <c r="M506" i="66"/>
  <c r="J506" i="66"/>
  <c r="M505" i="66"/>
  <c r="J505" i="66"/>
  <c r="M504" i="66"/>
  <c r="J504" i="66"/>
  <c r="M503" i="66"/>
  <c r="J503" i="66"/>
  <c r="M502" i="66"/>
  <c r="J502" i="66"/>
  <c r="M501" i="66"/>
  <c r="J501" i="66"/>
  <c r="M500" i="66"/>
  <c r="J500" i="66"/>
  <c r="M499" i="66"/>
  <c r="J499" i="66"/>
  <c r="M498" i="66"/>
  <c r="J498" i="66"/>
  <c r="M497" i="66"/>
  <c r="J497" i="66"/>
  <c r="M496" i="66"/>
  <c r="J496" i="66"/>
  <c r="M495" i="66"/>
  <c r="J495" i="66"/>
  <c r="M494" i="66"/>
  <c r="J494" i="66"/>
  <c r="M493" i="66"/>
  <c r="J493" i="66"/>
  <c r="M492" i="66"/>
  <c r="J492" i="66"/>
  <c r="M491" i="66"/>
  <c r="J491" i="66"/>
  <c r="M490" i="66"/>
  <c r="J490" i="66"/>
  <c r="M489" i="66"/>
  <c r="J489" i="66"/>
  <c r="M488" i="66"/>
  <c r="J488" i="66"/>
  <c r="M487" i="66"/>
  <c r="J487" i="66"/>
  <c r="M486" i="66"/>
  <c r="J486" i="66"/>
  <c r="M485" i="66"/>
  <c r="J485" i="66"/>
  <c r="M484" i="66"/>
  <c r="J484" i="66"/>
  <c r="M483" i="66"/>
  <c r="J483" i="66"/>
  <c r="M482" i="66"/>
  <c r="J482" i="66"/>
  <c r="M481" i="66"/>
  <c r="J481" i="66"/>
  <c r="M480" i="66"/>
  <c r="J480" i="66"/>
  <c r="M479" i="66"/>
  <c r="J479" i="66"/>
  <c r="M478" i="66"/>
  <c r="J478" i="66"/>
  <c r="M477" i="66"/>
  <c r="J477" i="66"/>
  <c r="M476" i="66"/>
  <c r="J476" i="66"/>
  <c r="M475" i="66"/>
  <c r="J475" i="66"/>
  <c r="M474" i="66"/>
  <c r="J474" i="66"/>
  <c r="M473" i="66"/>
  <c r="J473" i="66"/>
  <c r="M472" i="66"/>
  <c r="J472" i="66"/>
  <c r="M471" i="66"/>
  <c r="J471" i="66"/>
  <c r="M470" i="66"/>
  <c r="J470" i="66"/>
  <c r="M469" i="66"/>
  <c r="J469" i="66"/>
  <c r="M468" i="66"/>
  <c r="J468" i="66"/>
  <c r="M467" i="66"/>
  <c r="J467" i="66"/>
  <c r="M466" i="66"/>
  <c r="J466" i="66"/>
  <c r="M465" i="66"/>
  <c r="J465" i="66"/>
  <c r="M464" i="66"/>
  <c r="J464" i="66"/>
  <c r="M463" i="66"/>
  <c r="J463" i="66"/>
  <c r="M462" i="66"/>
  <c r="J462" i="66"/>
  <c r="M461" i="66"/>
  <c r="J461" i="66"/>
  <c r="M460" i="66"/>
  <c r="J460" i="66"/>
  <c r="M459" i="66"/>
  <c r="J459" i="66"/>
  <c r="M458" i="66"/>
  <c r="J458" i="66"/>
  <c r="M457" i="66"/>
  <c r="J457" i="66"/>
  <c r="M456" i="66"/>
  <c r="J456" i="66"/>
  <c r="M455" i="66"/>
  <c r="J455" i="66"/>
  <c r="M454" i="66"/>
  <c r="J454" i="66"/>
  <c r="M453" i="66"/>
  <c r="J453" i="66"/>
  <c r="M452" i="66"/>
  <c r="J452" i="66"/>
  <c r="M451" i="66"/>
  <c r="J451" i="66"/>
  <c r="M450" i="66"/>
  <c r="J450" i="66"/>
  <c r="M449" i="66"/>
  <c r="J449" i="66"/>
  <c r="M448" i="66"/>
  <c r="J448" i="66"/>
  <c r="M447" i="66"/>
  <c r="J447" i="66"/>
  <c r="M446" i="66"/>
  <c r="J446" i="66"/>
  <c r="M445" i="66"/>
  <c r="J445" i="66"/>
  <c r="M444" i="66"/>
  <c r="J444" i="66"/>
  <c r="M443" i="66"/>
  <c r="J443" i="66"/>
  <c r="M442" i="66"/>
  <c r="J442" i="66"/>
  <c r="M441" i="66"/>
  <c r="J441" i="66"/>
  <c r="M440" i="66"/>
  <c r="J440" i="66"/>
  <c r="M439" i="66"/>
  <c r="J439" i="66"/>
  <c r="M438" i="66"/>
  <c r="J438" i="66"/>
  <c r="M437" i="66"/>
  <c r="J437" i="66"/>
  <c r="M436" i="66"/>
  <c r="J436" i="66"/>
  <c r="M435" i="66"/>
  <c r="J435" i="66"/>
  <c r="M434" i="66"/>
  <c r="J434" i="66"/>
  <c r="M433" i="66"/>
  <c r="J433" i="66"/>
  <c r="M432" i="66"/>
  <c r="J432" i="66"/>
  <c r="M431" i="66"/>
  <c r="J431" i="66"/>
  <c r="M430" i="66"/>
  <c r="J430" i="66"/>
  <c r="M429" i="66"/>
  <c r="J429" i="66"/>
  <c r="M428" i="66"/>
  <c r="J428" i="66"/>
  <c r="M427" i="66"/>
  <c r="J427" i="66"/>
  <c r="M426" i="66"/>
  <c r="J426" i="66"/>
  <c r="M425" i="66"/>
  <c r="J425" i="66"/>
  <c r="M424" i="66"/>
  <c r="J424" i="66"/>
  <c r="M423" i="66"/>
  <c r="J423" i="66"/>
  <c r="M422" i="66"/>
  <c r="J422" i="66"/>
  <c r="M421" i="66"/>
  <c r="J421" i="66"/>
  <c r="M420" i="66"/>
  <c r="J420" i="66"/>
  <c r="M419" i="66"/>
  <c r="J419" i="66"/>
  <c r="M418" i="66"/>
  <c r="J418" i="66"/>
  <c r="M417" i="66"/>
  <c r="J417" i="66"/>
  <c r="M416" i="66"/>
  <c r="J416" i="66"/>
  <c r="M415" i="66"/>
  <c r="J415" i="66"/>
  <c r="M414" i="66"/>
  <c r="J414" i="66"/>
  <c r="M413" i="66"/>
  <c r="J413" i="66"/>
  <c r="M412" i="66"/>
  <c r="J412" i="66"/>
  <c r="M411" i="66"/>
  <c r="J411" i="66"/>
  <c r="M410" i="66"/>
  <c r="J410" i="66"/>
  <c r="M409" i="66"/>
  <c r="J409" i="66"/>
  <c r="M408" i="66"/>
  <c r="J408" i="66"/>
  <c r="M407" i="66"/>
  <c r="J407" i="66"/>
  <c r="M406" i="66"/>
  <c r="J406" i="66"/>
  <c r="M405" i="66"/>
  <c r="J405" i="66"/>
  <c r="M404" i="66"/>
  <c r="J404" i="66"/>
  <c r="M403" i="66"/>
  <c r="J403" i="66"/>
  <c r="M402" i="66"/>
  <c r="J402" i="66"/>
  <c r="M401" i="66"/>
  <c r="J401" i="66"/>
  <c r="M400" i="66"/>
  <c r="J400" i="66"/>
  <c r="M399" i="66"/>
  <c r="J399" i="66"/>
  <c r="M398" i="66"/>
  <c r="J398" i="66"/>
  <c r="M397" i="66"/>
  <c r="J397" i="66"/>
  <c r="M396" i="66"/>
  <c r="J396" i="66"/>
  <c r="M395" i="66"/>
  <c r="J395" i="66"/>
  <c r="M394" i="66"/>
  <c r="J394" i="66"/>
  <c r="M393" i="66"/>
  <c r="J393" i="66"/>
  <c r="M392" i="66"/>
  <c r="J392" i="66"/>
  <c r="M391" i="66"/>
  <c r="J391" i="66"/>
  <c r="M390" i="66"/>
  <c r="J390" i="66"/>
  <c r="M389" i="66"/>
  <c r="J389" i="66"/>
  <c r="M388" i="66"/>
  <c r="J388" i="66"/>
  <c r="M387" i="66"/>
  <c r="J387" i="66"/>
  <c r="M386" i="66"/>
  <c r="J386" i="66"/>
  <c r="M385" i="66"/>
  <c r="J385" i="66"/>
  <c r="M384" i="66"/>
  <c r="J384" i="66"/>
  <c r="M383" i="66"/>
  <c r="J383" i="66"/>
  <c r="M382" i="66"/>
  <c r="J382" i="66"/>
  <c r="M381" i="66"/>
  <c r="J381" i="66"/>
  <c r="M380" i="66"/>
  <c r="J380" i="66"/>
  <c r="M379" i="66"/>
  <c r="J379" i="66"/>
  <c r="M378" i="66"/>
  <c r="J378" i="66"/>
  <c r="M377" i="66"/>
  <c r="J377" i="66"/>
  <c r="M376" i="66"/>
  <c r="J376" i="66"/>
  <c r="M375" i="66"/>
  <c r="J375" i="66"/>
  <c r="M374" i="66"/>
  <c r="J374" i="66"/>
  <c r="M373" i="66"/>
  <c r="J373" i="66"/>
  <c r="M372" i="66"/>
  <c r="J372" i="66"/>
  <c r="M371" i="66"/>
  <c r="J371" i="66"/>
  <c r="M370" i="66"/>
  <c r="J370" i="66"/>
  <c r="M369" i="66"/>
  <c r="J369" i="66"/>
  <c r="M368" i="66"/>
  <c r="J368" i="66"/>
  <c r="M367" i="66"/>
  <c r="J367" i="66"/>
  <c r="M366" i="66"/>
  <c r="J366" i="66"/>
  <c r="M365" i="66"/>
  <c r="J365" i="66"/>
  <c r="M364" i="66"/>
  <c r="J364" i="66"/>
  <c r="M363" i="66"/>
  <c r="J363" i="66"/>
  <c r="M362" i="66"/>
  <c r="J362" i="66"/>
  <c r="M361" i="66"/>
  <c r="J361" i="66"/>
  <c r="M360" i="66"/>
  <c r="J360" i="66"/>
  <c r="M359" i="66"/>
  <c r="J359" i="66"/>
  <c r="M358" i="66"/>
  <c r="J358" i="66"/>
  <c r="M357" i="66"/>
  <c r="J357" i="66"/>
  <c r="M356" i="66"/>
  <c r="J356" i="66"/>
  <c r="M355" i="66"/>
  <c r="J355" i="66"/>
  <c r="M354" i="66"/>
  <c r="J354" i="66"/>
  <c r="M353" i="66"/>
  <c r="J353" i="66"/>
  <c r="M352" i="66"/>
  <c r="J352" i="66"/>
  <c r="M351" i="66"/>
  <c r="J351" i="66"/>
  <c r="M350" i="66"/>
  <c r="J350" i="66"/>
  <c r="M349" i="66"/>
  <c r="J349" i="66"/>
  <c r="M348" i="66"/>
  <c r="J348" i="66"/>
  <c r="M347" i="66"/>
  <c r="J347" i="66"/>
  <c r="M346" i="66"/>
  <c r="J346" i="66"/>
  <c r="M345" i="66"/>
  <c r="J345" i="66"/>
  <c r="M344" i="66"/>
  <c r="J344" i="66"/>
  <c r="M343" i="66"/>
  <c r="J343" i="66"/>
  <c r="M342" i="66"/>
  <c r="J342" i="66"/>
  <c r="M341" i="66"/>
  <c r="J341" i="66"/>
  <c r="M340" i="66"/>
  <c r="J340" i="66"/>
  <c r="M339" i="66"/>
  <c r="J339" i="66"/>
  <c r="M338" i="66"/>
  <c r="J338" i="66"/>
  <c r="M337" i="66"/>
  <c r="J337" i="66"/>
  <c r="M336" i="66"/>
  <c r="J336" i="66"/>
  <c r="M335" i="66"/>
  <c r="J335" i="66"/>
  <c r="M334" i="66"/>
  <c r="J334" i="66"/>
  <c r="M333" i="66"/>
  <c r="J333" i="66"/>
  <c r="M332" i="66"/>
  <c r="J332" i="66"/>
  <c r="M331" i="66"/>
  <c r="J331" i="66"/>
  <c r="M330" i="66"/>
  <c r="J330" i="66"/>
  <c r="M329" i="66"/>
  <c r="J329" i="66"/>
  <c r="M328" i="66"/>
  <c r="J328" i="66"/>
  <c r="M327" i="66"/>
  <c r="J327" i="66"/>
  <c r="M326" i="66"/>
  <c r="J326" i="66"/>
  <c r="M325" i="66"/>
  <c r="J325" i="66"/>
  <c r="M324" i="66"/>
  <c r="J324" i="66"/>
  <c r="M323" i="66"/>
  <c r="J323" i="66"/>
  <c r="M322" i="66"/>
  <c r="J322" i="66"/>
  <c r="M321" i="66"/>
  <c r="J321" i="66"/>
  <c r="M320" i="66"/>
  <c r="J320" i="66"/>
  <c r="M319" i="66"/>
  <c r="J319" i="66"/>
  <c r="M318" i="66"/>
  <c r="J318" i="66"/>
  <c r="M317" i="66"/>
  <c r="J317" i="66"/>
  <c r="M316" i="66"/>
  <c r="J316" i="66"/>
  <c r="M315" i="66"/>
  <c r="J315" i="66"/>
  <c r="M314" i="66"/>
  <c r="J314" i="66"/>
  <c r="M313" i="66"/>
  <c r="J313" i="66"/>
  <c r="M312" i="66"/>
  <c r="J312" i="66"/>
  <c r="M311" i="66"/>
  <c r="J311" i="66"/>
  <c r="M310" i="66"/>
  <c r="J310" i="66"/>
  <c r="M309" i="66"/>
  <c r="J309" i="66"/>
  <c r="M308" i="66"/>
  <c r="J308" i="66"/>
  <c r="M307" i="66"/>
  <c r="J307" i="66"/>
  <c r="M306" i="66"/>
  <c r="J306" i="66"/>
  <c r="M305" i="66"/>
  <c r="J305" i="66"/>
  <c r="M304" i="66"/>
  <c r="J304" i="66"/>
  <c r="M303" i="66"/>
  <c r="J303" i="66"/>
  <c r="M302" i="66"/>
  <c r="J302" i="66"/>
  <c r="M301" i="66"/>
  <c r="J301" i="66"/>
  <c r="M300" i="66"/>
  <c r="J300" i="66"/>
  <c r="M299" i="66"/>
  <c r="J299" i="66"/>
  <c r="M298" i="66"/>
  <c r="J298" i="66"/>
  <c r="M297" i="66"/>
  <c r="J297" i="66"/>
  <c r="M296" i="66"/>
  <c r="J296" i="66"/>
  <c r="M295" i="66"/>
  <c r="J295" i="66"/>
  <c r="M294" i="66"/>
  <c r="J294" i="66"/>
  <c r="M293" i="66"/>
  <c r="J293" i="66"/>
  <c r="M292" i="66"/>
  <c r="J292" i="66"/>
  <c r="M291" i="66"/>
  <c r="J291" i="66"/>
  <c r="M290" i="66"/>
  <c r="J290" i="66"/>
  <c r="M289" i="66"/>
  <c r="J289" i="66"/>
  <c r="M288" i="66"/>
  <c r="J288" i="66"/>
  <c r="M287" i="66"/>
  <c r="J287" i="66"/>
  <c r="M286" i="66"/>
  <c r="J286" i="66"/>
  <c r="M285" i="66"/>
  <c r="J285" i="66"/>
  <c r="M284" i="66"/>
  <c r="J284" i="66"/>
  <c r="M283" i="66"/>
  <c r="J283" i="66"/>
  <c r="M282" i="66"/>
  <c r="J282" i="66"/>
  <c r="M281" i="66"/>
  <c r="J281" i="66"/>
  <c r="M280" i="66"/>
  <c r="J280" i="66"/>
  <c r="M279" i="66"/>
  <c r="J279" i="66"/>
  <c r="M278" i="66"/>
  <c r="J278" i="66"/>
  <c r="M277" i="66"/>
  <c r="J277" i="66"/>
  <c r="M276" i="66"/>
  <c r="J276" i="66"/>
  <c r="M275" i="66"/>
  <c r="J275" i="66"/>
  <c r="M274" i="66"/>
  <c r="J274" i="66"/>
  <c r="M273" i="66"/>
  <c r="J273" i="66"/>
  <c r="M272" i="66"/>
  <c r="J272" i="66"/>
  <c r="M271" i="66"/>
  <c r="J271" i="66"/>
  <c r="M270" i="66"/>
  <c r="J270" i="66"/>
  <c r="M269" i="66"/>
  <c r="J269" i="66"/>
  <c r="M268" i="66"/>
  <c r="J268" i="66"/>
  <c r="M267" i="66"/>
  <c r="J267" i="66"/>
  <c r="M266" i="66"/>
  <c r="J266" i="66"/>
  <c r="M265" i="66"/>
  <c r="J265" i="66"/>
  <c r="M264" i="66"/>
  <c r="J264" i="66"/>
  <c r="M263" i="66"/>
  <c r="J263" i="66"/>
  <c r="M262" i="66"/>
  <c r="J262" i="66"/>
  <c r="M261" i="66"/>
  <c r="J261" i="66"/>
  <c r="M260" i="66"/>
  <c r="J260" i="66"/>
  <c r="M259" i="66"/>
  <c r="J259" i="66"/>
  <c r="M258" i="66"/>
  <c r="J258" i="66"/>
  <c r="M257" i="66"/>
  <c r="J257" i="66"/>
  <c r="M256" i="66"/>
  <c r="J256" i="66"/>
  <c r="M255" i="66"/>
  <c r="J255" i="66"/>
  <c r="M254" i="66"/>
  <c r="J254" i="66"/>
  <c r="M253" i="66"/>
  <c r="J253" i="66"/>
  <c r="M252" i="66"/>
  <c r="J252" i="66"/>
  <c r="M251" i="66"/>
  <c r="J251" i="66"/>
  <c r="M250" i="66"/>
  <c r="J250" i="66"/>
  <c r="M249" i="66"/>
  <c r="J249" i="66"/>
  <c r="M248" i="66"/>
  <c r="J248" i="66"/>
  <c r="M247" i="66"/>
  <c r="J247" i="66"/>
  <c r="M246" i="66"/>
  <c r="J246" i="66"/>
  <c r="M245" i="66"/>
  <c r="J245" i="66"/>
  <c r="M244" i="66"/>
  <c r="J244" i="66"/>
  <c r="M243" i="66"/>
  <c r="J243" i="66"/>
  <c r="M242" i="66"/>
  <c r="J242" i="66"/>
  <c r="M241" i="66"/>
  <c r="J241" i="66"/>
  <c r="M240" i="66"/>
  <c r="J240" i="66"/>
  <c r="M239" i="66"/>
  <c r="J239" i="66"/>
  <c r="M238" i="66"/>
  <c r="J238" i="66"/>
  <c r="M237" i="66"/>
  <c r="J237" i="66"/>
  <c r="M236" i="66"/>
  <c r="J236" i="66"/>
  <c r="M235" i="66"/>
  <c r="J235" i="66"/>
  <c r="M234" i="66"/>
  <c r="J234" i="66"/>
  <c r="M233" i="66"/>
  <c r="J233" i="66"/>
  <c r="M232" i="66"/>
  <c r="J232" i="66"/>
  <c r="M231" i="66"/>
  <c r="J231" i="66"/>
  <c r="M230" i="66"/>
  <c r="J230" i="66"/>
  <c r="M229" i="66"/>
  <c r="J229" i="66"/>
  <c r="M228" i="66"/>
  <c r="J228" i="66"/>
  <c r="M227" i="66"/>
  <c r="J227" i="66"/>
  <c r="M226" i="66"/>
  <c r="J226" i="66"/>
  <c r="M225" i="66"/>
  <c r="J225" i="66"/>
  <c r="M224" i="66"/>
  <c r="J224" i="66"/>
  <c r="M223" i="66"/>
  <c r="J223" i="66"/>
  <c r="M222" i="66"/>
  <c r="J222" i="66"/>
  <c r="M221" i="66"/>
  <c r="J221" i="66"/>
  <c r="M220" i="66"/>
  <c r="J220" i="66"/>
  <c r="M219" i="66"/>
  <c r="J219" i="66"/>
  <c r="M218" i="66"/>
  <c r="J218" i="66"/>
  <c r="M217" i="66"/>
  <c r="J217" i="66"/>
  <c r="M216" i="66"/>
  <c r="J216" i="66"/>
  <c r="M215" i="66"/>
  <c r="J215" i="66"/>
  <c r="M214" i="66"/>
  <c r="J214" i="66"/>
  <c r="M213" i="66"/>
  <c r="J213" i="66"/>
  <c r="M212" i="66"/>
  <c r="J212" i="66"/>
  <c r="M211" i="66"/>
  <c r="J211" i="66"/>
  <c r="M210" i="66"/>
  <c r="J210" i="66"/>
  <c r="M209" i="66"/>
  <c r="J209" i="66"/>
  <c r="M208" i="66"/>
  <c r="J208" i="66"/>
  <c r="M207" i="66"/>
  <c r="J207" i="66"/>
  <c r="M206" i="66"/>
  <c r="J206" i="66"/>
  <c r="M205" i="66"/>
  <c r="J205" i="66"/>
  <c r="M204" i="66"/>
  <c r="J204" i="66"/>
  <c r="M203" i="66"/>
  <c r="J203" i="66"/>
  <c r="M202" i="66"/>
  <c r="J202" i="66"/>
  <c r="M201" i="66"/>
  <c r="J201" i="66"/>
  <c r="M200" i="66"/>
  <c r="J200" i="66"/>
  <c r="M199" i="66"/>
  <c r="J199" i="66"/>
  <c r="M198" i="66"/>
  <c r="J198" i="66"/>
  <c r="M197" i="66"/>
  <c r="J197" i="66"/>
  <c r="M196" i="66"/>
  <c r="J196" i="66"/>
  <c r="M195" i="66"/>
  <c r="J195" i="66"/>
  <c r="M194" i="66"/>
  <c r="J194" i="66"/>
  <c r="M193" i="66"/>
  <c r="J193" i="66"/>
  <c r="M192" i="66"/>
  <c r="J192" i="66"/>
  <c r="M191" i="66"/>
  <c r="J191" i="66"/>
  <c r="M190" i="66"/>
  <c r="J190" i="66"/>
  <c r="M189" i="66"/>
  <c r="J189" i="66"/>
  <c r="M188" i="66"/>
  <c r="J188" i="66"/>
  <c r="M187" i="66"/>
  <c r="J187" i="66"/>
  <c r="M186" i="66"/>
  <c r="J186" i="66"/>
  <c r="M185" i="66"/>
  <c r="J185" i="66"/>
  <c r="M184" i="66"/>
  <c r="J184" i="66"/>
  <c r="M183" i="66"/>
  <c r="J183" i="66"/>
  <c r="M182" i="66"/>
  <c r="J182" i="66"/>
  <c r="M181" i="66"/>
  <c r="J181" i="66"/>
  <c r="M180" i="66"/>
  <c r="J180" i="66"/>
  <c r="M179" i="66"/>
  <c r="J179" i="66"/>
  <c r="M178" i="66"/>
  <c r="J178" i="66"/>
  <c r="M177" i="66"/>
  <c r="J177" i="66"/>
  <c r="M176" i="66"/>
  <c r="J176" i="66"/>
  <c r="M175" i="66"/>
  <c r="J175" i="66"/>
  <c r="M174" i="66"/>
  <c r="J174" i="66"/>
  <c r="M173" i="66"/>
  <c r="J173" i="66"/>
  <c r="M172" i="66"/>
  <c r="J172" i="66"/>
  <c r="M171" i="66"/>
  <c r="J171" i="66"/>
  <c r="M170" i="66"/>
  <c r="J170" i="66"/>
  <c r="M169" i="66"/>
  <c r="J169" i="66"/>
  <c r="M168" i="66"/>
  <c r="J168" i="66"/>
  <c r="M167" i="66"/>
  <c r="J167" i="66"/>
  <c r="M166" i="66"/>
  <c r="J166" i="66"/>
  <c r="M165" i="66"/>
  <c r="J165" i="66"/>
  <c r="M164" i="66"/>
  <c r="J164" i="66"/>
  <c r="M163" i="66"/>
  <c r="J163" i="66"/>
  <c r="M162" i="66"/>
  <c r="J162" i="66"/>
  <c r="M161" i="66"/>
  <c r="J161" i="66"/>
  <c r="M160" i="66"/>
  <c r="J160" i="66"/>
  <c r="M159" i="66"/>
  <c r="J159" i="66"/>
  <c r="M158" i="66"/>
  <c r="J158" i="66"/>
  <c r="M157" i="66"/>
  <c r="J157" i="66"/>
  <c r="M156" i="66"/>
  <c r="J156" i="66"/>
  <c r="M155" i="66"/>
  <c r="J155" i="66"/>
  <c r="M154" i="66"/>
  <c r="J154" i="66"/>
  <c r="M153" i="66"/>
  <c r="J153" i="66"/>
  <c r="M152" i="66"/>
  <c r="J152" i="66"/>
  <c r="M151" i="66"/>
  <c r="J151" i="66"/>
  <c r="M150" i="66"/>
  <c r="J150" i="66"/>
  <c r="M149" i="66"/>
  <c r="J149" i="66"/>
  <c r="M148" i="66"/>
  <c r="J148" i="66"/>
  <c r="M147" i="66"/>
  <c r="J147" i="66"/>
  <c r="M146" i="66"/>
  <c r="J146" i="66"/>
  <c r="M145" i="66"/>
  <c r="J145" i="66"/>
  <c r="M144" i="66"/>
  <c r="J144" i="66"/>
  <c r="M143" i="66"/>
  <c r="J143" i="66"/>
  <c r="M142" i="66"/>
  <c r="J142" i="66"/>
  <c r="M141" i="66"/>
  <c r="J141" i="66"/>
  <c r="M140" i="66"/>
  <c r="J140" i="66"/>
  <c r="M139" i="66"/>
  <c r="J139" i="66"/>
  <c r="M138" i="66"/>
  <c r="J138" i="66"/>
  <c r="M137" i="66"/>
  <c r="J137" i="66"/>
  <c r="M136" i="66"/>
  <c r="J136" i="66"/>
  <c r="M135" i="66"/>
  <c r="J135" i="66"/>
  <c r="M134" i="66"/>
  <c r="J134" i="66"/>
  <c r="M133" i="66"/>
  <c r="J133" i="66"/>
  <c r="M132" i="66"/>
  <c r="J132" i="66"/>
  <c r="M131" i="66"/>
  <c r="J131" i="66"/>
  <c r="M130" i="66"/>
  <c r="J130" i="66"/>
  <c r="M129" i="66"/>
  <c r="J129" i="66"/>
  <c r="M128" i="66"/>
  <c r="J128" i="66"/>
  <c r="M127" i="66"/>
  <c r="J127" i="66"/>
  <c r="M126" i="66"/>
  <c r="J126" i="66"/>
  <c r="M125" i="66"/>
  <c r="J125" i="66"/>
  <c r="M124" i="66"/>
  <c r="J124" i="66"/>
  <c r="M123" i="66"/>
  <c r="J123" i="66"/>
  <c r="M122" i="66"/>
  <c r="J122" i="66"/>
  <c r="M121" i="66"/>
  <c r="J121" i="66"/>
  <c r="M120" i="66"/>
  <c r="J120" i="66"/>
  <c r="M119" i="66"/>
  <c r="J119" i="66"/>
  <c r="M118" i="66"/>
  <c r="J118" i="66"/>
  <c r="M117" i="66"/>
  <c r="J117" i="66"/>
  <c r="M116" i="66"/>
  <c r="J116" i="66"/>
  <c r="M115" i="66"/>
  <c r="J115" i="66"/>
  <c r="M114" i="66"/>
  <c r="J114" i="66"/>
  <c r="M113" i="66"/>
  <c r="J113" i="66"/>
  <c r="M112" i="66"/>
  <c r="J112" i="66"/>
  <c r="M111" i="66"/>
  <c r="J111" i="66"/>
  <c r="M110" i="66"/>
  <c r="J110" i="66"/>
  <c r="M109" i="66"/>
  <c r="J109" i="66"/>
  <c r="M108" i="66"/>
  <c r="J108" i="66"/>
  <c r="M107" i="66"/>
  <c r="J107" i="66"/>
  <c r="M106" i="66"/>
  <c r="J106" i="66"/>
  <c r="M105" i="66"/>
  <c r="J105" i="66"/>
  <c r="M104" i="66"/>
  <c r="J104" i="66"/>
  <c r="M103" i="66"/>
  <c r="J103" i="66"/>
  <c r="M102" i="66"/>
  <c r="J102" i="66"/>
  <c r="M101" i="66"/>
  <c r="J101" i="66"/>
  <c r="M100" i="66"/>
  <c r="J100" i="66"/>
  <c r="M99" i="66"/>
  <c r="J99" i="66"/>
  <c r="M98" i="66"/>
  <c r="J98" i="66"/>
  <c r="M97" i="66"/>
  <c r="J97" i="66"/>
  <c r="M96" i="66"/>
  <c r="J96" i="66"/>
  <c r="M95" i="66"/>
  <c r="J95" i="66"/>
  <c r="M94" i="66"/>
  <c r="J94" i="66"/>
  <c r="M93" i="66"/>
  <c r="J93" i="66"/>
  <c r="M92" i="66"/>
  <c r="J92" i="66"/>
  <c r="M91" i="66"/>
  <c r="J91" i="66"/>
  <c r="M90" i="66"/>
  <c r="J90" i="66"/>
  <c r="M89" i="66"/>
  <c r="J89" i="66"/>
  <c r="M88" i="66"/>
  <c r="J88" i="66"/>
  <c r="M87" i="66"/>
  <c r="J87" i="66"/>
  <c r="M86" i="66"/>
  <c r="J86" i="66"/>
  <c r="M85" i="66"/>
  <c r="J85" i="66"/>
  <c r="M84" i="66"/>
  <c r="J84" i="66"/>
  <c r="M83" i="66"/>
  <c r="J83" i="66"/>
  <c r="M82" i="66"/>
  <c r="J82" i="66"/>
  <c r="M81" i="66"/>
  <c r="J81" i="66"/>
  <c r="M80" i="66"/>
  <c r="J80" i="66"/>
  <c r="M79" i="66"/>
  <c r="J79" i="66"/>
  <c r="M78" i="66"/>
  <c r="J78" i="66"/>
  <c r="M77" i="66"/>
  <c r="J77" i="66"/>
  <c r="M76" i="66"/>
  <c r="J76" i="66"/>
  <c r="M75" i="66"/>
  <c r="J75" i="66"/>
  <c r="M74" i="66"/>
  <c r="J74" i="66"/>
  <c r="M73" i="66"/>
  <c r="J73" i="66"/>
  <c r="M72" i="66"/>
  <c r="J72" i="66"/>
  <c r="M71" i="66"/>
  <c r="J71" i="66"/>
  <c r="M70" i="66"/>
  <c r="J70" i="66"/>
  <c r="M69" i="66"/>
  <c r="J69" i="66"/>
  <c r="M68" i="66"/>
  <c r="J68" i="66"/>
  <c r="M67" i="66"/>
  <c r="J67" i="66"/>
  <c r="M66" i="66"/>
  <c r="J66" i="66"/>
  <c r="M65" i="66"/>
  <c r="J65" i="66"/>
  <c r="M64" i="66"/>
  <c r="J64" i="66"/>
  <c r="M63" i="66"/>
  <c r="J63" i="66"/>
  <c r="M62" i="66"/>
  <c r="J62" i="66"/>
  <c r="M61" i="66"/>
  <c r="J61" i="66"/>
  <c r="M60" i="66"/>
  <c r="J60" i="66"/>
  <c r="M59" i="66"/>
  <c r="J59" i="66"/>
  <c r="M58" i="66"/>
  <c r="J58" i="66"/>
  <c r="M57" i="66"/>
  <c r="J57" i="66"/>
  <c r="M56" i="66"/>
  <c r="J56" i="66"/>
  <c r="M55" i="66"/>
  <c r="J55" i="66"/>
  <c r="M54" i="66"/>
  <c r="J54" i="66"/>
  <c r="M53" i="66"/>
  <c r="J53" i="66"/>
  <c r="M52" i="66"/>
  <c r="J52" i="66"/>
  <c r="M51" i="66"/>
  <c r="J51" i="66"/>
  <c r="M50" i="66"/>
  <c r="J50" i="66"/>
  <c r="M49" i="66"/>
  <c r="J49" i="66"/>
  <c r="M48" i="66"/>
  <c r="J48" i="66"/>
  <c r="M47" i="66"/>
  <c r="J47" i="66"/>
  <c r="M46" i="66"/>
  <c r="J46" i="66"/>
  <c r="M45" i="66"/>
  <c r="J45" i="66"/>
  <c r="M44" i="66"/>
  <c r="J44" i="66"/>
  <c r="M43" i="66"/>
  <c r="J43" i="66"/>
  <c r="M42" i="66"/>
  <c r="J42" i="66"/>
  <c r="M41" i="66"/>
  <c r="J41" i="66"/>
  <c r="M40" i="66"/>
  <c r="J40" i="66"/>
  <c r="M39" i="66"/>
  <c r="J39" i="66"/>
  <c r="M38" i="66"/>
  <c r="J38" i="66"/>
  <c r="M37" i="66"/>
  <c r="J37" i="66"/>
  <c r="M36" i="66"/>
  <c r="J36" i="66"/>
  <c r="M35" i="66"/>
  <c r="J35" i="66"/>
  <c r="M34" i="66"/>
  <c r="J34" i="66"/>
  <c r="M33" i="66"/>
  <c r="J33" i="66"/>
  <c r="M32" i="66"/>
  <c r="J32" i="66"/>
  <c r="M31" i="66"/>
  <c r="J31" i="66"/>
  <c r="M30" i="66"/>
  <c r="J30" i="66"/>
  <c r="M29" i="66"/>
  <c r="J29" i="66"/>
  <c r="M28" i="66"/>
  <c r="J28" i="66"/>
  <c r="M27" i="66"/>
  <c r="J27" i="66"/>
  <c r="M26" i="66"/>
  <c r="J26" i="66"/>
  <c r="M25" i="66"/>
  <c r="J25" i="66"/>
  <c r="M24" i="66"/>
  <c r="J24" i="66"/>
  <c r="M23" i="66"/>
  <c r="J23" i="66"/>
  <c r="M22" i="66"/>
  <c r="J22" i="66"/>
  <c r="M21" i="66"/>
  <c r="J21" i="66"/>
  <c r="M20" i="66"/>
  <c r="J20" i="66"/>
  <c r="U8" i="66"/>
  <c r="I5" i="66"/>
  <c r="N18" i="66" s="1"/>
  <c r="W18" i="66" s="1"/>
  <c r="V4" i="66"/>
  <c r="M18" i="66" s="1"/>
  <c r="C14" i="66" s="1"/>
  <c r="U4" i="66"/>
  <c r="J18" i="66" s="1"/>
  <c r="C13" i="66" s="1"/>
  <c r="I4" i="66"/>
  <c r="K18" i="66" s="1"/>
  <c r="V18" i="66" s="1"/>
  <c r="U19"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Q101" i="66"/>
  <c r="Q102" i="66"/>
  <c r="Q103" i="66"/>
  <c r="Q104" i="66"/>
  <c r="Q105" i="66"/>
  <c r="Q106" i="66"/>
  <c r="Q107" i="66"/>
  <c r="Q108" i="66"/>
  <c r="Q109" i="66"/>
  <c r="Q110" i="66"/>
  <c r="Q111" i="66"/>
  <c r="Q112" i="66"/>
  <c r="Q113" i="66"/>
  <c r="Q114" i="66"/>
  <c r="Q115" i="66"/>
  <c r="Q116" i="66"/>
  <c r="Q117" i="66"/>
  <c r="Q118" i="66"/>
  <c r="Q119" i="66"/>
  <c r="Q120" i="66"/>
  <c r="Q121" i="66"/>
  <c r="Q122" i="66"/>
  <c r="Q123" i="66"/>
  <c r="Q124" i="66"/>
  <c r="Q125" i="66"/>
  <c r="Q126" i="66"/>
  <c r="Q127" i="66"/>
  <c r="Q128" i="66"/>
  <c r="Q129" i="66"/>
  <c r="Q130" i="66"/>
  <c r="Q131" i="66"/>
  <c r="Q132" i="66"/>
  <c r="Q133" i="66"/>
  <c r="Q134" i="66"/>
  <c r="Q135" i="66"/>
  <c r="Q136" i="66"/>
  <c r="Q137" i="66"/>
  <c r="Q138" i="66"/>
  <c r="Q139" i="66"/>
  <c r="Q140" i="66"/>
  <c r="Q141" i="66"/>
  <c r="Q142" i="66"/>
  <c r="Q143" i="66"/>
  <c r="Q144" i="66"/>
  <c r="Q145" i="66"/>
  <c r="Q146" i="66"/>
  <c r="Q147" i="66"/>
  <c r="Q148" i="66"/>
  <c r="Q149" i="66"/>
  <c r="Q150" i="66"/>
  <c r="Q151" i="66"/>
  <c r="Q152" i="66"/>
  <c r="Q153" i="66"/>
  <c r="Q154" i="66"/>
  <c r="Q155" i="66"/>
  <c r="Q156" i="66"/>
  <c r="Q157" i="66"/>
  <c r="Q158" i="66"/>
  <c r="Q159" i="66"/>
  <c r="Q160" i="66"/>
  <c r="Q161" i="66"/>
  <c r="Q162" i="66"/>
  <c r="Q163" i="66"/>
  <c r="Q164" i="66"/>
  <c r="Q165" i="66"/>
  <c r="Q166" i="66"/>
  <c r="Q167" i="66"/>
  <c r="Q168" i="66"/>
  <c r="Q169" i="66"/>
  <c r="Q170" i="66"/>
  <c r="Q171" i="66"/>
  <c r="Q172" i="66"/>
  <c r="Q173" i="66"/>
  <c r="Q174" i="66"/>
  <c r="Q175" i="66"/>
  <c r="Q176" i="66"/>
  <c r="Q177" i="66"/>
  <c r="Q178" i="66"/>
  <c r="Q179" i="66"/>
  <c r="Q180" i="66"/>
  <c r="Q181" i="66"/>
  <c r="Q182" i="66"/>
  <c r="Q183" i="66"/>
  <c r="Q184" i="66"/>
  <c r="Q185" i="66"/>
  <c r="Q186" i="66"/>
  <c r="Q187" i="66"/>
  <c r="Q188" i="66"/>
  <c r="Q189" i="66"/>
  <c r="Q190" i="66"/>
  <c r="Q191" i="66"/>
  <c r="Q192" i="66"/>
  <c r="Q193" i="66"/>
  <c r="Q194" i="66"/>
  <c r="Q195" i="66"/>
  <c r="Q196" i="66"/>
  <c r="Q197" i="66"/>
  <c r="Q198" i="66"/>
  <c r="Q199" i="66"/>
  <c r="Q200" i="66"/>
  <c r="Q201" i="66"/>
  <c r="Q202" i="66"/>
  <c r="Q203" i="66"/>
  <c r="Q204" i="66"/>
  <c r="Q205" i="66"/>
  <c r="Q206" i="66"/>
  <c r="Q207" i="66"/>
  <c r="Q208" i="66"/>
  <c r="Q209" i="66"/>
  <c r="Q210" i="66"/>
  <c r="Q211" i="66"/>
  <c r="Q212" i="66"/>
  <c r="Q213" i="66"/>
  <c r="Q214" i="66"/>
  <c r="Q215" i="66"/>
  <c r="Q216" i="66"/>
  <c r="Q217" i="66"/>
  <c r="Q218" i="66"/>
  <c r="Q219" i="66"/>
  <c r="Q220" i="66"/>
  <c r="Q221" i="66"/>
  <c r="Q222" i="66"/>
  <c r="Q223" i="66"/>
  <c r="Q224" i="66"/>
  <c r="Q225" i="66"/>
  <c r="Q226" i="66"/>
  <c r="Q227" i="66"/>
  <c r="Q228" i="66"/>
  <c r="Q229" i="66"/>
  <c r="Q230" i="66"/>
  <c r="Q231" i="66"/>
  <c r="Q232" i="66"/>
  <c r="Q233" i="66"/>
  <c r="Q234" i="66"/>
  <c r="Q235" i="66"/>
  <c r="Q236" i="66"/>
  <c r="Q237" i="66"/>
  <c r="Q238" i="66"/>
  <c r="Q239" i="66"/>
  <c r="Q240" i="66"/>
  <c r="Q241" i="66"/>
  <c r="Q242" i="66"/>
  <c r="Q243" i="66"/>
  <c r="Q244" i="66"/>
  <c r="Q245" i="66"/>
  <c r="Q246" i="66"/>
  <c r="Q247" i="66"/>
  <c r="Q248" i="66"/>
  <c r="Q249" i="66"/>
  <c r="Q250" i="66"/>
  <c r="Q251" i="66"/>
  <c r="Q252" i="66"/>
  <c r="Q253" i="66"/>
  <c r="Q254" i="66"/>
  <c r="Q255" i="66"/>
  <c r="Q256" i="66"/>
  <c r="Q257" i="66"/>
  <c r="Q258" i="66"/>
  <c r="Q259" i="66"/>
  <c r="Q260" i="66"/>
  <c r="Q261" i="66"/>
  <c r="Q262" i="66"/>
  <c r="Q263" i="66"/>
  <c r="Q264" i="66"/>
  <c r="Q265" i="66"/>
  <c r="Q266" i="66"/>
  <c r="Q267" i="66"/>
  <c r="Q268" i="66"/>
  <c r="Q269" i="66"/>
  <c r="Q270" i="66"/>
  <c r="Q271" i="66"/>
  <c r="Q272" i="66"/>
  <c r="Q273" i="66"/>
  <c r="Q274" i="66"/>
  <c r="Q275" i="66"/>
  <c r="Q276" i="66"/>
  <c r="Q277" i="66"/>
  <c r="Q278" i="66"/>
  <c r="Q279" i="66"/>
  <c r="Q280" i="66"/>
  <c r="Q281" i="66"/>
  <c r="Q282" i="66"/>
  <c r="Q283" i="66"/>
  <c r="Q284" i="66"/>
  <c r="Q285" i="66"/>
  <c r="Q286" i="66"/>
  <c r="Q287" i="66"/>
  <c r="Q288" i="66"/>
  <c r="Q289" i="66"/>
  <c r="Q290" i="66"/>
  <c r="Q291" i="66"/>
  <c r="Q292" i="66"/>
  <c r="Q293" i="66"/>
  <c r="Q294" i="66"/>
  <c r="Q295" i="66"/>
  <c r="Q296" i="66"/>
  <c r="Q297" i="66"/>
  <c r="Q298" i="66"/>
  <c r="Q299" i="66"/>
  <c r="Q300" i="66"/>
  <c r="Q301" i="66"/>
  <c r="Q302" i="66"/>
  <c r="Q303" i="66"/>
  <c r="Q304" i="66"/>
  <c r="Q305" i="66"/>
  <c r="Q306" i="66"/>
  <c r="Q307" i="66"/>
  <c r="Q308" i="66"/>
  <c r="Q309" i="66"/>
  <c r="Q310" i="66"/>
  <c r="Q311" i="66"/>
  <c r="Q312" i="66"/>
  <c r="Q313" i="66"/>
  <c r="Q314" i="66"/>
  <c r="Q315" i="66"/>
  <c r="Q316" i="66"/>
  <c r="Q317" i="66"/>
  <c r="Q318" i="66"/>
  <c r="Q319" i="66"/>
  <c r="Q320" i="66"/>
  <c r="Q321" i="66"/>
  <c r="Q322" i="66"/>
  <c r="Q323" i="66"/>
  <c r="Q324" i="66"/>
  <c r="Q325" i="66"/>
  <c r="Q326" i="66"/>
  <c r="Q327" i="66"/>
  <c r="Q328" i="66"/>
  <c r="Q329" i="66"/>
  <c r="Q330" i="66"/>
  <c r="Q331" i="66"/>
  <c r="Q332" i="66"/>
  <c r="Q333" i="66"/>
  <c r="Q334" i="66"/>
  <c r="Q335" i="66"/>
  <c r="Q336" i="66"/>
  <c r="Q337" i="66"/>
  <c r="Q338" i="66"/>
  <c r="Q339" i="66"/>
  <c r="Q340" i="66"/>
  <c r="Q341" i="66"/>
  <c r="Q342" i="66"/>
  <c r="Q343" i="66"/>
  <c r="Q344" i="66"/>
  <c r="Q345" i="66"/>
  <c r="Q346" i="66"/>
  <c r="Q347" i="66"/>
  <c r="Q348" i="66"/>
  <c r="Q349" i="66"/>
  <c r="Q350" i="66"/>
  <c r="Q351" i="66"/>
  <c r="Q352" i="66"/>
  <c r="Q353" i="66"/>
  <c r="Q354" i="66"/>
  <c r="Q355" i="66"/>
  <c r="Q356" i="66"/>
  <c r="Q357" i="66"/>
  <c r="Q358" i="66"/>
  <c r="Q359" i="66"/>
  <c r="Q360" i="66"/>
  <c r="Q361" i="66"/>
  <c r="Q362" i="66"/>
  <c r="Q363" i="66"/>
  <c r="Q364" i="66"/>
  <c r="Q365" i="66"/>
  <c r="Q366" i="66"/>
  <c r="Q367" i="66"/>
  <c r="Q368" i="66"/>
  <c r="Q369" i="66"/>
  <c r="Q370" i="66"/>
  <c r="Q371" i="66"/>
  <c r="Q372" i="66"/>
  <c r="Q373" i="66"/>
  <c r="Q374" i="66"/>
  <c r="Q375" i="66"/>
  <c r="Q376" i="66"/>
  <c r="Q377" i="66"/>
  <c r="Q378" i="66"/>
  <c r="Q379" i="66"/>
  <c r="Q380" i="66"/>
  <c r="Q381" i="66"/>
  <c r="Q382" i="66"/>
  <c r="Q383" i="66"/>
  <c r="Q384" i="66"/>
  <c r="Q385" i="66"/>
  <c r="Q386" i="66"/>
  <c r="Q387" i="66"/>
  <c r="Q388" i="66"/>
  <c r="Q389" i="66"/>
  <c r="Q390" i="66"/>
  <c r="Q391" i="66"/>
  <c r="Q392" i="66"/>
  <c r="Q393" i="66"/>
  <c r="Q394" i="66"/>
  <c r="Q395" i="66"/>
  <c r="Q396" i="66"/>
  <c r="Q397" i="66"/>
  <c r="Q398" i="66"/>
  <c r="Q399" i="66"/>
  <c r="Q400" i="66"/>
  <c r="Q401" i="66"/>
  <c r="Q402" i="66"/>
  <c r="Q403" i="66"/>
  <c r="Q404" i="66"/>
  <c r="Q405" i="66"/>
  <c r="Q406" i="66"/>
  <c r="Q407" i="66"/>
  <c r="Q408" i="66"/>
  <c r="Q409" i="66"/>
  <c r="Q410" i="66"/>
  <c r="Q411" i="66"/>
  <c r="Q412" i="66"/>
  <c r="Q413" i="66"/>
  <c r="Q414" i="66"/>
  <c r="Q415" i="66"/>
  <c r="Q416" i="66"/>
  <c r="Q417" i="66"/>
  <c r="Q418" i="66"/>
  <c r="Q419" i="66"/>
  <c r="Q420" i="66"/>
  <c r="Q421" i="66"/>
  <c r="Q422" i="66"/>
  <c r="Q423" i="66"/>
  <c r="Q424" i="66"/>
  <c r="Q425" i="66"/>
  <c r="Q426" i="66"/>
  <c r="Q427" i="66"/>
  <c r="Q428" i="66"/>
  <c r="Q429" i="66"/>
  <c r="Q430" i="66"/>
  <c r="Q431" i="66"/>
  <c r="Q432" i="66"/>
  <c r="Q433" i="66"/>
  <c r="Q434" i="66"/>
  <c r="Q435" i="66"/>
  <c r="Q436" i="66"/>
  <c r="Q437" i="66"/>
  <c r="Q438" i="66"/>
  <c r="Q439" i="66"/>
  <c r="Q440" i="66"/>
  <c r="Q441" i="66"/>
  <c r="Q442" i="66"/>
  <c r="Q443" i="66"/>
  <c r="Q444" i="66"/>
  <c r="Q445" i="66"/>
  <c r="Q446" i="66"/>
  <c r="Q447" i="66"/>
  <c r="Q448" i="66"/>
  <c r="Q449" i="66"/>
  <c r="Q450" i="66"/>
  <c r="Q451" i="66"/>
  <c r="Q452" i="66"/>
  <c r="Q453" i="66"/>
  <c r="Q454" i="66"/>
  <c r="Q455" i="66"/>
  <c r="Q456" i="66"/>
  <c r="Q457" i="66"/>
  <c r="Q458" i="66"/>
  <c r="Q459" i="66"/>
  <c r="Q460" i="66"/>
  <c r="Q461" i="66"/>
  <c r="Q462" i="66"/>
  <c r="Q463" i="66"/>
  <c r="Q464" i="66"/>
  <c r="Q465" i="66"/>
  <c r="Q466" i="66"/>
  <c r="Q467" i="66"/>
  <c r="Q468" i="66"/>
  <c r="Q469" i="66"/>
  <c r="Q470" i="66"/>
  <c r="Q471" i="66"/>
  <c r="Q472" i="66"/>
  <c r="Q473" i="66"/>
  <c r="Q474" i="66"/>
  <c r="Q475" i="66"/>
  <c r="Q476" i="66"/>
  <c r="Q477" i="66"/>
  <c r="Q478" i="66"/>
  <c r="Q479" i="66"/>
  <c r="Q480" i="66"/>
  <c r="Q481" i="66"/>
  <c r="Q482" i="66"/>
  <c r="Q483" i="66"/>
  <c r="Q484" i="66"/>
  <c r="Q485" i="66"/>
  <c r="Q486" i="66"/>
  <c r="Q487" i="66"/>
  <c r="Q488" i="66"/>
  <c r="Q489" i="66"/>
  <c r="Q490" i="66"/>
  <c r="Q491" i="66"/>
  <c r="Q492" i="66"/>
  <c r="Q493" i="66"/>
  <c r="Q494" i="66"/>
  <c r="Q495" i="66"/>
  <c r="Q496" i="66"/>
  <c r="Q497" i="66"/>
  <c r="Q498" i="66"/>
  <c r="Q499" i="66"/>
  <c r="Q500" i="66"/>
  <c r="Q501" i="66"/>
  <c r="Q502" i="66"/>
  <c r="Q503" i="66"/>
  <c r="Q504" i="66"/>
  <c r="Q505" i="66"/>
  <c r="Q506" i="66"/>
  <c r="Q507" i="66"/>
  <c r="Q508" i="66"/>
  <c r="Q509" i="66"/>
  <c r="Q510" i="66"/>
  <c r="Q511" i="66"/>
  <c r="Q512" i="66"/>
  <c r="Q513" i="66"/>
  <c r="Q514" i="66"/>
  <c r="Q515" i="66"/>
  <c r="Q516" i="66"/>
  <c r="Q517" i="66"/>
  <c r="Q518" i="66"/>
  <c r="Q519" i="66"/>
  <c r="Q520" i="66"/>
  <c r="Q521" i="66"/>
  <c r="Q522" i="66"/>
  <c r="Q523" i="66"/>
  <c r="Q524" i="66"/>
  <c r="Q525" i="66"/>
  <c r="Q526" i="66"/>
  <c r="Q527" i="66"/>
  <c r="Q528" i="66"/>
  <c r="Q529" i="66"/>
  <c r="Q530" i="66"/>
  <c r="Q531" i="66"/>
  <c r="Q532" i="66"/>
  <c r="Q533" i="66"/>
  <c r="Q534" i="66"/>
  <c r="Q535" i="66"/>
  <c r="Q536" i="66"/>
  <c r="Q537" i="66"/>
  <c r="Q538" i="66"/>
  <c r="Q539" i="66"/>
  <c r="Q540" i="66"/>
  <c r="Q541" i="66"/>
  <c r="Q542" i="66"/>
  <c r="Q543" i="66"/>
  <c r="Q544" i="66"/>
  <c r="Q545" i="66"/>
  <c r="Q546" i="66"/>
  <c r="Q547" i="66"/>
  <c r="Q548" i="66"/>
  <c r="Q549" i="66"/>
  <c r="Q550" i="66"/>
  <c r="Q551" i="66"/>
  <c r="Q552" i="66"/>
  <c r="Q553" i="66"/>
  <c r="Q554" i="66"/>
  <c r="Q555" i="66"/>
  <c r="Q556" i="66"/>
  <c r="Q557" i="66"/>
  <c r="Q558" i="66"/>
  <c r="Q559" i="66"/>
  <c r="Q560" i="66"/>
  <c r="Q561" i="66"/>
  <c r="Q562" i="66"/>
  <c r="Q563" i="66"/>
  <c r="Q564" i="66"/>
  <c r="Q565" i="66"/>
  <c r="Q566" i="66"/>
  <c r="Q567" i="66"/>
  <c r="Q568" i="66"/>
  <c r="Q569" i="66"/>
  <c r="Q570" i="66"/>
  <c r="Q571" i="66"/>
  <c r="Q572" i="66"/>
  <c r="Q573" i="66"/>
  <c r="Q574" i="66"/>
  <c r="Q575" i="66"/>
  <c r="Q576" i="66"/>
  <c r="Q577" i="66"/>
  <c r="Q578" i="66"/>
  <c r="Q579" i="66"/>
  <c r="Q580" i="66"/>
  <c r="Q581" i="66"/>
  <c r="Q582" i="66"/>
  <c r="Q583" i="66"/>
  <c r="Q584" i="66"/>
  <c r="Q585" i="66"/>
  <c r="Q586" i="66"/>
  <c r="Q587" i="66"/>
  <c r="Q588" i="66"/>
  <c r="Q589" i="66"/>
  <c r="Q590" i="66"/>
  <c r="Q591" i="66"/>
  <c r="Q592" i="66"/>
  <c r="Q593" i="66"/>
  <c r="Q594" i="66"/>
  <c r="Q595" i="66"/>
  <c r="Q596" i="66"/>
  <c r="Q597" i="66"/>
  <c r="Q598" i="66"/>
  <c r="Q599" i="66"/>
  <c r="Q600" i="66"/>
  <c r="Q601" i="66"/>
  <c r="Q602" i="66"/>
  <c r="Q603" i="66"/>
  <c r="Q604" i="66"/>
  <c r="Q605" i="66"/>
  <c r="Q606" i="66"/>
  <c r="Q607" i="66"/>
  <c r="Q608" i="66"/>
  <c r="Q609" i="66"/>
  <c r="Q610" i="66"/>
  <c r="Q611" i="66"/>
  <c r="Q612" i="66"/>
  <c r="Q613" i="66"/>
  <c r="Q614" i="66"/>
  <c r="Q615" i="66"/>
  <c r="Q616" i="66"/>
  <c r="Q617" i="66"/>
  <c r="Q618" i="66"/>
  <c r="Q619" i="66"/>
  <c r="Q620" i="66"/>
  <c r="Q621" i="66"/>
  <c r="Q622" i="66"/>
  <c r="Q623" i="66"/>
  <c r="Q624" i="66"/>
  <c r="Q625" i="66"/>
  <c r="Q626" i="66"/>
  <c r="Q627" i="66"/>
  <c r="Q628" i="66"/>
  <c r="Q629" i="66"/>
  <c r="Q630" i="66"/>
  <c r="Q631" i="66"/>
  <c r="Q632" i="66"/>
  <c r="Q633" i="66"/>
  <c r="Q634" i="66"/>
  <c r="Q635" i="66"/>
  <c r="Q636" i="66"/>
  <c r="Q637" i="66"/>
  <c r="Q638" i="66"/>
  <c r="Q639" i="66"/>
  <c r="Q640" i="66"/>
  <c r="Q641" i="66"/>
  <c r="Q642" i="66"/>
  <c r="Q643" i="66"/>
  <c r="Q644" i="66"/>
  <c r="Q645" i="66"/>
  <c r="Q646" i="66"/>
  <c r="Q647" i="66"/>
  <c r="Q648" i="66"/>
  <c r="Q649" i="66"/>
  <c r="Q650" i="66"/>
  <c r="Q651" i="66"/>
  <c r="Q652" i="66"/>
  <c r="Q653" i="66"/>
  <c r="Q654" i="66"/>
  <c r="Q655" i="66"/>
  <c r="Q656" i="66"/>
  <c r="Q657" i="66"/>
  <c r="Q658" i="66"/>
  <c r="Q659" i="66"/>
  <c r="Q660" i="66"/>
  <c r="Q661" i="66"/>
  <c r="Q662" i="66"/>
  <c r="Q663" i="66"/>
  <c r="Q664" i="66"/>
  <c r="Q665" i="66"/>
  <c r="Q666" i="66"/>
  <c r="Q667" i="66"/>
  <c r="Q668" i="66"/>
  <c r="Q669" i="66"/>
  <c r="Q670" i="66"/>
  <c r="Q671" i="66"/>
  <c r="Q672" i="66"/>
  <c r="Q673" i="66"/>
  <c r="Q674" i="66"/>
  <c r="Q675" i="66"/>
  <c r="Q676" i="66"/>
  <c r="Q677" i="66"/>
  <c r="Q678" i="66"/>
  <c r="Q679" i="66"/>
  <c r="Q680" i="66"/>
  <c r="Q681" i="66"/>
  <c r="Q682" i="66"/>
  <c r="Q683" i="66"/>
  <c r="Q684" i="66"/>
  <c r="Q685" i="66"/>
  <c r="Q686" i="66"/>
  <c r="Q687" i="66"/>
  <c r="Q688" i="66"/>
  <c r="Q689" i="66"/>
  <c r="Q690" i="66"/>
  <c r="Q691" i="66"/>
  <c r="Q692" i="66"/>
  <c r="Q693" i="66"/>
  <c r="Q694" i="66"/>
  <c r="Q695" i="66"/>
  <c r="Q696" i="66"/>
  <c r="Q697" i="66"/>
  <c r="Q698" i="66"/>
  <c r="Q699" i="66"/>
  <c r="Q700" i="66"/>
  <c r="Q701" i="66"/>
  <c r="Q702" i="66"/>
  <c r="Q703" i="66"/>
  <c r="Q704" i="66"/>
  <c r="Q705" i="66"/>
  <c r="Q706" i="66"/>
  <c r="Q707" i="66"/>
  <c r="Q708" i="66"/>
  <c r="Q709" i="66"/>
  <c r="Q710" i="66"/>
  <c r="Q711" i="66"/>
  <c r="Q712" i="66"/>
  <c r="Q713" i="66"/>
  <c r="Q714" i="66"/>
  <c r="Q715" i="66"/>
  <c r="Q716" i="66"/>
  <c r="Q717" i="66"/>
  <c r="Q718" i="66"/>
  <c r="Q719" i="66"/>
  <c r="Q720" i="66"/>
  <c r="Q721" i="66"/>
  <c r="Q722" i="66"/>
  <c r="Q723" i="66"/>
  <c r="Q724" i="66"/>
  <c r="Q725" i="66"/>
  <c r="Q726" i="66"/>
  <c r="Q727" i="66"/>
  <c r="Q728" i="66"/>
  <c r="Q729" i="66"/>
  <c r="Q730" i="66"/>
  <c r="Q731" i="66"/>
  <c r="Q732" i="66"/>
  <c r="Q733" i="66"/>
  <c r="Q734" i="66"/>
  <c r="Q735" i="66"/>
  <c r="Q736" i="66"/>
  <c r="Q737" i="66"/>
  <c r="Q738" i="66"/>
  <c r="Q739" i="66"/>
  <c r="Q740" i="66"/>
  <c r="Q741" i="66"/>
  <c r="Q742" i="66"/>
  <c r="Q743" i="66"/>
  <c r="Q744" i="66"/>
  <c r="Q745" i="66"/>
  <c r="Q746" i="66"/>
  <c r="Q747" i="66"/>
  <c r="Q748" i="66"/>
  <c r="Q749" i="66"/>
  <c r="Q750" i="66"/>
  <c r="Q751" i="66"/>
  <c r="Q752" i="66"/>
  <c r="Q753" i="66"/>
  <c r="Q754" i="66"/>
  <c r="Q755" i="66"/>
  <c r="Q756" i="66"/>
  <c r="Q757" i="66"/>
  <c r="Q758" i="66"/>
  <c r="Q759" i="66"/>
  <c r="Q760" i="66"/>
  <c r="Q761" i="66"/>
  <c r="Q762" i="66"/>
  <c r="Q763" i="66"/>
  <c r="Q764" i="66"/>
  <c r="Q765" i="66"/>
  <c r="Q766" i="66"/>
  <c r="Q767" i="66"/>
  <c r="Q768" i="66"/>
  <c r="Q769" i="66"/>
  <c r="Q770" i="66"/>
  <c r="Q771" i="66"/>
  <c r="Q772" i="66"/>
  <c r="Q773" i="66"/>
  <c r="Q774" i="66"/>
  <c r="Q775" i="66"/>
  <c r="Q776" i="66"/>
  <c r="Q777" i="66"/>
  <c r="Q778" i="66"/>
  <c r="Q779" i="66"/>
  <c r="Q780" i="66"/>
  <c r="Q781" i="66"/>
  <c r="Q782" i="66"/>
  <c r="Q783" i="66"/>
  <c r="Q784" i="66"/>
  <c r="Q785" i="66"/>
  <c r="Q786" i="66"/>
  <c r="Q787" i="66"/>
  <c r="Q788" i="66"/>
  <c r="Q789" i="66"/>
  <c r="Q790" i="66"/>
  <c r="Q791" i="66"/>
  <c r="Q792" i="66"/>
  <c r="Q793" i="66"/>
  <c r="Q794" i="66"/>
  <c r="Q795" i="66"/>
  <c r="Q796" i="66"/>
  <c r="Q797" i="66"/>
  <c r="Q798" i="66"/>
  <c r="Q799" i="66"/>
  <c r="Q800" i="66"/>
  <c r="Q801" i="66"/>
  <c r="Q802" i="66"/>
  <c r="Q803" i="66"/>
  <c r="Q804" i="66"/>
  <c r="Q805" i="66"/>
  <c r="Q806" i="66"/>
  <c r="Q807" i="66"/>
  <c r="Q808" i="66"/>
  <c r="Q809" i="66"/>
  <c r="Q810" i="66"/>
  <c r="Q811" i="66"/>
  <c r="Q812" i="66"/>
  <c r="Q813" i="66"/>
  <c r="Q814" i="66"/>
  <c r="Q815" i="66"/>
  <c r="Q20" i="66"/>
  <c r="C767" i="66"/>
  <c r="AA767" i="66" s="1"/>
  <c r="C768" i="66"/>
  <c r="AA768" i="66" s="1"/>
  <c r="L768" i="66"/>
  <c r="C769" i="66"/>
  <c r="AA769" i="66" s="1"/>
  <c r="AB769" i="66" s="1"/>
  <c r="C770" i="66"/>
  <c r="AA770" i="66" s="1"/>
  <c r="AB770" i="66" s="1"/>
  <c r="C771" i="66"/>
  <c r="AA771" i="66" s="1"/>
  <c r="AB771" i="66" s="1"/>
  <c r="C772" i="66"/>
  <c r="AA772" i="66" s="1"/>
  <c r="AB772" i="66" s="1"/>
  <c r="L772" i="66"/>
  <c r="C773" i="66"/>
  <c r="AA773" i="66" s="1"/>
  <c r="AB773" i="66" s="1"/>
  <c r="C774" i="66"/>
  <c r="AA774" i="66" s="1"/>
  <c r="AB774" i="66" s="1"/>
  <c r="C775" i="66"/>
  <c r="AA775" i="66" s="1"/>
  <c r="AB775" i="66" s="1"/>
  <c r="C776" i="66"/>
  <c r="AA776" i="66" s="1"/>
  <c r="AB776" i="66" s="1"/>
  <c r="C777" i="66"/>
  <c r="AA777" i="66" s="1"/>
  <c r="AB777" i="66" s="1"/>
  <c r="C778" i="66"/>
  <c r="AA778" i="66" s="1"/>
  <c r="AB778" i="66" s="1"/>
  <c r="C779" i="66"/>
  <c r="AA779" i="66" s="1"/>
  <c r="AB779" i="66" s="1"/>
  <c r="C780" i="66"/>
  <c r="AA780" i="66" s="1"/>
  <c r="AB780" i="66" s="1"/>
  <c r="L780" i="66"/>
  <c r="C781" i="66"/>
  <c r="AA781" i="66" s="1"/>
  <c r="AB781" i="66" s="1"/>
  <c r="C782" i="66"/>
  <c r="AA782" i="66" s="1"/>
  <c r="AB782" i="66" s="1"/>
  <c r="C783" i="66"/>
  <c r="AA783" i="66" s="1"/>
  <c r="AB783" i="66" s="1"/>
  <c r="C784" i="66"/>
  <c r="AA784" i="66" s="1"/>
  <c r="AB784" i="66" s="1"/>
  <c r="L784" i="66"/>
  <c r="C785" i="66"/>
  <c r="AA785" i="66" s="1"/>
  <c r="AB785" i="66" s="1"/>
  <c r="C786" i="66"/>
  <c r="AA786" i="66" s="1"/>
  <c r="AB786" i="66" s="1"/>
  <c r="C787" i="66"/>
  <c r="AA787" i="66" s="1"/>
  <c r="AB787" i="66" s="1"/>
  <c r="C788" i="66"/>
  <c r="AA788" i="66" s="1"/>
  <c r="AB788" i="66" s="1"/>
  <c r="L788" i="66"/>
  <c r="C789" i="66"/>
  <c r="AA789" i="66" s="1"/>
  <c r="AB789" i="66" s="1"/>
  <c r="C790" i="66"/>
  <c r="AA790" i="66" s="1"/>
  <c r="AB790" i="66" s="1"/>
  <c r="C791" i="66"/>
  <c r="AA791" i="66" s="1"/>
  <c r="AB791" i="66" s="1"/>
  <c r="C792" i="66"/>
  <c r="AA792" i="66" s="1"/>
  <c r="AB792" i="66" s="1"/>
  <c r="C793" i="66"/>
  <c r="AA793" i="66" s="1"/>
  <c r="AB793" i="66" s="1"/>
  <c r="C794" i="66"/>
  <c r="AA794" i="66" s="1"/>
  <c r="AB794" i="66" s="1"/>
  <c r="C795" i="66"/>
  <c r="AA795" i="66" s="1"/>
  <c r="AB795" i="66" s="1"/>
  <c r="C796" i="66"/>
  <c r="AA796" i="66" s="1"/>
  <c r="AB796" i="66" s="1"/>
  <c r="L796" i="66"/>
  <c r="O796" i="66"/>
  <c r="C797" i="66"/>
  <c r="AA797" i="66" s="1"/>
  <c r="AB797" i="66" s="1"/>
  <c r="C798" i="66"/>
  <c r="AA798" i="66" s="1"/>
  <c r="AB798" i="66" s="1"/>
  <c r="C799" i="66"/>
  <c r="AA799" i="66" s="1"/>
  <c r="AB799" i="66" s="1"/>
  <c r="C800" i="66"/>
  <c r="AA800" i="66" s="1"/>
  <c r="AB800" i="66" s="1"/>
  <c r="L800" i="66"/>
  <c r="O800" i="66"/>
  <c r="C801" i="66"/>
  <c r="AA801" i="66" s="1"/>
  <c r="AB801" i="66" s="1"/>
  <c r="J801" i="66"/>
  <c r="L801" i="66" s="1"/>
  <c r="M801" i="66"/>
  <c r="O801" i="66" s="1"/>
  <c r="C802" i="66"/>
  <c r="AA802" i="66" s="1"/>
  <c r="AB802" i="66" s="1"/>
  <c r="J802" i="66"/>
  <c r="L802" i="66" s="1"/>
  <c r="M802" i="66"/>
  <c r="O802" i="66" s="1"/>
  <c r="C803" i="66"/>
  <c r="AA803" i="66" s="1"/>
  <c r="AB803" i="66" s="1"/>
  <c r="J803" i="66"/>
  <c r="L803" i="66" s="1"/>
  <c r="M803" i="66"/>
  <c r="O803" i="66" s="1"/>
  <c r="C804" i="66"/>
  <c r="AA804" i="66" s="1"/>
  <c r="AB804" i="66" s="1"/>
  <c r="J804" i="66"/>
  <c r="L804" i="66" s="1"/>
  <c r="M804" i="66"/>
  <c r="O804" i="66" s="1"/>
  <c r="C805" i="66"/>
  <c r="AA805" i="66" s="1"/>
  <c r="AB805" i="66" s="1"/>
  <c r="J805" i="66"/>
  <c r="L805" i="66" s="1"/>
  <c r="M805" i="66"/>
  <c r="O805" i="66" s="1"/>
  <c r="C806" i="66"/>
  <c r="AA806" i="66" s="1"/>
  <c r="AB806" i="66" s="1"/>
  <c r="J806" i="66"/>
  <c r="L806" i="66" s="1"/>
  <c r="M806" i="66"/>
  <c r="O806" i="66" s="1"/>
  <c r="C807" i="66"/>
  <c r="AA807" i="66" s="1"/>
  <c r="AB807" i="66" s="1"/>
  <c r="J807" i="66"/>
  <c r="L807" i="66" s="1"/>
  <c r="M807" i="66"/>
  <c r="O807" i="66" s="1"/>
  <c r="C808" i="66"/>
  <c r="AA808" i="66" s="1"/>
  <c r="AB808" i="66" s="1"/>
  <c r="J808" i="66"/>
  <c r="L808" i="66" s="1"/>
  <c r="M808" i="66"/>
  <c r="O808" i="66" s="1"/>
  <c r="C809" i="66"/>
  <c r="AA809" i="66" s="1"/>
  <c r="AB809" i="66" s="1"/>
  <c r="J809" i="66"/>
  <c r="L809" i="66" s="1"/>
  <c r="M809" i="66"/>
  <c r="O809" i="66" s="1"/>
  <c r="C810" i="66"/>
  <c r="AA810" i="66" s="1"/>
  <c r="AB810" i="66" s="1"/>
  <c r="J810" i="66"/>
  <c r="L810" i="66" s="1"/>
  <c r="M810" i="66"/>
  <c r="O810" i="66" s="1"/>
  <c r="C811" i="66"/>
  <c r="AA811" i="66" s="1"/>
  <c r="AB811" i="66" s="1"/>
  <c r="J811" i="66"/>
  <c r="L811" i="66" s="1"/>
  <c r="M811" i="66"/>
  <c r="O811" i="66" s="1"/>
  <c r="C812" i="66"/>
  <c r="AA812" i="66" s="1"/>
  <c r="AB812" i="66" s="1"/>
  <c r="J812" i="66"/>
  <c r="L812" i="66" s="1"/>
  <c r="M812" i="66"/>
  <c r="O812" i="66" s="1"/>
  <c r="C813" i="66"/>
  <c r="AA813" i="66" s="1"/>
  <c r="AB813" i="66" s="1"/>
  <c r="J813" i="66"/>
  <c r="L813" i="66" s="1"/>
  <c r="M813" i="66"/>
  <c r="O813" i="66" s="1"/>
  <c r="C814" i="66"/>
  <c r="AA814" i="66" s="1"/>
  <c r="AB814" i="66" s="1"/>
  <c r="J814" i="66"/>
  <c r="L814" i="66" s="1"/>
  <c r="M814" i="66"/>
  <c r="O814" i="66" s="1"/>
  <c r="C815" i="66"/>
  <c r="AA815" i="66" s="1"/>
  <c r="AB815" i="66" s="1"/>
  <c r="J815" i="66"/>
  <c r="L815" i="66" s="1"/>
  <c r="M815" i="66"/>
  <c r="O815" i="66" s="1"/>
  <c r="P20" i="66"/>
  <c r="S20" i="66" s="1"/>
  <c r="V211" i="51"/>
  <c r="V165" i="51"/>
  <c r="V157" i="51"/>
  <c r="V83" i="51"/>
  <c r="AE27" i="66" l="1"/>
  <c r="AL14" i="66"/>
  <c r="Z14" i="66"/>
  <c r="N13" i="66"/>
  <c r="N12" i="66" s="1"/>
  <c r="K13" i="66"/>
  <c r="K12" i="66" s="1"/>
  <c r="V7" i="66"/>
  <c r="U7" i="66"/>
  <c r="U6" i="66"/>
  <c r="V6" i="66" s="1"/>
  <c r="AH21" i="66"/>
  <c r="AH27" i="66" s="1"/>
  <c r="T14" i="66"/>
  <c r="AH20" i="66" s="1"/>
  <c r="AH23" i="66" s="1"/>
  <c r="O766" i="66"/>
  <c r="L766" i="66"/>
  <c r="C766" i="66"/>
  <c r="AA766" i="66" s="1"/>
  <c r="O765" i="66"/>
  <c r="L765" i="66"/>
  <c r="C765" i="66"/>
  <c r="AA765" i="66" s="1"/>
  <c r="O764" i="66"/>
  <c r="L764" i="66"/>
  <c r="C764" i="66"/>
  <c r="AA764" i="66" s="1"/>
  <c r="O763" i="66"/>
  <c r="L763" i="66"/>
  <c r="C763" i="66"/>
  <c r="AA763" i="66" s="1"/>
  <c r="O762" i="66"/>
  <c r="L762" i="66"/>
  <c r="C762" i="66"/>
  <c r="AA762" i="66" s="1"/>
  <c r="O761" i="66"/>
  <c r="L761" i="66"/>
  <c r="C761" i="66"/>
  <c r="AA761" i="66" s="1"/>
  <c r="O760" i="66"/>
  <c r="L760" i="66"/>
  <c r="C760" i="66"/>
  <c r="AA760" i="66" s="1"/>
  <c r="O759" i="66"/>
  <c r="L759" i="66"/>
  <c r="C759" i="66"/>
  <c r="AA759" i="66" s="1"/>
  <c r="O758" i="66"/>
  <c r="L758" i="66"/>
  <c r="C758" i="66"/>
  <c r="AA758" i="66" s="1"/>
  <c r="O757" i="66"/>
  <c r="L757" i="66"/>
  <c r="C757" i="66"/>
  <c r="AA757" i="66" s="1"/>
  <c r="O756" i="66"/>
  <c r="L756" i="66"/>
  <c r="C756" i="66"/>
  <c r="AA756" i="66" s="1"/>
  <c r="O755" i="66"/>
  <c r="L755" i="66"/>
  <c r="C755" i="66"/>
  <c r="AA755" i="66" s="1"/>
  <c r="O754" i="66"/>
  <c r="L754" i="66"/>
  <c r="C754" i="66"/>
  <c r="AA754" i="66" s="1"/>
  <c r="O753" i="66"/>
  <c r="L753" i="66"/>
  <c r="C753" i="66"/>
  <c r="AA753" i="66" s="1"/>
  <c r="O752" i="66"/>
  <c r="L752" i="66"/>
  <c r="C752" i="66"/>
  <c r="AA752" i="66" s="1"/>
  <c r="O751" i="66"/>
  <c r="L751" i="66"/>
  <c r="C751" i="66"/>
  <c r="AA751" i="66" s="1"/>
  <c r="O750" i="66"/>
  <c r="L750" i="66"/>
  <c r="C750" i="66"/>
  <c r="AA750" i="66" s="1"/>
  <c r="O749" i="66"/>
  <c r="L749" i="66"/>
  <c r="C749" i="66"/>
  <c r="AA749" i="66" s="1"/>
  <c r="O748" i="66"/>
  <c r="L748" i="66"/>
  <c r="C748" i="66"/>
  <c r="AA748" i="66" s="1"/>
  <c r="O747" i="66"/>
  <c r="L747" i="66"/>
  <c r="C747" i="66"/>
  <c r="AA747" i="66" s="1"/>
  <c r="O746" i="66"/>
  <c r="L746" i="66"/>
  <c r="C746" i="66"/>
  <c r="AA746" i="66" s="1"/>
  <c r="O745" i="66"/>
  <c r="L745" i="66"/>
  <c r="C745" i="66"/>
  <c r="AA745" i="66" s="1"/>
  <c r="O744" i="66"/>
  <c r="L744" i="66"/>
  <c r="C744" i="66"/>
  <c r="AA744" i="66" s="1"/>
  <c r="O743" i="66"/>
  <c r="L743" i="66"/>
  <c r="C743" i="66"/>
  <c r="AA743" i="66" s="1"/>
  <c r="O742" i="66"/>
  <c r="L742" i="66"/>
  <c r="C742" i="66"/>
  <c r="AA742" i="66" s="1"/>
  <c r="O741" i="66"/>
  <c r="L741" i="66"/>
  <c r="C741" i="66"/>
  <c r="AA741" i="66" s="1"/>
  <c r="O740" i="66"/>
  <c r="L740" i="66"/>
  <c r="C740" i="66"/>
  <c r="AA740" i="66" s="1"/>
  <c r="O739" i="66"/>
  <c r="L739" i="66"/>
  <c r="C739" i="66"/>
  <c r="AA739" i="66" s="1"/>
  <c r="O738" i="66"/>
  <c r="L738" i="66"/>
  <c r="C738" i="66"/>
  <c r="AA738" i="66" s="1"/>
  <c r="O737" i="66"/>
  <c r="L737" i="66"/>
  <c r="C737" i="66"/>
  <c r="AA737" i="66" s="1"/>
  <c r="O736" i="66"/>
  <c r="L736" i="66"/>
  <c r="C736" i="66"/>
  <c r="AA736" i="66" s="1"/>
  <c r="O735" i="66"/>
  <c r="L735" i="66"/>
  <c r="C735" i="66"/>
  <c r="AA735" i="66" s="1"/>
  <c r="O734" i="66"/>
  <c r="L734" i="66"/>
  <c r="C734" i="66"/>
  <c r="AA734" i="66" s="1"/>
  <c r="O733" i="66"/>
  <c r="L733" i="66"/>
  <c r="C733" i="66"/>
  <c r="AA733" i="66" s="1"/>
  <c r="O732" i="66"/>
  <c r="L732" i="66"/>
  <c r="C732" i="66"/>
  <c r="AA732" i="66" s="1"/>
  <c r="O731" i="66"/>
  <c r="L731" i="66"/>
  <c r="C731" i="66"/>
  <c r="AA731" i="66" s="1"/>
  <c r="O730" i="66"/>
  <c r="L730" i="66"/>
  <c r="C730" i="66"/>
  <c r="AA730" i="66" s="1"/>
  <c r="O729" i="66"/>
  <c r="L729" i="66"/>
  <c r="C729" i="66"/>
  <c r="AA729" i="66" s="1"/>
  <c r="O728" i="66"/>
  <c r="L728" i="66"/>
  <c r="C728" i="66"/>
  <c r="AA728" i="66" s="1"/>
  <c r="O727" i="66"/>
  <c r="L727" i="66"/>
  <c r="C727" i="66"/>
  <c r="AA727" i="66" s="1"/>
  <c r="O726" i="66"/>
  <c r="L726" i="66"/>
  <c r="C726" i="66"/>
  <c r="AA726" i="66" s="1"/>
  <c r="O725" i="66"/>
  <c r="L725" i="66"/>
  <c r="C725" i="66"/>
  <c r="AA725" i="66" s="1"/>
  <c r="O724" i="66"/>
  <c r="L724" i="66"/>
  <c r="C724" i="66"/>
  <c r="AA724" i="66" s="1"/>
  <c r="O723" i="66"/>
  <c r="L723" i="66"/>
  <c r="C723" i="66"/>
  <c r="AA723" i="66" s="1"/>
  <c r="O722" i="66"/>
  <c r="L722" i="66"/>
  <c r="C722" i="66"/>
  <c r="AA722" i="66" s="1"/>
  <c r="O721" i="66"/>
  <c r="L721" i="66"/>
  <c r="C721" i="66"/>
  <c r="AA721" i="66" s="1"/>
  <c r="O720" i="66"/>
  <c r="L720" i="66"/>
  <c r="C720" i="66"/>
  <c r="AA720" i="66" s="1"/>
  <c r="O719" i="66"/>
  <c r="L719" i="66"/>
  <c r="C719" i="66"/>
  <c r="AA719" i="66" s="1"/>
  <c r="O718" i="66"/>
  <c r="L718" i="66"/>
  <c r="C718" i="66"/>
  <c r="AA718" i="66" s="1"/>
  <c r="O717" i="66"/>
  <c r="L717" i="66"/>
  <c r="C717" i="66"/>
  <c r="AA717" i="66" s="1"/>
  <c r="O716" i="66"/>
  <c r="L716" i="66"/>
  <c r="C716" i="66"/>
  <c r="AA716" i="66" s="1"/>
  <c r="O715" i="66"/>
  <c r="L715" i="66"/>
  <c r="C715" i="66"/>
  <c r="AA715" i="66" s="1"/>
  <c r="O714" i="66"/>
  <c r="L714" i="66"/>
  <c r="C714" i="66"/>
  <c r="AA714" i="66" s="1"/>
  <c r="O713" i="66"/>
  <c r="L713" i="66"/>
  <c r="C713" i="66"/>
  <c r="AA713" i="66" s="1"/>
  <c r="O712" i="66"/>
  <c r="L712" i="66"/>
  <c r="C712" i="66"/>
  <c r="AA712" i="66" s="1"/>
  <c r="O711" i="66"/>
  <c r="L711" i="66"/>
  <c r="C711" i="66"/>
  <c r="AA711" i="66" s="1"/>
  <c r="O710" i="66"/>
  <c r="L710" i="66"/>
  <c r="C710" i="66"/>
  <c r="AA710" i="66" s="1"/>
  <c r="O709" i="66"/>
  <c r="L709" i="66"/>
  <c r="C709" i="66"/>
  <c r="AA709" i="66" s="1"/>
  <c r="O708" i="66"/>
  <c r="L708" i="66"/>
  <c r="C708" i="66"/>
  <c r="AA708" i="66" s="1"/>
  <c r="O707" i="66"/>
  <c r="L707" i="66"/>
  <c r="C707" i="66"/>
  <c r="AA707" i="66" s="1"/>
  <c r="O706" i="66"/>
  <c r="L706" i="66"/>
  <c r="C706" i="66"/>
  <c r="AA706" i="66" s="1"/>
  <c r="O705" i="66"/>
  <c r="L705" i="66"/>
  <c r="C705" i="66"/>
  <c r="AA705" i="66" s="1"/>
  <c r="O704" i="66"/>
  <c r="L704" i="66"/>
  <c r="C704" i="66"/>
  <c r="AA704" i="66" s="1"/>
  <c r="O703" i="66"/>
  <c r="L703" i="66"/>
  <c r="C703" i="66"/>
  <c r="AA703" i="66" s="1"/>
  <c r="O702" i="66"/>
  <c r="L702" i="66"/>
  <c r="C702" i="66"/>
  <c r="AA702" i="66" s="1"/>
  <c r="O701" i="66"/>
  <c r="L701" i="66"/>
  <c r="C701" i="66"/>
  <c r="AA701" i="66" s="1"/>
  <c r="O700" i="66"/>
  <c r="L700" i="66"/>
  <c r="C700" i="66"/>
  <c r="AA700" i="66" s="1"/>
  <c r="O699" i="66"/>
  <c r="L699" i="66"/>
  <c r="C699" i="66"/>
  <c r="AA699" i="66" s="1"/>
  <c r="O698" i="66"/>
  <c r="L698" i="66"/>
  <c r="C698" i="66"/>
  <c r="AA698" i="66" s="1"/>
  <c r="O697" i="66"/>
  <c r="L697" i="66"/>
  <c r="C697" i="66"/>
  <c r="AA697" i="66" s="1"/>
  <c r="O696" i="66"/>
  <c r="L696" i="66"/>
  <c r="C696" i="66"/>
  <c r="AA696" i="66" s="1"/>
  <c r="O695" i="66"/>
  <c r="L695" i="66"/>
  <c r="C695" i="66"/>
  <c r="AA695" i="66" s="1"/>
  <c r="O694" i="66"/>
  <c r="L694" i="66"/>
  <c r="C694" i="66"/>
  <c r="AA694" i="66" s="1"/>
  <c r="O693" i="66"/>
  <c r="L693" i="66"/>
  <c r="C693" i="66"/>
  <c r="AA693" i="66" s="1"/>
  <c r="O692" i="66"/>
  <c r="L692" i="66"/>
  <c r="C692" i="66"/>
  <c r="AA692" i="66" s="1"/>
  <c r="O691" i="66"/>
  <c r="L691" i="66"/>
  <c r="C691" i="66"/>
  <c r="AA691" i="66" s="1"/>
  <c r="O690" i="66"/>
  <c r="L690" i="66"/>
  <c r="C690" i="66"/>
  <c r="AA690" i="66" s="1"/>
  <c r="O689" i="66"/>
  <c r="L689" i="66"/>
  <c r="C689" i="66"/>
  <c r="AA689" i="66" s="1"/>
  <c r="O688" i="66"/>
  <c r="L688" i="66"/>
  <c r="C688" i="66"/>
  <c r="AA688" i="66" s="1"/>
  <c r="O687" i="66"/>
  <c r="L687" i="66"/>
  <c r="C687" i="66"/>
  <c r="AA687" i="66" s="1"/>
  <c r="O686" i="66"/>
  <c r="L686" i="66"/>
  <c r="C686" i="66"/>
  <c r="AA686" i="66" s="1"/>
  <c r="O685" i="66"/>
  <c r="L685" i="66"/>
  <c r="C685" i="66"/>
  <c r="AA685" i="66" s="1"/>
  <c r="O684" i="66"/>
  <c r="L684" i="66"/>
  <c r="C684" i="66"/>
  <c r="AA684" i="66" s="1"/>
  <c r="O683" i="66"/>
  <c r="L683" i="66"/>
  <c r="C683" i="66"/>
  <c r="AA683" i="66" s="1"/>
  <c r="O682" i="66"/>
  <c r="L682" i="66"/>
  <c r="C682" i="66"/>
  <c r="AA682" i="66" s="1"/>
  <c r="O681" i="66"/>
  <c r="L681" i="66"/>
  <c r="C681" i="66"/>
  <c r="AA681" i="66" s="1"/>
  <c r="O680" i="66"/>
  <c r="L680" i="66"/>
  <c r="C680" i="66"/>
  <c r="AA680" i="66" s="1"/>
  <c r="O679" i="66"/>
  <c r="L679" i="66"/>
  <c r="C679" i="66"/>
  <c r="AA679" i="66" s="1"/>
  <c r="O678" i="66"/>
  <c r="L678" i="66"/>
  <c r="C678" i="66"/>
  <c r="AA678" i="66" s="1"/>
  <c r="O677" i="66"/>
  <c r="L677" i="66"/>
  <c r="C677" i="66"/>
  <c r="AA677" i="66" s="1"/>
  <c r="O676" i="66"/>
  <c r="L676" i="66"/>
  <c r="C676" i="66"/>
  <c r="AA676" i="66" s="1"/>
  <c r="O675" i="66"/>
  <c r="L675" i="66"/>
  <c r="C675" i="66"/>
  <c r="AA675" i="66" s="1"/>
  <c r="O674" i="66"/>
  <c r="L674" i="66"/>
  <c r="C674" i="66"/>
  <c r="AA674" i="66" s="1"/>
  <c r="O673" i="66"/>
  <c r="L673" i="66"/>
  <c r="C673" i="66"/>
  <c r="AA673" i="66" s="1"/>
  <c r="O672" i="66"/>
  <c r="L672" i="66"/>
  <c r="C672" i="66"/>
  <c r="AA672" i="66" s="1"/>
  <c r="O671" i="66"/>
  <c r="L671" i="66"/>
  <c r="C671" i="66"/>
  <c r="AA671" i="66" s="1"/>
  <c r="O670" i="66"/>
  <c r="L670" i="66"/>
  <c r="C670" i="66"/>
  <c r="AA670" i="66" s="1"/>
  <c r="O669" i="66"/>
  <c r="L669" i="66"/>
  <c r="C669" i="66"/>
  <c r="AA669" i="66" s="1"/>
  <c r="O668" i="66"/>
  <c r="L668" i="66"/>
  <c r="C668" i="66"/>
  <c r="AA668" i="66" s="1"/>
  <c r="O667" i="66"/>
  <c r="L667" i="66"/>
  <c r="C667" i="66"/>
  <c r="AA667" i="66" s="1"/>
  <c r="O666" i="66"/>
  <c r="L666" i="66"/>
  <c r="C666" i="66"/>
  <c r="AA666" i="66" s="1"/>
  <c r="O665" i="66"/>
  <c r="L665" i="66"/>
  <c r="C665" i="66"/>
  <c r="AA665" i="66" s="1"/>
  <c r="O664" i="66"/>
  <c r="L664" i="66"/>
  <c r="C664" i="66"/>
  <c r="AA664" i="66" s="1"/>
  <c r="O663" i="66"/>
  <c r="L663" i="66"/>
  <c r="C663" i="66"/>
  <c r="AA663" i="66" s="1"/>
  <c r="O662" i="66"/>
  <c r="L662" i="66"/>
  <c r="C662" i="66"/>
  <c r="AA662" i="66" s="1"/>
  <c r="O661" i="66"/>
  <c r="L661" i="66"/>
  <c r="C661" i="66"/>
  <c r="AA661" i="66" s="1"/>
  <c r="O660" i="66"/>
  <c r="L660" i="66"/>
  <c r="C660" i="66"/>
  <c r="AA660" i="66" s="1"/>
  <c r="O659" i="66"/>
  <c r="L659" i="66"/>
  <c r="C659" i="66"/>
  <c r="AA659" i="66" s="1"/>
  <c r="O658" i="66"/>
  <c r="L658" i="66"/>
  <c r="C658" i="66"/>
  <c r="AA658" i="66" s="1"/>
  <c r="O657" i="66"/>
  <c r="L657" i="66"/>
  <c r="C657" i="66"/>
  <c r="AA657" i="66" s="1"/>
  <c r="O656" i="66"/>
  <c r="L656" i="66"/>
  <c r="C656" i="66"/>
  <c r="AA656" i="66" s="1"/>
  <c r="O655" i="66"/>
  <c r="L655" i="66"/>
  <c r="C655" i="66"/>
  <c r="AA655" i="66" s="1"/>
  <c r="O654" i="66"/>
  <c r="L654" i="66"/>
  <c r="C654" i="66"/>
  <c r="AA654" i="66" s="1"/>
  <c r="O653" i="66"/>
  <c r="L653" i="66"/>
  <c r="C653" i="66"/>
  <c r="AA653" i="66" s="1"/>
  <c r="O652" i="66"/>
  <c r="L652" i="66"/>
  <c r="C652" i="66"/>
  <c r="AA652" i="66" s="1"/>
  <c r="O651" i="66"/>
  <c r="L651" i="66"/>
  <c r="C651" i="66"/>
  <c r="AA651" i="66" s="1"/>
  <c r="O650" i="66"/>
  <c r="L650" i="66"/>
  <c r="C650" i="66"/>
  <c r="AA650" i="66" s="1"/>
  <c r="O649" i="66"/>
  <c r="L649" i="66"/>
  <c r="C649" i="66"/>
  <c r="AA649" i="66" s="1"/>
  <c r="O648" i="66"/>
  <c r="L648" i="66"/>
  <c r="C648" i="66"/>
  <c r="AA648" i="66" s="1"/>
  <c r="O647" i="66"/>
  <c r="L647" i="66"/>
  <c r="C647" i="66"/>
  <c r="AA647" i="66" s="1"/>
  <c r="O646" i="66"/>
  <c r="L646" i="66"/>
  <c r="C646" i="66"/>
  <c r="AA646" i="66" s="1"/>
  <c r="O645" i="66"/>
  <c r="L645" i="66"/>
  <c r="C645" i="66"/>
  <c r="AA645" i="66" s="1"/>
  <c r="O644" i="66"/>
  <c r="L644" i="66"/>
  <c r="C644" i="66"/>
  <c r="AA644" i="66" s="1"/>
  <c r="O643" i="66"/>
  <c r="L643" i="66"/>
  <c r="C643" i="66"/>
  <c r="AA643" i="66" s="1"/>
  <c r="O642" i="66"/>
  <c r="L642" i="66"/>
  <c r="C642" i="66"/>
  <c r="AA642" i="66" s="1"/>
  <c r="O641" i="66"/>
  <c r="L641" i="66"/>
  <c r="C641" i="66"/>
  <c r="AA641" i="66" s="1"/>
  <c r="O640" i="66"/>
  <c r="L640" i="66"/>
  <c r="C640" i="66"/>
  <c r="AA640" i="66" s="1"/>
  <c r="O639" i="66"/>
  <c r="L639" i="66"/>
  <c r="C639" i="66"/>
  <c r="AA639" i="66" s="1"/>
  <c r="O638" i="66"/>
  <c r="L638" i="66"/>
  <c r="C638" i="66"/>
  <c r="AA638" i="66" s="1"/>
  <c r="O637" i="66"/>
  <c r="L637" i="66"/>
  <c r="C637" i="66"/>
  <c r="AA637" i="66" s="1"/>
  <c r="O636" i="66"/>
  <c r="L636" i="66"/>
  <c r="C636" i="66"/>
  <c r="AA636" i="66" s="1"/>
  <c r="O635" i="66"/>
  <c r="L635" i="66"/>
  <c r="C635" i="66"/>
  <c r="AA635" i="66" s="1"/>
  <c r="O634" i="66"/>
  <c r="L634" i="66"/>
  <c r="C634" i="66"/>
  <c r="AA634" i="66" s="1"/>
  <c r="O633" i="66"/>
  <c r="L633" i="66"/>
  <c r="C633" i="66"/>
  <c r="AA633" i="66" s="1"/>
  <c r="O632" i="66"/>
  <c r="L632" i="66"/>
  <c r="C632" i="66"/>
  <c r="AA632" i="66" s="1"/>
  <c r="O631" i="66"/>
  <c r="L631" i="66"/>
  <c r="C631" i="66"/>
  <c r="AA631" i="66" s="1"/>
  <c r="O630" i="66"/>
  <c r="L630" i="66"/>
  <c r="C630" i="66"/>
  <c r="AA630" i="66" s="1"/>
  <c r="O629" i="66"/>
  <c r="L629" i="66"/>
  <c r="C629" i="66"/>
  <c r="AA629" i="66" s="1"/>
  <c r="O628" i="66"/>
  <c r="L628" i="66"/>
  <c r="C628" i="66"/>
  <c r="AA628" i="66" s="1"/>
  <c r="O627" i="66"/>
  <c r="L627" i="66"/>
  <c r="C627" i="66"/>
  <c r="AA627" i="66" s="1"/>
  <c r="O626" i="66"/>
  <c r="L626" i="66"/>
  <c r="C626" i="66"/>
  <c r="AA626" i="66" s="1"/>
  <c r="O625" i="66"/>
  <c r="L625" i="66"/>
  <c r="C625" i="66"/>
  <c r="AA625" i="66" s="1"/>
  <c r="O624" i="66"/>
  <c r="L624" i="66"/>
  <c r="C624" i="66"/>
  <c r="AA624" i="66" s="1"/>
  <c r="O623" i="66"/>
  <c r="L623" i="66"/>
  <c r="C623" i="66"/>
  <c r="AA623" i="66" s="1"/>
  <c r="O622" i="66"/>
  <c r="L622" i="66"/>
  <c r="C622" i="66"/>
  <c r="AA622" i="66" s="1"/>
  <c r="O621" i="66"/>
  <c r="L621" i="66"/>
  <c r="C621" i="66"/>
  <c r="AA621" i="66" s="1"/>
  <c r="O620" i="66"/>
  <c r="L620" i="66"/>
  <c r="C620" i="66"/>
  <c r="AA620" i="66" s="1"/>
  <c r="O619" i="66"/>
  <c r="L619" i="66"/>
  <c r="C619" i="66"/>
  <c r="AA619" i="66" s="1"/>
  <c r="O618" i="66"/>
  <c r="L618" i="66"/>
  <c r="C618" i="66"/>
  <c r="AA618" i="66" s="1"/>
  <c r="O617" i="66"/>
  <c r="L617" i="66"/>
  <c r="C617" i="66"/>
  <c r="AA617" i="66" s="1"/>
  <c r="O616" i="66"/>
  <c r="L616" i="66"/>
  <c r="C616" i="66"/>
  <c r="AA616" i="66" s="1"/>
  <c r="O615" i="66"/>
  <c r="L615" i="66"/>
  <c r="C615" i="66"/>
  <c r="AA615" i="66" s="1"/>
  <c r="O614" i="66"/>
  <c r="L614" i="66"/>
  <c r="C614" i="66"/>
  <c r="AA614" i="66" s="1"/>
  <c r="O613" i="66"/>
  <c r="L613" i="66"/>
  <c r="C613" i="66"/>
  <c r="AA613" i="66" s="1"/>
  <c r="O612" i="66"/>
  <c r="L612" i="66"/>
  <c r="C612" i="66"/>
  <c r="AA612" i="66" s="1"/>
  <c r="O611" i="66"/>
  <c r="L611" i="66"/>
  <c r="C611" i="66"/>
  <c r="AA611" i="66" s="1"/>
  <c r="O610" i="66"/>
  <c r="L610" i="66"/>
  <c r="C610" i="66"/>
  <c r="AA610" i="66" s="1"/>
  <c r="O609" i="66"/>
  <c r="L609" i="66"/>
  <c r="C609" i="66"/>
  <c r="AA609" i="66" s="1"/>
  <c r="O608" i="66"/>
  <c r="L608" i="66"/>
  <c r="C608" i="66"/>
  <c r="AA608" i="66" s="1"/>
  <c r="O607" i="66"/>
  <c r="L607" i="66"/>
  <c r="C607" i="66"/>
  <c r="AA607" i="66" s="1"/>
  <c r="O606" i="66"/>
  <c r="L606" i="66"/>
  <c r="C606" i="66"/>
  <c r="AA606" i="66" s="1"/>
  <c r="O605" i="66"/>
  <c r="L605" i="66"/>
  <c r="C605" i="66"/>
  <c r="AA605" i="66" s="1"/>
  <c r="O604" i="66"/>
  <c r="L604" i="66"/>
  <c r="C604" i="66"/>
  <c r="AA604" i="66" s="1"/>
  <c r="O603" i="66"/>
  <c r="L603" i="66"/>
  <c r="C603" i="66"/>
  <c r="AA603" i="66" s="1"/>
  <c r="O602" i="66"/>
  <c r="L602" i="66"/>
  <c r="C602" i="66"/>
  <c r="AA602" i="66" s="1"/>
  <c r="O601" i="66"/>
  <c r="L601" i="66"/>
  <c r="C601" i="66"/>
  <c r="AA601" i="66" s="1"/>
  <c r="O600" i="66"/>
  <c r="L600" i="66"/>
  <c r="C600" i="66"/>
  <c r="AA600" i="66" s="1"/>
  <c r="O599" i="66"/>
  <c r="L599" i="66"/>
  <c r="C599" i="66"/>
  <c r="AA599" i="66" s="1"/>
  <c r="O598" i="66"/>
  <c r="L598" i="66"/>
  <c r="C598" i="66"/>
  <c r="AA598" i="66" s="1"/>
  <c r="O597" i="66"/>
  <c r="L597" i="66"/>
  <c r="C597" i="66"/>
  <c r="AA597" i="66" s="1"/>
  <c r="O596" i="66"/>
  <c r="L596" i="66"/>
  <c r="C596" i="66"/>
  <c r="AA596" i="66" s="1"/>
  <c r="O595" i="66"/>
  <c r="L595" i="66"/>
  <c r="C595" i="66"/>
  <c r="AA595" i="66" s="1"/>
  <c r="O594" i="66"/>
  <c r="L594" i="66"/>
  <c r="C594" i="66"/>
  <c r="AA594" i="66" s="1"/>
  <c r="O593" i="66"/>
  <c r="L593" i="66"/>
  <c r="C593" i="66"/>
  <c r="AA593" i="66" s="1"/>
  <c r="O592" i="66"/>
  <c r="L592" i="66"/>
  <c r="C592" i="66"/>
  <c r="AA592" i="66" s="1"/>
  <c r="O591" i="66"/>
  <c r="L591" i="66"/>
  <c r="C591" i="66"/>
  <c r="AA591" i="66" s="1"/>
  <c r="O590" i="66"/>
  <c r="L590" i="66"/>
  <c r="C590" i="66"/>
  <c r="AA590" i="66" s="1"/>
  <c r="O589" i="66"/>
  <c r="L589" i="66"/>
  <c r="C589" i="66"/>
  <c r="AA589" i="66" s="1"/>
  <c r="O588" i="66"/>
  <c r="L588" i="66"/>
  <c r="C588" i="66"/>
  <c r="AA588" i="66" s="1"/>
  <c r="O587" i="66"/>
  <c r="L587" i="66"/>
  <c r="C587" i="66"/>
  <c r="AA587" i="66" s="1"/>
  <c r="O586" i="66"/>
  <c r="L586" i="66"/>
  <c r="C586" i="66"/>
  <c r="AA586" i="66" s="1"/>
  <c r="O585" i="66"/>
  <c r="L585" i="66"/>
  <c r="C585" i="66"/>
  <c r="AA585" i="66" s="1"/>
  <c r="O584" i="66"/>
  <c r="L584" i="66"/>
  <c r="C584" i="66"/>
  <c r="AA584" i="66" s="1"/>
  <c r="O583" i="66"/>
  <c r="L583" i="66"/>
  <c r="C583" i="66"/>
  <c r="AA583" i="66" s="1"/>
  <c r="O582" i="66"/>
  <c r="L582" i="66"/>
  <c r="C582" i="66"/>
  <c r="AA582" i="66" s="1"/>
  <c r="O581" i="66"/>
  <c r="L581" i="66"/>
  <c r="C581" i="66"/>
  <c r="AA581" i="66" s="1"/>
  <c r="O580" i="66"/>
  <c r="L580" i="66"/>
  <c r="C580" i="66"/>
  <c r="AA580" i="66" s="1"/>
  <c r="O579" i="66"/>
  <c r="L579" i="66"/>
  <c r="C579" i="66"/>
  <c r="AA579" i="66" s="1"/>
  <c r="O578" i="66"/>
  <c r="L578" i="66"/>
  <c r="C578" i="66"/>
  <c r="AA578" i="66" s="1"/>
  <c r="O577" i="66"/>
  <c r="L577" i="66"/>
  <c r="C577" i="66"/>
  <c r="AA577" i="66" s="1"/>
  <c r="O576" i="66"/>
  <c r="L576" i="66"/>
  <c r="C576" i="66"/>
  <c r="AA576" i="66" s="1"/>
  <c r="O575" i="66"/>
  <c r="L575" i="66"/>
  <c r="C575" i="66"/>
  <c r="AA575" i="66" s="1"/>
  <c r="O574" i="66"/>
  <c r="L574" i="66"/>
  <c r="C574" i="66"/>
  <c r="AA574" i="66" s="1"/>
  <c r="O573" i="66"/>
  <c r="L573" i="66"/>
  <c r="C573" i="66"/>
  <c r="AA573" i="66" s="1"/>
  <c r="O572" i="66"/>
  <c r="L572" i="66"/>
  <c r="C572" i="66"/>
  <c r="AA572" i="66" s="1"/>
  <c r="O571" i="66"/>
  <c r="L571" i="66"/>
  <c r="C571" i="66"/>
  <c r="AA571" i="66" s="1"/>
  <c r="O570" i="66"/>
  <c r="L570" i="66"/>
  <c r="C570" i="66"/>
  <c r="AA570" i="66" s="1"/>
  <c r="O569" i="66"/>
  <c r="L569" i="66"/>
  <c r="C569" i="66"/>
  <c r="AA569" i="66" s="1"/>
  <c r="O568" i="66"/>
  <c r="L568" i="66"/>
  <c r="C568" i="66"/>
  <c r="AA568" i="66" s="1"/>
  <c r="O567" i="66"/>
  <c r="L567" i="66"/>
  <c r="C567" i="66"/>
  <c r="AA567" i="66" s="1"/>
  <c r="O566" i="66"/>
  <c r="L566" i="66"/>
  <c r="C566" i="66"/>
  <c r="AA566" i="66" s="1"/>
  <c r="O565" i="66"/>
  <c r="L565" i="66"/>
  <c r="C565" i="66"/>
  <c r="AA565" i="66" s="1"/>
  <c r="O564" i="66"/>
  <c r="L564" i="66"/>
  <c r="C564" i="66"/>
  <c r="AA564" i="66" s="1"/>
  <c r="O563" i="66"/>
  <c r="L563" i="66"/>
  <c r="C563" i="66"/>
  <c r="AA563" i="66" s="1"/>
  <c r="O562" i="66"/>
  <c r="L562" i="66"/>
  <c r="C562" i="66"/>
  <c r="AA562" i="66" s="1"/>
  <c r="O561" i="66"/>
  <c r="L561" i="66"/>
  <c r="C561" i="66"/>
  <c r="AA561" i="66" s="1"/>
  <c r="O560" i="66"/>
  <c r="L560" i="66"/>
  <c r="C560" i="66"/>
  <c r="AA560" i="66" s="1"/>
  <c r="O559" i="66"/>
  <c r="L559" i="66"/>
  <c r="C559" i="66"/>
  <c r="AA559" i="66" s="1"/>
  <c r="O558" i="66"/>
  <c r="L558" i="66"/>
  <c r="C558" i="66"/>
  <c r="AA558" i="66" s="1"/>
  <c r="O557" i="66"/>
  <c r="L557" i="66"/>
  <c r="C557" i="66"/>
  <c r="AA557" i="66" s="1"/>
  <c r="O556" i="66"/>
  <c r="L556" i="66"/>
  <c r="C556" i="66"/>
  <c r="AA556" i="66" s="1"/>
  <c r="O555" i="66"/>
  <c r="L555" i="66"/>
  <c r="C555" i="66"/>
  <c r="AA555" i="66" s="1"/>
  <c r="O554" i="66"/>
  <c r="L554" i="66"/>
  <c r="C554" i="66"/>
  <c r="AA554" i="66" s="1"/>
  <c r="O553" i="66"/>
  <c r="L553" i="66"/>
  <c r="C553" i="66"/>
  <c r="AA553" i="66" s="1"/>
  <c r="O552" i="66"/>
  <c r="L552" i="66"/>
  <c r="C552" i="66"/>
  <c r="AA552" i="66" s="1"/>
  <c r="O551" i="66"/>
  <c r="L551" i="66"/>
  <c r="C551" i="66"/>
  <c r="AA551" i="66" s="1"/>
  <c r="O550" i="66"/>
  <c r="L550" i="66"/>
  <c r="C550" i="66"/>
  <c r="AA550" i="66" s="1"/>
  <c r="O549" i="66"/>
  <c r="L549" i="66"/>
  <c r="C549" i="66"/>
  <c r="AA549" i="66" s="1"/>
  <c r="O548" i="66"/>
  <c r="L548" i="66"/>
  <c r="C548" i="66"/>
  <c r="AA548" i="66" s="1"/>
  <c r="O547" i="66"/>
  <c r="L547" i="66"/>
  <c r="C547" i="66"/>
  <c r="AA547" i="66" s="1"/>
  <c r="O546" i="66"/>
  <c r="L546" i="66"/>
  <c r="C546" i="66"/>
  <c r="AA546" i="66" s="1"/>
  <c r="O545" i="66"/>
  <c r="L545" i="66"/>
  <c r="C545" i="66"/>
  <c r="AA545" i="66" s="1"/>
  <c r="O544" i="66"/>
  <c r="L544" i="66"/>
  <c r="C544" i="66"/>
  <c r="AA544" i="66" s="1"/>
  <c r="O543" i="66"/>
  <c r="L543" i="66"/>
  <c r="C543" i="66"/>
  <c r="AA543" i="66" s="1"/>
  <c r="O542" i="66"/>
  <c r="L542" i="66"/>
  <c r="C542" i="66"/>
  <c r="AA542" i="66" s="1"/>
  <c r="O541" i="66"/>
  <c r="L541" i="66"/>
  <c r="C541" i="66"/>
  <c r="AA541" i="66" s="1"/>
  <c r="O540" i="66"/>
  <c r="L540" i="66"/>
  <c r="C540" i="66"/>
  <c r="AA540" i="66" s="1"/>
  <c r="O539" i="66"/>
  <c r="L539" i="66"/>
  <c r="C539" i="66"/>
  <c r="AA539" i="66" s="1"/>
  <c r="O538" i="66"/>
  <c r="L538" i="66"/>
  <c r="C538" i="66"/>
  <c r="AA538" i="66" s="1"/>
  <c r="O537" i="66"/>
  <c r="L537" i="66"/>
  <c r="C537" i="66"/>
  <c r="AA537" i="66" s="1"/>
  <c r="O536" i="66"/>
  <c r="L536" i="66"/>
  <c r="C536" i="66"/>
  <c r="AA536" i="66" s="1"/>
  <c r="O535" i="66"/>
  <c r="L535" i="66"/>
  <c r="C535" i="66"/>
  <c r="AA535" i="66" s="1"/>
  <c r="O534" i="66"/>
  <c r="L534" i="66"/>
  <c r="C534" i="66"/>
  <c r="AA534" i="66" s="1"/>
  <c r="O533" i="66"/>
  <c r="L533" i="66"/>
  <c r="C533" i="66"/>
  <c r="AA533" i="66" s="1"/>
  <c r="O532" i="66"/>
  <c r="L532" i="66"/>
  <c r="C532" i="66"/>
  <c r="AA532" i="66" s="1"/>
  <c r="O531" i="66"/>
  <c r="L531" i="66"/>
  <c r="C531" i="66"/>
  <c r="AA531" i="66" s="1"/>
  <c r="O530" i="66"/>
  <c r="L530" i="66"/>
  <c r="C530" i="66"/>
  <c r="AA530" i="66" s="1"/>
  <c r="O529" i="66"/>
  <c r="L529" i="66"/>
  <c r="C529" i="66"/>
  <c r="AA529" i="66" s="1"/>
  <c r="O528" i="66"/>
  <c r="L528" i="66"/>
  <c r="C528" i="66"/>
  <c r="AA528" i="66" s="1"/>
  <c r="O527" i="66"/>
  <c r="L527" i="66"/>
  <c r="C527" i="66"/>
  <c r="AA527" i="66" s="1"/>
  <c r="O526" i="66"/>
  <c r="L526" i="66"/>
  <c r="C526" i="66"/>
  <c r="AA526" i="66" s="1"/>
  <c r="O525" i="66"/>
  <c r="L525" i="66"/>
  <c r="C525" i="66"/>
  <c r="AA525" i="66" s="1"/>
  <c r="O524" i="66"/>
  <c r="L524" i="66"/>
  <c r="C524" i="66"/>
  <c r="AA524" i="66" s="1"/>
  <c r="O523" i="66"/>
  <c r="L523" i="66"/>
  <c r="C523" i="66"/>
  <c r="AA523" i="66" s="1"/>
  <c r="O522" i="66"/>
  <c r="L522" i="66"/>
  <c r="C522" i="66"/>
  <c r="AA522" i="66" s="1"/>
  <c r="O521" i="66"/>
  <c r="L521" i="66"/>
  <c r="C521" i="66"/>
  <c r="AA521" i="66" s="1"/>
  <c r="O520" i="66"/>
  <c r="L520" i="66"/>
  <c r="C520" i="66"/>
  <c r="AA520" i="66" s="1"/>
  <c r="O519" i="66"/>
  <c r="L519" i="66"/>
  <c r="C519" i="66"/>
  <c r="AA519" i="66" s="1"/>
  <c r="O518" i="66"/>
  <c r="L518" i="66"/>
  <c r="C518" i="66"/>
  <c r="AA518" i="66" s="1"/>
  <c r="O517" i="66"/>
  <c r="L517" i="66"/>
  <c r="C517" i="66"/>
  <c r="AA517" i="66" s="1"/>
  <c r="O516" i="66"/>
  <c r="L516" i="66"/>
  <c r="C516" i="66"/>
  <c r="AA516" i="66" s="1"/>
  <c r="O515" i="66"/>
  <c r="L515" i="66"/>
  <c r="C515" i="66"/>
  <c r="AA515" i="66" s="1"/>
  <c r="O514" i="66"/>
  <c r="L514" i="66"/>
  <c r="C514" i="66"/>
  <c r="AA514" i="66" s="1"/>
  <c r="O513" i="66"/>
  <c r="L513" i="66"/>
  <c r="C513" i="66"/>
  <c r="AA513" i="66" s="1"/>
  <c r="O512" i="66"/>
  <c r="L512" i="66"/>
  <c r="C512" i="66"/>
  <c r="AA512" i="66" s="1"/>
  <c r="O511" i="66"/>
  <c r="L511" i="66"/>
  <c r="C511" i="66"/>
  <c r="AA511" i="66" s="1"/>
  <c r="O510" i="66"/>
  <c r="L510" i="66"/>
  <c r="C510" i="66"/>
  <c r="AA510" i="66" s="1"/>
  <c r="O509" i="66"/>
  <c r="L509" i="66"/>
  <c r="C509" i="66"/>
  <c r="AA509" i="66" s="1"/>
  <c r="O508" i="66"/>
  <c r="L508" i="66"/>
  <c r="C508" i="66"/>
  <c r="AA508" i="66" s="1"/>
  <c r="O507" i="66"/>
  <c r="L507" i="66"/>
  <c r="C507" i="66"/>
  <c r="AA507" i="66" s="1"/>
  <c r="O506" i="66"/>
  <c r="L506" i="66"/>
  <c r="C506" i="66"/>
  <c r="AA506" i="66" s="1"/>
  <c r="O505" i="66"/>
  <c r="L505" i="66"/>
  <c r="C505" i="66"/>
  <c r="AA505" i="66" s="1"/>
  <c r="O504" i="66"/>
  <c r="L504" i="66"/>
  <c r="C504" i="66"/>
  <c r="AA504" i="66" s="1"/>
  <c r="O503" i="66"/>
  <c r="L503" i="66"/>
  <c r="C503" i="66"/>
  <c r="AA503" i="66" s="1"/>
  <c r="O502" i="66"/>
  <c r="L502" i="66"/>
  <c r="C502" i="66"/>
  <c r="AA502" i="66" s="1"/>
  <c r="O501" i="66"/>
  <c r="L501" i="66"/>
  <c r="C501" i="66"/>
  <c r="AA501" i="66" s="1"/>
  <c r="O500" i="66"/>
  <c r="L500" i="66"/>
  <c r="C500" i="66"/>
  <c r="AA500" i="66" s="1"/>
  <c r="O499" i="66"/>
  <c r="L499" i="66"/>
  <c r="C499" i="66"/>
  <c r="AA499" i="66" s="1"/>
  <c r="O498" i="66"/>
  <c r="L498" i="66"/>
  <c r="C498" i="66"/>
  <c r="AA498" i="66" s="1"/>
  <c r="O497" i="66"/>
  <c r="L497" i="66"/>
  <c r="C497" i="66"/>
  <c r="AA497" i="66" s="1"/>
  <c r="O496" i="66"/>
  <c r="L496" i="66"/>
  <c r="C496" i="66"/>
  <c r="AA496" i="66" s="1"/>
  <c r="O495" i="66"/>
  <c r="L495" i="66"/>
  <c r="C495" i="66"/>
  <c r="AA495" i="66" s="1"/>
  <c r="O494" i="66"/>
  <c r="L494" i="66"/>
  <c r="C494" i="66"/>
  <c r="AA494" i="66" s="1"/>
  <c r="O493" i="66"/>
  <c r="L493" i="66"/>
  <c r="C493" i="66"/>
  <c r="AA493" i="66" s="1"/>
  <c r="O492" i="66"/>
  <c r="L492" i="66"/>
  <c r="C492" i="66"/>
  <c r="AA492" i="66" s="1"/>
  <c r="O491" i="66"/>
  <c r="L491" i="66"/>
  <c r="C491" i="66"/>
  <c r="AA491" i="66" s="1"/>
  <c r="O490" i="66"/>
  <c r="L490" i="66"/>
  <c r="C490" i="66"/>
  <c r="AA490" i="66" s="1"/>
  <c r="O489" i="66"/>
  <c r="L489" i="66"/>
  <c r="C489" i="66"/>
  <c r="AA489" i="66" s="1"/>
  <c r="O488" i="66"/>
  <c r="L488" i="66"/>
  <c r="C488" i="66"/>
  <c r="AA488" i="66" s="1"/>
  <c r="O487" i="66"/>
  <c r="L487" i="66"/>
  <c r="C487" i="66"/>
  <c r="AA487" i="66" s="1"/>
  <c r="O486" i="66"/>
  <c r="L486" i="66"/>
  <c r="C486" i="66"/>
  <c r="AA486" i="66" s="1"/>
  <c r="O485" i="66"/>
  <c r="L485" i="66"/>
  <c r="C485" i="66"/>
  <c r="AA485" i="66" s="1"/>
  <c r="O484" i="66"/>
  <c r="L484" i="66"/>
  <c r="C484" i="66"/>
  <c r="AA484" i="66" s="1"/>
  <c r="O483" i="66"/>
  <c r="L483" i="66"/>
  <c r="C483" i="66"/>
  <c r="AA483" i="66" s="1"/>
  <c r="O482" i="66"/>
  <c r="L482" i="66"/>
  <c r="C482" i="66"/>
  <c r="AA482" i="66" s="1"/>
  <c r="O481" i="66"/>
  <c r="L481" i="66"/>
  <c r="C481" i="66"/>
  <c r="AA481" i="66" s="1"/>
  <c r="O480" i="66"/>
  <c r="L480" i="66"/>
  <c r="C480" i="66"/>
  <c r="AA480" i="66" s="1"/>
  <c r="O479" i="66"/>
  <c r="L479" i="66"/>
  <c r="C479" i="66"/>
  <c r="AA479" i="66" s="1"/>
  <c r="O478" i="66"/>
  <c r="L478" i="66"/>
  <c r="C478" i="66"/>
  <c r="AA478" i="66" s="1"/>
  <c r="O477" i="66"/>
  <c r="L477" i="66"/>
  <c r="C477" i="66"/>
  <c r="AA477" i="66" s="1"/>
  <c r="O476" i="66"/>
  <c r="L476" i="66"/>
  <c r="C476" i="66"/>
  <c r="AA476" i="66" s="1"/>
  <c r="O475" i="66"/>
  <c r="L475" i="66"/>
  <c r="C475" i="66"/>
  <c r="AA475" i="66" s="1"/>
  <c r="O474" i="66"/>
  <c r="L474" i="66"/>
  <c r="C474" i="66"/>
  <c r="AA474" i="66" s="1"/>
  <c r="O473" i="66"/>
  <c r="L473" i="66"/>
  <c r="C473" i="66"/>
  <c r="AA473" i="66" s="1"/>
  <c r="O472" i="66"/>
  <c r="L472" i="66"/>
  <c r="C472" i="66"/>
  <c r="AA472" i="66" s="1"/>
  <c r="O471" i="66"/>
  <c r="L471" i="66"/>
  <c r="C471" i="66"/>
  <c r="AA471" i="66" s="1"/>
  <c r="O470" i="66"/>
  <c r="L470" i="66"/>
  <c r="C470" i="66"/>
  <c r="AA470" i="66" s="1"/>
  <c r="O469" i="66"/>
  <c r="L469" i="66"/>
  <c r="C469" i="66"/>
  <c r="AA469" i="66" s="1"/>
  <c r="O468" i="66"/>
  <c r="L468" i="66"/>
  <c r="C468" i="66"/>
  <c r="AA468" i="66" s="1"/>
  <c r="O467" i="66"/>
  <c r="L467" i="66"/>
  <c r="C467" i="66"/>
  <c r="AA467" i="66" s="1"/>
  <c r="O466" i="66"/>
  <c r="L466" i="66"/>
  <c r="C466" i="66"/>
  <c r="AA466" i="66" s="1"/>
  <c r="O465" i="66"/>
  <c r="L465" i="66"/>
  <c r="C465" i="66"/>
  <c r="AA465" i="66" s="1"/>
  <c r="O464" i="66"/>
  <c r="L464" i="66"/>
  <c r="C464" i="66"/>
  <c r="AA464" i="66" s="1"/>
  <c r="O463" i="66"/>
  <c r="L463" i="66"/>
  <c r="C463" i="66"/>
  <c r="AA463" i="66" s="1"/>
  <c r="O462" i="66"/>
  <c r="L462" i="66"/>
  <c r="C462" i="66"/>
  <c r="AA462" i="66" s="1"/>
  <c r="O461" i="66"/>
  <c r="L461" i="66"/>
  <c r="C461" i="66"/>
  <c r="AA461" i="66" s="1"/>
  <c r="O460" i="66"/>
  <c r="L460" i="66"/>
  <c r="C460" i="66"/>
  <c r="AA460" i="66" s="1"/>
  <c r="O459" i="66"/>
  <c r="L459" i="66"/>
  <c r="C459" i="66"/>
  <c r="AA459" i="66" s="1"/>
  <c r="O458" i="66"/>
  <c r="L458" i="66"/>
  <c r="C458" i="66"/>
  <c r="AA458" i="66" s="1"/>
  <c r="O457" i="66"/>
  <c r="L457" i="66"/>
  <c r="C457" i="66"/>
  <c r="AA457" i="66" s="1"/>
  <c r="O456" i="66"/>
  <c r="L456" i="66"/>
  <c r="C456" i="66"/>
  <c r="AA456" i="66" s="1"/>
  <c r="O455" i="66"/>
  <c r="L455" i="66"/>
  <c r="C455" i="66"/>
  <c r="AA455" i="66" s="1"/>
  <c r="O454" i="66"/>
  <c r="L454" i="66"/>
  <c r="C454" i="66"/>
  <c r="AA454" i="66" s="1"/>
  <c r="O453" i="66"/>
  <c r="L453" i="66"/>
  <c r="C453" i="66"/>
  <c r="AA453" i="66" s="1"/>
  <c r="O452" i="66"/>
  <c r="L452" i="66"/>
  <c r="C452" i="66"/>
  <c r="AA452" i="66" s="1"/>
  <c r="O451" i="66"/>
  <c r="L451" i="66"/>
  <c r="C451" i="66"/>
  <c r="AA451" i="66" s="1"/>
  <c r="O450" i="66"/>
  <c r="L450" i="66"/>
  <c r="C450" i="66"/>
  <c r="AA450" i="66" s="1"/>
  <c r="O449" i="66"/>
  <c r="L449" i="66"/>
  <c r="C449" i="66"/>
  <c r="AA449" i="66" s="1"/>
  <c r="O448" i="66"/>
  <c r="L448" i="66"/>
  <c r="C448" i="66"/>
  <c r="AA448" i="66" s="1"/>
  <c r="O447" i="66"/>
  <c r="L447" i="66"/>
  <c r="C447" i="66"/>
  <c r="AA447" i="66" s="1"/>
  <c r="O446" i="66"/>
  <c r="L446" i="66"/>
  <c r="C446" i="66"/>
  <c r="AA446" i="66" s="1"/>
  <c r="O445" i="66"/>
  <c r="L445" i="66"/>
  <c r="C445" i="66"/>
  <c r="AA445" i="66" s="1"/>
  <c r="O444" i="66"/>
  <c r="L444" i="66"/>
  <c r="C444" i="66"/>
  <c r="AA444" i="66" s="1"/>
  <c r="O443" i="66"/>
  <c r="L443" i="66"/>
  <c r="C443" i="66"/>
  <c r="AA443" i="66" s="1"/>
  <c r="O442" i="66"/>
  <c r="L442" i="66"/>
  <c r="C442" i="66"/>
  <c r="AA442" i="66" s="1"/>
  <c r="O441" i="66"/>
  <c r="L441" i="66"/>
  <c r="C441" i="66"/>
  <c r="AA441" i="66" s="1"/>
  <c r="O440" i="66"/>
  <c r="L440" i="66"/>
  <c r="C440" i="66"/>
  <c r="AA440" i="66" s="1"/>
  <c r="O439" i="66"/>
  <c r="L439" i="66"/>
  <c r="C439" i="66"/>
  <c r="AA439" i="66" s="1"/>
  <c r="O438" i="66"/>
  <c r="L438" i="66"/>
  <c r="C438" i="66"/>
  <c r="AA438" i="66" s="1"/>
  <c r="O437" i="66"/>
  <c r="L437" i="66"/>
  <c r="C437" i="66"/>
  <c r="AA437" i="66" s="1"/>
  <c r="O436" i="66"/>
  <c r="L436" i="66"/>
  <c r="C436" i="66"/>
  <c r="AA436" i="66" s="1"/>
  <c r="O435" i="66"/>
  <c r="L435" i="66"/>
  <c r="C435" i="66"/>
  <c r="AA435" i="66" s="1"/>
  <c r="O434" i="66"/>
  <c r="L434" i="66"/>
  <c r="C434" i="66"/>
  <c r="AA434" i="66" s="1"/>
  <c r="O433" i="66"/>
  <c r="L433" i="66"/>
  <c r="C433" i="66"/>
  <c r="AA433" i="66" s="1"/>
  <c r="O432" i="66"/>
  <c r="L432" i="66"/>
  <c r="C432" i="66"/>
  <c r="AA432" i="66" s="1"/>
  <c r="O431" i="66"/>
  <c r="L431" i="66"/>
  <c r="C431" i="66"/>
  <c r="AA431" i="66" s="1"/>
  <c r="O430" i="66"/>
  <c r="L430" i="66"/>
  <c r="C430" i="66"/>
  <c r="AA430" i="66" s="1"/>
  <c r="O429" i="66"/>
  <c r="L429" i="66"/>
  <c r="C429" i="66"/>
  <c r="AA429" i="66" s="1"/>
  <c r="O428" i="66"/>
  <c r="L428" i="66"/>
  <c r="C428" i="66"/>
  <c r="AA428" i="66" s="1"/>
  <c r="O427" i="66"/>
  <c r="L427" i="66"/>
  <c r="C427" i="66"/>
  <c r="AA427" i="66" s="1"/>
  <c r="O426" i="66"/>
  <c r="L426" i="66"/>
  <c r="C426" i="66"/>
  <c r="AA426" i="66" s="1"/>
  <c r="O425" i="66"/>
  <c r="L425" i="66"/>
  <c r="C425" i="66"/>
  <c r="AA425" i="66" s="1"/>
  <c r="O424" i="66"/>
  <c r="L424" i="66"/>
  <c r="C424" i="66"/>
  <c r="AA424" i="66" s="1"/>
  <c r="O423" i="66"/>
  <c r="L423" i="66"/>
  <c r="C423" i="66"/>
  <c r="AA423" i="66" s="1"/>
  <c r="O422" i="66"/>
  <c r="L422" i="66"/>
  <c r="C422" i="66"/>
  <c r="AA422" i="66" s="1"/>
  <c r="O421" i="66"/>
  <c r="L421" i="66"/>
  <c r="C421" i="66"/>
  <c r="AA421" i="66" s="1"/>
  <c r="O420" i="66"/>
  <c r="L420" i="66"/>
  <c r="C420" i="66"/>
  <c r="AA420" i="66" s="1"/>
  <c r="O419" i="66"/>
  <c r="L419" i="66"/>
  <c r="C419" i="66"/>
  <c r="AA419" i="66" s="1"/>
  <c r="O418" i="66"/>
  <c r="L418" i="66"/>
  <c r="C418" i="66"/>
  <c r="AA418" i="66" s="1"/>
  <c r="O417" i="66"/>
  <c r="L417" i="66"/>
  <c r="C417" i="66"/>
  <c r="AA417" i="66" s="1"/>
  <c r="O416" i="66"/>
  <c r="L416" i="66"/>
  <c r="C416" i="66"/>
  <c r="AA416" i="66" s="1"/>
  <c r="O415" i="66"/>
  <c r="L415" i="66"/>
  <c r="C415" i="66"/>
  <c r="AA415" i="66" s="1"/>
  <c r="O414" i="66"/>
  <c r="L414" i="66"/>
  <c r="C414" i="66"/>
  <c r="AA414" i="66" s="1"/>
  <c r="O413" i="66"/>
  <c r="L413" i="66"/>
  <c r="C413" i="66"/>
  <c r="AA413" i="66" s="1"/>
  <c r="O412" i="66"/>
  <c r="L412" i="66"/>
  <c r="C412" i="66"/>
  <c r="AA412" i="66" s="1"/>
  <c r="O411" i="66"/>
  <c r="L411" i="66"/>
  <c r="C411" i="66"/>
  <c r="AA411" i="66" s="1"/>
  <c r="O410" i="66"/>
  <c r="L410" i="66"/>
  <c r="C410" i="66"/>
  <c r="AA410" i="66" s="1"/>
  <c r="O409" i="66"/>
  <c r="L409" i="66"/>
  <c r="C409" i="66"/>
  <c r="AA409" i="66" s="1"/>
  <c r="O408" i="66"/>
  <c r="L408" i="66"/>
  <c r="C408" i="66"/>
  <c r="AA408" i="66" s="1"/>
  <c r="O407" i="66"/>
  <c r="L407" i="66"/>
  <c r="C407" i="66"/>
  <c r="AA407" i="66" s="1"/>
  <c r="O406" i="66"/>
  <c r="L406" i="66"/>
  <c r="C406" i="66"/>
  <c r="AA406" i="66" s="1"/>
  <c r="O405" i="66"/>
  <c r="L405" i="66"/>
  <c r="C405" i="66"/>
  <c r="AA405" i="66" s="1"/>
  <c r="O404" i="66"/>
  <c r="L404" i="66"/>
  <c r="C404" i="66"/>
  <c r="AA404" i="66" s="1"/>
  <c r="O403" i="66"/>
  <c r="L403" i="66"/>
  <c r="C403" i="66"/>
  <c r="AA403" i="66" s="1"/>
  <c r="O402" i="66"/>
  <c r="L402" i="66"/>
  <c r="C402" i="66"/>
  <c r="AA402" i="66" s="1"/>
  <c r="O401" i="66"/>
  <c r="L401" i="66"/>
  <c r="C401" i="66"/>
  <c r="AA401" i="66" s="1"/>
  <c r="O400" i="66"/>
  <c r="L400" i="66"/>
  <c r="C400" i="66"/>
  <c r="AA400" i="66" s="1"/>
  <c r="O399" i="66"/>
  <c r="L399" i="66"/>
  <c r="C399" i="66"/>
  <c r="AA399" i="66" s="1"/>
  <c r="O398" i="66"/>
  <c r="L398" i="66"/>
  <c r="C398" i="66"/>
  <c r="AA398" i="66" s="1"/>
  <c r="O397" i="66"/>
  <c r="L397" i="66"/>
  <c r="C397" i="66"/>
  <c r="AA397" i="66" s="1"/>
  <c r="O396" i="66"/>
  <c r="L396" i="66"/>
  <c r="C396" i="66"/>
  <c r="AA396" i="66" s="1"/>
  <c r="O395" i="66"/>
  <c r="L395" i="66"/>
  <c r="C395" i="66"/>
  <c r="AA395" i="66" s="1"/>
  <c r="O394" i="66"/>
  <c r="L394" i="66"/>
  <c r="C394" i="66"/>
  <c r="AA394" i="66" s="1"/>
  <c r="O393" i="66"/>
  <c r="L393" i="66"/>
  <c r="C393" i="66"/>
  <c r="AA393" i="66" s="1"/>
  <c r="O392" i="66"/>
  <c r="L392" i="66"/>
  <c r="C392" i="66"/>
  <c r="AA392" i="66" s="1"/>
  <c r="O391" i="66"/>
  <c r="L391" i="66"/>
  <c r="C391" i="66"/>
  <c r="AA391" i="66" s="1"/>
  <c r="O390" i="66"/>
  <c r="L390" i="66"/>
  <c r="C390" i="66"/>
  <c r="AA390" i="66" s="1"/>
  <c r="O389" i="66"/>
  <c r="L389" i="66"/>
  <c r="C389" i="66"/>
  <c r="AA389" i="66" s="1"/>
  <c r="O388" i="66"/>
  <c r="L388" i="66"/>
  <c r="C388" i="66"/>
  <c r="AA388" i="66" s="1"/>
  <c r="O387" i="66"/>
  <c r="L387" i="66"/>
  <c r="C387" i="66"/>
  <c r="AA387" i="66" s="1"/>
  <c r="O386" i="66"/>
  <c r="L386" i="66"/>
  <c r="C386" i="66"/>
  <c r="AA386" i="66" s="1"/>
  <c r="O385" i="66"/>
  <c r="L385" i="66"/>
  <c r="C385" i="66"/>
  <c r="AA385" i="66" s="1"/>
  <c r="O384" i="66"/>
  <c r="L384" i="66"/>
  <c r="C384" i="66"/>
  <c r="AA384" i="66" s="1"/>
  <c r="O383" i="66"/>
  <c r="L383" i="66"/>
  <c r="C383" i="66"/>
  <c r="AA383" i="66" s="1"/>
  <c r="O382" i="66"/>
  <c r="L382" i="66"/>
  <c r="C382" i="66"/>
  <c r="AA382" i="66" s="1"/>
  <c r="O381" i="66"/>
  <c r="L381" i="66"/>
  <c r="C381" i="66"/>
  <c r="AA381" i="66" s="1"/>
  <c r="O380" i="66"/>
  <c r="L380" i="66"/>
  <c r="C380" i="66"/>
  <c r="AA380" i="66" s="1"/>
  <c r="O379" i="66"/>
  <c r="L379" i="66"/>
  <c r="C379" i="66"/>
  <c r="AA379" i="66" s="1"/>
  <c r="O378" i="66"/>
  <c r="L378" i="66"/>
  <c r="C378" i="66"/>
  <c r="AA378" i="66" s="1"/>
  <c r="O377" i="66"/>
  <c r="L377" i="66"/>
  <c r="C377" i="66"/>
  <c r="AA377" i="66" s="1"/>
  <c r="O376" i="66"/>
  <c r="L376" i="66"/>
  <c r="C376" i="66"/>
  <c r="AA376" i="66" s="1"/>
  <c r="O375" i="66"/>
  <c r="L375" i="66"/>
  <c r="C375" i="66"/>
  <c r="AA375" i="66" s="1"/>
  <c r="O374" i="66"/>
  <c r="L374" i="66"/>
  <c r="C374" i="66"/>
  <c r="AA374" i="66" s="1"/>
  <c r="O373" i="66"/>
  <c r="L373" i="66"/>
  <c r="C373" i="66"/>
  <c r="AA373" i="66" s="1"/>
  <c r="O372" i="66"/>
  <c r="L372" i="66"/>
  <c r="C372" i="66"/>
  <c r="AA372" i="66" s="1"/>
  <c r="O371" i="66"/>
  <c r="L371" i="66"/>
  <c r="C371" i="66"/>
  <c r="AA371" i="66" s="1"/>
  <c r="O370" i="66"/>
  <c r="L370" i="66"/>
  <c r="C370" i="66"/>
  <c r="AA370" i="66" s="1"/>
  <c r="O369" i="66"/>
  <c r="L369" i="66"/>
  <c r="C369" i="66"/>
  <c r="AA369" i="66" s="1"/>
  <c r="O368" i="66"/>
  <c r="L368" i="66"/>
  <c r="C368" i="66"/>
  <c r="AA368" i="66" s="1"/>
  <c r="O367" i="66"/>
  <c r="L367" i="66"/>
  <c r="C367" i="66"/>
  <c r="AA367" i="66" s="1"/>
  <c r="O366" i="66"/>
  <c r="L366" i="66"/>
  <c r="C366" i="66"/>
  <c r="AA366" i="66" s="1"/>
  <c r="O365" i="66"/>
  <c r="L365" i="66"/>
  <c r="C365" i="66"/>
  <c r="AA365" i="66" s="1"/>
  <c r="O364" i="66"/>
  <c r="L364" i="66"/>
  <c r="C364" i="66"/>
  <c r="AA364" i="66" s="1"/>
  <c r="O363" i="66"/>
  <c r="L363" i="66"/>
  <c r="C363" i="66"/>
  <c r="AA363" i="66" s="1"/>
  <c r="O362" i="66"/>
  <c r="L362" i="66"/>
  <c r="C362" i="66"/>
  <c r="AA362" i="66" s="1"/>
  <c r="O361" i="66"/>
  <c r="L361" i="66"/>
  <c r="C361" i="66"/>
  <c r="AA361" i="66" s="1"/>
  <c r="O360" i="66"/>
  <c r="L360" i="66"/>
  <c r="C360" i="66"/>
  <c r="AA360" i="66" s="1"/>
  <c r="O359" i="66"/>
  <c r="L359" i="66"/>
  <c r="C359" i="66"/>
  <c r="AA359" i="66" s="1"/>
  <c r="O358" i="66"/>
  <c r="L358" i="66"/>
  <c r="C358" i="66"/>
  <c r="AA358" i="66" s="1"/>
  <c r="O357" i="66"/>
  <c r="L357" i="66"/>
  <c r="C357" i="66"/>
  <c r="AA357" i="66" s="1"/>
  <c r="O356" i="66"/>
  <c r="L356" i="66"/>
  <c r="C356" i="66"/>
  <c r="AA356" i="66" s="1"/>
  <c r="O355" i="66"/>
  <c r="L355" i="66"/>
  <c r="C355" i="66"/>
  <c r="AA355" i="66" s="1"/>
  <c r="O354" i="66"/>
  <c r="L354" i="66"/>
  <c r="C354" i="66"/>
  <c r="AA354" i="66" s="1"/>
  <c r="O353" i="66"/>
  <c r="L353" i="66"/>
  <c r="C353" i="66"/>
  <c r="AA353" i="66" s="1"/>
  <c r="O352" i="66"/>
  <c r="L352" i="66"/>
  <c r="C352" i="66"/>
  <c r="AA352" i="66" s="1"/>
  <c r="O351" i="66"/>
  <c r="L351" i="66"/>
  <c r="C351" i="66"/>
  <c r="AA351" i="66" s="1"/>
  <c r="O350" i="66"/>
  <c r="L350" i="66"/>
  <c r="C350" i="66"/>
  <c r="AA350" i="66" s="1"/>
  <c r="O349" i="66"/>
  <c r="L349" i="66"/>
  <c r="C349" i="66"/>
  <c r="AA349" i="66" s="1"/>
  <c r="O348" i="66"/>
  <c r="L348" i="66"/>
  <c r="C348" i="66"/>
  <c r="AA348" i="66" s="1"/>
  <c r="O347" i="66"/>
  <c r="L347" i="66"/>
  <c r="C347" i="66"/>
  <c r="AA347" i="66" s="1"/>
  <c r="O346" i="66"/>
  <c r="L346" i="66"/>
  <c r="C346" i="66"/>
  <c r="AA346" i="66" s="1"/>
  <c r="O345" i="66"/>
  <c r="L345" i="66"/>
  <c r="C345" i="66"/>
  <c r="AA345" i="66" s="1"/>
  <c r="O344" i="66"/>
  <c r="L344" i="66"/>
  <c r="C344" i="66"/>
  <c r="AA344" i="66" s="1"/>
  <c r="O343" i="66"/>
  <c r="L343" i="66"/>
  <c r="C343" i="66"/>
  <c r="AA343" i="66" s="1"/>
  <c r="O342" i="66"/>
  <c r="L342" i="66"/>
  <c r="C342" i="66"/>
  <c r="AA342" i="66" s="1"/>
  <c r="O341" i="66"/>
  <c r="L341" i="66"/>
  <c r="C341" i="66"/>
  <c r="AA341" i="66" s="1"/>
  <c r="O340" i="66"/>
  <c r="L340" i="66"/>
  <c r="C340" i="66"/>
  <c r="AA340" i="66" s="1"/>
  <c r="O339" i="66"/>
  <c r="L339" i="66"/>
  <c r="C339" i="66"/>
  <c r="AA339" i="66" s="1"/>
  <c r="O338" i="66"/>
  <c r="L338" i="66"/>
  <c r="C338" i="66"/>
  <c r="AA338" i="66" s="1"/>
  <c r="O337" i="66"/>
  <c r="L337" i="66"/>
  <c r="C337" i="66"/>
  <c r="AA337" i="66" s="1"/>
  <c r="O336" i="66"/>
  <c r="L336" i="66"/>
  <c r="C336" i="66"/>
  <c r="AA336" i="66" s="1"/>
  <c r="O335" i="66"/>
  <c r="L335" i="66"/>
  <c r="C335" i="66"/>
  <c r="AA335" i="66" s="1"/>
  <c r="O334" i="66"/>
  <c r="L334" i="66"/>
  <c r="C334" i="66"/>
  <c r="AA334" i="66" s="1"/>
  <c r="O333" i="66"/>
  <c r="L333" i="66"/>
  <c r="C333" i="66"/>
  <c r="AA333" i="66" s="1"/>
  <c r="O332" i="66"/>
  <c r="L332" i="66"/>
  <c r="C332" i="66"/>
  <c r="AA332" i="66" s="1"/>
  <c r="O331" i="66"/>
  <c r="L331" i="66"/>
  <c r="C331" i="66"/>
  <c r="AA331" i="66" s="1"/>
  <c r="O330" i="66"/>
  <c r="L330" i="66"/>
  <c r="C330" i="66"/>
  <c r="AA330" i="66" s="1"/>
  <c r="O329" i="66"/>
  <c r="L329" i="66"/>
  <c r="C329" i="66"/>
  <c r="AA329" i="66" s="1"/>
  <c r="O328" i="66"/>
  <c r="L328" i="66"/>
  <c r="C328" i="66"/>
  <c r="AA328" i="66" s="1"/>
  <c r="O327" i="66"/>
  <c r="L327" i="66"/>
  <c r="C327" i="66"/>
  <c r="AA327" i="66" s="1"/>
  <c r="O326" i="66"/>
  <c r="L326" i="66"/>
  <c r="C326" i="66"/>
  <c r="AA326" i="66" s="1"/>
  <c r="O325" i="66"/>
  <c r="L325" i="66"/>
  <c r="C325" i="66"/>
  <c r="AA325" i="66" s="1"/>
  <c r="O324" i="66"/>
  <c r="L324" i="66"/>
  <c r="C324" i="66"/>
  <c r="AA324" i="66" s="1"/>
  <c r="O323" i="66"/>
  <c r="L323" i="66"/>
  <c r="C323" i="66"/>
  <c r="AA323" i="66" s="1"/>
  <c r="O322" i="66"/>
  <c r="L322" i="66"/>
  <c r="C322" i="66"/>
  <c r="AA322" i="66" s="1"/>
  <c r="O321" i="66"/>
  <c r="L321" i="66"/>
  <c r="C321" i="66"/>
  <c r="AA321" i="66" s="1"/>
  <c r="O320" i="66"/>
  <c r="L320" i="66"/>
  <c r="C320" i="66"/>
  <c r="AA320" i="66" s="1"/>
  <c r="O319" i="66"/>
  <c r="L319" i="66"/>
  <c r="C319" i="66"/>
  <c r="AA319" i="66" s="1"/>
  <c r="O318" i="66"/>
  <c r="L318" i="66"/>
  <c r="C318" i="66"/>
  <c r="AA318" i="66" s="1"/>
  <c r="O317" i="66"/>
  <c r="L317" i="66"/>
  <c r="C317" i="66"/>
  <c r="AA317" i="66" s="1"/>
  <c r="O316" i="66"/>
  <c r="L316" i="66"/>
  <c r="C316" i="66"/>
  <c r="AA316" i="66" s="1"/>
  <c r="O315" i="66"/>
  <c r="L315" i="66"/>
  <c r="C315" i="66"/>
  <c r="AA315" i="66" s="1"/>
  <c r="O314" i="66"/>
  <c r="L314" i="66"/>
  <c r="C314" i="66"/>
  <c r="AA314" i="66" s="1"/>
  <c r="O313" i="66"/>
  <c r="L313" i="66"/>
  <c r="C313" i="66"/>
  <c r="AA313" i="66" s="1"/>
  <c r="O312" i="66"/>
  <c r="L312" i="66"/>
  <c r="C312" i="66"/>
  <c r="AA312" i="66" s="1"/>
  <c r="O311" i="66"/>
  <c r="L311" i="66"/>
  <c r="C311" i="66"/>
  <c r="AA311" i="66" s="1"/>
  <c r="O310" i="66"/>
  <c r="L310" i="66"/>
  <c r="C310" i="66"/>
  <c r="AA310" i="66" s="1"/>
  <c r="O309" i="66"/>
  <c r="L309" i="66"/>
  <c r="C309" i="66"/>
  <c r="AA309" i="66" s="1"/>
  <c r="O308" i="66"/>
  <c r="L308" i="66"/>
  <c r="C308" i="66"/>
  <c r="AA308" i="66" s="1"/>
  <c r="O307" i="66"/>
  <c r="L307" i="66"/>
  <c r="C307" i="66"/>
  <c r="AA307" i="66" s="1"/>
  <c r="O306" i="66"/>
  <c r="L306" i="66"/>
  <c r="C306" i="66"/>
  <c r="AA306" i="66" s="1"/>
  <c r="O305" i="66"/>
  <c r="L305" i="66"/>
  <c r="C305" i="66"/>
  <c r="AA305" i="66" s="1"/>
  <c r="O304" i="66"/>
  <c r="L304" i="66"/>
  <c r="C304" i="66"/>
  <c r="AA304" i="66" s="1"/>
  <c r="O303" i="66"/>
  <c r="L303" i="66"/>
  <c r="C303" i="66"/>
  <c r="AA303" i="66" s="1"/>
  <c r="O302" i="66"/>
  <c r="L302" i="66"/>
  <c r="C302" i="66"/>
  <c r="AA302" i="66" s="1"/>
  <c r="O301" i="66"/>
  <c r="L301" i="66"/>
  <c r="C301" i="66"/>
  <c r="AA301" i="66" s="1"/>
  <c r="O300" i="66"/>
  <c r="L300" i="66"/>
  <c r="C300" i="66"/>
  <c r="AA300" i="66" s="1"/>
  <c r="O299" i="66"/>
  <c r="L299" i="66"/>
  <c r="C299" i="66"/>
  <c r="AA299" i="66" s="1"/>
  <c r="O298" i="66"/>
  <c r="L298" i="66"/>
  <c r="C298" i="66"/>
  <c r="AA298" i="66" s="1"/>
  <c r="O297" i="66"/>
  <c r="L297" i="66"/>
  <c r="C297" i="66"/>
  <c r="AA297" i="66" s="1"/>
  <c r="O296" i="66"/>
  <c r="L296" i="66"/>
  <c r="C296" i="66"/>
  <c r="AA296" i="66" s="1"/>
  <c r="O295" i="66"/>
  <c r="L295" i="66"/>
  <c r="C295" i="66"/>
  <c r="AA295" i="66" s="1"/>
  <c r="O294" i="66"/>
  <c r="L294" i="66"/>
  <c r="C294" i="66"/>
  <c r="AA294" i="66" s="1"/>
  <c r="O293" i="66"/>
  <c r="L293" i="66"/>
  <c r="C293" i="66"/>
  <c r="AA293" i="66" s="1"/>
  <c r="O292" i="66"/>
  <c r="L292" i="66"/>
  <c r="C292" i="66"/>
  <c r="AA292" i="66" s="1"/>
  <c r="O291" i="66"/>
  <c r="L291" i="66"/>
  <c r="C291" i="66"/>
  <c r="AA291" i="66" s="1"/>
  <c r="O290" i="66"/>
  <c r="L290" i="66"/>
  <c r="C290" i="66"/>
  <c r="AA290" i="66" s="1"/>
  <c r="O289" i="66"/>
  <c r="L289" i="66"/>
  <c r="C289" i="66"/>
  <c r="AA289" i="66" s="1"/>
  <c r="O288" i="66"/>
  <c r="L288" i="66"/>
  <c r="C288" i="66"/>
  <c r="AA288" i="66" s="1"/>
  <c r="O287" i="66"/>
  <c r="L287" i="66"/>
  <c r="C287" i="66"/>
  <c r="AA287" i="66" s="1"/>
  <c r="O286" i="66"/>
  <c r="L286" i="66"/>
  <c r="C286" i="66"/>
  <c r="AA286" i="66" s="1"/>
  <c r="O285" i="66"/>
  <c r="L285" i="66"/>
  <c r="C285" i="66"/>
  <c r="AA285" i="66" s="1"/>
  <c r="O284" i="66"/>
  <c r="L284" i="66"/>
  <c r="C284" i="66"/>
  <c r="AA284" i="66" s="1"/>
  <c r="O283" i="66"/>
  <c r="L283" i="66"/>
  <c r="C283" i="66"/>
  <c r="AA283" i="66" s="1"/>
  <c r="O282" i="66"/>
  <c r="L282" i="66"/>
  <c r="C282" i="66"/>
  <c r="AA282" i="66" s="1"/>
  <c r="O281" i="66"/>
  <c r="L281" i="66"/>
  <c r="C281" i="66"/>
  <c r="AA281" i="66" s="1"/>
  <c r="O280" i="66"/>
  <c r="L280" i="66"/>
  <c r="C280" i="66"/>
  <c r="AA280" i="66" s="1"/>
  <c r="O279" i="66"/>
  <c r="L279" i="66"/>
  <c r="C279" i="66"/>
  <c r="AA279" i="66" s="1"/>
  <c r="O278" i="66"/>
  <c r="L278" i="66"/>
  <c r="C278" i="66"/>
  <c r="AA278" i="66" s="1"/>
  <c r="O277" i="66"/>
  <c r="L277" i="66"/>
  <c r="C277" i="66"/>
  <c r="AA277" i="66" s="1"/>
  <c r="O276" i="66"/>
  <c r="L276" i="66"/>
  <c r="C276" i="66"/>
  <c r="AA276" i="66" s="1"/>
  <c r="O275" i="66"/>
  <c r="L275" i="66"/>
  <c r="C275" i="66"/>
  <c r="AA275" i="66" s="1"/>
  <c r="O274" i="66"/>
  <c r="L274" i="66"/>
  <c r="C274" i="66"/>
  <c r="AA274" i="66" s="1"/>
  <c r="O273" i="66"/>
  <c r="L273" i="66"/>
  <c r="C273" i="66"/>
  <c r="AA273" i="66" s="1"/>
  <c r="O272" i="66"/>
  <c r="L272" i="66"/>
  <c r="C272" i="66"/>
  <c r="AA272" i="66" s="1"/>
  <c r="O271" i="66"/>
  <c r="L271" i="66"/>
  <c r="C271" i="66"/>
  <c r="AA271" i="66" s="1"/>
  <c r="O270" i="66"/>
  <c r="L270" i="66"/>
  <c r="C270" i="66"/>
  <c r="AA270" i="66" s="1"/>
  <c r="O269" i="66"/>
  <c r="L269" i="66"/>
  <c r="C269" i="66"/>
  <c r="AA269" i="66" s="1"/>
  <c r="O268" i="66"/>
  <c r="L268" i="66"/>
  <c r="C268" i="66"/>
  <c r="AA268" i="66" s="1"/>
  <c r="O267" i="66"/>
  <c r="L267" i="66"/>
  <c r="C267" i="66"/>
  <c r="AA267" i="66" s="1"/>
  <c r="O266" i="66"/>
  <c r="L266" i="66"/>
  <c r="C266" i="66"/>
  <c r="AA266" i="66" s="1"/>
  <c r="O265" i="66"/>
  <c r="L265" i="66"/>
  <c r="C265" i="66"/>
  <c r="AA265" i="66" s="1"/>
  <c r="O264" i="66"/>
  <c r="L264" i="66"/>
  <c r="C264" i="66"/>
  <c r="AA264" i="66" s="1"/>
  <c r="O263" i="66"/>
  <c r="L263" i="66"/>
  <c r="C263" i="66"/>
  <c r="AA263" i="66" s="1"/>
  <c r="O262" i="66"/>
  <c r="L262" i="66"/>
  <c r="C262" i="66"/>
  <c r="AA262" i="66" s="1"/>
  <c r="O261" i="66"/>
  <c r="L261" i="66"/>
  <c r="C261" i="66"/>
  <c r="AA261" i="66" s="1"/>
  <c r="O260" i="66"/>
  <c r="L260" i="66"/>
  <c r="C260" i="66"/>
  <c r="AA260" i="66" s="1"/>
  <c r="O259" i="66"/>
  <c r="L259" i="66"/>
  <c r="C259" i="66"/>
  <c r="AA259" i="66" s="1"/>
  <c r="O258" i="66"/>
  <c r="L258" i="66"/>
  <c r="C258" i="66"/>
  <c r="AA258" i="66" s="1"/>
  <c r="O257" i="66"/>
  <c r="L257" i="66"/>
  <c r="C257" i="66"/>
  <c r="AA257" i="66" s="1"/>
  <c r="O256" i="66"/>
  <c r="L256" i="66"/>
  <c r="C256" i="66"/>
  <c r="AA256" i="66" s="1"/>
  <c r="O255" i="66"/>
  <c r="L255" i="66"/>
  <c r="C255" i="66"/>
  <c r="AA255" i="66" s="1"/>
  <c r="O254" i="66"/>
  <c r="L254" i="66"/>
  <c r="C254" i="66"/>
  <c r="AA254" i="66" s="1"/>
  <c r="O253" i="66"/>
  <c r="L253" i="66"/>
  <c r="C253" i="66"/>
  <c r="AA253" i="66" s="1"/>
  <c r="O252" i="66"/>
  <c r="L252" i="66"/>
  <c r="C252" i="66"/>
  <c r="AA252" i="66" s="1"/>
  <c r="O251" i="66"/>
  <c r="L251" i="66"/>
  <c r="C251" i="66"/>
  <c r="AA251" i="66" s="1"/>
  <c r="O250" i="66"/>
  <c r="L250" i="66"/>
  <c r="C250" i="66"/>
  <c r="AA250" i="66" s="1"/>
  <c r="O249" i="66"/>
  <c r="L249" i="66"/>
  <c r="C249" i="66"/>
  <c r="AA249" i="66" s="1"/>
  <c r="O248" i="66"/>
  <c r="L248" i="66"/>
  <c r="C248" i="66"/>
  <c r="AA248" i="66" s="1"/>
  <c r="O247" i="66"/>
  <c r="L247" i="66"/>
  <c r="C247" i="66"/>
  <c r="AA247" i="66" s="1"/>
  <c r="O246" i="66"/>
  <c r="L246" i="66"/>
  <c r="C246" i="66"/>
  <c r="AA246" i="66" s="1"/>
  <c r="O245" i="66"/>
  <c r="L245" i="66"/>
  <c r="C245" i="66"/>
  <c r="AA245" i="66" s="1"/>
  <c r="O244" i="66"/>
  <c r="L244" i="66"/>
  <c r="C244" i="66"/>
  <c r="AA244" i="66" s="1"/>
  <c r="O243" i="66"/>
  <c r="L243" i="66"/>
  <c r="C243" i="66"/>
  <c r="AA243" i="66" s="1"/>
  <c r="O242" i="66"/>
  <c r="L242" i="66"/>
  <c r="C242" i="66"/>
  <c r="AA242" i="66" s="1"/>
  <c r="O241" i="66"/>
  <c r="L241" i="66"/>
  <c r="C241" i="66"/>
  <c r="AA241" i="66" s="1"/>
  <c r="O240" i="66"/>
  <c r="L240" i="66"/>
  <c r="C240" i="66"/>
  <c r="AA240" i="66" s="1"/>
  <c r="O239" i="66"/>
  <c r="L239" i="66"/>
  <c r="C239" i="66"/>
  <c r="AA239" i="66" s="1"/>
  <c r="O238" i="66"/>
  <c r="L238" i="66"/>
  <c r="C238" i="66"/>
  <c r="AA238" i="66" s="1"/>
  <c r="O237" i="66"/>
  <c r="L237" i="66"/>
  <c r="C237" i="66"/>
  <c r="AA237" i="66" s="1"/>
  <c r="O236" i="66"/>
  <c r="L236" i="66"/>
  <c r="C236" i="66"/>
  <c r="AA236" i="66" s="1"/>
  <c r="O235" i="66"/>
  <c r="L235" i="66"/>
  <c r="C235" i="66"/>
  <c r="AA235" i="66" s="1"/>
  <c r="O234" i="66"/>
  <c r="L234" i="66"/>
  <c r="C234" i="66"/>
  <c r="AA234" i="66" s="1"/>
  <c r="O233" i="66"/>
  <c r="L233" i="66"/>
  <c r="C233" i="66"/>
  <c r="AA233" i="66" s="1"/>
  <c r="O232" i="66"/>
  <c r="L232" i="66"/>
  <c r="C232" i="66"/>
  <c r="AA232" i="66" s="1"/>
  <c r="O231" i="66"/>
  <c r="L231" i="66"/>
  <c r="C231" i="66"/>
  <c r="AA231" i="66" s="1"/>
  <c r="O230" i="66"/>
  <c r="L230" i="66"/>
  <c r="C230" i="66"/>
  <c r="AA230" i="66" s="1"/>
  <c r="O229" i="66"/>
  <c r="L229" i="66"/>
  <c r="C229" i="66"/>
  <c r="AA229" i="66" s="1"/>
  <c r="O228" i="66"/>
  <c r="L228" i="66"/>
  <c r="C228" i="66"/>
  <c r="AA228" i="66" s="1"/>
  <c r="O227" i="66"/>
  <c r="L227" i="66"/>
  <c r="C227" i="66"/>
  <c r="AA227" i="66" s="1"/>
  <c r="O226" i="66"/>
  <c r="L226" i="66"/>
  <c r="C226" i="66"/>
  <c r="AA226" i="66" s="1"/>
  <c r="O225" i="66"/>
  <c r="L225" i="66"/>
  <c r="C225" i="66"/>
  <c r="AA225" i="66" s="1"/>
  <c r="O224" i="66"/>
  <c r="L224" i="66"/>
  <c r="C224" i="66"/>
  <c r="AA224" i="66" s="1"/>
  <c r="O223" i="66"/>
  <c r="L223" i="66"/>
  <c r="C223" i="66"/>
  <c r="AA223" i="66" s="1"/>
  <c r="O222" i="66"/>
  <c r="L222" i="66"/>
  <c r="C222" i="66"/>
  <c r="AA222" i="66" s="1"/>
  <c r="O221" i="66"/>
  <c r="L221" i="66"/>
  <c r="C221" i="66"/>
  <c r="AA221" i="66" s="1"/>
  <c r="O220" i="66"/>
  <c r="L220" i="66"/>
  <c r="C220" i="66"/>
  <c r="AA220" i="66" s="1"/>
  <c r="O219" i="66"/>
  <c r="L219" i="66"/>
  <c r="C219" i="66"/>
  <c r="AA219" i="66" s="1"/>
  <c r="O218" i="66"/>
  <c r="L218" i="66"/>
  <c r="C218" i="66"/>
  <c r="AA218" i="66" s="1"/>
  <c r="O217" i="66"/>
  <c r="L217" i="66"/>
  <c r="C217" i="66"/>
  <c r="AA217" i="66" s="1"/>
  <c r="O216" i="66"/>
  <c r="L216" i="66"/>
  <c r="C216" i="66"/>
  <c r="AA216" i="66" s="1"/>
  <c r="O215" i="66"/>
  <c r="L215" i="66"/>
  <c r="C215" i="66"/>
  <c r="AA215" i="66" s="1"/>
  <c r="O214" i="66"/>
  <c r="L214" i="66"/>
  <c r="C214" i="66"/>
  <c r="AA214" i="66" s="1"/>
  <c r="O213" i="66"/>
  <c r="L213" i="66"/>
  <c r="C213" i="66"/>
  <c r="AA213" i="66" s="1"/>
  <c r="O212" i="66"/>
  <c r="L212" i="66"/>
  <c r="C212" i="66"/>
  <c r="AA212" i="66" s="1"/>
  <c r="O211" i="66"/>
  <c r="L211" i="66"/>
  <c r="C211" i="66"/>
  <c r="AA211" i="66" s="1"/>
  <c r="O210" i="66"/>
  <c r="L210" i="66"/>
  <c r="C210" i="66"/>
  <c r="AA210" i="66" s="1"/>
  <c r="O209" i="66"/>
  <c r="L209" i="66"/>
  <c r="C209" i="66"/>
  <c r="AA209" i="66" s="1"/>
  <c r="O208" i="66"/>
  <c r="L208" i="66"/>
  <c r="C208" i="66"/>
  <c r="AA208" i="66" s="1"/>
  <c r="O207" i="66"/>
  <c r="L207" i="66"/>
  <c r="C207" i="66"/>
  <c r="AA207" i="66" s="1"/>
  <c r="O206" i="66"/>
  <c r="L206" i="66"/>
  <c r="C206" i="66"/>
  <c r="AA206" i="66" s="1"/>
  <c r="O205" i="66"/>
  <c r="L205" i="66"/>
  <c r="C205" i="66"/>
  <c r="AA205" i="66" s="1"/>
  <c r="O204" i="66"/>
  <c r="L204" i="66"/>
  <c r="C204" i="66"/>
  <c r="AA204" i="66" s="1"/>
  <c r="O203" i="66"/>
  <c r="L203" i="66"/>
  <c r="C203" i="66"/>
  <c r="AA203" i="66" s="1"/>
  <c r="O202" i="66"/>
  <c r="L202" i="66"/>
  <c r="C202" i="66"/>
  <c r="AA202" i="66" s="1"/>
  <c r="O201" i="66"/>
  <c r="L201" i="66"/>
  <c r="C201" i="66"/>
  <c r="AA201" i="66" s="1"/>
  <c r="O200" i="66"/>
  <c r="L200" i="66"/>
  <c r="C200" i="66"/>
  <c r="AA200" i="66" s="1"/>
  <c r="O199" i="66"/>
  <c r="L199" i="66"/>
  <c r="C199" i="66"/>
  <c r="AA199" i="66" s="1"/>
  <c r="O198" i="66"/>
  <c r="L198" i="66"/>
  <c r="C198" i="66"/>
  <c r="AA198" i="66" s="1"/>
  <c r="O197" i="66"/>
  <c r="L197" i="66"/>
  <c r="C197" i="66"/>
  <c r="AA197" i="66" s="1"/>
  <c r="O196" i="66"/>
  <c r="L196" i="66"/>
  <c r="C196" i="66"/>
  <c r="AA196" i="66" s="1"/>
  <c r="O195" i="66"/>
  <c r="L195" i="66"/>
  <c r="C195" i="66"/>
  <c r="AA195" i="66" s="1"/>
  <c r="O194" i="66"/>
  <c r="L194" i="66"/>
  <c r="C194" i="66"/>
  <c r="AA194" i="66" s="1"/>
  <c r="O193" i="66"/>
  <c r="L193" i="66"/>
  <c r="C193" i="66"/>
  <c r="AA193" i="66" s="1"/>
  <c r="O192" i="66"/>
  <c r="L192" i="66"/>
  <c r="C192" i="66"/>
  <c r="AA192" i="66" s="1"/>
  <c r="O191" i="66"/>
  <c r="L191" i="66"/>
  <c r="C191" i="66"/>
  <c r="AA191" i="66" s="1"/>
  <c r="O190" i="66"/>
  <c r="L190" i="66"/>
  <c r="C190" i="66"/>
  <c r="AA190" i="66" s="1"/>
  <c r="O189" i="66"/>
  <c r="L189" i="66"/>
  <c r="C189" i="66"/>
  <c r="AA189" i="66" s="1"/>
  <c r="O188" i="66"/>
  <c r="L188" i="66"/>
  <c r="C188" i="66"/>
  <c r="AA188" i="66" s="1"/>
  <c r="O187" i="66"/>
  <c r="L187" i="66"/>
  <c r="C187" i="66"/>
  <c r="AA187" i="66" s="1"/>
  <c r="O186" i="66"/>
  <c r="L186" i="66"/>
  <c r="C186" i="66"/>
  <c r="AA186" i="66" s="1"/>
  <c r="O185" i="66"/>
  <c r="L185" i="66"/>
  <c r="C185" i="66"/>
  <c r="AA185" i="66" s="1"/>
  <c r="O184" i="66"/>
  <c r="L184" i="66"/>
  <c r="C184" i="66"/>
  <c r="AA184" i="66" s="1"/>
  <c r="O183" i="66"/>
  <c r="L183" i="66"/>
  <c r="C183" i="66"/>
  <c r="AA183" i="66" s="1"/>
  <c r="O182" i="66"/>
  <c r="L182" i="66"/>
  <c r="C182" i="66"/>
  <c r="AA182" i="66" s="1"/>
  <c r="O181" i="66"/>
  <c r="L181" i="66"/>
  <c r="C181" i="66"/>
  <c r="AA181" i="66" s="1"/>
  <c r="O180" i="66"/>
  <c r="L180" i="66"/>
  <c r="C180" i="66"/>
  <c r="AA180" i="66" s="1"/>
  <c r="O179" i="66"/>
  <c r="L179" i="66"/>
  <c r="C179" i="66"/>
  <c r="AA179" i="66" s="1"/>
  <c r="O178" i="66"/>
  <c r="L178" i="66"/>
  <c r="C178" i="66"/>
  <c r="AA178" i="66" s="1"/>
  <c r="O177" i="66"/>
  <c r="L177" i="66"/>
  <c r="C177" i="66"/>
  <c r="AA177" i="66" s="1"/>
  <c r="O176" i="66"/>
  <c r="L176" i="66"/>
  <c r="C176" i="66"/>
  <c r="AA176" i="66" s="1"/>
  <c r="O175" i="66"/>
  <c r="L175" i="66"/>
  <c r="C175" i="66"/>
  <c r="AA175" i="66" s="1"/>
  <c r="O174" i="66"/>
  <c r="L174" i="66"/>
  <c r="C174" i="66"/>
  <c r="AA174" i="66" s="1"/>
  <c r="O173" i="66"/>
  <c r="L173" i="66"/>
  <c r="C173" i="66"/>
  <c r="AA173" i="66" s="1"/>
  <c r="O172" i="66"/>
  <c r="L172" i="66"/>
  <c r="C172" i="66"/>
  <c r="AA172" i="66" s="1"/>
  <c r="O171" i="66"/>
  <c r="L171" i="66"/>
  <c r="C171" i="66"/>
  <c r="AA171" i="66" s="1"/>
  <c r="O170" i="66"/>
  <c r="L170" i="66"/>
  <c r="C170" i="66"/>
  <c r="AA170" i="66" s="1"/>
  <c r="O169" i="66"/>
  <c r="L169" i="66"/>
  <c r="C169" i="66"/>
  <c r="AA169" i="66" s="1"/>
  <c r="O168" i="66"/>
  <c r="L168" i="66"/>
  <c r="C168" i="66"/>
  <c r="AA168" i="66" s="1"/>
  <c r="O167" i="66"/>
  <c r="L167" i="66"/>
  <c r="C167" i="66"/>
  <c r="AA167" i="66" s="1"/>
  <c r="O166" i="66"/>
  <c r="L166" i="66"/>
  <c r="C166" i="66"/>
  <c r="AA166" i="66" s="1"/>
  <c r="O165" i="66"/>
  <c r="L165" i="66"/>
  <c r="C165" i="66"/>
  <c r="AA165" i="66" s="1"/>
  <c r="O164" i="66"/>
  <c r="L164" i="66"/>
  <c r="C164" i="66"/>
  <c r="AA164" i="66" s="1"/>
  <c r="O163" i="66"/>
  <c r="L163" i="66"/>
  <c r="C163" i="66"/>
  <c r="AA163" i="66" s="1"/>
  <c r="O162" i="66"/>
  <c r="L162" i="66"/>
  <c r="C162" i="66"/>
  <c r="AA162" i="66" s="1"/>
  <c r="O161" i="66"/>
  <c r="L161" i="66"/>
  <c r="C161" i="66"/>
  <c r="AA161" i="66" s="1"/>
  <c r="O160" i="66"/>
  <c r="L160" i="66"/>
  <c r="C160" i="66"/>
  <c r="AA160" i="66" s="1"/>
  <c r="O159" i="66"/>
  <c r="L159" i="66"/>
  <c r="C159" i="66"/>
  <c r="AA159" i="66" s="1"/>
  <c r="O158" i="66"/>
  <c r="L158" i="66"/>
  <c r="C158" i="66"/>
  <c r="AA158" i="66" s="1"/>
  <c r="O157" i="66"/>
  <c r="L157" i="66"/>
  <c r="C157" i="66"/>
  <c r="AA157" i="66" s="1"/>
  <c r="O156" i="66"/>
  <c r="L156" i="66"/>
  <c r="C156" i="66"/>
  <c r="AA156" i="66" s="1"/>
  <c r="O155" i="66"/>
  <c r="L155" i="66"/>
  <c r="C155" i="66"/>
  <c r="AA155" i="66" s="1"/>
  <c r="O154" i="66"/>
  <c r="L154" i="66"/>
  <c r="C154" i="66"/>
  <c r="AA154" i="66" s="1"/>
  <c r="O153" i="66"/>
  <c r="L153" i="66"/>
  <c r="C153" i="66"/>
  <c r="AA153" i="66" s="1"/>
  <c r="O152" i="66"/>
  <c r="L152" i="66"/>
  <c r="C152" i="66"/>
  <c r="AA152" i="66" s="1"/>
  <c r="O151" i="66"/>
  <c r="L151" i="66"/>
  <c r="C151" i="66"/>
  <c r="AA151" i="66" s="1"/>
  <c r="O150" i="66"/>
  <c r="L150" i="66"/>
  <c r="C150" i="66"/>
  <c r="AA150" i="66" s="1"/>
  <c r="O149" i="66"/>
  <c r="L149" i="66"/>
  <c r="C149" i="66"/>
  <c r="AA149" i="66" s="1"/>
  <c r="O148" i="66"/>
  <c r="L148" i="66"/>
  <c r="C148" i="66"/>
  <c r="AA148" i="66" s="1"/>
  <c r="O147" i="66"/>
  <c r="L147" i="66"/>
  <c r="C147" i="66"/>
  <c r="AA147" i="66" s="1"/>
  <c r="O146" i="66"/>
  <c r="L146" i="66"/>
  <c r="C146" i="66"/>
  <c r="AA146" i="66" s="1"/>
  <c r="O145" i="66"/>
  <c r="L145" i="66"/>
  <c r="C145" i="66"/>
  <c r="AA145" i="66" s="1"/>
  <c r="O144" i="66"/>
  <c r="L144" i="66"/>
  <c r="C144" i="66"/>
  <c r="AA144" i="66" s="1"/>
  <c r="O143" i="66"/>
  <c r="L143" i="66"/>
  <c r="C143" i="66"/>
  <c r="AA143" i="66" s="1"/>
  <c r="O142" i="66"/>
  <c r="L142" i="66"/>
  <c r="C142" i="66"/>
  <c r="AA142" i="66" s="1"/>
  <c r="O141" i="66"/>
  <c r="L141" i="66"/>
  <c r="C141" i="66"/>
  <c r="AA141" i="66" s="1"/>
  <c r="O140" i="66"/>
  <c r="L140" i="66"/>
  <c r="C140" i="66"/>
  <c r="AA140" i="66" s="1"/>
  <c r="O139" i="66"/>
  <c r="L139" i="66"/>
  <c r="C139" i="66"/>
  <c r="AA139" i="66" s="1"/>
  <c r="O138" i="66"/>
  <c r="L138" i="66"/>
  <c r="C138" i="66"/>
  <c r="AA138" i="66" s="1"/>
  <c r="O137" i="66"/>
  <c r="L137" i="66"/>
  <c r="C137" i="66"/>
  <c r="AA137" i="66" s="1"/>
  <c r="O136" i="66"/>
  <c r="L136" i="66"/>
  <c r="C136" i="66"/>
  <c r="AA136" i="66" s="1"/>
  <c r="O135" i="66"/>
  <c r="L135" i="66"/>
  <c r="C135" i="66"/>
  <c r="AA135" i="66" s="1"/>
  <c r="O134" i="66"/>
  <c r="L134" i="66"/>
  <c r="C134" i="66"/>
  <c r="AA134" i="66" s="1"/>
  <c r="O133" i="66"/>
  <c r="L133" i="66"/>
  <c r="C133" i="66"/>
  <c r="AA133" i="66" s="1"/>
  <c r="O132" i="66"/>
  <c r="L132" i="66"/>
  <c r="C132" i="66"/>
  <c r="AA132" i="66" s="1"/>
  <c r="O131" i="66"/>
  <c r="L131" i="66"/>
  <c r="C131" i="66"/>
  <c r="AA131" i="66" s="1"/>
  <c r="O130" i="66"/>
  <c r="L130" i="66"/>
  <c r="C130" i="66"/>
  <c r="AA130" i="66" s="1"/>
  <c r="O129" i="66"/>
  <c r="L129" i="66"/>
  <c r="C129" i="66"/>
  <c r="AA129" i="66" s="1"/>
  <c r="O128" i="66"/>
  <c r="L128" i="66"/>
  <c r="C128" i="66"/>
  <c r="AA128" i="66" s="1"/>
  <c r="O127" i="66"/>
  <c r="L127" i="66"/>
  <c r="C127" i="66"/>
  <c r="AA127" i="66" s="1"/>
  <c r="O126" i="66"/>
  <c r="L126" i="66"/>
  <c r="C126" i="66"/>
  <c r="AA126" i="66" s="1"/>
  <c r="O125" i="66"/>
  <c r="L125" i="66"/>
  <c r="C125" i="66"/>
  <c r="AA125" i="66" s="1"/>
  <c r="O124" i="66"/>
  <c r="L124" i="66"/>
  <c r="C124" i="66"/>
  <c r="AA124" i="66" s="1"/>
  <c r="O123" i="66"/>
  <c r="L123" i="66"/>
  <c r="C123" i="66"/>
  <c r="AA123" i="66" s="1"/>
  <c r="O122" i="66"/>
  <c r="L122" i="66"/>
  <c r="C122" i="66"/>
  <c r="AA122" i="66" s="1"/>
  <c r="O121" i="66"/>
  <c r="L121" i="66"/>
  <c r="C121" i="66"/>
  <c r="AA121" i="66" s="1"/>
  <c r="O120" i="66"/>
  <c r="L120" i="66"/>
  <c r="C120" i="66"/>
  <c r="AA120" i="66" s="1"/>
  <c r="O119" i="66"/>
  <c r="L119" i="66"/>
  <c r="C119" i="66"/>
  <c r="AA119" i="66" s="1"/>
  <c r="O118" i="66"/>
  <c r="L118" i="66"/>
  <c r="C118" i="66"/>
  <c r="AA118" i="66" s="1"/>
  <c r="O117" i="66"/>
  <c r="L117" i="66"/>
  <c r="C117" i="66"/>
  <c r="AA117" i="66" s="1"/>
  <c r="O116" i="66"/>
  <c r="L116" i="66"/>
  <c r="C116" i="66"/>
  <c r="AA116" i="66" s="1"/>
  <c r="O115" i="66"/>
  <c r="L115" i="66"/>
  <c r="C115" i="66"/>
  <c r="AA115" i="66" s="1"/>
  <c r="O114" i="66"/>
  <c r="L114" i="66"/>
  <c r="C114" i="66"/>
  <c r="AA114" i="66" s="1"/>
  <c r="O113" i="66"/>
  <c r="L113" i="66"/>
  <c r="C113" i="66"/>
  <c r="AA113" i="66" s="1"/>
  <c r="O112" i="66"/>
  <c r="L112" i="66"/>
  <c r="C112" i="66"/>
  <c r="AA112" i="66" s="1"/>
  <c r="O111" i="66"/>
  <c r="L111" i="66"/>
  <c r="C111" i="66"/>
  <c r="AA111" i="66" s="1"/>
  <c r="O110" i="66"/>
  <c r="L110" i="66"/>
  <c r="C110" i="66"/>
  <c r="AA110" i="66" s="1"/>
  <c r="O109" i="66"/>
  <c r="L109" i="66"/>
  <c r="C109" i="66"/>
  <c r="AA109" i="66" s="1"/>
  <c r="O108" i="66"/>
  <c r="L108" i="66"/>
  <c r="C108" i="66"/>
  <c r="AA108" i="66" s="1"/>
  <c r="O107" i="66"/>
  <c r="L107" i="66"/>
  <c r="C107" i="66"/>
  <c r="AA107" i="66" s="1"/>
  <c r="O106" i="66"/>
  <c r="L106" i="66"/>
  <c r="C106" i="66"/>
  <c r="AA106" i="66" s="1"/>
  <c r="O105" i="66"/>
  <c r="L105" i="66"/>
  <c r="C105" i="66"/>
  <c r="AA105" i="66" s="1"/>
  <c r="O104" i="66"/>
  <c r="L104" i="66"/>
  <c r="C104" i="66"/>
  <c r="AA104" i="66" s="1"/>
  <c r="O103" i="66"/>
  <c r="L103" i="66"/>
  <c r="C103" i="66"/>
  <c r="AA103" i="66" s="1"/>
  <c r="O102" i="66"/>
  <c r="L102" i="66"/>
  <c r="C102" i="66"/>
  <c r="AA102" i="66" s="1"/>
  <c r="O101" i="66"/>
  <c r="L101" i="66"/>
  <c r="C101" i="66"/>
  <c r="AA101" i="66" s="1"/>
  <c r="O100" i="66"/>
  <c r="L100" i="66"/>
  <c r="C100" i="66"/>
  <c r="AA100" i="66" s="1"/>
  <c r="O99" i="66"/>
  <c r="L99" i="66"/>
  <c r="C99" i="66"/>
  <c r="AA99" i="66" s="1"/>
  <c r="O98" i="66"/>
  <c r="L98" i="66"/>
  <c r="C98" i="66"/>
  <c r="AA98" i="66" s="1"/>
  <c r="O97" i="66"/>
  <c r="L97" i="66"/>
  <c r="C97" i="66"/>
  <c r="AA97" i="66" s="1"/>
  <c r="O96" i="66"/>
  <c r="L96" i="66"/>
  <c r="C96" i="66"/>
  <c r="AA96" i="66" s="1"/>
  <c r="O95" i="66"/>
  <c r="L95" i="66"/>
  <c r="C95" i="66"/>
  <c r="AA95" i="66" s="1"/>
  <c r="O94" i="66"/>
  <c r="L94" i="66"/>
  <c r="C94" i="66"/>
  <c r="AA94" i="66" s="1"/>
  <c r="O93" i="66"/>
  <c r="L93" i="66"/>
  <c r="C93" i="66"/>
  <c r="AA93" i="66" s="1"/>
  <c r="O92" i="66"/>
  <c r="L92" i="66"/>
  <c r="C92" i="66"/>
  <c r="AA92" i="66" s="1"/>
  <c r="O91" i="66"/>
  <c r="L91" i="66"/>
  <c r="C91" i="66"/>
  <c r="AA91" i="66" s="1"/>
  <c r="O90" i="66"/>
  <c r="L90" i="66"/>
  <c r="C90" i="66"/>
  <c r="AA90" i="66" s="1"/>
  <c r="O89" i="66"/>
  <c r="L89" i="66"/>
  <c r="C89" i="66"/>
  <c r="AA89" i="66" s="1"/>
  <c r="O88" i="66"/>
  <c r="L88" i="66"/>
  <c r="C88" i="66"/>
  <c r="AA88" i="66" s="1"/>
  <c r="O87" i="66"/>
  <c r="L87" i="66"/>
  <c r="C87" i="66"/>
  <c r="AA87" i="66" s="1"/>
  <c r="O86" i="66"/>
  <c r="L86" i="66"/>
  <c r="C86" i="66"/>
  <c r="AA86" i="66" s="1"/>
  <c r="O85" i="66"/>
  <c r="L85" i="66"/>
  <c r="C85" i="66"/>
  <c r="AA85" i="66" s="1"/>
  <c r="O84" i="66"/>
  <c r="L84" i="66"/>
  <c r="C84" i="66"/>
  <c r="AA84" i="66" s="1"/>
  <c r="O83" i="66"/>
  <c r="L83" i="66"/>
  <c r="C83" i="66"/>
  <c r="AA83" i="66" s="1"/>
  <c r="O82" i="66"/>
  <c r="L82" i="66"/>
  <c r="C82" i="66"/>
  <c r="AA82" i="66" s="1"/>
  <c r="O81" i="66"/>
  <c r="L81" i="66"/>
  <c r="C81" i="66"/>
  <c r="AA81" i="66" s="1"/>
  <c r="O80" i="66"/>
  <c r="L80" i="66"/>
  <c r="C80" i="66"/>
  <c r="AA80" i="66" s="1"/>
  <c r="O79" i="66"/>
  <c r="L79" i="66"/>
  <c r="C79" i="66"/>
  <c r="AA79" i="66" s="1"/>
  <c r="O78" i="66"/>
  <c r="L78" i="66"/>
  <c r="C78" i="66"/>
  <c r="AA78" i="66" s="1"/>
  <c r="O77" i="66"/>
  <c r="L77" i="66"/>
  <c r="C77" i="66"/>
  <c r="AA77" i="66" s="1"/>
  <c r="O76" i="66"/>
  <c r="L76" i="66"/>
  <c r="C76" i="66"/>
  <c r="AA76" i="66" s="1"/>
  <c r="O75" i="66"/>
  <c r="L75" i="66"/>
  <c r="C75" i="66"/>
  <c r="AA75" i="66" s="1"/>
  <c r="O74" i="66"/>
  <c r="L74" i="66"/>
  <c r="C74" i="66"/>
  <c r="AA74" i="66" s="1"/>
  <c r="O73" i="66"/>
  <c r="L73" i="66"/>
  <c r="C73" i="66"/>
  <c r="AA73" i="66" s="1"/>
  <c r="O72" i="66"/>
  <c r="L72" i="66"/>
  <c r="C72" i="66"/>
  <c r="AA72" i="66" s="1"/>
  <c r="O71" i="66"/>
  <c r="L71" i="66"/>
  <c r="C71" i="66"/>
  <c r="AA71" i="66" s="1"/>
  <c r="O70" i="66"/>
  <c r="L70" i="66"/>
  <c r="C70" i="66"/>
  <c r="AA70" i="66" s="1"/>
  <c r="O69" i="66"/>
  <c r="L69" i="66"/>
  <c r="C69" i="66"/>
  <c r="AA69" i="66" s="1"/>
  <c r="O68" i="66"/>
  <c r="L68" i="66"/>
  <c r="C68" i="66"/>
  <c r="AA68" i="66" s="1"/>
  <c r="O67" i="66"/>
  <c r="L67" i="66"/>
  <c r="C67" i="66"/>
  <c r="AA67" i="66" s="1"/>
  <c r="O66" i="66"/>
  <c r="L66" i="66"/>
  <c r="C66" i="66"/>
  <c r="AA66" i="66" s="1"/>
  <c r="O65" i="66"/>
  <c r="L65" i="66"/>
  <c r="C65" i="66"/>
  <c r="AA65" i="66" s="1"/>
  <c r="O64" i="66"/>
  <c r="L64" i="66"/>
  <c r="C64" i="66"/>
  <c r="AA64" i="66" s="1"/>
  <c r="O63" i="66"/>
  <c r="L63" i="66"/>
  <c r="C63" i="66"/>
  <c r="AA63" i="66" s="1"/>
  <c r="O62" i="66"/>
  <c r="L62" i="66"/>
  <c r="C62" i="66"/>
  <c r="AA62" i="66" s="1"/>
  <c r="O61" i="66"/>
  <c r="L61" i="66"/>
  <c r="C61" i="66"/>
  <c r="AA61" i="66" s="1"/>
  <c r="O60" i="66"/>
  <c r="L60" i="66"/>
  <c r="C60" i="66"/>
  <c r="AA60" i="66" s="1"/>
  <c r="O59" i="66"/>
  <c r="L59" i="66"/>
  <c r="C59" i="66"/>
  <c r="AA59" i="66" s="1"/>
  <c r="O58" i="66"/>
  <c r="L58" i="66"/>
  <c r="C58" i="66"/>
  <c r="AA58" i="66" s="1"/>
  <c r="O57" i="66"/>
  <c r="L57" i="66"/>
  <c r="C57" i="66"/>
  <c r="AA57" i="66" s="1"/>
  <c r="O56" i="66"/>
  <c r="L56" i="66"/>
  <c r="C56" i="66"/>
  <c r="AA56" i="66" s="1"/>
  <c r="O55" i="66"/>
  <c r="L55" i="66"/>
  <c r="C55" i="66"/>
  <c r="AA55" i="66" s="1"/>
  <c r="O54" i="66"/>
  <c r="L54" i="66"/>
  <c r="C54" i="66"/>
  <c r="AA54" i="66" s="1"/>
  <c r="O53" i="66"/>
  <c r="L53" i="66"/>
  <c r="C53" i="66"/>
  <c r="AA53" i="66" s="1"/>
  <c r="O52" i="66"/>
  <c r="L52" i="66"/>
  <c r="C52" i="66"/>
  <c r="AA52" i="66" s="1"/>
  <c r="O51" i="66"/>
  <c r="L51" i="66"/>
  <c r="C51" i="66"/>
  <c r="AA51" i="66" s="1"/>
  <c r="O50" i="66"/>
  <c r="L50" i="66"/>
  <c r="C50" i="66"/>
  <c r="AA50" i="66" s="1"/>
  <c r="O49" i="66"/>
  <c r="L49" i="66"/>
  <c r="C49" i="66"/>
  <c r="AA49" i="66" s="1"/>
  <c r="O48" i="66"/>
  <c r="L48" i="66"/>
  <c r="C48" i="66"/>
  <c r="AA48" i="66" s="1"/>
  <c r="O47" i="66"/>
  <c r="L47" i="66"/>
  <c r="C47" i="66"/>
  <c r="AA47" i="66" s="1"/>
  <c r="O46" i="66"/>
  <c r="L46" i="66"/>
  <c r="C46" i="66"/>
  <c r="AA46" i="66" s="1"/>
  <c r="O45" i="66"/>
  <c r="L45" i="66"/>
  <c r="C45" i="66"/>
  <c r="AA45" i="66" s="1"/>
  <c r="O44" i="66"/>
  <c r="L44" i="66"/>
  <c r="C44" i="66"/>
  <c r="AA44" i="66" s="1"/>
  <c r="O43" i="66"/>
  <c r="L43" i="66"/>
  <c r="C43" i="66"/>
  <c r="AA43" i="66" s="1"/>
  <c r="O42" i="66"/>
  <c r="L42" i="66"/>
  <c r="C42" i="66"/>
  <c r="AA42" i="66" s="1"/>
  <c r="O41" i="66"/>
  <c r="L41" i="66"/>
  <c r="C41" i="66"/>
  <c r="AA41" i="66" s="1"/>
  <c r="O40" i="66"/>
  <c r="L40" i="66"/>
  <c r="C40" i="66"/>
  <c r="AA40" i="66" s="1"/>
  <c r="O39" i="66"/>
  <c r="L39" i="66"/>
  <c r="C39" i="66"/>
  <c r="AA39" i="66" s="1"/>
  <c r="O38" i="66"/>
  <c r="L38" i="66"/>
  <c r="C38" i="66"/>
  <c r="AA38" i="66" s="1"/>
  <c r="O37" i="66"/>
  <c r="L37" i="66"/>
  <c r="C37" i="66"/>
  <c r="AA37" i="66" s="1"/>
  <c r="O36" i="66"/>
  <c r="L36" i="66"/>
  <c r="C36" i="66"/>
  <c r="AA36" i="66" s="1"/>
  <c r="O35" i="66"/>
  <c r="L35" i="66"/>
  <c r="C35" i="66"/>
  <c r="AA35" i="66" s="1"/>
  <c r="O34" i="66"/>
  <c r="L34" i="66"/>
  <c r="C34" i="66"/>
  <c r="AA34" i="66" s="1"/>
  <c r="O33" i="66"/>
  <c r="L33" i="66"/>
  <c r="C33" i="66"/>
  <c r="AA33" i="66" s="1"/>
  <c r="O32" i="66"/>
  <c r="L32" i="66"/>
  <c r="C32" i="66"/>
  <c r="AA32" i="66" s="1"/>
  <c r="O31" i="66"/>
  <c r="L31" i="66"/>
  <c r="C31" i="66"/>
  <c r="AA31" i="66" s="1"/>
  <c r="O30" i="66"/>
  <c r="L30" i="66"/>
  <c r="C30" i="66"/>
  <c r="AA30" i="66" s="1"/>
  <c r="O29" i="66"/>
  <c r="L29" i="66"/>
  <c r="C29" i="66"/>
  <c r="AA29" i="66" s="1"/>
  <c r="O28" i="66"/>
  <c r="L28" i="66"/>
  <c r="C28" i="66"/>
  <c r="AA28" i="66" s="1"/>
  <c r="O27" i="66"/>
  <c r="L27" i="66"/>
  <c r="C27" i="66"/>
  <c r="AA27" i="66" s="1"/>
  <c r="O26" i="66"/>
  <c r="L26" i="66"/>
  <c r="C26" i="66"/>
  <c r="AA26" i="66" s="1"/>
  <c r="O25" i="66"/>
  <c r="L25" i="66"/>
  <c r="C25" i="66"/>
  <c r="AA25" i="66" s="1"/>
  <c r="O24" i="66"/>
  <c r="L24" i="66"/>
  <c r="C24" i="66"/>
  <c r="AA24" i="66" s="1"/>
  <c r="O23" i="66"/>
  <c r="L23" i="66"/>
  <c r="C23" i="66"/>
  <c r="AA23" i="66" s="1"/>
  <c r="O22" i="66"/>
  <c r="L22" i="66"/>
  <c r="C22" i="66"/>
  <c r="AA22" i="66" s="1"/>
  <c r="O21" i="66"/>
  <c r="E21" i="66"/>
  <c r="D21" i="66"/>
  <c r="Y21" i="66" s="1"/>
  <c r="Z21" i="66" s="1"/>
  <c r="C21" i="66"/>
  <c r="AA21" i="66" s="1"/>
  <c r="AB21" i="66" s="1"/>
  <c r="O20" i="66"/>
  <c r="G20" i="66" s="1"/>
  <c r="L20" i="66"/>
  <c r="F20" i="66" s="1"/>
  <c r="C20" i="66"/>
  <c r="AA20" i="66" s="1"/>
  <c r="AB20" i="66" s="1"/>
  <c r="G21" i="66" l="1"/>
  <c r="D22" i="66"/>
  <c r="P21" i="66"/>
  <c r="AD14" i="66"/>
  <c r="V8" i="66"/>
  <c r="E8" i="66" s="1"/>
  <c r="AK14" i="66" s="1"/>
  <c r="L21" i="66"/>
  <c r="F21" i="66" s="1"/>
  <c r="H20" i="66"/>
  <c r="E22" i="66"/>
  <c r="Q2" i="40"/>
  <c r="Y22" i="66" l="1"/>
  <c r="Z22" i="66" s="1"/>
  <c r="AB22" i="66"/>
  <c r="S21" i="66"/>
  <c r="E23" i="66"/>
  <c r="G22" i="66"/>
  <c r="F22" i="66"/>
  <c r="N20" i="66"/>
  <c r="K20" i="66"/>
  <c r="D23" i="66"/>
  <c r="P22" i="66"/>
  <c r="H21" i="66"/>
  <c r="I20" i="66"/>
  <c r="Y23" i="66" l="1"/>
  <c r="Z23" i="66" s="1"/>
  <c r="AB23" i="66"/>
  <c r="S22" i="66"/>
  <c r="E24" i="66"/>
  <c r="F23" i="66"/>
  <c r="G23" i="66"/>
  <c r="V21" i="66"/>
  <c r="W21" i="66"/>
  <c r="N21" i="66"/>
  <c r="K21" i="66"/>
  <c r="D24" i="66"/>
  <c r="P23" i="66"/>
  <c r="I21" i="66"/>
  <c r="H22" i="66"/>
  <c r="E92" i="56"/>
  <c r="E93" i="56"/>
  <c r="H23" i="66" l="1"/>
  <c r="K23" i="66" s="1"/>
  <c r="Y24" i="66"/>
  <c r="Z24" i="66" s="1"/>
  <c r="AB24" i="66"/>
  <c r="S23" i="66"/>
  <c r="F24" i="66"/>
  <c r="G24" i="66"/>
  <c r="E25" i="66"/>
  <c r="V22" i="66"/>
  <c r="W22" i="66"/>
  <c r="N22" i="66"/>
  <c r="K22" i="66"/>
  <c r="I22" i="66"/>
  <c r="D25" i="66"/>
  <c r="P24" i="66"/>
  <c r="M3" i="65"/>
  <c r="M4" i="65" s="1"/>
  <c r="N23" i="66" l="1"/>
  <c r="V23" i="66"/>
  <c r="W23" i="66"/>
  <c r="I23" i="66"/>
  <c r="Y25" i="66"/>
  <c r="Z25" i="66" s="1"/>
  <c r="AB25" i="66"/>
  <c r="G25" i="66"/>
  <c r="F25" i="66"/>
  <c r="E26" i="66"/>
  <c r="S24" i="66"/>
  <c r="H24" i="66"/>
  <c r="D26" i="66"/>
  <c r="P25" i="66"/>
  <c r="M5" i="65"/>
  <c r="M6" i="65" s="1"/>
  <c r="M7" i="65" s="1"/>
  <c r="M8" i="65" s="1"/>
  <c r="M9" i="65" s="1"/>
  <c r="M10" i="65" s="1"/>
  <c r="M11" i="65" s="1"/>
  <c r="M12" i="65" s="1"/>
  <c r="M13" i="65" s="1"/>
  <c r="M14" i="65" s="1"/>
  <c r="M15" i="65" s="1"/>
  <c r="M16" i="65" s="1"/>
  <c r="M17" i="65" s="1"/>
  <c r="M18" i="65" s="1"/>
  <c r="M19" i="65" s="1"/>
  <c r="M20" i="65" s="1"/>
  <c r="M21" i="65" s="1"/>
  <c r="M22" i="65" s="1"/>
  <c r="M23" i="65" s="1"/>
  <c r="M24" i="65" s="1"/>
  <c r="M25" i="65" s="1"/>
  <c r="M26" i="65" s="1"/>
  <c r="M27" i="65" s="1"/>
  <c r="M28" i="65" s="1"/>
  <c r="M29" i="65" s="1"/>
  <c r="M30" i="65" s="1"/>
  <c r="M31" i="65" s="1"/>
  <c r="M32" i="65" s="1"/>
  <c r="M33" i="65" s="1"/>
  <c r="M34" i="65" s="1"/>
  <c r="M35" i="65" s="1"/>
  <c r="M36" i="65" s="1"/>
  <c r="M37" i="65" s="1"/>
  <c r="M38" i="65" s="1"/>
  <c r="M39" i="65" s="1"/>
  <c r="M40" i="65" s="1"/>
  <c r="M41" i="65" s="1"/>
  <c r="M42" i="65" s="1"/>
  <c r="M43" i="65" s="1"/>
  <c r="M44" i="65" s="1"/>
  <c r="M45" i="65" s="1"/>
  <c r="M46" i="65" s="1"/>
  <c r="M47" i="65" s="1"/>
  <c r="M48" i="65" s="1"/>
  <c r="P33" i="65" s="1"/>
  <c r="Q33" i="65" s="1"/>
  <c r="C35" i="65"/>
  <c r="C28" i="65"/>
  <c r="AB3" i="65"/>
  <c r="C29" i="65"/>
  <c r="K72" i="56"/>
  <c r="K73" i="56"/>
  <c r="K74" i="56"/>
  <c r="K75" i="56"/>
  <c r="K76" i="56"/>
  <c r="K77" i="56"/>
  <c r="K78" i="56"/>
  <c r="K79" i="56"/>
  <c r="K80" i="56"/>
  <c r="K71" i="56"/>
  <c r="J96" i="56"/>
  <c r="G96" i="56"/>
  <c r="L82" i="56"/>
  <c r="M82" i="56"/>
  <c r="N82" i="56"/>
  <c r="O82" i="56"/>
  <c r="P82" i="56"/>
  <c r="Q82" i="56"/>
  <c r="R82" i="56"/>
  <c r="S82" i="56"/>
  <c r="T82" i="56"/>
  <c r="U82" i="56"/>
  <c r="V82" i="56"/>
  <c r="W82" i="56"/>
  <c r="X82" i="56"/>
  <c r="Y82" i="56"/>
  <c r="Z82" i="56"/>
  <c r="AA82" i="56"/>
  <c r="AB82" i="56"/>
  <c r="AC82" i="56"/>
  <c r="AD82" i="56"/>
  <c r="AE82" i="56"/>
  <c r="AF82" i="56"/>
  <c r="AG82" i="56"/>
  <c r="AH82" i="56"/>
  <c r="AI82" i="56"/>
  <c r="AJ82" i="56"/>
  <c r="AK82" i="56"/>
  <c r="AL82" i="56"/>
  <c r="AM82" i="56"/>
  <c r="AN82" i="56"/>
  <c r="AO82" i="56"/>
  <c r="AP82" i="56"/>
  <c r="AQ82" i="56"/>
  <c r="AR82" i="56"/>
  <c r="AS82" i="56"/>
  <c r="AT82" i="56"/>
  <c r="AU82" i="56"/>
  <c r="AV82" i="56"/>
  <c r="AW82" i="56"/>
  <c r="AX82" i="56"/>
  <c r="AY82" i="56"/>
  <c r="AZ82" i="56"/>
  <c r="BA82" i="56"/>
  <c r="BB82" i="56"/>
  <c r="BC82" i="56"/>
  <c r="BD82" i="56"/>
  <c r="BE82" i="56"/>
  <c r="BF82" i="56"/>
  <c r="BG82" i="56"/>
  <c r="BH82" i="56"/>
  <c r="BI82" i="56"/>
  <c r="BJ82" i="56"/>
  <c r="BK82" i="56"/>
  <c r="BL82" i="56"/>
  <c r="BM82" i="56"/>
  <c r="BN82" i="56"/>
  <c r="K82" i="56"/>
  <c r="J83" i="56"/>
  <c r="BH83" i="56" s="1"/>
  <c r="G9" i="56"/>
  <c r="H9" i="56"/>
  <c r="H96" i="56"/>
  <c r="L9" i="56"/>
  <c r="M9" i="56"/>
  <c r="M117" i="56" s="1"/>
  <c r="N9" i="56"/>
  <c r="N109" i="56" s="1"/>
  <c r="O9" i="56"/>
  <c r="O115" i="56" s="1"/>
  <c r="P9" i="56"/>
  <c r="P115" i="56" s="1"/>
  <c r="Q9" i="56"/>
  <c r="Q115" i="56" s="1"/>
  <c r="R9" i="56"/>
  <c r="R109" i="56" s="1"/>
  <c r="S9" i="56"/>
  <c r="T9" i="56"/>
  <c r="U9" i="56"/>
  <c r="U115" i="56" s="1"/>
  <c r="V9" i="56"/>
  <c r="V117" i="56" s="1"/>
  <c r="W9" i="56"/>
  <c r="W115" i="56" s="1"/>
  <c r="X9" i="56"/>
  <c r="X117" i="56" s="1"/>
  <c r="Y9" i="56"/>
  <c r="Y115" i="56" s="1"/>
  <c r="Z9" i="56"/>
  <c r="Z117" i="56" s="1"/>
  <c r="AA9" i="56"/>
  <c r="AB9" i="56"/>
  <c r="AC9" i="56"/>
  <c r="AC115" i="56" s="1"/>
  <c r="AD9" i="56"/>
  <c r="AD109" i="56" s="1"/>
  <c r="AE9" i="56"/>
  <c r="AE117" i="56" s="1"/>
  <c r="AF9" i="56"/>
  <c r="AG9" i="56"/>
  <c r="AG117" i="56" s="1"/>
  <c r="AH9" i="56"/>
  <c r="AH109" i="56" s="1"/>
  <c r="AI9" i="56"/>
  <c r="AJ9" i="56"/>
  <c r="AK9" i="56"/>
  <c r="AK117" i="56" s="1"/>
  <c r="AL9" i="56"/>
  <c r="AL117" i="56" s="1"/>
  <c r="AM9" i="56"/>
  <c r="AM115" i="56" s="1"/>
  <c r="AN9" i="56"/>
  <c r="AN117" i="56" s="1"/>
  <c r="AO9" i="56"/>
  <c r="AO117" i="56" s="1"/>
  <c r="AP9" i="56"/>
  <c r="AP117" i="56" s="1"/>
  <c r="AQ9" i="56"/>
  <c r="AR9" i="56"/>
  <c r="AS9" i="56"/>
  <c r="AS117" i="56" s="1"/>
  <c r="AT9" i="56"/>
  <c r="AT109" i="56" s="1"/>
  <c r="AU9" i="56"/>
  <c r="AU115" i="56" s="1"/>
  <c r="AV9" i="56"/>
  <c r="AV115" i="56" s="1"/>
  <c r="AW9" i="56"/>
  <c r="AW117" i="56" s="1"/>
  <c r="AX9" i="56"/>
  <c r="AX109" i="56" s="1"/>
  <c r="AY9" i="56"/>
  <c r="AZ9" i="56"/>
  <c r="BA9" i="56"/>
  <c r="BA109" i="56" s="1"/>
  <c r="BB9" i="56"/>
  <c r="BB115" i="56" s="1"/>
  <c r="BC9" i="56"/>
  <c r="BC115" i="56" s="1"/>
  <c r="BD9" i="56"/>
  <c r="BD117" i="56" s="1"/>
  <c r="BE9" i="56"/>
  <c r="BE115" i="56" s="1"/>
  <c r="BF9" i="56"/>
  <c r="BF109" i="56" s="1"/>
  <c r="BG9" i="56"/>
  <c r="BH9" i="56"/>
  <c r="BI9" i="56"/>
  <c r="BI109" i="56" s="1"/>
  <c r="BJ9" i="56"/>
  <c r="BJ117" i="56" s="1"/>
  <c r="BK9" i="56"/>
  <c r="BK117" i="56" s="1"/>
  <c r="BL9" i="56"/>
  <c r="BL117" i="56" s="1"/>
  <c r="BM9" i="56"/>
  <c r="BM117" i="56" s="1"/>
  <c r="BN9" i="56"/>
  <c r="BN109" i="56" s="1"/>
  <c r="K9" i="56"/>
  <c r="L7" i="56"/>
  <c r="M7" i="56"/>
  <c r="N7" i="56"/>
  <c r="O7" i="56"/>
  <c r="P7" i="56"/>
  <c r="Q7" i="56"/>
  <c r="R7" i="56"/>
  <c r="S7" i="56"/>
  <c r="T7" i="56"/>
  <c r="U7" i="56"/>
  <c r="V7" i="56"/>
  <c r="W7" i="56"/>
  <c r="X7" i="56"/>
  <c r="Y7" i="56"/>
  <c r="Z7" i="56"/>
  <c r="AA7" i="56"/>
  <c r="AB7" i="56"/>
  <c r="AC7" i="56"/>
  <c r="AD7" i="56"/>
  <c r="AE7" i="56"/>
  <c r="AF7" i="56"/>
  <c r="AG7" i="56"/>
  <c r="AH7" i="56"/>
  <c r="AI7" i="56"/>
  <c r="AJ7" i="56"/>
  <c r="AK7" i="56"/>
  <c r="AL7" i="56"/>
  <c r="AM7" i="56"/>
  <c r="AN7" i="56"/>
  <c r="AO7" i="56"/>
  <c r="AP7" i="56"/>
  <c r="AQ7" i="56"/>
  <c r="AR7" i="56"/>
  <c r="AS7" i="56"/>
  <c r="AT7" i="56"/>
  <c r="AU7" i="56"/>
  <c r="AV7" i="56"/>
  <c r="AW7" i="56"/>
  <c r="AX7" i="56"/>
  <c r="AY7" i="56"/>
  <c r="AZ7" i="56"/>
  <c r="BA7" i="56"/>
  <c r="BB7" i="56"/>
  <c r="BC7" i="56"/>
  <c r="BD7" i="56"/>
  <c r="BE7" i="56"/>
  <c r="BF7" i="56"/>
  <c r="BG7" i="56"/>
  <c r="BH7" i="56"/>
  <c r="BI7" i="56"/>
  <c r="BJ7" i="56"/>
  <c r="BK7" i="56"/>
  <c r="BL7" i="56"/>
  <c r="BM7" i="56"/>
  <c r="BN7" i="56"/>
  <c r="K7" i="56"/>
  <c r="L6" i="56"/>
  <c r="M6" i="56"/>
  <c r="N6" i="56"/>
  <c r="O6" i="56"/>
  <c r="P6" i="56"/>
  <c r="Q6" i="56"/>
  <c r="R6" i="56"/>
  <c r="S6" i="56"/>
  <c r="T6" i="56"/>
  <c r="U6" i="56"/>
  <c r="V6" i="56"/>
  <c r="W6" i="56"/>
  <c r="X6" i="56"/>
  <c r="Y6" i="56"/>
  <c r="Z6" i="56"/>
  <c r="AA6" i="56"/>
  <c r="AB6" i="56"/>
  <c r="AC6" i="56"/>
  <c r="AD6" i="56"/>
  <c r="AE6" i="56"/>
  <c r="AF6" i="56"/>
  <c r="AG6" i="56"/>
  <c r="AH6" i="56"/>
  <c r="AI6" i="56"/>
  <c r="AJ6" i="56"/>
  <c r="AK6" i="56"/>
  <c r="AL6" i="56"/>
  <c r="AM6" i="56"/>
  <c r="AN6" i="56"/>
  <c r="AO6" i="56"/>
  <c r="AP6" i="56"/>
  <c r="AQ6" i="56"/>
  <c r="AR6" i="56"/>
  <c r="AS6" i="56"/>
  <c r="AT6" i="56"/>
  <c r="AU6" i="56"/>
  <c r="AV6" i="56"/>
  <c r="AW6" i="56"/>
  <c r="AX6" i="56"/>
  <c r="AY6" i="56"/>
  <c r="AZ6" i="56"/>
  <c r="BA6" i="56"/>
  <c r="BB6" i="56"/>
  <c r="BC6" i="56"/>
  <c r="BD6" i="56"/>
  <c r="BE6" i="56"/>
  <c r="BF6" i="56"/>
  <c r="BG6" i="56"/>
  <c r="BH6" i="56"/>
  <c r="BI6" i="56"/>
  <c r="BJ6" i="56"/>
  <c r="BK6" i="56"/>
  <c r="BL6" i="56"/>
  <c r="BM6" i="56"/>
  <c r="BN6" i="56"/>
  <c r="K6" i="56"/>
  <c r="F10" i="56"/>
  <c r="I10" i="56" s="1"/>
  <c r="BO8" i="56"/>
  <c r="BO82" i="56" s="1"/>
  <c r="F11" i="56"/>
  <c r="I11" i="56" s="1"/>
  <c r="K4" i="65" s="1"/>
  <c r="F12" i="56"/>
  <c r="I12" i="56" s="1"/>
  <c r="K5" i="65" s="1"/>
  <c r="F13" i="56"/>
  <c r="F14" i="56"/>
  <c r="I14" i="56" s="1"/>
  <c r="K7" i="65" s="1"/>
  <c r="F15" i="56"/>
  <c r="I15" i="56" s="1"/>
  <c r="K8" i="65" s="1"/>
  <c r="F16" i="56"/>
  <c r="F17" i="56"/>
  <c r="I17" i="56" s="1"/>
  <c r="K10" i="65" s="1"/>
  <c r="F18" i="56"/>
  <c r="F19" i="56"/>
  <c r="I19" i="56" s="1"/>
  <c r="K12" i="65" s="1"/>
  <c r="F20" i="56"/>
  <c r="I20" i="56" s="1"/>
  <c r="K13" i="65" s="1"/>
  <c r="F21" i="56"/>
  <c r="F22" i="56"/>
  <c r="F23" i="56"/>
  <c r="I23" i="56" s="1"/>
  <c r="K16" i="65" s="1"/>
  <c r="F24" i="56"/>
  <c r="F25" i="56"/>
  <c r="I25" i="56" s="1"/>
  <c r="K18" i="65" s="1"/>
  <c r="F26" i="56"/>
  <c r="F27" i="56"/>
  <c r="F28" i="56"/>
  <c r="I28" i="56" s="1"/>
  <c r="K21" i="65" s="1"/>
  <c r="F29" i="56"/>
  <c r="F30" i="56"/>
  <c r="I30" i="56" s="1"/>
  <c r="K23" i="65" s="1"/>
  <c r="F31" i="56"/>
  <c r="I31" i="56" s="1"/>
  <c r="K24" i="65" s="1"/>
  <c r="F32" i="56"/>
  <c r="F33" i="56"/>
  <c r="F34" i="56"/>
  <c r="I34" i="56" s="1"/>
  <c r="K27" i="65" s="1"/>
  <c r="F35" i="56"/>
  <c r="I35" i="56" s="1"/>
  <c r="K28" i="65" s="1"/>
  <c r="F36" i="56"/>
  <c r="I36" i="56" s="1"/>
  <c r="K29" i="65" s="1"/>
  <c r="F37" i="56"/>
  <c r="F38" i="56"/>
  <c r="I38" i="56" s="1"/>
  <c r="K31" i="65" s="1"/>
  <c r="F39" i="56"/>
  <c r="I39" i="56" s="1"/>
  <c r="K32" i="65" s="1"/>
  <c r="F40" i="56"/>
  <c r="F41" i="56"/>
  <c r="I41" i="56" s="1"/>
  <c r="K34" i="65" s="1"/>
  <c r="F42" i="56"/>
  <c r="I42" i="56" s="1"/>
  <c r="K35" i="65" s="1"/>
  <c r="F43" i="56"/>
  <c r="I43" i="56" s="1"/>
  <c r="K36" i="65" s="1"/>
  <c r="F44" i="56"/>
  <c r="I44" i="56" s="1"/>
  <c r="K37" i="65" s="1"/>
  <c r="F45" i="56"/>
  <c r="F46" i="56"/>
  <c r="I46" i="56" s="1"/>
  <c r="K39" i="65" s="1"/>
  <c r="F47" i="56"/>
  <c r="I47" i="56" s="1"/>
  <c r="K40" i="65" s="1"/>
  <c r="F48" i="56"/>
  <c r="F49" i="56"/>
  <c r="I49" i="56" s="1"/>
  <c r="K42" i="65" s="1"/>
  <c r="F50" i="56"/>
  <c r="I50" i="56" s="1"/>
  <c r="K43" i="65" s="1"/>
  <c r="F51" i="56"/>
  <c r="I51" i="56" s="1"/>
  <c r="K44" i="65" s="1"/>
  <c r="F52" i="56"/>
  <c r="F53" i="56"/>
  <c r="F54" i="56"/>
  <c r="I54" i="56" s="1"/>
  <c r="K47" i="65" s="1"/>
  <c r="F55" i="56"/>
  <c r="I55" i="56" s="1"/>
  <c r="K48" i="65" s="1"/>
  <c r="B11" i="56"/>
  <c r="E11" i="56" s="1"/>
  <c r="G11" i="56" s="1"/>
  <c r="B12" i="56"/>
  <c r="E12" i="56" s="1"/>
  <c r="G12" i="56" s="1"/>
  <c r="B13" i="56"/>
  <c r="B14" i="56"/>
  <c r="D14" i="56" s="1"/>
  <c r="H14" i="56" s="1"/>
  <c r="B15" i="56"/>
  <c r="E15" i="56" s="1"/>
  <c r="G15" i="56" s="1"/>
  <c r="B16" i="56"/>
  <c r="B17" i="56"/>
  <c r="E17" i="56" s="1"/>
  <c r="G17" i="56" s="1"/>
  <c r="B18" i="56"/>
  <c r="E18" i="56" s="1"/>
  <c r="G18" i="56" s="1"/>
  <c r="B19" i="56"/>
  <c r="E19" i="56" s="1"/>
  <c r="G19" i="56" s="1"/>
  <c r="B20" i="56"/>
  <c r="E20" i="56" s="1"/>
  <c r="G20" i="56" s="1"/>
  <c r="B21" i="56"/>
  <c r="D21" i="56" s="1"/>
  <c r="H21" i="56" s="1"/>
  <c r="B22" i="56"/>
  <c r="D22" i="56" s="1"/>
  <c r="H22" i="56" s="1"/>
  <c r="B23" i="56"/>
  <c r="E23" i="56" s="1"/>
  <c r="G23" i="56" s="1"/>
  <c r="B24" i="56"/>
  <c r="E24" i="56" s="1"/>
  <c r="G24" i="56" s="1"/>
  <c r="B25" i="56"/>
  <c r="D25" i="56" s="1"/>
  <c r="H25" i="56" s="1"/>
  <c r="B26" i="56"/>
  <c r="E26" i="56" s="1"/>
  <c r="G26" i="56" s="1"/>
  <c r="B27" i="56"/>
  <c r="E27" i="56" s="1"/>
  <c r="G27" i="56" s="1"/>
  <c r="B28" i="56"/>
  <c r="B29" i="56"/>
  <c r="B30" i="56"/>
  <c r="D30" i="56" s="1"/>
  <c r="H30" i="56" s="1"/>
  <c r="B31" i="56"/>
  <c r="D31" i="56" s="1"/>
  <c r="H31" i="56" s="1"/>
  <c r="B32" i="56"/>
  <c r="E32" i="56" s="1"/>
  <c r="G32" i="56" s="1"/>
  <c r="B33" i="56"/>
  <c r="E33" i="56" s="1"/>
  <c r="G33" i="56" s="1"/>
  <c r="B34" i="56"/>
  <c r="E34" i="56" s="1"/>
  <c r="G34" i="56" s="1"/>
  <c r="B35" i="56"/>
  <c r="E35" i="56" s="1"/>
  <c r="G35" i="56" s="1"/>
  <c r="B36" i="56"/>
  <c r="B37" i="56"/>
  <c r="E37" i="56" s="1"/>
  <c r="G37" i="56" s="1"/>
  <c r="B38" i="56"/>
  <c r="D38" i="56" s="1"/>
  <c r="H38" i="56" s="1"/>
  <c r="B39" i="56"/>
  <c r="E39" i="56" s="1"/>
  <c r="G39" i="56" s="1"/>
  <c r="B40" i="56"/>
  <c r="E40" i="56" s="1"/>
  <c r="G40" i="56" s="1"/>
  <c r="B41" i="56"/>
  <c r="B42" i="56"/>
  <c r="E42" i="56" s="1"/>
  <c r="G42" i="56" s="1"/>
  <c r="B43" i="56"/>
  <c r="E43" i="56" s="1"/>
  <c r="G43" i="56" s="1"/>
  <c r="B44" i="56"/>
  <c r="B45" i="56"/>
  <c r="E45" i="56" s="1"/>
  <c r="G45" i="56" s="1"/>
  <c r="B46" i="56"/>
  <c r="D46" i="56" s="1"/>
  <c r="H46" i="56" s="1"/>
  <c r="B47" i="56"/>
  <c r="E47" i="56" s="1"/>
  <c r="G47" i="56" s="1"/>
  <c r="B48" i="56"/>
  <c r="B49" i="56"/>
  <c r="E49" i="56" s="1"/>
  <c r="G49" i="56" s="1"/>
  <c r="B50" i="56"/>
  <c r="D50" i="56" s="1"/>
  <c r="H50" i="56" s="1"/>
  <c r="B51" i="56"/>
  <c r="E51" i="56" s="1"/>
  <c r="G51" i="56" s="1"/>
  <c r="B52" i="56"/>
  <c r="E52" i="56" s="1"/>
  <c r="G52" i="56" s="1"/>
  <c r="B53" i="56"/>
  <c r="E53" i="56" s="1"/>
  <c r="G53" i="56" s="1"/>
  <c r="B54" i="56"/>
  <c r="D54" i="56" s="1"/>
  <c r="H54" i="56" s="1"/>
  <c r="B55" i="56"/>
  <c r="E55" i="56" s="1"/>
  <c r="G55" i="56" s="1"/>
  <c r="B56" i="56"/>
  <c r="B57" i="56"/>
  <c r="B58" i="56"/>
  <c r="B59" i="56"/>
  <c r="B60" i="56"/>
  <c r="B76" i="56"/>
  <c r="B77" i="56"/>
  <c r="B78" i="56"/>
  <c r="B79" i="56"/>
  <c r="B80" i="56"/>
  <c r="B81" i="56"/>
  <c r="B84" i="56"/>
  <c r="B107" i="56"/>
  <c r="B112" i="56"/>
  <c r="B113" i="56"/>
  <c r="B114" i="56"/>
  <c r="B115" i="56"/>
  <c r="B116" i="56"/>
  <c r="B117" i="56"/>
  <c r="B118" i="56"/>
  <c r="B119" i="56"/>
  <c r="B10" i="56"/>
  <c r="D10" i="56" s="1"/>
  <c r="H10" i="56" s="1"/>
  <c r="K115" i="56"/>
  <c r="K109" i="56"/>
  <c r="K117" i="56"/>
  <c r="BK115" i="56"/>
  <c r="BG115" i="56"/>
  <c r="BG109" i="56"/>
  <c r="BG117" i="56"/>
  <c r="BC109" i="56"/>
  <c r="BC117" i="56"/>
  <c r="AY115" i="56"/>
  <c r="AY109" i="56"/>
  <c r="AY117" i="56"/>
  <c r="AQ115" i="56"/>
  <c r="AQ109" i="56"/>
  <c r="AQ117" i="56"/>
  <c r="AI115" i="56"/>
  <c r="AI109" i="56"/>
  <c r="AI117" i="56"/>
  <c r="AE115" i="56"/>
  <c r="AA115" i="56"/>
  <c r="AA109" i="56"/>
  <c r="AA117" i="56"/>
  <c r="W109" i="56"/>
  <c r="W117" i="56"/>
  <c r="S115" i="56"/>
  <c r="S109" i="56"/>
  <c r="S117" i="56"/>
  <c r="V109" i="56"/>
  <c r="BI117" i="56"/>
  <c r="BI115" i="56"/>
  <c r="BA117" i="56"/>
  <c r="BA115" i="56"/>
  <c r="AW115" i="56"/>
  <c r="AW109" i="56"/>
  <c r="AS109" i="56"/>
  <c r="AO109" i="56"/>
  <c r="AK109" i="56"/>
  <c r="AC117" i="56"/>
  <c r="Y117" i="56"/>
  <c r="U117" i="56"/>
  <c r="Q109" i="56"/>
  <c r="Q117" i="56"/>
  <c r="M109" i="56"/>
  <c r="M115" i="56"/>
  <c r="BH117" i="56"/>
  <c r="BH115" i="56"/>
  <c r="BH109" i="56"/>
  <c r="AZ117" i="56"/>
  <c r="AZ115" i="56"/>
  <c r="AZ109" i="56"/>
  <c r="AR117" i="56"/>
  <c r="AR115" i="56"/>
  <c r="AR109" i="56"/>
  <c r="AN115" i="56"/>
  <c r="AJ117" i="56"/>
  <c r="AJ115" i="56"/>
  <c r="AJ109" i="56"/>
  <c r="AB117" i="56"/>
  <c r="AB115" i="56"/>
  <c r="AB109" i="56"/>
  <c r="T117" i="56"/>
  <c r="T115" i="56"/>
  <c r="T109" i="56"/>
  <c r="L117" i="56"/>
  <c r="L115" i="56"/>
  <c r="L109" i="56"/>
  <c r="BO7" i="56"/>
  <c r="BO6" i="56"/>
  <c r="D45" i="56"/>
  <c r="H45" i="56" s="1"/>
  <c r="D17" i="56"/>
  <c r="H17" i="56" s="1"/>
  <c r="D52" i="56"/>
  <c r="H52" i="56" s="1"/>
  <c r="D35" i="56"/>
  <c r="H35" i="56" s="1"/>
  <c r="D27" i="56"/>
  <c r="H27" i="56" s="1"/>
  <c r="D23" i="56"/>
  <c r="H23" i="56" s="1"/>
  <c r="AV23" i="56" s="1"/>
  <c r="D11" i="56"/>
  <c r="H11" i="56" s="1"/>
  <c r="C5" i="41" a="1"/>
  <c r="C80" i="41" s="1"/>
  <c r="AO15" i="44"/>
  <c r="AO16" i="44" s="1"/>
  <c r="AO17" i="44" s="1"/>
  <c r="AO18" i="44" s="1"/>
  <c r="AO19" i="44" s="1"/>
  <c r="AO20" i="44" s="1"/>
  <c r="AO21" i="44" s="1"/>
  <c r="AO22" i="44" s="1"/>
  <c r="AO23" i="44" s="1"/>
  <c r="AO24" i="44" s="1"/>
  <c r="AO25" i="44" s="1"/>
  <c r="AO26" i="44" s="1"/>
  <c r="AO27" i="44" s="1"/>
  <c r="AO28" i="44" s="1"/>
  <c r="AO29" i="44" s="1"/>
  <c r="AO30" i="44" s="1"/>
  <c r="AO31" i="44" s="1"/>
  <c r="AO32" i="44" s="1"/>
  <c r="AO33" i="44" s="1"/>
  <c r="AO34" i="44" s="1"/>
  <c r="AO35" i="44" s="1"/>
  <c r="AO36" i="44" s="1"/>
  <c r="AO37" i="44" s="1"/>
  <c r="AO38" i="44" s="1"/>
  <c r="AO39" i="44" s="1"/>
  <c r="AO40" i="44" s="1"/>
  <c r="AO41" i="44" s="1"/>
  <c r="AO42" i="44" s="1"/>
  <c r="AO43" i="44" s="1"/>
  <c r="AO44" i="44" s="1"/>
  <c r="AO45" i="44" s="1"/>
  <c r="AO46" i="44" s="1"/>
  <c r="AO47" i="44" s="1"/>
  <c r="AO48" i="44" s="1"/>
  <c r="AO49" i="44" s="1"/>
  <c r="AO50" i="44" s="1"/>
  <c r="AO51" i="44" s="1"/>
  <c r="AO52" i="44" s="1"/>
  <c r="AO53" i="44" s="1"/>
  <c r="AO54" i="44" s="1"/>
  <c r="AO55" i="44" s="1"/>
  <c r="AO56" i="44" s="1"/>
  <c r="AO57" i="44" s="1"/>
  <c r="AO58" i="44" s="1"/>
  <c r="AO59" i="44" s="1"/>
  <c r="AO60" i="44" s="1"/>
  <c r="AO61" i="44" s="1"/>
  <c r="AO62" i="44" s="1"/>
  <c r="AO63" i="44" s="1"/>
  <c r="AO64" i="44" s="1"/>
  <c r="AO65" i="44" s="1"/>
  <c r="AO66" i="44" s="1"/>
  <c r="AO67" i="44" s="1"/>
  <c r="AO68" i="44" s="1"/>
  <c r="AO69" i="44" s="1"/>
  <c r="AO70" i="44" s="1"/>
  <c r="AO71" i="44" s="1"/>
  <c r="AO72" i="44" s="1"/>
  <c r="AO73" i="44" s="1"/>
  <c r="AO74" i="44" s="1"/>
  <c r="AO75" i="44" s="1"/>
  <c r="AO76" i="44" s="1"/>
  <c r="T12" i="44"/>
  <c r="T13" i="44"/>
  <c r="T14" i="44"/>
  <c r="T15" i="44"/>
  <c r="T16" i="44"/>
  <c r="T17" i="44"/>
  <c r="T18" i="44"/>
  <c r="T19" i="44"/>
  <c r="T20" i="44"/>
  <c r="T21" i="44"/>
  <c r="T11" i="44"/>
  <c r="H12" i="44"/>
  <c r="H13" i="44"/>
  <c r="H14" i="44"/>
  <c r="H15" i="44"/>
  <c r="H16" i="44"/>
  <c r="H17" i="44"/>
  <c r="H18" i="44"/>
  <c r="H19" i="44"/>
  <c r="H20" i="44"/>
  <c r="H21" i="44"/>
  <c r="H11" i="44"/>
  <c r="B12" i="44"/>
  <c r="B13" i="44" s="1"/>
  <c r="B14" i="44" s="1"/>
  <c r="B15" i="44" s="1"/>
  <c r="B16" i="44" s="1"/>
  <c r="B17" i="44" s="1"/>
  <c r="B18" i="44" s="1"/>
  <c r="B19" i="44" s="1"/>
  <c r="B20" i="44" s="1"/>
  <c r="B21" i="44" s="1"/>
  <c r="B22" i="44" s="1"/>
  <c r="B23" i="44" s="1"/>
  <c r="B24" i="44" s="1"/>
  <c r="B25" i="44" s="1"/>
  <c r="B26" i="44" s="1"/>
  <c r="B27" i="44" s="1"/>
  <c r="B28" i="44" s="1"/>
  <c r="B29" i="44" s="1"/>
  <c r="B30" i="44" s="1"/>
  <c r="B31" i="44" s="1"/>
  <c r="B32" i="44" s="1"/>
  <c r="B33" i="44" s="1"/>
  <c r="B34" i="44" s="1"/>
  <c r="B35" i="44" s="1"/>
  <c r="B36" i="44" s="1"/>
  <c r="B37" i="44" s="1"/>
  <c r="B38" i="44" s="1"/>
  <c r="B39" i="44" s="1"/>
  <c r="B40" i="44" s="1"/>
  <c r="B41" i="44" s="1"/>
  <c r="B42" i="44" s="1"/>
  <c r="B43" i="44" s="1"/>
  <c r="B44" i="44" s="1"/>
  <c r="B45" i="44" s="1"/>
  <c r="B46" i="44" s="1"/>
  <c r="B47" i="44" s="1"/>
  <c r="B48" i="44" s="1"/>
  <c r="B49" i="44" s="1"/>
  <c r="B50" i="44" s="1"/>
  <c r="B51" i="44" s="1"/>
  <c r="B52" i="44" s="1"/>
  <c r="B53" i="44" s="1"/>
  <c r="B54" i="44" s="1"/>
  <c r="B55" i="44" s="1"/>
  <c r="B56" i="44" s="1"/>
  <c r="B57" i="44" s="1"/>
  <c r="B58" i="44" s="1"/>
  <c r="B59" i="44" s="1"/>
  <c r="B60" i="44" s="1"/>
  <c r="B61" i="44" s="1"/>
  <c r="B62" i="44" s="1"/>
  <c r="B63" i="44" s="1"/>
  <c r="B64" i="44" s="1"/>
  <c r="B65" i="44" s="1"/>
  <c r="B66" i="44" s="1"/>
  <c r="B67" i="44" s="1"/>
  <c r="B68" i="44" s="1"/>
  <c r="B69" i="44" s="1"/>
  <c r="B70" i="44" s="1"/>
  <c r="B71" i="44" s="1"/>
  <c r="B72" i="44" s="1"/>
  <c r="B73" i="44" s="1"/>
  <c r="B74" i="44" s="1"/>
  <c r="B75" i="44" s="1"/>
  <c r="B76" i="44" s="1"/>
  <c r="B77" i="44" s="1"/>
  <c r="B78" i="44" s="1"/>
  <c r="B79" i="44" s="1"/>
  <c r="B80" i="44" s="1"/>
  <c r="B81" i="44" s="1"/>
  <c r="B82" i="44" s="1"/>
  <c r="B83" i="44" s="1"/>
  <c r="B84" i="44" s="1"/>
  <c r="B85" i="44" s="1"/>
  <c r="B86" i="44" s="1"/>
  <c r="B87" i="44" s="1"/>
  <c r="B88" i="44" s="1"/>
  <c r="B89" i="44" s="1"/>
  <c r="B90" i="44" s="1"/>
  <c r="B91" i="44" s="1"/>
  <c r="B92" i="44" s="1"/>
  <c r="B93" i="44" s="1"/>
  <c r="B94" i="44" s="1"/>
  <c r="B95" i="44" s="1"/>
  <c r="B96" i="44" s="1"/>
  <c r="B97" i="44" s="1"/>
  <c r="B98" i="44" s="1"/>
  <c r="B99" i="44" s="1"/>
  <c r="B100" i="44" s="1"/>
  <c r="B101" i="44" s="1"/>
  <c r="B102" i="44" s="1"/>
  <c r="B103" i="44" s="1"/>
  <c r="B104" i="44" s="1"/>
  <c r="B105" i="44" s="1"/>
  <c r="B106" i="44" s="1"/>
  <c r="B107" i="44" s="1"/>
  <c r="B108" i="44" s="1"/>
  <c r="B109" i="44" s="1"/>
  <c r="B110" i="44" s="1"/>
  <c r="B111" i="44" s="1"/>
  <c r="B112" i="44" s="1"/>
  <c r="B113" i="44" s="1"/>
  <c r="B114" i="44" s="1"/>
  <c r="B115" i="44" s="1"/>
  <c r="B116" i="44" s="1"/>
  <c r="B117" i="44" s="1"/>
  <c r="B118" i="44" s="1"/>
  <c r="B119" i="44" s="1"/>
  <c r="B120" i="44" s="1"/>
  <c r="B121" i="44" s="1"/>
  <c r="B122" i="44" s="1"/>
  <c r="B123" i="44" s="1"/>
  <c r="B124" i="44" s="1"/>
  <c r="B125" i="44" s="1"/>
  <c r="B126" i="44" s="1"/>
  <c r="B127" i="44" s="1"/>
  <c r="B128" i="44" s="1"/>
  <c r="B129" i="44" s="1"/>
  <c r="B130" i="44" s="1"/>
  <c r="B131" i="44" s="1"/>
  <c r="B132" i="44" s="1"/>
  <c r="B133" i="44" s="1"/>
  <c r="B134" i="44" s="1"/>
  <c r="B135" i="44" s="1"/>
  <c r="B136" i="44" s="1"/>
  <c r="B137" i="44" s="1"/>
  <c r="B138" i="44" s="1"/>
  <c r="B139" i="44" s="1"/>
  <c r="B140" i="44" s="1"/>
  <c r="B141" i="44" s="1"/>
  <c r="B142" i="44" s="1"/>
  <c r="B143" i="44" s="1"/>
  <c r="B144" i="44" s="1"/>
  <c r="B145" i="44" s="1"/>
  <c r="B146" i="44" s="1"/>
  <c r="B147" i="44" s="1"/>
  <c r="B148" i="44" s="1"/>
  <c r="B149" i="44" s="1"/>
  <c r="B150" i="44" s="1"/>
  <c r="B151" i="44" s="1"/>
  <c r="B152" i="44" s="1"/>
  <c r="B153" i="44" s="1"/>
  <c r="B154" i="44" s="1"/>
  <c r="B155" i="44" s="1"/>
  <c r="B156" i="44" s="1"/>
  <c r="B157" i="44" s="1"/>
  <c r="B158" i="44" s="1"/>
  <c r="B159" i="44" s="1"/>
  <c r="B160" i="44" s="1"/>
  <c r="B161" i="44" s="1"/>
  <c r="B162" i="44" s="1"/>
  <c r="B163" i="44" s="1"/>
  <c r="B164" i="44" s="1"/>
  <c r="B165" i="44" s="1"/>
  <c r="B166" i="44" s="1"/>
  <c r="B167" i="44" s="1"/>
  <c r="B168" i="44" s="1"/>
  <c r="B169" i="44" s="1"/>
  <c r="B170" i="44" s="1"/>
  <c r="B171" i="44" s="1"/>
  <c r="B172" i="44" s="1"/>
  <c r="B173" i="44" s="1"/>
  <c r="B174" i="44" s="1"/>
  <c r="B175" i="44" s="1"/>
  <c r="B176" i="44" s="1"/>
  <c r="B177" i="44" s="1"/>
  <c r="B178" i="44" s="1"/>
  <c r="B179" i="44" s="1"/>
  <c r="B180" i="44" s="1"/>
  <c r="B181" i="44" s="1"/>
  <c r="B182" i="44" s="1"/>
  <c r="B183" i="44" s="1"/>
  <c r="B184" i="44" s="1"/>
  <c r="B185" i="44" s="1"/>
  <c r="B186" i="44" s="1"/>
  <c r="B187" i="44" s="1"/>
  <c r="B188" i="44" s="1"/>
  <c r="B189" i="44" s="1"/>
  <c r="B190" i="44" s="1"/>
  <c r="B191" i="44" s="1"/>
  <c r="B192" i="44" s="1"/>
  <c r="B193" i="44" s="1"/>
  <c r="B194" i="44" s="1"/>
  <c r="B195" i="44" s="1"/>
  <c r="B196" i="44" s="1"/>
  <c r="B197" i="44" s="1"/>
  <c r="B198" i="44" s="1"/>
  <c r="B199" i="44" s="1"/>
  <c r="B200" i="44" s="1"/>
  <c r="B201" i="44" s="1"/>
  <c r="B202" i="44" s="1"/>
  <c r="B203" i="44" s="1"/>
  <c r="B204" i="44" s="1"/>
  <c r="B205" i="44" s="1"/>
  <c r="B206" i="44" s="1"/>
  <c r="B207" i="44" s="1"/>
  <c r="B208" i="44" s="1"/>
  <c r="B209" i="44" s="1"/>
  <c r="B210" i="44" s="1"/>
  <c r="B211" i="44" s="1"/>
  <c r="B212" i="44" s="1"/>
  <c r="B213" i="44" s="1"/>
  <c r="B214" i="44" s="1"/>
  <c r="B215" i="44" s="1"/>
  <c r="B216" i="44" s="1"/>
  <c r="B217" i="44" s="1"/>
  <c r="B218" i="44" s="1"/>
  <c r="B219" i="44" s="1"/>
  <c r="B220" i="44" s="1"/>
  <c r="B221" i="44" s="1"/>
  <c r="B222" i="44" s="1"/>
  <c r="B223" i="44" s="1"/>
  <c r="B224" i="44" s="1"/>
  <c r="B225" i="44" s="1"/>
  <c r="B226" i="44" s="1"/>
  <c r="B227" i="44" s="1"/>
  <c r="B228" i="44" s="1"/>
  <c r="B229" i="44" s="1"/>
  <c r="B230" i="44" s="1"/>
  <c r="B231" i="44" s="1"/>
  <c r="B232" i="44" s="1"/>
  <c r="B233" i="44" s="1"/>
  <c r="B234" i="44" s="1"/>
  <c r="B235" i="44" s="1"/>
  <c r="B236" i="44" s="1"/>
  <c r="B237" i="44" s="1"/>
  <c r="B238" i="44" s="1"/>
  <c r="B239" i="44" s="1"/>
  <c r="B240" i="44" s="1"/>
  <c r="B241" i="44" s="1"/>
  <c r="B242" i="44" s="1"/>
  <c r="B243" i="44" s="1"/>
  <c r="B244" i="44" s="1"/>
  <c r="B245" i="44" s="1"/>
  <c r="B246" i="44" s="1"/>
  <c r="B247" i="44" s="1"/>
  <c r="B248" i="44" s="1"/>
  <c r="B249" i="44" s="1"/>
  <c r="B250" i="44" s="1"/>
  <c r="B251" i="44" s="1"/>
  <c r="B252" i="44" s="1"/>
  <c r="B253" i="44" s="1"/>
  <c r="B254" i="44" s="1"/>
  <c r="B255" i="44" s="1"/>
  <c r="B256" i="44" s="1"/>
  <c r="B257" i="44" s="1"/>
  <c r="B258" i="44" s="1"/>
  <c r="B259" i="44" s="1"/>
  <c r="B260" i="44" s="1"/>
  <c r="B261" i="44" s="1"/>
  <c r="B262" i="44" s="1"/>
  <c r="B263" i="44" s="1"/>
  <c r="B264" i="44" s="1"/>
  <c r="B265" i="44" s="1"/>
  <c r="B266" i="44" s="1"/>
  <c r="B267" i="44" s="1"/>
  <c r="B268" i="44" s="1"/>
  <c r="B269" i="44" s="1"/>
  <c r="B270" i="44" s="1"/>
  <c r="B271" i="44" s="1"/>
  <c r="B272" i="44" s="1"/>
  <c r="B273" i="44" s="1"/>
  <c r="B274" i="44" s="1"/>
  <c r="B275" i="44" s="1"/>
  <c r="B276" i="44" s="1"/>
  <c r="B277" i="44" s="1"/>
  <c r="B278" i="44" s="1"/>
  <c r="B279" i="44" s="1"/>
  <c r="B280" i="44" s="1"/>
  <c r="B281" i="44" s="1"/>
  <c r="B282" i="44" s="1"/>
  <c r="B283" i="44" s="1"/>
  <c r="B284" i="44" s="1"/>
  <c r="B285" i="44" s="1"/>
  <c r="B286" i="44" s="1"/>
  <c r="B287" i="44" s="1"/>
  <c r="B288" i="44" s="1"/>
  <c r="B289" i="44" s="1"/>
  <c r="B290" i="44" s="1"/>
  <c r="B291" i="44" s="1"/>
  <c r="B292" i="44" s="1"/>
  <c r="B293" i="44" s="1"/>
  <c r="B294" i="44" s="1"/>
  <c r="B295" i="44" s="1"/>
  <c r="B296" i="44" s="1"/>
  <c r="B297" i="44" s="1"/>
  <c r="B298" i="44" s="1"/>
  <c r="B299" i="44" s="1"/>
  <c r="B300" i="44" s="1"/>
  <c r="B301" i="44" s="1"/>
  <c r="B302" i="44" s="1"/>
  <c r="B303" i="44" s="1"/>
  <c r="B304" i="44" s="1"/>
  <c r="B305" i="44" s="1"/>
  <c r="B306" i="44" s="1"/>
  <c r="B307" i="44" s="1"/>
  <c r="B308" i="44" s="1"/>
  <c r="B309" i="44" s="1"/>
  <c r="B310" i="44" s="1"/>
  <c r="B311" i="44" s="1"/>
  <c r="B312" i="44" s="1"/>
  <c r="B313" i="44" s="1"/>
  <c r="B314" i="44" s="1"/>
  <c r="B315" i="44" s="1"/>
  <c r="B316" i="44" s="1"/>
  <c r="B317" i="44" s="1"/>
  <c r="B318" i="44" s="1"/>
  <c r="B319" i="44" s="1"/>
  <c r="B320" i="44" s="1"/>
  <c r="B321" i="44" s="1"/>
  <c r="B322" i="44" s="1"/>
  <c r="B323" i="44" s="1"/>
  <c r="B324" i="44" s="1"/>
  <c r="B325" i="44" s="1"/>
  <c r="B326" i="44" s="1"/>
  <c r="B327" i="44" s="1"/>
  <c r="B328" i="44" s="1"/>
  <c r="B329" i="44" s="1"/>
  <c r="B330" i="44" s="1"/>
  <c r="B331" i="44" s="1"/>
  <c r="B332" i="44" s="1"/>
  <c r="B333" i="44" s="1"/>
  <c r="B334" i="44" s="1"/>
  <c r="B335" i="44" s="1"/>
  <c r="B336" i="44" s="1"/>
  <c r="B337" i="44" s="1"/>
  <c r="B338" i="44" s="1"/>
  <c r="B339" i="44" s="1"/>
  <c r="B340" i="44" s="1"/>
  <c r="B341" i="44" s="1"/>
  <c r="B342" i="44" s="1"/>
  <c r="B343" i="44" s="1"/>
  <c r="B344" i="44" s="1"/>
  <c r="B345" i="44" s="1"/>
  <c r="B346" i="44" s="1"/>
  <c r="B347" i="44" s="1"/>
  <c r="B348" i="44" s="1"/>
  <c r="B349" i="44" s="1"/>
  <c r="B350" i="44" s="1"/>
  <c r="B351" i="44" s="1"/>
  <c r="B352" i="44" s="1"/>
  <c r="B353" i="44" s="1"/>
  <c r="B354" i="44" s="1"/>
  <c r="B355" i="44" s="1"/>
  <c r="B356" i="44" s="1"/>
  <c r="B357" i="44" s="1"/>
  <c r="B358" i="44" s="1"/>
  <c r="B359" i="44" s="1"/>
  <c r="B360" i="44" s="1"/>
  <c r="B361" i="44" s="1"/>
  <c r="B362" i="44" s="1"/>
  <c r="B363" i="44" s="1"/>
  <c r="B364" i="44" s="1"/>
  <c r="B365" i="44" s="1"/>
  <c r="B366" i="44" s="1"/>
  <c r="B367" i="44" s="1"/>
  <c r="B368" i="44" s="1"/>
  <c r="B369" i="44" s="1"/>
  <c r="B370" i="44" s="1"/>
  <c r="B371" i="44" s="1"/>
  <c r="B372" i="44" s="1"/>
  <c r="B373" i="44" s="1"/>
  <c r="B374" i="44" s="1"/>
  <c r="B375" i="44" s="1"/>
  <c r="B376" i="44" s="1"/>
  <c r="B377" i="44" s="1"/>
  <c r="B378" i="44" s="1"/>
  <c r="B379" i="44" s="1"/>
  <c r="B380" i="44" s="1"/>
  <c r="B381" i="44" s="1"/>
  <c r="B382" i="44" s="1"/>
  <c r="B383" i="44" s="1"/>
  <c r="B384" i="44" s="1"/>
  <c r="B385" i="44" s="1"/>
  <c r="B386" i="44" s="1"/>
  <c r="B387" i="44" s="1"/>
  <c r="B388" i="44" s="1"/>
  <c r="B389" i="44" s="1"/>
  <c r="B390" i="44" s="1"/>
  <c r="B391" i="44" s="1"/>
  <c r="B392" i="44" s="1"/>
  <c r="B393" i="44" s="1"/>
  <c r="B394" i="44" s="1"/>
  <c r="B395" i="44" s="1"/>
  <c r="B396" i="44" s="1"/>
  <c r="B397" i="44" s="1"/>
  <c r="B398" i="44" s="1"/>
  <c r="B399" i="44" s="1"/>
  <c r="B400" i="44" s="1"/>
  <c r="B401" i="44" s="1"/>
  <c r="B402" i="44" s="1"/>
  <c r="B403" i="44" s="1"/>
  <c r="B404" i="44" s="1"/>
  <c r="B405" i="44" s="1"/>
  <c r="B406" i="44" s="1"/>
  <c r="B407" i="44" s="1"/>
  <c r="B408" i="44" s="1"/>
  <c r="B409" i="44" s="1"/>
  <c r="B410" i="44" s="1"/>
  <c r="B411" i="44" s="1"/>
  <c r="B412" i="44" s="1"/>
  <c r="B413" i="44" s="1"/>
  <c r="B414" i="44" s="1"/>
  <c r="B415" i="44" s="1"/>
  <c r="B416" i="44" s="1"/>
  <c r="B417" i="44" s="1"/>
  <c r="B418" i="44" s="1"/>
  <c r="B419" i="44" s="1"/>
  <c r="B420" i="44" s="1"/>
  <c r="B421" i="44" s="1"/>
  <c r="B422" i="44" s="1"/>
  <c r="B423" i="44" s="1"/>
  <c r="B424" i="44" s="1"/>
  <c r="B425" i="44" s="1"/>
  <c r="B426" i="44" s="1"/>
  <c r="B427" i="44" s="1"/>
  <c r="B428" i="44" s="1"/>
  <c r="B429" i="44" s="1"/>
  <c r="B430" i="44" s="1"/>
  <c r="B431" i="44" s="1"/>
  <c r="B432" i="44" s="1"/>
  <c r="B433" i="44" s="1"/>
  <c r="B434" i="44" s="1"/>
  <c r="B435" i="44" s="1"/>
  <c r="B436" i="44" s="1"/>
  <c r="B437" i="44" s="1"/>
  <c r="B438" i="44" s="1"/>
  <c r="B439" i="44" s="1"/>
  <c r="B440" i="44" s="1"/>
  <c r="B441" i="44" s="1"/>
  <c r="B442" i="44" s="1"/>
  <c r="B443" i="44" s="1"/>
  <c r="B444" i="44" s="1"/>
  <c r="B445" i="44" s="1"/>
  <c r="B446" i="44" s="1"/>
  <c r="B447" i="44" s="1"/>
  <c r="B448" i="44" s="1"/>
  <c r="B449" i="44" s="1"/>
  <c r="B450" i="44" s="1"/>
  <c r="B451" i="44" s="1"/>
  <c r="B452" i="44" s="1"/>
  <c r="B453" i="44" s="1"/>
  <c r="B454" i="44" s="1"/>
  <c r="B455" i="44" s="1"/>
  <c r="B456" i="44" s="1"/>
  <c r="B457" i="44" s="1"/>
  <c r="B458" i="44" s="1"/>
  <c r="B459" i="44" s="1"/>
  <c r="B460" i="44" s="1"/>
  <c r="B461" i="44" s="1"/>
  <c r="B462" i="44" s="1"/>
  <c r="B463" i="44" s="1"/>
  <c r="B464" i="44" s="1"/>
  <c r="B465" i="44" s="1"/>
  <c r="B466" i="44" s="1"/>
  <c r="B467" i="44" s="1"/>
  <c r="B468" i="44" s="1"/>
  <c r="B469" i="44" s="1"/>
  <c r="B470" i="44" s="1"/>
  <c r="B471" i="44" s="1"/>
  <c r="B472" i="44" s="1"/>
  <c r="B473" i="44" s="1"/>
  <c r="B474" i="44" s="1"/>
  <c r="B475" i="44" s="1"/>
  <c r="B476" i="44" s="1"/>
  <c r="B477" i="44" s="1"/>
  <c r="B478" i="44" s="1"/>
  <c r="B479" i="44" s="1"/>
  <c r="B480" i="44" s="1"/>
  <c r="B481" i="44" s="1"/>
  <c r="B482" i="44" s="1"/>
  <c r="B483" i="44" s="1"/>
  <c r="B484" i="44" s="1"/>
  <c r="B485" i="44" s="1"/>
  <c r="B486" i="44" s="1"/>
  <c r="B487" i="44" s="1"/>
  <c r="B488" i="44" s="1"/>
  <c r="B489" i="44" s="1"/>
  <c r="B490" i="44" s="1"/>
  <c r="B491" i="44" s="1"/>
  <c r="B492" i="44" s="1"/>
  <c r="B493" i="44" s="1"/>
  <c r="B494" i="44" s="1"/>
  <c r="B495" i="44" s="1"/>
  <c r="B496" i="44" s="1"/>
  <c r="B497" i="44" s="1"/>
  <c r="B498" i="44" s="1"/>
  <c r="B499" i="44" s="1"/>
  <c r="B500" i="44" s="1"/>
  <c r="B501" i="44" s="1"/>
  <c r="B502" i="44" s="1"/>
  <c r="B503" i="44" s="1"/>
  <c r="B504" i="44" s="1"/>
  <c r="B505" i="44" s="1"/>
  <c r="B506" i="44" s="1"/>
  <c r="B507" i="44" s="1"/>
  <c r="B508" i="44" s="1"/>
  <c r="B509" i="44" s="1"/>
  <c r="B510" i="44" s="1"/>
  <c r="B511" i="44" s="1"/>
  <c r="B512" i="44" s="1"/>
  <c r="B513" i="44" s="1"/>
  <c r="B514" i="44" s="1"/>
  <c r="B515" i="44" s="1"/>
  <c r="B516" i="44" s="1"/>
  <c r="B517" i="44" s="1"/>
  <c r="B518" i="44" s="1"/>
  <c r="B519" i="44" s="1"/>
  <c r="B520" i="44" s="1"/>
  <c r="B521" i="44" s="1"/>
  <c r="B522" i="44" s="1"/>
  <c r="B523" i="44" s="1"/>
  <c r="B524" i="44" s="1"/>
  <c r="B525" i="44" s="1"/>
  <c r="B526" i="44" s="1"/>
  <c r="B527" i="44" s="1"/>
  <c r="B528" i="44" s="1"/>
  <c r="B529" i="44" s="1"/>
  <c r="B530" i="44" s="1"/>
  <c r="B531" i="44" s="1"/>
  <c r="B532" i="44" s="1"/>
  <c r="B533" i="44" s="1"/>
  <c r="B534" i="44" s="1"/>
  <c r="B535" i="44" s="1"/>
  <c r="B536" i="44" s="1"/>
  <c r="B537" i="44" s="1"/>
  <c r="B538" i="44" s="1"/>
  <c r="B539" i="44" s="1"/>
  <c r="B540" i="44" s="1"/>
  <c r="B541" i="44" s="1"/>
  <c r="B542" i="44" s="1"/>
  <c r="B543" i="44" s="1"/>
  <c r="B544" i="44" s="1"/>
  <c r="B545" i="44" s="1"/>
  <c r="B546" i="44" s="1"/>
  <c r="B547" i="44" s="1"/>
  <c r="B548" i="44" s="1"/>
  <c r="B549" i="44" s="1"/>
  <c r="B550" i="44" s="1"/>
  <c r="B551" i="44" s="1"/>
  <c r="B552" i="44" s="1"/>
  <c r="B553" i="44" s="1"/>
  <c r="B554" i="44" s="1"/>
  <c r="B555" i="44" s="1"/>
  <c r="B556" i="44" s="1"/>
  <c r="B557" i="44" s="1"/>
  <c r="B558" i="44" s="1"/>
  <c r="B559" i="44" s="1"/>
  <c r="B560" i="44" s="1"/>
  <c r="B561" i="44" s="1"/>
  <c r="B562" i="44" s="1"/>
  <c r="B563" i="44" s="1"/>
  <c r="B564" i="44" s="1"/>
  <c r="B565" i="44" s="1"/>
  <c r="B566" i="44" s="1"/>
  <c r="B567" i="44" s="1"/>
  <c r="B568" i="44" s="1"/>
  <c r="B569" i="44" s="1"/>
  <c r="B570" i="44" s="1"/>
  <c r="B571" i="44" s="1"/>
  <c r="B572" i="44" s="1"/>
  <c r="B573" i="44" s="1"/>
  <c r="B574" i="44" s="1"/>
  <c r="B575" i="44" s="1"/>
  <c r="B576" i="44" s="1"/>
  <c r="B577" i="44" s="1"/>
  <c r="B578" i="44" s="1"/>
  <c r="B579" i="44" s="1"/>
  <c r="B580" i="44" s="1"/>
  <c r="B581" i="44" s="1"/>
  <c r="B582" i="44" s="1"/>
  <c r="B583" i="44" s="1"/>
  <c r="B584" i="44" s="1"/>
  <c r="B585" i="44" s="1"/>
  <c r="B586" i="44" s="1"/>
  <c r="B587" i="44" s="1"/>
  <c r="B588" i="44" s="1"/>
  <c r="B589" i="44" s="1"/>
  <c r="B590" i="44" s="1"/>
  <c r="B591" i="44" s="1"/>
  <c r="B592" i="44" s="1"/>
  <c r="B593" i="44" s="1"/>
  <c r="B594" i="44" s="1"/>
  <c r="B595" i="44" s="1"/>
  <c r="B596" i="44" s="1"/>
  <c r="B597" i="44" s="1"/>
  <c r="B598" i="44" s="1"/>
  <c r="B599" i="44" s="1"/>
  <c r="B600" i="44" s="1"/>
  <c r="B601" i="44" s="1"/>
  <c r="B602" i="44" s="1"/>
  <c r="B603" i="44" s="1"/>
  <c r="B604" i="44" s="1"/>
  <c r="B605" i="44" s="1"/>
  <c r="B606" i="44" s="1"/>
  <c r="B607" i="44" s="1"/>
  <c r="B608" i="44" s="1"/>
  <c r="B609" i="44" s="1"/>
  <c r="B610" i="44" s="1"/>
  <c r="B611" i="44" s="1"/>
  <c r="B612" i="44" s="1"/>
  <c r="B613" i="44" s="1"/>
  <c r="B614" i="44" s="1"/>
  <c r="B615" i="44" s="1"/>
  <c r="B616" i="44" s="1"/>
  <c r="B617" i="44" s="1"/>
  <c r="B618" i="44" s="1"/>
  <c r="B619" i="44" s="1"/>
  <c r="B620" i="44" s="1"/>
  <c r="B621" i="44" s="1"/>
  <c r="B622" i="44" s="1"/>
  <c r="B623" i="44" s="1"/>
  <c r="B624" i="44" s="1"/>
  <c r="B625" i="44" s="1"/>
  <c r="B626" i="44" s="1"/>
  <c r="B627" i="44" s="1"/>
  <c r="B628" i="44" s="1"/>
  <c r="B629" i="44" s="1"/>
  <c r="B630" i="44" s="1"/>
  <c r="B631" i="44" s="1"/>
  <c r="B632" i="44" s="1"/>
  <c r="B633" i="44" s="1"/>
  <c r="B634" i="44" s="1"/>
  <c r="B635" i="44" s="1"/>
  <c r="B636" i="44" s="1"/>
  <c r="B637" i="44" s="1"/>
  <c r="B638" i="44" s="1"/>
  <c r="B639" i="44" s="1"/>
  <c r="B640" i="44" s="1"/>
  <c r="B641" i="44" s="1"/>
  <c r="B642" i="44" s="1"/>
  <c r="B643" i="44" s="1"/>
  <c r="B644" i="44" s="1"/>
  <c r="B645" i="44" s="1"/>
  <c r="B646" i="44" s="1"/>
  <c r="B647" i="44" s="1"/>
  <c r="B648" i="44" s="1"/>
  <c r="B649" i="44" s="1"/>
  <c r="B650" i="44" s="1"/>
  <c r="B651" i="44" s="1"/>
  <c r="B652" i="44" s="1"/>
  <c r="B653" i="44" s="1"/>
  <c r="B654" i="44" s="1"/>
  <c r="B655" i="44" s="1"/>
  <c r="B656" i="44" s="1"/>
  <c r="B657" i="44" s="1"/>
  <c r="B658" i="44" s="1"/>
  <c r="B659" i="44" s="1"/>
  <c r="B660" i="44" s="1"/>
  <c r="B661" i="44" s="1"/>
  <c r="B662" i="44" s="1"/>
  <c r="B663" i="44" s="1"/>
  <c r="B664" i="44" s="1"/>
  <c r="B665" i="44" s="1"/>
  <c r="B666" i="44" s="1"/>
  <c r="B667" i="44" s="1"/>
  <c r="B668" i="44" s="1"/>
  <c r="B669" i="44" s="1"/>
  <c r="B670" i="44" s="1"/>
  <c r="B671" i="44" s="1"/>
  <c r="B672" i="44" s="1"/>
  <c r="B673" i="44" s="1"/>
  <c r="B674" i="44" s="1"/>
  <c r="B675" i="44" s="1"/>
  <c r="B676" i="44" s="1"/>
  <c r="B677" i="44" s="1"/>
  <c r="B678" i="44" s="1"/>
  <c r="B679" i="44" s="1"/>
  <c r="B680" i="44" s="1"/>
  <c r="B681" i="44" s="1"/>
  <c r="B682" i="44" s="1"/>
  <c r="B683" i="44" s="1"/>
  <c r="B684" i="44" s="1"/>
  <c r="B685" i="44" s="1"/>
  <c r="B686" i="44" s="1"/>
  <c r="B687" i="44" s="1"/>
  <c r="B688" i="44" s="1"/>
  <c r="B689" i="44" s="1"/>
  <c r="B690" i="44" s="1"/>
  <c r="B691" i="44" s="1"/>
  <c r="B692" i="44" s="1"/>
  <c r="B693" i="44" s="1"/>
  <c r="B694" i="44" s="1"/>
  <c r="B695" i="44" s="1"/>
  <c r="B696" i="44" s="1"/>
  <c r="B697" i="44" s="1"/>
  <c r="B698" i="44" s="1"/>
  <c r="B699" i="44" s="1"/>
  <c r="B700" i="44" s="1"/>
  <c r="B701" i="44" s="1"/>
  <c r="B702" i="44" s="1"/>
  <c r="B703" i="44" s="1"/>
  <c r="B704" i="44" s="1"/>
  <c r="B705" i="44" s="1"/>
  <c r="B706" i="44" s="1"/>
  <c r="B707" i="44" s="1"/>
  <c r="B708" i="44" s="1"/>
  <c r="B709" i="44" s="1"/>
  <c r="B710" i="44" s="1"/>
  <c r="B711" i="44" s="1"/>
  <c r="B712" i="44" s="1"/>
  <c r="B713" i="44" s="1"/>
  <c r="B714" i="44" s="1"/>
  <c r="B715" i="44" s="1"/>
  <c r="B716" i="44" s="1"/>
  <c r="B717" i="44" s="1"/>
  <c r="B718" i="44" s="1"/>
  <c r="B719" i="44" s="1"/>
  <c r="B720" i="44" s="1"/>
  <c r="B721" i="44" s="1"/>
  <c r="B722" i="44" s="1"/>
  <c r="B723" i="44" s="1"/>
  <c r="B724" i="44" s="1"/>
  <c r="B725" i="44" s="1"/>
  <c r="B726" i="44" s="1"/>
  <c r="B727" i="44" s="1"/>
  <c r="B728" i="44" s="1"/>
  <c r="B729" i="44" s="1"/>
  <c r="B730" i="44" s="1"/>
  <c r="B731" i="44" s="1"/>
  <c r="B732" i="44" s="1"/>
  <c r="B733" i="44" s="1"/>
  <c r="B734" i="44" s="1"/>
  <c r="B735" i="44" s="1"/>
  <c r="B736" i="44" s="1"/>
  <c r="B737" i="44" s="1"/>
  <c r="B738" i="44" s="1"/>
  <c r="B739" i="44" s="1"/>
  <c r="B740" i="44" s="1"/>
  <c r="B741" i="44" s="1"/>
  <c r="B742" i="44" s="1"/>
  <c r="B743" i="44" s="1"/>
  <c r="B744" i="44" s="1"/>
  <c r="B745" i="44" s="1"/>
  <c r="B746" i="44" s="1"/>
  <c r="B747" i="44" s="1"/>
  <c r="B748" i="44" s="1"/>
  <c r="B749" i="44" s="1"/>
  <c r="B750" i="44" s="1"/>
  <c r="B751" i="44" s="1"/>
  <c r="B752" i="44" s="1"/>
  <c r="B753" i="44" s="1"/>
  <c r="B754" i="44" s="1"/>
  <c r="B755" i="44" s="1"/>
  <c r="B756" i="44" s="1"/>
  <c r="B757" i="44" s="1"/>
  <c r="B758" i="44" s="1"/>
  <c r="B759" i="44" s="1"/>
  <c r="B760" i="44" s="1"/>
  <c r="B761" i="44" s="1"/>
  <c r="B762" i="44" s="1"/>
  <c r="B763" i="44" s="1"/>
  <c r="B764" i="44" s="1"/>
  <c r="B765" i="44" s="1"/>
  <c r="B766" i="44" s="1"/>
  <c r="B767" i="44" s="1"/>
  <c r="B768" i="44" s="1"/>
  <c r="B769" i="44" s="1"/>
  <c r="B770" i="44" s="1"/>
  <c r="B771" i="44" s="1"/>
  <c r="B772" i="44" s="1"/>
  <c r="B773" i="44" s="1"/>
  <c r="B774" i="44" s="1"/>
  <c r="B775" i="44" s="1"/>
  <c r="B776" i="44" s="1"/>
  <c r="B777" i="44" s="1"/>
  <c r="B778" i="44" s="1"/>
  <c r="B779" i="44" s="1"/>
  <c r="B780" i="44" s="1"/>
  <c r="B781" i="44" s="1"/>
  <c r="B782" i="44" s="1"/>
  <c r="B783" i="44" s="1"/>
  <c r="B784" i="44" s="1"/>
  <c r="B785" i="44" s="1"/>
  <c r="B786" i="44" s="1"/>
  <c r="B787" i="44" s="1"/>
  <c r="B788" i="44" s="1"/>
  <c r="B789" i="44" s="1"/>
  <c r="B790" i="44" s="1"/>
  <c r="B791" i="44" s="1"/>
  <c r="B792" i="44" s="1"/>
  <c r="B793" i="44" s="1"/>
  <c r="B794" i="44" s="1"/>
  <c r="B795" i="44" s="1"/>
  <c r="B796" i="44" s="1"/>
  <c r="B797" i="44" s="1"/>
  <c r="B798" i="44" s="1"/>
  <c r="B799" i="44" s="1"/>
  <c r="B800" i="44" s="1"/>
  <c r="B801" i="44" s="1"/>
  <c r="B802" i="44" s="1"/>
  <c r="B803" i="44" s="1"/>
  <c r="B804" i="44" s="1"/>
  <c r="B805" i="44" s="1"/>
  <c r="B806" i="44" s="1"/>
  <c r="B807" i="44" s="1"/>
  <c r="B808" i="44" s="1"/>
  <c r="B809" i="44" s="1"/>
  <c r="B810" i="44" s="1"/>
  <c r="B811" i="44" s="1"/>
  <c r="B812" i="44" s="1"/>
  <c r="B813" i="44" s="1"/>
  <c r="B814" i="44" s="1"/>
  <c r="B815" i="44" s="1"/>
  <c r="B816" i="44" s="1"/>
  <c r="B817" i="44" s="1"/>
  <c r="B818" i="44" s="1"/>
  <c r="B819" i="44" s="1"/>
  <c r="B820" i="44" s="1"/>
  <c r="B821" i="44" s="1"/>
  <c r="B822" i="44" s="1"/>
  <c r="B823" i="44" s="1"/>
  <c r="B824" i="44" s="1"/>
  <c r="B825" i="44" s="1"/>
  <c r="B826" i="44" s="1"/>
  <c r="B827" i="44" s="1"/>
  <c r="B828" i="44" s="1"/>
  <c r="B829" i="44" s="1"/>
  <c r="B830" i="44" s="1"/>
  <c r="B831" i="44" s="1"/>
  <c r="B832" i="44" s="1"/>
  <c r="B833" i="44" s="1"/>
  <c r="B834" i="44" s="1"/>
  <c r="B835" i="44" s="1"/>
  <c r="B836" i="44" s="1"/>
  <c r="B837" i="44" s="1"/>
  <c r="B838" i="44" s="1"/>
  <c r="B839" i="44" s="1"/>
  <c r="B840" i="44" s="1"/>
  <c r="B841" i="44" s="1"/>
  <c r="B842" i="44" s="1"/>
  <c r="B843" i="44" s="1"/>
  <c r="B844" i="44" s="1"/>
  <c r="B845" i="44" s="1"/>
  <c r="B846" i="44" s="1"/>
  <c r="B847" i="44" s="1"/>
  <c r="B848" i="44" s="1"/>
  <c r="B849" i="44" s="1"/>
  <c r="B850" i="44" s="1"/>
  <c r="B851" i="44" s="1"/>
  <c r="B852" i="44" s="1"/>
  <c r="B853" i="44" s="1"/>
  <c r="B854" i="44" s="1"/>
  <c r="B855" i="44" s="1"/>
  <c r="B856" i="44" s="1"/>
  <c r="B857" i="44" s="1"/>
  <c r="B858" i="44" s="1"/>
  <c r="B859" i="44" s="1"/>
  <c r="B860" i="44" s="1"/>
  <c r="B861" i="44" s="1"/>
  <c r="B862" i="44" s="1"/>
  <c r="B863" i="44" s="1"/>
  <c r="B864" i="44" s="1"/>
  <c r="B865" i="44" s="1"/>
  <c r="B866" i="44" s="1"/>
  <c r="B867" i="44" s="1"/>
  <c r="B868" i="44" s="1"/>
  <c r="B869" i="44" s="1"/>
  <c r="B870" i="44" s="1"/>
  <c r="B871" i="44" s="1"/>
  <c r="H5" i="41"/>
  <c r="I20" i="44" s="1"/>
  <c r="I12" i="44"/>
  <c r="B23" i="39"/>
  <c r="B24" i="39" s="1"/>
  <c r="B25" i="39" s="1"/>
  <c r="B26" i="39" s="1"/>
  <c r="B27" i="39" s="1"/>
  <c r="B28" i="39" s="1"/>
  <c r="B29" i="39" s="1"/>
  <c r="B30" i="39" s="1"/>
  <c r="B31" i="39" s="1"/>
  <c r="B32" i="39" s="1"/>
  <c r="B33" i="39" s="1"/>
  <c r="B34" i="39" s="1"/>
  <c r="B35" i="39" s="1"/>
  <c r="B36" i="39" s="1"/>
  <c r="B37" i="39" s="1"/>
  <c r="B38" i="39" s="1"/>
  <c r="B39" i="39" s="1"/>
  <c r="B40" i="39" s="1"/>
  <c r="B41" i="39" s="1"/>
  <c r="B42" i="39" s="1"/>
  <c r="B43" i="39" s="1"/>
  <c r="B44" i="39" s="1"/>
  <c r="B45" i="39" s="1"/>
  <c r="B46" i="39" s="1"/>
  <c r="B47" i="39" s="1"/>
  <c r="B48" i="39" s="1"/>
  <c r="B49" i="39" s="1"/>
  <c r="B50" i="39" s="1"/>
  <c r="B51" i="39" s="1"/>
  <c r="B52" i="39" s="1"/>
  <c r="B53" i="39" s="1"/>
  <c r="B54" i="39" s="1"/>
  <c r="B55" i="39" s="1"/>
  <c r="B56" i="39" s="1"/>
  <c r="B57" i="39" s="1"/>
  <c r="B58" i="39" s="1"/>
  <c r="B59" i="39" s="1"/>
  <c r="B60" i="39" s="1"/>
  <c r="B61" i="39" s="1"/>
  <c r="E20" i="34"/>
  <c r="E19" i="34"/>
  <c r="E18" i="34"/>
  <c r="E15" i="34"/>
  <c r="E16" i="34"/>
  <c r="Y26" i="66" l="1"/>
  <c r="Z26" i="66" s="1"/>
  <c r="AB26" i="66"/>
  <c r="H25" i="66"/>
  <c r="V25" i="66" s="1"/>
  <c r="S25" i="66"/>
  <c r="K24" i="66"/>
  <c r="I24" i="66"/>
  <c r="N24" i="66"/>
  <c r="V24" i="66"/>
  <c r="W24" i="66"/>
  <c r="G26" i="66"/>
  <c r="F26" i="66"/>
  <c r="E27" i="66"/>
  <c r="D27" i="66"/>
  <c r="P26" i="66"/>
  <c r="M13" i="38"/>
  <c r="S12" i="38" s="1"/>
  <c r="AP14" i="66"/>
  <c r="C7" i="39"/>
  <c r="M7" i="39" s="1"/>
  <c r="AM14" i="66"/>
  <c r="BB117" i="56"/>
  <c r="E22" i="56"/>
  <c r="G22" i="56" s="1"/>
  <c r="I17" i="44"/>
  <c r="E54" i="56"/>
  <c r="G54" i="56" s="1"/>
  <c r="AD115" i="56"/>
  <c r="BN117" i="56"/>
  <c r="I15" i="44"/>
  <c r="D34" i="56"/>
  <c r="H34" i="56" s="1"/>
  <c r="AB34" i="56" s="1"/>
  <c r="AL115" i="56"/>
  <c r="R115" i="56"/>
  <c r="AT117" i="56"/>
  <c r="E50" i="56"/>
  <c r="G50" i="56" s="1"/>
  <c r="V20" i="44"/>
  <c r="I18" i="44"/>
  <c r="V19" i="44"/>
  <c r="BB109" i="56"/>
  <c r="J19" i="44"/>
  <c r="R117" i="56"/>
  <c r="Z115" i="56"/>
  <c r="AH117" i="56"/>
  <c r="AL109" i="56"/>
  <c r="AT115" i="56"/>
  <c r="BN115" i="56"/>
  <c r="U18" i="44"/>
  <c r="V18" i="44"/>
  <c r="D39" i="56"/>
  <c r="H39" i="56" s="1"/>
  <c r="AX39" i="56" s="1"/>
  <c r="U109" i="56"/>
  <c r="AC109" i="56"/>
  <c r="AK115" i="56"/>
  <c r="AS115" i="56"/>
  <c r="BE117" i="56"/>
  <c r="N117" i="56"/>
  <c r="Z109" i="56"/>
  <c r="AH115" i="56"/>
  <c r="AP115" i="56"/>
  <c r="AX117" i="56"/>
  <c r="E31" i="56"/>
  <c r="G31" i="56" s="1"/>
  <c r="U11" i="44"/>
  <c r="D18" i="56"/>
  <c r="H18" i="56" s="1"/>
  <c r="BD18" i="56" s="1"/>
  <c r="E10" i="56"/>
  <c r="G10" i="56" s="1"/>
  <c r="N115" i="56"/>
  <c r="V115" i="56"/>
  <c r="AD117" i="56"/>
  <c r="AP109" i="56"/>
  <c r="AX115" i="56"/>
  <c r="J31" i="56"/>
  <c r="T83" i="56"/>
  <c r="AZ83" i="56"/>
  <c r="AJ83" i="56"/>
  <c r="BM83" i="56"/>
  <c r="AR83" i="56"/>
  <c r="L83" i="56"/>
  <c r="BI83" i="56"/>
  <c r="BE83" i="56"/>
  <c r="BA83" i="56"/>
  <c r="AW83" i="56"/>
  <c r="AS83" i="56"/>
  <c r="AO83" i="56"/>
  <c r="AK83" i="56"/>
  <c r="AG83" i="56"/>
  <c r="AC83" i="56"/>
  <c r="U83" i="56"/>
  <c r="Q83" i="56"/>
  <c r="BL83" i="56"/>
  <c r="BD83" i="56"/>
  <c r="AV83" i="56"/>
  <c r="AN83" i="56"/>
  <c r="AF83" i="56"/>
  <c r="P83" i="56"/>
  <c r="AB83" i="56"/>
  <c r="K83" i="56"/>
  <c r="BK83" i="56"/>
  <c r="BG83" i="56"/>
  <c r="BC83" i="56"/>
  <c r="AY83" i="56"/>
  <c r="AU83" i="56"/>
  <c r="AM83" i="56"/>
  <c r="AI83" i="56"/>
  <c r="AE83" i="56"/>
  <c r="AA83" i="56"/>
  <c r="W83" i="56"/>
  <c r="S83" i="56"/>
  <c r="O83" i="56"/>
  <c r="W21" i="56"/>
  <c r="L25" i="56"/>
  <c r="AZ46" i="56"/>
  <c r="AI31" i="56"/>
  <c r="U16" i="44"/>
  <c r="U14" i="44"/>
  <c r="V13" i="44"/>
  <c r="U21" i="44"/>
  <c r="I11" i="44"/>
  <c r="I14" i="44"/>
  <c r="U15" i="44"/>
  <c r="D55" i="56"/>
  <c r="H55" i="56" s="1"/>
  <c r="AK55" i="56" s="1"/>
  <c r="E14" i="56"/>
  <c r="G14" i="56" s="1"/>
  <c r="D12" i="56"/>
  <c r="H12" i="56" s="1"/>
  <c r="BO9" i="56"/>
  <c r="BO45" i="56" s="1"/>
  <c r="AY96" i="56"/>
  <c r="AY97" i="56" s="1"/>
  <c r="AY113" i="56" s="1"/>
  <c r="V21" i="44"/>
  <c r="J21" i="44"/>
  <c r="J13" i="44"/>
  <c r="E46" i="56"/>
  <c r="G46" i="56" s="1"/>
  <c r="V14" i="44"/>
  <c r="V15" i="44"/>
  <c r="U19" i="44"/>
  <c r="I13" i="44"/>
  <c r="J12" i="56"/>
  <c r="BP8" i="56"/>
  <c r="BP9" i="56" s="1"/>
  <c r="BP114" i="56" s="1"/>
  <c r="U17" i="44"/>
  <c r="J15" i="44"/>
  <c r="J12" i="44"/>
  <c r="I19" i="44"/>
  <c r="U12" i="44"/>
  <c r="E38" i="56"/>
  <c r="G38" i="56" s="1"/>
  <c r="J20" i="56"/>
  <c r="D33" i="56"/>
  <c r="H33" i="56" s="1"/>
  <c r="BL33" i="56" s="1"/>
  <c r="J10" i="56"/>
  <c r="J49" i="56"/>
  <c r="J16" i="44"/>
  <c r="D53" i="56"/>
  <c r="H53" i="56" s="1"/>
  <c r="BK53" i="56" s="1"/>
  <c r="J41" i="56"/>
  <c r="E25" i="56"/>
  <c r="G25" i="56" s="1"/>
  <c r="BG52" i="56"/>
  <c r="AA14" i="56"/>
  <c r="J23" i="56"/>
  <c r="X96" i="56"/>
  <c r="X97" i="56" s="1"/>
  <c r="X113" i="56" s="1"/>
  <c r="AE96" i="56"/>
  <c r="AE97" i="56" s="1"/>
  <c r="AE113" i="56" s="1"/>
  <c r="AJ96" i="56"/>
  <c r="AJ97" i="56" s="1"/>
  <c r="AJ113" i="56" s="1"/>
  <c r="L96" i="56"/>
  <c r="L97" i="56" s="1"/>
  <c r="L113" i="56" s="1"/>
  <c r="AQ96" i="56"/>
  <c r="AQ97" i="56" s="1"/>
  <c r="AQ113" i="56" s="1"/>
  <c r="AA96" i="56"/>
  <c r="AA97" i="56" s="1"/>
  <c r="AA113" i="56" s="1"/>
  <c r="T96" i="56"/>
  <c r="T97" i="56" s="1"/>
  <c r="T113" i="56" s="1"/>
  <c r="J11" i="56"/>
  <c r="J19" i="56"/>
  <c r="BC50" i="56"/>
  <c r="AF34" i="56"/>
  <c r="AQ54" i="56"/>
  <c r="AB54" i="56"/>
  <c r="D37" i="56"/>
  <c r="H37" i="56" s="1"/>
  <c r="X37" i="56" s="1"/>
  <c r="D20" i="56"/>
  <c r="H20" i="56" s="1"/>
  <c r="BK20" i="56" s="1"/>
  <c r="P117" i="56"/>
  <c r="AN109" i="56"/>
  <c r="AV117" i="56"/>
  <c r="AE109" i="56"/>
  <c r="BK109" i="56"/>
  <c r="AF109" i="56"/>
  <c r="BL109" i="56"/>
  <c r="X83" i="56"/>
  <c r="P17" i="56"/>
  <c r="J36" i="56"/>
  <c r="AF115" i="56"/>
  <c r="BL115" i="56"/>
  <c r="AO115" i="56"/>
  <c r="O117" i="56"/>
  <c r="AU117" i="56"/>
  <c r="O96" i="56"/>
  <c r="O97" i="56" s="1"/>
  <c r="O113" i="56" s="1"/>
  <c r="X109" i="56"/>
  <c r="AF117" i="56"/>
  <c r="BD109" i="56"/>
  <c r="AG109" i="56"/>
  <c r="BM109" i="56"/>
  <c r="O109" i="56"/>
  <c r="AU109" i="56"/>
  <c r="AB96" i="56"/>
  <c r="AB97" i="56" s="1"/>
  <c r="AB113" i="56" s="1"/>
  <c r="D15" i="56"/>
  <c r="H15" i="56" s="1"/>
  <c r="AA15" i="56" s="1"/>
  <c r="D26" i="56"/>
  <c r="H26" i="56" s="1"/>
  <c r="D24" i="56"/>
  <c r="H24" i="56" s="1"/>
  <c r="X115" i="56"/>
  <c r="BD115" i="56"/>
  <c r="AG115" i="56"/>
  <c r="BM115" i="56"/>
  <c r="AM109" i="56"/>
  <c r="BD96" i="56"/>
  <c r="BD97" i="56" s="1"/>
  <c r="BD113" i="56" s="1"/>
  <c r="V16" i="44"/>
  <c r="V17" i="44"/>
  <c r="D19" i="56"/>
  <c r="H19" i="56" s="1"/>
  <c r="AY19" i="56" s="1"/>
  <c r="D43" i="56"/>
  <c r="H43" i="56" s="1"/>
  <c r="AA43" i="56" s="1"/>
  <c r="D42" i="56"/>
  <c r="H42" i="56" s="1"/>
  <c r="AM42" i="56" s="1"/>
  <c r="D32" i="56"/>
  <c r="H32" i="56" s="1"/>
  <c r="BH32" i="56" s="1"/>
  <c r="P109" i="56"/>
  <c r="AV109" i="56"/>
  <c r="Y109" i="56"/>
  <c r="BE109" i="56"/>
  <c r="AM117" i="56"/>
  <c r="BG96" i="56"/>
  <c r="BG97" i="56" s="1"/>
  <c r="BG113" i="56" s="1"/>
  <c r="J14" i="44"/>
  <c r="D51" i="56"/>
  <c r="H51" i="56" s="1"/>
  <c r="AN51" i="56" s="1"/>
  <c r="Z9" i="39"/>
  <c r="C9" i="39"/>
  <c r="BO96" i="56"/>
  <c r="BO97" i="56" s="1"/>
  <c r="BO113" i="56" s="1"/>
  <c r="BO83" i="56"/>
  <c r="AR38" i="56"/>
  <c r="AF38" i="56"/>
  <c r="BK38" i="56"/>
  <c r="AM38" i="56"/>
  <c r="AB38" i="56"/>
  <c r="P30" i="56"/>
  <c r="S30" i="56"/>
  <c r="BL30" i="56"/>
  <c r="AI30" i="56"/>
  <c r="AY30" i="56"/>
  <c r="AU22" i="56"/>
  <c r="BH22" i="56"/>
  <c r="BC22" i="56"/>
  <c r="T22" i="56"/>
  <c r="W22" i="56"/>
  <c r="AU54" i="56"/>
  <c r="AK96" i="56"/>
  <c r="AK97" i="56" s="1"/>
  <c r="AK113" i="56" s="1"/>
  <c r="AU96" i="56"/>
  <c r="AU97" i="56" s="1"/>
  <c r="AU113" i="56" s="1"/>
  <c r="AO96" i="56"/>
  <c r="AO97" i="56" s="1"/>
  <c r="AO113" i="56" s="1"/>
  <c r="AZ96" i="56"/>
  <c r="AZ97" i="56" s="1"/>
  <c r="AZ113" i="56" s="1"/>
  <c r="AN96" i="56"/>
  <c r="AN97" i="56" s="1"/>
  <c r="AN113" i="56" s="1"/>
  <c r="W96" i="56"/>
  <c r="W97" i="56" s="1"/>
  <c r="W113" i="56" s="1"/>
  <c r="P96" i="56"/>
  <c r="P97" i="56" s="1"/>
  <c r="P113" i="56" s="1"/>
  <c r="AQ83" i="56"/>
  <c r="AR23" i="56"/>
  <c r="BA54" i="56"/>
  <c r="E21" i="56"/>
  <c r="G21" i="56" s="1"/>
  <c r="AR96" i="56"/>
  <c r="AR97" i="56" s="1"/>
  <c r="AR113" i="56" s="1"/>
  <c r="AS96" i="56"/>
  <c r="AS97" i="56" s="1"/>
  <c r="AS113" i="56" s="1"/>
  <c r="BH96" i="56"/>
  <c r="BH97" i="56" s="1"/>
  <c r="BH113" i="56" s="1"/>
  <c r="S96" i="56"/>
  <c r="S97" i="56" s="1"/>
  <c r="S113" i="56" s="1"/>
  <c r="Q96" i="56"/>
  <c r="Q97" i="56" s="1"/>
  <c r="Q113" i="56" s="1"/>
  <c r="AM96" i="56"/>
  <c r="AM97" i="56" s="1"/>
  <c r="AM113" i="56" s="1"/>
  <c r="BE96" i="56"/>
  <c r="BE97" i="56" s="1"/>
  <c r="BE113" i="56" s="1"/>
  <c r="BM96" i="56"/>
  <c r="BM97" i="56" s="1"/>
  <c r="BM113" i="56" s="1"/>
  <c r="BA96" i="56"/>
  <c r="BA97" i="56" s="1"/>
  <c r="BA113" i="56" s="1"/>
  <c r="AW96" i="56"/>
  <c r="AW97" i="56" s="1"/>
  <c r="AW113" i="56" s="1"/>
  <c r="AG96" i="56"/>
  <c r="AG97" i="56" s="1"/>
  <c r="AG113" i="56" s="1"/>
  <c r="Y96" i="56"/>
  <c r="Y97" i="56" s="1"/>
  <c r="Y113" i="56" s="1"/>
  <c r="U96" i="56"/>
  <c r="U97" i="56" s="1"/>
  <c r="U113" i="56" s="1"/>
  <c r="M83" i="56"/>
  <c r="D47" i="56"/>
  <c r="H47" i="56" s="1"/>
  <c r="BL47" i="56" s="1"/>
  <c r="D49" i="56"/>
  <c r="H49" i="56" s="1"/>
  <c r="S49" i="56" s="1"/>
  <c r="E30" i="56"/>
  <c r="G30" i="56" s="1"/>
  <c r="AF96" i="56"/>
  <c r="AF97" i="56" s="1"/>
  <c r="AF113" i="56" s="1"/>
  <c r="AI96" i="56"/>
  <c r="AI97" i="56" s="1"/>
  <c r="AI113" i="56" s="1"/>
  <c r="BC96" i="56"/>
  <c r="BC97" i="56" s="1"/>
  <c r="BC113" i="56" s="1"/>
  <c r="BK96" i="56"/>
  <c r="BK97" i="56" s="1"/>
  <c r="BK113" i="56" s="1"/>
  <c r="AV96" i="56"/>
  <c r="AV97" i="56" s="1"/>
  <c r="AV113" i="56" s="1"/>
  <c r="E48" i="56"/>
  <c r="G48" i="56" s="1"/>
  <c r="D48" i="56"/>
  <c r="H48" i="56" s="1"/>
  <c r="AA48" i="56" s="1"/>
  <c r="AA46" i="56"/>
  <c r="BG46" i="56"/>
  <c r="AY46" i="56"/>
  <c r="AQ46" i="56"/>
  <c r="BD46" i="56"/>
  <c r="AN46" i="56"/>
  <c r="T46" i="56"/>
  <c r="E44" i="56"/>
  <c r="G44" i="56" s="1"/>
  <c r="D44" i="56"/>
  <c r="H44" i="56" s="1"/>
  <c r="P44" i="56" s="1"/>
  <c r="BN83" i="56"/>
  <c r="BN96" i="56"/>
  <c r="BN97" i="56" s="1"/>
  <c r="BN113" i="56" s="1"/>
  <c r="BJ96" i="56"/>
  <c r="BJ97" i="56" s="1"/>
  <c r="BJ113" i="56" s="1"/>
  <c r="BJ83" i="56"/>
  <c r="BF83" i="56"/>
  <c r="BF96" i="56"/>
  <c r="BF97" i="56" s="1"/>
  <c r="BF113" i="56" s="1"/>
  <c r="BB83" i="56"/>
  <c r="BB96" i="56"/>
  <c r="BB97" i="56" s="1"/>
  <c r="BB113" i="56" s="1"/>
  <c r="AX83" i="56"/>
  <c r="AX96" i="56"/>
  <c r="AX97" i="56" s="1"/>
  <c r="AX113" i="56" s="1"/>
  <c r="AT83" i="56"/>
  <c r="AT96" i="56"/>
  <c r="AT97" i="56" s="1"/>
  <c r="AT113" i="56" s="1"/>
  <c r="AP96" i="56"/>
  <c r="AP97" i="56" s="1"/>
  <c r="AP113" i="56" s="1"/>
  <c r="AP83" i="56"/>
  <c r="AL96" i="56"/>
  <c r="AL97" i="56" s="1"/>
  <c r="AL113" i="56" s="1"/>
  <c r="AL83" i="56"/>
  <c r="AH83" i="56"/>
  <c r="AH96" i="56"/>
  <c r="AH97" i="56" s="1"/>
  <c r="AH113" i="56" s="1"/>
  <c r="AD83" i="56"/>
  <c r="AD96" i="56"/>
  <c r="AD97" i="56" s="1"/>
  <c r="AD113" i="56" s="1"/>
  <c r="Z83" i="56"/>
  <c r="Z96" i="56"/>
  <c r="Z97" i="56" s="1"/>
  <c r="Z113" i="56" s="1"/>
  <c r="V83" i="56"/>
  <c r="V96" i="56"/>
  <c r="V97" i="56" s="1"/>
  <c r="V113" i="56" s="1"/>
  <c r="R96" i="56"/>
  <c r="R97" i="56" s="1"/>
  <c r="R113" i="56" s="1"/>
  <c r="R83" i="56"/>
  <c r="N83" i="56"/>
  <c r="N96" i="56"/>
  <c r="N97" i="56" s="1"/>
  <c r="N113" i="56" s="1"/>
  <c r="U20" i="44"/>
  <c r="J17" i="44"/>
  <c r="I16" i="44"/>
  <c r="J20" i="44"/>
  <c r="U13" i="44"/>
  <c r="V12" i="44"/>
  <c r="J18" i="44"/>
  <c r="V11" i="44"/>
  <c r="J11" i="44"/>
  <c r="I21" i="44"/>
  <c r="AQ17" i="56"/>
  <c r="AA17" i="56"/>
  <c r="AZ17" i="56"/>
  <c r="T17" i="56"/>
  <c r="BD17" i="56"/>
  <c r="AB50" i="56"/>
  <c r="AJ50" i="56"/>
  <c r="AQ14" i="56"/>
  <c r="BG14" i="56"/>
  <c r="BH35" i="56"/>
  <c r="AU35" i="56"/>
  <c r="S35" i="56"/>
  <c r="BG35" i="56"/>
  <c r="AB35" i="56"/>
  <c r="K35" i="56"/>
  <c r="AJ35" i="56"/>
  <c r="AQ45" i="56"/>
  <c r="S45" i="56"/>
  <c r="BK27" i="56"/>
  <c r="AM27" i="56"/>
  <c r="P52" i="56"/>
  <c r="BK52" i="56"/>
  <c r="D41" i="56"/>
  <c r="H41" i="56" s="1"/>
  <c r="AY41" i="56" s="1"/>
  <c r="E41" i="56"/>
  <c r="G41" i="56" s="1"/>
  <c r="E16" i="56"/>
  <c r="G16" i="56" s="1"/>
  <c r="BO16" i="56" s="1"/>
  <c r="D16" i="56"/>
  <c r="H16" i="56" s="1"/>
  <c r="AF14" i="56"/>
  <c r="AN14" i="56"/>
  <c r="X14" i="56"/>
  <c r="BL14" i="56"/>
  <c r="AI14" i="56"/>
  <c r="U31" i="56"/>
  <c r="E29" i="56"/>
  <c r="G29" i="56" s="1"/>
  <c r="D29" i="56"/>
  <c r="H29" i="56" s="1"/>
  <c r="W29" i="56" s="1"/>
  <c r="BG30" i="56"/>
  <c r="AV30" i="56"/>
  <c r="BD30" i="56"/>
  <c r="AQ30" i="56"/>
  <c r="E28" i="56"/>
  <c r="G28" i="56" s="1"/>
  <c r="D28" i="56"/>
  <c r="H28" i="56" s="1"/>
  <c r="Z28" i="56" s="1"/>
  <c r="AI34" i="56"/>
  <c r="AE34" i="56"/>
  <c r="E13" i="56"/>
  <c r="G13" i="56" s="1"/>
  <c r="D13" i="56"/>
  <c r="H13" i="56" s="1"/>
  <c r="U13" i="56" s="1"/>
  <c r="I27" i="56"/>
  <c r="K20" i="65" s="1"/>
  <c r="J27" i="56"/>
  <c r="BK54" i="56"/>
  <c r="BI54" i="56"/>
  <c r="AU38" i="56"/>
  <c r="K38" i="56"/>
  <c r="BH38" i="56"/>
  <c r="W38" i="56"/>
  <c r="AM22" i="56"/>
  <c r="X22" i="56"/>
  <c r="L22" i="56"/>
  <c r="AE22" i="56"/>
  <c r="AP50" i="56"/>
  <c r="BJ109" i="56"/>
  <c r="BJ115" i="56"/>
  <c r="BF115" i="56"/>
  <c r="BF117" i="56"/>
  <c r="D40" i="56"/>
  <c r="H40" i="56" s="1"/>
  <c r="O22" i="56"/>
  <c r="AE38" i="56"/>
  <c r="BC38" i="56"/>
  <c r="BK22" i="56"/>
  <c r="BM38" i="56"/>
  <c r="J15" i="56"/>
  <c r="J43" i="56"/>
  <c r="E36" i="56"/>
  <c r="G36" i="56" s="1"/>
  <c r="D36" i="56"/>
  <c r="H36" i="56" s="1"/>
  <c r="AW36" i="56" s="1"/>
  <c r="BM50" i="56"/>
  <c r="AK50" i="56"/>
  <c r="Q45" i="56"/>
  <c r="K96" i="56"/>
  <c r="K97" i="56" s="1"/>
  <c r="K113" i="56" s="1"/>
  <c r="BL96" i="56"/>
  <c r="BL97" i="56" s="1"/>
  <c r="BL113" i="56" s="1"/>
  <c r="AC96" i="56"/>
  <c r="AC97" i="56" s="1"/>
  <c r="AC113" i="56" s="1"/>
  <c r="Y83" i="56"/>
  <c r="M96" i="56"/>
  <c r="M97" i="56" s="1"/>
  <c r="M113" i="56" s="1"/>
  <c r="BI96" i="56"/>
  <c r="BI97" i="56" s="1"/>
  <c r="BI113" i="56" s="1"/>
  <c r="AB17" i="56"/>
  <c r="L17" i="56"/>
  <c r="AI17" i="56"/>
  <c r="Y35" i="56"/>
  <c r="AJ17" i="56"/>
  <c r="AY35" i="56"/>
  <c r="AZ27" i="56"/>
  <c r="S46" i="56"/>
  <c r="AJ38" i="56"/>
  <c r="AV38" i="56"/>
  <c r="L54" i="56"/>
  <c r="J30" i="56"/>
  <c r="AI45" i="56"/>
  <c r="AV45" i="56"/>
  <c r="J46" i="56"/>
  <c r="X17" i="56"/>
  <c r="AV34" i="56"/>
  <c r="Y17" i="56"/>
  <c r="BH10" i="56"/>
  <c r="AJ10" i="56"/>
  <c r="AE10" i="56"/>
  <c r="AJ11" i="56"/>
  <c r="X11" i="56"/>
  <c r="AB11" i="56"/>
  <c r="K27" i="56"/>
  <c r="AE27" i="56"/>
  <c r="AI27" i="56"/>
  <c r="W27" i="56"/>
  <c r="AV27" i="56"/>
  <c r="O27" i="56"/>
  <c r="S27" i="56"/>
  <c r="T27" i="56"/>
  <c r="BH27" i="56"/>
  <c r="AB27" i="56"/>
  <c r="AU27" i="56"/>
  <c r="BG27" i="56"/>
  <c r="AV35" i="56"/>
  <c r="AZ35" i="56"/>
  <c r="W35" i="56"/>
  <c r="L35" i="56"/>
  <c r="BK35" i="56"/>
  <c r="AQ35" i="56"/>
  <c r="T35" i="56"/>
  <c r="P35" i="56"/>
  <c r="BL35" i="56"/>
  <c r="AM35" i="56"/>
  <c r="S52" i="56"/>
  <c r="K52" i="56"/>
  <c r="AM52" i="56"/>
  <c r="AA52" i="56"/>
  <c r="AY52" i="56"/>
  <c r="AV52" i="56"/>
  <c r="W52" i="56"/>
  <c r="AR52" i="56"/>
  <c r="O52" i="56"/>
  <c r="L52" i="56"/>
  <c r="BA52" i="56"/>
  <c r="X52" i="56"/>
  <c r="BL52" i="56"/>
  <c r="BC17" i="56"/>
  <c r="BG17" i="56"/>
  <c r="BK17" i="56"/>
  <c r="BL17" i="56"/>
  <c r="AE17" i="56"/>
  <c r="AN17" i="56"/>
  <c r="AU17" i="56"/>
  <c r="AF17" i="56"/>
  <c r="AV17" i="56"/>
  <c r="O17" i="56"/>
  <c r="BM17" i="56"/>
  <c r="BD25" i="56"/>
  <c r="BC25" i="56"/>
  <c r="AZ25" i="56"/>
  <c r="AM25" i="56"/>
  <c r="W25" i="56"/>
  <c r="AQ25" i="56"/>
  <c r="AZ18" i="56"/>
  <c r="L34" i="56"/>
  <c r="X34" i="56"/>
  <c r="BH34" i="56"/>
  <c r="AJ34" i="56"/>
  <c r="AA34" i="56"/>
  <c r="BK34" i="56"/>
  <c r="BL34" i="56"/>
  <c r="AY34" i="56"/>
  <c r="AR34" i="56"/>
  <c r="P34" i="56"/>
  <c r="AN35" i="56"/>
  <c r="T34" i="56"/>
  <c r="BG34" i="56"/>
  <c r="AQ34" i="56"/>
  <c r="M17" i="56"/>
  <c r="BD35" i="56"/>
  <c r="AR17" i="56"/>
  <c r="AN52" i="56"/>
  <c r="AK52" i="56"/>
  <c r="BK11" i="56"/>
  <c r="M30" i="56"/>
  <c r="J34" i="56"/>
  <c r="J50" i="56"/>
  <c r="J38" i="56"/>
  <c r="J42" i="56"/>
  <c r="AR21" i="56"/>
  <c r="BG21" i="56"/>
  <c r="M10" i="56"/>
  <c r="AU10" i="56"/>
  <c r="AZ10" i="56"/>
  <c r="BM21" i="56"/>
  <c r="BM42" i="56"/>
  <c r="AO10" i="56"/>
  <c r="AO14" i="56"/>
  <c r="AO35" i="56"/>
  <c r="Y22" i="56"/>
  <c r="Y52" i="56"/>
  <c r="Q30" i="56"/>
  <c r="U34" i="56"/>
  <c r="BM45" i="56"/>
  <c r="AQ50" i="56"/>
  <c r="BK50" i="56"/>
  <c r="Q21" i="56"/>
  <c r="AB10" i="56"/>
  <c r="BL22" i="56"/>
  <c r="BL10" i="56"/>
  <c r="BL46" i="56"/>
  <c r="BL21" i="56"/>
  <c r="BL38" i="56"/>
  <c r="BL27" i="56"/>
  <c r="BH14" i="56"/>
  <c r="BH54" i="56"/>
  <c r="BH52" i="56"/>
  <c r="BH17" i="56"/>
  <c r="BD10" i="56"/>
  <c r="BD14" i="56"/>
  <c r="BD27" i="56"/>
  <c r="BD22" i="56"/>
  <c r="BD52" i="56"/>
  <c r="BD42" i="56"/>
  <c r="BD34" i="56"/>
  <c r="AZ30" i="56"/>
  <c r="AZ14" i="56"/>
  <c r="AZ52" i="56"/>
  <c r="AZ54" i="56"/>
  <c r="AZ38" i="56"/>
  <c r="AZ11" i="56"/>
  <c r="AZ50" i="56"/>
  <c r="AZ34" i="56"/>
  <c r="AV22" i="56"/>
  <c r="AV14" i="56"/>
  <c r="AV10" i="56"/>
  <c r="AV46" i="56"/>
  <c r="AR14" i="56"/>
  <c r="AR10" i="56"/>
  <c r="AR22" i="56"/>
  <c r="AR25" i="56"/>
  <c r="AR27" i="56"/>
  <c r="AR35" i="56"/>
  <c r="AN10" i="56"/>
  <c r="AN22" i="56"/>
  <c r="AN27" i="56"/>
  <c r="AN30" i="56"/>
  <c r="AN34" i="56"/>
  <c r="AJ54" i="56"/>
  <c r="AJ22" i="56"/>
  <c r="AJ46" i="56"/>
  <c r="AJ27" i="56"/>
  <c r="AJ52" i="56"/>
  <c r="AF22" i="56"/>
  <c r="AF30" i="56"/>
  <c r="AF27" i="56"/>
  <c r="AF52" i="56"/>
  <c r="AB14" i="56"/>
  <c r="AB30" i="56"/>
  <c r="AB52" i="56"/>
  <c r="AB22" i="56"/>
  <c r="X10" i="56"/>
  <c r="X30" i="56"/>
  <c r="X27" i="56"/>
  <c r="X46" i="56"/>
  <c r="X25" i="56"/>
  <c r="X35" i="56"/>
  <c r="T30" i="56"/>
  <c r="T54" i="56"/>
  <c r="T10" i="56"/>
  <c r="T38" i="56"/>
  <c r="T52" i="56"/>
  <c r="T50" i="56"/>
  <c r="P22" i="56"/>
  <c r="P38" i="56"/>
  <c r="P24" i="56"/>
  <c r="P27" i="56"/>
  <c r="P10" i="56"/>
  <c r="P14" i="56"/>
  <c r="P25" i="56"/>
  <c r="L38" i="56"/>
  <c r="L30" i="56"/>
  <c r="L27" i="56"/>
  <c r="L45" i="56"/>
  <c r="BK10" i="56"/>
  <c r="O10" i="56"/>
  <c r="L10" i="56"/>
  <c r="BI27" i="56"/>
  <c r="BA46" i="56"/>
  <c r="AS50" i="56"/>
  <c r="AK11" i="56"/>
  <c r="AC45" i="56"/>
  <c r="U35" i="56"/>
  <c r="U17" i="56"/>
  <c r="AO17" i="56"/>
  <c r="BE35" i="56"/>
  <c r="BG45" i="56"/>
  <c r="AY50" i="56"/>
  <c r="BH50" i="56"/>
  <c r="BA27" i="56"/>
  <c r="AN25" i="56"/>
  <c r="AE11" i="56"/>
  <c r="K11" i="56"/>
  <c r="W11" i="56"/>
  <c r="AA27" i="56"/>
  <c r="BC27" i="56"/>
  <c r="AY27" i="56"/>
  <c r="AQ27" i="56"/>
  <c r="AF35" i="56"/>
  <c r="O35" i="56"/>
  <c r="AE35" i="56"/>
  <c r="AA35" i="56"/>
  <c r="AI35" i="56"/>
  <c r="BC35" i="56"/>
  <c r="AI52" i="56"/>
  <c r="AU52" i="56"/>
  <c r="AE52" i="56"/>
  <c r="BC52" i="56"/>
  <c r="AQ52" i="56"/>
  <c r="W17" i="56"/>
  <c r="AY17" i="56"/>
  <c r="K17" i="56"/>
  <c r="S17" i="56"/>
  <c r="BG25" i="56"/>
  <c r="O25" i="56"/>
  <c r="K25" i="56"/>
  <c r="AA25" i="56"/>
  <c r="S18" i="56"/>
  <c r="AE24" i="56"/>
  <c r="W34" i="56"/>
  <c r="O34" i="56"/>
  <c r="P46" i="56"/>
  <c r="T14" i="56"/>
  <c r="AF46" i="56"/>
  <c r="AJ14" i="56"/>
  <c r="AR30" i="56"/>
  <c r="AZ22" i="56"/>
  <c r="BH30" i="56"/>
  <c r="AK14" i="56"/>
  <c r="AF10" i="56"/>
  <c r="AR54" i="56"/>
  <c r="L46" i="56"/>
  <c r="L14" i="56"/>
  <c r="I26" i="56"/>
  <c r="K19" i="65" s="1"/>
  <c r="J26" i="56"/>
  <c r="I22" i="56"/>
  <c r="K15" i="65" s="1"/>
  <c r="J22" i="56"/>
  <c r="I18" i="56"/>
  <c r="K11" i="65" s="1"/>
  <c r="J18" i="56"/>
  <c r="I53" i="56"/>
  <c r="K46" i="65" s="1"/>
  <c r="J53" i="56"/>
  <c r="I37" i="56"/>
  <c r="K30" i="65" s="1"/>
  <c r="J37" i="56"/>
  <c r="I33" i="56"/>
  <c r="K26" i="65" s="1"/>
  <c r="J33" i="56"/>
  <c r="I45" i="56"/>
  <c r="K38" i="65" s="1"/>
  <c r="J45" i="56"/>
  <c r="J14" i="56"/>
  <c r="BO35" i="56"/>
  <c r="J44" i="56"/>
  <c r="J17" i="56"/>
  <c r="J25" i="56"/>
  <c r="BE17" i="56"/>
  <c r="X45" i="56"/>
  <c r="AG35" i="56"/>
  <c r="M34" i="56"/>
  <c r="AB45" i="56"/>
  <c r="BC45" i="56"/>
  <c r="AM45" i="56"/>
  <c r="W45" i="56"/>
  <c r="AK34" i="56"/>
  <c r="AS17" i="56"/>
  <c r="BA17" i="56"/>
  <c r="AW45" i="56"/>
  <c r="BD45" i="56"/>
  <c r="AR50" i="56"/>
  <c r="U50" i="56"/>
  <c r="AB21" i="56"/>
  <c r="BA25" i="56"/>
  <c r="Z16" i="56"/>
  <c r="BA23" i="56"/>
  <c r="L23" i="56"/>
  <c r="AU23" i="56"/>
  <c r="AY23" i="56"/>
  <c r="BK23" i="56"/>
  <c r="AM23" i="56"/>
  <c r="AA23" i="56"/>
  <c r="S23" i="56"/>
  <c r="X23" i="56"/>
  <c r="O23" i="56"/>
  <c r="BH23" i="56"/>
  <c r="AQ23" i="56"/>
  <c r="AJ23" i="56"/>
  <c r="K23" i="56"/>
  <c r="AN31" i="56"/>
  <c r="AY31" i="56"/>
  <c r="K31" i="56"/>
  <c r="T31" i="56"/>
  <c r="AF31" i="56"/>
  <c r="AM31" i="56"/>
  <c r="BD31" i="56"/>
  <c r="AE21" i="56"/>
  <c r="AZ21" i="56"/>
  <c r="BD21" i="56"/>
  <c r="L21" i="56"/>
  <c r="AJ21" i="56"/>
  <c r="AU21" i="56"/>
  <c r="AQ21" i="56"/>
  <c r="X21" i="56"/>
  <c r="AV21" i="56"/>
  <c r="BK21" i="56"/>
  <c r="P21" i="56"/>
  <c r="AM21" i="56"/>
  <c r="K21" i="56"/>
  <c r="AI21" i="56"/>
  <c r="BH21" i="56"/>
  <c r="AF21" i="56"/>
  <c r="BC21" i="56"/>
  <c r="AY21" i="56"/>
  <c r="S21" i="56"/>
  <c r="AA21" i="56"/>
  <c r="AN21" i="56"/>
  <c r="U45" i="56"/>
  <c r="AE45" i="56"/>
  <c r="AJ45" i="56"/>
  <c r="BH45" i="56"/>
  <c r="P45" i="56"/>
  <c r="AU45" i="56"/>
  <c r="AY45" i="56"/>
  <c r="T45" i="56"/>
  <c r="AR45" i="56"/>
  <c r="K45" i="56"/>
  <c r="BL45" i="56"/>
  <c r="AZ45" i="56"/>
  <c r="AA45" i="56"/>
  <c r="AM53" i="56"/>
  <c r="AE50" i="56"/>
  <c r="O50" i="56"/>
  <c r="P50" i="56"/>
  <c r="AU50" i="56"/>
  <c r="K50" i="56"/>
  <c r="AM50" i="56"/>
  <c r="X50" i="56"/>
  <c r="AA50" i="56"/>
  <c r="AV50" i="56"/>
  <c r="L50" i="56"/>
  <c r="AI50" i="56"/>
  <c r="BL50" i="56"/>
  <c r="W50" i="56"/>
  <c r="BG50" i="56"/>
  <c r="AN50" i="56"/>
  <c r="P12" i="56"/>
  <c r="BH12" i="56"/>
  <c r="AU12" i="56"/>
  <c r="AY12" i="56"/>
  <c r="BM14" i="56"/>
  <c r="BM46" i="56"/>
  <c r="BM22" i="56"/>
  <c r="BM10" i="56"/>
  <c r="BM30" i="56"/>
  <c r="BM27" i="56"/>
  <c r="BM52" i="56"/>
  <c r="BM35" i="56"/>
  <c r="BM34" i="56"/>
  <c r="BI38" i="56"/>
  <c r="BI14" i="56"/>
  <c r="BI46" i="56"/>
  <c r="BI23" i="56"/>
  <c r="BI30" i="56"/>
  <c r="BI10" i="56"/>
  <c r="BI12" i="56"/>
  <c r="BI52" i="56"/>
  <c r="BI22" i="56"/>
  <c r="BI45" i="56"/>
  <c r="BI35" i="56"/>
  <c r="BI21" i="56"/>
  <c r="BI34" i="56"/>
  <c r="BI17" i="56"/>
  <c r="BE30" i="56"/>
  <c r="BE23" i="56"/>
  <c r="BE25" i="56"/>
  <c r="BE38" i="56"/>
  <c r="BE21" i="56"/>
  <c r="BE52" i="56"/>
  <c r="BE50" i="56"/>
  <c r="BE14" i="56"/>
  <c r="BE10" i="56"/>
  <c r="BE27" i="56"/>
  <c r="BE22" i="56"/>
  <c r="BE34" i="56"/>
  <c r="BA22" i="56"/>
  <c r="BA10" i="56"/>
  <c r="BA31" i="56"/>
  <c r="BA30" i="56"/>
  <c r="BA14" i="56"/>
  <c r="BA21" i="56"/>
  <c r="BA50" i="56"/>
  <c r="BA38" i="56"/>
  <c r="BA26" i="56"/>
  <c r="BA35" i="56"/>
  <c r="BA45" i="56"/>
  <c r="AW14" i="56"/>
  <c r="AW46" i="56"/>
  <c r="AW22" i="56"/>
  <c r="AW10" i="56"/>
  <c r="AW23" i="56"/>
  <c r="AW38" i="56"/>
  <c r="AW11" i="56"/>
  <c r="AW52" i="56"/>
  <c r="AW30" i="56"/>
  <c r="AW21" i="56"/>
  <c r="AW50" i="56"/>
  <c r="AW17" i="56"/>
  <c r="AW35" i="56"/>
  <c r="AW27" i="56"/>
  <c r="AS38" i="56"/>
  <c r="AS14" i="56"/>
  <c r="AS46" i="56"/>
  <c r="AS27" i="56"/>
  <c r="AS22" i="56"/>
  <c r="AS52" i="56"/>
  <c r="AS45" i="56"/>
  <c r="AS42" i="56"/>
  <c r="AS30" i="56"/>
  <c r="AS10" i="56"/>
  <c r="AS21" i="56"/>
  <c r="AS35" i="56"/>
  <c r="AO30" i="56"/>
  <c r="AO38" i="56"/>
  <c r="AO25" i="56"/>
  <c r="AO22" i="56"/>
  <c r="AO27" i="56"/>
  <c r="AO21" i="56"/>
  <c r="AO53" i="56"/>
  <c r="AO46" i="56"/>
  <c r="AO23" i="56"/>
  <c r="AO45" i="56"/>
  <c r="AO34" i="56"/>
  <c r="AO52" i="56"/>
  <c r="AO50" i="56"/>
  <c r="AK54" i="56"/>
  <c r="AK22" i="56"/>
  <c r="AK10" i="56"/>
  <c r="AK30" i="56"/>
  <c r="AK46" i="56"/>
  <c r="AK21" i="56"/>
  <c r="AK38" i="56"/>
  <c r="AK31" i="56"/>
  <c r="AK27" i="56"/>
  <c r="AK35" i="56"/>
  <c r="AK17" i="56"/>
  <c r="AK45" i="56"/>
  <c r="AG14" i="56"/>
  <c r="AG46" i="56"/>
  <c r="AG25" i="56"/>
  <c r="AG22" i="56"/>
  <c r="AG10" i="56"/>
  <c r="AG52" i="56"/>
  <c r="AG30" i="56"/>
  <c r="AG21" i="56"/>
  <c r="AG50" i="56"/>
  <c r="AG34" i="56"/>
  <c r="AG38" i="56"/>
  <c r="AG27" i="56"/>
  <c r="AG45" i="56"/>
  <c r="AG17" i="56"/>
  <c r="AC38" i="56"/>
  <c r="AC54" i="56"/>
  <c r="AC14" i="56"/>
  <c r="AC46" i="56"/>
  <c r="AC30" i="56"/>
  <c r="AC10" i="56"/>
  <c r="AC27" i="56"/>
  <c r="AC21" i="56"/>
  <c r="AC52" i="56"/>
  <c r="AC50" i="56"/>
  <c r="AC35" i="56"/>
  <c r="AC34" i="56"/>
  <c r="Y30" i="56"/>
  <c r="Y38" i="56"/>
  <c r="Y27" i="56"/>
  <c r="Y50" i="56"/>
  <c r="Y14" i="56"/>
  <c r="Y10" i="56"/>
  <c r="Y21" i="56"/>
  <c r="Y46" i="56"/>
  <c r="Y45" i="56"/>
  <c r="Y11" i="56"/>
  <c r="Y34" i="56"/>
  <c r="U22" i="56"/>
  <c r="U10" i="56"/>
  <c r="U30" i="56"/>
  <c r="U25" i="56"/>
  <c r="U54" i="56"/>
  <c r="U14" i="56"/>
  <c r="U38" i="56"/>
  <c r="U52" i="56"/>
  <c r="U27" i="56"/>
  <c r="U46" i="56"/>
  <c r="U21" i="56"/>
  <c r="U26" i="56"/>
  <c r="Q14" i="56"/>
  <c r="Q46" i="56"/>
  <c r="Q22" i="56"/>
  <c r="Q10" i="56"/>
  <c r="Q38" i="56"/>
  <c r="Q23" i="56"/>
  <c r="Q40" i="56"/>
  <c r="Q50" i="56"/>
  <c r="Q27" i="56"/>
  <c r="Q25" i="56"/>
  <c r="Q17" i="56"/>
  <c r="Q35" i="56"/>
  <c r="M38" i="56"/>
  <c r="M14" i="56"/>
  <c r="M46" i="56"/>
  <c r="M27" i="56"/>
  <c r="M52" i="56"/>
  <c r="M54" i="56"/>
  <c r="M22" i="56"/>
  <c r="M25" i="56"/>
  <c r="M50" i="56"/>
  <c r="M35" i="56"/>
  <c r="BA34" i="56"/>
  <c r="Q34" i="56"/>
  <c r="AN45" i="56"/>
  <c r="BK45" i="56"/>
  <c r="AW34" i="56"/>
  <c r="AF45" i="56"/>
  <c r="AG44" i="56"/>
  <c r="M45" i="56"/>
  <c r="BE45" i="56"/>
  <c r="BD50" i="56"/>
  <c r="S50" i="56"/>
  <c r="AF50" i="56"/>
  <c r="BI50" i="56"/>
  <c r="AE23" i="56"/>
  <c r="Q52" i="56"/>
  <c r="T21" i="56"/>
  <c r="M21" i="56"/>
  <c r="Z21" i="56"/>
  <c r="AV12" i="56"/>
  <c r="AC22" i="56"/>
  <c r="BE46" i="56"/>
  <c r="BM54" i="56"/>
  <c r="AW25" i="56"/>
  <c r="O38" i="56"/>
  <c r="S14" i="56"/>
  <c r="AA30" i="56"/>
  <c r="AI46" i="56"/>
  <c r="AY14" i="56"/>
  <c r="X38" i="56"/>
  <c r="AB46" i="56"/>
  <c r="AJ30" i="56"/>
  <c r="AN38" i="56"/>
  <c r="AR46" i="56"/>
  <c r="BD38" i="56"/>
  <c r="BH46" i="56"/>
  <c r="S54" i="56"/>
  <c r="C58" i="41"/>
  <c r="C27" i="41"/>
  <c r="O21" i="56"/>
  <c r="S25" i="56"/>
  <c r="BK25" i="56"/>
  <c r="AI25" i="56"/>
  <c r="AE25" i="56"/>
  <c r="T25" i="56"/>
  <c r="BH25" i="56"/>
  <c r="BI25" i="56"/>
  <c r="AV25" i="56"/>
  <c r="AK25" i="56"/>
  <c r="BM25" i="56"/>
  <c r="O45" i="56"/>
  <c r="AJ25" i="56"/>
  <c r="AU25" i="56"/>
  <c r="AF25" i="56"/>
  <c r="AB25" i="56"/>
  <c r="AY25" i="56"/>
  <c r="Y25" i="56"/>
  <c r="AS25" i="56"/>
  <c r="AC25" i="56"/>
  <c r="BL25" i="56"/>
  <c r="AS54" i="56"/>
  <c r="O7" i="44"/>
  <c r="C29" i="41"/>
  <c r="C12" i="41"/>
  <c r="C10" i="41"/>
  <c r="C60" i="41"/>
  <c r="J47" i="56"/>
  <c r="J54" i="56"/>
  <c r="J35" i="56"/>
  <c r="J51" i="56"/>
  <c r="J28" i="56"/>
  <c r="J39" i="56"/>
  <c r="J55" i="56"/>
  <c r="I32" i="56"/>
  <c r="K25" i="65" s="1"/>
  <c r="J32" i="56"/>
  <c r="I21" i="56"/>
  <c r="K14" i="65" s="1"/>
  <c r="J21" i="56"/>
  <c r="BN14" i="56"/>
  <c r="BN46" i="56"/>
  <c r="BN31" i="56"/>
  <c r="BN22" i="56"/>
  <c r="BN30" i="56"/>
  <c r="BN10" i="56"/>
  <c r="BN54" i="56"/>
  <c r="BN38" i="56"/>
  <c r="BN23" i="56"/>
  <c r="BN11" i="56"/>
  <c r="BN50" i="56"/>
  <c r="BN27" i="56"/>
  <c r="BN21" i="56"/>
  <c r="BN16" i="56"/>
  <c r="BN17" i="56"/>
  <c r="BN35" i="56"/>
  <c r="BN45" i="56"/>
  <c r="BJ38" i="56"/>
  <c r="BJ14" i="56"/>
  <c r="BJ22" i="56"/>
  <c r="BJ31" i="56"/>
  <c r="BJ23" i="56"/>
  <c r="BJ25" i="56"/>
  <c r="BJ12" i="56"/>
  <c r="BJ30" i="56"/>
  <c r="BJ54" i="56"/>
  <c r="BJ52" i="56"/>
  <c r="BJ34" i="56"/>
  <c r="BJ27" i="56"/>
  <c r="BJ17" i="56"/>
  <c r="BJ11" i="56"/>
  <c r="BJ21" i="56"/>
  <c r="BJ45" i="56"/>
  <c r="BJ35" i="56"/>
  <c r="BF38" i="56"/>
  <c r="BF10" i="56"/>
  <c r="BF54" i="56"/>
  <c r="BF14" i="56"/>
  <c r="BF46" i="56"/>
  <c r="BF25" i="56"/>
  <c r="BF22" i="56"/>
  <c r="BF31" i="56"/>
  <c r="BF11" i="56"/>
  <c r="BF23" i="56"/>
  <c r="BF21" i="56"/>
  <c r="BF30" i="56"/>
  <c r="BF50" i="56"/>
  <c r="BF27" i="56"/>
  <c r="BF52" i="56"/>
  <c r="BF34" i="56"/>
  <c r="BF17" i="56"/>
  <c r="BF35" i="56"/>
  <c r="BB30" i="56"/>
  <c r="BB38" i="56"/>
  <c r="BB10" i="56"/>
  <c r="BB54" i="56"/>
  <c r="BB14" i="56"/>
  <c r="BB23" i="56"/>
  <c r="BB27" i="56"/>
  <c r="BB11" i="56"/>
  <c r="BB50" i="56"/>
  <c r="BB31" i="56"/>
  <c r="BB22" i="56"/>
  <c r="BB25" i="56"/>
  <c r="BB42" i="56"/>
  <c r="BB34" i="56"/>
  <c r="BB17" i="56"/>
  <c r="AX30" i="56"/>
  <c r="AX38" i="56"/>
  <c r="AX23" i="56"/>
  <c r="AX14" i="56"/>
  <c r="AX46" i="56"/>
  <c r="AX10" i="56"/>
  <c r="AX54" i="56"/>
  <c r="AX31" i="56"/>
  <c r="AX25" i="56"/>
  <c r="AX22" i="56"/>
  <c r="AX27" i="56"/>
  <c r="AX11" i="56"/>
  <c r="AX52" i="56"/>
  <c r="AX21" i="56"/>
  <c r="AX45" i="56"/>
  <c r="AX50" i="56"/>
  <c r="AX34" i="56"/>
  <c r="AX17" i="56"/>
  <c r="AT22" i="56"/>
  <c r="AT30" i="56"/>
  <c r="AT38" i="56"/>
  <c r="AT10" i="56"/>
  <c r="AT25" i="56"/>
  <c r="AT14" i="56"/>
  <c r="AT31" i="56"/>
  <c r="AT11" i="56"/>
  <c r="AT21" i="56"/>
  <c r="AT29" i="56"/>
  <c r="AT54" i="56"/>
  <c r="AT23" i="56"/>
  <c r="AT50" i="56"/>
  <c r="AT52" i="56"/>
  <c r="AT35" i="56"/>
  <c r="AT48" i="56"/>
  <c r="AT45" i="56"/>
  <c r="AT34" i="56"/>
  <c r="AP22" i="56"/>
  <c r="AP10" i="56"/>
  <c r="AP54" i="56"/>
  <c r="AP30" i="56"/>
  <c r="AP31" i="56"/>
  <c r="AP38" i="56"/>
  <c r="AP23" i="56"/>
  <c r="AP25" i="56"/>
  <c r="AP27" i="56"/>
  <c r="AP14" i="56"/>
  <c r="AP11" i="56"/>
  <c r="AP52" i="56"/>
  <c r="AP34" i="56"/>
  <c r="AP35" i="56"/>
  <c r="AP46" i="56"/>
  <c r="AP45" i="56"/>
  <c r="AL14" i="56"/>
  <c r="AL46" i="56"/>
  <c r="AL31" i="56"/>
  <c r="AL22" i="56"/>
  <c r="AL10" i="56"/>
  <c r="AL54" i="56"/>
  <c r="AL25" i="56"/>
  <c r="AL30" i="56"/>
  <c r="AL38" i="56"/>
  <c r="AL27" i="56"/>
  <c r="AL52" i="56"/>
  <c r="AL21" i="56"/>
  <c r="AL50" i="56"/>
  <c r="AL17" i="56"/>
  <c r="AL35" i="56"/>
  <c r="AH38" i="56"/>
  <c r="AH14" i="56"/>
  <c r="AH46" i="56"/>
  <c r="AH23" i="56"/>
  <c r="AH22" i="56"/>
  <c r="AH10" i="56"/>
  <c r="AH54" i="56"/>
  <c r="AH31" i="56"/>
  <c r="AH30" i="56"/>
  <c r="AH18" i="56"/>
  <c r="AH25" i="56"/>
  <c r="AH11" i="56"/>
  <c r="AH27" i="56"/>
  <c r="AH21" i="56"/>
  <c r="AH17" i="56"/>
  <c r="AH52" i="56"/>
  <c r="AH50" i="56"/>
  <c r="AH35" i="56"/>
  <c r="AH12" i="56"/>
  <c r="AH45" i="56"/>
  <c r="AH34" i="56"/>
  <c r="AD30" i="56"/>
  <c r="AD38" i="56"/>
  <c r="AD25" i="56"/>
  <c r="AD14" i="56"/>
  <c r="AD46" i="56"/>
  <c r="AD31" i="56"/>
  <c r="AD23" i="56"/>
  <c r="AD27" i="56"/>
  <c r="AD10" i="56"/>
  <c r="AD52" i="56"/>
  <c r="AD50" i="56"/>
  <c r="AD22" i="56"/>
  <c r="AD11" i="56"/>
  <c r="AD21" i="56"/>
  <c r="AD34" i="56"/>
  <c r="AD35" i="56"/>
  <c r="AD54" i="56"/>
  <c r="AD45" i="56"/>
  <c r="Z22" i="56"/>
  <c r="Z10" i="56"/>
  <c r="Z54" i="56"/>
  <c r="Z30" i="56"/>
  <c r="Z31" i="56"/>
  <c r="Z23" i="56"/>
  <c r="Z25" i="56"/>
  <c r="Z38" i="56"/>
  <c r="Z46" i="56"/>
  <c r="Z11" i="56"/>
  <c r="Z27" i="56"/>
  <c r="Z50" i="56"/>
  <c r="Z34" i="56"/>
  <c r="Z52" i="56"/>
  <c r="Z17" i="56"/>
  <c r="Z14" i="56"/>
  <c r="V14" i="56"/>
  <c r="V46" i="56"/>
  <c r="V22" i="56"/>
  <c r="V10" i="56"/>
  <c r="V54" i="56"/>
  <c r="V31" i="56"/>
  <c r="V30" i="56"/>
  <c r="V23" i="56"/>
  <c r="V25" i="56"/>
  <c r="V11" i="56"/>
  <c r="V38" i="56"/>
  <c r="V12" i="56"/>
  <c r="V27" i="56"/>
  <c r="V29" i="56"/>
  <c r="V52" i="56"/>
  <c r="V21" i="56"/>
  <c r="V34" i="56"/>
  <c r="V50" i="56"/>
  <c r="V45" i="56"/>
  <c r="V26" i="56"/>
  <c r="V35" i="56"/>
  <c r="V17" i="56"/>
  <c r="R38" i="56"/>
  <c r="R14" i="56"/>
  <c r="R46" i="56"/>
  <c r="R25" i="56"/>
  <c r="R22" i="56"/>
  <c r="R10" i="56"/>
  <c r="R54" i="56"/>
  <c r="R23" i="56"/>
  <c r="R50" i="56"/>
  <c r="R30" i="56"/>
  <c r="R27" i="56"/>
  <c r="R31" i="56"/>
  <c r="R11" i="56"/>
  <c r="R17" i="56"/>
  <c r="R21" i="56"/>
  <c r="R52" i="56"/>
  <c r="R35" i="56"/>
  <c r="N30" i="56"/>
  <c r="N38" i="56"/>
  <c r="N14" i="56"/>
  <c r="N46" i="56"/>
  <c r="N31" i="56"/>
  <c r="N25" i="56"/>
  <c r="N54" i="56"/>
  <c r="N11" i="56"/>
  <c r="N10" i="56"/>
  <c r="N23" i="56"/>
  <c r="N52" i="56"/>
  <c r="N50" i="56"/>
  <c r="N21" i="56"/>
  <c r="N27" i="56"/>
  <c r="N34" i="56"/>
  <c r="N17" i="56"/>
  <c r="N35" i="56"/>
  <c r="C45" i="41"/>
  <c r="C18" i="41"/>
  <c r="C74" i="41"/>
  <c r="C43" i="41"/>
  <c r="C20" i="41"/>
  <c r="C76" i="41"/>
  <c r="Z35" i="56"/>
  <c r="BB45" i="56"/>
  <c r="R45" i="56"/>
  <c r="N45" i="56"/>
  <c r="AP21" i="56"/>
  <c r="AL11" i="56"/>
  <c r="AL23" i="56"/>
  <c r="C13" i="41"/>
  <c r="C61" i="41"/>
  <c r="C26" i="41"/>
  <c r="C11" i="41"/>
  <c r="C59" i="41"/>
  <c r="C28" i="41"/>
  <c r="AL34" i="56"/>
  <c r="AP17" i="56"/>
  <c r="BB35" i="56"/>
  <c r="AX35" i="56"/>
  <c r="AL45" i="56"/>
  <c r="Z45" i="56"/>
  <c r="BF45" i="56"/>
  <c r="BJ50" i="56"/>
  <c r="BB52" i="56"/>
  <c r="BN52" i="56"/>
  <c r="AT27" i="56"/>
  <c r="C21" i="41"/>
  <c r="C77" i="41"/>
  <c r="C42" i="41"/>
  <c r="C19" i="41"/>
  <c r="C75" i="41"/>
  <c r="C44" i="41"/>
  <c r="AD17" i="56"/>
  <c r="R34" i="56"/>
  <c r="AT17" i="56"/>
  <c r="BB21" i="56"/>
  <c r="BN25" i="56"/>
  <c r="BJ10" i="56"/>
  <c r="N22" i="56"/>
  <c r="BI11" i="56"/>
  <c r="AG11" i="56"/>
  <c r="BL11" i="56"/>
  <c r="Q11" i="56"/>
  <c r="T11" i="56"/>
  <c r="BG11" i="56"/>
  <c r="O11" i="56"/>
  <c r="L11" i="56"/>
  <c r="AR11" i="56"/>
  <c r="BC11" i="56"/>
  <c r="BA11" i="56"/>
  <c r="BM11" i="56"/>
  <c r="AC11" i="56"/>
  <c r="U11" i="56"/>
  <c r="AA11" i="56"/>
  <c r="AY11" i="56"/>
  <c r="BH11" i="56"/>
  <c r="AI11" i="56"/>
  <c r="AF11" i="56"/>
  <c r="AU11" i="56"/>
  <c r="AS11" i="56"/>
  <c r="AO11" i="56"/>
  <c r="BE11" i="56"/>
  <c r="M11" i="56"/>
  <c r="BD11" i="56"/>
  <c r="AV11" i="56"/>
  <c r="AQ11" i="56"/>
  <c r="AN11" i="56"/>
  <c r="S11" i="56"/>
  <c r="P11" i="56"/>
  <c r="AM11" i="56"/>
  <c r="W36" i="56"/>
  <c r="AC17" i="56"/>
  <c r="AM17" i="56"/>
  <c r="BN34" i="56"/>
  <c r="AU34" i="56"/>
  <c r="AM34" i="56"/>
  <c r="BC34" i="56"/>
  <c r="I24" i="56"/>
  <c r="K17" i="65" s="1"/>
  <c r="J24" i="56"/>
  <c r="I13" i="56"/>
  <c r="K6" i="65" s="1"/>
  <c r="J13" i="56"/>
  <c r="S31" i="56"/>
  <c r="Y31" i="56"/>
  <c r="AO31" i="56"/>
  <c r="BE31" i="56"/>
  <c r="P31" i="56"/>
  <c r="BG31" i="56"/>
  <c r="W31" i="56"/>
  <c r="O31" i="56"/>
  <c r="AZ31" i="56"/>
  <c r="AU31" i="56"/>
  <c r="AE31" i="56"/>
  <c r="BK31" i="56"/>
  <c r="M31" i="56"/>
  <c r="AC31" i="56"/>
  <c r="AS31" i="56"/>
  <c r="BI31" i="56"/>
  <c r="AQ31" i="56"/>
  <c r="BL31" i="56"/>
  <c r="AB31" i="56"/>
  <c r="BH31" i="56"/>
  <c r="BC31" i="56"/>
  <c r="X31" i="56"/>
  <c r="AR31" i="56"/>
  <c r="Q31" i="56"/>
  <c r="AG31" i="56"/>
  <c r="AW31" i="56"/>
  <c r="BM31" i="56"/>
  <c r="AA31" i="56"/>
  <c r="AV31" i="56"/>
  <c r="L31" i="56"/>
  <c r="AJ31" i="56"/>
  <c r="I16" i="56"/>
  <c r="K9" i="65" s="1"/>
  <c r="J16" i="56"/>
  <c r="I52" i="56"/>
  <c r="K45" i="65" s="1"/>
  <c r="J52" i="56"/>
  <c r="I48" i="56"/>
  <c r="K41" i="65" s="1"/>
  <c r="J48" i="56"/>
  <c r="I40" i="56"/>
  <c r="K33" i="65" s="1"/>
  <c r="J40" i="56"/>
  <c r="I29" i="56"/>
  <c r="K22" i="65" s="1"/>
  <c r="J29" i="56"/>
  <c r="BD23" i="56"/>
  <c r="BG23" i="56"/>
  <c r="AZ23" i="56"/>
  <c r="P23" i="56"/>
  <c r="AI23" i="56"/>
  <c r="AB23" i="56"/>
  <c r="M23" i="56"/>
  <c r="BM23" i="56"/>
  <c r="U23" i="56"/>
  <c r="AS23" i="56"/>
  <c r="AG23" i="56"/>
  <c r="BB46" i="56"/>
  <c r="BL23" i="56"/>
  <c r="T23" i="56"/>
  <c r="W23" i="56"/>
  <c r="AF23" i="56"/>
  <c r="BC23" i="56"/>
  <c r="AN23" i="56"/>
  <c r="AK23" i="56"/>
  <c r="Y23" i="56"/>
  <c r="AC23" i="56"/>
  <c r="K14" i="56"/>
  <c r="BK30" i="56"/>
  <c r="BG10" i="56"/>
  <c r="BC14" i="56"/>
  <c r="AY38" i="56"/>
  <c r="AU30" i="56"/>
  <c r="AQ10" i="56"/>
  <c r="AM54" i="56"/>
  <c r="AI54" i="56"/>
  <c r="AE30" i="56"/>
  <c r="AA10" i="56"/>
  <c r="W14" i="56"/>
  <c r="S38" i="56"/>
  <c r="O30" i="56"/>
  <c r="P3" i="65"/>
  <c r="P4" i="65"/>
  <c r="M8" i="39"/>
  <c r="E11" i="44" a="1"/>
  <c r="E501" i="44" s="1"/>
  <c r="M9" i="39"/>
  <c r="D11" i="44" a="1"/>
  <c r="D359" i="44" s="1"/>
  <c r="C8" i="39"/>
  <c r="F11" i="44" a="1"/>
  <c r="F37" i="44" s="1"/>
  <c r="J7" i="44"/>
  <c r="C8" i="44"/>
  <c r="D10" i="44" s="1"/>
  <c r="AM6" i="44" s="1"/>
  <c r="M2" i="39"/>
  <c r="M12" i="38"/>
  <c r="P39" i="65"/>
  <c r="Q39" i="65" s="1"/>
  <c r="P35" i="65"/>
  <c r="Q35" i="65" s="1"/>
  <c r="P7" i="65"/>
  <c r="Q7" i="65" s="1"/>
  <c r="D66" i="56" s="1"/>
  <c r="E66" i="56" s="1"/>
  <c r="P34" i="65"/>
  <c r="Q34" i="65" s="1"/>
  <c r="P31" i="65"/>
  <c r="Q31" i="65" s="1"/>
  <c r="D90" i="56" s="1"/>
  <c r="E90" i="56" s="1"/>
  <c r="P5" i="65"/>
  <c r="Q5" i="65" s="1"/>
  <c r="D64" i="56" s="1"/>
  <c r="E64" i="56" s="1"/>
  <c r="P47" i="65"/>
  <c r="Q47" i="65" s="1"/>
  <c r="P11" i="65"/>
  <c r="Q11" i="65" s="1"/>
  <c r="D70" i="56" s="1"/>
  <c r="P37" i="65"/>
  <c r="Q37" i="65" s="1"/>
  <c r="P43" i="65"/>
  <c r="Q43" i="65" s="1"/>
  <c r="P27" i="65"/>
  <c r="Q27" i="65" s="1"/>
  <c r="D86" i="56" s="1"/>
  <c r="E86" i="56" s="1"/>
  <c r="P22" i="65"/>
  <c r="Q22" i="65" s="1"/>
  <c r="D81" i="56" s="1"/>
  <c r="E81" i="56" s="1"/>
  <c r="P36" i="65"/>
  <c r="Q36" i="65" s="1"/>
  <c r="P23" i="65"/>
  <c r="Q23" i="65" s="1"/>
  <c r="D82" i="56" s="1"/>
  <c r="E82" i="56" s="1"/>
  <c r="P46" i="65"/>
  <c r="Q46" i="65" s="1"/>
  <c r="P18" i="65"/>
  <c r="Q18" i="65" s="1"/>
  <c r="D77" i="56" s="1"/>
  <c r="E77" i="56" s="1"/>
  <c r="P21" i="65"/>
  <c r="Q21" i="65" s="1"/>
  <c r="D80" i="56" s="1"/>
  <c r="E80" i="56" s="1"/>
  <c r="P32" i="65"/>
  <c r="Q32" i="65" s="1"/>
  <c r="D91" i="56" s="1"/>
  <c r="E91" i="56" s="1"/>
  <c r="P19" i="65"/>
  <c r="Q19" i="65" s="1"/>
  <c r="D78" i="56" s="1"/>
  <c r="E78" i="56" s="1"/>
  <c r="P38" i="65"/>
  <c r="Q38" i="65" s="1"/>
  <c r="P6" i="65"/>
  <c r="Q6" i="65" s="1"/>
  <c r="D65" i="56" s="1"/>
  <c r="E65" i="56" s="1"/>
  <c r="P17" i="65"/>
  <c r="Q17" i="65" s="1"/>
  <c r="D76" i="56" s="1"/>
  <c r="E76" i="56" s="1"/>
  <c r="P20" i="65"/>
  <c r="Q20" i="65" s="1"/>
  <c r="D79" i="56" s="1"/>
  <c r="E79" i="56" s="1"/>
  <c r="P48" i="65"/>
  <c r="Q48" i="65" s="1"/>
  <c r="P16" i="65"/>
  <c r="Q16" i="65" s="1"/>
  <c r="D75" i="56" s="1"/>
  <c r="E75" i="56" s="1"/>
  <c r="P30" i="65"/>
  <c r="Q30" i="65" s="1"/>
  <c r="D89" i="56" s="1"/>
  <c r="E89" i="56" s="1"/>
  <c r="P14" i="65"/>
  <c r="Q14" i="65" s="1"/>
  <c r="D73" i="56" s="1"/>
  <c r="E73" i="56" s="1"/>
  <c r="P45" i="65"/>
  <c r="Q45" i="65" s="1"/>
  <c r="P29" i="65"/>
  <c r="Q29" i="65" s="1"/>
  <c r="D88" i="56" s="1"/>
  <c r="E88" i="56" s="1"/>
  <c r="P13" i="65"/>
  <c r="Q13" i="65" s="1"/>
  <c r="D72" i="56" s="1"/>
  <c r="E72" i="56" s="1"/>
  <c r="P44" i="65"/>
  <c r="Q44" i="65" s="1"/>
  <c r="P28" i="65"/>
  <c r="Q28" i="65" s="1"/>
  <c r="D87" i="56" s="1"/>
  <c r="E87" i="56" s="1"/>
  <c r="P12" i="65"/>
  <c r="Q12" i="65" s="1"/>
  <c r="D71" i="56" s="1"/>
  <c r="P15" i="65"/>
  <c r="Q15" i="65" s="1"/>
  <c r="D74" i="56" s="1"/>
  <c r="E74" i="56" s="1"/>
  <c r="P42" i="65"/>
  <c r="Q42" i="65" s="1"/>
  <c r="P26" i="65"/>
  <c r="Q26" i="65" s="1"/>
  <c r="D85" i="56" s="1"/>
  <c r="E85" i="56" s="1"/>
  <c r="P10" i="65"/>
  <c r="Q10" i="65" s="1"/>
  <c r="D69" i="56" s="1"/>
  <c r="E69" i="56" s="1"/>
  <c r="P41" i="65"/>
  <c r="Q41" i="65" s="1"/>
  <c r="P25" i="65"/>
  <c r="Q25" i="65" s="1"/>
  <c r="D84" i="56" s="1"/>
  <c r="E84" i="56" s="1"/>
  <c r="P9" i="65"/>
  <c r="Q9" i="65" s="1"/>
  <c r="D68" i="56" s="1"/>
  <c r="E68" i="56" s="1"/>
  <c r="P40" i="65"/>
  <c r="Q40" i="65" s="1"/>
  <c r="P24" i="65"/>
  <c r="Q24" i="65" s="1"/>
  <c r="D83" i="56" s="1"/>
  <c r="E83" i="56" s="1"/>
  <c r="P8" i="65"/>
  <c r="Q8" i="65" s="1"/>
  <c r="D67" i="56" s="1"/>
  <c r="K3" i="65"/>
  <c r="O46" i="56"/>
  <c r="O14" i="56"/>
  <c r="S22" i="56"/>
  <c r="W30" i="56"/>
  <c r="AA38" i="56"/>
  <c r="AE46" i="56"/>
  <c r="AE14" i="56"/>
  <c r="AI22" i="56"/>
  <c r="AM30" i="56"/>
  <c r="AQ38" i="56"/>
  <c r="AU46" i="56"/>
  <c r="AU14" i="56"/>
  <c r="AY22" i="56"/>
  <c r="BC30" i="56"/>
  <c r="BG38" i="56"/>
  <c r="BK46" i="56"/>
  <c r="BK14" i="56"/>
  <c r="K30" i="56"/>
  <c r="S10" i="56"/>
  <c r="AI10" i="56"/>
  <c r="AY10" i="56"/>
  <c r="AT46" i="56"/>
  <c r="BJ46" i="56"/>
  <c r="X54" i="56"/>
  <c r="AN54" i="56"/>
  <c r="BD54" i="56"/>
  <c r="W54" i="56"/>
  <c r="BC54" i="56"/>
  <c r="Y54" i="56"/>
  <c r="AO54" i="56"/>
  <c r="BE54" i="56"/>
  <c r="O54" i="56"/>
  <c r="AY54" i="56"/>
  <c r="K54" i="56"/>
  <c r="K22" i="56"/>
  <c r="W10" i="56"/>
  <c r="AM10" i="56"/>
  <c r="BC10" i="56"/>
  <c r="AE54" i="56"/>
  <c r="AA54" i="56"/>
  <c r="BG54" i="56"/>
  <c r="K10" i="56"/>
  <c r="W46" i="56"/>
  <c r="AA22" i="56"/>
  <c r="AI38" i="56"/>
  <c r="AM46" i="56"/>
  <c r="AM14" i="56"/>
  <c r="AQ22" i="56"/>
  <c r="BC46" i="56"/>
  <c r="BG22" i="56"/>
  <c r="K46" i="56"/>
  <c r="P54" i="56"/>
  <c r="AF54" i="56"/>
  <c r="AV54" i="56"/>
  <c r="BL54" i="56"/>
  <c r="Q54" i="56"/>
  <c r="AG54" i="56"/>
  <c r="AW54" i="56"/>
  <c r="C37" i="41"/>
  <c r="C53" i="41"/>
  <c r="C69" i="41"/>
  <c r="C84" i="41"/>
  <c r="C34" i="41"/>
  <c r="C50" i="41"/>
  <c r="C66" i="41"/>
  <c r="C82" i="41"/>
  <c r="C35" i="41"/>
  <c r="C51" i="41"/>
  <c r="C67" i="41"/>
  <c r="C83" i="41"/>
  <c r="C36" i="41"/>
  <c r="C52" i="41"/>
  <c r="C68" i="41"/>
  <c r="C9" i="41"/>
  <c r="C25" i="41"/>
  <c r="C41" i="41"/>
  <c r="C57" i="41"/>
  <c r="C73" i="41"/>
  <c r="C6" i="41"/>
  <c r="C22" i="41"/>
  <c r="C38" i="41"/>
  <c r="C54" i="41"/>
  <c r="C70" i="41"/>
  <c r="C7" i="41"/>
  <c r="C23" i="41"/>
  <c r="C39" i="41"/>
  <c r="C55" i="41"/>
  <c r="C71" i="41"/>
  <c r="C8" i="41"/>
  <c r="C24" i="41"/>
  <c r="C40" i="41"/>
  <c r="C56" i="41"/>
  <c r="C72" i="41"/>
  <c r="C5" i="41"/>
  <c r="C17" i="41"/>
  <c r="C33" i="41"/>
  <c r="C49" i="41"/>
  <c r="C65" i="41"/>
  <c r="C81" i="41"/>
  <c r="C14" i="41"/>
  <c r="C30" i="41"/>
  <c r="C46" i="41"/>
  <c r="C62" i="41"/>
  <c r="C78" i="41"/>
  <c r="C15" i="41"/>
  <c r="C31" i="41"/>
  <c r="C47" i="41"/>
  <c r="C63" i="41"/>
  <c r="C79" i="41"/>
  <c r="C16" i="41"/>
  <c r="C32" i="41"/>
  <c r="C48" i="41"/>
  <c r="C64" i="41"/>
  <c r="F7" i="44"/>
  <c r="T7" i="44"/>
  <c r="W25" i="66" l="1"/>
  <c r="Y27" i="66"/>
  <c r="Z27" i="66" s="1"/>
  <c r="AB27" i="66"/>
  <c r="H26" i="66"/>
  <c r="I26" i="66" s="1"/>
  <c r="F27" i="66"/>
  <c r="G27" i="66"/>
  <c r="E28" i="66"/>
  <c r="S26" i="66"/>
  <c r="K25" i="66"/>
  <c r="N25" i="66"/>
  <c r="I25" i="66"/>
  <c r="D28" i="66"/>
  <c r="P27" i="66"/>
  <c r="U28" i="56"/>
  <c r="AU39" i="56"/>
  <c r="BI39" i="56"/>
  <c r="AM20" i="66"/>
  <c r="AM21" i="66"/>
  <c r="K34" i="56"/>
  <c r="S34" i="56"/>
  <c r="Q4" i="65"/>
  <c r="D63" i="56" s="1"/>
  <c r="E63" i="56" s="1"/>
  <c r="AS34" i="56"/>
  <c r="N39" i="56"/>
  <c r="BF49" i="56"/>
  <c r="M39" i="56"/>
  <c r="Q53" i="56"/>
  <c r="AC53" i="56"/>
  <c r="T53" i="56"/>
  <c r="BG39" i="56"/>
  <c r="BO49" i="56"/>
  <c r="U39" i="56"/>
  <c r="BO12" i="56"/>
  <c r="BO53" i="56"/>
  <c r="Z36" i="56"/>
  <c r="BN39" i="56"/>
  <c r="AF53" i="56"/>
  <c r="W48" i="56"/>
  <c r="AY53" i="56"/>
  <c r="AB39" i="56"/>
  <c r="BO14" i="56"/>
  <c r="BO26" i="56"/>
  <c r="BO43" i="56"/>
  <c r="BO52" i="56"/>
  <c r="BO42" i="56"/>
  <c r="AD53" i="56"/>
  <c r="BJ53" i="56"/>
  <c r="BE39" i="56"/>
  <c r="BI53" i="56"/>
  <c r="W53" i="56"/>
  <c r="AQ39" i="56"/>
  <c r="W39" i="56"/>
  <c r="BO23" i="56"/>
  <c r="BO20" i="56"/>
  <c r="Q49" i="56"/>
  <c r="T48" i="56"/>
  <c r="AO51" i="56"/>
  <c r="BE48" i="56"/>
  <c r="AZ15" i="56"/>
  <c r="L18" i="56"/>
  <c r="AM48" i="56"/>
  <c r="Y28" i="56"/>
  <c r="AH48" i="56"/>
  <c r="N48" i="56"/>
  <c r="Z18" i="56"/>
  <c r="AP28" i="56"/>
  <c r="AT49" i="56"/>
  <c r="BB53" i="56"/>
  <c r="L53" i="56"/>
  <c r="Y18" i="56"/>
  <c r="AS15" i="56"/>
  <c r="AW18" i="56"/>
  <c r="AV53" i="56"/>
  <c r="P53" i="56"/>
  <c r="AC48" i="56"/>
  <c r="R28" i="56"/>
  <c r="AJ39" i="56"/>
  <c r="AA39" i="56"/>
  <c r="AQ51" i="56"/>
  <c r="X18" i="56"/>
  <c r="AV39" i="56"/>
  <c r="X53" i="56"/>
  <c r="P18" i="56"/>
  <c r="AL53" i="56"/>
  <c r="AP49" i="56"/>
  <c r="AP15" i="56"/>
  <c r="AX48" i="56"/>
  <c r="BN49" i="56"/>
  <c r="AA55" i="56"/>
  <c r="BE18" i="56"/>
  <c r="M48" i="56"/>
  <c r="AS39" i="56"/>
  <c r="BC48" i="56"/>
  <c r="AR53" i="56"/>
  <c r="AJ48" i="56"/>
  <c r="AY39" i="56"/>
  <c r="AZ39" i="56"/>
  <c r="BA49" i="56"/>
  <c r="AN18" i="56"/>
  <c r="BP7" i="56"/>
  <c r="BQ8" i="56"/>
  <c r="BQ82" i="56" s="1"/>
  <c r="AL55" i="56"/>
  <c r="BF18" i="56"/>
  <c r="T32" i="56"/>
  <c r="BK18" i="56"/>
  <c r="AC18" i="56"/>
  <c r="X55" i="56"/>
  <c r="BA55" i="56"/>
  <c r="Y55" i="56"/>
  <c r="AF55" i="56"/>
  <c r="AX55" i="56"/>
  <c r="AP55" i="56"/>
  <c r="AB18" i="56"/>
  <c r="AY18" i="56"/>
  <c r="AJ18" i="56"/>
  <c r="K18" i="56"/>
  <c r="BH18" i="56"/>
  <c r="AR18" i="56"/>
  <c r="BC18" i="56"/>
  <c r="W18" i="56"/>
  <c r="BA18" i="56"/>
  <c r="AO18" i="56"/>
  <c r="AK18" i="56"/>
  <c r="U18" i="56"/>
  <c r="Q18" i="56"/>
  <c r="BN18" i="56"/>
  <c r="AT18" i="56"/>
  <c r="AL18" i="56"/>
  <c r="V18" i="56"/>
  <c r="R55" i="56"/>
  <c r="N18" i="56"/>
  <c r="S55" i="56"/>
  <c r="BL18" i="56"/>
  <c r="AQ18" i="56"/>
  <c r="BL40" i="56"/>
  <c r="AL40" i="56"/>
  <c r="AZ13" i="56"/>
  <c r="BD13" i="56"/>
  <c r="BA28" i="56"/>
  <c r="BB28" i="56"/>
  <c r="AT28" i="56"/>
  <c r="BL42" i="56"/>
  <c r="AV42" i="56"/>
  <c r="AJ42" i="56"/>
  <c r="AW42" i="56"/>
  <c r="AN24" i="56"/>
  <c r="AU24" i="56"/>
  <c r="AQ53" i="56"/>
  <c r="BH53" i="56"/>
  <c r="AG53" i="56"/>
  <c r="AW53" i="56"/>
  <c r="BL53" i="56"/>
  <c r="BG53" i="56"/>
  <c r="AB53" i="56"/>
  <c r="BC53" i="56"/>
  <c r="K53" i="56"/>
  <c r="BE53" i="56"/>
  <c r="M53" i="56"/>
  <c r="AN53" i="56"/>
  <c r="BN53" i="56"/>
  <c r="AP53" i="56"/>
  <c r="Z53" i="56"/>
  <c r="V53" i="56"/>
  <c r="N53" i="56"/>
  <c r="AM33" i="56"/>
  <c r="T33" i="56"/>
  <c r="AV33" i="56"/>
  <c r="P33" i="56"/>
  <c r="BJ33" i="56"/>
  <c r="BO10" i="56"/>
  <c r="BO27" i="56"/>
  <c r="BO46" i="56"/>
  <c r="BO17" i="56"/>
  <c r="BO11" i="56"/>
  <c r="BO33" i="56"/>
  <c r="BO38" i="56"/>
  <c r="BO32" i="56"/>
  <c r="BO22" i="56"/>
  <c r="BO39" i="56"/>
  <c r="BK39" i="56"/>
  <c r="AE39" i="56"/>
  <c r="BL39" i="56"/>
  <c r="O39" i="56"/>
  <c r="AR39" i="56"/>
  <c r="K39" i="56"/>
  <c r="BM39" i="56"/>
  <c r="BJ39" i="56"/>
  <c r="BF39" i="56"/>
  <c r="AP39" i="56"/>
  <c r="AL39" i="56"/>
  <c r="AH39" i="56"/>
  <c r="AD39" i="56"/>
  <c r="BO37" i="56"/>
  <c r="AZ28" i="56"/>
  <c r="N28" i="56"/>
  <c r="V39" i="56"/>
  <c r="AD18" i="56"/>
  <c r="AH55" i="56"/>
  <c r="AH24" i="56"/>
  <c r="AP18" i="56"/>
  <c r="BB39" i="56"/>
  <c r="BB18" i="56"/>
  <c r="BF53" i="56"/>
  <c r="BG55" i="56"/>
  <c r="AW39" i="56"/>
  <c r="BE28" i="56"/>
  <c r="M18" i="56"/>
  <c r="Y40" i="56"/>
  <c r="Y53" i="56"/>
  <c r="AG39" i="56"/>
  <c r="AG18" i="56"/>
  <c r="AO39" i="56"/>
  <c r="BA53" i="56"/>
  <c r="BD53" i="56"/>
  <c r="S53" i="56"/>
  <c r="AZ53" i="56"/>
  <c r="AU53" i="56"/>
  <c r="BL55" i="56"/>
  <c r="BJ28" i="56"/>
  <c r="AN39" i="56"/>
  <c r="AM39" i="56"/>
  <c r="AF39" i="56"/>
  <c r="BD39" i="56"/>
  <c r="X39" i="56"/>
  <c r="BO55" i="56"/>
  <c r="BO31" i="56"/>
  <c r="BO24" i="56"/>
  <c r="S42" i="56"/>
  <c r="O18" i="56"/>
  <c r="AC39" i="56"/>
  <c r="AF18" i="56"/>
  <c r="AV18" i="56"/>
  <c r="BM18" i="56"/>
  <c r="AA18" i="56"/>
  <c r="O24" i="56"/>
  <c r="T18" i="56"/>
  <c r="AI18" i="56"/>
  <c r="AF32" i="56"/>
  <c r="BO15" i="56"/>
  <c r="AH53" i="56"/>
  <c r="AK53" i="56"/>
  <c r="K26" i="56"/>
  <c r="BD26" i="56"/>
  <c r="BA12" i="56"/>
  <c r="BG12" i="56"/>
  <c r="AT12" i="56"/>
  <c r="BH36" i="56"/>
  <c r="AT39" i="56"/>
  <c r="R18" i="56"/>
  <c r="N36" i="56"/>
  <c r="R36" i="56"/>
  <c r="R53" i="56"/>
  <c r="R39" i="56"/>
  <c r="V51" i="56"/>
  <c r="Z39" i="56"/>
  <c r="AL32" i="56"/>
  <c r="AX18" i="56"/>
  <c r="AX53" i="56"/>
  <c r="BJ55" i="56"/>
  <c r="BJ18" i="56"/>
  <c r="AI55" i="56"/>
  <c r="AM55" i="56"/>
  <c r="AQ55" i="56"/>
  <c r="BH39" i="56"/>
  <c r="Y39" i="56"/>
  <c r="AK39" i="56"/>
  <c r="AS18" i="56"/>
  <c r="AS53" i="56"/>
  <c r="BA39" i="56"/>
  <c r="BI18" i="56"/>
  <c r="BM53" i="56"/>
  <c r="BM24" i="56"/>
  <c r="AE12" i="56"/>
  <c r="AA53" i="56"/>
  <c r="AJ53" i="56"/>
  <c r="O53" i="56"/>
  <c r="BI55" i="56"/>
  <c r="AE53" i="56"/>
  <c r="S39" i="56"/>
  <c r="AI39" i="56"/>
  <c r="L39" i="56"/>
  <c r="BC39" i="56"/>
  <c r="T39" i="56"/>
  <c r="BO51" i="56"/>
  <c r="BO50" i="56"/>
  <c r="BO54" i="56"/>
  <c r="BO40" i="56"/>
  <c r="BG18" i="56"/>
  <c r="AM18" i="56"/>
  <c r="U53" i="56"/>
  <c r="AT53" i="56"/>
  <c r="Q39" i="56"/>
  <c r="AI53" i="56"/>
  <c r="BO34" i="56"/>
  <c r="BO47" i="56"/>
  <c r="L24" i="56"/>
  <c r="AE18" i="56"/>
  <c r="AU18" i="56"/>
  <c r="BK33" i="56"/>
  <c r="BO19" i="56"/>
  <c r="BC16" i="56"/>
  <c r="M16" i="56"/>
  <c r="AI12" i="56"/>
  <c r="BO44" i="56"/>
  <c r="AR48" i="56"/>
  <c r="AW48" i="56"/>
  <c r="AP48" i="56"/>
  <c r="AE48" i="56"/>
  <c r="BM48" i="56"/>
  <c r="BO18" i="56"/>
  <c r="P39" i="56"/>
  <c r="BO48" i="56"/>
  <c r="BO21" i="56"/>
  <c r="BO25" i="56"/>
  <c r="AC33" i="56"/>
  <c r="Y51" i="56"/>
  <c r="AF28" i="56"/>
  <c r="BF28" i="56"/>
  <c r="AX33" i="56"/>
  <c r="N33" i="56"/>
  <c r="N24" i="56"/>
  <c r="AD28" i="56"/>
  <c r="AL28" i="56"/>
  <c r="AP26" i="56"/>
  <c r="AX28" i="56"/>
  <c r="BN33" i="56"/>
  <c r="BN40" i="56"/>
  <c r="O33" i="56"/>
  <c r="AW24" i="56"/>
  <c r="BA51" i="56"/>
  <c r="Q26" i="56"/>
  <c r="AK51" i="56"/>
  <c r="AS24" i="56"/>
  <c r="BM33" i="56"/>
  <c r="U33" i="56"/>
  <c r="AE13" i="56"/>
  <c r="R33" i="56"/>
  <c r="BK24" i="56"/>
  <c r="BG33" i="56"/>
  <c r="BK51" i="56"/>
  <c r="BI51" i="56"/>
  <c r="BD40" i="56"/>
  <c r="AW51" i="56"/>
  <c r="BI33" i="56"/>
  <c r="AV24" i="56"/>
  <c r="X33" i="56"/>
  <c r="AJ33" i="56"/>
  <c r="AZ51" i="56"/>
  <c r="AV51" i="56"/>
  <c r="Z24" i="56"/>
  <c r="BB24" i="56"/>
  <c r="BJ24" i="56"/>
  <c r="AA33" i="56"/>
  <c r="P28" i="56"/>
  <c r="R24" i="56"/>
  <c r="AD24" i="56"/>
  <c r="AH33" i="56"/>
  <c r="AL36" i="56"/>
  <c r="AP51" i="56"/>
  <c r="AT26" i="56"/>
  <c r="AX51" i="56"/>
  <c r="AX24" i="56"/>
  <c r="BB51" i="56"/>
  <c r="AE33" i="56"/>
  <c r="U51" i="56"/>
  <c r="M33" i="56"/>
  <c r="U24" i="56"/>
  <c r="Y29" i="56"/>
  <c r="AO33" i="56"/>
  <c r="BI24" i="56"/>
  <c r="AW16" i="56"/>
  <c r="R51" i="56"/>
  <c r="S24" i="56"/>
  <c r="BC51" i="56"/>
  <c r="AG33" i="56"/>
  <c r="K33" i="56"/>
  <c r="AQ24" i="56"/>
  <c r="BC33" i="56"/>
  <c r="AQ33" i="56"/>
  <c r="W51" i="56"/>
  <c r="AB51" i="56"/>
  <c r="BF51" i="56"/>
  <c r="AK33" i="56"/>
  <c r="AA24" i="56"/>
  <c r="W33" i="56"/>
  <c r="AI51" i="56"/>
  <c r="AZ24" i="56"/>
  <c r="BH40" i="56"/>
  <c r="AF33" i="56"/>
  <c r="T24" i="56"/>
  <c r="AY33" i="56"/>
  <c r="AA28" i="56"/>
  <c r="V28" i="56"/>
  <c r="V24" i="56"/>
  <c r="Z51" i="56"/>
  <c r="AT24" i="56"/>
  <c r="BJ51" i="56"/>
  <c r="BN28" i="56"/>
  <c r="BN24" i="56"/>
  <c r="W24" i="56"/>
  <c r="AI29" i="56"/>
  <c r="AY13" i="56"/>
  <c r="BA33" i="56"/>
  <c r="AK28" i="56"/>
  <c r="M24" i="56"/>
  <c r="AC24" i="56"/>
  <c r="AK24" i="56"/>
  <c r="AO24" i="56"/>
  <c r="AS33" i="56"/>
  <c r="AW33" i="56"/>
  <c r="BA40" i="56"/>
  <c r="Z33" i="56"/>
  <c r="BI28" i="56"/>
  <c r="BF16" i="56"/>
  <c r="AI24" i="56"/>
  <c r="AM51" i="56"/>
  <c r="BH24" i="56"/>
  <c r="AJ26" i="56"/>
  <c r="AJ24" i="56"/>
  <c r="S33" i="56"/>
  <c r="P51" i="56"/>
  <c r="K51" i="56"/>
  <c r="Z40" i="56"/>
  <c r="AT51" i="56"/>
  <c r="BF33" i="56"/>
  <c r="Y33" i="56"/>
  <c r="AC51" i="56"/>
  <c r="BM51" i="56"/>
  <c r="BC40" i="56"/>
  <c r="AY24" i="56"/>
  <c r="AA51" i="56"/>
  <c r="BL24" i="56"/>
  <c r="T40" i="56"/>
  <c r="AM24" i="56"/>
  <c r="AI33" i="56"/>
  <c r="AU33" i="56"/>
  <c r="S51" i="56"/>
  <c r="V33" i="56"/>
  <c r="AD51" i="56"/>
  <c r="AH28" i="56"/>
  <c r="AL33" i="56"/>
  <c r="AP24" i="56"/>
  <c r="BB33" i="56"/>
  <c r="BB40" i="56"/>
  <c r="BN51" i="56"/>
  <c r="AO28" i="56"/>
  <c r="AO40" i="56"/>
  <c r="AS51" i="56"/>
  <c r="BE24" i="56"/>
  <c r="AO26" i="56"/>
  <c r="T29" i="56"/>
  <c r="AL51" i="56"/>
  <c r="Q51" i="56"/>
  <c r="Q28" i="56"/>
  <c r="AY40" i="56"/>
  <c r="BC24" i="56"/>
  <c r="AG51" i="56"/>
  <c r="AC40" i="56"/>
  <c r="AR24" i="56"/>
  <c r="BH51" i="56"/>
  <c r="Q33" i="56"/>
  <c r="BH33" i="56"/>
  <c r="AM40" i="56"/>
  <c r="AB24" i="56"/>
  <c r="AN33" i="56"/>
  <c r="AZ33" i="56"/>
  <c r="V40" i="56"/>
  <c r="AD33" i="56"/>
  <c r="BF24" i="56"/>
  <c r="Q24" i="56"/>
  <c r="AG24" i="56"/>
  <c r="AI36" i="56"/>
  <c r="N51" i="56"/>
  <c r="AH51" i="56"/>
  <c r="AP33" i="56"/>
  <c r="BN26" i="56"/>
  <c r="L16" i="56"/>
  <c r="M51" i="56"/>
  <c r="Y24" i="56"/>
  <c r="AK40" i="56"/>
  <c r="BA24" i="56"/>
  <c r="AL24" i="56"/>
  <c r="BE51" i="56"/>
  <c r="W40" i="56"/>
  <c r="K24" i="56"/>
  <c r="L33" i="56"/>
  <c r="AF24" i="56"/>
  <c r="BD24" i="56"/>
  <c r="BD51" i="56"/>
  <c r="X40" i="56"/>
  <c r="BG24" i="56"/>
  <c r="AB33" i="56"/>
  <c r="BE33" i="56"/>
  <c r="AY51" i="56"/>
  <c r="AR33" i="56"/>
  <c r="AT33" i="56"/>
  <c r="BD33" i="56"/>
  <c r="AG28" i="56"/>
  <c r="BA36" i="56"/>
  <c r="X16" i="56"/>
  <c r="AC28" i="56"/>
  <c r="AX44" i="56"/>
  <c r="BB32" i="56"/>
  <c r="X12" i="56"/>
  <c r="AC49" i="56"/>
  <c r="AK12" i="56"/>
  <c r="AO12" i="56"/>
  <c r="BC12" i="56"/>
  <c r="T12" i="56"/>
  <c r="AA12" i="56"/>
  <c r="AA32" i="56"/>
  <c r="AR32" i="56"/>
  <c r="AN12" i="56"/>
  <c r="L12" i="56"/>
  <c r="BJ49" i="56"/>
  <c r="R49" i="56"/>
  <c r="AH49" i="56"/>
  <c r="AL12" i="56"/>
  <c r="BB49" i="56"/>
  <c r="BF32" i="56"/>
  <c r="BF12" i="56"/>
  <c r="BN12" i="56"/>
  <c r="AB32" i="56"/>
  <c r="Q12" i="56"/>
  <c r="W12" i="56"/>
  <c r="BK12" i="56"/>
  <c r="AJ12" i="56"/>
  <c r="P32" i="56"/>
  <c r="AY32" i="56"/>
  <c r="BC44" i="56"/>
  <c r="AJ32" i="56"/>
  <c r="Q32" i="56"/>
  <c r="BF20" i="56"/>
  <c r="V49" i="56"/>
  <c r="N12" i="56"/>
  <c r="AD12" i="56"/>
  <c r="AP12" i="56"/>
  <c r="AT32" i="56"/>
  <c r="Y49" i="56"/>
  <c r="AW12" i="56"/>
  <c r="BL12" i="56"/>
  <c r="AF12" i="56"/>
  <c r="AY49" i="56"/>
  <c r="AM12" i="56"/>
  <c r="L49" i="56"/>
  <c r="AV32" i="56"/>
  <c r="AZ49" i="56"/>
  <c r="K48" i="56"/>
  <c r="AW32" i="56"/>
  <c r="AY48" i="56"/>
  <c r="N49" i="56"/>
  <c r="R12" i="56"/>
  <c r="Z12" i="56"/>
  <c r="AP32" i="56"/>
  <c r="AX12" i="56"/>
  <c r="U49" i="56"/>
  <c r="U32" i="56"/>
  <c r="Y32" i="56"/>
  <c r="AG12" i="56"/>
  <c r="AO49" i="56"/>
  <c r="AS49" i="56"/>
  <c r="BI49" i="56"/>
  <c r="AB12" i="56"/>
  <c r="BD12" i="56"/>
  <c r="Z49" i="56"/>
  <c r="O49" i="56"/>
  <c r="AB49" i="56"/>
  <c r="AZ12" i="56"/>
  <c r="BE12" i="56"/>
  <c r="AQ48" i="56"/>
  <c r="U12" i="56"/>
  <c r="Y12" i="56"/>
  <c r="M49" i="56"/>
  <c r="AC32" i="56"/>
  <c r="AS12" i="56"/>
  <c r="O12" i="56"/>
  <c r="K12" i="56"/>
  <c r="W49" i="56"/>
  <c r="X49" i="56"/>
  <c r="AQ13" i="56"/>
  <c r="BD41" i="56"/>
  <c r="W32" i="56"/>
  <c r="V32" i="56"/>
  <c r="O32" i="56"/>
  <c r="R32" i="56"/>
  <c r="V44" i="56"/>
  <c r="Z44" i="56"/>
  <c r="AH41" i="56"/>
  <c r="AL49" i="56"/>
  <c r="AX49" i="56"/>
  <c r="BB12" i="56"/>
  <c r="M12" i="56"/>
  <c r="AC12" i="56"/>
  <c r="AK49" i="56"/>
  <c r="BM12" i="56"/>
  <c r="S12" i="56"/>
  <c r="AQ12" i="56"/>
  <c r="AR12" i="56"/>
  <c r="AE32" i="56"/>
  <c r="Q6" i="38"/>
  <c r="Q12" i="38" s="1"/>
  <c r="Z55" i="56"/>
  <c r="L55" i="56"/>
  <c r="AW55" i="56"/>
  <c r="AR55" i="56"/>
  <c r="W55" i="56"/>
  <c r="M44" i="56"/>
  <c r="O55" i="56"/>
  <c r="BE36" i="56"/>
  <c r="BC15" i="56"/>
  <c r="AE51" i="56"/>
  <c r="BO13" i="56"/>
  <c r="AR51" i="56"/>
  <c r="AU51" i="56"/>
  <c r="P55" i="56"/>
  <c r="AJ51" i="56"/>
  <c r="BP6" i="56"/>
  <c r="BP29" i="56" s="1"/>
  <c r="BP82" i="56"/>
  <c r="BJ44" i="56"/>
  <c r="BN55" i="56"/>
  <c r="K55" i="56"/>
  <c r="AN55" i="56"/>
  <c r="Q55" i="56"/>
  <c r="M55" i="56"/>
  <c r="BM55" i="56"/>
  <c r="AY55" i="56"/>
  <c r="L15" i="56"/>
  <c r="X51" i="56"/>
  <c r="AS55" i="56"/>
  <c r="AB55" i="56"/>
  <c r="AQ15" i="56"/>
  <c r="BK55" i="56"/>
  <c r="AZ55" i="56"/>
  <c r="AJ55" i="56"/>
  <c r="X15" i="56"/>
  <c r="AT55" i="56"/>
  <c r="BB55" i="56"/>
  <c r="AV55" i="56"/>
  <c r="AE55" i="56"/>
  <c r="U55" i="56"/>
  <c r="BE55" i="56"/>
  <c r="AU55" i="56"/>
  <c r="O15" i="56"/>
  <c r="Q36" i="56"/>
  <c r="T51" i="56"/>
  <c r="AF51" i="56"/>
  <c r="BD55" i="56"/>
  <c r="BO116" i="56"/>
  <c r="BO114" i="56"/>
  <c r="BO108" i="56"/>
  <c r="N55" i="56"/>
  <c r="R15" i="56"/>
  <c r="V55" i="56"/>
  <c r="AD55" i="56"/>
  <c r="BF55" i="56"/>
  <c r="AO55" i="56"/>
  <c r="BC55" i="56"/>
  <c r="AB15" i="56"/>
  <c r="T55" i="56"/>
  <c r="BH55" i="56"/>
  <c r="BG51" i="56"/>
  <c r="BL51" i="56"/>
  <c r="AC55" i="56"/>
  <c r="AG55" i="56"/>
  <c r="O51" i="56"/>
  <c r="L51" i="56"/>
  <c r="BO36" i="56"/>
  <c r="BO29" i="56"/>
  <c r="AF49" i="56"/>
  <c r="BO30" i="56"/>
  <c r="Z20" i="56"/>
  <c r="AK20" i="56"/>
  <c r="M20" i="56"/>
  <c r="AQ49" i="56"/>
  <c r="M28" i="56"/>
  <c r="BH43" i="56"/>
  <c r="BK49" i="56"/>
  <c r="AP20" i="56"/>
  <c r="BC43" i="56"/>
  <c r="M6" i="38" a="1"/>
  <c r="M6" i="38" s="1"/>
  <c r="Z8" i="39"/>
  <c r="Z11" i="39" s="1"/>
  <c r="Q7" i="38"/>
  <c r="O12" i="38" s="1"/>
  <c r="Q11" i="44" a="1"/>
  <c r="R11" i="44" a="1"/>
  <c r="R123" i="44" s="1"/>
  <c r="P11" i="44" a="1"/>
  <c r="P275" i="44" s="1"/>
  <c r="BO41" i="56"/>
  <c r="N19" i="56"/>
  <c r="R41" i="56"/>
  <c r="V41" i="56"/>
  <c r="AD41" i="56"/>
  <c r="S37" i="56"/>
  <c r="AU41" i="56"/>
  <c r="BC49" i="56"/>
  <c r="V37" i="56"/>
  <c r="AL37" i="56"/>
  <c r="BN41" i="56"/>
  <c r="AE37" i="56"/>
  <c r="AC19" i="56"/>
  <c r="AZ37" i="56"/>
  <c r="AT41" i="56"/>
  <c r="O19" i="56"/>
  <c r="AZ41" i="56"/>
  <c r="AW19" i="56"/>
  <c r="AD19" i="56"/>
  <c r="BB41" i="56"/>
  <c r="T37" i="56"/>
  <c r="AJ49" i="56"/>
  <c r="AH19" i="56"/>
  <c r="Y37" i="56"/>
  <c r="AO41" i="56"/>
  <c r="AQ37" i="56"/>
  <c r="AA19" i="56"/>
  <c r="BH19" i="56"/>
  <c r="BF41" i="56"/>
  <c r="BE41" i="56"/>
  <c r="BI41" i="56"/>
  <c r="BL37" i="56"/>
  <c r="BG41" i="56"/>
  <c r="AP29" i="56"/>
  <c r="AX26" i="56"/>
  <c r="AC16" i="56"/>
  <c r="AK29" i="56"/>
  <c r="AY29" i="56"/>
  <c r="AR16" i="56"/>
  <c r="K16" i="56"/>
  <c r="BJ16" i="56"/>
  <c r="AD44" i="56"/>
  <c r="BI26" i="56"/>
  <c r="AI16" i="56"/>
  <c r="V15" i="56"/>
  <c r="BB44" i="56"/>
  <c r="N26" i="56"/>
  <c r="N44" i="56"/>
  <c r="Z29" i="56"/>
  <c r="AD48" i="56"/>
  <c r="AH16" i="56"/>
  <c r="AL48" i="56"/>
  <c r="AL26" i="56"/>
  <c r="AT16" i="56"/>
  <c r="AT40" i="56"/>
  <c r="AX16" i="56"/>
  <c r="AX29" i="56"/>
  <c r="BB48" i="56"/>
  <c r="BF13" i="56"/>
  <c r="BJ29" i="56"/>
  <c r="BM44" i="56"/>
  <c r="BG26" i="56"/>
  <c r="AZ26" i="56"/>
  <c r="AU16" i="56"/>
  <c r="M40" i="56"/>
  <c r="U37" i="56"/>
  <c r="AC44" i="56"/>
  <c r="BA15" i="56"/>
  <c r="BE15" i="56"/>
  <c r="BI44" i="56"/>
  <c r="AU48" i="56"/>
  <c r="BD32" i="56"/>
  <c r="BG16" i="56"/>
  <c r="AN26" i="56"/>
  <c r="AN37" i="56"/>
  <c r="L32" i="56"/>
  <c r="AU29" i="56"/>
  <c r="T15" i="56"/>
  <c r="AN15" i="56"/>
  <c r="P15" i="56"/>
  <c r="BK40" i="56"/>
  <c r="BM40" i="56"/>
  <c r="AO48" i="56"/>
  <c r="M13" i="56"/>
  <c r="BC32" i="56"/>
  <c r="AM26" i="56"/>
  <c r="AZ48" i="56"/>
  <c r="AN44" i="56"/>
  <c r="AE40" i="56"/>
  <c r="AJ40" i="56"/>
  <c r="BK44" i="56"/>
  <c r="AX15" i="56"/>
  <c r="N16" i="56"/>
  <c r="Z26" i="56"/>
  <c r="AL44" i="56"/>
  <c r="AF16" i="56"/>
  <c r="BL26" i="56"/>
  <c r="BG15" i="56"/>
  <c r="BF26" i="56"/>
  <c r="BF44" i="56"/>
  <c r="N32" i="56"/>
  <c r="N40" i="56"/>
  <c r="R40" i="56"/>
  <c r="AD29" i="56"/>
  <c r="AD40" i="56"/>
  <c r="AH29" i="56"/>
  <c r="AH26" i="56"/>
  <c r="AL16" i="56"/>
  <c r="AL29" i="56"/>
  <c r="AT37" i="56"/>
  <c r="AX32" i="56"/>
  <c r="BB16" i="56"/>
  <c r="BN29" i="56"/>
  <c r="AJ37" i="56"/>
  <c r="T16" i="56"/>
  <c r="BM16" i="56"/>
  <c r="AN48" i="56"/>
  <c r="BH29" i="56"/>
  <c r="P48" i="56"/>
  <c r="M29" i="56"/>
  <c r="M15" i="56"/>
  <c r="U40" i="56"/>
  <c r="U15" i="56"/>
  <c r="Y48" i="56"/>
  <c r="AG32" i="56"/>
  <c r="AG40" i="56"/>
  <c r="AO13" i="56"/>
  <c r="AW26" i="56"/>
  <c r="BM15" i="56"/>
  <c r="AI48" i="56"/>
  <c r="AB48" i="56"/>
  <c r="AU32" i="56"/>
  <c r="AQ16" i="56"/>
  <c r="AB26" i="56"/>
  <c r="BG29" i="56"/>
  <c r="P37" i="56"/>
  <c r="AC29" i="56"/>
  <c r="AS44" i="56"/>
  <c r="BK16" i="56"/>
  <c r="BK15" i="56"/>
  <c r="BD15" i="56"/>
  <c r="BH15" i="56"/>
  <c r="AI40" i="56"/>
  <c r="AZ40" i="56"/>
  <c r="AK44" i="56"/>
  <c r="M26" i="56"/>
  <c r="AK37" i="56"/>
  <c r="BL32" i="56"/>
  <c r="L40" i="56"/>
  <c r="AF15" i="56"/>
  <c r="AR40" i="56"/>
  <c r="BD48" i="56"/>
  <c r="AF26" i="56"/>
  <c r="AA26" i="56"/>
  <c r="AB44" i="56"/>
  <c r="AQ40" i="56"/>
  <c r="AU40" i="56"/>
  <c r="BM49" i="56"/>
  <c r="AZ19" i="56"/>
  <c r="AV49" i="56"/>
  <c r="AS32" i="56"/>
  <c r="BN48" i="56"/>
  <c r="O26" i="56"/>
  <c r="R26" i="56"/>
  <c r="N29" i="56"/>
  <c r="U29" i="56"/>
  <c r="AR26" i="56"/>
  <c r="AN16" i="56"/>
  <c r="AD16" i="56"/>
  <c r="BJ26" i="56"/>
  <c r="AK15" i="56"/>
  <c r="AE15" i="56"/>
  <c r="AM16" i="56"/>
  <c r="S15" i="56"/>
  <c r="R16" i="56"/>
  <c r="Z32" i="56"/>
  <c r="AH32" i="56"/>
  <c r="AH40" i="56"/>
  <c r="BB13" i="56"/>
  <c r="S26" i="56"/>
  <c r="AR29" i="56"/>
  <c r="AF48" i="56"/>
  <c r="Y16" i="56"/>
  <c r="Y15" i="56"/>
  <c r="AC15" i="56"/>
  <c r="AK48" i="56"/>
  <c r="AO15" i="56"/>
  <c r="BE40" i="56"/>
  <c r="BI16" i="56"/>
  <c r="BM29" i="56"/>
  <c r="S48" i="56"/>
  <c r="AM32" i="56"/>
  <c r="S32" i="56"/>
  <c r="AE16" i="56"/>
  <c r="L26" i="56"/>
  <c r="AE29" i="56"/>
  <c r="BJ48" i="56"/>
  <c r="AJ29" i="56"/>
  <c r="BK13" i="56"/>
  <c r="BI13" i="56"/>
  <c r="AI15" i="56"/>
  <c r="BL15" i="56"/>
  <c r="W15" i="56"/>
  <c r="AB40" i="56"/>
  <c r="Y13" i="56"/>
  <c r="W26" i="56"/>
  <c r="AI32" i="56"/>
  <c r="BC26" i="56"/>
  <c r="AE26" i="56"/>
  <c r="BD44" i="56"/>
  <c r="AF40" i="56"/>
  <c r="K40" i="56"/>
  <c r="AV26" i="56"/>
  <c r="BG32" i="56"/>
  <c r="R29" i="56"/>
  <c r="AH44" i="56"/>
  <c r="BN15" i="56"/>
  <c r="AQ29" i="56"/>
  <c r="BA44" i="56"/>
  <c r="P16" i="56"/>
  <c r="BD29" i="56"/>
  <c r="AY15" i="56"/>
  <c r="AG26" i="56"/>
  <c r="S16" i="56"/>
  <c r="N15" i="56"/>
  <c r="AD32" i="56"/>
  <c r="BN32" i="56"/>
  <c r="BE32" i="56"/>
  <c r="U16" i="56"/>
  <c r="O48" i="56"/>
  <c r="M32" i="56"/>
  <c r="S29" i="56"/>
  <c r="AP40" i="56"/>
  <c r="Z48" i="56"/>
  <c r="BF29" i="56"/>
  <c r="R13" i="56"/>
  <c r="V48" i="56"/>
  <c r="AD26" i="56"/>
  <c r="AD15" i="56"/>
  <c r="AH15" i="56"/>
  <c r="AL15" i="56"/>
  <c r="AP44" i="56"/>
  <c r="AX40" i="56"/>
  <c r="BB29" i="56"/>
  <c r="BF15" i="56"/>
  <c r="BF40" i="56"/>
  <c r="BN19" i="56"/>
  <c r="AG15" i="56"/>
  <c r="K32" i="56"/>
  <c r="AW29" i="56"/>
  <c r="BH48" i="56"/>
  <c r="AV16" i="56"/>
  <c r="AA16" i="56"/>
  <c r="AC26" i="56"/>
  <c r="Q48" i="56"/>
  <c r="Q37" i="56"/>
  <c r="U44" i="56"/>
  <c r="Y26" i="56"/>
  <c r="AG37" i="56"/>
  <c r="AK16" i="56"/>
  <c r="AK32" i="56"/>
  <c r="AO29" i="56"/>
  <c r="AS40" i="56"/>
  <c r="BA48" i="56"/>
  <c r="BI29" i="56"/>
  <c r="BI40" i="56"/>
  <c r="BM32" i="56"/>
  <c r="BL48" i="56"/>
  <c r="AN32" i="56"/>
  <c r="X32" i="56"/>
  <c r="O16" i="56"/>
  <c r="AY26" i="56"/>
  <c r="O29" i="56"/>
  <c r="BJ32" i="56"/>
  <c r="AZ29" i="56"/>
  <c r="X48" i="56"/>
  <c r="AB29" i="56"/>
  <c r="AJ15" i="56"/>
  <c r="K15" i="56"/>
  <c r="AM19" i="56"/>
  <c r="AU26" i="56"/>
  <c r="BA32" i="56"/>
  <c r="BH26" i="56"/>
  <c r="L48" i="56"/>
  <c r="BK26" i="56"/>
  <c r="AQ26" i="56"/>
  <c r="AV15" i="56"/>
  <c r="AI49" i="56"/>
  <c r="Q44" i="56"/>
  <c r="S40" i="56"/>
  <c r="W41" i="56"/>
  <c r="AI19" i="56"/>
  <c r="K49" i="56"/>
  <c r="AZ32" i="56"/>
  <c r="AS26" i="56"/>
  <c r="X26" i="56"/>
  <c r="AZ16" i="56"/>
  <c r="W16" i="56"/>
  <c r="BE26" i="56"/>
  <c r="BJ40" i="56"/>
  <c r="R48" i="56"/>
  <c r="BB26" i="56"/>
  <c r="R44" i="56"/>
  <c r="R37" i="56"/>
  <c r="V16" i="56"/>
  <c r="Z15" i="56"/>
  <c r="AP16" i="56"/>
  <c r="AP37" i="56"/>
  <c r="AT15" i="56"/>
  <c r="AT44" i="56"/>
  <c r="BB15" i="56"/>
  <c r="BF48" i="56"/>
  <c r="BJ15" i="56"/>
  <c r="BN44" i="56"/>
  <c r="Q15" i="56"/>
  <c r="AO32" i="56"/>
  <c r="AS29" i="56"/>
  <c r="AG48" i="56"/>
  <c r="U48" i="56"/>
  <c r="AK26" i="56"/>
  <c r="AS48" i="56"/>
  <c r="AW40" i="56"/>
  <c r="BA16" i="56"/>
  <c r="BI32" i="56"/>
  <c r="BI15" i="56"/>
  <c r="BK48" i="56"/>
  <c r="BK32" i="56"/>
  <c r="AQ32" i="56"/>
  <c r="BL16" i="56"/>
  <c r="AI26" i="56"/>
  <c r="BC29" i="56"/>
  <c r="BM26" i="56"/>
  <c r="AG16" i="56"/>
  <c r="AM15" i="56"/>
  <c r="AU15" i="56"/>
  <c r="BG40" i="56"/>
  <c r="P26" i="56"/>
  <c r="L29" i="56"/>
  <c r="P40" i="56"/>
  <c r="AW15" i="56"/>
  <c r="AO44" i="56"/>
  <c r="T26" i="56"/>
  <c r="AA40" i="56"/>
  <c r="AZ44" i="56"/>
  <c r="AB19" i="56"/>
  <c r="AR15" i="56"/>
  <c r="C64" i="56"/>
  <c r="H61" i="56" s="1"/>
  <c r="CH61" i="56" s="1"/>
  <c r="BO28" i="56"/>
  <c r="AU47" i="56"/>
  <c r="AF47" i="56"/>
  <c r="N43" i="56"/>
  <c r="V47" i="56"/>
  <c r="AD13" i="56"/>
  <c r="AT43" i="56"/>
  <c r="AX37" i="56"/>
  <c r="AX19" i="56"/>
  <c r="BI37" i="56"/>
  <c r="AY47" i="56"/>
  <c r="AI13" i="56"/>
  <c r="U47" i="56"/>
  <c r="AK19" i="56"/>
  <c r="BE37" i="56"/>
  <c r="BM47" i="56"/>
  <c r="BD37" i="56"/>
  <c r="BK37" i="56"/>
  <c r="AJ47" i="56"/>
  <c r="BA37" i="56"/>
  <c r="BE13" i="56"/>
  <c r="BK47" i="56"/>
  <c r="AR13" i="56"/>
  <c r="O13" i="56"/>
  <c r="AE19" i="56"/>
  <c r="AA20" i="56"/>
  <c r="BI47" i="56"/>
  <c r="L37" i="56"/>
  <c r="AF20" i="56"/>
  <c r="Q19" i="56"/>
  <c r="K37" i="56"/>
  <c r="AR43" i="56"/>
  <c r="S19" i="56"/>
  <c r="AN19" i="56"/>
  <c r="BK19" i="56"/>
  <c r="N20" i="56"/>
  <c r="AH13" i="56"/>
  <c r="AX20" i="56"/>
  <c r="AS20" i="56"/>
  <c r="AK47" i="56"/>
  <c r="BM43" i="56"/>
  <c r="AV47" i="56"/>
  <c r="AV13" i="56"/>
  <c r="AN13" i="56"/>
  <c r="AQ47" i="56"/>
  <c r="Y47" i="56"/>
  <c r="AF13" i="56"/>
  <c r="AX13" i="56"/>
  <c r="AT19" i="56"/>
  <c r="BB20" i="56"/>
  <c r="N13" i="56"/>
  <c r="V19" i="56"/>
  <c r="V20" i="56"/>
  <c r="Z19" i="56"/>
  <c r="AP47" i="56"/>
  <c r="AP43" i="56"/>
  <c r="AT47" i="56"/>
  <c r="BB47" i="56"/>
  <c r="BJ37" i="56"/>
  <c r="BN47" i="56"/>
  <c r="AE47" i="56"/>
  <c r="AG20" i="56"/>
  <c r="AF37" i="56"/>
  <c r="P13" i="56"/>
  <c r="Q20" i="56"/>
  <c r="AC13" i="56"/>
  <c r="AO37" i="56"/>
  <c r="AW43" i="56"/>
  <c r="BI19" i="56"/>
  <c r="BH37" i="56"/>
  <c r="O37" i="56"/>
  <c r="X47" i="56"/>
  <c r="L13" i="56"/>
  <c r="AU13" i="56"/>
  <c r="AQ19" i="56"/>
  <c r="AS37" i="56"/>
  <c r="AI47" i="56"/>
  <c r="AS13" i="56"/>
  <c r="AF19" i="56"/>
  <c r="AM47" i="56"/>
  <c r="AO19" i="56"/>
  <c r="AM49" i="56"/>
  <c r="W19" i="56"/>
  <c r="K19" i="56"/>
  <c r="AW49" i="56"/>
  <c r="AS19" i="56"/>
  <c r="AB37" i="56"/>
  <c r="BL19" i="56"/>
  <c r="R47" i="56"/>
  <c r="BJ47" i="56"/>
  <c r="AL47" i="56"/>
  <c r="AT13" i="56"/>
  <c r="AT20" i="56"/>
  <c r="AO20" i="56"/>
  <c r="BF19" i="56"/>
  <c r="N47" i="56"/>
  <c r="Z43" i="56"/>
  <c r="AH20" i="56"/>
  <c r="AL20" i="56"/>
  <c r="BB19" i="56"/>
  <c r="BB37" i="56"/>
  <c r="BF37" i="56"/>
  <c r="BJ13" i="56"/>
  <c r="BN20" i="56"/>
  <c r="K13" i="56"/>
  <c r="U20" i="56"/>
  <c r="BC37" i="56"/>
  <c r="BG37" i="56"/>
  <c r="BG47" i="56"/>
  <c r="T47" i="56"/>
  <c r="AN47" i="56"/>
  <c r="BH13" i="56"/>
  <c r="P19" i="56"/>
  <c r="AM37" i="56"/>
  <c r="BD47" i="56"/>
  <c r="AU20" i="56"/>
  <c r="AG29" i="56"/>
  <c r="AQ20" i="56"/>
  <c r="AA49" i="56"/>
  <c r="BD19" i="56"/>
  <c r="AE49" i="56"/>
  <c r="BC19" i="56"/>
  <c r="AD47" i="56"/>
  <c r="AS47" i="56"/>
  <c r="AC47" i="56"/>
  <c r="Z47" i="56"/>
  <c r="AD20" i="56"/>
  <c r="AH47" i="56"/>
  <c r="AH37" i="56"/>
  <c r="BN13" i="56"/>
  <c r="BN37" i="56"/>
  <c r="AA13" i="56"/>
  <c r="Q13" i="56"/>
  <c r="X13" i="56"/>
  <c r="M37" i="56"/>
  <c r="U19" i="56"/>
  <c r="AC20" i="56"/>
  <c r="BM19" i="56"/>
  <c r="AI37" i="56"/>
  <c r="AR37" i="56"/>
  <c r="K47" i="56"/>
  <c r="BH47" i="56"/>
  <c r="AM13" i="56"/>
  <c r="S13" i="56"/>
  <c r="AZ47" i="56"/>
  <c r="BL13" i="56"/>
  <c r="AU43" i="56"/>
  <c r="BL29" i="56"/>
  <c r="K29" i="56"/>
  <c r="L19" i="56"/>
  <c r="T19" i="56"/>
  <c r="AB13" i="56"/>
  <c r="AG49" i="56"/>
  <c r="AK13" i="56"/>
  <c r="T49" i="56"/>
  <c r="P49" i="56"/>
  <c r="AR19" i="56"/>
  <c r="R19" i="56"/>
  <c r="AU49" i="56"/>
  <c r="AU19" i="56"/>
  <c r="N37" i="56"/>
  <c r="R43" i="56"/>
  <c r="Z37" i="56"/>
  <c r="AL19" i="56"/>
  <c r="AX47" i="56"/>
  <c r="BF47" i="56"/>
  <c r="AO47" i="56"/>
  <c r="Y19" i="56"/>
  <c r="BA13" i="56"/>
  <c r="M47" i="56"/>
  <c r="AC37" i="56"/>
  <c r="AW47" i="56"/>
  <c r="AW20" i="56"/>
  <c r="BA19" i="56"/>
  <c r="BA47" i="56"/>
  <c r="BE19" i="56"/>
  <c r="BM13" i="56"/>
  <c r="AU37" i="56"/>
  <c r="AY37" i="56"/>
  <c r="W37" i="56"/>
  <c r="P47" i="56"/>
  <c r="Q47" i="56"/>
  <c r="AJ13" i="56"/>
  <c r="T20" i="56"/>
  <c r="AY16" i="56"/>
  <c r="AG13" i="56"/>
  <c r="AW13" i="56"/>
  <c r="AR49" i="56"/>
  <c r="AN49" i="56"/>
  <c r="AJ19" i="56"/>
  <c r="BE49" i="56"/>
  <c r="AD49" i="56"/>
  <c r="X19" i="56"/>
  <c r="AL13" i="56"/>
  <c r="R20" i="56"/>
  <c r="V13" i="56"/>
  <c r="Z13" i="56"/>
  <c r="AD37" i="56"/>
  <c r="AL43" i="56"/>
  <c r="AP19" i="56"/>
  <c r="BJ19" i="56"/>
  <c r="O47" i="56"/>
  <c r="BE47" i="56"/>
  <c r="T13" i="56"/>
  <c r="M19" i="56"/>
  <c r="W13" i="56"/>
  <c r="S47" i="56"/>
  <c r="AP13" i="56"/>
  <c r="Q43" i="56"/>
  <c r="Y20" i="56"/>
  <c r="AW37" i="56"/>
  <c r="BM37" i="56"/>
  <c r="AV37" i="56"/>
  <c r="AA37" i="56"/>
  <c r="W47" i="56"/>
  <c r="BC13" i="56"/>
  <c r="BG13" i="56"/>
  <c r="BC47" i="56"/>
  <c r="BJ20" i="56"/>
  <c r="L20" i="56"/>
  <c r="X20" i="56"/>
  <c r="AB47" i="56"/>
  <c r="AG19" i="56"/>
  <c r="BG49" i="56"/>
  <c r="AQ43" i="56"/>
  <c r="AV19" i="56"/>
  <c r="BG19" i="56"/>
  <c r="AS16" i="56"/>
  <c r="N42" i="56"/>
  <c r="AL42" i="56"/>
  <c r="AO42" i="56"/>
  <c r="BF42" i="56"/>
  <c r="AU42" i="56"/>
  <c r="AN42" i="56"/>
  <c r="BH42" i="56"/>
  <c r="BK42" i="56"/>
  <c r="BG42" i="56"/>
  <c r="R42" i="56"/>
  <c r="AT42" i="56"/>
  <c r="AP42" i="56"/>
  <c r="AA42" i="56"/>
  <c r="Y42" i="56"/>
  <c r="AG43" i="56"/>
  <c r="Q42" i="56"/>
  <c r="M41" i="56"/>
  <c r="AC41" i="56"/>
  <c r="AG42" i="56"/>
  <c r="AK36" i="56"/>
  <c r="AK43" i="56"/>
  <c r="AW44" i="56"/>
  <c r="AW41" i="56"/>
  <c r="BA43" i="56"/>
  <c r="BE43" i="56"/>
  <c r="BI20" i="56"/>
  <c r="AC36" i="56"/>
  <c r="K41" i="56"/>
  <c r="AZ20" i="56"/>
  <c r="BL20" i="56"/>
  <c r="P43" i="56"/>
  <c r="T36" i="56"/>
  <c r="AF41" i="56"/>
  <c r="AN20" i="56"/>
  <c r="AV20" i="56"/>
  <c r="BC20" i="56"/>
  <c r="BG20" i="56"/>
  <c r="L44" i="56"/>
  <c r="AV44" i="56"/>
  <c r="AY42" i="56"/>
  <c r="S41" i="56"/>
  <c r="AV43" i="56"/>
  <c r="AQ42" i="56"/>
  <c r="S36" i="56"/>
  <c r="AH36" i="56"/>
  <c r="AL41" i="56"/>
  <c r="AT36" i="56"/>
  <c r="AX36" i="56"/>
  <c r="BJ43" i="56"/>
  <c r="BN42" i="56"/>
  <c r="Y43" i="56"/>
  <c r="AK42" i="56"/>
  <c r="AK41" i="56"/>
  <c r="BA41" i="56"/>
  <c r="AI41" i="56"/>
  <c r="AV36" i="56"/>
  <c r="M42" i="56"/>
  <c r="K42" i="56"/>
  <c r="AQ41" i="56"/>
  <c r="AB41" i="56"/>
  <c r="S43" i="56"/>
  <c r="X42" i="56"/>
  <c r="M36" i="56"/>
  <c r="BN36" i="56"/>
  <c r="V42" i="56"/>
  <c r="Z41" i="56"/>
  <c r="AD42" i="56"/>
  <c r="AH43" i="56"/>
  <c r="AX43" i="56"/>
  <c r="BF36" i="56"/>
  <c r="AG36" i="56"/>
  <c r="M43" i="56"/>
  <c r="Y41" i="56"/>
  <c r="BE44" i="56"/>
  <c r="AE41" i="56"/>
  <c r="W43" i="56"/>
  <c r="BD43" i="56"/>
  <c r="AM20" i="56"/>
  <c r="X44" i="56"/>
  <c r="AF43" i="56"/>
  <c r="AJ41" i="56"/>
  <c r="AZ43" i="56"/>
  <c r="BH20" i="56"/>
  <c r="W20" i="56"/>
  <c r="O44" i="56"/>
  <c r="AJ44" i="56"/>
  <c r="AM44" i="56"/>
  <c r="AF42" i="56"/>
  <c r="AR41" i="56"/>
  <c r="X41" i="56"/>
  <c r="AY43" i="56"/>
  <c r="AF44" i="56"/>
  <c r="Y44" i="56"/>
  <c r="V36" i="56"/>
  <c r="AD43" i="56"/>
  <c r="AP41" i="56"/>
  <c r="BF43" i="56"/>
  <c r="BJ42" i="56"/>
  <c r="BJ41" i="56"/>
  <c r="AC43" i="56"/>
  <c r="AS41" i="56"/>
  <c r="BI43" i="56"/>
  <c r="AA41" i="56"/>
  <c r="AI43" i="56"/>
  <c r="AB43" i="56"/>
  <c r="AS36" i="56"/>
  <c r="BI42" i="56"/>
  <c r="AY20" i="56"/>
  <c r="L43" i="56"/>
  <c r="AB42" i="56"/>
  <c r="AJ43" i="56"/>
  <c r="BM36" i="56"/>
  <c r="AI20" i="56"/>
  <c r="AN43" i="56"/>
  <c r="W42" i="56"/>
  <c r="O42" i="56"/>
  <c r="T44" i="56"/>
  <c r="W44" i="56"/>
  <c r="AE42" i="56"/>
  <c r="P42" i="56"/>
  <c r="P41" i="56"/>
  <c r="BC41" i="56"/>
  <c r="AE43" i="56"/>
  <c r="AM43" i="56"/>
  <c r="AE20" i="56"/>
  <c r="O20" i="56"/>
  <c r="BP116" i="56"/>
  <c r="BP108" i="56"/>
  <c r="AD36" i="56"/>
  <c r="N41" i="56"/>
  <c r="V43" i="56"/>
  <c r="Z42" i="56"/>
  <c r="BB43" i="56"/>
  <c r="BJ36" i="56"/>
  <c r="BN43" i="56"/>
  <c r="U43" i="56"/>
  <c r="AG41" i="56"/>
  <c r="AO43" i="56"/>
  <c r="AS43" i="56"/>
  <c r="BA20" i="56"/>
  <c r="BI36" i="56"/>
  <c r="BA42" i="56"/>
  <c r="AM41" i="56"/>
  <c r="O43" i="56"/>
  <c r="BM41" i="56"/>
  <c r="BE42" i="56"/>
  <c r="AJ20" i="56"/>
  <c r="X43" i="56"/>
  <c r="AB20" i="56"/>
  <c r="BL43" i="56"/>
  <c r="BE20" i="56"/>
  <c r="U36" i="56"/>
  <c r="AC42" i="56"/>
  <c r="K20" i="56"/>
  <c r="BC42" i="56"/>
  <c r="BG44" i="56"/>
  <c r="AA44" i="56"/>
  <c r="L42" i="56"/>
  <c r="AR42" i="56"/>
  <c r="L41" i="56"/>
  <c r="BL41" i="56"/>
  <c r="T43" i="56"/>
  <c r="K43" i="56"/>
  <c r="AU44" i="56"/>
  <c r="AR20" i="56"/>
  <c r="S20" i="56"/>
  <c r="AH42" i="56"/>
  <c r="AP36" i="56"/>
  <c r="AX42" i="56"/>
  <c r="AX41" i="56"/>
  <c r="Q41" i="56"/>
  <c r="U41" i="56"/>
  <c r="Y36" i="56"/>
  <c r="AO36" i="56"/>
  <c r="O41" i="56"/>
  <c r="BG43" i="56"/>
  <c r="BM20" i="56"/>
  <c r="U42" i="56"/>
  <c r="BD20" i="56"/>
  <c r="P20" i="56"/>
  <c r="AJ36" i="56"/>
  <c r="AV41" i="56"/>
  <c r="BH41" i="56"/>
  <c r="AZ42" i="56"/>
  <c r="AQ44" i="56"/>
  <c r="AI42" i="56"/>
  <c r="T42" i="56"/>
  <c r="BK43" i="56"/>
  <c r="X24" i="56"/>
  <c r="C10" i="39"/>
  <c r="C11" i="39" s="1"/>
  <c r="C22" i="39" s="1"/>
  <c r="BA29" i="56"/>
  <c r="L47" i="56"/>
  <c r="AG47" i="56"/>
  <c r="AA47" i="56"/>
  <c r="AR47" i="56"/>
  <c r="AM29" i="56"/>
  <c r="P29" i="56"/>
  <c r="BD16" i="56"/>
  <c r="BH16" i="56"/>
  <c r="AO16" i="56"/>
  <c r="AV29" i="56"/>
  <c r="BE16" i="56"/>
  <c r="X29" i="56"/>
  <c r="Q16" i="56"/>
  <c r="BH49" i="56"/>
  <c r="BL49" i="56"/>
  <c r="BD49" i="56"/>
  <c r="L3" i="44"/>
  <c r="AJ16" i="56"/>
  <c r="AB16" i="56"/>
  <c r="AM28" i="56"/>
  <c r="L28" i="56"/>
  <c r="AW28" i="56"/>
  <c r="BL28" i="56"/>
  <c r="AY28" i="56"/>
  <c r="BH28" i="56"/>
  <c r="AU28" i="56"/>
  <c r="BK28" i="56"/>
  <c r="O28" i="56"/>
  <c r="BM28" i="56"/>
  <c r="BD28" i="56"/>
  <c r="S28" i="56"/>
  <c r="AI28" i="56"/>
  <c r="AS28" i="56"/>
  <c r="AQ28" i="56"/>
  <c r="AR28" i="56"/>
  <c r="AV28" i="56"/>
  <c r="AB28" i="56"/>
  <c r="K28" i="56"/>
  <c r="BG28" i="56"/>
  <c r="AN28" i="56"/>
  <c r="W28" i="56"/>
  <c r="BC28" i="56"/>
  <c r="AE28" i="56"/>
  <c r="AJ28" i="56"/>
  <c r="X28" i="56"/>
  <c r="T28" i="56"/>
  <c r="S44" i="56"/>
  <c r="BL44" i="56"/>
  <c r="AR44" i="56"/>
  <c r="K44" i="56"/>
  <c r="AI44" i="56"/>
  <c r="AE44" i="56"/>
  <c r="AY44" i="56"/>
  <c r="BH44" i="56"/>
  <c r="BG48" i="56"/>
  <c r="BI48" i="56"/>
  <c r="AV48" i="56"/>
  <c r="X36" i="56"/>
  <c r="AY36" i="56"/>
  <c r="AR36" i="56"/>
  <c r="L36" i="56"/>
  <c r="AF36" i="56"/>
  <c r="BD36" i="56"/>
  <c r="BK36" i="56"/>
  <c r="O36" i="56"/>
  <c r="K36" i="56"/>
  <c r="AM36" i="56"/>
  <c r="BC36" i="56"/>
  <c r="AN36" i="56"/>
  <c r="AE36" i="56"/>
  <c r="AB36" i="56"/>
  <c r="BL36" i="56"/>
  <c r="AA36" i="56"/>
  <c r="P36" i="56"/>
  <c r="AU36" i="56"/>
  <c r="AZ36" i="56"/>
  <c r="AQ36" i="56"/>
  <c r="BG36" i="56"/>
  <c r="AV40" i="56"/>
  <c r="AN40" i="56"/>
  <c r="O40" i="56"/>
  <c r="BB36" i="56"/>
  <c r="AN29" i="56"/>
  <c r="Q29" i="56"/>
  <c r="AF29" i="56"/>
  <c r="BK29" i="56"/>
  <c r="AA29" i="56"/>
  <c r="BE29" i="56"/>
  <c r="T41" i="56"/>
  <c r="BK41" i="56"/>
  <c r="AN41" i="56"/>
  <c r="C63" i="56"/>
  <c r="H60" i="56" s="1"/>
  <c r="AW60" i="56" s="1"/>
  <c r="C65" i="56"/>
  <c r="H62" i="56" s="1"/>
  <c r="P62" i="56" s="1"/>
  <c r="C69" i="56"/>
  <c r="H66" i="56" s="1"/>
  <c r="AV66" i="56" s="1"/>
  <c r="E126" i="44"/>
  <c r="AF7" i="44"/>
  <c r="P10" i="44"/>
  <c r="C66" i="56"/>
  <c r="H63" i="56" s="1"/>
  <c r="V63" i="56" s="1"/>
  <c r="C68" i="56"/>
  <c r="H65" i="56" s="1"/>
  <c r="W65" i="56" s="1"/>
  <c r="AA7" i="44"/>
  <c r="Q3" i="65"/>
  <c r="D62" i="56" s="1"/>
  <c r="C67" i="56"/>
  <c r="H64" i="56" s="1"/>
  <c r="BZ64" i="56" s="1"/>
  <c r="E67" i="56"/>
  <c r="C70" i="56"/>
  <c r="H67" i="56" s="1"/>
  <c r="AX67" i="56" s="1"/>
  <c r="E70" i="56"/>
  <c r="C71" i="56"/>
  <c r="H68" i="56" s="1"/>
  <c r="AW68" i="56" s="1"/>
  <c r="E71" i="56"/>
  <c r="E197" i="44"/>
  <c r="E177" i="44"/>
  <c r="E121" i="44"/>
  <c r="E216" i="44"/>
  <c r="E199" i="44"/>
  <c r="E71" i="44"/>
  <c r="E33" i="44"/>
  <c r="E141" i="44"/>
  <c r="E58" i="44"/>
  <c r="E81" i="44"/>
  <c r="E548" i="44"/>
  <c r="E561" i="44"/>
  <c r="E116" i="44"/>
  <c r="E360" i="44"/>
  <c r="E26" i="44"/>
  <c r="E358" i="44"/>
  <c r="E270" i="44"/>
  <c r="E161" i="44"/>
  <c r="E87" i="44"/>
  <c r="E162" i="44"/>
  <c r="E300" i="44"/>
  <c r="E128" i="44"/>
  <c r="E347" i="44"/>
  <c r="E34" i="44"/>
  <c r="E236" i="44"/>
  <c r="E111" i="44"/>
  <c r="E159" i="44"/>
  <c r="E99" i="44"/>
  <c r="E145" i="44"/>
  <c r="E59" i="44"/>
  <c r="E495" i="44"/>
  <c r="E308" i="44"/>
  <c r="E160" i="44"/>
  <c r="E318" i="44"/>
  <c r="E620" i="44"/>
  <c r="E389" i="44"/>
  <c r="E286" i="44"/>
  <c r="E182" i="44"/>
  <c r="E78" i="44"/>
  <c r="E265" i="44"/>
  <c r="E213" i="44"/>
  <c r="E231" i="44"/>
  <c r="E192" i="44"/>
  <c r="E203" i="44"/>
  <c r="E275" i="44"/>
  <c r="E784" i="44"/>
  <c r="E25" i="44"/>
  <c r="E93" i="44"/>
  <c r="E200" i="44"/>
  <c r="E47" i="44"/>
  <c r="E83" i="44"/>
  <c r="E124" i="44"/>
  <c r="E452" i="44"/>
  <c r="E208" i="44"/>
  <c r="E166" i="44"/>
  <c r="E762" i="44"/>
  <c r="E163" i="44"/>
  <c r="E337" i="44"/>
  <c r="E131" i="44"/>
  <c r="E73" i="44"/>
  <c r="E311" i="44"/>
  <c r="E226" i="44"/>
  <c r="E240" i="44"/>
  <c r="E636" i="44"/>
  <c r="E302" i="44"/>
  <c r="E350" i="44"/>
  <c r="E351" i="44"/>
  <c r="E272" i="44"/>
  <c r="E517" i="44"/>
  <c r="E64" i="44"/>
  <c r="E249" i="44"/>
  <c r="E75" i="44"/>
  <c r="E556" i="44"/>
  <c r="E293" i="44"/>
  <c r="E232" i="44"/>
  <c r="E401" i="44"/>
  <c r="E600" i="44"/>
  <c r="E16" i="44"/>
  <c r="E408" i="44"/>
  <c r="E264" i="44"/>
  <c r="E154" i="44"/>
  <c r="E156" i="44"/>
  <c r="E204" i="44"/>
  <c r="E17" i="44"/>
  <c r="E110" i="44"/>
  <c r="E268" i="44"/>
  <c r="E241" i="44"/>
  <c r="E153" i="44"/>
  <c r="E325" i="44"/>
  <c r="E566" i="44"/>
  <c r="E359" i="44"/>
  <c r="E51" i="44"/>
  <c r="E251" i="44"/>
  <c r="E183" i="44"/>
  <c r="E598" i="44"/>
  <c r="E375" i="44"/>
  <c r="E290" i="44"/>
  <c r="E86" i="44"/>
  <c r="E185" i="44"/>
  <c r="E289" i="44"/>
  <c r="E373" i="44"/>
  <c r="E117" i="44"/>
  <c r="E466" i="44"/>
  <c r="E36" i="44"/>
  <c r="E149" i="44"/>
  <c r="E419" i="44"/>
  <c r="E219" i="44"/>
  <c r="E370" i="44"/>
  <c r="F358" i="44"/>
  <c r="E205" i="44"/>
  <c r="E150" i="44"/>
  <c r="E202" i="44"/>
  <c r="E224" i="44"/>
  <c r="E143" i="44"/>
  <c r="E334" i="44"/>
  <c r="E189" i="44"/>
  <c r="E323" i="44"/>
  <c r="E120" i="44"/>
  <c r="E258" i="44"/>
  <c r="E376" i="44"/>
  <c r="E392" i="44"/>
  <c r="E589" i="44"/>
  <c r="E29" i="44"/>
  <c r="E229" i="44"/>
  <c r="E297" i="44"/>
  <c r="E446" i="44"/>
  <c r="E280" i="44"/>
  <c r="E250" i="44"/>
  <c r="E540" i="44"/>
  <c r="E68" i="44"/>
  <c r="E42" i="44"/>
  <c r="E656" i="44"/>
  <c r="E48" i="44"/>
  <c r="E247" i="44"/>
  <c r="E730" i="44"/>
  <c r="E714" i="44"/>
  <c r="E195" i="44"/>
  <c r="E46" i="44"/>
  <c r="E267" i="44"/>
  <c r="E190" i="44"/>
  <c r="E261" i="44"/>
  <c r="E320" i="44"/>
  <c r="E212" i="44"/>
  <c r="E21" i="44"/>
  <c r="E400" i="44"/>
  <c r="E246" i="44"/>
  <c r="E552" i="44"/>
  <c r="E500" i="44"/>
  <c r="E22" i="44"/>
  <c r="E345" i="44"/>
  <c r="E171" i="44"/>
  <c r="E259" i="44"/>
  <c r="E76" i="44"/>
  <c r="E368" i="44"/>
  <c r="E394" i="44"/>
  <c r="E39" i="44"/>
  <c r="E276" i="44"/>
  <c r="E288" i="44"/>
  <c r="E165" i="44"/>
  <c r="E329" i="44"/>
  <c r="E155" i="44"/>
  <c r="E129" i="44"/>
  <c r="E682" i="44"/>
  <c r="E754" i="44"/>
  <c r="E273" i="44"/>
  <c r="E227" i="44"/>
  <c r="E722" i="44"/>
  <c r="E437" i="44"/>
  <c r="E493" i="44"/>
  <c r="E405" i="44"/>
  <c r="E346" i="44"/>
  <c r="E184" i="44"/>
  <c r="E27" i="44"/>
  <c r="E198" i="44"/>
  <c r="E476" i="44"/>
  <c r="E509" i="44"/>
  <c r="E138" i="44"/>
  <c r="E63" i="44"/>
  <c r="E543" i="44"/>
  <c r="E364" i="44"/>
  <c r="E377" i="44"/>
  <c r="E433" i="44"/>
  <c r="E333" i="44"/>
  <c r="E242" i="44"/>
  <c r="E464" i="44"/>
  <c r="E43" i="44"/>
  <c r="E101" i="44"/>
  <c r="E52" i="44"/>
  <c r="E45" i="44"/>
  <c r="E253" i="44"/>
  <c r="E403" i="44"/>
  <c r="E18" i="44"/>
  <c r="E188" i="44"/>
  <c r="E379" i="44"/>
  <c r="E734" i="44"/>
  <c r="E584" i="44"/>
  <c r="E431" i="44"/>
  <c r="E558" i="44"/>
  <c r="E537" i="44"/>
  <c r="E628" i="44"/>
  <c r="E596" i="44"/>
  <c r="E614" i="44"/>
  <c r="E426" i="44"/>
  <c r="E384" i="44"/>
  <c r="E440" i="44"/>
  <c r="E567" i="44"/>
  <c r="E586" i="44"/>
  <c r="E365" i="44"/>
  <c r="E710" i="44"/>
  <c r="E681" i="44"/>
  <c r="E445" i="44"/>
  <c r="E564" i="44"/>
  <c r="E837" i="44"/>
  <c r="E818" i="44"/>
  <c r="E822" i="44"/>
  <c r="E454" i="44"/>
  <c r="E478" i="44"/>
  <c r="E670" i="44"/>
  <c r="E585" i="44"/>
  <c r="E503" i="44"/>
  <c r="E648" i="44"/>
  <c r="E412" i="44"/>
  <c r="E794" i="44"/>
  <c r="E676" i="44"/>
  <c r="E357" i="44"/>
  <c r="E694" i="44"/>
  <c r="E339" i="44"/>
  <c r="E315" i="44"/>
  <c r="E473" i="44"/>
  <c r="E309" i="44"/>
  <c r="E487" i="44"/>
  <c r="E482" i="44"/>
  <c r="E340" i="44"/>
  <c r="E341" i="44"/>
  <c r="E577" i="44"/>
  <c r="E582" i="44"/>
  <c r="E343" i="44"/>
  <c r="E374" i="44"/>
  <c r="E504" i="44"/>
  <c r="E720" i="44"/>
  <c r="E428" i="44"/>
  <c r="E307" i="44"/>
  <c r="E299" i="44"/>
  <c r="E344" i="44"/>
  <c r="E366" i="44"/>
  <c r="E479" i="44"/>
  <c r="E418" i="44"/>
  <c r="E407" i="44"/>
  <c r="E252" i="44"/>
  <c r="E594" i="44"/>
  <c r="E266" i="44"/>
  <c r="E287" i="44"/>
  <c r="E135" i="44"/>
  <c r="E348" i="44"/>
  <c r="E152" i="44"/>
  <c r="E468" i="44"/>
  <c r="E230" i="44"/>
  <c r="E406" i="44"/>
  <c r="E675" i="44"/>
  <c r="E269" i="44"/>
  <c r="E581" i="44"/>
  <c r="E69" i="44"/>
  <c r="E460" i="44"/>
  <c r="E725" i="44"/>
  <c r="E499" i="44"/>
  <c r="E317" i="44"/>
  <c r="E191" i="44"/>
  <c r="E471" i="44"/>
  <c r="E94" i="44"/>
  <c r="E390" i="44"/>
  <c r="E383" i="44"/>
  <c r="E391" i="44"/>
  <c r="E24" i="44"/>
  <c r="E557" i="44"/>
  <c r="E326" i="44"/>
  <c r="E228" i="44"/>
  <c r="E223" i="44"/>
  <c r="E70" i="44"/>
  <c r="E424" i="44"/>
  <c r="E82" i="44"/>
  <c r="E529" i="44"/>
  <c r="E32" i="44"/>
  <c r="E107" i="44"/>
  <c r="E831" i="44"/>
  <c r="E332" i="44"/>
  <c r="E19" i="44"/>
  <c r="E193" i="44"/>
  <c r="E11" i="44"/>
  <c r="E331" i="44"/>
  <c r="E62" i="44"/>
  <c r="E215" i="44"/>
  <c r="E342" i="44"/>
  <c r="E463" i="44"/>
  <c r="E601" i="44"/>
  <c r="E616" i="44"/>
  <c r="E361" i="44"/>
  <c r="E194" i="44"/>
  <c r="E144" i="44"/>
  <c r="E263" i="44"/>
  <c r="E496" i="44"/>
  <c r="E352" i="44"/>
  <c r="E378" i="44"/>
  <c r="E23" i="44"/>
  <c r="E169" i="44"/>
  <c r="E572" i="44"/>
  <c r="E49" i="44"/>
  <c r="E644" i="44"/>
  <c r="E457" i="44"/>
  <c r="E130" i="44"/>
  <c r="E112" i="44"/>
  <c r="E53" i="44"/>
  <c r="E728" i="44"/>
  <c r="E569" i="44"/>
  <c r="E415" i="44"/>
  <c r="E278" i="44"/>
  <c r="E151" i="44"/>
  <c r="E233" i="44"/>
  <c r="E235" i="44"/>
  <c r="E14" i="44"/>
  <c r="E243" i="44"/>
  <c r="E742" i="44"/>
  <c r="E44" i="44"/>
  <c r="E238" i="44"/>
  <c r="E209" i="44"/>
  <c r="E291" i="44"/>
  <c r="E35" i="44"/>
  <c r="E802" i="44"/>
  <c r="E12" i="44"/>
  <c r="F174" i="44"/>
  <c r="F55" i="44"/>
  <c r="F816" i="44"/>
  <c r="F679" i="44"/>
  <c r="F151" i="44"/>
  <c r="F405" i="44"/>
  <c r="F706" i="44"/>
  <c r="E853" i="44"/>
  <c r="E861" i="44"/>
  <c r="F705" i="44"/>
  <c r="F658" i="44"/>
  <c r="F354" i="44"/>
  <c r="F323" i="44"/>
  <c r="E747" i="44"/>
  <c r="E812" i="44"/>
  <c r="E842" i="44"/>
  <c r="F519" i="44"/>
  <c r="F294" i="44"/>
  <c r="F407" i="44"/>
  <c r="F49" i="44"/>
  <c r="E798" i="44"/>
  <c r="E817" i="44"/>
  <c r="E701" i="44"/>
  <c r="F798" i="44"/>
  <c r="F788" i="44"/>
  <c r="E866" i="44"/>
  <c r="F823" i="44"/>
  <c r="F538" i="44"/>
  <c r="F382" i="44"/>
  <c r="F649" i="44"/>
  <c r="E751" i="44"/>
  <c r="E220" i="44"/>
  <c r="E207" i="44"/>
  <c r="E277" i="44"/>
  <c r="E28" i="44"/>
  <c r="E178" i="44"/>
  <c r="E319" i="44"/>
  <c r="E382" i="44"/>
  <c r="E314" i="44"/>
  <c r="E260" i="44"/>
  <c r="E105" i="44"/>
  <c r="E513" i="44"/>
  <c r="E395" i="44"/>
  <c r="E526" i="44"/>
  <c r="E679" i="44"/>
  <c r="E234" i="44"/>
  <c r="E324" i="44"/>
  <c r="E109" i="44"/>
  <c r="E80" i="44"/>
  <c r="E305" i="44"/>
  <c r="E435" i="44"/>
  <c r="E521" i="44"/>
  <c r="E100" i="44"/>
  <c r="E77" i="44"/>
  <c r="E539" i="44"/>
  <c r="E173" i="44"/>
  <c r="E453" i="44"/>
  <c r="E534" i="44"/>
  <c r="E283" i="44"/>
  <c r="E97" i="44"/>
  <c r="E119" i="44"/>
  <c r="E167" i="44"/>
  <c r="E432" i="44"/>
  <c r="E303" i="44"/>
  <c r="E386" i="44"/>
  <c r="E60" i="44"/>
  <c r="E274" i="44"/>
  <c r="E723" i="44"/>
  <c r="E442" i="44"/>
  <c r="E494" i="44"/>
  <c r="E61" i="44"/>
  <c r="E385" i="44"/>
  <c r="E255" i="44"/>
  <c r="E88" i="44"/>
  <c r="E66" i="44"/>
  <c r="E84" i="44"/>
  <c r="E217" i="44"/>
  <c r="E179" i="44"/>
  <c r="E755" i="44"/>
  <c r="E790" i="44"/>
  <c r="E532" i="44"/>
  <c r="E829" i="44"/>
  <c r="E115" i="44"/>
  <c r="E113" i="44"/>
  <c r="E206" i="44"/>
  <c r="E139" i="44"/>
  <c r="E57" i="44"/>
  <c r="E313" i="44"/>
  <c r="E398" i="44"/>
  <c r="E133" i="44"/>
  <c r="E438" i="44"/>
  <c r="E399" i="44"/>
  <c r="E448" i="44"/>
  <c r="E409" i="44"/>
  <c r="E103" i="44"/>
  <c r="E485" i="44"/>
  <c r="E510" i="44"/>
  <c r="E439" i="44"/>
  <c r="E414" i="44"/>
  <c r="E85" i="44"/>
  <c r="E678" i="44"/>
  <c r="E20" i="44"/>
  <c r="E511" i="44"/>
  <c r="E470" i="44"/>
  <c r="E37" i="44"/>
  <c r="E158" i="44"/>
  <c r="E89" i="44"/>
  <c r="E91" i="44"/>
  <c r="E257" i="44"/>
  <c r="E147" i="44"/>
  <c r="E588" i="44"/>
  <c r="E542" i="44"/>
  <c r="E489" i="44"/>
  <c r="E423" i="44"/>
  <c r="E462" i="44"/>
  <c r="E181" i="44"/>
  <c r="F845" i="44"/>
  <c r="F714" i="44"/>
  <c r="F773" i="44"/>
  <c r="F457" i="44"/>
  <c r="F157" i="44"/>
  <c r="F244" i="44"/>
  <c r="F404" i="44"/>
  <c r="F584" i="44"/>
  <c r="F581" i="44"/>
  <c r="F221" i="44"/>
  <c r="F825" i="44"/>
  <c r="F790" i="44"/>
  <c r="F739" i="44"/>
  <c r="F513" i="44"/>
  <c r="F542" i="44"/>
  <c r="F675" i="44"/>
  <c r="F462" i="44"/>
  <c r="F596" i="44"/>
  <c r="F84" i="44"/>
  <c r="F720" i="44"/>
  <c r="F155" i="44"/>
  <c r="E492" i="44"/>
  <c r="E328" i="44"/>
  <c r="E397" i="44"/>
  <c r="E244" i="44"/>
  <c r="E281" i="44"/>
  <c r="E380" i="44"/>
  <c r="E544" i="44"/>
  <c r="E122" i="44"/>
  <c r="E175" i="44"/>
  <c r="E225" i="44"/>
  <c r="E218" i="44"/>
  <c r="E72" i="44"/>
  <c r="E38" i="44"/>
  <c r="E295" i="44"/>
  <c r="E90" i="44"/>
  <c r="E282" i="44"/>
  <c r="E467" i="44"/>
  <c r="E164" i="44"/>
  <c r="E441" i="44"/>
  <c r="E711" i="44"/>
  <c r="E563" i="44"/>
  <c r="E609" i="44"/>
  <c r="E554" i="44"/>
  <c r="E559" i="44"/>
  <c r="E306" i="44"/>
  <c r="E146" i="44"/>
  <c r="E484" i="44"/>
  <c r="E180" i="44"/>
  <c r="E256" i="44"/>
  <c r="E421" i="44"/>
  <c r="E807" i="44"/>
  <c r="E381" i="44"/>
  <c r="E740" i="44"/>
  <c r="E387" i="44"/>
  <c r="E524" i="44"/>
  <c r="E803" i="44"/>
  <c r="E481" i="44"/>
  <c r="E480" i="44"/>
  <c r="E136" i="44"/>
  <c r="E465" i="44"/>
  <c r="E271" i="44"/>
  <c r="E570" i="44"/>
  <c r="E294" i="44"/>
  <c r="E507" i="44"/>
  <c r="E638" i="44"/>
  <c r="E327" i="44"/>
  <c r="E55" i="44"/>
  <c r="E142" i="44"/>
  <c r="E211" i="44"/>
  <c r="E137" i="44"/>
  <c r="E214" i="44"/>
  <c r="E550" i="44"/>
  <c r="E176" i="44"/>
  <c r="E425" i="44"/>
  <c r="E262" i="44"/>
  <c r="E369" i="44"/>
  <c r="E104" i="44"/>
  <c r="E461" i="44"/>
  <c r="E527" i="44"/>
  <c r="E56" i="44"/>
  <c r="E780" i="44"/>
  <c r="E639" i="44"/>
  <c r="E429" i="44"/>
  <c r="E50" i="44"/>
  <c r="E102" i="44"/>
  <c r="E512" i="44"/>
  <c r="E363" i="44"/>
  <c r="E15" i="44"/>
  <c r="E502" i="44"/>
  <c r="E621" i="44"/>
  <c r="E237" i="44"/>
  <c r="E132" i="44"/>
  <c r="E134" i="44"/>
  <c r="E673" i="44"/>
  <c r="E310" i="44"/>
  <c r="E416" i="44"/>
  <c r="E222" i="44"/>
  <c r="E174" i="44"/>
  <c r="E773" i="44"/>
  <c r="E777" i="44"/>
  <c r="E805" i="44"/>
  <c r="E804" i="44"/>
  <c r="E788" i="44"/>
  <c r="E827" i="44"/>
  <c r="E811" i="44"/>
  <c r="F695" i="44"/>
  <c r="F697" i="44"/>
  <c r="F715" i="44"/>
  <c r="F734" i="44"/>
  <c r="F754" i="44"/>
  <c r="F712" i="44"/>
  <c r="F861" i="44"/>
  <c r="F745" i="44"/>
  <c r="F819" i="44"/>
  <c r="F469" i="44"/>
  <c r="F521" i="44"/>
  <c r="F702" i="44"/>
  <c r="F826" i="44"/>
  <c r="F685" i="44"/>
  <c r="F831" i="44"/>
  <c r="F293" i="44"/>
  <c r="F223" i="44"/>
  <c r="F752" i="44"/>
  <c r="F593" i="44"/>
  <c r="F668" i="44"/>
  <c r="F258" i="44"/>
  <c r="F564" i="44"/>
  <c r="F265" i="44"/>
  <c r="F278" i="44"/>
  <c r="F571" i="44"/>
  <c r="F427" i="44"/>
  <c r="F627" i="44"/>
  <c r="F651" i="44"/>
  <c r="F548" i="44"/>
  <c r="F691" i="44"/>
  <c r="F629" i="44"/>
  <c r="F317" i="44"/>
  <c r="F373" i="44"/>
  <c r="F194" i="44"/>
  <c r="F107" i="44"/>
  <c r="F440" i="44"/>
  <c r="F554" i="44"/>
  <c r="F74" i="44"/>
  <c r="F640" i="44"/>
  <c r="F537" i="44"/>
  <c r="F65" i="44"/>
  <c r="F199" i="44"/>
  <c r="E738" i="44"/>
  <c r="E770" i="44"/>
  <c r="E806" i="44"/>
  <c r="E641" i="44"/>
  <c r="E776" i="44"/>
  <c r="E870" i="44"/>
  <c r="E782" i="44"/>
  <c r="F421" i="44"/>
  <c r="E838" i="44"/>
  <c r="E796" i="44"/>
  <c r="E809" i="44"/>
  <c r="E760" i="44"/>
  <c r="E768" i="44"/>
  <c r="E825" i="44"/>
  <c r="E820" i="44"/>
  <c r="E735" i="44"/>
  <c r="E632" i="44"/>
  <c r="E623" i="44"/>
  <c r="E706" i="44"/>
  <c r="E650" i="44"/>
  <c r="E508" i="44"/>
  <c r="E533" i="44"/>
  <c r="E514" i="44"/>
  <c r="E721" i="44"/>
  <c r="E491" i="44"/>
  <c r="E708" i="44"/>
  <c r="E836" i="44"/>
  <c r="E729" i="44"/>
  <c r="E699" i="44"/>
  <c r="E693" i="44"/>
  <c r="E797" i="44"/>
  <c r="E603" i="44"/>
  <c r="E597" i="44"/>
  <c r="E685" i="44"/>
  <c r="E497" i="44"/>
  <c r="E498" i="44"/>
  <c r="E531" i="44"/>
  <c r="F749" i="44"/>
  <c r="F759" i="44"/>
  <c r="F729" i="44"/>
  <c r="F803" i="44"/>
  <c r="F670" i="44"/>
  <c r="F800" i="44"/>
  <c r="F806" i="44"/>
  <c r="F693" i="44"/>
  <c r="F719" i="44"/>
  <c r="F833" i="44"/>
  <c r="F339" i="44"/>
  <c r="F383" i="44"/>
  <c r="F499" i="44"/>
  <c r="F622" i="44"/>
  <c r="F746" i="44"/>
  <c r="F594" i="44"/>
  <c r="F795" i="44"/>
  <c r="F136" i="44"/>
  <c r="F634" i="44"/>
  <c r="F206" i="44"/>
  <c r="F728" i="44"/>
  <c r="F153" i="44"/>
  <c r="F418" i="44"/>
  <c r="F789" i="44"/>
  <c r="F141" i="44"/>
  <c r="F436" i="44"/>
  <c r="F566" i="44"/>
  <c r="F438" i="44"/>
  <c r="F716" i="44"/>
  <c r="F230" i="44"/>
  <c r="F26" i="44"/>
  <c r="F480" i="44"/>
  <c r="F349" i="44"/>
  <c r="F100" i="44"/>
  <c r="F709" i="44"/>
  <c r="F605" i="44"/>
  <c r="F226" i="44"/>
  <c r="F433" i="44"/>
  <c r="F434" i="44"/>
  <c r="F238" i="44"/>
  <c r="F618" i="44"/>
  <c r="F79" i="44"/>
  <c r="F15" i="44"/>
  <c r="F817" i="44"/>
  <c r="E814" i="44"/>
  <c r="E786" i="44"/>
  <c r="E758" i="44"/>
  <c r="E864" i="44"/>
  <c r="E840" i="44"/>
  <c r="E702" i="44"/>
  <c r="E865" i="44"/>
  <c r="E778" i="44"/>
  <c r="E849" i="44"/>
  <c r="E746" i="44"/>
  <c r="E756" i="44"/>
  <c r="E863" i="44"/>
  <c r="E785" i="44"/>
  <c r="E771" i="44"/>
  <c r="E769" i="44"/>
  <c r="E765" i="44"/>
  <c r="E697" i="44"/>
  <c r="E763" i="44"/>
  <c r="E732" i="44"/>
  <c r="E744" i="44"/>
  <c r="E695" i="44"/>
  <c r="E743" i="44"/>
  <c r="E707" i="44"/>
  <c r="E669" i="44"/>
  <c r="E607" i="44"/>
  <c r="E565" i="44"/>
  <c r="F813" i="44"/>
  <c r="F791" i="44"/>
  <c r="F761" i="44"/>
  <c r="F843" i="44"/>
  <c r="F778" i="44"/>
  <c r="F834" i="44"/>
  <c r="F764" i="44"/>
  <c r="F733" i="44"/>
  <c r="F767" i="44"/>
  <c r="F699" i="44"/>
  <c r="F321" i="44"/>
  <c r="F511" i="44"/>
  <c r="F477" i="44"/>
  <c r="F558" i="44"/>
  <c r="F602" i="44"/>
  <c r="F677" i="44"/>
  <c r="F177" i="44"/>
  <c r="F176" i="44"/>
  <c r="F207" i="44"/>
  <c r="F170" i="44"/>
  <c r="F543" i="44"/>
  <c r="F34" i="44"/>
  <c r="F555" i="44"/>
  <c r="F44" i="44"/>
  <c r="F68" i="44"/>
  <c r="F659" i="44"/>
  <c r="F805" i="44"/>
  <c r="F150" i="44"/>
  <c r="F676" i="44"/>
  <c r="F573" i="44"/>
  <c r="F652" i="44"/>
  <c r="F500" i="44"/>
  <c r="F615" i="44"/>
  <c r="F348" i="44"/>
  <c r="F534" i="44"/>
  <c r="F318" i="44"/>
  <c r="F345" i="44"/>
  <c r="F551" i="44"/>
  <c r="F377" i="44"/>
  <c r="F577" i="44"/>
  <c r="F92" i="44"/>
  <c r="F31" i="44"/>
  <c r="F297" i="44"/>
  <c r="E869" i="44"/>
  <c r="E649" i="44"/>
  <c r="E662" i="44"/>
  <c r="E752" i="44"/>
  <c r="E857" i="44"/>
  <c r="E766" i="44"/>
  <c r="E696" i="44"/>
  <c r="E800" i="44"/>
  <c r="E862" i="44"/>
  <c r="E646" i="44"/>
  <c r="E652" i="44"/>
  <c r="E848" i="44"/>
  <c r="E852" i="44"/>
  <c r="E750" i="44"/>
  <c r="E801" i="44"/>
  <c r="E844" i="44"/>
  <c r="E726" i="44"/>
  <c r="E705" i="44"/>
  <c r="E799" i="44"/>
  <c r="E867" i="44"/>
  <c r="E690" i="44"/>
  <c r="E530" i="44"/>
  <c r="E667" i="44"/>
  <c r="E605" i="44"/>
  <c r="E587" i="44"/>
  <c r="E571" i="44"/>
  <c r="E516" i="44"/>
  <c r="E553" i="44"/>
  <c r="E490" i="44"/>
  <c r="E486" i="44"/>
  <c r="E619" i="44"/>
  <c r="E759" i="44"/>
  <c r="E518" i="44"/>
  <c r="E791" i="44"/>
  <c r="E579" i="44"/>
  <c r="E687" i="44"/>
  <c r="E575" i="44"/>
  <c r="E411" i="44"/>
  <c r="E108" i="44"/>
  <c r="E92" i="44"/>
  <c r="E186" i="44"/>
  <c r="E196" i="44"/>
  <c r="E114" i="44"/>
  <c r="E157" i="44"/>
  <c r="E98" i="44"/>
  <c r="E67" i="44"/>
  <c r="E330" i="44"/>
  <c r="E396" i="44"/>
  <c r="E427" i="44"/>
  <c r="E296" i="44"/>
  <c r="E322" i="44"/>
  <c r="E41" i="44"/>
  <c r="E74" i="44"/>
  <c r="E413" i="44"/>
  <c r="E13" i="44"/>
  <c r="E515" i="44"/>
  <c r="E239" i="44"/>
  <c r="E279" i="44"/>
  <c r="E284" i="44"/>
  <c r="E372" i="44"/>
  <c r="E356" i="44"/>
  <c r="E31" i="44"/>
  <c r="E458" i="44"/>
  <c r="E455" i="44"/>
  <c r="E187" i="44"/>
  <c r="E574" i="44"/>
  <c r="E599" i="44"/>
  <c r="E591" i="44"/>
  <c r="E583" i="44"/>
  <c r="E551" i="44"/>
  <c r="E653" i="44"/>
  <c r="E353" i="44"/>
  <c r="E95" i="44"/>
  <c r="E125" i="44"/>
  <c r="E40" i="44"/>
  <c r="E285" i="44"/>
  <c r="E245" i="44"/>
  <c r="E30" i="44"/>
  <c r="E733" i="44"/>
  <c r="E767" i="44"/>
  <c r="E547" i="44"/>
  <c r="E404" i="44"/>
  <c r="E505" i="44"/>
  <c r="E538" i="44"/>
  <c r="E630" i="44"/>
  <c r="E688" i="44"/>
  <c r="E761" i="44"/>
  <c r="E106" i="44"/>
  <c r="E488" i="44"/>
  <c r="E573" i="44"/>
  <c r="E410" i="44"/>
  <c r="E642" i="44"/>
  <c r="E248" i="44"/>
  <c r="E170" i="44"/>
  <c r="E292" i="44"/>
  <c r="E168" i="44"/>
  <c r="E658" i="44"/>
  <c r="E450" i="44"/>
  <c r="E657" i="44"/>
  <c r="E54" i="44"/>
  <c r="E367" i="44"/>
  <c r="E201" i="44"/>
  <c r="E65" i="44"/>
  <c r="E172" i="44"/>
  <c r="E123" i="44"/>
  <c r="E254" i="44"/>
  <c r="E96" i="44"/>
  <c r="E148" i="44"/>
  <c r="E118" i="44"/>
  <c r="E519" i="44"/>
  <c r="E590" i="44"/>
  <c r="E221" i="44"/>
  <c r="E210" i="44"/>
  <c r="E127" i="44"/>
  <c r="E355" i="44"/>
  <c r="E602" i="44"/>
  <c r="E388" i="44"/>
  <c r="E79" i="44"/>
  <c r="E459" i="44"/>
  <c r="E578" i="44"/>
  <c r="E140" i="44"/>
  <c r="E420" i="44"/>
  <c r="E672" i="44"/>
  <c r="E456" i="44"/>
  <c r="F274" i="44"/>
  <c r="F138" i="44"/>
  <c r="F476" i="44"/>
  <c r="F588" i="44"/>
  <c r="F286" i="44"/>
  <c r="F368" i="44"/>
  <c r="F186" i="44"/>
  <c r="F288" i="44"/>
  <c r="F262" i="44"/>
  <c r="F86" i="44"/>
  <c r="F484" i="44"/>
  <c r="F18" i="44"/>
  <c r="F299" i="44"/>
  <c r="F365" i="44"/>
  <c r="F579" i="44"/>
  <c r="F144" i="44"/>
  <c r="F603" i="44"/>
  <c r="F865" i="44"/>
  <c r="F276" i="44"/>
  <c r="F246" i="44"/>
  <c r="F452" i="44"/>
  <c r="F472" i="44"/>
  <c r="F678" i="44"/>
  <c r="F90" i="44"/>
  <c r="F398" i="44"/>
  <c r="F503" i="44"/>
  <c r="F708" i="44"/>
  <c r="F523" i="44"/>
  <c r="F250" i="44"/>
  <c r="F694" i="44"/>
  <c r="F726" i="44"/>
  <c r="F804" i="44"/>
  <c r="F444" i="44"/>
  <c r="F290" i="44"/>
  <c r="F124" i="44"/>
  <c r="F430" i="44"/>
  <c r="F550" i="44"/>
  <c r="F591" i="44"/>
  <c r="F792" i="44"/>
  <c r="F442" i="44"/>
  <c r="F29" i="44"/>
  <c r="F334" i="44"/>
  <c r="F178" i="44"/>
  <c r="F653" i="44"/>
  <c r="F63" i="44"/>
  <c r="F233" i="44"/>
  <c r="F149" i="44"/>
  <c r="F33" i="44"/>
  <c r="F587" i="44"/>
  <c r="F428" i="44"/>
  <c r="F57" i="44"/>
  <c r="F249" i="44"/>
  <c r="F185" i="44"/>
  <c r="F556" i="44"/>
  <c r="F386" i="44"/>
  <c r="F595" i="44"/>
  <c r="F533" i="44"/>
  <c r="F372" i="44"/>
  <c r="F518" i="44"/>
  <c r="F22" i="44"/>
  <c r="F285" i="44"/>
  <c r="F631" i="44"/>
  <c r="F242" i="44"/>
  <c r="F858" i="44"/>
  <c r="F240" i="44"/>
  <c r="F215" i="44"/>
  <c r="F67" i="44"/>
  <c r="F330" i="44"/>
  <c r="F600" i="44"/>
  <c r="F661" i="44"/>
  <c r="F420" i="44"/>
  <c r="F360" i="44"/>
  <c r="F269" i="44"/>
  <c r="F219" i="44"/>
  <c r="F517" i="44"/>
  <c r="F214" i="44"/>
  <c r="F310" i="44"/>
  <c r="F326" i="44"/>
  <c r="F441" i="44"/>
  <c r="F131" i="44"/>
  <c r="F682" i="44"/>
  <c r="F251" i="44"/>
  <c r="F195" i="44"/>
  <c r="F268" i="44"/>
  <c r="F162" i="44"/>
  <c r="F114" i="44"/>
  <c r="F132" i="44"/>
  <c r="F648" i="44"/>
  <c r="F742" i="44"/>
  <c r="F582" i="44"/>
  <c r="F11" i="44"/>
  <c r="F532" i="44"/>
  <c r="F375" i="44"/>
  <c r="F243" i="44"/>
  <c r="F28" i="44"/>
  <c r="F401" i="44"/>
  <c r="F175" i="44"/>
  <c r="F390" i="44"/>
  <c r="F565" i="44"/>
  <c r="F493" i="44"/>
  <c r="F267" i="44"/>
  <c r="F400" i="44"/>
  <c r="F539" i="44"/>
  <c r="F692" i="44"/>
  <c r="F667" i="44"/>
  <c r="F313" i="44"/>
  <c r="F316" i="44"/>
  <c r="F541" i="44"/>
  <c r="F190" i="44"/>
  <c r="F549" i="44"/>
  <c r="F235" i="44"/>
  <c r="F732" i="44"/>
  <c r="F252" i="44"/>
  <c r="F302" i="44"/>
  <c r="F82" i="44"/>
  <c r="F642" i="44"/>
  <c r="F356" i="44"/>
  <c r="F528" i="44"/>
  <c r="F520" i="44"/>
  <c r="F730" i="44"/>
  <c r="F402" i="44"/>
  <c r="F187" i="44"/>
  <c r="F39" i="44"/>
  <c r="F163" i="44"/>
  <c r="F756" i="44"/>
  <c r="F158" i="44"/>
  <c r="F222" i="44"/>
  <c r="F364" i="44"/>
  <c r="F154" i="44"/>
  <c r="F684" i="44"/>
  <c r="F208" i="44"/>
  <c r="F126" i="44"/>
  <c r="F614" i="44"/>
  <c r="F527" i="44"/>
  <c r="F616" i="44"/>
  <c r="F506" i="44"/>
  <c r="F239" i="44"/>
  <c r="F406" i="44"/>
  <c r="F626" i="44"/>
  <c r="F481" i="44"/>
  <c r="F105" i="44"/>
  <c r="F463" i="44"/>
  <c r="F721" i="44"/>
  <c r="F623" i="44"/>
  <c r="F664" i="44"/>
  <c r="F738" i="44"/>
  <c r="F599" i="44"/>
  <c r="F465" i="44"/>
  <c r="F95" i="44"/>
  <c r="F168" i="44"/>
  <c r="F259" i="44"/>
  <c r="F690" i="44"/>
  <c r="F363" i="44"/>
  <c r="F654" i="44"/>
  <c r="F197" i="44"/>
  <c r="F701" i="44"/>
  <c r="F127" i="44"/>
  <c r="F165" i="44"/>
  <c r="F403" i="44"/>
  <c r="F273" i="44"/>
  <c r="F583" i="44"/>
  <c r="F16" i="44"/>
  <c r="F560" i="44"/>
  <c r="F344" i="44"/>
  <c r="F110" i="44"/>
  <c r="F352" i="44"/>
  <c r="F774" i="44"/>
  <c r="F439" i="44"/>
  <c r="F724" i="44"/>
  <c r="F121" i="44"/>
  <c r="F179" i="44"/>
  <c r="F419" i="44"/>
  <c r="F395" i="44"/>
  <c r="F470" i="44"/>
  <c r="F802" i="44"/>
  <c r="F454" i="44"/>
  <c r="F572" i="44"/>
  <c r="F512" i="44"/>
  <c r="F740" i="44"/>
  <c r="F58" i="44"/>
  <c r="F66" i="44"/>
  <c r="F431" i="44"/>
  <c r="F673" i="44"/>
  <c r="F656" i="44"/>
  <c r="F369" i="44"/>
  <c r="F639" i="44"/>
  <c r="F828" i="44"/>
  <c r="F448" i="44"/>
  <c r="F102" i="44"/>
  <c r="F414" i="44"/>
  <c r="F820" i="44"/>
  <c r="F322" i="44"/>
  <c r="F580" i="44"/>
  <c r="F683" i="44"/>
  <c r="F122" i="44"/>
  <c r="F188" i="44"/>
  <c r="F524" i="44"/>
  <c r="F166" i="44"/>
  <c r="F563" i="44"/>
  <c r="F98" i="44"/>
  <c r="F266" i="44"/>
  <c r="F486" i="44"/>
  <c r="F408" i="44"/>
  <c r="F497" i="44"/>
  <c r="F516" i="44"/>
  <c r="F608" i="44"/>
  <c r="F379" i="44"/>
  <c r="F184" i="44"/>
  <c r="F638" i="44"/>
  <c r="F489" i="44"/>
  <c r="F160" i="44"/>
  <c r="F751" i="44"/>
  <c r="F464" i="44"/>
  <c r="F644" i="44"/>
  <c r="F660" i="44"/>
  <c r="F612" i="44"/>
  <c r="F508" i="44"/>
  <c r="F384" i="44"/>
  <c r="F281" i="44"/>
  <c r="F494" i="44"/>
  <c r="F471" i="44"/>
  <c r="F607" i="44"/>
  <c r="F210" i="44"/>
  <c r="F674" i="44"/>
  <c r="F388" i="44"/>
  <c r="F544" i="44"/>
  <c r="F280" i="44"/>
  <c r="F657" i="44"/>
  <c r="F296" i="44"/>
  <c r="F128" i="44"/>
  <c r="F429" i="44"/>
  <c r="F687" i="44"/>
  <c r="F376" i="44"/>
  <c r="F88" i="44"/>
  <c r="F142" i="44"/>
  <c r="F637" i="44"/>
  <c r="F526" i="44"/>
  <c r="F69" i="44"/>
  <c r="F867" i="44"/>
  <c r="F253" i="44"/>
  <c r="F417" i="44"/>
  <c r="F201" i="44"/>
  <c r="F23" i="44"/>
  <c r="F456" i="44"/>
  <c r="F370" i="44"/>
  <c r="F87" i="44"/>
  <c r="F245" i="44"/>
  <c r="F771" i="44"/>
  <c r="F592" i="44"/>
  <c r="F213" i="44"/>
  <c r="F860" i="44"/>
  <c r="F870" i="44"/>
  <c r="F854" i="44"/>
  <c r="F868" i="44"/>
  <c r="F824" i="44"/>
  <c r="F762" i="44"/>
  <c r="F698" i="44"/>
  <c r="F848" i="44"/>
  <c r="F856" i="44"/>
  <c r="F852" i="44"/>
  <c r="F787" i="44"/>
  <c r="F796" i="44"/>
  <c r="F808" i="44"/>
  <c r="F784" i="44"/>
  <c r="F863" i="44"/>
  <c r="F757" i="44"/>
  <c r="F700" i="44"/>
  <c r="E835" i="44"/>
  <c r="E783" i="44"/>
  <c r="E779" i="44"/>
  <c r="E821" i="44"/>
  <c r="E839" i="44"/>
  <c r="E660" i="44"/>
  <c r="E447" i="44"/>
  <c r="E604" i="44"/>
  <c r="E336" i="44"/>
  <c r="E506" i="44"/>
  <c r="E549" i="44"/>
  <c r="E451" i="44"/>
  <c r="E576" i="44"/>
  <c r="E674" i="44"/>
  <c r="E522" i="44"/>
  <c r="E793" i="44"/>
  <c r="E819" i="44"/>
  <c r="E469" i="44"/>
  <c r="E560" i="44"/>
  <c r="E661" i="44"/>
  <c r="E312" i="44"/>
  <c r="E335" i="44"/>
  <c r="E655" i="44"/>
  <c r="E689" i="44"/>
  <c r="E449" i="44"/>
  <c r="E483" i="44"/>
  <c r="E301" i="44"/>
  <c r="E562" i="44"/>
  <c r="E443" i="44"/>
  <c r="E736" i="44"/>
  <c r="E593" i="44"/>
  <c r="E321" i="44"/>
  <c r="E580" i="44"/>
  <c r="E422" i="44"/>
  <c r="E520" i="44"/>
  <c r="E304" i="44"/>
  <c r="E393" i="44"/>
  <c r="E349" i="44"/>
  <c r="E472" i="44"/>
  <c r="E316" i="44"/>
  <c r="E683" i="44"/>
  <c r="E434" i="44"/>
  <c r="E629" i="44"/>
  <c r="E371" i="44"/>
  <c r="E671" i="44"/>
  <c r="E789" i="44"/>
  <c r="E748" i="44"/>
  <c r="E757" i="44"/>
  <c r="E536" i="44"/>
  <c r="E525" i="44"/>
  <c r="E474" i="44"/>
  <c r="E523" i="44"/>
  <c r="E717" i="44"/>
  <c r="E741" i="44"/>
  <c r="E595" i="44"/>
  <c r="E716" i="44"/>
  <c r="E727" i="44"/>
  <c r="E568" i="44"/>
  <c r="E626" i="44"/>
  <c r="E666" i="44"/>
  <c r="E608" i="44"/>
  <c r="E613" i="44"/>
  <c r="E627" i="44"/>
  <c r="E546" i="44"/>
  <c r="E611" i="44"/>
  <c r="E592" i="44"/>
  <c r="E555" i="44"/>
  <c r="E647" i="44"/>
  <c r="E637" i="44"/>
  <c r="E362" i="44"/>
  <c r="E475" i="44"/>
  <c r="E298" i="44"/>
  <c r="E436" i="44"/>
  <c r="E545" i="44"/>
  <c r="E402" i="44"/>
  <c r="E541" i="44"/>
  <c r="E535" i="44"/>
  <c r="E430" i="44"/>
  <c r="E338" i="44"/>
  <c r="E354" i="44"/>
  <c r="E528" i="44"/>
  <c r="E477" i="44"/>
  <c r="E417" i="44"/>
  <c r="E444" i="44"/>
  <c r="E631" i="44"/>
  <c r="F857" i="44"/>
  <c r="F827" i="44"/>
  <c r="F842" i="44"/>
  <c r="F864" i="44"/>
  <c r="F840" i="44"/>
  <c r="F847" i="44"/>
  <c r="F830" i="44"/>
  <c r="F822" i="44"/>
  <c r="D308" i="44"/>
  <c r="F256" i="44"/>
  <c r="F763" i="44"/>
  <c r="F443" i="44"/>
  <c r="F312" i="44"/>
  <c r="F590" i="44"/>
  <c r="F40" i="44"/>
  <c r="F224" i="44"/>
  <c r="F811" i="44"/>
  <c r="F393" i="44"/>
  <c r="F71" i="44"/>
  <c r="F81" i="44"/>
  <c r="F853" i="44"/>
  <c r="F568" i="44"/>
  <c r="F775" i="44"/>
  <c r="F80" i="44"/>
  <c r="F432" i="44"/>
  <c r="F781" i="44"/>
  <c r="F727" i="44"/>
  <c r="F855" i="44"/>
  <c r="F793" i="44"/>
  <c r="F747" i="44"/>
  <c r="F862" i="44"/>
  <c r="F689" i="44"/>
  <c r="F669" i="44"/>
  <c r="F736" i="44"/>
  <c r="F776" i="44"/>
  <c r="F844" i="44"/>
  <c r="F821" i="44"/>
  <c r="F807" i="44"/>
  <c r="F785" i="44"/>
  <c r="F835" i="44"/>
  <c r="F332" i="44"/>
  <c r="F447" i="44"/>
  <c r="F435" i="44"/>
  <c r="F782" i="44"/>
  <c r="F625" i="44"/>
  <c r="F666" i="44"/>
  <c r="F722" i="44"/>
  <c r="F501" i="44"/>
  <c r="F347" i="44"/>
  <c r="F449" i="44"/>
  <c r="F392" i="44"/>
  <c r="F567" i="44"/>
  <c r="F546" i="44"/>
  <c r="F552" i="44"/>
  <c r="F336" i="44"/>
  <c r="F254" i="44"/>
  <c r="F613" i="44"/>
  <c r="F282" i="44"/>
  <c r="F331" i="44"/>
  <c r="F272" i="44"/>
  <c r="F557" i="44"/>
  <c r="F801" i="44"/>
  <c r="F311" i="44"/>
  <c r="F846" i="44"/>
  <c r="F426" i="44"/>
  <c r="F672" i="44"/>
  <c r="F111" i="44"/>
  <c r="F529" i="44"/>
  <c r="F655" i="44"/>
  <c r="F597" i="44"/>
  <c r="F218" i="44"/>
  <c r="F748" i="44"/>
  <c r="F482" i="44"/>
  <c r="F525" i="44"/>
  <c r="F772" i="44"/>
  <c r="F94" i="44"/>
  <c r="F76" i="44"/>
  <c r="F27" i="44"/>
  <c r="F237" i="44"/>
  <c r="F645" i="44"/>
  <c r="F647" i="44"/>
  <c r="F770" i="44"/>
  <c r="F632" i="44"/>
  <c r="F217" i="44"/>
  <c r="F540" i="44"/>
  <c r="F514" i="44"/>
  <c r="F547" i="44"/>
  <c r="F492" i="44"/>
  <c r="F139" i="44"/>
  <c r="F662" i="44"/>
  <c r="F350" i="44"/>
  <c r="F461" i="44"/>
  <c r="F836" i="44"/>
  <c r="F314" i="44"/>
  <c r="F589" i="44"/>
  <c r="F635" i="44"/>
  <c r="F630" i="44"/>
  <c r="F611" i="44"/>
  <c r="F780" i="44"/>
  <c r="F646" i="44"/>
  <c r="F346" i="44"/>
  <c r="F604" i="44"/>
  <c r="F633" i="44"/>
  <c r="F171" i="44"/>
  <c r="F671" i="44"/>
  <c r="F680" i="44"/>
  <c r="F545" i="44"/>
  <c r="F866" i="44"/>
  <c r="F42" i="44"/>
  <c r="F14" i="44"/>
  <c r="F688" i="44"/>
  <c r="F474" i="44"/>
  <c r="F522" i="44"/>
  <c r="F109" i="44"/>
  <c r="F391" i="44"/>
  <c r="F355" i="44"/>
  <c r="F295" i="44"/>
  <c r="F257" i="44"/>
  <c r="F737" i="44"/>
  <c r="F478" i="44"/>
  <c r="F60" i="44"/>
  <c r="F130" i="44"/>
  <c r="F460" i="44"/>
  <c r="F681" i="44"/>
  <c r="F30" i="44"/>
  <c r="F758" i="44"/>
  <c r="F643" i="44"/>
  <c r="F812" i="44"/>
  <c r="F710" i="44"/>
  <c r="F412" i="44"/>
  <c r="F636" i="44"/>
  <c r="F38" i="44"/>
  <c r="F43" i="44"/>
  <c r="F46" i="44"/>
  <c r="F696" i="44"/>
  <c r="F561" i="44"/>
  <c r="F411" i="44"/>
  <c r="F106" i="44"/>
  <c r="F78" i="44"/>
  <c r="F832" i="44"/>
  <c r="F61" i="44"/>
  <c r="F319" i="44"/>
  <c r="F284" i="44"/>
  <c r="F325" i="44"/>
  <c r="F193" i="44"/>
  <c r="F869" i="44"/>
  <c r="F468" i="44"/>
  <c r="F536" i="44"/>
  <c r="F146" i="44"/>
  <c r="F378" i="44"/>
  <c r="F47" i="44"/>
  <c r="F502" i="44"/>
  <c r="F410" i="44"/>
  <c r="F248" i="44"/>
  <c r="F423" i="44"/>
  <c r="F116" i="44"/>
  <c r="F289" i="44"/>
  <c r="F725" i="44"/>
  <c r="F152" i="44"/>
  <c r="F570" i="44"/>
  <c r="F333" i="44"/>
  <c r="F413" i="44"/>
  <c r="F20" i="44"/>
  <c r="F357" i="44"/>
  <c r="F743" i="44"/>
  <c r="F196" i="44"/>
  <c r="F164" i="44"/>
  <c r="F381" i="44"/>
  <c r="F148" i="44"/>
  <c r="F437" i="44"/>
  <c r="F799" i="44"/>
  <c r="F52" i="44"/>
  <c r="F320" i="44"/>
  <c r="F83" i="44"/>
  <c r="F741" i="44"/>
  <c r="F380" i="44"/>
  <c r="F396" i="44"/>
  <c r="F850" i="44"/>
  <c r="F119" i="44"/>
  <c r="F768" i="44"/>
  <c r="F93" i="44"/>
  <c r="F510" i="44"/>
  <c r="F298" i="44"/>
  <c r="F859" i="44"/>
  <c r="F315" i="44"/>
  <c r="F839" i="44"/>
  <c r="F275" i="44"/>
  <c r="F485" i="44"/>
  <c r="F53" i="44"/>
  <c r="F200" i="44"/>
  <c r="F753" i="44"/>
  <c r="F305" i="44"/>
  <c r="F343" i="44"/>
  <c r="F371" i="44"/>
  <c r="F455" i="44"/>
  <c r="F173" i="44"/>
  <c r="F490" i="44"/>
  <c r="F342" i="44"/>
  <c r="F777" i="44"/>
  <c r="F241" i="44"/>
  <c r="F279" i="44"/>
  <c r="F387" i="44"/>
  <c r="F359" i="44"/>
  <c r="F77" i="44"/>
  <c r="E612" i="44"/>
  <c r="E841" i="44"/>
  <c r="E808" i="44"/>
  <c r="E625" i="44"/>
  <c r="E606" i="44"/>
  <c r="E686" i="44"/>
  <c r="E668" i="44"/>
  <c r="E792" i="44"/>
  <c r="E622" i="44"/>
  <c r="E712" i="44"/>
  <c r="E665" i="44"/>
  <c r="E774" i="44"/>
  <c r="E859" i="44"/>
  <c r="E824" i="44"/>
  <c r="E843" i="44"/>
  <c r="E704" i="44"/>
  <c r="E737" i="44"/>
  <c r="E851" i="44"/>
  <c r="E868" i="44"/>
  <c r="E698" i="44"/>
  <c r="E700" i="44"/>
  <c r="E731" i="44"/>
  <c r="E745" i="44"/>
  <c r="E813" i="44"/>
  <c r="E764" i="44"/>
  <c r="E772" i="44"/>
  <c r="E775" i="44"/>
  <c r="E719" i="44"/>
  <c r="E795" i="44"/>
  <c r="E654" i="44"/>
  <c r="E634" i="44"/>
  <c r="E692" i="44"/>
  <c r="E645" i="44"/>
  <c r="E680" i="44"/>
  <c r="E718" i="44"/>
  <c r="E633" i="44"/>
  <c r="E664" i="44"/>
  <c r="E677" i="44"/>
  <c r="E640" i="44"/>
  <c r="E624" i="44"/>
  <c r="E618" i="44"/>
  <c r="E713" i="44"/>
  <c r="E739" i="44"/>
  <c r="E855" i="44"/>
  <c r="E753" i="44"/>
  <c r="E715" i="44"/>
  <c r="E724" i="44"/>
  <c r="E635" i="44"/>
  <c r="E691" i="44"/>
  <c r="E663" i="44"/>
  <c r="E684" i="44"/>
  <c r="E615" i="44"/>
  <c r="E749" i="44"/>
  <c r="E703" i="44"/>
  <c r="E617" i="44"/>
  <c r="E643" i="44"/>
  <c r="E709" i="44"/>
  <c r="E610" i="44"/>
  <c r="E651" i="44"/>
  <c r="E659" i="44"/>
  <c r="F624" i="44"/>
  <c r="F585" i="44"/>
  <c r="F182" i="44"/>
  <c r="F36" i="44"/>
  <c r="F750" i="44"/>
  <c r="F59" i="44"/>
  <c r="F133" i="44"/>
  <c r="F204" i="44"/>
  <c r="F723" i="44"/>
  <c r="F89" i="44"/>
  <c r="F559" i="44"/>
  <c r="F422" i="44"/>
  <c r="F744" i="44"/>
  <c r="F504" i="44"/>
  <c r="F578" i="44"/>
  <c r="F260" i="44"/>
  <c r="F234" i="44"/>
  <c r="F663" i="44"/>
  <c r="F576" i="44"/>
  <c r="F50" i="44"/>
  <c r="F818" i="44"/>
  <c r="F394" i="44"/>
  <c r="F353" i="44"/>
  <c r="F198" i="44"/>
  <c r="F509" i="44"/>
  <c r="F451" i="44"/>
  <c r="F229" i="44"/>
  <c r="F351" i="44"/>
  <c r="F113" i="44"/>
  <c r="F809" i="44"/>
  <c r="F424" i="44"/>
  <c r="F530" i="44"/>
  <c r="F324" i="44"/>
  <c r="F54" i="44"/>
  <c r="F650" i="44"/>
  <c r="F120" i="44"/>
  <c r="F205" i="44"/>
  <c r="F70" i="44"/>
  <c r="F766" i="44"/>
  <c r="F329" i="44"/>
  <c r="F515" i="44"/>
  <c r="F361" i="44"/>
  <c r="F21" i="44"/>
  <c r="F399" i="44"/>
  <c r="F172" i="44"/>
  <c r="F227" i="44"/>
  <c r="F849" i="44"/>
  <c r="F837" i="44"/>
  <c r="F617" i="44"/>
  <c r="F24" i="44"/>
  <c r="F118" i="44"/>
  <c r="F459" i="44"/>
  <c r="F301" i="44"/>
  <c r="F641" i="44"/>
  <c r="F814" i="44"/>
  <c r="F156" i="44"/>
  <c r="F123" i="44"/>
  <c r="F340" i="44"/>
  <c r="F85" i="44"/>
  <c r="F479" i="44"/>
  <c r="F108" i="44"/>
  <c r="F291" i="44"/>
  <c r="F731" i="44"/>
  <c r="F829" i="44"/>
  <c r="F328" i="44"/>
  <c r="F308" i="44"/>
  <c r="F117" i="44"/>
  <c r="F135" i="44"/>
  <c r="F192" i="44"/>
  <c r="F12" i="44"/>
  <c r="F17" i="44"/>
  <c r="F19" i="44"/>
  <c r="F713" i="44"/>
  <c r="F797" i="44"/>
  <c r="F292" i="44"/>
  <c r="F665" i="44"/>
  <c r="F606" i="44"/>
  <c r="F97" i="44"/>
  <c r="F270" i="44"/>
  <c r="F203" i="44"/>
  <c r="F446" i="44"/>
  <c r="F496" i="44"/>
  <c r="F143" i="44"/>
  <c r="F838" i="44"/>
  <c r="F191" i="44"/>
  <c r="F416" i="44"/>
  <c r="F628" i="44"/>
  <c r="F202" i="44"/>
  <c r="F505" i="44"/>
  <c r="F25" i="44"/>
  <c r="F338" i="44"/>
  <c r="F760" i="44"/>
  <c r="F75" i="44"/>
  <c r="F450" i="44"/>
  <c r="F575" i="44"/>
  <c r="F621" i="44"/>
  <c r="F366" i="44"/>
  <c r="F488" i="44"/>
  <c r="F717" i="44"/>
  <c r="F735" i="44"/>
  <c r="F769" i="44"/>
  <c r="F779" i="44"/>
  <c r="F211" i="44"/>
  <c r="F145" i="44"/>
  <c r="F140" i="44"/>
  <c r="F64" i="44"/>
  <c r="F495" i="44"/>
  <c r="F263" i="44"/>
  <c r="F181" i="44"/>
  <c r="F180" i="44"/>
  <c r="F72" i="44"/>
  <c r="F483" i="44"/>
  <c r="F711" i="44"/>
  <c r="F841" i="44"/>
  <c r="F115" i="44"/>
  <c r="F129" i="44"/>
  <c r="F300" i="44"/>
  <c r="F367" i="44"/>
  <c r="F247" i="44"/>
  <c r="F261" i="44"/>
  <c r="F425" i="44"/>
  <c r="F467" i="44"/>
  <c r="F169" i="44"/>
  <c r="F48" i="44"/>
  <c r="F686" i="44"/>
  <c r="F134" i="44"/>
  <c r="F45" i="44"/>
  <c r="F385" i="44"/>
  <c r="F794" i="44"/>
  <c r="F362" i="44"/>
  <c r="F189" i="44"/>
  <c r="F786" i="44"/>
  <c r="F553" i="44"/>
  <c r="F765" i="44"/>
  <c r="F755" i="44"/>
  <c r="F851" i="44"/>
  <c r="F307" i="44"/>
  <c r="F337" i="44"/>
  <c r="F96" i="44"/>
  <c r="F103" i="44"/>
  <c r="F101" i="44"/>
  <c r="F212" i="44"/>
  <c r="F264" i="44"/>
  <c r="F283" i="44"/>
  <c r="F220" i="44"/>
  <c r="F487" i="44"/>
  <c r="F466" i="44"/>
  <c r="F159" i="44"/>
  <c r="F475" i="44"/>
  <c r="F303" i="44"/>
  <c r="F535" i="44"/>
  <c r="F374" i="44"/>
  <c r="F704" i="44"/>
  <c r="F569" i="44"/>
  <c r="F125" i="44"/>
  <c r="F810" i="44"/>
  <c r="F13" i="44"/>
  <c r="F718" i="44"/>
  <c r="F137" i="44"/>
  <c r="F409" i="44"/>
  <c r="F231" i="44"/>
  <c r="F236" i="44"/>
  <c r="F99" i="44"/>
  <c r="F703" i="44"/>
  <c r="F601" i="44"/>
  <c r="F507" i="44"/>
  <c r="F335" i="44"/>
  <c r="F458" i="44"/>
  <c r="F491" i="44"/>
  <c r="F228" i="44"/>
  <c r="F287" i="44"/>
  <c r="F574" i="44"/>
  <c r="F112" i="44"/>
  <c r="F73" i="44"/>
  <c r="F104" i="44"/>
  <c r="F277" i="44"/>
  <c r="F183" i="44"/>
  <c r="F453" i="44"/>
  <c r="F161" i="44"/>
  <c r="F51" i="44"/>
  <c r="F815" i="44"/>
  <c r="F306" i="44"/>
  <c r="F562" i="44"/>
  <c r="F271" i="44"/>
  <c r="F586" i="44"/>
  <c r="F56" i="44"/>
  <c r="F255" i="44"/>
  <c r="F498" i="44"/>
  <c r="F304" i="44"/>
  <c r="F41" i="44"/>
  <c r="F232" i="44"/>
  <c r="F341" i="44"/>
  <c r="F167" i="44"/>
  <c r="F32" i="44"/>
  <c r="F225" i="44"/>
  <c r="F35" i="44"/>
  <c r="F871" i="44"/>
  <c r="F91" i="44"/>
  <c r="F473" i="44"/>
  <c r="F309" i="44"/>
  <c r="F327" i="44"/>
  <c r="F415" i="44"/>
  <c r="F389" i="44"/>
  <c r="F209" i="44"/>
  <c r="F147" i="44"/>
  <c r="F707" i="44"/>
  <c r="F783" i="44"/>
  <c r="F610" i="44"/>
  <c r="F397" i="44"/>
  <c r="F620" i="44"/>
  <c r="F598" i="44"/>
  <c r="F62" i="44"/>
  <c r="F445" i="44"/>
  <c r="F609" i="44"/>
  <c r="F531" i="44"/>
  <c r="F619" i="44"/>
  <c r="F216" i="44"/>
  <c r="E845" i="44"/>
  <c r="E854" i="44"/>
  <c r="E816" i="44"/>
  <c r="E833" i="44"/>
  <c r="E850" i="44"/>
  <c r="E846" i="44"/>
  <c r="E858" i="44"/>
  <c r="E834" i="44"/>
  <c r="E856" i="44"/>
  <c r="E810" i="44"/>
  <c r="E860" i="44"/>
  <c r="E828" i="44"/>
  <c r="E826" i="44"/>
  <c r="E823" i="44"/>
  <c r="E871" i="44"/>
  <c r="E781" i="44"/>
  <c r="E830" i="44"/>
  <c r="E832" i="44"/>
  <c r="E787" i="44"/>
  <c r="E847" i="44"/>
  <c r="E815" i="44"/>
  <c r="D642" i="44"/>
  <c r="D812" i="44"/>
  <c r="D143" i="44"/>
  <c r="D480" i="44"/>
  <c r="D771" i="44"/>
  <c r="D736" i="44"/>
  <c r="D631" i="44"/>
  <c r="D698" i="44"/>
  <c r="D500" i="44"/>
  <c r="D113" i="44"/>
  <c r="D869" i="44"/>
  <c r="D783" i="44"/>
  <c r="D772" i="44"/>
  <c r="D715" i="44"/>
  <c r="D830" i="44"/>
  <c r="D637" i="44"/>
  <c r="D723" i="44"/>
  <c r="D787" i="44"/>
  <c r="D805" i="44"/>
  <c r="D684" i="44"/>
  <c r="D789" i="44"/>
  <c r="D790" i="44"/>
  <c r="D857" i="44"/>
  <c r="D675" i="44"/>
  <c r="D654" i="44"/>
  <c r="D761" i="44"/>
  <c r="D501" i="44"/>
  <c r="D634" i="44"/>
  <c r="D583" i="44"/>
  <c r="D649" i="44"/>
  <c r="D253" i="44"/>
  <c r="D212" i="44"/>
  <c r="D834" i="44"/>
  <c r="D815" i="44"/>
  <c r="D809" i="44"/>
  <c r="D724" i="44"/>
  <c r="D768" i="44"/>
  <c r="D662" i="44"/>
  <c r="D803" i="44"/>
  <c r="D757" i="44"/>
  <c r="D664" i="44"/>
  <c r="D714" i="44"/>
  <c r="D733" i="44"/>
  <c r="D778" i="44"/>
  <c r="D862" i="44"/>
  <c r="D858" i="44"/>
  <c r="D752" i="44"/>
  <c r="D848" i="44"/>
  <c r="D555" i="44"/>
  <c r="D591" i="44"/>
  <c r="D683" i="44"/>
  <c r="D663" i="44"/>
  <c r="D447" i="44"/>
  <c r="D115" i="44"/>
  <c r="D229" i="44"/>
  <c r="D16" i="44"/>
  <c r="D409" i="44"/>
  <c r="D418" i="44"/>
  <c r="D265" i="44"/>
  <c r="D270" i="44"/>
  <c r="D205" i="44"/>
  <c r="D34" i="44"/>
  <c r="D71" i="44"/>
  <c r="D374" i="44"/>
  <c r="D79" i="44"/>
  <c r="D11" i="44"/>
  <c r="D267" i="44"/>
  <c r="D210" i="44"/>
  <c r="D22" i="44"/>
  <c r="D424" i="44"/>
  <c r="D433" i="44"/>
  <c r="D44" i="44"/>
  <c r="D181" i="44"/>
  <c r="D365" i="44"/>
  <c r="D371" i="44"/>
  <c r="D257" i="44"/>
  <c r="D122" i="44"/>
  <c r="D466" i="44"/>
  <c r="D360" i="44"/>
  <c r="D31" i="44"/>
  <c r="D29" i="44"/>
  <c r="D342" i="44"/>
  <c r="D89" i="44"/>
  <c r="D56" i="44"/>
  <c r="D584" i="44"/>
  <c r="D174" i="44"/>
  <c r="D384" i="44"/>
  <c r="D77" i="44"/>
  <c r="D468" i="44"/>
  <c r="D518" i="44"/>
  <c r="D471" i="44"/>
  <c r="D141" i="44"/>
  <c r="D245" i="44"/>
  <c r="D169" i="44"/>
  <c r="D609" i="44"/>
  <c r="D467" i="44"/>
  <c r="D512" i="44"/>
  <c r="D394" i="44"/>
  <c r="D651" i="44"/>
  <c r="D578" i="44"/>
  <c r="D499" i="44"/>
  <c r="D454" i="44"/>
  <c r="D438" i="44"/>
  <c r="D136" i="44"/>
  <c r="D448" i="44"/>
  <c r="D268" i="44"/>
  <c r="D159" i="44"/>
  <c r="D479" i="44"/>
  <c r="D543" i="44"/>
  <c r="D562" i="44"/>
  <c r="D184" i="44"/>
  <c r="D449" i="44"/>
  <c r="D107" i="44"/>
  <c r="D38" i="44"/>
  <c r="D355" i="44"/>
  <c r="D160" i="44"/>
  <c r="D223" i="44"/>
  <c r="D92" i="44"/>
  <c r="D420" i="44"/>
  <c r="D341" i="44"/>
  <c r="D100" i="44"/>
  <c r="D388" i="44"/>
  <c r="D398" i="44"/>
  <c r="D130" i="44"/>
  <c r="D587" i="44"/>
  <c r="D264" i="44"/>
  <c r="D33" i="44"/>
  <c r="D415" i="44"/>
  <c r="D211" i="44"/>
  <c r="D324" i="44"/>
  <c r="D273" i="44"/>
  <c r="D357" i="44"/>
  <c r="D59" i="44"/>
  <c r="D27" i="44"/>
  <c r="D225" i="44"/>
  <c r="D475" i="44"/>
  <c r="D133" i="44"/>
  <c r="D441" i="44"/>
  <c r="D519" i="44"/>
  <c r="D173" i="44"/>
  <c r="D294" i="44"/>
  <c r="D138" i="44"/>
  <c r="D224" i="44"/>
  <c r="D95" i="44"/>
  <c r="D20" i="44"/>
  <c r="D261" i="44"/>
  <c r="D237" i="44"/>
  <c r="D349" i="44"/>
  <c r="D227" i="44"/>
  <c r="D640" i="44"/>
  <c r="D576" i="44"/>
  <c r="D554" i="44"/>
  <c r="D572" i="44"/>
  <c r="D574" i="44"/>
  <c r="D613" i="44"/>
  <c r="D546" i="44"/>
  <c r="D470" i="44"/>
  <c r="D482" i="44"/>
  <c r="D488" i="44"/>
  <c r="D134" i="44"/>
  <c r="D96" i="44"/>
  <c r="D310" i="44"/>
  <c r="D309" i="44"/>
  <c r="D285" i="44"/>
  <c r="D196" i="44"/>
  <c r="D402" i="44"/>
  <c r="D445" i="44"/>
  <c r="D207" i="44"/>
  <c r="D419" i="44"/>
  <c r="D97" i="44"/>
  <c r="D83" i="44"/>
  <c r="D417" i="44"/>
  <c r="D217" i="44"/>
  <c r="D288" i="44"/>
  <c r="D201" i="44"/>
  <c r="D333" i="44"/>
  <c r="D135" i="44"/>
  <c r="D117" i="44"/>
  <c r="D397" i="44"/>
  <c r="D336" i="44"/>
  <c r="D187" i="44"/>
  <c r="D84" i="44"/>
  <c r="D73" i="44"/>
  <c r="D413" i="44"/>
  <c r="D327" i="44"/>
  <c r="D177" i="44"/>
  <c r="D85" i="44"/>
  <c r="D458" i="44"/>
  <c r="D643" i="44"/>
  <c r="D474" i="44"/>
  <c r="D431" i="44"/>
  <c r="D535" i="44"/>
  <c r="D364" i="44"/>
  <c r="D147" i="44"/>
  <c r="D250" i="44"/>
  <c r="D529" i="44"/>
  <c r="D505" i="44"/>
  <c r="D344" i="44"/>
  <c r="D641" i="44"/>
  <c r="D657" i="44"/>
  <c r="D596" i="44"/>
  <c r="D541" i="44"/>
  <c r="D469" i="44"/>
  <c r="D549" i="44"/>
  <c r="D464" i="44"/>
  <c r="D721" i="44"/>
  <c r="D472" i="44"/>
  <c r="D430" i="44"/>
  <c r="D272" i="44"/>
  <c r="D303" i="44"/>
  <c r="D42" i="44"/>
  <c r="D544" i="44"/>
  <c r="D64" i="44"/>
  <c r="D90" i="44"/>
  <c r="D503" i="44"/>
  <c r="D429" i="44"/>
  <c r="D383" i="44"/>
  <c r="D593" i="44"/>
  <c r="D307" i="44"/>
  <c r="D399" i="44"/>
  <c r="D109" i="44"/>
  <c r="D74" i="44"/>
  <c r="D618" i="44"/>
  <c r="D228" i="44"/>
  <c r="D203" i="44"/>
  <c r="D391" i="44"/>
  <c r="D131" i="44"/>
  <c r="D393" i="44"/>
  <c r="D395" i="44"/>
  <c r="D337" i="44"/>
  <c r="D630" i="44"/>
  <c r="D218" i="44"/>
  <c r="D262" i="44"/>
  <c r="D182" i="44"/>
  <c r="D233" i="44"/>
  <c r="D428" i="44"/>
  <c r="D189" i="44"/>
  <c r="D366" i="44"/>
  <c r="D57" i="44"/>
  <c r="D58" i="44"/>
  <c r="D437" i="44"/>
  <c r="D193" i="44"/>
  <c r="D165" i="44"/>
  <c r="D191" i="44"/>
  <c r="D347" i="44"/>
  <c r="D502" i="44"/>
  <c r="D216" i="44"/>
  <c r="D54" i="44"/>
  <c r="D98" i="44"/>
  <c r="D484" i="44"/>
  <c r="D40" i="44"/>
  <c r="D450" i="44"/>
  <c r="D325" i="44"/>
  <c r="D126" i="44"/>
  <c r="D139" i="44"/>
  <c r="D164" i="44"/>
  <c r="D582" i="44"/>
  <c r="D406" i="44"/>
  <c r="D167" i="44"/>
  <c r="D506" i="44"/>
  <c r="D82" i="44"/>
  <c r="D426" i="44"/>
  <c r="D293" i="44"/>
  <c r="D316" i="44"/>
  <c r="D491" i="44"/>
  <c r="D400" i="44"/>
  <c r="D522" i="44"/>
  <c r="D381" i="44"/>
  <c r="D416" i="44"/>
  <c r="D459" i="44"/>
  <c r="D110" i="44"/>
  <c r="D326" i="44"/>
  <c r="D251" i="44"/>
  <c r="D372" i="44"/>
  <c r="D242" i="44"/>
  <c r="D145" i="44"/>
  <c r="D436" i="44"/>
  <c r="D385" i="44"/>
  <c r="D48" i="44"/>
  <c r="D55" i="44"/>
  <c r="D483" i="44"/>
  <c r="D320" i="44"/>
  <c r="D380" i="44"/>
  <c r="D592" i="44"/>
  <c r="D149" i="44"/>
  <c r="D377" i="44"/>
  <c r="D68" i="44"/>
  <c r="D551" i="44"/>
  <c r="D21" i="44"/>
  <c r="D215" i="44"/>
  <c r="D24" i="44"/>
  <c r="D624" i="44"/>
  <c r="D747" i="44"/>
  <c r="D650" i="44"/>
  <c r="D740" i="44"/>
  <c r="D601" i="44"/>
  <c r="D558" i="44"/>
  <c r="D619" i="44"/>
  <c r="D509" i="44"/>
  <c r="D711" i="44"/>
  <c r="D702" i="44"/>
  <c r="D810" i="44"/>
  <c r="D200" i="44"/>
  <c r="D328" i="44"/>
  <c r="D414" i="44"/>
  <c r="D72" i="44"/>
  <c r="D219" i="44"/>
  <c r="D103" i="44"/>
  <c r="D282" i="44"/>
  <c r="D14" i="44"/>
  <c r="D214" i="44"/>
  <c r="D306" i="44"/>
  <c r="D61" i="44"/>
  <c r="D534" i="44"/>
  <c r="D118" i="44"/>
  <c r="D259" i="44"/>
  <c r="D382" i="44"/>
  <c r="D161" i="44"/>
  <c r="D19" i="44"/>
  <c r="D185" i="44"/>
  <c r="D278" i="44"/>
  <c r="D674" i="44"/>
  <c r="D492" i="44"/>
  <c r="D669" i="44"/>
  <c r="D473" i="44"/>
  <c r="D289" i="44"/>
  <c r="D116" i="44"/>
  <c r="D199" i="44"/>
  <c r="D432" i="44"/>
  <c r="D456" i="44"/>
  <c r="D148" i="44"/>
  <c r="D648" i="44"/>
  <c r="D594" i="44"/>
  <c r="D523" i="44"/>
  <c r="D444" i="44"/>
  <c r="D463" i="44"/>
  <c r="D455" i="44"/>
  <c r="D452" i="44"/>
  <c r="D691" i="44"/>
  <c r="D312" i="44"/>
  <c r="D560" i="44"/>
  <c r="D524" i="44"/>
  <c r="D530" i="44"/>
  <c r="D41" i="44"/>
  <c r="D283" i="44"/>
  <c r="D660" i="44"/>
  <c r="D112" i="44"/>
  <c r="D387" i="44"/>
  <c r="D101" i="44"/>
  <c r="D386" i="44"/>
  <c r="D127" i="44"/>
  <c r="D39" i="44"/>
  <c r="D629" i="44"/>
  <c r="D317" i="44"/>
  <c r="D144" i="44"/>
  <c r="D331" i="44"/>
  <c r="D252" i="44"/>
  <c r="D183" i="44"/>
  <c r="D70" i="44"/>
  <c r="D616" i="44"/>
  <c r="D249" i="44"/>
  <c r="D481" i="44"/>
  <c r="D300" i="44"/>
  <c r="D421" i="44"/>
  <c r="D440" i="44"/>
  <c r="D176" i="44"/>
  <c r="D581" i="44"/>
  <c r="D321" i="44"/>
  <c r="D404" i="44"/>
  <c r="D231" i="44"/>
  <c r="D513" i="44"/>
  <c r="D12" i="44"/>
  <c r="D390" i="44"/>
  <c r="D465" i="44"/>
  <c r="D51" i="44"/>
  <c r="D25" i="44"/>
  <c r="D435" i="44"/>
  <c r="D241" i="44"/>
  <c r="D561" i="44"/>
  <c r="D442" i="44"/>
  <c r="D137" i="44"/>
  <c r="D43" i="44"/>
  <c r="D367" i="44"/>
  <c r="D140" i="44"/>
  <c r="D204" i="44"/>
  <c r="D171" i="44"/>
  <c r="D238" i="44"/>
  <c r="D548" i="44"/>
  <c r="D489" i="44"/>
  <c r="D423" i="44"/>
  <c r="D411" i="44"/>
  <c r="D457" i="44"/>
  <c r="D363" i="44"/>
  <c r="D552" i="44"/>
  <c r="D600" i="44"/>
  <c r="D511" i="44"/>
  <c r="D313" i="44"/>
  <c r="D315" i="44"/>
  <c r="D568" i="44"/>
  <c r="D290" i="44"/>
  <c r="D213" i="44"/>
  <c r="D628" i="44"/>
  <c r="D194" i="44"/>
  <c r="D645" i="44"/>
  <c r="D93" i="44"/>
  <c r="D291" i="44"/>
  <c r="D132" i="44"/>
  <c r="D490" i="44"/>
  <c r="D276" i="44"/>
  <c r="D142" i="44"/>
  <c r="D604" i="44"/>
  <c r="D589" i="44"/>
  <c r="D78" i="44"/>
  <c r="D498" i="44"/>
  <c r="D726" i="44"/>
  <c r="D542" i="44"/>
  <c r="D69" i="44"/>
  <c r="D23" i="44"/>
  <c r="D87" i="44"/>
  <c r="D446" i="44"/>
  <c r="D234" i="44"/>
  <c r="D222" i="44"/>
  <c r="D186" i="44"/>
  <c r="D494" i="44"/>
  <c r="D105" i="44"/>
  <c r="D197" i="44"/>
  <c r="D180" i="44"/>
  <c r="D361" i="44"/>
  <c r="D533" i="44"/>
  <c r="D179" i="44"/>
  <c r="D60" i="44"/>
  <c r="D504" i="44"/>
  <c r="D236" i="44"/>
  <c r="D443" i="44"/>
  <c r="D536" i="44"/>
  <c r="D353" i="44"/>
  <c r="D573" i="44"/>
  <c r="D202" i="44"/>
  <c r="D155" i="44"/>
  <c r="D178" i="44"/>
  <c r="D597" i="44"/>
  <c r="D260" i="44"/>
  <c r="D392" i="44"/>
  <c r="D67" i="44"/>
  <c r="D305" i="44"/>
  <c r="D119" i="44"/>
  <c r="D453" i="44"/>
  <c r="D163" i="44"/>
  <c r="D427" i="44"/>
  <c r="D30" i="44"/>
  <c r="D299" i="44"/>
  <c r="D104" i="44"/>
  <c r="D32" i="44"/>
  <c r="D287" i="44"/>
  <c r="D516" i="44"/>
  <c r="D275" i="44"/>
  <c r="D154" i="44"/>
  <c r="D244" i="44"/>
  <c r="D332" i="44"/>
  <c r="D497" i="44"/>
  <c r="D598" i="44"/>
  <c r="D329" i="44"/>
  <c r="D389" i="44"/>
  <c r="D314" i="44"/>
  <c r="D346" i="44"/>
  <c r="D526" i="44"/>
  <c r="D585" i="44"/>
  <c r="D658" i="44"/>
  <c r="D646" i="44"/>
  <c r="D370" i="44"/>
  <c r="D330" i="44"/>
  <c r="D340" i="44"/>
  <c r="D302" i="44"/>
  <c r="D156" i="44"/>
  <c r="D297" i="44"/>
  <c r="D286" i="44"/>
  <c r="D295" i="44"/>
  <c r="D188" i="44"/>
  <c r="D339" i="44"/>
  <c r="D230" i="44"/>
  <c r="D496" i="44"/>
  <c r="D531" i="44"/>
  <c r="D76" i="44"/>
  <c r="D91" i="44"/>
  <c r="D356" i="44"/>
  <c r="D319" i="44"/>
  <c r="D478" i="44"/>
  <c r="D108" i="44"/>
  <c r="D246" i="44"/>
  <c r="D323" i="44"/>
  <c r="D266" i="44"/>
  <c r="D401" i="44"/>
  <c r="D322" i="44"/>
  <c r="D607" i="44"/>
  <c r="D296" i="44"/>
  <c r="D198" i="44"/>
  <c r="D52" i="44"/>
  <c r="D256" i="44"/>
  <c r="D410" i="44"/>
  <c r="D301" i="44"/>
  <c r="D352" i="44"/>
  <c r="D311" i="44"/>
  <c r="D358" i="44"/>
  <c r="D240" i="44"/>
  <c r="D378" i="44"/>
  <c r="D75" i="44"/>
  <c r="D153" i="44"/>
  <c r="D121" i="44"/>
  <c r="D368" i="44"/>
  <c r="D239" i="44"/>
  <c r="D281" i="44"/>
  <c r="D62" i="44"/>
  <c r="D88" i="44"/>
  <c r="D620" i="44"/>
  <c r="D373" i="44"/>
  <c r="D595" i="44"/>
  <c r="D451" i="44"/>
  <c r="D152" i="44"/>
  <c r="D226" i="44"/>
  <c r="D50" i="44"/>
  <c r="D405" i="44"/>
  <c r="D760" i="44"/>
  <c r="D599" i="44"/>
  <c r="D847" i="44"/>
  <c r="D625" i="44"/>
  <c r="D659" i="44"/>
  <c r="D605" i="44"/>
  <c r="D567" i="44"/>
  <c r="D704" i="44"/>
  <c r="D655" i="44"/>
  <c r="D623" i="44"/>
  <c r="D263" i="44"/>
  <c r="D102" i="44"/>
  <c r="D220" i="44"/>
  <c r="D106" i="44"/>
  <c r="D157" i="44"/>
  <c r="D538" i="44"/>
  <c r="D517" i="44"/>
  <c r="D369" i="44"/>
  <c r="D375" i="44"/>
  <c r="D603" i="44"/>
  <c r="D670" i="44"/>
  <c r="D677" i="44"/>
  <c r="D514" i="44"/>
  <c r="D269" i="44"/>
  <c r="D86" i="44"/>
  <c r="D15" i="44"/>
  <c r="D17" i="44"/>
  <c r="D258" i="44"/>
  <c r="D166" i="44"/>
  <c r="D26" i="44"/>
  <c r="D461" i="44"/>
  <c r="D125" i="44"/>
  <c r="D35" i="44"/>
  <c r="D81" i="44"/>
  <c r="D94" i="44"/>
  <c r="D192" i="44"/>
  <c r="D195" i="44"/>
  <c r="D335" i="44"/>
  <c r="D477" i="44"/>
  <c r="D271" i="44"/>
  <c r="D521" i="44"/>
  <c r="D396" i="44"/>
  <c r="D274" i="44"/>
  <c r="D13" i="44"/>
  <c r="D528" i="44"/>
  <c r="D403" i="44"/>
  <c r="D348" i="44"/>
  <c r="D794" i="44"/>
  <c r="D717" i="44"/>
  <c r="D565" i="44"/>
  <c r="D633" i="44"/>
  <c r="D114" i="44"/>
  <c r="D255" i="44"/>
  <c r="D338" i="44"/>
  <c r="D80" i="44"/>
  <c r="D422" i="44"/>
  <c r="D571" i="44"/>
  <c r="D235" i="44"/>
  <c r="D129" i="44"/>
  <c r="D539" i="44"/>
  <c r="D545" i="44"/>
  <c r="D53" i="44"/>
  <c r="D537" i="44"/>
  <c r="D379" i="44"/>
  <c r="D343" i="44"/>
  <c r="D243" i="44"/>
  <c r="D493" i="44"/>
  <c r="D527" i="44"/>
  <c r="D206" i="44"/>
  <c r="D460" i="44"/>
  <c r="D354" i="44"/>
  <c r="D146" i="44"/>
  <c r="D515" i="44"/>
  <c r="D248" i="44"/>
  <c r="D232" i="44"/>
  <c r="D99" i="44"/>
  <c r="D279" i="44"/>
  <c r="D172" i="44"/>
  <c r="D45" i="44"/>
  <c r="D318" i="44"/>
  <c r="D557" i="44"/>
  <c r="D150" i="44"/>
  <c r="D351" i="44"/>
  <c r="D168" i="44"/>
  <c r="D66" i="44"/>
  <c r="D280" i="44"/>
  <c r="D577" i="44"/>
  <c r="D407" i="44"/>
  <c r="D510" i="44"/>
  <c r="D507" i="44"/>
  <c r="D412" i="44"/>
  <c r="D564" i="44"/>
  <c r="D284" i="44"/>
  <c r="D247" i="44"/>
  <c r="D37" i="44"/>
  <c r="D838" i="44"/>
  <c r="D665" i="44"/>
  <c r="D621" i="44"/>
  <c r="D563" i="44"/>
  <c r="D570" i="44"/>
  <c r="D844" i="44"/>
  <c r="D709" i="44"/>
  <c r="D614" i="44"/>
  <c r="D608" i="44"/>
  <c r="D667" i="44"/>
  <c r="D547" i="44"/>
  <c r="D495" i="44"/>
  <c r="D579" i="44"/>
  <c r="D476" i="44"/>
  <c r="D439" i="44"/>
  <c r="D753" i="44"/>
  <c r="D661" i="44"/>
  <c r="D692" i="44"/>
  <c r="D826" i="44"/>
  <c r="D785" i="44"/>
  <c r="D799" i="44"/>
  <c r="D697" i="44"/>
  <c r="D639" i="44"/>
  <c r="D756" i="44"/>
  <c r="D781" i="44"/>
  <c r="D763" i="44"/>
  <c r="D788" i="44"/>
  <c r="D731" i="44"/>
  <c r="D762" i="44"/>
  <c r="D818" i="44"/>
  <c r="D854" i="44"/>
  <c r="D856" i="44"/>
  <c r="D647" i="44"/>
  <c r="D827" i="44"/>
  <c r="D612" i="44"/>
  <c r="D851" i="44"/>
  <c r="D837" i="44"/>
  <c r="D806" i="44"/>
  <c r="D839" i="44"/>
  <c r="D754" i="44"/>
  <c r="D735" i="44"/>
  <c r="D712" i="44"/>
  <c r="D699" i="44"/>
  <c r="D727" i="44"/>
  <c r="D800" i="44"/>
  <c r="D828" i="44"/>
  <c r="D707" i="44"/>
  <c r="D701" i="44"/>
  <c r="D638" i="44"/>
  <c r="D819" i="44"/>
  <c r="D694" i="44"/>
  <c r="D786" i="44"/>
  <c r="D824" i="44"/>
  <c r="D813" i="44"/>
  <c r="D833" i="44"/>
  <c r="D866" i="44"/>
  <c r="D774" i="44"/>
  <c r="D758" i="44"/>
  <c r="D716" i="44"/>
  <c r="D652" i="44"/>
  <c r="D780" i="44"/>
  <c r="D559" i="44"/>
  <c r="D158" i="44"/>
  <c r="D304" i="44"/>
  <c r="D487" i="44"/>
  <c r="D408" i="44"/>
  <c r="D111" i="44"/>
  <c r="D434" i="44"/>
  <c r="D221" i="44"/>
  <c r="D586" i="44"/>
  <c r="D128" i="44"/>
  <c r="D298" i="44"/>
  <c r="D120" i="44"/>
  <c r="D175" i="44"/>
  <c r="D170" i="44"/>
  <c r="D462" i="44"/>
  <c r="D636" i="44"/>
  <c r="D656" i="44"/>
  <c r="D626" i="44"/>
  <c r="D668" i="44"/>
  <c r="D680" i="44"/>
  <c r="D666" i="44"/>
  <c r="D627" i="44"/>
  <c r="D617" i="44"/>
  <c r="D556" i="44"/>
  <c r="D550" i="44"/>
  <c r="D486" i="44"/>
  <c r="D700" i="44"/>
  <c r="D734" i="44"/>
  <c r="D689" i="44"/>
  <c r="D859" i="44"/>
  <c r="D823" i="44"/>
  <c r="D742" i="44"/>
  <c r="D720" i="44"/>
  <c r="D770" i="44"/>
  <c r="D845" i="44"/>
  <c r="D682" i="44"/>
  <c r="D730" i="44"/>
  <c r="D693" i="44"/>
  <c r="D797" i="44"/>
  <c r="D767" i="44"/>
  <c r="D811" i="44"/>
  <c r="D865" i="44"/>
  <c r="D840" i="44"/>
  <c r="D822" i="44"/>
  <c r="D744" i="44"/>
  <c r="D728" i="44"/>
  <c r="D743" i="44"/>
  <c r="D835" i="44"/>
  <c r="D687" i="44"/>
  <c r="D836" i="44"/>
  <c r="D681" i="44"/>
  <c r="D816" i="44"/>
  <c r="D769" i="44"/>
  <c r="D739" i="44"/>
  <c r="D751" i="44"/>
  <c r="D703" i="44"/>
  <c r="D748" i="44"/>
  <c r="D725" i="44"/>
  <c r="D817" i="44"/>
  <c r="D350" i="44"/>
  <c r="D18" i="44"/>
  <c r="D46" i="44"/>
  <c r="D208" i="44"/>
  <c r="D566" i="44"/>
  <c r="D190" i="44"/>
  <c r="D47" i="44"/>
  <c r="D162" i="44"/>
  <c r="D425" i="44"/>
  <c r="D277" i="44"/>
  <c r="D209" i="44"/>
  <c r="D49" i="44"/>
  <c r="D292" i="44"/>
  <c r="D362" i="44"/>
  <c r="D777" i="44"/>
  <c r="D575" i="44"/>
  <c r="D580" i="44"/>
  <c r="D676" i="44"/>
  <c r="D632" i="44"/>
  <c r="D671" i="44"/>
  <c r="D588" i="44"/>
  <c r="D508" i="44"/>
  <c r="D532" i="44"/>
  <c r="D690" i="44"/>
  <c r="D766" i="44"/>
  <c r="D860" i="44"/>
  <c r="D843" i="44"/>
  <c r="D765" i="44"/>
  <c r="D750" i="44"/>
  <c r="D842" i="44"/>
  <c r="D738" i="44"/>
  <c r="D644" i="44"/>
  <c r="D732" i="44"/>
  <c r="D867" i="44"/>
  <c r="D696" i="44"/>
  <c r="D706" i="44"/>
  <c r="D672" i="44"/>
  <c r="D864" i="44"/>
  <c r="D796" i="44"/>
  <c r="D798" i="44"/>
  <c r="D821" i="44"/>
  <c r="D776" i="44"/>
  <c r="D254" i="44"/>
  <c r="D678" i="44"/>
  <c r="D615" i="44"/>
  <c r="D151" i="44"/>
  <c r="D602" i="44"/>
  <c r="D569" i="44"/>
  <c r="D124" i="44"/>
  <c r="D749" i="44"/>
  <c r="D345" i="44"/>
  <c r="D376" i="44"/>
  <c r="D606" i="44"/>
  <c r="D65" i="44"/>
  <c r="D334" i="44"/>
  <c r="D36" i="44"/>
  <c r="D28" i="44"/>
  <c r="D713" i="44"/>
  <c r="D852" i="44"/>
  <c r="D590" i="44"/>
  <c r="D520" i="44"/>
  <c r="D863" i="44"/>
  <c r="D685" i="44"/>
  <c r="D610" i="44"/>
  <c r="D653" i="44"/>
  <c r="D679" i="44"/>
  <c r="D525" i="44"/>
  <c r="D540" i="44"/>
  <c r="D485" i="44"/>
  <c r="D745" i="44"/>
  <c r="D673" i="44"/>
  <c r="D801" i="44"/>
  <c r="D825" i="44"/>
  <c r="D846" i="44"/>
  <c r="D850" i="44"/>
  <c r="D773" i="44"/>
  <c r="D831" i="44"/>
  <c r="D782" i="44"/>
  <c r="D793" i="44"/>
  <c r="D784" i="44"/>
  <c r="D695" i="44"/>
  <c r="D871" i="44"/>
  <c r="D759" i="44"/>
  <c r="D792" i="44"/>
  <c r="D808" i="44"/>
  <c r="D868" i="44"/>
  <c r="D779" i="44"/>
  <c r="D729" i="44"/>
  <c r="D832" i="44"/>
  <c r="D804" i="44"/>
  <c r="D814" i="44"/>
  <c r="D741" i="44"/>
  <c r="D710" i="44"/>
  <c r="D622" i="44"/>
  <c r="D705" i="44"/>
  <c r="D853" i="44"/>
  <c r="D849" i="44"/>
  <c r="D802" i="44"/>
  <c r="D746" i="44"/>
  <c r="D688" i="44"/>
  <c r="D737" i="44"/>
  <c r="D635" i="44"/>
  <c r="D807" i="44"/>
  <c r="D861" i="44"/>
  <c r="D795" i="44"/>
  <c r="D718" i="44"/>
  <c r="D829" i="44"/>
  <c r="D841" i="44"/>
  <c r="D870" i="44"/>
  <c r="D686" i="44"/>
  <c r="D708" i="44"/>
  <c r="D820" i="44"/>
  <c r="D855" i="44"/>
  <c r="D775" i="44"/>
  <c r="D764" i="44"/>
  <c r="D755" i="44"/>
  <c r="D791" i="44"/>
  <c r="D719" i="44"/>
  <c r="D553" i="44"/>
  <c r="D722" i="44"/>
  <c r="D611" i="44"/>
  <c r="D63" i="44"/>
  <c r="D123" i="44"/>
  <c r="M11" i="39"/>
  <c r="M22" i="39" s="1"/>
  <c r="M10" i="39"/>
  <c r="M18" i="38"/>
  <c r="V26" i="66" l="1"/>
  <c r="N26" i="66"/>
  <c r="K26" i="66"/>
  <c r="W26" i="66"/>
  <c r="Y28" i="66"/>
  <c r="Z28" i="66" s="1"/>
  <c r="AB28" i="66"/>
  <c r="H27" i="66"/>
  <c r="K27" i="66" s="1"/>
  <c r="V27" i="66" s="1"/>
  <c r="F28" i="66"/>
  <c r="G28" i="66"/>
  <c r="E29" i="66"/>
  <c r="S27" i="66"/>
  <c r="D29" i="66"/>
  <c r="P28" i="66"/>
  <c r="BQ83" i="56"/>
  <c r="BQ96" i="56"/>
  <c r="BQ97" i="56" s="1"/>
  <c r="BQ113" i="56" s="1"/>
  <c r="BQ6" i="56"/>
  <c r="BQ7" i="56"/>
  <c r="P60" i="56"/>
  <c r="BQ9" i="56"/>
  <c r="BR8" i="56"/>
  <c r="BP51" i="56"/>
  <c r="BP21" i="56"/>
  <c r="BG68" i="56"/>
  <c r="CD61" i="56"/>
  <c r="T61" i="56"/>
  <c r="CA68" i="56"/>
  <c r="CF68" i="56"/>
  <c r="CC61" i="56"/>
  <c r="K61" i="56"/>
  <c r="BM61" i="56"/>
  <c r="AX61" i="56"/>
  <c r="BP36" i="56"/>
  <c r="BP28" i="56"/>
  <c r="BP16" i="56"/>
  <c r="BP41" i="56"/>
  <c r="P62" i="44"/>
  <c r="P321" i="44"/>
  <c r="P871" i="44"/>
  <c r="P272" i="44"/>
  <c r="P153" i="44"/>
  <c r="P447" i="44"/>
  <c r="P652" i="44"/>
  <c r="P95" i="44"/>
  <c r="P75" i="44"/>
  <c r="P428" i="44"/>
  <c r="P460" i="44"/>
  <c r="P77" i="44"/>
  <c r="P229" i="44"/>
  <c r="P42" i="44"/>
  <c r="P225" i="44"/>
  <c r="P270" i="44"/>
  <c r="P226" i="44"/>
  <c r="P404" i="44"/>
  <c r="P750" i="44"/>
  <c r="P730" i="44"/>
  <c r="P381" i="44"/>
  <c r="P237" i="44"/>
  <c r="P93" i="44"/>
  <c r="P435" i="44"/>
  <c r="P840" i="44"/>
  <c r="P635" i="44"/>
  <c r="P320" i="44"/>
  <c r="P562" i="44"/>
  <c r="P78" i="44"/>
  <c r="P867" i="44"/>
  <c r="P305" i="44"/>
  <c r="P14" i="44"/>
  <c r="P826" i="44"/>
  <c r="P370" i="44"/>
  <c r="P740" i="44"/>
  <c r="P367" i="44"/>
  <c r="P463" i="44"/>
  <c r="P703" i="44"/>
  <c r="P714" i="44"/>
  <c r="P319" i="44"/>
  <c r="P427" i="44"/>
  <c r="P734" i="44"/>
  <c r="P141" i="44"/>
  <c r="P210" i="44"/>
  <c r="P732" i="44"/>
  <c r="P755" i="44"/>
  <c r="P287" i="44"/>
  <c r="P139" i="44"/>
  <c r="P779" i="44"/>
  <c r="P67" i="44"/>
  <c r="P443" i="44"/>
  <c r="P461" i="44"/>
  <c r="P151" i="44"/>
  <c r="P66" i="44"/>
  <c r="P16" i="44"/>
  <c r="P391" i="44"/>
  <c r="P536" i="44"/>
  <c r="P104" i="44"/>
  <c r="P573" i="44"/>
  <c r="P815" i="44"/>
  <c r="P83" i="44"/>
  <c r="Z61" i="56"/>
  <c r="AM61" i="56"/>
  <c r="AD63" i="56"/>
  <c r="CD67" i="56"/>
  <c r="BP83" i="56"/>
  <c r="BP96" i="56"/>
  <c r="BP97" i="56" s="1"/>
  <c r="BP113" i="56" s="1"/>
  <c r="BP15" i="56"/>
  <c r="BP45" i="56"/>
  <c r="BP19" i="56"/>
  <c r="BP20" i="56"/>
  <c r="BP54" i="56"/>
  <c r="BP43" i="56"/>
  <c r="BP23" i="56"/>
  <c r="BP55" i="56"/>
  <c r="BP24" i="56"/>
  <c r="BP12" i="56"/>
  <c r="BP47" i="56"/>
  <c r="BP46" i="56"/>
  <c r="BP31" i="56"/>
  <c r="BP18" i="56"/>
  <c r="BP48" i="56"/>
  <c r="BP53" i="56"/>
  <c r="BP11" i="56"/>
  <c r="BP10" i="56"/>
  <c r="BP34" i="56"/>
  <c r="BP27" i="56"/>
  <c r="BP40" i="56"/>
  <c r="BP52" i="56"/>
  <c r="BP17" i="56"/>
  <c r="BP42" i="56"/>
  <c r="BP26" i="56"/>
  <c r="BP25" i="56"/>
  <c r="BP39" i="56"/>
  <c r="BP14" i="56"/>
  <c r="BP38" i="56"/>
  <c r="BP37" i="56"/>
  <c r="BP44" i="56"/>
  <c r="BP49" i="56"/>
  <c r="BP35" i="56"/>
  <c r="BP22" i="56"/>
  <c r="BP32" i="56"/>
  <c r="BP50" i="56"/>
  <c r="BP33" i="56"/>
  <c r="AZ61" i="56"/>
  <c r="P68" i="56"/>
  <c r="BP30" i="56"/>
  <c r="BP13" i="56"/>
  <c r="BW61" i="56"/>
  <c r="BV61" i="56"/>
  <c r="AB61" i="56"/>
  <c r="AS61" i="56"/>
  <c r="I61" i="56"/>
  <c r="I73" i="56" s="1"/>
  <c r="I86" i="56" s="1"/>
  <c r="I100" i="56" s="1"/>
  <c r="W61" i="56"/>
  <c r="AW61" i="56"/>
  <c r="S61" i="56"/>
  <c r="BT61" i="56"/>
  <c r="BB61" i="56"/>
  <c r="CB61" i="56"/>
  <c r="AJ61" i="56"/>
  <c r="BO61" i="56"/>
  <c r="BO100" i="56" s="1"/>
  <c r="BE61" i="56"/>
  <c r="AN61" i="56"/>
  <c r="O61" i="56"/>
  <c r="BL61" i="56"/>
  <c r="AY61" i="56"/>
  <c r="AO61" i="56"/>
  <c r="CG61" i="56"/>
  <c r="AC61" i="56"/>
  <c r="BG61" i="56"/>
  <c r="BU61" i="56"/>
  <c r="BQ61" i="56"/>
  <c r="AQ61" i="56"/>
  <c r="U61" i="56"/>
  <c r="U73" i="56" s="1"/>
  <c r="AI61" i="56"/>
  <c r="AV61" i="56"/>
  <c r="Y61" i="56"/>
  <c r="AD66" i="56"/>
  <c r="BY61" i="56"/>
  <c r="BI61" i="56"/>
  <c r="AH61" i="56"/>
  <c r="BX61" i="56"/>
  <c r="AK61" i="56"/>
  <c r="L61" i="56"/>
  <c r="BD61" i="56"/>
  <c r="BR61" i="56"/>
  <c r="AR61" i="56"/>
  <c r="AG61" i="56"/>
  <c r="AP61" i="56"/>
  <c r="CI61" i="56"/>
  <c r="CI73" i="56" s="1"/>
  <c r="AF61" i="56"/>
  <c r="AL61" i="56"/>
  <c r="BX66" i="56"/>
  <c r="N61" i="56"/>
  <c r="BN61" i="56"/>
  <c r="M61" i="56"/>
  <c r="X61" i="56"/>
  <c r="BJ61" i="56"/>
  <c r="CF61" i="56"/>
  <c r="CA61" i="56"/>
  <c r="BF61" i="56"/>
  <c r="V61" i="56"/>
  <c r="BP61" i="56"/>
  <c r="BH61" i="56"/>
  <c r="P61" i="56"/>
  <c r="J61" i="56"/>
  <c r="J73" i="56" s="1"/>
  <c r="AE61" i="56"/>
  <c r="P405" i="44"/>
  <c r="P456" i="44"/>
  <c r="P282" i="44"/>
  <c r="P269" i="44"/>
  <c r="P851" i="44"/>
  <c r="P695" i="44"/>
  <c r="P101" i="44"/>
  <c r="P660" i="44"/>
  <c r="P515" i="44"/>
  <c r="P110" i="44"/>
  <c r="P355" i="44"/>
  <c r="P452" i="44"/>
  <c r="P236" i="44"/>
  <c r="P363" i="44"/>
  <c r="P816" i="44"/>
  <c r="P715" i="44"/>
  <c r="P609" i="44"/>
  <c r="P631" i="44"/>
  <c r="P317" i="44"/>
  <c r="P408" i="44"/>
  <c r="P430" i="44"/>
  <c r="P15" i="44"/>
  <c r="P698" i="44"/>
  <c r="P459" i="44"/>
  <c r="P866" i="44"/>
  <c r="P776" i="44"/>
  <c r="P749" i="44"/>
  <c r="P727" i="44"/>
  <c r="P858" i="44"/>
  <c r="P199" i="44"/>
  <c r="P189" i="44"/>
  <c r="P147" i="44"/>
  <c r="P64" i="44"/>
  <c r="P35" i="44"/>
  <c r="P267" i="44"/>
  <c r="P783" i="44"/>
  <c r="P194" i="44"/>
  <c r="P691" i="44"/>
  <c r="P556" i="44"/>
  <c r="P807" i="44"/>
  <c r="P25" i="44"/>
  <c r="P632" i="44"/>
  <c r="P65" i="44"/>
  <c r="P198" i="44"/>
  <c r="P144" i="44"/>
  <c r="P516" i="44"/>
  <c r="P634" i="44"/>
  <c r="P471" i="44"/>
  <c r="P542" i="44"/>
  <c r="P23" i="44"/>
  <c r="P552" i="44"/>
  <c r="P744" i="44"/>
  <c r="P91" i="44"/>
  <c r="P590" i="44"/>
  <c r="P847" i="44"/>
  <c r="P731" i="44"/>
  <c r="P168" i="44"/>
  <c r="P179" i="44"/>
  <c r="P300" i="44"/>
  <c r="P541" i="44"/>
  <c r="P409" i="44"/>
  <c r="P640" i="44"/>
  <c r="P263" i="44"/>
  <c r="P243" i="44"/>
  <c r="P339" i="44"/>
  <c r="P297" i="44"/>
  <c r="P771" i="44"/>
  <c r="P726" i="44"/>
  <c r="P614" i="44"/>
  <c r="P591" i="44"/>
  <c r="P465" i="44"/>
  <c r="P100" i="44"/>
  <c r="P202" i="44"/>
  <c r="P505" i="44"/>
  <c r="P171" i="44"/>
  <c r="P511" i="44"/>
  <c r="P547" i="44"/>
  <c r="P810" i="44"/>
  <c r="P152" i="44"/>
  <c r="P517" i="44"/>
  <c r="P344" i="44"/>
  <c r="P180" i="44"/>
  <c r="P397" i="44"/>
  <c r="P389" i="44"/>
  <c r="P120" i="44"/>
  <c r="P781" i="44"/>
  <c r="P142" i="44"/>
  <c r="P145" i="44"/>
  <c r="P50" i="44"/>
  <c r="P719" i="44"/>
  <c r="P332" i="44"/>
  <c r="P663" i="44"/>
  <c r="P143" i="44"/>
  <c r="P114" i="44"/>
  <c r="P112" i="44"/>
  <c r="P729" i="44"/>
  <c r="P37" i="44"/>
  <c r="P175" i="44"/>
  <c r="P833" i="44"/>
  <c r="P161" i="44"/>
  <c r="P415" i="44"/>
  <c r="P248" i="44"/>
  <c r="P623" i="44"/>
  <c r="P102" i="44"/>
  <c r="P303" i="44"/>
  <c r="P777" i="44"/>
  <c r="P442" i="44"/>
  <c r="P630" i="44"/>
  <c r="P666" i="44"/>
  <c r="P648" i="44"/>
  <c r="P754" i="44"/>
  <c r="P594" i="44"/>
  <c r="P763" i="44"/>
  <c r="P439" i="44"/>
  <c r="P222" i="44"/>
  <c r="P469" i="44"/>
  <c r="P71" i="44"/>
  <c r="P117" i="44"/>
  <c r="P450" i="44"/>
  <c r="P470" i="44"/>
  <c r="P177" i="44"/>
  <c r="P128" i="44"/>
  <c r="P603" i="44"/>
  <c r="P172" i="44"/>
  <c r="P324" i="44"/>
  <c r="P345" i="44"/>
  <c r="P315" i="44"/>
  <c r="P165" i="44"/>
  <c r="P46" i="44"/>
  <c r="P219" i="44"/>
  <c r="P863" i="44"/>
  <c r="P664" i="44"/>
  <c r="P412" i="44"/>
  <c r="P626" i="44"/>
  <c r="P311" i="44"/>
  <c r="P869" i="44"/>
  <c r="P69" i="44"/>
  <c r="P786" i="44"/>
  <c r="P313" i="44"/>
  <c r="P368" i="44"/>
  <c r="P769" i="44"/>
  <c r="P323" i="44"/>
  <c r="P155" i="44"/>
  <c r="P388" i="44"/>
  <c r="P115" i="44"/>
  <c r="P365" i="44"/>
  <c r="P413" i="44"/>
  <c r="P310" i="44"/>
  <c r="P241" i="44"/>
  <c r="P329" i="44"/>
  <c r="P721" i="44"/>
  <c r="P402" i="44"/>
  <c r="P846" i="44"/>
  <c r="P438" i="44"/>
  <c r="P288" i="44"/>
  <c r="P785" i="44"/>
  <c r="P424" i="44"/>
  <c r="P843" i="44"/>
  <c r="P519" i="44"/>
  <c r="P647" i="44"/>
  <c r="P853" i="44"/>
  <c r="P496" i="44"/>
  <c r="P859" i="44"/>
  <c r="P758" i="44"/>
  <c r="P296" i="44"/>
  <c r="P710" i="44"/>
  <c r="P686" i="44"/>
  <c r="P52" i="44"/>
  <c r="P482" i="44"/>
  <c r="P467" i="44"/>
  <c r="P220" i="44"/>
  <c r="P221" i="44"/>
  <c r="P449" i="44"/>
  <c r="P185" i="44"/>
  <c r="P215" i="44"/>
  <c r="P251" i="44"/>
  <c r="P250" i="44"/>
  <c r="P419" i="44"/>
  <c r="P138" i="44"/>
  <c r="P864" i="44"/>
  <c r="P451" i="44"/>
  <c r="P223" i="44"/>
  <c r="P667" i="44"/>
  <c r="P265" i="44"/>
  <c r="P361" i="44"/>
  <c r="P44" i="44"/>
  <c r="P857" i="44"/>
  <c r="P483" i="44"/>
  <c r="P842" i="44"/>
  <c r="P336" i="44"/>
  <c r="P553" i="44"/>
  <c r="P610" i="44"/>
  <c r="P767" i="44"/>
  <c r="P575" i="44"/>
  <c r="P855" i="44"/>
  <c r="P299" i="44"/>
  <c r="P214" i="44"/>
  <c r="P386" i="44"/>
  <c r="P555" i="44"/>
  <c r="P63" i="44"/>
  <c r="P484" i="44"/>
  <c r="P373" i="44"/>
  <c r="P140" i="44"/>
  <c r="P422" i="44"/>
  <c r="P805" i="44"/>
  <c r="P429" i="44"/>
  <c r="P294" i="44"/>
  <c r="P454" i="44"/>
  <c r="P673" i="44"/>
  <c r="P132" i="44"/>
  <c r="P485" i="44"/>
  <c r="P510" i="44"/>
  <c r="P347" i="44"/>
  <c r="P366" i="44"/>
  <c r="P621" i="44"/>
  <c r="P279" i="44"/>
  <c r="P309" i="44"/>
  <c r="P733" i="44"/>
  <c r="P188" i="44"/>
  <c r="P148" i="44"/>
  <c r="P80" i="44"/>
  <c r="P870" i="44"/>
  <c r="P773" i="44"/>
  <c r="P778" i="44"/>
  <c r="P834" i="44"/>
  <c r="P689" i="44"/>
  <c r="P748" i="44"/>
  <c r="P587" i="44"/>
  <c r="P650" i="44"/>
  <c r="P790" i="44"/>
  <c r="P697" i="44"/>
  <c r="P580" i="44"/>
  <c r="P90" i="44"/>
  <c r="P475" i="44"/>
  <c r="P668" i="44"/>
  <c r="P277" i="44"/>
  <c r="Q176" i="44"/>
  <c r="Q296" i="44"/>
  <c r="Q704" i="44"/>
  <c r="Q97" i="44"/>
  <c r="Q660" i="44"/>
  <c r="Q361" i="44"/>
  <c r="Q135" i="44"/>
  <c r="Q56" i="44"/>
  <c r="Q371" i="44"/>
  <c r="Q413" i="44"/>
  <c r="Q534" i="44"/>
  <c r="P331" i="44"/>
  <c r="P457" i="44"/>
  <c r="P599" i="44"/>
  <c r="P499" i="44"/>
  <c r="P290" i="44"/>
  <c r="P178" i="44"/>
  <c r="P819" i="44"/>
  <c r="P747" i="44"/>
  <c r="P384" i="44"/>
  <c r="P596" i="44"/>
  <c r="P831" i="44"/>
  <c r="P227" i="44"/>
  <c r="P68" i="44"/>
  <c r="P558" i="44"/>
  <c r="P738" i="44"/>
  <c r="P597" i="44"/>
  <c r="P399" i="44"/>
  <c r="P768" i="44"/>
  <c r="P253" i="44"/>
  <c r="P693" i="44"/>
  <c r="P704" i="44"/>
  <c r="P854" i="44"/>
  <c r="P416" i="44"/>
  <c r="P586" i="44"/>
  <c r="P642" i="44"/>
  <c r="P446" i="44"/>
  <c r="P811" i="44"/>
  <c r="P702" i="44"/>
  <c r="P545" i="44"/>
  <c r="P799" i="44"/>
  <c r="P825" i="44"/>
  <c r="P96" i="44"/>
  <c r="P316" i="44"/>
  <c r="P312" i="44"/>
  <c r="P314" i="44"/>
  <c r="P108" i="44"/>
  <c r="P407" i="44"/>
  <c r="P70" i="44"/>
  <c r="P538" i="44"/>
  <c r="P356" i="44"/>
  <c r="P821" i="44"/>
  <c r="P707" i="44"/>
  <c r="P525" i="44"/>
  <c r="P752" i="44"/>
  <c r="P423" i="44"/>
  <c r="P207" i="44"/>
  <c r="P802" i="44"/>
  <c r="P472" i="44"/>
  <c r="P724" i="44"/>
  <c r="P627" i="44"/>
  <c r="P638" i="44"/>
  <c r="P845" i="44"/>
  <c r="P736" i="44"/>
  <c r="P687" i="44"/>
  <c r="P116" i="44"/>
  <c r="P169" i="44"/>
  <c r="P670" i="44"/>
  <c r="P751" i="44"/>
  <c r="P524" i="44"/>
  <c r="P40" i="44"/>
  <c r="P813" i="44"/>
  <c r="P639" i="44"/>
  <c r="P204" i="44"/>
  <c r="P230" i="44"/>
  <c r="P134" i="44"/>
  <c r="P353" i="44"/>
  <c r="P254" i="44"/>
  <c r="P489" i="44"/>
  <c r="P801" i="44"/>
  <c r="P637" i="44"/>
  <c r="P330" i="44"/>
  <c r="P852" i="44"/>
  <c r="P24" i="44"/>
  <c r="P45" i="44"/>
  <c r="P369" i="44"/>
  <c r="P403" i="44"/>
  <c r="P213" i="44"/>
  <c r="P445" i="44"/>
  <c r="P252" i="44"/>
  <c r="P622" i="44"/>
  <c r="P371" i="44"/>
  <c r="P167" i="44"/>
  <c r="P789" i="44"/>
  <c r="P418" i="44"/>
  <c r="P162" i="44"/>
  <c r="P608" i="44"/>
  <c r="P501" i="44"/>
  <c r="P561" i="44"/>
  <c r="P837" i="44"/>
  <c r="P607" i="44"/>
  <c r="P235" i="44"/>
  <c r="P569" i="44"/>
  <c r="P576" i="44"/>
  <c r="P824" i="44"/>
  <c r="P554" i="44"/>
  <c r="P218" i="44"/>
  <c r="P671" i="44"/>
  <c r="P494" i="44"/>
  <c r="P84" i="44"/>
  <c r="P464" i="44"/>
  <c r="P644" i="44"/>
  <c r="P780" i="44"/>
  <c r="P107" i="44"/>
  <c r="P522" i="44"/>
  <c r="P709" i="44"/>
  <c r="P266" i="44"/>
  <c r="P577" i="44"/>
  <c r="P209" i="44"/>
  <c r="P342" i="44"/>
  <c r="P56" i="44"/>
  <c r="P788" i="44"/>
  <c r="P672" i="44"/>
  <c r="P398" i="44"/>
  <c r="P757" i="44"/>
  <c r="P122" i="44"/>
  <c r="P234" i="44"/>
  <c r="P73" i="44"/>
  <c r="P38" i="44"/>
  <c r="P503" i="44"/>
  <c r="P787" i="44"/>
  <c r="P390" i="44"/>
  <c r="P285" i="44"/>
  <c r="P200" i="44"/>
  <c r="P306" i="44"/>
  <c r="R236" i="44"/>
  <c r="R437" i="44"/>
  <c r="R410" i="44"/>
  <c r="R23" i="44"/>
  <c r="R847" i="44"/>
  <c r="R414" i="44"/>
  <c r="R284" i="44"/>
  <c r="R198" i="44"/>
  <c r="R348" i="44"/>
  <c r="R467" i="44"/>
  <c r="R701" i="44"/>
  <c r="R450" i="44"/>
  <c r="R248" i="44"/>
  <c r="R159" i="44"/>
  <c r="Q220" i="44"/>
  <c r="Q822" i="44"/>
  <c r="Q581" i="44"/>
  <c r="Q421" i="44"/>
  <c r="Q692" i="44"/>
  <c r="Q849" i="44"/>
  <c r="Q570" i="44"/>
  <c r="Q140" i="44"/>
  <c r="Q810" i="44"/>
  <c r="Q767" i="44"/>
  <c r="R320" i="44"/>
  <c r="R200" i="44"/>
  <c r="R741" i="44"/>
  <c r="R669" i="44"/>
  <c r="R655" i="44"/>
  <c r="R403" i="44"/>
  <c r="R322" i="44"/>
  <c r="R356" i="44"/>
  <c r="R858" i="44"/>
  <c r="R110" i="44"/>
  <c r="R590" i="44"/>
  <c r="Q410" i="44"/>
  <c r="Q470" i="44"/>
  <c r="Q67" i="44"/>
  <c r="Q573" i="44"/>
  <c r="Q326" i="44"/>
  <c r="Q540" i="44"/>
  <c r="Q167" i="44"/>
  <c r="Q82" i="44"/>
  <c r="Q693" i="44"/>
  <c r="R465" i="44"/>
  <c r="R567" i="44"/>
  <c r="R477" i="44"/>
  <c r="R142" i="44"/>
  <c r="R722" i="44"/>
  <c r="R245" i="44"/>
  <c r="R244" i="44"/>
  <c r="R757" i="44"/>
  <c r="R693" i="44"/>
  <c r="R303" i="44"/>
  <c r="R33" i="44"/>
  <c r="R570" i="44"/>
  <c r="R464" i="44"/>
  <c r="Q354" i="44"/>
  <c r="Q809" i="44"/>
  <c r="Q795" i="44"/>
  <c r="Q351" i="44"/>
  <c r="Q318" i="44"/>
  <c r="Q271" i="44"/>
  <c r="Q706" i="44"/>
  <c r="Q440" i="44"/>
  <c r="Q362" i="44"/>
  <c r="Q807" i="44"/>
  <c r="Q646" i="44"/>
  <c r="R47" i="44"/>
  <c r="R728" i="44"/>
  <c r="R318" i="44"/>
  <c r="R794" i="44"/>
  <c r="R45" i="44"/>
  <c r="R301" i="44"/>
  <c r="R642" i="44"/>
  <c r="R819" i="44"/>
  <c r="R307" i="44"/>
  <c r="R838" i="44"/>
  <c r="R247" i="44"/>
  <c r="Q742" i="44"/>
  <c r="Q288" i="44"/>
  <c r="Q545" i="44"/>
  <c r="Q650" i="44"/>
  <c r="Q298" i="44"/>
  <c r="Q178" i="44"/>
  <c r="Q719" i="44"/>
  <c r="Q789" i="44"/>
  <c r="Q723" i="44"/>
  <c r="Q466" i="44"/>
  <c r="Q187" i="44"/>
  <c r="Q560" i="44"/>
  <c r="R267" i="44"/>
  <c r="R65" i="44"/>
  <c r="R607" i="44"/>
  <c r="R758" i="44"/>
  <c r="R126" i="44"/>
  <c r="R58" i="44"/>
  <c r="R837" i="44"/>
  <c r="Q805" i="44"/>
  <c r="R694" i="44"/>
  <c r="R250" i="44"/>
  <c r="R360" i="44"/>
  <c r="R645" i="44"/>
  <c r="R21" i="44"/>
  <c r="R697" i="44"/>
  <c r="R129" i="44"/>
  <c r="R331" i="44"/>
  <c r="R184" i="44"/>
  <c r="R532" i="44"/>
  <c r="R717" i="44"/>
  <c r="R834" i="44"/>
  <c r="Q127" i="44"/>
  <c r="Q503" i="44"/>
  <c r="Q517" i="44"/>
  <c r="Q745" i="44"/>
  <c r="Q57" i="44"/>
  <c r="Q531" i="44"/>
  <c r="Q779" i="44"/>
  <c r="Q772" i="44"/>
  <c r="Q854" i="44"/>
  <c r="Q609" i="44"/>
  <c r="Q760" i="44"/>
  <c r="R246" i="44"/>
  <c r="R101" i="44"/>
  <c r="R312" i="44"/>
  <c r="R327" i="44"/>
  <c r="R428" i="44"/>
  <c r="R147" i="44"/>
  <c r="R484" i="44"/>
  <c r="R194" i="44"/>
  <c r="R69" i="44"/>
  <c r="R338" i="44"/>
  <c r="R67" i="44"/>
  <c r="R155" i="44"/>
  <c r="Q604" i="44"/>
  <c r="Q79" i="44"/>
  <c r="Q448" i="44"/>
  <c r="Q613" i="44"/>
  <c r="Q395" i="44"/>
  <c r="Q134" i="44"/>
  <c r="Q66" i="44"/>
  <c r="Q177" i="44"/>
  <c r="Q122" i="44"/>
  <c r="Q418" i="44"/>
  <c r="Q71" i="44"/>
  <c r="R117" i="44"/>
  <c r="R454" i="44"/>
  <c r="R357" i="44"/>
  <c r="R251" i="44"/>
  <c r="R317" i="44"/>
  <c r="R861" i="44"/>
  <c r="R617" i="44"/>
  <c r="R563" i="44"/>
  <c r="R572" i="44"/>
  <c r="R359" i="44"/>
  <c r="R53" i="44"/>
  <c r="Q137" i="44"/>
  <c r="Q420" i="44"/>
  <c r="Q814" i="44"/>
  <c r="Q221" i="44"/>
  <c r="Q852" i="44"/>
  <c r="Q215" i="44"/>
  <c r="Q425" i="44"/>
  <c r="Q174" i="44"/>
  <c r="Q676" i="44"/>
  <c r="Q601" i="44"/>
  <c r="Q802" i="44"/>
  <c r="Y66" i="56"/>
  <c r="CB66" i="56"/>
  <c r="N7" i="38"/>
  <c r="AM63" i="56"/>
  <c r="BE66" i="56"/>
  <c r="O66" i="56"/>
  <c r="N6" i="38"/>
  <c r="O7" i="38"/>
  <c r="BJ66" i="56"/>
  <c r="W66" i="56"/>
  <c r="M8" i="38"/>
  <c r="BZ61" i="56"/>
  <c r="BS61" i="56"/>
  <c r="R61" i="56"/>
  <c r="BA61" i="56"/>
  <c r="BC61" i="56"/>
  <c r="AT61" i="56"/>
  <c r="AA61" i="56"/>
  <c r="AB73" i="56" s="1"/>
  <c r="Q61" i="56"/>
  <c r="AD61" i="56"/>
  <c r="CE61" i="56"/>
  <c r="AS66" i="56"/>
  <c r="R221" i="44"/>
  <c r="R815" i="44"/>
  <c r="R353" i="44"/>
  <c r="R376" i="44"/>
  <c r="R597" i="44"/>
  <c r="R556" i="44"/>
  <c r="R710" i="44"/>
  <c r="R676" i="44"/>
  <c r="R277" i="44"/>
  <c r="R594" i="44"/>
  <c r="R16" i="44"/>
  <c r="R842" i="44"/>
  <c r="R362" i="44"/>
  <c r="R405" i="44"/>
  <c r="AU61" i="56"/>
  <c r="AO66" i="56"/>
  <c r="M7" i="38"/>
  <c r="M66" i="56"/>
  <c r="BK61" i="56"/>
  <c r="BZ66" i="56"/>
  <c r="AC66" i="56"/>
  <c r="O6" i="38"/>
  <c r="R469" i="44"/>
  <c r="R791" i="44"/>
  <c r="R239" i="44"/>
  <c r="R382" i="44"/>
  <c r="R35" i="44"/>
  <c r="R413" i="44"/>
  <c r="R540" i="44"/>
  <c r="R76" i="44"/>
  <c r="R565" i="44"/>
  <c r="R354" i="44"/>
  <c r="R611" i="44"/>
  <c r="R656" i="44"/>
  <c r="P19" i="44"/>
  <c r="P135" i="44"/>
  <c r="P137" i="44"/>
  <c r="P654" i="44"/>
  <c r="P292" i="44"/>
  <c r="P255" i="44"/>
  <c r="P39" i="44"/>
  <c r="P268" i="44"/>
  <c r="P645" i="44"/>
  <c r="P29" i="44"/>
  <c r="P491" i="44"/>
  <c r="P486" i="44"/>
  <c r="P308" i="44"/>
  <c r="P224" i="44"/>
  <c r="P617" i="44"/>
  <c r="P43" i="44"/>
  <c r="P205" i="44"/>
  <c r="P76" i="44"/>
  <c r="P571" i="44"/>
  <c r="P182" i="44"/>
  <c r="P121" i="44"/>
  <c r="P557" i="44"/>
  <c r="P284" i="44"/>
  <c r="P396" i="44"/>
  <c r="P743" i="44"/>
  <c r="P111" i="44"/>
  <c r="P410" i="44"/>
  <c r="P103" i="44"/>
  <c r="P123" i="44"/>
  <c r="Z10" i="39"/>
  <c r="X22" i="39" s="1"/>
  <c r="P276" i="44"/>
  <c r="P260" i="44"/>
  <c r="P559" i="44"/>
  <c r="P585" i="44"/>
  <c r="P861" i="44"/>
  <c r="P692" i="44"/>
  <c r="P546" i="44"/>
  <c r="P378" i="44"/>
  <c r="P601" i="44"/>
  <c r="P498" i="44"/>
  <c r="P712" i="44"/>
  <c r="P745" i="44"/>
  <c r="P646" i="44"/>
  <c r="P711" i="44"/>
  <c r="P98" i="44"/>
  <c r="P823" i="44"/>
  <c r="P849" i="44"/>
  <c r="P818" i="44"/>
  <c r="P720" i="44"/>
  <c r="P348" i="44"/>
  <c r="P432" i="44"/>
  <c r="P293" i="44"/>
  <c r="P181" i="44"/>
  <c r="P362" i="44"/>
  <c r="P528" i="44"/>
  <c r="P658" i="44"/>
  <c r="P806" i="44"/>
  <c r="P191" i="44"/>
  <c r="P535" i="44"/>
  <c r="P51" i="44"/>
  <c r="Q144" i="44"/>
  <c r="Q664" i="44"/>
  <c r="Q17" i="44"/>
  <c r="Q367" i="44"/>
  <c r="Q553" i="44"/>
  <c r="Q577" i="44"/>
  <c r="Q755" i="44"/>
  <c r="Q168" i="44"/>
  <c r="Q477" i="44"/>
  <c r="Q334" i="44"/>
  <c r="Q244" i="44"/>
  <c r="Q498" i="44"/>
  <c r="Q76" i="44"/>
  <c r="R263" i="44"/>
  <c r="R39" i="44"/>
  <c r="R470" i="44"/>
  <c r="R363" i="44"/>
  <c r="R530" i="44"/>
  <c r="R61" i="44"/>
  <c r="R176" i="44"/>
  <c r="R591" i="44"/>
  <c r="R371" i="44"/>
  <c r="R207" i="44"/>
  <c r="R731" i="44"/>
  <c r="R630" i="44"/>
  <c r="R767" i="44"/>
  <c r="R148" i="44"/>
  <c r="R709" i="44"/>
  <c r="R493" i="44"/>
  <c r="R733" i="44"/>
  <c r="R593" i="44"/>
  <c r="R164" i="44"/>
  <c r="R714" i="44"/>
  <c r="R782" i="44"/>
  <c r="R622" i="44"/>
  <c r="R762" i="44"/>
  <c r="R409" i="44"/>
  <c r="R690" i="44"/>
  <c r="R87" i="44"/>
  <c r="R613" i="44"/>
  <c r="R273" i="44"/>
  <c r="R518" i="44"/>
  <c r="R797" i="44"/>
  <c r="R788" i="44"/>
  <c r="R226" i="44"/>
  <c r="R595" i="44"/>
  <c r="R29" i="44"/>
  <c r="R689" i="44"/>
  <c r="R746" i="44"/>
  <c r="R370" i="44"/>
  <c r="R105" i="44"/>
  <c r="R515" i="44"/>
  <c r="R506" i="44"/>
  <c r="R156" i="44"/>
  <c r="R708" i="44"/>
  <c r="R573" i="44"/>
  <c r="R820" i="44"/>
  <c r="R115" i="44"/>
  <c r="R844" i="44"/>
  <c r="R548" i="44"/>
  <c r="R211" i="44"/>
  <c r="R255" i="44"/>
  <c r="R610" i="44"/>
  <c r="R181" i="44"/>
  <c r="R237" i="44"/>
  <c r="R771" i="44"/>
  <c r="R769" i="44"/>
  <c r="R491" i="44"/>
  <c r="R158" i="44"/>
  <c r="R287" i="44"/>
  <c r="R365" i="44"/>
  <c r="R615" i="44"/>
  <c r="R766" i="44"/>
  <c r="R298" i="44"/>
  <c r="R795" i="44"/>
  <c r="R833" i="44"/>
  <c r="R529" i="44"/>
  <c r="R476" i="44"/>
  <c r="R759" i="44"/>
  <c r="R12" i="44"/>
  <c r="R433" i="44"/>
  <c r="R523" i="44"/>
  <c r="R472" i="44"/>
  <c r="R802" i="44"/>
  <c r="R805" i="44"/>
  <c r="R254" i="44"/>
  <c r="R209" i="44"/>
  <c r="R154" i="44"/>
  <c r="R309" i="44"/>
  <c r="R423" i="44"/>
  <c r="R349" i="44"/>
  <c r="R13" i="44"/>
  <c r="R519" i="44"/>
  <c r="R792" i="44"/>
  <c r="R351" i="44"/>
  <c r="R265" i="44"/>
  <c r="R108" i="44"/>
  <c r="R536" i="44"/>
  <c r="R395" i="44"/>
  <c r="R383" i="44"/>
  <c r="R262" i="44"/>
  <c r="R266" i="44"/>
  <c r="R193" i="44"/>
  <c r="R131" i="44"/>
  <c r="R397" i="44"/>
  <c r="R31" i="44"/>
  <c r="R686" i="44"/>
  <c r="R721" i="44"/>
  <c r="R831" i="44"/>
  <c r="R40" i="44"/>
  <c r="R634" i="44"/>
  <c r="R803" i="44"/>
  <c r="R752" i="44"/>
  <c r="R91" i="44"/>
  <c r="R606" i="44"/>
  <c r="R169" i="44"/>
  <c r="R167" i="44"/>
  <c r="R600" i="44"/>
  <c r="R575" i="44"/>
  <c r="R62" i="44"/>
  <c r="R510" i="44"/>
  <c r="R839" i="44"/>
  <c r="R446" i="44"/>
  <c r="R406" i="44"/>
  <c r="R286" i="44"/>
  <c r="R501" i="44"/>
  <c r="R385" i="44"/>
  <c r="R160" i="44"/>
  <c r="R187" i="44"/>
  <c r="R755" i="44"/>
  <c r="R44" i="44"/>
  <c r="R72" i="44"/>
  <c r="R502" i="44"/>
  <c r="R609" i="44"/>
  <c r="R738" i="44"/>
  <c r="R179" i="44"/>
  <c r="R456" i="44"/>
  <c r="R867" i="44"/>
  <c r="R684" i="44"/>
  <c r="R496" i="44"/>
  <c r="R577" i="44"/>
  <c r="R836" i="44"/>
  <c r="R857" i="44"/>
  <c r="R499" i="44"/>
  <c r="R784" i="44"/>
  <c r="R828" i="44"/>
  <c r="R638" i="44"/>
  <c r="R215" i="44"/>
  <c r="R412" i="44"/>
  <c r="R372" i="44"/>
  <c r="R727" i="44"/>
  <c r="R214" i="44"/>
  <c r="R434" i="44"/>
  <c r="R204" i="44"/>
  <c r="R651" i="44"/>
  <c r="R258" i="44"/>
  <c r="R486" i="44"/>
  <c r="R859" i="44"/>
  <c r="R64" i="44"/>
  <c r="R719" i="44"/>
  <c r="R448" i="44"/>
  <c r="R482" i="44"/>
  <c r="R588" i="44"/>
  <c r="R378" i="44"/>
  <c r="R264" i="44"/>
  <c r="R451" i="44"/>
  <c r="R402" i="44"/>
  <c r="R275" i="44"/>
  <c r="R703" i="44"/>
  <c r="R192" i="44"/>
  <c r="R28" i="44"/>
  <c r="R389" i="44"/>
  <c r="R494" i="44"/>
  <c r="R116" i="44"/>
  <c r="R333" i="44"/>
  <c r="R171" i="44"/>
  <c r="R140" i="44"/>
  <c r="R183" i="44"/>
  <c r="R702" i="44"/>
  <c r="R97" i="44"/>
  <c r="R666" i="44"/>
  <c r="R20" i="44"/>
  <c r="R627" i="44"/>
  <c r="R549" i="44"/>
  <c r="R840" i="44"/>
  <c r="R345" i="44"/>
  <c r="R670" i="44"/>
  <c r="R818" i="44"/>
  <c r="R555" i="44"/>
  <c r="R646" i="44"/>
  <c r="R551" i="44"/>
  <c r="R341" i="44"/>
  <c r="R662" i="44"/>
  <c r="R799" i="44"/>
  <c r="R753" i="44"/>
  <c r="R440" i="44"/>
  <c r="R505" i="44"/>
  <c r="R541" i="44"/>
  <c r="R712" i="44"/>
  <c r="R190" i="44"/>
  <c r="R329" i="44"/>
  <c r="R568" i="44"/>
  <c r="R671" i="44"/>
  <c r="R78" i="44"/>
  <c r="R326" i="44"/>
  <c r="R291" i="44"/>
  <c r="R136" i="44"/>
  <c r="R508" i="44"/>
  <c r="R289" i="44"/>
  <c r="R55" i="44"/>
  <c r="R188" i="44"/>
  <c r="R292" i="44"/>
  <c r="R637" i="44"/>
  <c r="R421" i="44"/>
  <c r="R241" i="44"/>
  <c r="R282" i="44"/>
  <c r="R153" i="44"/>
  <c r="R186" i="44"/>
  <c r="R41" i="44"/>
  <c r="R785" i="44"/>
  <c r="R500" i="44"/>
  <c r="R826" i="44"/>
  <c r="R720" i="44"/>
  <c r="R174" i="44"/>
  <c r="R592" i="44"/>
  <c r="R316" i="44"/>
  <c r="R822" i="44"/>
  <c r="R608" i="44"/>
  <c r="R538" i="44"/>
  <c r="R231" i="44"/>
  <c r="R455" i="44"/>
  <c r="R552" i="44"/>
  <c r="R649" i="44"/>
  <c r="R821" i="44"/>
  <c r="R644" i="44"/>
  <c r="R798" i="44"/>
  <c r="R764" i="44"/>
  <c r="R466" i="44"/>
  <c r="R232" i="44"/>
  <c r="R106" i="44"/>
  <c r="R96" i="44"/>
  <c r="R718" i="44"/>
  <c r="R242" i="44"/>
  <c r="R726" i="44"/>
  <c r="R856" i="44"/>
  <c r="R135" i="44"/>
  <c r="R170" i="44"/>
  <c r="R257" i="44"/>
  <c r="R355" i="44"/>
  <c r="R386" i="44"/>
  <c r="R566" i="44"/>
  <c r="R801" i="44"/>
  <c r="R285" i="44"/>
  <c r="R146" i="44"/>
  <c r="R863" i="44"/>
  <c r="R682" i="44"/>
  <c r="R674" i="44"/>
  <c r="R68" i="44"/>
  <c r="R855" i="44"/>
  <c r="R789" i="44"/>
  <c r="R63" i="44"/>
  <c r="R321" i="44"/>
  <c r="R707" i="44"/>
  <c r="R152" i="44"/>
  <c r="R332" i="44"/>
  <c r="R705" i="44"/>
  <c r="R749" i="44"/>
  <c r="R283" i="44"/>
  <c r="R407" i="44"/>
  <c r="R390" i="44"/>
  <c r="R864" i="44"/>
  <c r="R706" i="44"/>
  <c r="R80" i="44"/>
  <c r="R203" i="44"/>
  <c r="R279" i="44"/>
  <c r="R369" i="44"/>
  <c r="R537" i="44"/>
  <c r="R825" i="44"/>
  <c r="R112" i="44"/>
  <c r="R787" i="44"/>
  <c r="R145" i="44"/>
  <c r="R177" i="44"/>
  <c r="R657" i="44"/>
  <c r="R811" i="44"/>
  <c r="R489" i="44"/>
  <c r="R663" i="44"/>
  <c r="R280" i="44"/>
  <c r="R319" i="44"/>
  <c r="R517" i="44"/>
  <c r="R432" i="44"/>
  <c r="R328" i="44"/>
  <c r="R261" i="44"/>
  <c r="R756" i="44"/>
  <c r="R22" i="44"/>
  <c r="R435" i="44"/>
  <c r="R605" i="44"/>
  <c r="R732" i="44"/>
  <c r="R166" i="44"/>
  <c r="R546" i="44"/>
  <c r="R497" i="44"/>
  <c r="R234" i="44"/>
  <c r="R659" i="44"/>
  <c r="R673" i="44"/>
  <c r="R216" i="44"/>
  <c r="R583" i="44"/>
  <c r="R113" i="44"/>
  <c r="R458" i="44"/>
  <c r="R302" i="44"/>
  <c r="R419" i="44"/>
  <c r="R82" i="44"/>
  <c r="R629" i="44"/>
  <c r="R388" i="44"/>
  <c r="R36" i="44"/>
  <c r="R817" i="44"/>
  <c r="R411" i="44"/>
  <c r="R487" i="44"/>
  <c r="R180" i="44"/>
  <c r="R173" i="44"/>
  <c r="R598" i="44"/>
  <c r="R103" i="44"/>
  <c r="R205" i="44"/>
  <c r="R396" i="44"/>
  <c r="R373" i="44"/>
  <c r="R98" i="44"/>
  <c r="R461" i="44"/>
  <c r="R243" i="44"/>
  <c r="R240" i="44"/>
  <c r="R118" i="44"/>
  <c r="R384" i="44"/>
  <c r="R42" i="44"/>
  <c r="R596" i="44"/>
  <c r="R268" i="44"/>
  <c r="R525" i="44"/>
  <c r="R429" i="44"/>
  <c r="R323" i="44"/>
  <c r="R849" i="44"/>
  <c r="R846" i="44"/>
  <c r="R543" i="44"/>
  <c r="R381" i="44"/>
  <c r="R224" i="44"/>
  <c r="R175" i="44"/>
  <c r="R269" i="44"/>
  <c r="R334" i="44"/>
  <c r="R628" i="44"/>
  <c r="R507" i="44"/>
  <c r="R132" i="44"/>
  <c r="R366" i="44"/>
  <c r="R350" i="44"/>
  <c r="R149" i="44"/>
  <c r="R75" i="44"/>
  <c r="R680" i="44"/>
  <c r="R299" i="44"/>
  <c r="R439" i="44"/>
  <c r="R524" i="44"/>
  <c r="R137" i="44"/>
  <c r="R641" i="44"/>
  <c r="R569" i="44"/>
  <c r="R850" i="44"/>
  <c r="R306" i="44"/>
  <c r="R46" i="44"/>
  <c r="R88" i="44"/>
  <c r="R763" i="44"/>
  <c r="R308" i="44"/>
  <c r="R168" i="44"/>
  <c r="R823" i="44"/>
  <c r="R687" i="44"/>
  <c r="R700" i="44"/>
  <c r="R739" i="44"/>
  <c r="R545" i="44"/>
  <c r="R253" i="44"/>
  <c r="R352" i="44"/>
  <c r="R220" i="44"/>
  <c r="R578" i="44"/>
  <c r="R217" i="44"/>
  <c r="R832" i="44"/>
  <c r="R134" i="44"/>
  <c r="R585" i="44"/>
  <c r="R379" i="44"/>
  <c r="R300" i="44"/>
  <c r="R339" i="44"/>
  <c r="R157" i="44"/>
  <c r="R252" i="44"/>
  <c r="R32" i="44"/>
  <c r="R420" i="44"/>
  <c r="R672" i="44"/>
  <c r="R730" i="44"/>
  <c r="R315" i="44"/>
  <c r="R330" i="44"/>
  <c r="R748" i="44"/>
  <c r="R93" i="44"/>
  <c r="R560" i="44"/>
  <c r="R139" i="44"/>
  <c r="R564" i="44"/>
  <c r="R141" i="44"/>
  <c r="R418" i="44"/>
  <c r="R73" i="44"/>
  <c r="R736" i="44"/>
  <c r="R742" i="44"/>
  <c r="R74" i="44"/>
  <c r="R685" i="44"/>
  <c r="R744" i="44"/>
  <c r="R509" i="44"/>
  <c r="R810" i="44"/>
  <c r="R344" i="44"/>
  <c r="R558" i="44"/>
  <c r="R11" i="44"/>
  <c r="R582" i="44"/>
  <c r="R297" i="44"/>
  <c r="R813" i="44"/>
  <c r="R716" i="44"/>
  <c r="R473" i="44"/>
  <c r="R632" i="44"/>
  <c r="R816" i="44"/>
  <c r="R270" i="44"/>
  <c r="R347" i="44"/>
  <c r="R102" i="44"/>
  <c r="R416" i="44"/>
  <c r="R562" i="44"/>
  <c r="R754" i="44"/>
  <c r="R337" i="44"/>
  <c r="R436" i="44"/>
  <c r="R806" i="44"/>
  <c r="R521" i="44"/>
  <c r="R387" i="44"/>
  <c r="R503" i="44"/>
  <c r="R438" i="44"/>
  <c r="R514" i="44"/>
  <c r="R576" i="44"/>
  <c r="R602" i="44"/>
  <c r="R624" i="44"/>
  <c r="R144" i="44"/>
  <c r="R475" i="44"/>
  <c r="R293" i="44"/>
  <c r="R83" i="44"/>
  <c r="R841" i="44"/>
  <c r="R695" i="44"/>
  <c r="R845" i="44"/>
  <c r="R56" i="44"/>
  <c r="R542" i="44"/>
  <c r="R443" i="44"/>
  <c r="R417" i="44"/>
  <c r="R743" i="44"/>
  <c r="R400" i="44"/>
  <c r="R89" i="44"/>
  <c r="R449" i="44"/>
  <c r="R539" i="44"/>
  <c r="R522" i="44"/>
  <c r="R111" i="44"/>
  <c r="R343" i="44"/>
  <c r="R453" i="44"/>
  <c r="R70" i="44"/>
  <c r="R653" i="44"/>
  <c r="R460" i="44"/>
  <c r="R765" i="44"/>
  <c r="R130" i="44"/>
  <c r="R398" i="44"/>
  <c r="R218" i="44"/>
  <c r="R747" i="44"/>
  <c r="R735" i="44"/>
  <c r="R723" i="44"/>
  <c r="R584" i="44"/>
  <c r="R86" i="44"/>
  <c r="R704" i="44"/>
  <c r="R768" i="44"/>
  <c r="R196" i="44"/>
  <c r="R271" i="44"/>
  <c r="R580" i="44"/>
  <c r="R848" i="44"/>
  <c r="R361" i="44"/>
  <c r="R77" i="44"/>
  <c r="R92" i="44"/>
  <c r="R512" i="44"/>
  <c r="R692" i="44"/>
  <c r="R793" i="44"/>
  <c r="R760" i="44"/>
  <c r="R59" i="44"/>
  <c r="R544" i="44"/>
  <c r="R150" i="44"/>
  <c r="R50" i="44"/>
  <c r="R761" i="44"/>
  <c r="R342" i="44"/>
  <c r="R66" i="44"/>
  <c r="R228" i="44"/>
  <c r="R178" i="44"/>
  <c r="R737" i="44"/>
  <c r="R38" i="44"/>
  <c r="R586" i="44"/>
  <c r="R364" i="44"/>
  <c r="R677" i="44"/>
  <c r="R401" i="44"/>
  <c r="R415" i="44"/>
  <c r="R314" i="44"/>
  <c r="R452" i="44"/>
  <c r="R276" i="44"/>
  <c r="R227" i="44"/>
  <c r="R715" i="44"/>
  <c r="R95" i="44"/>
  <c r="R462" i="44"/>
  <c r="R143" i="44"/>
  <c r="R827" i="44"/>
  <c r="R734" i="44"/>
  <c r="R281" i="44"/>
  <c r="R725" i="44"/>
  <c r="R745" i="44"/>
  <c r="R554" i="44"/>
  <c r="R639" i="44"/>
  <c r="R79" i="44"/>
  <c r="R550" i="44"/>
  <c r="R15" i="44"/>
  <c r="R182" i="44"/>
  <c r="R235" i="44"/>
  <c r="R783" i="44"/>
  <c r="R272" i="44"/>
  <c r="R559" i="44"/>
  <c r="R213" i="44"/>
  <c r="R601" i="44"/>
  <c r="R668" i="44"/>
  <c r="R824" i="44"/>
  <c r="R535" i="44"/>
  <c r="R288" i="44"/>
  <c r="R796" i="44"/>
  <c r="R587" i="44"/>
  <c r="R202" i="44"/>
  <c r="R120" i="44"/>
  <c r="R636" i="44"/>
  <c r="R652" i="44"/>
  <c r="R571" i="44"/>
  <c r="R612" i="44"/>
  <c r="R688" i="44"/>
  <c r="R162" i="44"/>
  <c r="R294" i="44"/>
  <c r="R868" i="44"/>
  <c r="R534" i="44"/>
  <c r="R256" i="44"/>
  <c r="R57" i="44"/>
  <c r="R127" i="44"/>
  <c r="R375" i="44"/>
  <c r="R751" i="44"/>
  <c r="R431" i="44"/>
  <c r="R526" i="44"/>
  <c r="R199" i="44"/>
  <c r="R809" i="44"/>
  <c r="R305" i="44"/>
  <c r="R528" i="44"/>
  <c r="R233" i="44"/>
  <c r="R865" i="44"/>
  <c r="R304" i="44"/>
  <c r="R427" i="44"/>
  <c r="R561" i="44"/>
  <c r="R125" i="44"/>
  <c r="R635" i="44"/>
  <c r="R189" i="44"/>
  <c r="R392" i="44"/>
  <c r="R781" i="44"/>
  <c r="R84" i="44"/>
  <c r="R19" i="44"/>
  <c r="R479" i="44"/>
  <c r="R43" i="44"/>
  <c r="R37" i="44"/>
  <c r="R862" i="44"/>
  <c r="R485" i="44"/>
  <c r="R511" i="44"/>
  <c r="R447" i="44"/>
  <c r="R527" i="44"/>
  <c r="R422" i="44"/>
  <c r="R52" i="44"/>
  <c r="R229" i="44"/>
  <c r="R869" i="44"/>
  <c r="R138" i="44"/>
  <c r="R773" i="44"/>
  <c r="R860" i="44"/>
  <c r="R804" i="44"/>
  <c r="R195" i="44"/>
  <c r="R814" i="44"/>
  <c r="R197" i="44"/>
  <c r="R851" i="44"/>
  <c r="R483" i="44"/>
  <c r="R208" i="44"/>
  <c r="R471" i="44"/>
  <c r="R581" i="44"/>
  <c r="R358" i="44"/>
  <c r="R128" i="44"/>
  <c r="R870" i="44"/>
  <c r="R724" i="44"/>
  <c r="R51" i="44"/>
  <c r="R324" i="44"/>
  <c r="R165" i="44"/>
  <c r="R829" i="44"/>
  <c r="R478" i="44"/>
  <c r="R854" i="44"/>
  <c r="R377" i="44"/>
  <c r="R94" i="44"/>
  <c r="R775" i="44"/>
  <c r="R800" i="44"/>
  <c r="R620" i="44"/>
  <c r="R430" i="44"/>
  <c r="R770" i="44"/>
  <c r="R547" i="44"/>
  <c r="R664" i="44"/>
  <c r="R325" i="44"/>
  <c r="R516" i="44"/>
  <c r="R691" i="44"/>
  <c r="R640" i="44"/>
  <c r="R445" i="44"/>
  <c r="R274" i="44"/>
  <c r="R777" i="44"/>
  <c r="R225" i="44"/>
  <c r="R531" i="44"/>
  <c r="R210" i="44"/>
  <c r="R647" i="44"/>
  <c r="R729" i="44"/>
  <c r="R675" i="44"/>
  <c r="R533" i="44"/>
  <c r="R290" i="44"/>
  <c r="R696" i="44"/>
  <c r="R201" i="44"/>
  <c r="R404" i="44"/>
  <c r="R442" i="44"/>
  <c r="R71" i="44"/>
  <c r="R367" i="44"/>
  <c r="R633" i="44"/>
  <c r="R650" i="44"/>
  <c r="R391" i="44"/>
  <c r="R504" i="44"/>
  <c r="R60" i="44"/>
  <c r="R490" i="44"/>
  <c r="R778" i="44"/>
  <c r="R557" i="44"/>
  <c r="R374" i="44"/>
  <c r="R698" i="44"/>
  <c r="R776" i="44"/>
  <c r="R618" i="44"/>
  <c r="R713" i="44"/>
  <c r="R295" i="44"/>
  <c r="R206" i="44"/>
  <c r="R394" i="44"/>
  <c r="R626" i="44"/>
  <c r="R107" i="44"/>
  <c r="R100" i="44"/>
  <c r="R790" i="44"/>
  <c r="R835" i="44"/>
  <c r="R48" i="44"/>
  <c r="R599" i="44"/>
  <c r="R786" i="44"/>
  <c r="R681" i="44"/>
  <c r="R750" i="44"/>
  <c r="R393" i="44"/>
  <c r="R191" i="44"/>
  <c r="R444" i="44"/>
  <c r="R18" i="44"/>
  <c r="R498" i="44"/>
  <c r="R648" i="44"/>
  <c r="R481" i="44"/>
  <c r="R619" i="44"/>
  <c r="R296" i="44"/>
  <c r="R172" i="44"/>
  <c r="R474" i="44"/>
  <c r="R812" i="44"/>
  <c r="R665" i="44"/>
  <c r="R683" i="44"/>
  <c r="R699" i="44"/>
  <c r="R779" i="44"/>
  <c r="R336" i="44"/>
  <c r="R335" i="44"/>
  <c r="R151" i="44"/>
  <c r="R459" i="44"/>
  <c r="R310" i="44"/>
  <c r="R658" i="44"/>
  <c r="R54" i="44"/>
  <c r="R621" i="44"/>
  <c r="R661" i="44"/>
  <c r="R830" i="44"/>
  <c r="R853" i="44"/>
  <c r="R17" i="44"/>
  <c r="P548" i="44"/>
  <c r="P206" i="44"/>
  <c r="P411" i="44"/>
  <c r="P364" i="44"/>
  <c r="P48" i="44"/>
  <c r="P89" i="44"/>
  <c r="P574" i="44"/>
  <c r="P746" i="44"/>
  <c r="P159" i="44"/>
  <c r="P477" i="44"/>
  <c r="P99" i="44"/>
  <c r="P550" i="44"/>
  <c r="P197" i="44"/>
  <c r="P437" i="44"/>
  <c r="P679" i="44"/>
  <c r="P126" i="44"/>
  <c r="P474" i="44"/>
  <c r="P242" i="44"/>
  <c r="P340" i="44"/>
  <c r="P246" i="44"/>
  <c r="P256" i="44"/>
  <c r="P85" i="44"/>
  <c r="P58" i="44"/>
  <c r="P502" i="44"/>
  <c r="P61" i="44"/>
  <c r="P540" i="44"/>
  <c r="P431" i="44"/>
  <c r="P860" i="44"/>
  <c r="P829" i="44"/>
  <c r="P764" i="44"/>
  <c r="P264" i="44"/>
  <c r="P527" i="44"/>
  <c r="P651" i="44"/>
  <c r="P782" i="44"/>
  <c r="P856" i="44"/>
  <c r="P616" i="44"/>
  <c r="P613" i="44"/>
  <c r="P844" i="44"/>
  <c r="P127" i="44"/>
  <c r="P678" i="44"/>
  <c r="P582" i="44"/>
  <c r="P382" i="44"/>
  <c r="P612" i="44"/>
  <c r="P865" i="44"/>
  <c r="P772" i="44"/>
  <c r="P701" i="44"/>
  <c r="P822" i="44"/>
  <c r="P656" i="44"/>
  <c r="P283" i="44"/>
  <c r="P835" i="44"/>
  <c r="P739" i="44"/>
  <c r="P444" i="44"/>
  <c r="P694" i="44"/>
  <c r="P832" i="44"/>
  <c r="P604" i="44"/>
  <c r="P579" i="44"/>
  <c r="P357" i="44"/>
  <c r="P327" i="44"/>
  <c r="P217" i="44"/>
  <c r="P479" i="44"/>
  <c r="P466" i="44"/>
  <c r="P696" i="44"/>
  <c r="P713" i="44"/>
  <c r="P149" i="44"/>
  <c r="P421" i="44"/>
  <c r="P868" i="44"/>
  <c r="P395" i="44"/>
  <c r="P509" i="44"/>
  <c r="Q141" i="44"/>
  <c r="Q486" i="44"/>
  <c r="Q451" i="44"/>
  <c r="Q372" i="44"/>
  <c r="Q836" i="44"/>
  <c r="Q505" i="44"/>
  <c r="Q294" i="44"/>
  <c r="Q735" i="44"/>
  <c r="Q824" i="44"/>
  <c r="Q55" i="44"/>
  <c r="Q232" i="44"/>
  <c r="Q798" i="44"/>
  <c r="Q502" i="44"/>
  <c r="Q452" i="44"/>
  <c r="Q58" i="44"/>
  <c r="Q793" i="44"/>
  <c r="Q444" i="44"/>
  <c r="Q411" i="44"/>
  <c r="P257" i="44"/>
  <c r="P512" i="44"/>
  <c r="P239" i="44"/>
  <c r="P233" i="44"/>
  <c r="P32" i="44"/>
  <c r="P11" i="44"/>
  <c r="P244" i="44"/>
  <c r="P455" i="44"/>
  <c r="P88" i="44"/>
  <c r="P526" i="44"/>
  <c r="P337" i="44"/>
  <c r="P278" i="44"/>
  <c r="P53" i="44"/>
  <c r="P343" i="44"/>
  <c r="P307" i="44"/>
  <c r="P174" i="44"/>
  <c r="P124" i="44"/>
  <c r="P184" i="44"/>
  <c r="P661" i="44"/>
  <c r="P335" i="44"/>
  <c r="P523" i="44"/>
  <c r="P473" i="44"/>
  <c r="P493" i="44"/>
  <c r="P560" i="44"/>
  <c r="P12" i="44"/>
  <c r="P682" i="44"/>
  <c r="P328" i="44"/>
  <c r="P836" i="44"/>
  <c r="P618" i="44"/>
  <c r="P358" i="44"/>
  <c r="P86" i="44"/>
  <c r="P425" i="44"/>
  <c r="P468" i="44"/>
  <c r="P830" i="44"/>
  <c r="P659" i="44"/>
  <c r="P817" i="44"/>
  <c r="P718" i="44"/>
  <c r="P394" i="44"/>
  <c r="P728" i="44"/>
  <c r="P685" i="44"/>
  <c r="P372" i="44"/>
  <c r="P584" i="44"/>
  <c r="P354" i="44"/>
  <c r="P706" i="44"/>
  <c r="P756" i="44"/>
  <c r="P839" i="44"/>
  <c r="P700" i="44"/>
  <c r="P717" i="44"/>
  <c r="P629" i="44"/>
  <c r="P762" i="44"/>
  <c r="P674" i="44"/>
  <c r="P708" i="44"/>
  <c r="P624" i="44"/>
  <c r="P723" i="44"/>
  <c r="P628" i="44"/>
  <c r="P448" i="44"/>
  <c r="P87" i="44"/>
  <c r="P97" i="44"/>
  <c r="P20" i="44"/>
  <c r="P530" i="44"/>
  <c r="P699" i="44"/>
  <c r="P440" i="44"/>
  <c r="P808" i="44"/>
  <c r="P131" i="44"/>
  <c r="P589" i="44"/>
  <c r="P322" i="44"/>
  <c r="Q765" i="44"/>
  <c r="Q364" i="44"/>
  <c r="Q476" i="44"/>
  <c r="Q245" i="44"/>
  <c r="Q102" i="44"/>
  <c r="Q725" i="44"/>
  <c r="Q397" i="44"/>
  <c r="Q682" i="44"/>
  <c r="Q659" i="44"/>
  <c r="Q91" i="44"/>
  <c r="Q792" i="44"/>
  <c r="Q843" i="44"/>
  <c r="Q480" i="44"/>
  <c r="Q183" i="44"/>
  <c r="Q236" i="44"/>
  <c r="Q780" i="44"/>
  <c r="Q550" i="44"/>
  <c r="Q172" i="44"/>
  <c r="P572" i="44"/>
  <c r="P775" i="44"/>
  <c r="P705" i="44"/>
  <c r="P385" i="44"/>
  <c r="P615" i="44"/>
  <c r="P262" i="44"/>
  <c r="P495" i="44"/>
  <c r="P392" i="44"/>
  <c r="P520" i="44"/>
  <c r="P105" i="44"/>
  <c r="P662" i="44"/>
  <c r="P22" i="44"/>
  <c r="P633" i="44"/>
  <c r="P211" i="44"/>
  <c r="P133" i="44"/>
  <c r="P433" i="44"/>
  <c r="P360" i="44"/>
  <c r="P690" i="44"/>
  <c r="P681" i="44"/>
  <c r="P684" i="44"/>
  <c r="P380" i="44"/>
  <c r="P129" i="44"/>
  <c r="P36" i="44"/>
  <c r="P619" i="44"/>
  <c r="P374" i="44"/>
  <c r="P716" i="44"/>
  <c r="P534" i="44"/>
  <c r="P186" i="44"/>
  <c r="P565" i="44"/>
  <c r="Q681" i="44"/>
  <c r="Q488" i="44"/>
  <c r="Q815" i="44"/>
  <c r="Q495" i="44"/>
  <c r="Q838" i="44"/>
  <c r="Q336" i="44"/>
  <c r="Q227" i="44"/>
  <c r="Q829" i="44"/>
  <c r="Q710" i="44"/>
  <c r="Q661" i="44"/>
  <c r="Q832" i="44"/>
  <c r="Q855" i="44"/>
  <c r="Q380" i="44"/>
  <c r="Q42" i="44"/>
  <c r="Q29" i="44"/>
  <c r="Q386" i="44"/>
  <c r="Q617" i="44"/>
  <c r="Q357" i="44"/>
  <c r="Q801" i="44"/>
  <c r="Q48" i="44"/>
  <c r="Q150" i="44"/>
  <c r="Q118" i="44"/>
  <c r="Q556" i="44"/>
  <c r="Q383" i="44"/>
  <c r="Q555" i="44"/>
  <c r="Q552" i="44"/>
  <c r="Q473" i="44"/>
  <c r="Q522" i="44"/>
  <c r="Q666" i="44"/>
  <c r="Q189" i="44"/>
  <c r="Q748" i="44"/>
  <c r="Q369" i="44"/>
  <c r="Q457" i="44"/>
  <c r="Q252" i="44"/>
  <c r="Q647" i="44"/>
  <c r="Q623" i="44"/>
  <c r="Q677" i="44"/>
  <c r="Q729" i="44"/>
  <c r="Q403" i="44"/>
  <c r="Q226" i="44"/>
  <c r="Q439" i="44"/>
  <c r="Q595" i="44"/>
  <c r="Q861" i="44"/>
  <c r="Q250" i="44"/>
  <c r="Q331" i="44"/>
  <c r="Q826" i="44"/>
  <c r="Q43" i="44"/>
  <c r="Q465" i="44"/>
  <c r="Q835" i="44"/>
  <c r="Q171" i="44"/>
  <c r="Q471" i="44"/>
  <c r="Q373" i="44"/>
  <c r="Q80" i="44"/>
  <c r="Q374" i="44"/>
  <c r="Q641" i="44"/>
  <c r="Q564" i="44"/>
  <c r="Q493" i="44"/>
  <c r="Q75" i="44"/>
  <c r="Q281" i="44"/>
  <c r="Q195" i="44"/>
  <c r="Q24" i="44"/>
  <c r="Q143" i="44"/>
  <c r="Q830" i="44"/>
  <c r="Q208" i="44"/>
  <c r="Q542" i="44"/>
  <c r="Q274" i="44"/>
  <c r="Q261" i="44"/>
  <c r="P298" i="44"/>
  <c r="P163" i="44"/>
  <c r="P118" i="44"/>
  <c r="P164" i="44"/>
  <c r="P247" i="44"/>
  <c r="P827" i="44"/>
  <c r="P641" i="44"/>
  <c r="P549" i="44"/>
  <c r="P800" i="44"/>
  <c r="P183" i="44"/>
  <c r="P130" i="44"/>
  <c r="P791" i="44"/>
  <c r="P620" i="44"/>
  <c r="P683" i="44"/>
  <c r="P334" i="44"/>
  <c r="P258" i="44"/>
  <c r="P166" i="44"/>
  <c r="P531" i="44"/>
  <c r="Q551" i="44"/>
  <c r="Q709" i="44"/>
  <c r="Q131" i="44"/>
  <c r="Q747" i="44"/>
  <c r="Q490" i="44"/>
  <c r="Q270" i="44"/>
  <c r="Q469" i="44"/>
  <c r="Q228" i="44"/>
  <c r="Q225" i="44"/>
  <c r="Q243" i="44"/>
  <c r="Q347" i="44"/>
  <c r="Q15" i="44"/>
  <c r="Q133" i="44"/>
  <c r="Q869" i="44"/>
  <c r="Q454" i="44"/>
  <c r="Q72" i="44"/>
  <c r="Q253" i="44"/>
  <c r="Q640" i="44"/>
  <c r="Q197" i="44"/>
  <c r="Q691" i="44"/>
  <c r="Q191" i="44"/>
  <c r="Q499" i="44"/>
  <c r="Q415" i="44"/>
  <c r="Q81" i="44"/>
  <c r="Q54" i="44"/>
  <c r="Q662" i="44"/>
  <c r="Q752" i="44"/>
  <c r="Q565" i="44"/>
  <c r="Q113" i="44"/>
  <c r="Q860" i="44"/>
  <c r="Q781" i="44"/>
  <c r="Q211" i="44"/>
  <c r="Q376" i="44"/>
  <c r="Q182" i="44"/>
  <c r="Q234" i="44"/>
  <c r="Q856" i="44"/>
  <c r="Q668" i="44"/>
  <c r="Q247" i="44"/>
  <c r="Q87" i="44"/>
  <c r="Q431" i="44"/>
  <c r="Q235" i="44"/>
  <c r="Q707" i="44"/>
  <c r="Q870" i="44"/>
  <c r="Q206" i="44"/>
  <c r="Q295" i="44"/>
  <c r="Q481" i="44"/>
  <c r="Q655" i="44"/>
  <c r="Q254" i="44"/>
  <c r="Q53" i="44"/>
  <c r="Q327" i="44"/>
  <c r="Q310" i="44"/>
  <c r="Q146" i="44"/>
  <c r="Q514" i="44"/>
  <c r="Q41" i="44"/>
  <c r="Q671" i="44"/>
  <c r="Q399" i="44"/>
  <c r="Q467" i="44"/>
  <c r="Q179" i="44"/>
  <c r="Q701" i="44"/>
  <c r="Q398" i="44"/>
  <c r="Q672" i="44"/>
  <c r="Q687" i="44"/>
  <c r="Q391" i="44"/>
  <c r="Q563" i="44"/>
  <c r="Q485" i="44"/>
  <c r="Q850" i="44"/>
  <c r="Q181" i="44"/>
  <c r="Q796" i="44"/>
  <c r="Q774" i="44"/>
  <c r="Q400" i="44"/>
  <c r="Q46" i="44"/>
  <c r="Q352" i="44"/>
  <c r="Q110" i="44"/>
  <c r="Q287" i="44"/>
  <c r="Q414" i="44"/>
  <c r="Q86" i="44"/>
  <c r="Q520" i="44"/>
  <c r="Q365" i="44"/>
  <c r="Q60" i="44"/>
  <c r="Q669" i="44"/>
  <c r="Q14" i="44"/>
  <c r="Q277" i="44"/>
  <c r="Q586" i="44"/>
  <c r="Q422" i="44"/>
  <c r="Q665" i="44"/>
  <c r="Q346" i="44"/>
  <c r="Q442" i="44"/>
  <c r="Q702" i="44"/>
  <c r="Q651" i="44"/>
  <c r="Q628" i="44"/>
  <c r="Q305" i="44"/>
  <c r="Q549" i="44"/>
  <c r="Q769" i="44"/>
  <c r="Q579" i="44"/>
  <c r="Q416" i="44"/>
  <c r="Q446" i="44"/>
  <c r="Q554" i="44"/>
  <c r="Q424" i="44"/>
  <c r="Q306" i="44"/>
  <c r="Q851" i="44"/>
  <c r="Q684" i="44"/>
  <c r="Q285" i="44"/>
  <c r="Q558" i="44"/>
  <c r="Q112" i="44"/>
  <c r="Q773" i="44"/>
  <c r="Q246" i="44"/>
  <c r="Q642" i="44"/>
  <c r="Q203" i="44"/>
  <c r="Q239" i="44"/>
  <c r="Q339" i="44"/>
  <c r="Q93" i="44"/>
  <c r="Q657" i="44"/>
  <c r="Q297" i="44"/>
  <c r="Q166" i="44"/>
  <c r="Q557" i="44"/>
  <c r="Q322" i="44"/>
  <c r="Q360" i="44"/>
  <c r="Q68" i="44"/>
  <c r="Q516" i="44"/>
  <c r="Q38" i="44"/>
  <c r="Q62" i="44"/>
  <c r="Q840" i="44"/>
  <c r="Q163" i="44"/>
  <c r="Q568" i="44"/>
  <c r="Q430" i="44"/>
  <c r="Q459" i="44"/>
  <c r="Q575" i="44"/>
  <c r="Q629" i="44"/>
  <c r="Q317" i="44"/>
  <c r="Q787" i="44"/>
  <c r="Q590" i="44"/>
  <c r="Q733" i="44"/>
  <c r="Q538" i="44"/>
  <c r="Q99" i="44"/>
  <c r="Q257" i="44"/>
  <c r="Q695" i="44"/>
  <c r="Q461" i="44"/>
  <c r="Q848" i="44"/>
  <c r="Q697" i="44"/>
  <c r="Q605" i="44"/>
  <c r="P677" i="44"/>
  <c r="P274" i="44"/>
  <c r="P21" i="44"/>
  <c r="P271" i="44"/>
  <c r="P377" i="44"/>
  <c r="P598" i="44"/>
  <c r="P793" i="44"/>
  <c r="P605" i="44"/>
  <c r="P417" i="44"/>
  <c r="P301" i="44"/>
  <c r="P173" i="44"/>
  <c r="P508" i="44"/>
  <c r="P820" i="44"/>
  <c r="P588" i="44"/>
  <c r="P376" i="44"/>
  <c r="P176" i="44"/>
  <c r="P30" i="44"/>
  <c r="Q300" i="44"/>
  <c r="Q88" i="44"/>
  <c r="Q799" i="44"/>
  <c r="Q343" i="44"/>
  <c r="Q637" i="44"/>
  <c r="Q754" i="44"/>
  <c r="Q323" i="44"/>
  <c r="Q286" i="44"/>
  <c r="Q22" i="44"/>
  <c r="Q328" i="44"/>
  <c r="Q759" i="44"/>
  <c r="Q658" i="44"/>
  <c r="Q278" i="44"/>
  <c r="Q776" i="44"/>
  <c r="Q468" i="44"/>
  <c r="Q233" i="44"/>
  <c r="Q688" i="44"/>
  <c r="Q841" i="44"/>
  <c r="Q405" i="44"/>
  <c r="Q732" i="44"/>
  <c r="Q680" i="44"/>
  <c r="Q212" i="44"/>
  <c r="Q711" i="44"/>
  <c r="Q775" i="44"/>
  <c r="Q149" i="44"/>
  <c r="Q786" i="44"/>
  <c r="Q794" i="44"/>
  <c r="Q63" i="44"/>
  <c r="Q256" i="44"/>
  <c r="Q412" i="44"/>
  <c r="Q114" i="44"/>
  <c r="Q705" i="44"/>
  <c r="Q730" i="44"/>
  <c r="Q201" i="44"/>
  <c r="Q782" i="44"/>
  <c r="Q190" i="44"/>
  <c r="Q750" i="44"/>
  <c r="Q670" i="44"/>
  <c r="Q618" i="44"/>
  <c r="Q458" i="44"/>
  <c r="Q606" i="44"/>
  <c r="Q718" i="44"/>
  <c r="Q527" i="44"/>
  <c r="Q529" i="44"/>
  <c r="Q255" i="44"/>
  <c r="Q620" i="44"/>
  <c r="Q103" i="44"/>
  <c r="Q456" i="44"/>
  <c r="Q685" i="44"/>
  <c r="Q599" i="44"/>
  <c r="Q394" i="44"/>
  <c r="Q592" i="44"/>
  <c r="Q501" i="44"/>
  <c r="Q510" i="44"/>
  <c r="Q147" i="44"/>
  <c r="Q348" i="44"/>
  <c r="Q728" i="44"/>
  <c r="Q116" i="44"/>
  <c r="Q865" i="44"/>
  <c r="Q817" i="44"/>
  <c r="Q109" i="44"/>
  <c r="Q455" i="44"/>
  <c r="Q370" i="44"/>
  <c r="Q219" i="44"/>
  <c r="Q800" i="44"/>
  <c r="Q162" i="44"/>
  <c r="Q388" i="44"/>
  <c r="P850" i="44"/>
  <c r="P414" i="44"/>
  <c r="P228" i="44"/>
  <c r="P359" i="44"/>
  <c r="P765" i="44"/>
  <c r="P379" i="44"/>
  <c r="P741" i="44"/>
  <c r="P592" i="44"/>
  <c r="P725" i="44"/>
  <c r="P406" i="44"/>
  <c r="P31" i="44"/>
  <c r="P453" i="44"/>
  <c r="P578" i="44"/>
  <c r="P338" i="44"/>
  <c r="P462" i="44"/>
  <c r="P393" i="44"/>
  <c r="P349" i="44"/>
  <c r="P47" i="44"/>
  <c r="Q686" i="44"/>
  <c r="Q40" i="44"/>
  <c r="Q763" i="44"/>
  <c r="Q492" i="44"/>
  <c r="Q95" i="44"/>
  <c r="Q387" i="44"/>
  <c r="Q155" i="44"/>
  <c r="Q94" i="44"/>
  <c r="Q615" i="44"/>
  <c r="Q608" i="44"/>
  <c r="Q506" i="44"/>
  <c r="Q741" i="44"/>
  <c r="Q739" i="44"/>
  <c r="Q751" i="44"/>
  <c r="Q546" i="44"/>
  <c r="Q532" i="44"/>
  <c r="Q366" i="44"/>
  <c r="Q98" i="44"/>
  <c r="Q694" i="44"/>
  <c r="Q515" i="44"/>
  <c r="Q282" i="44"/>
  <c r="Q756" i="44"/>
  <c r="Q847" i="44"/>
  <c r="Q363" i="44"/>
  <c r="Q330" i="44"/>
  <c r="Q290" i="44"/>
  <c r="Q539" i="44"/>
  <c r="Q713" i="44"/>
  <c r="Q33" i="44"/>
  <c r="Q543" i="44"/>
  <c r="Q230" i="44"/>
  <c r="Q207" i="44"/>
  <c r="Q136" i="44"/>
  <c r="Q307" i="44"/>
  <c r="Q16" i="44"/>
  <c r="Q218" i="44"/>
  <c r="Q25" i="44"/>
  <c r="Q683" i="44"/>
  <c r="Q32" i="44"/>
  <c r="Q435" i="44"/>
  <c r="Q311" i="44"/>
  <c r="Q124" i="44"/>
  <c r="Q863" i="44"/>
  <c r="Q834" i="44"/>
  <c r="Q139" i="44"/>
  <c r="Q678" i="44"/>
  <c r="Q164" i="44"/>
  <c r="Q811" i="44"/>
  <c r="Q812" i="44"/>
  <c r="Q766" i="44"/>
  <c r="Q341" i="44"/>
  <c r="Q263" i="44"/>
  <c r="Q28" i="44"/>
  <c r="Q582" i="44"/>
  <c r="Q184" i="44"/>
  <c r="Q402" i="44"/>
  <c r="Q273" i="44"/>
  <c r="Q85" i="44"/>
  <c r="Q186" i="44"/>
  <c r="Q731" i="44"/>
  <c r="Q309" i="44"/>
  <c r="Q737" i="44"/>
  <c r="Q213" i="44"/>
  <c r="Q145" i="44"/>
  <c r="Q319" i="44"/>
  <c r="P434" i="44"/>
  <c r="P593" i="44"/>
  <c r="P326" i="44"/>
  <c r="P106" i="44"/>
  <c r="P81" i="44"/>
  <c r="P518" i="44"/>
  <c r="P676" i="44"/>
  <c r="P595" i="44"/>
  <c r="P625" i="44"/>
  <c r="P481" i="44"/>
  <c r="P506" i="44"/>
  <c r="P478" i="44"/>
  <c r="P814" i="44"/>
  <c r="P401" i="44"/>
  <c r="P737" i="44"/>
  <c r="P34" i="44"/>
  <c r="P72" i="44"/>
  <c r="P119" i="44"/>
  <c r="Q291" i="44"/>
  <c r="Q489" i="44"/>
  <c r="Q262" i="44"/>
  <c r="Q101" i="44"/>
  <c r="Q464" i="44"/>
  <c r="Q30" i="44"/>
  <c r="Q193" i="44"/>
  <c r="Q714" i="44"/>
  <c r="Q199" i="44"/>
  <c r="Q784" i="44"/>
  <c r="Q673" i="44"/>
  <c r="Q753" i="44"/>
  <c r="Q596" i="44"/>
  <c r="Q381" i="44"/>
  <c r="Q639" i="44"/>
  <c r="Q858" i="44"/>
  <c r="Q37" i="44"/>
  <c r="Q160" i="44"/>
  <c r="Q106" i="44"/>
  <c r="Q302" i="44"/>
  <c r="Q129" i="44"/>
  <c r="Q170" i="44"/>
  <c r="Q500" i="44"/>
  <c r="Q299" i="44"/>
  <c r="Q630" i="44"/>
  <c r="Q356" i="44"/>
  <c r="Q547" i="44"/>
  <c r="Q242" i="44"/>
  <c r="Q450" i="44"/>
  <c r="Q625" i="44"/>
  <c r="Q209" i="44"/>
  <c r="Q783" i="44"/>
  <c r="Q332" i="44"/>
  <c r="Q31" i="44"/>
  <c r="Q643" i="44"/>
  <c r="Q541" i="44"/>
  <c r="Q562" i="44"/>
  <c r="Q819" i="44"/>
  <c r="Q864" i="44"/>
  <c r="Q833" i="44"/>
  <c r="Q379" i="44"/>
  <c r="Q229" i="44"/>
  <c r="Q214" i="44"/>
  <c r="Q237" i="44"/>
  <c r="Q528" i="44"/>
  <c r="Q790" i="44"/>
  <c r="Q64" i="44"/>
  <c r="Q333" i="44"/>
  <c r="Q778" i="44"/>
  <c r="Q192" i="44"/>
  <c r="Q409" i="44"/>
  <c r="Q700" i="44"/>
  <c r="Q175" i="44"/>
  <c r="Q426" i="44"/>
  <c r="Q340" i="44"/>
  <c r="Q633" i="44"/>
  <c r="Q73" i="44"/>
  <c r="Q324" i="44"/>
  <c r="Q521" i="44"/>
  <c r="Q142" i="44"/>
  <c r="Q126" i="44"/>
  <c r="Q453" i="44"/>
  <c r="Q746" i="44"/>
  <c r="Q308" i="44"/>
  <c r="Q393" i="44"/>
  <c r="Q89" i="44"/>
  <c r="P54" i="44"/>
  <c r="P59" i="44"/>
  <c r="P636" i="44"/>
  <c r="P238" i="44"/>
  <c r="P543" i="44"/>
  <c r="P426" i="44"/>
  <c r="P420" i="44"/>
  <c r="P774" i="44"/>
  <c r="P383" i="44"/>
  <c r="P400" i="44"/>
  <c r="P490" i="44"/>
  <c r="P655" i="44"/>
  <c r="P74" i="44"/>
  <c r="P325" i="44"/>
  <c r="P192" i="44"/>
  <c r="P92" i="44"/>
  <c r="Q803" i="44"/>
  <c r="Q821" i="44"/>
  <c r="Q123" i="44"/>
  <c r="Q536" i="44"/>
  <c r="Q292" i="44"/>
  <c r="Q90" i="44"/>
  <c r="Q507" i="44"/>
  <c r="Q679" i="44"/>
  <c r="Q419" i="44"/>
  <c r="Q740" i="44"/>
  <c r="Q78" i="44"/>
  <c r="Q667" i="44"/>
  <c r="Q726" i="44"/>
  <c r="Q316" i="44"/>
  <c r="Q50" i="44"/>
  <c r="Q329" i="44"/>
  <c r="Q204" i="44"/>
  <c r="Q511" i="44"/>
  <c r="Q314" i="44"/>
  <c r="Q70" i="44"/>
  <c r="Q797" i="44"/>
  <c r="Q703" i="44"/>
  <c r="Q770" i="44"/>
  <c r="Q259" i="44"/>
  <c r="Q460" i="44"/>
  <c r="Q153" i="44"/>
  <c r="Q429" i="44"/>
  <c r="Q396" i="44"/>
  <c r="Q749" i="44"/>
  <c r="Q482" i="44"/>
  <c r="Q816" i="44"/>
  <c r="Q791" i="44"/>
  <c r="Q151" i="44"/>
  <c r="Q107" i="44"/>
  <c r="Q535" i="44"/>
  <c r="Q385" i="44"/>
  <c r="Q20" i="44"/>
  <c r="Q724" i="44"/>
  <c r="Q654" i="44"/>
  <c r="Q777" i="44"/>
  <c r="Q342" i="44"/>
  <c r="Q653" i="44"/>
  <c r="Q428" i="44"/>
  <c r="Q35" i="44"/>
  <c r="Q820" i="44"/>
  <c r="Q26" i="44"/>
  <c r="Q716" i="44"/>
  <c r="Q690" i="44"/>
  <c r="Q194" i="44"/>
  <c r="Q441" i="44"/>
  <c r="Q169" i="44"/>
  <c r="Q804" i="44"/>
  <c r="Q117" i="44"/>
  <c r="Q474" i="44"/>
  <c r="Q249" i="44"/>
  <c r="Q638" i="44"/>
  <c r="Q18" i="44"/>
  <c r="Q808" i="44"/>
  <c r="Q497" i="44"/>
  <c r="Q382" i="44"/>
  <c r="Q368" i="44"/>
  <c r="Q13" i="44"/>
  <c r="Q49" i="44"/>
  <c r="Q23" i="44"/>
  <c r="P158" i="44"/>
  <c r="P544" i="44"/>
  <c r="P17" i="44"/>
  <c r="P488" i="44"/>
  <c r="P333" i="44"/>
  <c r="P150" i="44"/>
  <c r="P82" i="44"/>
  <c r="P735" i="44"/>
  <c r="P532" i="44"/>
  <c r="P602" i="44"/>
  <c r="P281" i="44"/>
  <c r="P766" i="44"/>
  <c r="P611" i="44"/>
  <c r="P476" i="44"/>
  <c r="P304" i="44"/>
  <c r="P94" i="44"/>
  <c r="P27" i="44"/>
  <c r="P653" i="44"/>
  <c r="P291" i="44"/>
  <c r="P812" i="44"/>
  <c r="P504" i="44"/>
  <c r="P784" i="44"/>
  <c r="P514" i="44"/>
  <c r="P13" i="44"/>
  <c r="P136" i="44"/>
  <c r="P563" i="44"/>
  <c r="P280" i="44"/>
  <c r="P187" i="44"/>
  <c r="P539" i="44"/>
  <c r="P487" i="44"/>
  <c r="P665" i="44"/>
  <c r="P352" i="44"/>
  <c r="P657" i="44"/>
  <c r="P513" i="44"/>
  <c r="P154" i="44"/>
  <c r="P190" i="44"/>
  <c r="P125" i="44"/>
  <c r="P346" i="44"/>
  <c r="P113" i="44"/>
  <c r="P680" i="44"/>
  <c r="P231" i="44"/>
  <c r="P742" i="44"/>
  <c r="P669" i="44"/>
  <c r="P798" i="44"/>
  <c r="P581" i="44"/>
  <c r="P862" i="44"/>
  <c r="P26" i="44"/>
  <c r="P232" i="44"/>
  <c r="P761" i="44"/>
  <c r="P803" i="44"/>
  <c r="P770" i="44"/>
  <c r="P828" i="44"/>
  <c r="P794" i="44"/>
  <c r="P318" i="44"/>
  <c r="P436" i="44"/>
  <c r="P841" i="44"/>
  <c r="P797" i="44"/>
  <c r="P759" i="44"/>
  <c r="P33" i="44"/>
  <c r="P796" i="44"/>
  <c r="P792" i="44"/>
  <c r="P795" i="44"/>
  <c r="P809" i="44"/>
  <c r="P804" i="44"/>
  <c r="P760" i="44"/>
  <c r="P643" i="44"/>
  <c r="P529" i="44"/>
  <c r="P480" i="44"/>
  <c r="P753" i="44"/>
  <c r="P55" i="44"/>
  <c r="P722" i="44"/>
  <c r="P351" i="44"/>
  <c r="P245" i="44"/>
  <c r="P212" i="44"/>
  <c r="P568" i="44"/>
  <c r="P261" i="44"/>
  <c r="P156" i="44"/>
  <c r="P18" i="44"/>
  <c r="P60" i="44"/>
  <c r="P146" i="44"/>
  <c r="P564" i="44"/>
  <c r="P259" i="44"/>
  <c r="P203" i="44"/>
  <c r="P497" i="44"/>
  <c r="P441" i="44"/>
  <c r="P551" i="44"/>
  <c r="P537" i="44"/>
  <c r="P341" i="44"/>
  <c r="P196" i="44"/>
  <c r="P57" i="44"/>
  <c r="P208" i="44"/>
  <c r="P157" i="44"/>
  <c r="P567" i="44"/>
  <c r="P606" i="44"/>
  <c r="P240" i="44"/>
  <c r="P492" i="44"/>
  <c r="P350" i="44"/>
  <c r="P286" i="44"/>
  <c r="P195" i="44"/>
  <c r="P193" i="44"/>
  <c r="P170" i="44"/>
  <c r="P289" i="44"/>
  <c r="P533" i="44"/>
  <c r="P302" i="44"/>
  <c r="P79" i="44"/>
  <c r="P458" i="44"/>
  <c r="P49" i="44"/>
  <c r="P28" i="44"/>
  <c r="P848" i="44"/>
  <c r="P387" i="44"/>
  <c r="P249" i="44"/>
  <c r="P566" i="44"/>
  <c r="P600" i="44"/>
  <c r="P838" i="44"/>
  <c r="P500" i="44"/>
  <c r="P583" i="44"/>
  <c r="P521" i="44"/>
  <c r="P41" i="44"/>
  <c r="P649" i="44"/>
  <c r="P675" i="44"/>
  <c r="P507" i="44"/>
  <c r="P688" i="44"/>
  <c r="P375" i="44"/>
  <c r="P295" i="44"/>
  <c r="P201" i="44"/>
  <c r="P109" i="44"/>
  <c r="P160" i="44"/>
  <c r="P273" i="44"/>
  <c r="P216" i="44"/>
  <c r="P570" i="44"/>
  <c r="Q84" i="44"/>
  <c r="Q674" i="44"/>
  <c r="Q584" i="44"/>
  <c r="Q105" i="44"/>
  <c r="Q533" i="44"/>
  <c r="Q434" i="44"/>
  <c r="Q283" i="44"/>
  <c r="Q813" i="44"/>
  <c r="Q727" i="44"/>
  <c r="Q267" i="44"/>
  <c r="Q831" i="44"/>
  <c r="Q264" i="44"/>
  <c r="Q622" i="44"/>
  <c r="Q301" i="44"/>
  <c r="Q853" i="44"/>
  <c r="Q231" i="44"/>
  <c r="Q589" i="44"/>
  <c r="Q768" i="44"/>
  <c r="Q157" i="44"/>
  <c r="Q614" i="44"/>
  <c r="Q39" i="44"/>
  <c r="Q161" i="44"/>
  <c r="Q508" i="44"/>
  <c r="Q597" i="44"/>
  <c r="Q844" i="44"/>
  <c r="Q837" i="44"/>
  <c r="Q423" i="44"/>
  <c r="Q83" i="44"/>
  <c r="Q279" i="44"/>
  <c r="Q868" i="44"/>
  <c r="Q198" i="44"/>
  <c r="Q757" i="44"/>
  <c r="Q92" i="44"/>
  <c r="Q121" i="44"/>
  <c r="Q512" i="44"/>
  <c r="Q576" i="44"/>
  <c r="Q449" i="44"/>
  <c r="Q607" i="44"/>
  <c r="Q44" i="44"/>
  <c r="Q649" i="44"/>
  <c r="Q580" i="44"/>
  <c r="Q437" i="44"/>
  <c r="Q862" i="44"/>
  <c r="Q612" i="44"/>
  <c r="Q859" i="44"/>
  <c r="Q436" i="44"/>
  <c r="Q77" i="44"/>
  <c r="Q496" i="44"/>
  <c r="Q337" i="44"/>
  <c r="Q524" i="44"/>
  <c r="Q19" i="44"/>
  <c r="Q359" i="44"/>
  <c r="Q148" i="44"/>
  <c r="Q159" i="44"/>
  <c r="Q530" i="44"/>
  <c r="Q438" i="44"/>
  <c r="Q217" i="44"/>
  <c r="Q722" i="44"/>
  <c r="Q304" i="44"/>
  <c r="Q445" i="44"/>
  <c r="Q743" i="44"/>
  <c r="Q583" i="44"/>
  <c r="Q375" i="44"/>
  <c r="Q574" i="44"/>
  <c r="Q548" i="44"/>
  <c r="Q619" i="44"/>
  <c r="Q266" i="44"/>
  <c r="Q180" i="44"/>
  <c r="Q479" i="44"/>
  <c r="Q335" i="44"/>
  <c r="Q165" i="44"/>
  <c r="Q839" i="44"/>
  <c r="Q645" i="44"/>
  <c r="Q154" i="44"/>
  <c r="Q238" i="44"/>
  <c r="Q591" i="44"/>
  <c r="Q325" i="44"/>
  <c r="Q827" i="44"/>
  <c r="Q866" i="44"/>
  <c r="Q447" i="44"/>
  <c r="Q21" i="44"/>
  <c r="Q635" i="44"/>
  <c r="Q624" i="44"/>
  <c r="Q205" i="44"/>
  <c r="Q111" i="44"/>
  <c r="Q715" i="44"/>
  <c r="Q338" i="44"/>
  <c r="Q616" i="44"/>
  <c r="Q572" i="44"/>
  <c r="Q284" i="44"/>
  <c r="Q475" i="44"/>
  <c r="Q100" i="44"/>
  <c r="Q764" i="44"/>
  <c r="Q108" i="44"/>
  <c r="Q269" i="44"/>
  <c r="Q51" i="44"/>
  <c r="Q293" i="44"/>
  <c r="Q632" i="44"/>
  <c r="Q567" i="44"/>
  <c r="Q349" i="44"/>
  <c r="Q156" i="44"/>
  <c r="Q320" i="44"/>
  <c r="Q771" i="44"/>
  <c r="Q537" i="44"/>
  <c r="Q130" i="44"/>
  <c r="Q603" i="44"/>
  <c r="Q443" i="44"/>
  <c r="Q818" i="44"/>
  <c r="Q404" i="44"/>
  <c r="Q483" i="44"/>
  <c r="Q634" i="44"/>
  <c r="Q173" i="44"/>
  <c r="Q648" i="44"/>
  <c r="Q427" i="44"/>
  <c r="Q248" i="44"/>
  <c r="Q828" i="44"/>
  <c r="Q34" i="44"/>
  <c r="Q11" i="44"/>
  <c r="Q417" i="44"/>
  <c r="Q353" i="44"/>
  <c r="Q350" i="44"/>
  <c r="Q491" i="44"/>
  <c r="Q12" i="44"/>
  <c r="Q846" i="44"/>
  <c r="Q857" i="44"/>
  <c r="Q594" i="44"/>
  <c r="Q842" i="44"/>
  <c r="Q825" i="44"/>
  <c r="Q222" i="44"/>
  <c r="Q138" i="44"/>
  <c r="Q27" i="44"/>
  <c r="Q721" i="44"/>
  <c r="Q525" i="44"/>
  <c r="Q689" i="44"/>
  <c r="Q462" i="44"/>
  <c r="Q408" i="44"/>
  <c r="Q631" i="44"/>
  <c r="Q472" i="44"/>
  <c r="Q132" i="44"/>
  <c r="Q698" i="44"/>
  <c r="Q433" i="44"/>
  <c r="Q188" i="44"/>
  <c r="Q224" i="44"/>
  <c r="Q504" i="44"/>
  <c r="Q627" i="44"/>
  <c r="Q571" i="44"/>
  <c r="Q513" i="44"/>
  <c r="Q390" i="44"/>
  <c r="Q289" i="44"/>
  <c r="Q602" i="44"/>
  <c r="Q699" i="44"/>
  <c r="Q720" i="44"/>
  <c r="Q544" i="44"/>
  <c r="Q523" i="44"/>
  <c r="Q566" i="44"/>
  <c r="Q313" i="44"/>
  <c r="Q355" i="44"/>
  <c r="Q120" i="44"/>
  <c r="Q268" i="44"/>
  <c r="Q104" i="44"/>
  <c r="Q736" i="44"/>
  <c r="Q96" i="44"/>
  <c r="Q52" i="44"/>
  <c r="Q216" i="44"/>
  <c r="Q806" i="44"/>
  <c r="Q696" i="44"/>
  <c r="Q377" i="44"/>
  <c r="Q656" i="44"/>
  <c r="Q559" i="44"/>
  <c r="Q708" i="44"/>
  <c r="Q241" i="44"/>
  <c r="Q272" i="44"/>
  <c r="Q578" i="44"/>
  <c r="Q358" i="44"/>
  <c r="Q463" i="44"/>
  <c r="Q487" i="44"/>
  <c r="Q152" i="44"/>
  <c r="Q378" i="44"/>
  <c r="Q196" i="44"/>
  <c r="Q321" i="44"/>
  <c r="Q59" i="44"/>
  <c r="Q61" i="44"/>
  <c r="Q158" i="44"/>
  <c r="Q312" i="44"/>
  <c r="Q712" i="44"/>
  <c r="Q280" i="44"/>
  <c r="Q588" i="44"/>
  <c r="Q407" i="44"/>
  <c r="Q65" i="44"/>
  <c r="Q315" i="44"/>
  <c r="Q345" i="44"/>
  <c r="Q845" i="44"/>
  <c r="Q758" i="44"/>
  <c r="Q223" i="44"/>
  <c r="Q867" i="44"/>
  <c r="Q303" i="44"/>
  <c r="Q202" i="44"/>
  <c r="Q636" i="44"/>
  <c r="Q526" i="44"/>
  <c r="Q585" i="44"/>
  <c r="Q626" i="44"/>
  <c r="Q509" i="44"/>
  <c r="Q36" i="44"/>
  <c r="Q392" i="44"/>
  <c r="Q519" i="44"/>
  <c r="Q738" i="44"/>
  <c r="Q569" i="44"/>
  <c r="Q788" i="44"/>
  <c r="Q251" i="44"/>
  <c r="Q561" i="44"/>
  <c r="Q593" i="44"/>
  <c r="Q47" i="44"/>
  <c r="Q240" i="44"/>
  <c r="Q276" i="44"/>
  <c r="Q210" i="44"/>
  <c r="Q125" i="44"/>
  <c r="Q675" i="44"/>
  <c r="Q74" i="44"/>
  <c r="Q478" i="44"/>
  <c r="Q762" i="44"/>
  <c r="Q494" i="44"/>
  <c r="Q663" i="44"/>
  <c r="Q406" i="44"/>
  <c r="Q45" i="44"/>
  <c r="Q621" i="44"/>
  <c r="Q823" i="44"/>
  <c r="Q611" i="44"/>
  <c r="Q384" i="44"/>
  <c r="Q200" i="44"/>
  <c r="Q785" i="44"/>
  <c r="Q518" i="44"/>
  <c r="Q744" i="44"/>
  <c r="Q69" i="44"/>
  <c r="Q587" i="44"/>
  <c r="Q128" i="44"/>
  <c r="Q389" i="44"/>
  <c r="Q119" i="44"/>
  <c r="Q275" i="44"/>
  <c r="Q610" i="44"/>
  <c r="Q600" i="44"/>
  <c r="Q432" i="44"/>
  <c r="Q260" i="44"/>
  <c r="Q871" i="44"/>
  <c r="Q734" i="44"/>
  <c r="Q644" i="44"/>
  <c r="Q115" i="44"/>
  <c r="Q598" i="44"/>
  <c r="Q265" i="44"/>
  <c r="Q652" i="44"/>
  <c r="Q761" i="44"/>
  <c r="Q185" i="44"/>
  <c r="Q258" i="44"/>
  <c r="Q484" i="44"/>
  <c r="Q717" i="44"/>
  <c r="Q344" i="44"/>
  <c r="Q401" i="44"/>
  <c r="R488" i="44"/>
  <c r="R104" i="44"/>
  <c r="R313" i="44"/>
  <c r="R604" i="44"/>
  <c r="R426" i="44"/>
  <c r="R109" i="44"/>
  <c r="R380" i="44"/>
  <c r="R441" i="44"/>
  <c r="R553" i="44"/>
  <c r="R30" i="44"/>
  <c r="R219" i="44"/>
  <c r="R654" i="44"/>
  <c r="R238" i="44"/>
  <c r="R260" i="44"/>
  <c r="R49" i="44"/>
  <c r="R399" i="44"/>
  <c r="R124" i="44"/>
  <c r="R667" i="44"/>
  <c r="R368" i="44"/>
  <c r="R185" i="44"/>
  <c r="R740" i="44"/>
  <c r="R259" i="44"/>
  <c r="R85" i="44"/>
  <c r="R249" i="44"/>
  <c r="R161" i="44"/>
  <c r="R114" i="44"/>
  <c r="R808" i="44"/>
  <c r="R425" i="44"/>
  <c r="R346" i="44"/>
  <c r="R122" i="44"/>
  <c r="R807" i="44"/>
  <c r="R660" i="44"/>
  <c r="R780" i="44"/>
  <c r="R27" i="44"/>
  <c r="R278" i="44"/>
  <c r="R121" i="44"/>
  <c r="R463" i="44"/>
  <c r="R679" i="44"/>
  <c r="R81" i="44"/>
  <c r="R678" i="44"/>
  <c r="R26" i="44"/>
  <c r="R480" i="44"/>
  <c r="R513" i="44"/>
  <c r="R643" i="44"/>
  <c r="R133" i="44"/>
  <c r="R90" i="44"/>
  <c r="R212" i="44"/>
  <c r="R468" i="44"/>
  <c r="R574" i="44"/>
  <c r="R14" i="44"/>
  <c r="R631" i="44"/>
  <c r="R34" i="44"/>
  <c r="R711" i="44"/>
  <c r="R311" i="44"/>
  <c r="R230" i="44"/>
  <c r="R579" i="44"/>
  <c r="R24" i="44"/>
  <c r="R603" i="44"/>
  <c r="R774" i="44"/>
  <c r="R408" i="44"/>
  <c r="R495" i="44"/>
  <c r="R623" i="44"/>
  <c r="R457" i="44"/>
  <c r="N8" i="38"/>
  <c r="R223" i="44"/>
  <c r="R843" i="44"/>
  <c r="R852" i="44"/>
  <c r="R520" i="44"/>
  <c r="R25" i="44"/>
  <c r="R866" i="44"/>
  <c r="R772" i="44"/>
  <c r="R222" i="44"/>
  <c r="R614" i="44"/>
  <c r="R492" i="44"/>
  <c r="R625" i="44"/>
  <c r="R99" i="44"/>
  <c r="R589" i="44"/>
  <c r="R871" i="44"/>
  <c r="R424" i="44"/>
  <c r="R119" i="44"/>
  <c r="R616" i="44"/>
  <c r="R340" i="44"/>
  <c r="R163" i="44"/>
  <c r="O8" i="38"/>
  <c r="Z62" i="56"/>
  <c r="BN62" i="56"/>
  <c r="CF62" i="56"/>
  <c r="CB62" i="56"/>
  <c r="N62" i="56"/>
  <c r="BU62" i="56"/>
  <c r="BA62" i="56"/>
  <c r="CE62" i="56"/>
  <c r="M62" i="56"/>
  <c r="AR62" i="56"/>
  <c r="BD62" i="56"/>
  <c r="Q62" i="56"/>
  <c r="Q74" i="56" s="1"/>
  <c r="CG62" i="56"/>
  <c r="S62" i="56"/>
  <c r="AU62" i="56"/>
  <c r="R62" i="56"/>
  <c r="CC62" i="56"/>
  <c r="AC62" i="56"/>
  <c r="V62" i="56"/>
  <c r="BI66" i="56"/>
  <c r="BE63" i="56"/>
  <c r="AP66" i="56"/>
  <c r="U66" i="56"/>
  <c r="AY67" i="56"/>
  <c r="AY79" i="56" s="1"/>
  <c r="BH66" i="56"/>
  <c r="CD66" i="56"/>
  <c r="AE63" i="56"/>
  <c r="BK63" i="56"/>
  <c r="AY63" i="56"/>
  <c r="BR63" i="56"/>
  <c r="BG63" i="56"/>
  <c r="AA65" i="56"/>
  <c r="AI65" i="56"/>
  <c r="Z64" i="56"/>
  <c r="AP64" i="56"/>
  <c r="V64" i="56"/>
  <c r="AT63" i="56"/>
  <c r="BD63" i="56"/>
  <c r="AM60" i="56"/>
  <c r="AS60" i="56"/>
  <c r="BQ65" i="56"/>
  <c r="M65" i="56"/>
  <c r="AC65" i="56"/>
  <c r="AL60" i="56"/>
  <c r="K65" i="56"/>
  <c r="BC60" i="56"/>
  <c r="CG65" i="56"/>
  <c r="BJ63" i="56"/>
  <c r="Y60" i="56"/>
  <c r="BN63" i="56"/>
  <c r="AK63" i="56"/>
  <c r="AF60" i="56"/>
  <c r="AV60" i="56"/>
  <c r="AW72" i="56" s="1"/>
  <c r="AJ65" i="56"/>
  <c r="BM65" i="56"/>
  <c r="BI63" i="56"/>
  <c r="AK60" i="56"/>
  <c r="AM65" i="56"/>
  <c r="Q63" i="56"/>
  <c r="Y63" i="56"/>
  <c r="AC60" i="56"/>
  <c r="AA60" i="56"/>
  <c r="J65" i="56"/>
  <c r="J77" i="56" s="1"/>
  <c r="AG65" i="56"/>
  <c r="AC63" i="56"/>
  <c r="AR63" i="56"/>
  <c r="AZ63" i="56"/>
  <c r="K60" i="56"/>
  <c r="BP65" i="56"/>
  <c r="BR68" i="56"/>
  <c r="O68" i="56"/>
  <c r="P80" i="56" s="1"/>
  <c r="S68" i="56"/>
  <c r="T68" i="56"/>
  <c r="BQ64" i="56"/>
  <c r="BA64" i="56"/>
  <c r="CC64" i="56"/>
  <c r="R68" i="56"/>
  <c r="BK68" i="56"/>
  <c r="BQ68" i="56"/>
  <c r="Y68" i="56"/>
  <c r="CB64" i="56"/>
  <c r="R64" i="56"/>
  <c r="BT64" i="56"/>
  <c r="CA64" i="56"/>
  <c r="CA76" i="56" s="1"/>
  <c r="BA68" i="56"/>
  <c r="BH68" i="56"/>
  <c r="I64" i="56"/>
  <c r="I76" i="56" s="1"/>
  <c r="I89" i="56" s="1"/>
  <c r="I103" i="56" s="1"/>
  <c r="BI64" i="56"/>
  <c r="CF64" i="56"/>
  <c r="BE68" i="56"/>
  <c r="AO68" i="56"/>
  <c r="BF68" i="56"/>
  <c r="AM68" i="56"/>
  <c r="AQ68" i="56"/>
  <c r="AH68" i="56"/>
  <c r="AU68" i="56"/>
  <c r="Q68" i="56"/>
  <c r="BN68" i="56"/>
  <c r="AF68" i="56"/>
  <c r="BY68" i="56"/>
  <c r="AS68" i="56"/>
  <c r="AN68" i="56"/>
  <c r="BJ68" i="56"/>
  <c r="BM68" i="56"/>
  <c r="CB68" i="56"/>
  <c r="CB80" i="56" s="1"/>
  <c r="BU68" i="56"/>
  <c r="BV68" i="56"/>
  <c r="BS68" i="56"/>
  <c r="AC68" i="56"/>
  <c r="BB68" i="56"/>
  <c r="CI68" i="56"/>
  <c r="BI68" i="56"/>
  <c r="L68" i="56"/>
  <c r="BT68" i="56"/>
  <c r="CH68" i="56"/>
  <c r="CG68" i="56"/>
  <c r="AY68" i="56"/>
  <c r="BC68" i="56"/>
  <c r="BC80" i="56" s="1"/>
  <c r="AD68" i="56"/>
  <c r="J68" i="56"/>
  <c r="J80" i="56" s="1"/>
  <c r="AO64" i="56"/>
  <c r="Y64" i="56"/>
  <c r="AT64" i="56"/>
  <c r="AB64" i="56"/>
  <c r="AG64" i="56"/>
  <c r="BB64" i="56"/>
  <c r="BH64" i="56"/>
  <c r="M64" i="56"/>
  <c r="AI64" i="56"/>
  <c r="BV64" i="56"/>
  <c r="BX64" i="56"/>
  <c r="CD64" i="56"/>
  <c r="P64" i="56"/>
  <c r="BF64" i="56"/>
  <c r="AV64" i="56"/>
  <c r="AY64" i="56"/>
  <c r="BE64" i="56"/>
  <c r="BJ64" i="56"/>
  <c r="BL64" i="56"/>
  <c r="BM64" i="56"/>
  <c r="BR64" i="56"/>
  <c r="AF64" i="56"/>
  <c r="BY64" i="56"/>
  <c r="U64" i="56"/>
  <c r="W64" i="56"/>
  <c r="AC64" i="56"/>
  <c r="AA64" i="56"/>
  <c r="BP64" i="56"/>
  <c r="AE64" i="56"/>
  <c r="X64" i="56"/>
  <c r="BD64" i="56"/>
  <c r="BD65" i="56"/>
  <c r="AN65" i="56"/>
  <c r="BI65" i="56"/>
  <c r="BN65" i="56"/>
  <c r="CI65" i="56"/>
  <c r="BX65" i="56"/>
  <c r="CC65" i="56"/>
  <c r="CH65" i="56"/>
  <c r="P65" i="56"/>
  <c r="U65" i="56"/>
  <c r="Z65" i="56"/>
  <c r="BO65" i="56"/>
  <c r="BO104" i="56" s="1"/>
  <c r="BE65" i="56"/>
  <c r="BU65" i="56"/>
  <c r="N65" i="56"/>
  <c r="AO65" i="56"/>
  <c r="BT65" i="56"/>
  <c r="BY65" i="56"/>
  <c r="CD65" i="56"/>
  <c r="L65" i="56"/>
  <c r="Q65" i="56"/>
  <c r="V65" i="56"/>
  <c r="AY65" i="56"/>
  <c r="AF65" i="56"/>
  <c r="AK65" i="56"/>
  <c r="BF65" i="56"/>
  <c r="BC65" i="56"/>
  <c r="AT65" i="56"/>
  <c r="CE65" i="56"/>
  <c r="BZ65" i="56"/>
  <c r="AD65" i="56"/>
  <c r="AM66" i="56"/>
  <c r="X66" i="56"/>
  <c r="AI66" i="56"/>
  <c r="AZ66" i="56"/>
  <c r="AL66" i="56"/>
  <c r="AH66" i="56"/>
  <c r="CG66" i="56"/>
  <c r="L66" i="56"/>
  <c r="R66" i="56"/>
  <c r="CC66" i="56"/>
  <c r="AQ66" i="56"/>
  <c r="CF66" i="56"/>
  <c r="AK66" i="56"/>
  <c r="BP66" i="56"/>
  <c r="BF66" i="56"/>
  <c r="AB66" i="56"/>
  <c r="BU66" i="56"/>
  <c r="BW66" i="56"/>
  <c r="V66" i="56"/>
  <c r="J66" i="56"/>
  <c r="J78" i="56" s="1"/>
  <c r="BC66" i="56"/>
  <c r="AN66" i="56"/>
  <c r="BG66" i="56"/>
  <c r="BT66" i="56"/>
  <c r="BR66" i="56"/>
  <c r="BN66" i="56"/>
  <c r="AA66" i="56"/>
  <c r="AF66" i="56"/>
  <c r="BB66" i="56"/>
  <c r="AX66" i="56"/>
  <c r="CE66" i="56"/>
  <c r="AT66" i="56"/>
  <c r="K66" i="56"/>
  <c r="Q66" i="56"/>
  <c r="BA66" i="56"/>
  <c r="BD66" i="56"/>
  <c r="BV66" i="56"/>
  <c r="AJ66" i="56"/>
  <c r="Z66" i="56"/>
  <c r="I66" i="56"/>
  <c r="I78" i="56" s="1"/>
  <c r="I91" i="56" s="1"/>
  <c r="I105" i="56" s="1"/>
  <c r="AY60" i="56"/>
  <c r="BA60" i="56"/>
  <c r="U60" i="56"/>
  <c r="BJ60" i="56"/>
  <c r="L60" i="56"/>
  <c r="V60" i="56"/>
  <c r="BN60" i="56"/>
  <c r="R60" i="56"/>
  <c r="T60" i="56"/>
  <c r="AZ60" i="56"/>
  <c r="N60" i="56"/>
  <c r="BF60" i="56"/>
  <c r="Q60" i="56"/>
  <c r="Q72" i="56" s="1"/>
  <c r="AO60" i="56"/>
  <c r="AP60" i="56"/>
  <c r="BP60" i="56"/>
  <c r="W60" i="56"/>
  <c r="O60" i="56"/>
  <c r="P72" i="56" s="1"/>
  <c r="BE60" i="56"/>
  <c r="I60" i="56"/>
  <c r="I72" i="56" s="1"/>
  <c r="I85" i="56" s="1"/>
  <c r="I99" i="56" s="1"/>
  <c r="I116" i="56" s="1"/>
  <c r="AB60" i="56"/>
  <c r="BM60" i="56"/>
  <c r="BB60" i="56"/>
  <c r="BL60" i="56"/>
  <c r="BO60" i="56"/>
  <c r="BO99" i="56" s="1"/>
  <c r="BO117" i="56" s="1"/>
  <c r="AH60" i="56"/>
  <c r="AI60" i="56"/>
  <c r="AJ60" i="56"/>
  <c r="BI60" i="56"/>
  <c r="Z60" i="56"/>
  <c r="S60" i="56"/>
  <c r="AG60" i="56"/>
  <c r="AQ60" i="56"/>
  <c r="AE60" i="56"/>
  <c r="BG60" i="56"/>
  <c r="AR60" i="56"/>
  <c r="X60" i="56"/>
  <c r="M60" i="56"/>
  <c r="AT60" i="56"/>
  <c r="AU60" i="56"/>
  <c r="BO68" i="56"/>
  <c r="BO107" i="56" s="1"/>
  <c r="AE68" i="56"/>
  <c r="AG68" i="56"/>
  <c r="V68" i="56"/>
  <c r="BX68" i="56"/>
  <c r="K68" i="56"/>
  <c r="Z68" i="56"/>
  <c r="AZ65" i="56"/>
  <c r="CF65" i="56"/>
  <c r="O65" i="56"/>
  <c r="CB65" i="56"/>
  <c r="BR65" i="56"/>
  <c r="AR65" i="56"/>
  <c r="AX65" i="56"/>
  <c r="X65" i="56"/>
  <c r="X77" i="56" s="1"/>
  <c r="BK64" i="56"/>
  <c r="CE64" i="56"/>
  <c r="BW64" i="56"/>
  <c r="BN64" i="56"/>
  <c r="CI64" i="56"/>
  <c r="Q64" i="56"/>
  <c r="N64" i="56"/>
  <c r="BY66" i="56"/>
  <c r="AE66" i="56"/>
  <c r="BK66" i="56"/>
  <c r="P66" i="56"/>
  <c r="BL66" i="56"/>
  <c r="AW66" i="56"/>
  <c r="AW78" i="56" s="1"/>
  <c r="BO66" i="56"/>
  <c r="BO105" i="56" s="1"/>
  <c r="BM66" i="56"/>
  <c r="T66" i="56"/>
  <c r="CI66" i="56"/>
  <c r="AN60" i="56"/>
  <c r="AD60" i="56"/>
  <c r="BK60" i="56"/>
  <c r="BH60" i="56"/>
  <c r="BD60" i="56"/>
  <c r="AX60" i="56"/>
  <c r="AX72" i="56" s="1"/>
  <c r="J60" i="56"/>
  <c r="J99" i="56" s="1"/>
  <c r="BL68" i="56"/>
  <c r="AX68" i="56"/>
  <c r="AX80" i="56" s="1"/>
  <c r="CE68" i="56"/>
  <c r="CC68" i="56"/>
  <c r="CD68" i="56"/>
  <c r="BD68" i="56"/>
  <c r="BZ68" i="56"/>
  <c r="CA80" i="56" s="1"/>
  <c r="BS65" i="56"/>
  <c r="T65" i="56"/>
  <c r="BV65" i="56"/>
  <c r="AV65" i="56"/>
  <c r="BB65" i="56"/>
  <c r="AB65" i="56"/>
  <c r="R65" i="56"/>
  <c r="BO64" i="56"/>
  <c r="BO103" i="56" s="1"/>
  <c r="AU64" i="56"/>
  <c r="AQ64" i="56"/>
  <c r="BC64" i="56"/>
  <c r="AH64" i="56"/>
  <c r="CH64" i="56"/>
  <c r="AN64" i="56"/>
  <c r="BU64" i="56"/>
  <c r="N66" i="56"/>
  <c r="BQ66" i="56"/>
  <c r="S66" i="56"/>
  <c r="AY66" i="56"/>
  <c r="AR66" i="56"/>
  <c r="CH66" i="56"/>
  <c r="AU66" i="56"/>
  <c r="AV78" i="56" s="1"/>
  <c r="AG66" i="56"/>
  <c r="CA66" i="56"/>
  <c r="BS66" i="56"/>
  <c r="J63" i="56"/>
  <c r="J75" i="56" s="1"/>
  <c r="AV63" i="56"/>
  <c r="N63" i="56"/>
  <c r="AU63" i="56"/>
  <c r="AB63" i="56"/>
  <c r="AH63" i="56"/>
  <c r="BS63" i="56"/>
  <c r="BQ63" i="56"/>
  <c r="CF63" i="56"/>
  <c r="CE63" i="56"/>
  <c r="BV63" i="56"/>
  <c r="AO63" i="56"/>
  <c r="L63" i="56"/>
  <c r="W63" i="56"/>
  <c r="R63" i="56"/>
  <c r="BY63" i="56"/>
  <c r="BT63" i="56"/>
  <c r="T63" i="56"/>
  <c r="S63" i="56"/>
  <c r="AL63" i="56"/>
  <c r="CH62" i="56"/>
  <c r="K62" i="56"/>
  <c r="BP62" i="56"/>
  <c r="CD62" i="56"/>
  <c r="BB62" i="56"/>
  <c r="BY62" i="56"/>
  <c r="L62" i="56"/>
  <c r="O62" i="56"/>
  <c r="AT62" i="56"/>
  <c r="AS62" i="56"/>
  <c r="AW62" i="56"/>
  <c r="X62" i="56"/>
  <c r="BH62" i="56"/>
  <c r="BK62" i="56"/>
  <c r="AJ62" i="56"/>
  <c r="BF62" i="56"/>
  <c r="AY62" i="56"/>
  <c r="BC62" i="56"/>
  <c r="BG62" i="56"/>
  <c r="AF62" i="56"/>
  <c r="I63" i="56"/>
  <c r="I75" i="56" s="1"/>
  <c r="I88" i="56" s="1"/>
  <c r="I102" i="56" s="1"/>
  <c r="BX63" i="56"/>
  <c r="BF63" i="56"/>
  <c r="AN63" i="56"/>
  <c r="AG63" i="56"/>
  <c r="BZ63" i="56"/>
  <c r="P63" i="56"/>
  <c r="Z63" i="56"/>
  <c r="BU63" i="56"/>
  <c r="BU75" i="56" s="1"/>
  <c r="X63" i="56"/>
  <c r="O63" i="56"/>
  <c r="AS63" i="56"/>
  <c r="AF63" i="56"/>
  <c r="AQ63" i="56"/>
  <c r="AP63" i="56"/>
  <c r="AW63" i="56"/>
  <c r="CB63" i="56"/>
  <c r="AJ63" i="56"/>
  <c r="AI63" i="56"/>
  <c r="BB63" i="56"/>
  <c r="BZ62" i="56"/>
  <c r="CI62" i="56"/>
  <c r="BI62" i="56"/>
  <c r="J62" i="56"/>
  <c r="J74" i="56" s="1"/>
  <c r="AX62" i="56"/>
  <c r="AK62" i="56"/>
  <c r="AG62" i="56"/>
  <c r="U62" i="56"/>
  <c r="BE62" i="56"/>
  <c r="BL62" i="56"/>
  <c r="BO62" i="56"/>
  <c r="AN62" i="56"/>
  <c r="BX62" i="56"/>
  <c r="CA62" i="56"/>
  <c r="AZ62" i="56"/>
  <c r="BJ62" i="56"/>
  <c r="BM62" i="56"/>
  <c r="BT62" i="56"/>
  <c r="BW62" i="56"/>
  <c r="AV62" i="56"/>
  <c r="U63" i="56"/>
  <c r="CI63" i="56"/>
  <c r="BM63" i="56"/>
  <c r="K63" i="56"/>
  <c r="BW63" i="56"/>
  <c r="BA63" i="56"/>
  <c r="AA63" i="56"/>
  <c r="CC63" i="56"/>
  <c r="BH63" i="56"/>
  <c r="BC63" i="56"/>
  <c r="AX63" i="56"/>
  <c r="BP63" i="56"/>
  <c r="CA63" i="56"/>
  <c r="CD63" i="56"/>
  <c r="CG63" i="56"/>
  <c r="M63" i="56"/>
  <c r="BL63" i="56"/>
  <c r="BO63" i="56"/>
  <c r="CH63" i="56"/>
  <c r="BQ62" i="56"/>
  <c r="AP62" i="56"/>
  <c r="BS62" i="56"/>
  <c r="BV62" i="56"/>
  <c r="AB62" i="56"/>
  <c r="AD62" i="56"/>
  <c r="I62" i="56"/>
  <c r="I74" i="56" s="1"/>
  <c r="I87" i="56" s="1"/>
  <c r="I101" i="56" s="1"/>
  <c r="AE62" i="56"/>
  <c r="Y62" i="56"/>
  <c r="W62" i="56"/>
  <c r="AA62" i="56"/>
  <c r="AO62" i="56"/>
  <c r="AM62" i="56"/>
  <c r="AQ62" i="56"/>
  <c r="T62" i="56"/>
  <c r="BR62" i="56"/>
  <c r="AI62" i="56"/>
  <c r="AH62" i="56"/>
  <c r="AL62" i="56"/>
  <c r="AJ67" i="56"/>
  <c r="BO67" i="56"/>
  <c r="BO106" i="56" s="1"/>
  <c r="BZ67" i="56"/>
  <c r="O67" i="56"/>
  <c r="J67" i="56"/>
  <c r="J79" i="56" s="1"/>
  <c r="K67" i="56"/>
  <c r="BT67" i="56"/>
  <c r="V67" i="56"/>
  <c r="BS67" i="56"/>
  <c r="AF67" i="56"/>
  <c r="AK67" i="56"/>
  <c r="CE67" i="56"/>
  <c r="CG67" i="56"/>
  <c r="BH67" i="56"/>
  <c r="BM67" i="56"/>
  <c r="Z67" i="56"/>
  <c r="I68" i="56"/>
  <c r="I80" i="56" s="1"/>
  <c r="I93" i="56" s="1"/>
  <c r="I107" i="56" s="1"/>
  <c r="BP68" i="56"/>
  <c r="U68" i="56"/>
  <c r="AR68" i="56"/>
  <c r="M68" i="56"/>
  <c r="AB68" i="56"/>
  <c r="AA68" i="56"/>
  <c r="AL68" i="56"/>
  <c r="AI68" i="56"/>
  <c r="W68" i="56"/>
  <c r="AT68" i="56"/>
  <c r="AK68" i="56"/>
  <c r="AV68" i="56"/>
  <c r="AW80" i="56" s="1"/>
  <c r="AJ68" i="56"/>
  <c r="N68" i="56"/>
  <c r="BW68" i="56"/>
  <c r="X68" i="56"/>
  <c r="AZ68" i="56"/>
  <c r="AP68" i="56"/>
  <c r="AE65" i="56"/>
  <c r="I65" i="56"/>
  <c r="I77" i="56" s="1"/>
  <c r="I90" i="56" s="1"/>
  <c r="I104" i="56" s="1"/>
  <c r="Y65" i="56"/>
  <c r="BJ65" i="56"/>
  <c r="S65" i="56"/>
  <c r="BW65" i="56"/>
  <c r="CA65" i="56"/>
  <c r="AP65" i="56"/>
  <c r="BA65" i="56"/>
  <c r="BL65" i="56"/>
  <c r="BG65" i="56"/>
  <c r="BK65" i="56"/>
  <c r="BK77" i="56" s="1"/>
  <c r="AL65" i="56"/>
  <c r="AW65" i="56"/>
  <c r="BH65" i="56"/>
  <c r="AQ65" i="56"/>
  <c r="AU65" i="56"/>
  <c r="AH65" i="56"/>
  <c r="AS65" i="56"/>
  <c r="J64" i="56"/>
  <c r="J103" i="56" s="1"/>
  <c r="AR64" i="56"/>
  <c r="L64" i="56"/>
  <c r="K64" i="56"/>
  <c r="AK64" i="56"/>
  <c r="BG64" i="56"/>
  <c r="AX64" i="56"/>
  <c r="AJ64" i="56"/>
  <c r="AM64" i="56"/>
  <c r="CG64" i="56"/>
  <c r="S64" i="56"/>
  <c r="AS64" i="56"/>
  <c r="T64" i="56"/>
  <c r="BS64" i="56"/>
  <c r="AL64" i="56"/>
  <c r="AW64" i="56"/>
  <c r="AZ64" i="56"/>
  <c r="O64" i="56"/>
  <c r="AD64" i="56"/>
  <c r="AL67" i="56"/>
  <c r="BI67" i="56"/>
  <c r="AC67" i="56"/>
  <c r="I67" i="56"/>
  <c r="I79" i="56" s="1"/>
  <c r="I92" i="56" s="1"/>
  <c r="I106" i="56" s="1"/>
  <c r="BA67" i="56"/>
  <c r="CC67" i="56"/>
  <c r="BJ67" i="56"/>
  <c r="BY67" i="56"/>
  <c r="AB67" i="56"/>
  <c r="AM67" i="56"/>
  <c r="CB67" i="56"/>
  <c r="CF67" i="56"/>
  <c r="CI67" i="56"/>
  <c r="AT67" i="56"/>
  <c r="BC67" i="56"/>
  <c r="BV67" i="56"/>
  <c r="CA67" i="56"/>
  <c r="AH67" i="56"/>
  <c r="AV67" i="56"/>
  <c r="P67" i="56"/>
  <c r="L67" i="56"/>
  <c r="BE67" i="56"/>
  <c r="BL67" i="56"/>
  <c r="U67" i="56"/>
  <c r="AO67" i="56"/>
  <c r="AD67" i="56"/>
  <c r="AS67" i="56"/>
  <c r="BU67" i="56"/>
  <c r="CH67" i="56"/>
  <c r="X67" i="56"/>
  <c r="AZ67" i="56"/>
  <c r="BG67" i="56"/>
  <c r="N67" i="56"/>
  <c r="AQ67" i="56"/>
  <c r="BF67" i="56"/>
  <c r="BK67" i="56"/>
  <c r="R67" i="56"/>
  <c r="BX67" i="56"/>
  <c r="AR67" i="56"/>
  <c r="W67" i="56"/>
  <c r="BR67" i="56"/>
  <c r="AN67" i="56"/>
  <c r="BP67" i="56"/>
  <c r="BW67" i="56"/>
  <c r="BD67" i="56"/>
  <c r="M67" i="56"/>
  <c r="Y67" i="56"/>
  <c r="BB67" i="56"/>
  <c r="BQ67" i="56"/>
  <c r="T67" i="56"/>
  <c r="AE67" i="56"/>
  <c r="AG67" i="56"/>
  <c r="AA67" i="56"/>
  <c r="AP67" i="56"/>
  <c r="S67" i="56"/>
  <c r="AW67" i="56"/>
  <c r="AX79" i="56" s="1"/>
  <c r="AU67" i="56"/>
  <c r="BN67" i="56"/>
  <c r="Q67" i="56"/>
  <c r="AI67" i="56"/>
  <c r="E62" i="56"/>
  <c r="C62" i="56"/>
  <c r="H59" i="56" s="1"/>
  <c r="F875" i="44"/>
  <c r="F873" i="44"/>
  <c r="G883" i="44" s="1"/>
  <c r="G884" i="44" s="1"/>
  <c r="M14" i="39"/>
  <c r="P22" i="39" s="1"/>
  <c r="J100" i="56"/>
  <c r="C14" i="39"/>
  <c r="F22" i="39" s="1"/>
  <c r="S871" i="44"/>
  <c r="N27" i="66" l="1"/>
  <c r="W27" i="66" s="1"/>
  <c r="Y29" i="66"/>
  <c r="Z29" i="66" s="1"/>
  <c r="AB29" i="66"/>
  <c r="I27" i="66"/>
  <c r="F29" i="66"/>
  <c r="G29" i="66"/>
  <c r="E30" i="66"/>
  <c r="H28" i="66"/>
  <c r="S28" i="66"/>
  <c r="BN73" i="56"/>
  <c r="D30" i="66"/>
  <c r="P29" i="66"/>
  <c r="AD73" i="56"/>
  <c r="AE75" i="56"/>
  <c r="BQ39" i="56"/>
  <c r="BQ40" i="56"/>
  <c r="BU76" i="56"/>
  <c r="BQ10" i="56"/>
  <c r="BQ12" i="56"/>
  <c r="Y73" i="56"/>
  <c r="CA73" i="56"/>
  <c r="AK73" i="56"/>
  <c r="BQ15" i="56"/>
  <c r="BQ18" i="56"/>
  <c r="CE79" i="56"/>
  <c r="BQ20" i="56"/>
  <c r="BQ41" i="56"/>
  <c r="BQ13" i="56"/>
  <c r="BQ11" i="56"/>
  <c r="BQ30" i="56"/>
  <c r="BQ22" i="56"/>
  <c r="BQ38" i="56"/>
  <c r="CF80" i="56"/>
  <c r="CG80" i="56"/>
  <c r="BR6" i="56"/>
  <c r="BS8" i="56"/>
  <c r="BR82" i="56"/>
  <c r="BR7" i="56"/>
  <c r="BR9" i="56"/>
  <c r="BQ51" i="56"/>
  <c r="BQ46" i="56"/>
  <c r="BQ24" i="56"/>
  <c r="BQ26" i="56"/>
  <c r="BQ27" i="56"/>
  <c r="BQ28" i="56"/>
  <c r="BQ48" i="56"/>
  <c r="BQ55" i="56"/>
  <c r="BQ29" i="56"/>
  <c r="BQ47" i="56"/>
  <c r="BQ17" i="56"/>
  <c r="BQ116" i="56"/>
  <c r="BQ16" i="56"/>
  <c r="BQ32" i="56"/>
  <c r="BQ35" i="56"/>
  <c r="BQ54" i="56"/>
  <c r="BQ34" i="56"/>
  <c r="BQ108" i="56"/>
  <c r="BQ114" i="56"/>
  <c r="BQ43" i="56"/>
  <c r="BQ52" i="56"/>
  <c r="BQ36" i="56"/>
  <c r="BQ45" i="56"/>
  <c r="BQ14" i="56"/>
  <c r="BQ21" i="56"/>
  <c r="BQ60" i="56" s="1"/>
  <c r="BQ33" i="56"/>
  <c r="BQ23" i="56"/>
  <c r="BQ37" i="56"/>
  <c r="BQ49" i="56"/>
  <c r="BQ53" i="56"/>
  <c r="BQ25" i="56"/>
  <c r="BQ50" i="56"/>
  <c r="BH80" i="56"/>
  <c r="BQ42" i="56"/>
  <c r="BQ31" i="56"/>
  <c r="BQ44" i="56"/>
  <c r="BQ19" i="56"/>
  <c r="Z73" i="56"/>
  <c r="BA73" i="56"/>
  <c r="W73" i="56"/>
  <c r="BG73" i="56"/>
  <c r="BE73" i="56"/>
  <c r="BX73" i="56"/>
  <c r="CD73" i="56"/>
  <c r="BD73" i="56"/>
  <c r="AE78" i="56"/>
  <c r="L73" i="56"/>
  <c r="T73" i="56"/>
  <c r="N78" i="56"/>
  <c r="BY78" i="56"/>
  <c r="Q80" i="56"/>
  <c r="BF73" i="56"/>
  <c r="AN75" i="56"/>
  <c r="O74" i="56"/>
  <c r="AM75" i="56"/>
  <c r="M78" i="56"/>
  <c r="CD79" i="56"/>
  <c r="AE73" i="56"/>
  <c r="AI73" i="56"/>
  <c r="CB73" i="56"/>
  <c r="AC73" i="56"/>
  <c r="AM73" i="56"/>
  <c r="AP78" i="56"/>
  <c r="CC73" i="56"/>
  <c r="AL73" i="56"/>
  <c r="AZ79" i="56"/>
  <c r="V74" i="56"/>
  <c r="AH76" i="56"/>
  <c r="BO73" i="56"/>
  <c r="AY78" i="56"/>
  <c r="BS73" i="56"/>
  <c r="X73" i="56"/>
  <c r="BJ78" i="56"/>
  <c r="AD78" i="56"/>
  <c r="BH73" i="56"/>
  <c r="BG72" i="56"/>
  <c r="BV77" i="56"/>
  <c r="AY80" i="56"/>
  <c r="BG80" i="56"/>
  <c r="Q76" i="56"/>
  <c r="AS73" i="56"/>
  <c r="V76" i="56"/>
  <c r="AQ73" i="56"/>
  <c r="BU73" i="56"/>
  <c r="Q73" i="56"/>
  <c r="BR73" i="56"/>
  <c r="AO73" i="56"/>
  <c r="AV73" i="56"/>
  <c r="CF73" i="56"/>
  <c r="AP73" i="56"/>
  <c r="AG73" i="56"/>
  <c r="BZ73" i="56"/>
  <c r="AX73" i="56"/>
  <c r="AY73" i="56"/>
  <c r="AW73" i="56"/>
  <c r="W78" i="56"/>
  <c r="AN73" i="56"/>
  <c r="BM73" i="56"/>
  <c r="BY73" i="56"/>
  <c r="CB78" i="56"/>
  <c r="BP73" i="56"/>
  <c r="BW73" i="56"/>
  <c r="AA73" i="56"/>
  <c r="CG73" i="56"/>
  <c r="AJ73" i="56"/>
  <c r="CF74" i="56"/>
  <c r="AT73" i="56"/>
  <c r="BG78" i="56"/>
  <c r="BJ73" i="56"/>
  <c r="V73" i="56"/>
  <c r="BC73" i="56"/>
  <c r="AR73" i="56"/>
  <c r="BT73" i="56"/>
  <c r="CE73" i="56"/>
  <c r="CH73" i="56"/>
  <c r="BM77" i="56"/>
  <c r="AD75" i="56"/>
  <c r="BL73" i="56"/>
  <c r="AU73" i="56"/>
  <c r="M73" i="56"/>
  <c r="AH73" i="56"/>
  <c r="BI73" i="56"/>
  <c r="BQ73" i="56"/>
  <c r="P73" i="56"/>
  <c r="AC78" i="56"/>
  <c r="BF78" i="56"/>
  <c r="BV73" i="56"/>
  <c r="CB74" i="56"/>
  <c r="CC74" i="56"/>
  <c r="AZ73" i="56"/>
  <c r="BK73" i="56"/>
  <c r="BB73" i="56"/>
  <c r="BE78" i="56"/>
  <c r="M74" i="56"/>
  <c r="Z78" i="56"/>
  <c r="CD74" i="56"/>
  <c r="N73" i="56"/>
  <c r="O73" i="56"/>
  <c r="BK78" i="56"/>
  <c r="Y78" i="56"/>
  <c r="S73" i="56"/>
  <c r="AF73" i="56"/>
  <c r="AJ77" i="56"/>
  <c r="P78" i="56"/>
  <c r="Z14" i="39"/>
  <c r="X23" i="39" s="1"/>
  <c r="AA23" i="39" s="1"/>
  <c r="BD74" i="56"/>
  <c r="W74" i="56"/>
  <c r="AF75" i="56"/>
  <c r="R73" i="56"/>
  <c r="T871" i="44"/>
  <c r="V871" i="44" s="1"/>
  <c r="S74" i="56"/>
  <c r="CG74" i="56"/>
  <c r="AQ77" i="56"/>
  <c r="BK75" i="56"/>
  <c r="BF75" i="56"/>
  <c r="BA74" i="56"/>
  <c r="AD72" i="56"/>
  <c r="AV74" i="56"/>
  <c r="BB74" i="56"/>
  <c r="N74" i="56"/>
  <c r="BM78" i="56"/>
  <c r="CH74" i="56"/>
  <c r="T74" i="56"/>
  <c r="Z75" i="56"/>
  <c r="R74" i="56"/>
  <c r="N77" i="56"/>
  <c r="BV74" i="56"/>
  <c r="AA74" i="56"/>
  <c r="BU74" i="56"/>
  <c r="BR76" i="56"/>
  <c r="AU74" i="56"/>
  <c r="AQ76" i="56"/>
  <c r="BR77" i="56"/>
  <c r="BE75" i="56"/>
  <c r="BI78" i="56"/>
  <c r="AR74" i="56"/>
  <c r="AD74" i="56"/>
  <c r="AC74" i="56"/>
  <c r="AS74" i="56"/>
  <c r="BL80" i="56"/>
  <c r="J72" i="56"/>
  <c r="CF77" i="56"/>
  <c r="J104" i="56"/>
  <c r="AQ78" i="56"/>
  <c r="Y75" i="56"/>
  <c r="BD72" i="56"/>
  <c r="AK77" i="56"/>
  <c r="BR75" i="56"/>
  <c r="Y72" i="56"/>
  <c r="Z72" i="56"/>
  <c r="U78" i="56"/>
  <c r="AZ75" i="56"/>
  <c r="AK72" i="56"/>
  <c r="CE78" i="56"/>
  <c r="BI77" i="56"/>
  <c r="AA77" i="56"/>
  <c r="BP77" i="56"/>
  <c r="CD78" i="56"/>
  <c r="BD75" i="56"/>
  <c r="BQ77" i="56"/>
  <c r="AU77" i="56"/>
  <c r="BB72" i="56"/>
  <c r="Q77" i="56"/>
  <c r="CH77" i="56"/>
  <c r="M76" i="56"/>
  <c r="Q75" i="56"/>
  <c r="R75" i="56"/>
  <c r="AR78" i="56"/>
  <c r="AG77" i="56"/>
  <c r="BH75" i="56"/>
  <c r="BC75" i="56"/>
  <c r="V77" i="56"/>
  <c r="BZ77" i="56"/>
  <c r="AT75" i="56"/>
  <c r="AU75" i="56"/>
  <c r="BR80" i="56"/>
  <c r="BA72" i="56"/>
  <c r="BD77" i="56"/>
  <c r="BM80" i="56"/>
  <c r="AM72" i="56"/>
  <c r="J105" i="56"/>
  <c r="AB77" i="56"/>
  <c r="BD76" i="56"/>
  <c r="BJ77" i="56"/>
  <c r="CE75" i="56"/>
  <c r="BL74" i="56"/>
  <c r="BJ72" i="56"/>
  <c r="Y76" i="56"/>
  <c r="BB80" i="56"/>
  <c r="AC75" i="56"/>
  <c r="AH77" i="56"/>
  <c r="AZ78" i="56"/>
  <c r="X72" i="56"/>
  <c r="CD76" i="56"/>
  <c r="BY80" i="56"/>
  <c r="BC72" i="56"/>
  <c r="CC78" i="56"/>
  <c r="AL72" i="56"/>
  <c r="BQ80" i="56"/>
  <c r="AZ72" i="56"/>
  <c r="BA76" i="56"/>
  <c r="AT72" i="56"/>
  <c r="AB78" i="56"/>
  <c r="BB76" i="56"/>
  <c r="BJ75" i="56"/>
  <c r="N76" i="56"/>
  <c r="CG77" i="56"/>
  <c r="AY76" i="56"/>
  <c r="J101" i="56"/>
  <c r="BI75" i="56"/>
  <c r="BT76" i="56"/>
  <c r="BN75" i="56"/>
  <c r="AS72" i="56"/>
  <c r="L72" i="56"/>
  <c r="BC78" i="56"/>
  <c r="AL78" i="56"/>
  <c r="L77" i="56"/>
  <c r="BN77" i="56"/>
  <c r="AA76" i="56"/>
  <c r="AN72" i="56"/>
  <c r="P74" i="56"/>
  <c r="AU80" i="56"/>
  <c r="Z76" i="56"/>
  <c r="BC76" i="56"/>
  <c r="AB76" i="56"/>
  <c r="BS80" i="56"/>
  <c r="I117" i="56"/>
  <c r="BX76" i="56"/>
  <c r="AF80" i="56"/>
  <c r="AG72" i="56"/>
  <c r="W76" i="56"/>
  <c r="AP76" i="56"/>
  <c r="BI80" i="56"/>
  <c r="AM77" i="56"/>
  <c r="BL76" i="56"/>
  <c r="BS78" i="56"/>
  <c r="BV78" i="56"/>
  <c r="AM78" i="56"/>
  <c r="BY76" i="56"/>
  <c r="CI80" i="56"/>
  <c r="BK80" i="56"/>
  <c r="AH80" i="56"/>
  <c r="X75" i="56"/>
  <c r="R72" i="56"/>
  <c r="AU78" i="56"/>
  <c r="BG76" i="56"/>
  <c r="AO80" i="56"/>
  <c r="M77" i="56"/>
  <c r="W75" i="56"/>
  <c r="AA80" i="56"/>
  <c r="BP74" i="56"/>
  <c r="AU72" i="56"/>
  <c r="AG76" i="56"/>
  <c r="BD80" i="56"/>
  <c r="BZ78" i="56"/>
  <c r="BH77" i="56"/>
  <c r="BQ78" i="56"/>
  <c r="AY77" i="56"/>
  <c r="AT78" i="56"/>
  <c r="BW77" i="56"/>
  <c r="BB78" i="56"/>
  <c r="AA72" i="56"/>
  <c r="AO74" i="56"/>
  <c r="CI77" i="56"/>
  <c r="AC72" i="56"/>
  <c r="AD77" i="56"/>
  <c r="BH76" i="56"/>
  <c r="AF77" i="56"/>
  <c r="Y74" i="56"/>
  <c r="R76" i="56"/>
  <c r="AN78" i="56"/>
  <c r="BQ76" i="56"/>
  <c r="J76" i="56"/>
  <c r="CH75" i="56"/>
  <c r="S78" i="56"/>
  <c r="AV72" i="56"/>
  <c r="AV76" i="56"/>
  <c r="CD77" i="56"/>
  <c r="BR78" i="56"/>
  <c r="BZ76" i="56"/>
  <c r="S76" i="56"/>
  <c r="AI80" i="56"/>
  <c r="P77" i="56"/>
  <c r="BM72" i="56"/>
  <c r="V72" i="56"/>
  <c r="AA78" i="56"/>
  <c r="BY77" i="56"/>
  <c r="AO77" i="56"/>
  <c r="BE76" i="56"/>
  <c r="CC80" i="56"/>
  <c r="BI76" i="56"/>
  <c r="CC76" i="56"/>
  <c r="T80" i="56"/>
  <c r="AE72" i="56"/>
  <c r="O78" i="56"/>
  <c r="M75" i="56"/>
  <c r="L75" i="56"/>
  <c r="AH72" i="56"/>
  <c r="AF72" i="56"/>
  <c r="O77" i="56"/>
  <c r="AE80" i="56"/>
  <c r="BE79" i="56"/>
  <c r="CI78" i="56"/>
  <c r="N72" i="56"/>
  <c r="W77" i="56"/>
  <c r="BH78" i="56"/>
  <c r="CF78" i="56"/>
  <c r="V78" i="56"/>
  <c r="BA78" i="56"/>
  <c r="AJ76" i="56"/>
  <c r="BG77" i="56"/>
  <c r="AZ80" i="56"/>
  <c r="AC80" i="56"/>
  <c r="AR72" i="56"/>
  <c r="T72" i="56"/>
  <c r="AI72" i="56"/>
  <c r="R78" i="56"/>
  <c r="BW78" i="56"/>
  <c r="AN77" i="56"/>
  <c r="AS75" i="56"/>
  <c r="BN72" i="56"/>
  <c r="BF76" i="56"/>
  <c r="AS78" i="56"/>
  <c r="X76" i="56"/>
  <c r="BP79" i="56"/>
  <c r="Y80" i="56"/>
  <c r="AI76" i="56"/>
  <c r="Q78" i="56"/>
  <c r="CE74" i="56"/>
  <c r="BL72" i="56"/>
  <c r="U72" i="56"/>
  <c r="Z74" i="56"/>
  <c r="BO79" i="56"/>
  <c r="BA77" i="56"/>
  <c r="BZ79" i="56"/>
  <c r="U75" i="56"/>
  <c r="BF74" i="56"/>
  <c r="CC75" i="56"/>
  <c r="CH78" i="56"/>
  <c r="BS77" i="56"/>
  <c r="CD80" i="56"/>
  <c r="BO76" i="56"/>
  <c r="Z80" i="56"/>
  <c r="BP72" i="56"/>
  <c r="AG78" i="56"/>
  <c r="CG78" i="56"/>
  <c r="BC77" i="56"/>
  <c r="CC77" i="56"/>
  <c r="AF76" i="56"/>
  <c r="BJ76" i="56"/>
  <c r="BV76" i="56"/>
  <c r="BU80" i="56"/>
  <c r="BN80" i="56"/>
  <c r="BE80" i="56"/>
  <c r="CB76" i="56"/>
  <c r="R80" i="56"/>
  <c r="BV75" i="56"/>
  <c r="BQ72" i="56"/>
  <c r="BO72" i="56"/>
  <c r="CB77" i="56"/>
  <c r="Z77" i="56"/>
  <c r="BW76" i="56"/>
  <c r="L80" i="56"/>
  <c r="AE76" i="56"/>
  <c r="AL76" i="56"/>
  <c r="AW77" i="56"/>
  <c r="M80" i="56"/>
  <c r="CF76" i="56"/>
  <c r="AB72" i="56"/>
  <c r="J102" i="56"/>
  <c r="CA78" i="56"/>
  <c r="AQ74" i="56"/>
  <c r="S80" i="56"/>
  <c r="AY72" i="56"/>
  <c r="BK76" i="56"/>
  <c r="AU76" i="56"/>
  <c r="AN74" i="56"/>
  <c r="AF78" i="56"/>
  <c r="O72" i="56"/>
  <c r="L78" i="56"/>
  <c r="V75" i="56"/>
  <c r="CH76" i="56"/>
  <c r="AR80" i="56"/>
  <c r="AM74" i="56"/>
  <c r="BB75" i="56"/>
  <c r="AW75" i="56"/>
  <c r="CI74" i="56"/>
  <c r="AN80" i="56"/>
  <c r="AY74" i="56"/>
  <c r="Z2" i="39"/>
  <c r="L4" i="44"/>
  <c r="CA79" i="56"/>
  <c r="O76" i="56"/>
  <c r="S77" i="56"/>
  <c r="AM80" i="56"/>
  <c r="AN76" i="56"/>
  <c r="U77" i="56"/>
  <c r="CE80" i="56"/>
  <c r="BI72" i="56"/>
  <c r="BF72" i="56"/>
  <c r="AO72" i="56"/>
  <c r="W72" i="56"/>
  <c r="AJ78" i="56"/>
  <c r="AX78" i="56"/>
  <c r="BN78" i="56"/>
  <c r="BP78" i="56"/>
  <c r="AH78" i="56"/>
  <c r="CE77" i="56"/>
  <c r="R77" i="56"/>
  <c r="BU77" i="56"/>
  <c r="BF77" i="56"/>
  <c r="BN76" i="56"/>
  <c r="BZ80" i="56"/>
  <c r="BF80" i="56"/>
  <c r="AT80" i="56"/>
  <c r="BR74" i="56"/>
  <c r="CG75" i="56"/>
  <c r="AX75" i="56"/>
  <c r="AA75" i="56"/>
  <c r="AG74" i="56"/>
  <c r="BJ74" i="56"/>
  <c r="AP75" i="56"/>
  <c r="BG74" i="56"/>
  <c r="BT78" i="56"/>
  <c r="BK72" i="56"/>
  <c r="CI76" i="56"/>
  <c r="AZ77" i="56"/>
  <c r="M72" i="56"/>
  <c r="BU78" i="56"/>
  <c r="AD80" i="56"/>
  <c r="BV80" i="56"/>
  <c r="AG80" i="56"/>
  <c r="AK78" i="56"/>
  <c r="CA74" i="56"/>
  <c r="J107" i="56"/>
  <c r="CD75" i="56"/>
  <c r="AO78" i="56"/>
  <c r="AQ72" i="56"/>
  <c r="AC76" i="56"/>
  <c r="S72" i="56"/>
  <c r="BM76" i="56"/>
  <c r="AR76" i="56"/>
  <c r="BX80" i="56"/>
  <c r="BW75" i="56"/>
  <c r="BZ74" i="56"/>
  <c r="BE72" i="56"/>
  <c r="BX78" i="56"/>
  <c r="AC77" i="56"/>
  <c r="BO78" i="56"/>
  <c r="CE76" i="56"/>
  <c r="BJ80" i="56"/>
  <c r="CH80" i="56"/>
  <c r="T78" i="56"/>
  <c r="BC74" i="56"/>
  <c r="AO76" i="56"/>
  <c r="AI78" i="56"/>
  <c r="BT77" i="56"/>
  <c r="BS76" i="56"/>
  <c r="X78" i="56"/>
  <c r="BE74" i="56"/>
  <c r="BE77" i="56"/>
  <c r="BO80" i="56"/>
  <c r="AP72" i="56"/>
  <c r="AP77" i="56"/>
  <c r="AP80" i="56"/>
  <c r="V80" i="56"/>
  <c r="BD78" i="56"/>
  <c r="BT80" i="56"/>
  <c r="BP75" i="56"/>
  <c r="BO102" i="56"/>
  <c r="S75" i="56"/>
  <c r="AL74" i="56"/>
  <c r="BP76" i="56"/>
  <c r="BH72" i="56"/>
  <c r="BL78" i="56"/>
  <c r="BN79" i="56"/>
  <c r="BO77" i="56"/>
  <c r="Q79" i="56"/>
  <c r="AW76" i="56"/>
  <c r="AT76" i="56"/>
  <c r="AT77" i="56"/>
  <c r="W80" i="56"/>
  <c r="AE74" i="56"/>
  <c r="BW74" i="56"/>
  <c r="BO74" i="56"/>
  <c r="BO101" i="56"/>
  <c r="AJ74" i="56"/>
  <c r="AX74" i="56"/>
  <c r="AO75" i="56"/>
  <c r="AJ72" i="56"/>
  <c r="BT75" i="56"/>
  <c r="AY75" i="56"/>
  <c r="Y77" i="56"/>
  <c r="BI74" i="56"/>
  <c r="AB75" i="56"/>
  <c r="BG75" i="56"/>
  <c r="AF74" i="56"/>
  <c r="L74" i="56"/>
  <c r="CA77" i="56"/>
  <c r="BA80" i="56"/>
  <c r="AJ79" i="56"/>
  <c r="CG79" i="56"/>
  <c r="BS74" i="56"/>
  <c r="CI75" i="56"/>
  <c r="BT74" i="56"/>
  <c r="AK74" i="56"/>
  <c r="AJ75" i="56"/>
  <c r="AQ75" i="56"/>
  <c r="BZ75" i="56"/>
  <c r="BY75" i="56"/>
  <c r="BK74" i="56"/>
  <c r="BY74" i="56"/>
  <c r="O75" i="56"/>
  <c r="AH74" i="56"/>
  <c r="BQ74" i="56"/>
  <c r="AP74" i="56"/>
  <c r="BM75" i="56"/>
  <c r="BM74" i="56"/>
  <c r="BX74" i="56"/>
  <c r="CB75" i="56"/>
  <c r="AZ74" i="56"/>
  <c r="BH74" i="56"/>
  <c r="AT74" i="56"/>
  <c r="T75" i="56"/>
  <c r="AH75" i="56"/>
  <c r="AV75" i="56"/>
  <c r="AL75" i="56"/>
  <c r="BQ75" i="56"/>
  <c r="AW74" i="56"/>
  <c r="AG79" i="56"/>
  <c r="L79" i="56"/>
  <c r="AK79" i="56"/>
  <c r="AI77" i="56"/>
  <c r="CA75" i="56"/>
  <c r="BA75" i="56"/>
  <c r="AK75" i="56"/>
  <c r="BS75" i="56"/>
  <c r="U74" i="56"/>
  <c r="BN74" i="56"/>
  <c r="AJ80" i="56"/>
  <c r="J106" i="56"/>
  <c r="AI75" i="56"/>
  <c r="BX75" i="56"/>
  <c r="BO75" i="56"/>
  <c r="X74" i="56"/>
  <c r="AR75" i="56"/>
  <c r="N75" i="56"/>
  <c r="AI74" i="56"/>
  <c r="AB74" i="56"/>
  <c r="CF75" i="56"/>
  <c r="X80" i="56"/>
  <c r="AD76" i="56"/>
  <c r="AG75" i="56"/>
  <c r="BL75" i="56"/>
  <c r="AE77" i="56"/>
  <c r="P75" i="56"/>
  <c r="AF79" i="56"/>
  <c r="Y79" i="56"/>
  <c r="BH79" i="56"/>
  <c r="BI79" i="56"/>
  <c r="BS79" i="56"/>
  <c r="AV80" i="56"/>
  <c r="BA79" i="56"/>
  <c r="AA79" i="56"/>
  <c r="O79" i="56"/>
  <c r="T76" i="56"/>
  <c r="N80" i="56"/>
  <c r="AX77" i="56"/>
  <c r="CH79" i="56"/>
  <c r="BB77" i="56"/>
  <c r="T77" i="56"/>
  <c r="AS80" i="56"/>
  <c r="AL77" i="56"/>
  <c r="CG76" i="56"/>
  <c r="P76" i="56"/>
  <c r="BW80" i="56"/>
  <c r="AS76" i="56"/>
  <c r="CF79" i="56"/>
  <c r="AV77" i="56"/>
  <c r="CB79" i="56"/>
  <c r="Z79" i="56"/>
  <c r="BL79" i="56"/>
  <c r="P79" i="56"/>
  <c r="AT79" i="56"/>
  <c r="AM76" i="56"/>
  <c r="AU79" i="56"/>
  <c r="BW79" i="56"/>
  <c r="R79" i="56"/>
  <c r="AD79" i="56"/>
  <c r="AK76" i="56"/>
  <c r="BT79" i="56"/>
  <c r="BK79" i="56"/>
  <c r="AR77" i="56"/>
  <c r="AZ76" i="56"/>
  <c r="AS77" i="56"/>
  <c r="AQ80" i="56"/>
  <c r="BM79" i="56"/>
  <c r="AL79" i="56"/>
  <c r="AX76" i="56"/>
  <c r="L76" i="56"/>
  <c r="BL77" i="56"/>
  <c r="U76" i="56"/>
  <c r="BU79" i="56"/>
  <c r="AB80" i="56"/>
  <c r="O80" i="56"/>
  <c r="U80" i="56"/>
  <c r="BP80" i="56"/>
  <c r="BQ79" i="56"/>
  <c r="BX77" i="56"/>
  <c r="AK80" i="56"/>
  <c r="AL80" i="56"/>
  <c r="U79" i="56"/>
  <c r="AH79" i="56"/>
  <c r="AN79" i="56"/>
  <c r="AS79" i="56"/>
  <c r="V79" i="56"/>
  <c r="M79" i="56"/>
  <c r="AW79" i="56"/>
  <c r="AB79" i="56"/>
  <c r="AM79" i="56"/>
  <c r="N79" i="56"/>
  <c r="AI79" i="56"/>
  <c r="AQ79" i="56"/>
  <c r="AE79" i="56"/>
  <c r="BF79" i="56"/>
  <c r="BV79" i="56"/>
  <c r="BY79" i="56"/>
  <c r="AR79" i="56"/>
  <c r="M23" i="39"/>
  <c r="M24" i="39" s="1"/>
  <c r="M25" i="39" s="1"/>
  <c r="AV79" i="56"/>
  <c r="BB79" i="56"/>
  <c r="X79" i="56"/>
  <c r="AO79" i="56"/>
  <c r="S79" i="56"/>
  <c r="BD79" i="56"/>
  <c r="BJ79" i="56"/>
  <c r="CI79" i="56"/>
  <c r="W79" i="56"/>
  <c r="AP79" i="56"/>
  <c r="BC79" i="56"/>
  <c r="BG79" i="56"/>
  <c r="BR79" i="56"/>
  <c r="AC79" i="56"/>
  <c r="CC79" i="56"/>
  <c r="T79" i="56"/>
  <c r="BX79" i="56"/>
  <c r="O59" i="56"/>
  <c r="Z59" i="56"/>
  <c r="AS59" i="56"/>
  <c r="AA59" i="56"/>
  <c r="AZ59" i="56"/>
  <c r="X59" i="56"/>
  <c r="AX59" i="56"/>
  <c r="AL59" i="56"/>
  <c r="AO59" i="56"/>
  <c r="AE59" i="56"/>
  <c r="AM59" i="56"/>
  <c r="AI59" i="56"/>
  <c r="AV59" i="56"/>
  <c r="BC59" i="56"/>
  <c r="R59" i="56"/>
  <c r="BI59" i="56"/>
  <c r="BF59" i="56"/>
  <c r="BE59" i="56"/>
  <c r="AQ59" i="56"/>
  <c r="AW59" i="56"/>
  <c r="AB59" i="56"/>
  <c r="BH59" i="56"/>
  <c r="AN59" i="56"/>
  <c r="BN59" i="56"/>
  <c r="Q59" i="56"/>
  <c r="V59" i="56"/>
  <c r="M59" i="56"/>
  <c r="BA59" i="56"/>
  <c r="AD59" i="56"/>
  <c r="BK59" i="56"/>
  <c r="BP59" i="56"/>
  <c r="BM59" i="56"/>
  <c r="I59" i="56"/>
  <c r="I71" i="56" s="1"/>
  <c r="I84" i="56" s="1"/>
  <c r="I98" i="56" s="1"/>
  <c r="BD59" i="56"/>
  <c r="BO59" i="56"/>
  <c r="BO98" i="56" s="1"/>
  <c r="BO115" i="56" s="1"/>
  <c r="U59" i="56"/>
  <c r="AG59" i="56"/>
  <c r="K59" i="56"/>
  <c r="AF59" i="56"/>
  <c r="N59" i="56"/>
  <c r="AH59" i="56"/>
  <c r="AU59" i="56"/>
  <c r="W59" i="56"/>
  <c r="BL59" i="56"/>
  <c r="AP59" i="56"/>
  <c r="AJ59" i="56"/>
  <c r="J59" i="56"/>
  <c r="L59" i="56"/>
  <c r="Y59" i="56"/>
  <c r="BJ59" i="56"/>
  <c r="BQ59" i="56"/>
  <c r="P59" i="56"/>
  <c r="T59" i="56"/>
  <c r="BB59" i="56"/>
  <c r="AT59" i="56"/>
  <c r="AC59" i="56"/>
  <c r="AR59" i="56"/>
  <c r="S59" i="56"/>
  <c r="AK59" i="56"/>
  <c r="AY59" i="56"/>
  <c r="BG59" i="56"/>
  <c r="BP105" i="56"/>
  <c r="BN105" i="56"/>
  <c r="BP102" i="56"/>
  <c r="BN101" i="56"/>
  <c r="BP101" i="56"/>
  <c r="BN100" i="56"/>
  <c r="BP104" i="56"/>
  <c r="BN104" i="56"/>
  <c r="BN103" i="56"/>
  <c r="BP103" i="56"/>
  <c r="BN107" i="56"/>
  <c r="BP106" i="56"/>
  <c r="BN99" i="56"/>
  <c r="BN116" i="56" s="1"/>
  <c r="BP99" i="56"/>
  <c r="BP117" i="56" s="1"/>
  <c r="BP100" i="56"/>
  <c r="C23" i="39"/>
  <c r="Y30" i="66" l="1"/>
  <c r="Z30" i="66" s="1"/>
  <c r="AB30" i="66"/>
  <c r="S29" i="66"/>
  <c r="H29" i="66"/>
  <c r="I28" i="66"/>
  <c r="K28" i="66"/>
  <c r="V28" i="66" s="1"/>
  <c r="N28" i="66"/>
  <c r="W28" i="66" s="1"/>
  <c r="F30" i="66"/>
  <c r="G30" i="66"/>
  <c r="E31" i="66"/>
  <c r="D31" i="66"/>
  <c r="P30" i="66"/>
  <c r="BR83" i="56"/>
  <c r="BR96" i="56"/>
  <c r="BR97" i="56" s="1"/>
  <c r="BR113" i="56" s="1"/>
  <c r="BS7" i="56"/>
  <c r="BS82" i="56"/>
  <c r="BS9" i="56"/>
  <c r="BS6" i="56"/>
  <c r="BT8" i="56"/>
  <c r="BR108" i="56"/>
  <c r="BR36" i="56"/>
  <c r="BR54" i="56"/>
  <c r="BR41" i="56"/>
  <c r="BR33" i="56"/>
  <c r="BR31" i="56"/>
  <c r="BR39" i="56"/>
  <c r="BR38" i="56"/>
  <c r="BR27" i="56"/>
  <c r="BR42" i="56"/>
  <c r="BR37" i="56"/>
  <c r="BR14" i="56"/>
  <c r="BR12" i="56"/>
  <c r="BR116" i="56"/>
  <c r="BR48" i="56"/>
  <c r="BR13" i="56"/>
  <c r="BR16" i="56"/>
  <c r="BR19" i="56"/>
  <c r="BR28" i="56"/>
  <c r="BR53" i="56"/>
  <c r="BR45" i="56"/>
  <c r="BR23" i="56"/>
  <c r="BR21" i="56"/>
  <c r="BR22" i="56"/>
  <c r="BR50" i="56"/>
  <c r="BR26" i="56"/>
  <c r="BR55" i="56"/>
  <c r="BR29" i="56"/>
  <c r="BR10" i="56"/>
  <c r="BR46" i="56"/>
  <c r="BR47" i="56"/>
  <c r="BR35" i="56"/>
  <c r="BR52" i="56"/>
  <c r="BR43" i="56"/>
  <c r="BR40" i="56"/>
  <c r="BR25" i="56"/>
  <c r="BR114" i="56"/>
  <c r="BR30" i="56"/>
  <c r="BR17" i="56"/>
  <c r="BR32" i="56"/>
  <c r="BR34" i="56"/>
  <c r="BR49" i="56"/>
  <c r="BR15" i="56"/>
  <c r="BR20" i="56"/>
  <c r="BR11" i="56"/>
  <c r="BR44" i="56"/>
  <c r="BR51" i="56"/>
  <c r="BR24" i="56"/>
  <c r="BR18" i="56"/>
  <c r="AA22" i="39"/>
  <c r="X24" i="39"/>
  <c r="X25" i="39" s="1"/>
  <c r="BA71" i="56"/>
  <c r="AC71" i="56"/>
  <c r="P71" i="56"/>
  <c r="BL71" i="56"/>
  <c r="BN106" i="56"/>
  <c r="BP107" i="56"/>
  <c r="P23" i="39"/>
  <c r="P24" i="39"/>
  <c r="N71" i="56"/>
  <c r="BG71" i="56"/>
  <c r="BQ71" i="56"/>
  <c r="S71" i="56"/>
  <c r="AH71" i="56"/>
  <c r="AM71" i="56"/>
  <c r="AB71" i="56"/>
  <c r="AY71" i="56"/>
  <c r="BJ71" i="56"/>
  <c r="AJ71" i="56"/>
  <c r="W71" i="56"/>
  <c r="T71" i="56"/>
  <c r="AT71" i="56"/>
  <c r="AR71" i="56"/>
  <c r="Y71" i="56"/>
  <c r="AA71" i="56"/>
  <c r="L71" i="56"/>
  <c r="AF71" i="56"/>
  <c r="BD71" i="56"/>
  <c r="AN71" i="56"/>
  <c r="BM71" i="56"/>
  <c r="AV71" i="56"/>
  <c r="AO71" i="56"/>
  <c r="O71" i="56"/>
  <c r="BF71" i="56"/>
  <c r="BI71" i="56"/>
  <c r="AZ71" i="56"/>
  <c r="AK71" i="56"/>
  <c r="AP71" i="56"/>
  <c r="AU71" i="56"/>
  <c r="AG71" i="56"/>
  <c r="BO71" i="56"/>
  <c r="BP71" i="56"/>
  <c r="M71" i="56"/>
  <c r="AW71" i="56"/>
  <c r="R71" i="56"/>
  <c r="AL71" i="56"/>
  <c r="BB71" i="56"/>
  <c r="U71" i="56"/>
  <c r="BK71" i="56"/>
  <c r="V71" i="56"/>
  <c r="AQ71" i="56"/>
  <c r="AI71" i="56"/>
  <c r="AX71" i="56"/>
  <c r="AS71" i="56"/>
  <c r="BN71" i="56"/>
  <c r="J98" i="56"/>
  <c r="J114" i="56"/>
  <c r="J115" i="56" s="1"/>
  <c r="J71" i="56"/>
  <c r="I115" i="56"/>
  <c r="I114" i="56"/>
  <c r="AD71" i="56"/>
  <c r="Q71" i="56"/>
  <c r="BH71" i="56"/>
  <c r="BE71" i="56"/>
  <c r="BC71" i="56"/>
  <c r="AE71" i="56"/>
  <c r="X71" i="56"/>
  <c r="Z71" i="56"/>
  <c r="BR91" i="56"/>
  <c r="BQ91" i="56" s="1"/>
  <c r="BP91" i="56" s="1"/>
  <c r="BO91" i="56" s="1"/>
  <c r="BN91" i="56" s="1"/>
  <c r="BM91" i="56" s="1"/>
  <c r="BL91" i="56" s="1"/>
  <c r="BQ105" i="56"/>
  <c r="BR86" i="56"/>
  <c r="BQ86" i="56" s="1"/>
  <c r="BP86" i="56" s="1"/>
  <c r="BO86" i="56" s="1"/>
  <c r="BN86" i="56" s="1"/>
  <c r="BM86" i="56" s="1"/>
  <c r="BL86" i="56" s="1"/>
  <c r="BQ100" i="56"/>
  <c r="BM99" i="56"/>
  <c r="BM116" i="56" s="1"/>
  <c r="BQ103" i="56"/>
  <c r="BR89" i="56"/>
  <c r="BQ89" i="56" s="1"/>
  <c r="BP89" i="56" s="1"/>
  <c r="BO89" i="56" s="1"/>
  <c r="BN89" i="56" s="1"/>
  <c r="BM89" i="56" s="1"/>
  <c r="BL89" i="56" s="1"/>
  <c r="BM100" i="56"/>
  <c r="BM101" i="56"/>
  <c r="BR92" i="56"/>
  <c r="BQ92" i="56" s="1"/>
  <c r="BP92" i="56" s="1"/>
  <c r="BO92" i="56" s="1"/>
  <c r="BN92" i="56" s="1"/>
  <c r="BM92" i="56" s="1"/>
  <c r="BL92" i="56" s="1"/>
  <c r="BQ106" i="56"/>
  <c r="BQ107" i="56"/>
  <c r="BR93" i="56"/>
  <c r="BQ93" i="56" s="1"/>
  <c r="BP93" i="56" s="1"/>
  <c r="BO93" i="56" s="1"/>
  <c r="BN93" i="56" s="1"/>
  <c r="BM93" i="56" s="1"/>
  <c r="BL93" i="56" s="1"/>
  <c r="BM104" i="56"/>
  <c r="BR85" i="56"/>
  <c r="BQ99" i="56"/>
  <c r="BQ117" i="56" s="1"/>
  <c r="BM102" i="56"/>
  <c r="BM107" i="56"/>
  <c r="BM103" i="56"/>
  <c r="BR90" i="56"/>
  <c r="BQ90" i="56" s="1"/>
  <c r="BP90" i="56" s="1"/>
  <c r="BO90" i="56" s="1"/>
  <c r="BN90" i="56" s="1"/>
  <c r="BM90" i="56" s="1"/>
  <c r="BL90" i="56" s="1"/>
  <c r="BQ104" i="56"/>
  <c r="BR87" i="56"/>
  <c r="BQ87" i="56" s="1"/>
  <c r="BP87" i="56" s="1"/>
  <c r="BO87" i="56" s="1"/>
  <c r="BN87" i="56" s="1"/>
  <c r="BM87" i="56" s="1"/>
  <c r="BL87" i="56" s="1"/>
  <c r="BQ101" i="56"/>
  <c r="BR88" i="56"/>
  <c r="BQ88" i="56" s="1"/>
  <c r="BP88" i="56" s="1"/>
  <c r="BO88" i="56" s="1"/>
  <c r="BN88" i="56" s="1"/>
  <c r="BQ102" i="56"/>
  <c r="BM105" i="56"/>
  <c r="BM106" i="56"/>
  <c r="P25" i="39"/>
  <c r="M26" i="39"/>
  <c r="F23" i="39"/>
  <c r="C24" i="39"/>
  <c r="H30" i="66" l="1"/>
  <c r="N30" i="66" s="1"/>
  <c r="W30" i="66" s="1"/>
  <c r="Y31" i="66"/>
  <c r="Z31" i="66" s="1"/>
  <c r="AB31" i="66"/>
  <c r="S30" i="66"/>
  <c r="N29" i="66"/>
  <c r="W29" i="66" s="1"/>
  <c r="I29" i="66"/>
  <c r="K29" i="66"/>
  <c r="V29" i="66" s="1"/>
  <c r="G31" i="66"/>
  <c r="F31" i="66"/>
  <c r="E32" i="66"/>
  <c r="D32" i="66"/>
  <c r="P31" i="66"/>
  <c r="BR59" i="56"/>
  <c r="BR71" i="56" s="1"/>
  <c r="BR60" i="56"/>
  <c r="BR72" i="56" s="1"/>
  <c r="BS96" i="56"/>
  <c r="BS97" i="56" s="1"/>
  <c r="BS113" i="56" s="1"/>
  <c r="BS83" i="56"/>
  <c r="BS87" i="56" s="1"/>
  <c r="BT9" i="56"/>
  <c r="BT82" i="56"/>
  <c r="BT7" i="56"/>
  <c r="BU8" i="56"/>
  <c r="BT6" i="56"/>
  <c r="BS114" i="56"/>
  <c r="BS24" i="56"/>
  <c r="BS32" i="56"/>
  <c r="BS54" i="56"/>
  <c r="BS21" i="56"/>
  <c r="BS51" i="56"/>
  <c r="BS40" i="56"/>
  <c r="BS29" i="56"/>
  <c r="BS47" i="56"/>
  <c r="BS34" i="56"/>
  <c r="BS45" i="56"/>
  <c r="BS43" i="56"/>
  <c r="BS33" i="56"/>
  <c r="BS10" i="56"/>
  <c r="BS37" i="56"/>
  <c r="BS25" i="56"/>
  <c r="BS15" i="56"/>
  <c r="BS13" i="56"/>
  <c r="BS19" i="56"/>
  <c r="BS35" i="56"/>
  <c r="BS41" i="56"/>
  <c r="BS42" i="56"/>
  <c r="BS30" i="56"/>
  <c r="BS20" i="56"/>
  <c r="BS28" i="56"/>
  <c r="BS38" i="56"/>
  <c r="BS11" i="56"/>
  <c r="BS108" i="56"/>
  <c r="BS12" i="56"/>
  <c r="BS55" i="56"/>
  <c r="BS46" i="56"/>
  <c r="BS50" i="56"/>
  <c r="BS116" i="56"/>
  <c r="BS49" i="56"/>
  <c r="BS18" i="56"/>
  <c r="BS26" i="56"/>
  <c r="BS44" i="56"/>
  <c r="BS23" i="56"/>
  <c r="BS36" i="56"/>
  <c r="BS48" i="56"/>
  <c r="BS17" i="56"/>
  <c r="BS27" i="56"/>
  <c r="BS16" i="56"/>
  <c r="BS39" i="56"/>
  <c r="BS53" i="56"/>
  <c r="BS31" i="56"/>
  <c r="BS22" i="56"/>
  <c r="BS52" i="56"/>
  <c r="BS14" i="56"/>
  <c r="AA24" i="39"/>
  <c r="BN102" i="56"/>
  <c r="BM88" i="56"/>
  <c r="BL88" i="56" s="1"/>
  <c r="BK88" i="56" s="1"/>
  <c r="BP98" i="56"/>
  <c r="BP115" i="56" s="1"/>
  <c r="BN98" i="56"/>
  <c r="BN114" i="56" s="1"/>
  <c r="BR105" i="56"/>
  <c r="BK93" i="56"/>
  <c r="BL107" i="56"/>
  <c r="BR107" i="56"/>
  <c r="BL100" i="56"/>
  <c r="BK86" i="56"/>
  <c r="BL105" i="56"/>
  <c r="BK91" i="56"/>
  <c r="BR101" i="56"/>
  <c r="BR99" i="56"/>
  <c r="BR117" i="56" s="1"/>
  <c r="BL99" i="56"/>
  <c r="BL116" i="56" s="1"/>
  <c r="BK92" i="56"/>
  <c r="BL106" i="56"/>
  <c r="BK87" i="56"/>
  <c r="BL101" i="56"/>
  <c r="BR103" i="56"/>
  <c r="BR102" i="56"/>
  <c r="BS90" i="56"/>
  <c r="BR104" i="56"/>
  <c r="BL103" i="56"/>
  <c r="BK89" i="56"/>
  <c r="BL102" i="56"/>
  <c r="BK90" i="56"/>
  <c r="BL104" i="56"/>
  <c r="BR106" i="56"/>
  <c r="BS92" i="56"/>
  <c r="BR100" i="56"/>
  <c r="P26" i="39"/>
  <c r="M27" i="39"/>
  <c r="X26" i="39"/>
  <c r="AA25" i="39"/>
  <c r="C25" i="39"/>
  <c r="F24" i="39"/>
  <c r="K30" i="66" l="1"/>
  <c r="V30" i="66" s="1"/>
  <c r="I30" i="66"/>
  <c r="H31" i="66"/>
  <c r="N31" i="66" s="1"/>
  <c r="W31" i="66" s="1"/>
  <c r="Y32" i="66"/>
  <c r="Z32" i="66" s="1"/>
  <c r="AB32" i="66"/>
  <c r="S31" i="66"/>
  <c r="F32" i="66"/>
  <c r="G32" i="66"/>
  <c r="E33" i="66"/>
  <c r="D33" i="66"/>
  <c r="P32" i="66"/>
  <c r="BS88" i="56"/>
  <c r="BS93" i="56"/>
  <c r="BS86" i="56"/>
  <c r="BS91" i="56"/>
  <c r="BS89" i="56"/>
  <c r="BS60" i="56"/>
  <c r="BS72" i="56" s="1"/>
  <c r="BQ85" i="56"/>
  <c r="BP85" i="56" s="1"/>
  <c r="BO85" i="56" s="1"/>
  <c r="BN85" i="56" s="1"/>
  <c r="BM85" i="56" s="1"/>
  <c r="BL85" i="56" s="1"/>
  <c r="BK85" i="56" s="1"/>
  <c r="BJ85" i="56" s="1"/>
  <c r="BS59" i="56"/>
  <c r="BS71" i="56" s="1"/>
  <c r="BT18" i="56"/>
  <c r="BT108" i="56"/>
  <c r="BT39" i="56"/>
  <c r="BT16" i="56"/>
  <c r="BT34" i="56"/>
  <c r="BT42" i="56"/>
  <c r="BT54" i="56"/>
  <c r="BT45" i="56"/>
  <c r="BT10" i="56"/>
  <c r="BT47" i="56"/>
  <c r="BT17" i="56"/>
  <c r="BT24" i="56"/>
  <c r="BT37" i="56"/>
  <c r="BT53" i="56"/>
  <c r="BT29" i="56"/>
  <c r="BT20" i="56"/>
  <c r="BT11" i="56"/>
  <c r="BT21" i="56"/>
  <c r="BT49" i="56"/>
  <c r="BT30" i="56"/>
  <c r="BT116" i="56"/>
  <c r="BT19" i="56"/>
  <c r="BT44" i="56"/>
  <c r="BT41" i="56"/>
  <c r="BT13" i="56"/>
  <c r="BT33" i="56"/>
  <c r="BT27" i="56"/>
  <c r="BT15" i="56"/>
  <c r="BT51" i="56"/>
  <c r="BT55" i="56"/>
  <c r="BT25" i="56"/>
  <c r="BT14" i="56"/>
  <c r="BT50" i="56"/>
  <c r="BT26" i="56"/>
  <c r="BT38" i="56"/>
  <c r="BT31" i="56"/>
  <c r="BT48" i="56"/>
  <c r="BT46" i="56"/>
  <c r="BT43" i="56"/>
  <c r="BT32" i="56"/>
  <c r="BT36" i="56"/>
  <c r="BT28" i="56"/>
  <c r="BT114" i="56"/>
  <c r="BT35" i="56"/>
  <c r="BT52" i="56"/>
  <c r="BT12" i="56"/>
  <c r="BT23" i="56"/>
  <c r="BT40" i="56"/>
  <c r="BT22" i="56"/>
  <c r="BV8" i="56"/>
  <c r="BU6" i="56"/>
  <c r="BU9" i="56"/>
  <c r="BU82" i="56"/>
  <c r="BU7" i="56"/>
  <c r="BT83" i="56"/>
  <c r="BT90" i="56" s="1"/>
  <c r="BT96" i="56"/>
  <c r="BT97" i="56" s="1"/>
  <c r="BT113" i="56" s="1"/>
  <c r="BM98" i="56"/>
  <c r="BM114" i="56" s="1"/>
  <c r="BR84" i="56"/>
  <c r="BQ84" i="56" s="1"/>
  <c r="BP84" i="56" s="1"/>
  <c r="BO84" i="56" s="1"/>
  <c r="BN84" i="56" s="1"/>
  <c r="BM84" i="56" s="1"/>
  <c r="BL84" i="56" s="1"/>
  <c r="BQ98" i="56"/>
  <c r="BQ115" i="56" s="1"/>
  <c r="BT91" i="56"/>
  <c r="BS105" i="56"/>
  <c r="BS106" i="56"/>
  <c r="BS103" i="56"/>
  <c r="BS101" i="56"/>
  <c r="BK100" i="56"/>
  <c r="BJ86" i="56"/>
  <c r="BJ90" i="56"/>
  <c r="BK104" i="56"/>
  <c r="BJ88" i="56"/>
  <c r="BK102" i="56"/>
  <c r="BS104" i="56"/>
  <c r="BJ92" i="56"/>
  <c r="BK106" i="56"/>
  <c r="BK107" i="56"/>
  <c r="BJ93" i="56"/>
  <c r="BS100" i="56"/>
  <c r="BJ89" i="56"/>
  <c r="BK103" i="56"/>
  <c r="BS102" i="56"/>
  <c r="BK105" i="56"/>
  <c r="BJ91" i="56"/>
  <c r="BS107" i="56"/>
  <c r="BJ87" i="56"/>
  <c r="BK101" i="56"/>
  <c r="BK99" i="56"/>
  <c r="BK116" i="56" s="1"/>
  <c r="BS99" i="56"/>
  <c r="BS117" i="56" s="1"/>
  <c r="M28" i="39"/>
  <c r="P27" i="39"/>
  <c r="AA26" i="39"/>
  <c r="X27" i="39"/>
  <c r="F25" i="39"/>
  <c r="C26" i="39"/>
  <c r="I31" i="66" l="1"/>
  <c r="K31" i="66"/>
  <c r="V31" i="66" s="1"/>
  <c r="Y33" i="66"/>
  <c r="Z33" i="66" s="1"/>
  <c r="AB33" i="66"/>
  <c r="S32" i="66"/>
  <c r="H32" i="66"/>
  <c r="G33" i="66"/>
  <c r="F33" i="66"/>
  <c r="E34" i="66"/>
  <c r="D34" i="66"/>
  <c r="P33" i="66"/>
  <c r="BS85" i="56"/>
  <c r="BT59" i="56"/>
  <c r="BT71" i="56" s="1"/>
  <c r="BT60" i="56"/>
  <c r="BT72" i="56" s="1"/>
  <c r="BT89" i="56"/>
  <c r="BT86" i="56"/>
  <c r="BT93" i="56"/>
  <c r="BT88" i="56"/>
  <c r="BU116" i="56"/>
  <c r="BU51" i="56"/>
  <c r="BU32" i="56"/>
  <c r="BU15" i="56"/>
  <c r="BU54" i="56"/>
  <c r="BU33" i="56"/>
  <c r="BU26" i="56"/>
  <c r="BU21" i="56"/>
  <c r="BU36" i="56"/>
  <c r="BU14" i="56"/>
  <c r="BU25" i="56"/>
  <c r="BU41" i="56"/>
  <c r="BU108" i="56"/>
  <c r="BU18" i="56"/>
  <c r="BU12" i="56"/>
  <c r="BU47" i="56"/>
  <c r="BU55" i="56"/>
  <c r="BU19" i="56"/>
  <c r="BU29" i="56"/>
  <c r="BU46" i="56"/>
  <c r="BU16" i="56"/>
  <c r="BU10" i="56"/>
  <c r="BU13" i="56"/>
  <c r="BU20" i="56"/>
  <c r="BU44" i="56"/>
  <c r="BU23" i="56"/>
  <c r="BU24" i="56"/>
  <c r="BU42" i="56"/>
  <c r="BU43" i="56"/>
  <c r="BU53" i="56"/>
  <c r="BU40" i="56"/>
  <c r="BU49" i="56"/>
  <c r="BU37" i="56"/>
  <c r="BU31" i="56"/>
  <c r="BU35" i="56"/>
  <c r="BU11" i="56"/>
  <c r="BU17" i="56"/>
  <c r="BU114" i="56"/>
  <c r="BU30" i="56"/>
  <c r="BU50" i="56"/>
  <c r="BU48" i="56"/>
  <c r="BU38" i="56"/>
  <c r="BU27" i="56"/>
  <c r="BU22" i="56"/>
  <c r="BU39" i="56"/>
  <c r="BU34" i="56"/>
  <c r="BU52" i="56"/>
  <c r="BU45" i="56"/>
  <c r="BU28" i="56"/>
  <c r="BT87" i="56"/>
  <c r="BU87" i="56" s="1"/>
  <c r="BT92" i="56"/>
  <c r="BV82" i="56"/>
  <c r="BV9" i="56"/>
  <c r="BV7" i="56"/>
  <c r="BW8" i="56"/>
  <c r="BV6" i="56"/>
  <c r="BU83" i="56"/>
  <c r="BU96" i="56"/>
  <c r="BU97" i="56" s="1"/>
  <c r="BU113" i="56" s="1"/>
  <c r="BR98" i="56"/>
  <c r="BR115" i="56" s="1"/>
  <c r="BS84" i="56"/>
  <c r="BL98" i="56"/>
  <c r="BL114" i="56" s="1"/>
  <c r="BK84" i="56"/>
  <c r="BT105" i="56"/>
  <c r="BI89" i="56"/>
  <c r="BJ103" i="56"/>
  <c r="BT104" i="56"/>
  <c r="BT101" i="56"/>
  <c r="BT100" i="56"/>
  <c r="BJ104" i="56"/>
  <c r="BI90" i="56"/>
  <c r="BT103" i="56"/>
  <c r="BI87" i="56"/>
  <c r="BJ101" i="56"/>
  <c r="BT107" i="56"/>
  <c r="BT102" i="56"/>
  <c r="BJ106" i="56"/>
  <c r="BI92" i="56"/>
  <c r="BI88" i="56"/>
  <c r="BJ102" i="56"/>
  <c r="BI86" i="56"/>
  <c r="BJ100" i="56"/>
  <c r="BT106" i="56"/>
  <c r="BI85" i="56"/>
  <c r="BJ99" i="56"/>
  <c r="BJ116" i="56" s="1"/>
  <c r="BJ105" i="56"/>
  <c r="BI91" i="56"/>
  <c r="BI93" i="56"/>
  <c r="BJ107" i="56"/>
  <c r="M29" i="39"/>
  <c r="P28" i="39"/>
  <c r="X28" i="39"/>
  <c r="AA27" i="39"/>
  <c r="F26" i="39"/>
  <c r="C27" i="39"/>
  <c r="Y34" i="66" l="1"/>
  <c r="Z34" i="66" s="1"/>
  <c r="AB34" i="66"/>
  <c r="H33" i="66"/>
  <c r="S33" i="66"/>
  <c r="G34" i="66"/>
  <c r="F34" i="66"/>
  <c r="E35" i="66"/>
  <c r="N32" i="66"/>
  <c r="W32" i="66" s="1"/>
  <c r="K32" i="66"/>
  <c r="V32" i="66" s="1"/>
  <c r="I32" i="66"/>
  <c r="BT99" i="56"/>
  <c r="BT117" i="56" s="1"/>
  <c r="D35" i="66"/>
  <c r="P34" i="66"/>
  <c r="BU86" i="56"/>
  <c r="BU90" i="56"/>
  <c r="BV90" i="56" s="1"/>
  <c r="BU91" i="56"/>
  <c r="BV91" i="56" s="1"/>
  <c r="BV53" i="56"/>
  <c r="BU89" i="56"/>
  <c r="BU92" i="56"/>
  <c r="BV92" i="56" s="1"/>
  <c r="BU93" i="56"/>
  <c r="BV93" i="56" s="1"/>
  <c r="BU59" i="56"/>
  <c r="BU71" i="56" s="1"/>
  <c r="BU60" i="56"/>
  <c r="BU72" i="56" s="1"/>
  <c r="BT85" i="56"/>
  <c r="BU88" i="56"/>
  <c r="BV88" i="56" s="1"/>
  <c r="BV96" i="56"/>
  <c r="BV97" i="56" s="1"/>
  <c r="BV113" i="56" s="1"/>
  <c r="BV83" i="56"/>
  <c r="BX8" i="56"/>
  <c r="BY8" i="56" s="1"/>
  <c r="BW7" i="56"/>
  <c r="BW9" i="56"/>
  <c r="BW82" i="56"/>
  <c r="BW6" i="56"/>
  <c r="BV116" i="56"/>
  <c r="BV52" i="56"/>
  <c r="BV44" i="56"/>
  <c r="BV32" i="56"/>
  <c r="BV46" i="56"/>
  <c r="BV42" i="56"/>
  <c r="BV29" i="56"/>
  <c r="BV13" i="56"/>
  <c r="BV33" i="56"/>
  <c r="BV50" i="56"/>
  <c r="BV47" i="56"/>
  <c r="BV10" i="56"/>
  <c r="BV114" i="56"/>
  <c r="BV35" i="56"/>
  <c r="BV45" i="56"/>
  <c r="BV55" i="56"/>
  <c r="BV49" i="56"/>
  <c r="BV34" i="56"/>
  <c r="BV26" i="56"/>
  <c r="BV18" i="56"/>
  <c r="BV108" i="56"/>
  <c r="BV39" i="56"/>
  <c r="BV17" i="56"/>
  <c r="BV21" i="56"/>
  <c r="BV24" i="56"/>
  <c r="BV16" i="56"/>
  <c r="BV37" i="56"/>
  <c r="BV23" i="56"/>
  <c r="BV11" i="56"/>
  <c r="BV14" i="56"/>
  <c r="BV51" i="56"/>
  <c r="BV43" i="56"/>
  <c r="BV40" i="56"/>
  <c r="BV20" i="56"/>
  <c r="BV41" i="56"/>
  <c r="BV22" i="56"/>
  <c r="BV12" i="56"/>
  <c r="BV36" i="56"/>
  <c r="BV15" i="56"/>
  <c r="BV38" i="56"/>
  <c r="BV27" i="56"/>
  <c r="BV30" i="56"/>
  <c r="BV25" i="56"/>
  <c r="BV19" i="56"/>
  <c r="BV48" i="56"/>
  <c r="BV54" i="56"/>
  <c r="BV31" i="56"/>
  <c r="BV28" i="56"/>
  <c r="BX6" i="56"/>
  <c r="BX9" i="56"/>
  <c r="BX7" i="56"/>
  <c r="BW114" i="56"/>
  <c r="BW108" i="56"/>
  <c r="BW116" i="56"/>
  <c r="BW83" i="56"/>
  <c r="BW96" i="56"/>
  <c r="BW97" i="56" s="1"/>
  <c r="BW113" i="56" s="1"/>
  <c r="BJ84" i="56"/>
  <c r="BK98" i="56"/>
  <c r="BK114" i="56" s="1"/>
  <c r="BT84" i="56"/>
  <c r="BS98" i="56"/>
  <c r="BS115" i="56" s="1"/>
  <c r="BU105" i="56"/>
  <c r="BH92" i="56"/>
  <c r="BI106" i="56"/>
  <c r="BI104" i="56"/>
  <c r="BH90" i="56"/>
  <c r="BH93" i="56"/>
  <c r="BI107" i="56"/>
  <c r="BH85" i="56"/>
  <c r="BI99" i="56"/>
  <c r="BI116" i="56" s="1"/>
  <c r="BU107" i="56"/>
  <c r="BU99" i="56"/>
  <c r="BU117" i="56" s="1"/>
  <c r="BU101" i="56"/>
  <c r="BV87" i="56"/>
  <c r="BI103" i="56"/>
  <c r="BH89" i="56"/>
  <c r="BI100" i="56"/>
  <c r="BH86" i="56"/>
  <c r="BH91" i="56"/>
  <c r="BI105" i="56"/>
  <c r="BU106" i="56"/>
  <c r="BU104" i="56"/>
  <c r="BH88" i="56"/>
  <c r="BI102" i="56"/>
  <c r="BU102" i="56"/>
  <c r="BH87" i="56"/>
  <c r="BI101" i="56"/>
  <c r="BV89" i="56"/>
  <c r="BU103" i="56"/>
  <c r="BU100" i="56"/>
  <c r="BV86" i="56"/>
  <c r="P29" i="39"/>
  <c r="M30" i="39"/>
  <c r="AA28" i="39"/>
  <c r="X29" i="39"/>
  <c r="F27" i="39"/>
  <c r="C28" i="39"/>
  <c r="Y35" i="66" l="1"/>
  <c r="Z35" i="66" s="1"/>
  <c r="AB35" i="66"/>
  <c r="H34" i="66"/>
  <c r="N34" i="66" s="1"/>
  <c r="W34" i="66" s="1"/>
  <c r="S34" i="66"/>
  <c r="G35" i="66"/>
  <c r="F35" i="66"/>
  <c r="E36" i="66"/>
  <c r="K33" i="66"/>
  <c r="V33" i="66" s="1"/>
  <c r="I33" i="66"/>
  <c r="N33" i="66"/>
  <c r="W33" i="66" s="1"/>
  <c r="D36" i="66"/>
  <c r="P35" i="66"/>
  <c r="BW22" i="56"/>
  <c r="BX82" i="56"/>
  <c r="BW53" i="56"/>
  <c r="BW49" i="56"/>
  <c r="BW46" i="56"/>
  <c r="BW17" i="56"/>
  <c r="BW23" i="56"/>
  <c r="BW50" i="56"/>
  <c r="BW55" i="56"/>
  <c r="BW33" i="56"/>
  <c r="BW37" i="56"/>
  <c r="BW19" i="56"/>
  <c r="BW15" i="56"/>
  <c r="BW39" i="56"/>
  <c r="BW43" i="56"/>
  <c r="BW25" i="56"/>
  <c r="BW29" i="56"/>
  <c r="BW47" i="56"/>
  <c r="BW31" i="56"/>
  <c r="BW27" i="56"/>
  <c r="BW10" i="56"/>
  <c r="BW16" i="56"/>
  <c r="BW36" i="56"/>
  <c r="BW41" i="56"/>
  <c r="BW20" i="56"/>
  <c r="BW26" i="56"/>
  <c r="BW14" i="56"/>
  <c r="BW34" i="56"/>
  <c r="BW38" i="56"/>
  <c r="BW40" i="56"/>
  <c r="BW42" i="56"/>
  <c r="BW12" i="56"/>
  <c r="BW32" i="56"/>
  <c r="BW48" i="56"/>
  <c r="BW24" i="56"/>
  <c r="BW44" i="56"/>
  <c r="BW30" i="56"/>
  <c r="BW45" i="56"/>
  <c r="BW35" i="56"/>
  <c r="BW21" i="56"/>
  <c r="BW54" i="56"/>
  <c r="BW52" i="56"/>
  <c r="BW11" i="56"/>
  <c r="BW28" i="56"/>
  <c r="BW13" i="56"/>
  <c r="BW51" i="56"/>
  <c r="BV59" i="56"/>
  <c r="BV71" i="56" s="1"/>
  <c r="BV60" i="56"/>
  <c r="BV72" i="56" s="1"/>
  <c r="BU85" i="56"/>
  <c r="BW60" i="56"/>
  <c r="BW18" i="56"/>
  <c r="BX13" i="56"/>
  <c r="BW59" i="56"/>
  <c r="BX83" i="56"/>
  <c r="BX96" i="56"/>
  <c r="BX97" i="56" s="1"/>
  <c r="BX113" i="56" s="1"/>
  <c r="BY7" i="56"/>
  <c r="BY82" i="56"/>
  <c r="BZ8" i="56"/>
  <c r="BY6" i="56"/>
  <c r="BY9" i="56"/>
  <c r="BX29" i="56"/>
  <c r="BX18" i="56"/>
  <c r="BX116" i="56"/>
  <c r="BX114" i="56"/>
  <c r="BX41" i="56"/>
  <c r="BX108" i="56"/>
  <c r="BX37" i="56"/>
  <c r="BX19" i="56"/>
  <c r="BX33" i="56"/>
  <c r="BX44" i="56"/>
  <c r="BX31" i="56"/>
  <c r="BX10" i="56"/>
  <c r="BX26" i="56"/>
  <c r="BX30" i="56"/>
  <c r="BX47" i="56"/>
  <c r="BX39" i="56"/>
  <c r="BX25" i="56"/>
  <c r="BX48" i="56"/>
  <c r="BX22" i="56"/>
  <c r="BX45" i="56"/>
  <c r="BX51" i="56"/>
  <c r="BX46" i="56"/>
  <c r="BX28" i="56"/>
  <c r="BX12" i="56"/>
  <c r="BX23" i="56"/>
  <c r="BX34" i="56"/>
  <c r="BX49" i="56"/>
  <c r="BX50" i="56"/>
  <c r="BX27" i="56"/>
  <c r="BX14" i="56"/>
  <c r="BX15" i="56"/>
  <c r="BX32" i="56"/>
  <c r="BX42" i="56"/>
  <c r="BX52" i="56"/>
  <c r="BX40" i="56"/>
  <c r="BX20" i="56"/>
  <c r="BX16" i="56"/>
  <c r="BX53" i="56"/>
  <c r="BX21" i="56"/>
  <c r="BX55" i="56"/>
  <c r="BX43" i="56"/>
  <c r="BX35" i="56"/>
  <c r="BX17" i="56"/>
  <c r="BX38" i="56"/>
  <c r="BX54" i="56"/>
  <c r="BX11" i="56"/>
  <c r="BX24" i="56"/>
  <c r="BX36" i="56"/>
  <c r="BT98" i="56"/>
  <c r="BT115" i="56" s="1"/>
  <c r="BU84" i="56"/>
  <c r="BI84" i="56"/>
  <c r="BJ98" i="56"/>
  <c r="BJ114" i="56" s="1"/>
  <c r="BV105" i="56"/>
  <c r="BW91" i="56"/>
  <c r="BW86" i="56"/>
  <c r="BV100" i="56"/>
  <c r="BH103" i="56"/>
  <c r="BG89" i="56"/>
  <c r="BG90" i="56"/>
  <c r="BH104" i="56"/>
  <c r="BG88" i="56"/>
  <c r="BH102" i="56"/>
  <c r="BW92" i="56"/>
  <c r="BV106" i="56"/>
  <c r="BG85" i="56"/>
  <c r="BH99" i="56"/>
  <c r="BH116" i="56" s="1"/>
  <c r="BH101" i="56"/>
  <c r="BG87" i="56"/>
  <c r="BV102" i="56"/>
  <c r="BW88" i="56"/>
  <c r="BW90" i="56"/>
  <c r="BV104" i="56"/>
  <c r="BG86" i="56"/>
  <c r="BH100" i="56"/>
  <c r="BW87" i="56"/>
  <c r="BV101" i="56"/>
  <c r="BV107" i="56"/>
  <c r="BW93" i="56"/>
  <c r="BW89" i="56"/>
  <c r="BV103" i="56"/>
  <c r="BH105" i="56"/>
  <c r="BG91" i="56"/>
  <c r="BG93" i="56"/>
  <c r="BH107" i="56"/>
  <c r="BG92" i="56"/>
  <c r="BH106" i="56"/>
  <c r="M31" i="39"/>
  <c r="P30" i="39"/>
  <c r="AA29" i="39"/>
  <c r="X30" i="39"/>
  <c r="F28" i="39"/>
  <c r="C29" i="39"/>
  <c r="G316" i="44"/>
  <c r="I34" i="66" l="1"/>
  <c r="K34" i="66"/>
  <c r="V34" i="66" s="1"/>
  <c r="Y36" i="66"/>
  <c r="Z36" i="66" s="1"/>
  <c r="AB36" i="66"/>
  <c r="S35" i="66"/>
  <c r="G36" i="66"/>
  <c r="F36" i="66"/>
  <c r="E37" i="66"/>
  <c r="H35" i="66"/>
  <c r="D37" i="66"/>
  <c r="P36" i="66"/>
  <c r="BW72" i="56"/>
  <c r="BV99" i="56"/>
  <c r="BV117" i="56" s="1"/>
  <c r="BW71" i="56"/>
  <c r="BV85" i="56"/>
  <c r="BW85" i="56" s="1"/>
  <c r="BX60" i="56"/>
  <c r="BX72" i="56" s="1"/>
  <c r="BX59" i="56"/>
  <c r="BX71" i="56" s="1"/>
  <c r="BY25" i="56"/>
  <c r="H316" i="44"/>
  <c r="BY83" i="56"/>
  <c r="BY96" i="56"/>
  <c r="BY97" i="56" s="1"/>
  <c r="BY113" i="56" s="1"/>
  <c r="CA8" i="56"/>
  <c r="BZ6" i="56"/>
  <c r="BZ82" i="56"/>
  <c r="BZ9" i="56"/>
  <c r="BZ7" i="56"/>
  <c r="BY116" i="56"/>
  <c r="BY108" i="56"/>
  <c r="BY13" i="56"/>
  <c r="BY60" i="56" s="1"/>
  <c r="BY52" i="56"/>
  <c r="BY114" i="56"/>
  <c r="BY49" i="56"/>
  <c r="BY20" i="56"/>
  <c r="BY38" i="56"/>
  <c r="BY21" i="56"/>
  <c r="BY37" i="56"/>
  <c r="BY46" i="56"/>
  <c r="BY54" i="56"/>
  <c r="BY47" i="56"/>
  <c r="BY45" i="56"/>
  <c r="BY29" i="56"/>
  <c r="BY17" i="56"/>
  <c r="BY15" i="56"/>
  <c r="BY28" i="56"/>
  <c r="BY10" i="56"/>
  <c r="BY48" i="56"/>
  <c r="BY26" i="56"/>
  <c r="BY34" i="56"/>
  <c r="BY22" i="56"/>
  <c r="BY51" i="56"/>
  <c r="BY41" i="56"/>
  <c r="BY42" i="56"/>
  <c r="BY55" i="56"/>
  <c r="BY44" i="56"/>
  <c r="BY11" i="56"/>
  <c r="BY39" i="56"/>
  <c r="BY12" i="56"/>
  <c r="BY16" i="56"/>
  <c r="BY40" i="56"/>
  <c r="BY50" i="56"/>
  <c r="BY33" i="56"/>
  <c r="BY27" i="56"/>
  <c r="BY18" i="56"/>
  <c r="BY24" i="56"/>
  <c r="BY14" i="56"/>
  <c r="BY53" i="56"/>
  <c r="BY36" i="56"/>
  <c r="BY32" i="56"/>
  <c r="BY31" i="56"/>
  <c r="BY30" i="56"/>
  <c r="BY35" i="56"/>
  <c r="BY23" i="56"/>
  <c r="BY43" i="56"/>
  <c r="BY19" i="56"/>
  <c r="BV84" i="56"/>
  <c r="BU98" i="56"/>
  <c r="BU115" i="56" s="1"/>
  <c r="BI98" i="56"/>
  <c r="BI114" i="56" s="1"/>
  <c r="BH84" i="56"/>
  <c r="BX91" i="56"/>
  <c r="BW105" i="56"/>
  <c r="BW103" i="56"/>
  <c r="BX89" i="56"/>
  <c r="BX90" i="56"/>
  <c r="BW104" i="56"/>
  <c r="BX92" i="56"/>
  <c r="BW106" i="56"/>
  <c r="BF90" i="56"/>
  <c r="BG104" i="56"/>
  <c r="BG107" i="56"/>
  <c r="BF93" i="56"/>
  <c r="BW101" i="56"/>
  <c r="BX87" i="56"/>
  <c r="BF85" i="56"/>
  <c r="BG99" i="56"/>
  <c r="BG116" i="56" s="1"/>
  <c r="BF91" i="56"/>
  <c r="BG105" i="56"/>
  <c r="BX93" i="56"/>
  <c r="BW107" i="56"/>
  <c r="BX88" i="56"/>
  <c r="BW102" i="56"/>
  <c r="BF87" i="56"/>
  <c r="BG101" i="56"/>
  <c r="BW99" i="56"/>
  <c r="BW117" i="56" s="1"/>
  <c r="BF89" i="56"/>
  <c r="BG103" i="56"/>
  <c r="BF92" i="56"/>
  <c r="BG106" i="56"/>
  <c r="BF86" i="56"/>
  <c r="BG100" i="56"/>
  <c r="BG102" i="56"/>
  <c r="BF88" i="56"/>
  <c r="BX86" i="56"/>
  <c r="BW100" i="56"/>
  <c r="M32" i="39"/>
  <c r="P31" i="39"/>
  <c r="AA30" i="39"/>
  <c r="X31" i="39"/>
  <c r="C30" i="39"/>
  <c r="F29" i="39"/>
  <c r="BY72" i="56" l="1"/>
  <c r="H36" i="66"/>
  <c r="K36" i="66" s="1"/>
  <c r="V36" i="66" s="1"/>
  <c r="Y37" i="66"/>
  <c r="Z37" i="66" s="1"/>
  <c r="AB37" i="66"/>
  <c r="S36" i="66"/>
  <c r="F37" i="66"/>
  <c r="G37" i="66"/>
  <c r="E38" i="66"/>
  <c r="I35" i="66"/>
  <c r="N35" i="66"/>
  <c r="W35" i="66" s="1"/>
  <c r="K35" i="66"/>
  <c r="V35" i="66" s="1"/>
  <c r="D38" i="66"/>
  <c r="P37" i="66"/>
  <c r="BX85" i="56"/>
  <c r="BY85" i="56" s="1"/>
  <c r="BY59" i="56"/>
  <c r="BY71" i="56" s="1"/>
  <c r="J316" i="44"/>
  <c r="CA9" i="56"/>
  <c r="CA82" i="56"/>
  <c r="CB8" i="56"/>
  <c r="CA6" i="56"/>
  <c r="CA7" i="56"/>
  <c r="BZ114" i="56"/>
  <c r="BZ108" i="56"/>
  <c r="BZ116" i="56"/>
  <c r="BZ43" i="56"/>
  <c r="BZ10" i="56"/>
  <c r="BZ21" i="56"/>
  <c r="BZ14" i="56"/>
  <c r="BZ38" i="56"/>
  <c r="BZ27" i="56"/>
  <c r="BZ33" i="56"/>
  <c r="BZ34" i="56"/>
  <c r="BZ51" i="56"/>
  <c r="BZ40" i="56"/>
  <c r="BZ24" i="56"/>
  <c r="BZ20" i="56"/>
  <c r="BZ44" i="56"/>
  <c r="BZ48" i="56"/>
  <c r="BZ32" i="56"/>
  <c r="BZ17" i="56"/>
  <c r="BZ52" i="56"/>
  <c r="BZ28" i="56"/>
  <c r="BZ55" i="56"/>
  <c r="BZ50" i="56"/>
  <c r="BZ37" i="56"/>
  <c r="BZ15" i="56"/>
  <c r="BZ42" i="56"/>
  <c r="BZ39" i="56"/>
  <c r="BZ35" i="56"/>
  <c r="BZ31" i="56"/>
  <c r="BZ53" i="56"/>
  <c r="BZ11" i="56"/>
  <c r="BZ54" i="56"/>
  <c r="BZ36" i="56"/>
  <c r="BZ13" i="56"/>
  <c r="BZ60" i="56" s="1"/>
  <c r="BZ72" i="56" s="1"/>
  <c r="BZ23" i="56"/>
  <c r="BZ45" i="56"/>
  <c r="BZ18" i="56"/>
  <c r="BZ41" i="56"/>
  <c r="BZ30" i="56"/>
  <c r="BZ16" i="56"/>
  <c r="BZ25" i="56"/>
  <c r="BZ26" i="56"/>
  <c r="BZ46" i="56"/>
  <c r="BZ19" i="56"/>
  <c r="BZ29" i="56"/>
  <c r="BZ47" i="56"/>
  <c r="BZ49" i="56"/>
  <c r="BZ22" i="56"/>
  <c r="BZ12" i="56"/>
  <c r="BZ83" i="56"/>
  <c r="BZ96" i="56"/>
  <c r="BZ97" i="56" s="1"/>
  <c r="BZ113" i="56" s="1"/>
  <c r="BG84" i="56"/>
  <c r="BH98" i="56"/>
  <c r="BH114" i="56" s="1"/>
  <c r="BW84" i="56"/>
  <c r="BV98" i="56"/>
  <c r="BV115" i="56" s="1"/>
  <c r="BY91" i="56"/>
  <c r="BX105" i="56"/>
  <c r="BE88" i="56"/>
  <c r="BF102" i="56"/>
  <c r="BY87" i="56"/>
  <c r="BX101" i="56"/>
  <c r="BE92" i="56"/>
  <c r="BF106" i="56"/>
  <c r="BX99" i="56"/>
  <c r="BX117" i="56" s="1"/>
  <c r="BY88" i="56"/>
  <c r="BX102" i="56"/>
  <c r="BE91" i="56"/>
  <c r="BF105" i="56"/>
  <c r="BE90" i="56"/>
  <c r="BF104" i="56"/>
  <c r="BY90" i="56"/>
  <c r="BX104" i="56"/>
  <c r="BE93" i="56"/>
  <c r="BF107" i="56"/>
  <c r="BY89" i="56"/>
  <c r="BX103" i="56"/>
  <c r="BY86" i="56"/>
  <c r="BX100" i="56"/>
  <c r="BE86" i="56"/>
  <c r="BF100" i="56"/>
  <c r="BE89" i="56"/>
  <c r="BF103" i="56"/>
  <c r="BF101" i="56"/>
  <c r="BE87" i="56"/>
  <c r="BY93" i="56"/>
  <c r="BX107" i="56"/>
  <c r="BE85" i="56"/>
  <c r="BF99" i="56"/>
  <c r="BF116" i="56" s="1"/>
  <c r="BX106" i="56"/>
  <c r="BY92" i="56"/>
  <c r="M33" i="39"/>
  <c r="P32" i="39"/>
  <c r="X32" i="39"/>
  <c r="AA31" i="39"/>
  <c r="F30" i="39"/>
  <c r="C31" i="39"/>
  <c r="I36" i="66" l="1"/>
  <c r="N36" i="66"/>
  <c r="W36" i="66" s="1"/>
  <c r="Y38" i="66"/>
  <c r="Z38" i="66" s="1"/>
  <c r="AB38" i="66"/>
  <c r="H37" i="66"/>
  <c r="S37" i="66"/>
  <c r="G38" i="66"/>
  <c r="F38" i="66"/>
  <c r="E39" i="66"/>
  <c r="D39" i="66"/>
  <c r="P38" i="66"/>
  <c r="BZ59" i="56"/>
  <c r="BZ71" i="56" s="1"/>
  <c r="CA96" i="56"/>
  <c r="CA97" i="56" s="1"/>
  <c r="CA113" i="56" s="1"/>
  <c r="CA83" i="56"/>
  <c r="CB7" i="56"/>
  <c r="CC8" i="56"/>
  <c r="CB6" i="56"/>
  <c r="CB82" i="56"/>
  <c r="CB9" i="56"/>
  <c r="CA108" i="56"/>
  <c r="CA116" i="56"/>
  <c r="CA114" i="56"/>
  <c r="CA53" i="56"/>
  <c r="CA12" i="56"/>
  <c r="CA10" i="56"/>
  <c r="CA48" i="56"/>
  <c r="CA41" i="56"/>
  <c r="CA19" i="56"/>
  <c r="CA30" i="56"/>
  <c r="CA33" i="56"/>
  <c r="CA21" i="56"/>
  <c r="CA45" i="56"/>
  <c r="CA29" i="56"/>
  <c r="CA38" i="56"/>
  <c r="CA40" i="56"/>
  <c r="CA17" i="56"/>
  <c r="CA52" i="56"/>
  <c r="CA16" i="56"/>
  <c r="CA51" i="56"/>
  <c r="CA42" i="56"/>
  <c r="CA20" i="56"/>
  <c r="CA44" i="56"/>
  <c r="CA11" i="56"/>
  <c r="CA26" i="56"/>
  <c r="CA35" i="56"/>
  <c r="CA55" i="56"/>
  <c r="CA22" i="56"/>
  <c r="CA50" i="56"/>
  <c r="CA46" i="56"/>
  <c r="CA37" i="56"/>
  <c r="CA18" i="56"/>
  <c r="CA54" i="56"/>
  <c r="CA28" i="56"/>
  <c r="CA39" i="56"/>
  <c r="CA49" i="56"/>
  <c r="CA31" i="56"/>
  <c r="CA14" i="56"/>
  <c r="CA24" i="56"/>
  <c r="CA15" i="56"/>
  <c r="CA13" i="56"/>
  <c r="CA60" i="56" s="1"/>
  <c r="CA72" i="56" s="1"/>
  <c r="CA47" i="56"/>
  <c r="CA34" i="56"/>
  <c r="CA43" i="56"/>
  <c r="CA23" i="56"/>
  <c r="CA25" i="56"/>
  <c r="CA27" i="56"/>
  <c r="CA32" i="56"/>
  <c r="CA36" i="56"/>
  <c r="BX84" i="56"/>
  <c r="BW98" i="56"/>
  <c r="BW115" i="56" s="1"/>
  <c r="BG98" i="56"/>
  <c r="BG114" i="56" s="1"/>
  <c r="BF84" i="56"/>
  <c r="BZ91" i="56"/>
  <c r="BY105" i="56"/>
  <c r="BY107" i="56"/>
  <c r="BZ93" i="56"/>
  <c r="BY100" i="56"/>
  <c r="BZ86" i="56"/>
  <c r="BD90" i="56"/>
  <c r="BE104" i="56"/>
  <c r="BD92" i="56"/>
  <c r="BE106" i="56"/>
  <c r="BE101" i="56"/>
  <c r="BD87" i="56"/>
  <c r="BD85" i="56"/>
  <c r="BE99" i="56"/>
  <c r="BE116" i="56" s="1"/>
  <c r="BD86" i="56"/>
  <c r="BE100" i="56"/>
  <c r="BD93" i="56"/>
  <c r="BE107" i="56"/>
  <c r="BZ90" i="56"/>
  <c r="BY104" i="56"/>
  <c r="BD91" i="56"/>
  <c r="BE105" i="56"/>
  <c r="BZ85" i="56"/>
  <c r="BY99" i="56"/>
  <c r="BY117" i="56" s="1"/>
  <c r="BZ87" i="56"/>
  <c r="BY101" i="56"/>
  <c r="BY106" i="56"/>
  <c r="BZ92" i="56"/>
  <c r="BD89" i="56"/>
  <c r="BE103" i="56"/>
  <c r="BY103" i="56"/>
  <c r="BZ89" i="56"/>
  <c r="BY102" i="56"/>
  <c r="BZ88" i="56"/>
  <c r="BD88" i="56"/>
  <c r="BE102" i="56"/>
  <c r="M34" i="39"/>
  <c r="P33" i="39"/>
  <c r="X33" i="39"/>
  <c r="AA32" i="39"/>
  <c r="F31" i="39"/>
  <c r="C32" i="39"/>
  <c r="Y39" i="66" l="1"/>
  <c r="Z39" i="66" s="1"/>
  <c r="AB39" i="66"/>
  <c r="H38" i="66"/>
  <c r="N38" i="66" s="1"/>
  <c r="W38" i="66" s="1"/>
  <c r="F39" i="66"/>
  <c r="G39" i="66"/>
  <c r="E40" i="66"/>
  <c r="S38" i="66"/>
  <c r="K37" i="66"/>
  <c r="V37" i="66" s="1"/>
  <c r="I37" i="66"/>
  <c r="N37" i="66"/>
  <c r="W37" i="66" s="1"/>
  <c r="D40" i="66"/>
  <c r="P39" i="66"/>
  <c r="CA59" i="56"/>
  <c r="CA71" i="56" s="1"/>
  <c r="CD8" i="56"/>
  <c r="CC6" i="56"/>
  <c r="CC82" i="56"/>
  <c r="CC9" i="56"/>
  <c r="CC7" i="56"/>
  <c r="CB114" i="56"/>
  <c r="CB108" i="56"/>
  <c r="CB22" i="56"/>
  <c r="CB116" i="56"/>
  <c r="CB15" i="56"/>
  <c r="CB46" i="56"/>
  <c r="CB55" i="56"/>
  <c r="CB52" i="56"/>
  <c r="CB40" i="56"/>
  <c r="CB47" i="56"/>
  <c r="CB16" i="56"/>
  <c r="CB35" i="56"/>
  <c r="CB51" i="56"/>
  <c r="CB23" i="56"/>
  <c r="CB53" i="56"/>
  <c r="CB45" i="56"/>
  <c r="CB42" i="56"/>
  <c r="CB39" i="56"/>
  <c r="CB31" i="56"/>
  <c r="CB11" i="56"/>
  <c r="CB49" i="56"/>
  <c r="CB30" i="56"/>
  <c r="CB19" i="56"/>
  <c r="CB18" i="56"/>
  <c r="CB33" i="56"/>
  <c r="CB41" i="56"/>
  <c r="CB43" i="56"/>
  <c r="CB13" i="56"/>
  <c r="CB50" i="56"/>
  <c r="CB34" i="56"/>
  <c r="CB17" i="56"/>
  <c r="CB37" i="56"/>
  <c r="CB20" i="56"/>
  <c r="CB28" i="56"/>
  <c r="CB12" i="56"/>
  <c r="CB54" i="56"/>
  <c r="CB36" i="56"/>
  <c r="CB21" i="56"/>
  <c r="CB38" i="56"/>
  <c r="CB26" i="56"/>
  <c r="CB48" i="56"/>
  <c r="CB24" i="56"/>
  <c r="CB29" i="56"/>
  <c r="CB32" i="56"/>
  <c r="CB27" i="56"/>
  <c r="CB10" i="56"/>
  <c r="CB25" i="56"/>
  <c r="CB14" i="56"/>
  <c r="CB44" i="56"/>
  <c r="CB83" i="56"/>
  <c r="CB96" i="56"/>
  <c r="CB97" i="56" s="1"/>
  <c r="CB113" i="56" s="1"/>
  <c r="BY84" i="56"/>
  <c r="BX98" i="56"/>
  <c r="BX115" i="56" s="1"/>
  <c r="BE84" i="56"/>
  <c r="BF98" i="56"/>
  <c r="BF114" i="56" s="1"/>
  <c r="CA91" i="56"/>
  <c r="BZ105" i="56"/>
  <c r="BD102" i="56"/>
  <c r="BC88" i="56"/>
  <c r="CA90" i="56"/>
  <c r="BZ104" i="56"/>
  <c r="CA88" i="56"/>
  <c r="BZ102" i="56"/>
  <c r="BC87" i="56"/>
  <c r="BD101" i="56"/>
  <c r="BZ100" i="56"/>
  <c r="CA86" i="56"/>
  <c r="BC93" i="56"/>
  <c r="BD107" i="56"/>
  <c r="BD103" i="56"/>
  <c r="BC89" i="56"/>
  <c r="CA87" i="56"/>
  <c r="BZ101" i="56"/>
  <c r="BC91" i="56"/>
  <c r="BD105" i="56"/>
  <c r="BD100" i="56"/>
  <c r="BC86" i="56"/>
  <c r="BC90" i="56"/>
  <c r="BD104" i="56"/>
  <c r="CA89" i="56"/>
  <c r="BZ103" i="56"/>
  <c r="CA92" i="56"/>
  <c r="BZ106" i="56"/>
  <c r="CA93" i="56"/>
  <c r="BZ107" i="56"/>
  <c r="BZ99" i="56"/>
  <c r="BZ117" i="56" s="1"/>
  <c r="CA85" i="56"/>
  <c r="BD99" i="56"/>
  <c r="BD116" i="56" s="1"/>
  <c r="BC85" i="56"/>
  <c r="BC92" i="56"/>
  <c r="BD106" i="56"/>
  <c r="M35" i="39"/>
  <c r="P34" i="39"/>
  <c r="AA33" i="39"/>
  <c r="X34" i="39"/>
  <c r="F32" i="39"/>
  <c r="C33" i="39"/>
  <c r="I38" i="66" l="1"/>
  <c r="K38" i="66"/>
  <c r="V38" i="66" s="1"/>
  <c r="Y40" i="66"/>
  <c r="Z40" i="66" s="1"/>
  <c r="AB40" i="66"/>
  <c r="F40" i="66"/>
  <c r="G40" i="66"/>
  <c r="E41" i="66"/>
  <c r="S39" i="66"/>
  <c r="H39" i="66"/>
  <c r="D41" i="66"/>
  <c r="P40" i="66"/>
  <c r="CB60" i="56"/>
  <c r="CB72" i="56" s="1"/>
  <c r="CB59" i="56"/>
  <c r="CB71" i="56" s="1"/>
  <c r="CC83" i="56"/>
  <c r="CC96" i="56"/>
  <c r="CC97" i="56" s="1"/>
  <c r="CC113" i="56" s="1"/>
  <c r="CC37" i="56"/>
  <c r="CC108" i="56"/>
  <c r="CC114" i="56"/>
  <c r="CC116" i="56"/>
  <c r="CC26" i="56"/>
  <c r="CC42" i="56"/>
  <c r="CC43" i="56"/>
  <c r="CC51" i="56"/>
  <c r="CC20" i="56"/>
  <c r="CC47" i="56"/>
  <c r="CC53" i="56"/>
  <c r="CC34" i="56"/>
  <c r="CC28" i="56"/>
  <c r="CC24" i="56"/>
  <c r="CC35" i="56"/>
  <c r="CC11" i="56"/>
  <c r="CC17" i="56"/>
  <c r="CC50" i="56"/>
  <c r="CC52" i="56"/>
  <c r="CC12" i="56"/>
  <c r="CC14" i="56"/>
  <c r="CC48" i="56"/>
  <c r="CC30" i="56"/>
  <c r="CC16" i="56"/>
  <c r="CC23" i="56"/>
  <c r="CC27" i="56"/>
  <c r="CC19" i="56"/>
  <c r="CC38" i="56"/>
  <c r="CC33" i="56"/>
  <c r="CC31" i="56"/>
  <c r="CC44" i="56"/>
  <c r="CC15" i="56"/>
  <c r="CC46" i="56"/>
  <c r="CC21" i="56"/>
  <c r="CC13" i="56"/>
  <c r="CC60" i="56" s="1"/>
  <c r="CC10" i="56"/>
  <c r="CC55" i="56"/>
  <c r="CC40" i="56"/>
  <c r="CC54" i="56"/>
  <c r="CC29" i="56"/>
  <c r="CC36" i="56"/>
  <c r="CC41" i="56"/>
  <c r="CC22" i="56"/>
  <c r="CC45" i="56"/>
  <c r="CC25" i="56"/>
  <c r="CC49" i="56"/>
  <c r="CC39" i="56"/>
  <c r="CC18" i="56"/>
  <c r="CC32" i="56"/>
  <c r="CD82" i="56"/>
  <c r="CD7" i="56"/>
  <c r="CD9" i="56"/>
  <c r="CE8" i="56"/>
  <c r="CD6" i="56"/>
  <c r="BD84" i="56"/>
  <c r="BE98" i="56"/>
  <c r="BE114" i="56" s="1"/>
  <c r="BZ84" i="56"/>
  <c r="BY98" i="56"/>
  <c r="BY115" i="56" s="1"/>
  <c r="CA105" i="56"/>
  <c r="CB91" i="56"/>
  <c r="BB86" i="56"/>
  <c r="BC100" i="56"/>
  <c r="BB92" i="56"/>
  <c r="BC106" i="56"/>
  <c r="CA103" i="56"/>
  <c r="CB89" i="56"/>
  <c r="CA101" i="56"/>
  <c r="CB87" i="56"/>
  <c r="BC107" i="56"/>
  <c r="BB93" i="56"/>
  <c r="BC101" i="56"/>
  <c r="BB87" i="56"/>
  <c r="CA104" i="56"/>
  <c r="CB90" i="56"/>
  <c r="CB93" i="56"/>
  <c r="CA107" i="56"/>
  <c r="BB85" i="56"/>
  <c r="BC99" i="56"/>
  <c r="BC116" i="56" s="1"/>
  <c r="CA99" i="56"/>
  <c r="CA117" i="56" s="1"/>
  <c r="BB89" i="56"/>
  <c r="BC103" i="56"/>
  <c r="CA100" i="56"/>
  <c r="CB86" i="56"/>
  <c r="BB88" i="56"/>
  <c r="BC102" i="56"/>
  <c r="CB92" i="56"/>
  <c r="CA106" i="56"/>
  <c r="BB90" i="56"/>
  <c r="BC104" i="56"/>
  <c r="BB91" i="56"/>
  <c r="BC105" i="56"/>
  <c r="CA102" i="56"/>
  <c r="CB88" i="56"/>
  <c r="M36" i="39"/>
  <c r="P35" i="39"/>
  <c r="AA34" i="39"/>
  <c r="X35" i="39"/>
  <c r="C34" i="39"/>
  <c r="F33" i="39"/>
  <c r="CC72" i="56" l="1"/>
  <c r="Y41" i="66"/>
  <c r="Z41" i="66" s="1"/>
  <c r="AB41" i="66"/>
  <c r="N39" i="66"/>
  <c r="W39" i="66" s="1"/>
  <c r="I39" i="66"/>
  <c r="K39" i="66"/>
  <c r="V39" i="66" s="1"/>
  <c r="F41" i="66"/>
  <c r="G41" i="66"/>
  <c r="E42" i="66"/>
  <c r="S40" i="66"/>
  <c r="H40" i="66"/>
  <c r="CB85" i="56"/>
  <c r="CC85" i="56" s="1"/>
  <c r="D42" i="66"/>
  <c r="P41" i="66"/>
  <c r="CC59" i="56"/>
  <c r="CC71" i="56" s="1"/>
  <c r="CD18" i="56"/>
  <c r="CD116" i="56"/>
  <c r="CD114" i="56"/>
  <c r="CD108" i="56"/>
  <c r="CD26" i="56"/>
  <c r="CD47" i="56"/>
  <c r="CD12" i="56"/>
  <c r="CD44" i="56"/>
  <c r="CD30" i="56"/>
  <c r="CD29" i="56"/>
  <c r="CD50" i="56"/>
  <c r="CD52" i="56"/>
  <c r="CD21" i="56"/>
  <c r="CD14" i="56"/>
  <c r="CD42" i="56"/>
  <c r="CD40" i="56"/>
  <c r="CD48" i="56"/>
  <c r="CD33" i="56"/>
  <c r="CD16" i="56"/>
  <c r="CD43" i="56"/>
  <c r="CD51" i="56"/>
  <c r="CD36" i="56"/>
  <c r="CD24" i="56"/>
  <c r="CD53" i="56"/>
  <c r="CD15" i="56"/>
  <c r="CD49" i="56"/>
  <c r="CD35" i="56"/>
  <c r="CD22" i="56"/>
  <c r="CD19" i="56"/>
  <c r="CD13" i="56"/>
  <c r="CD60" i="56" s="1"/>
  <c r="CD72" i="56" s="1"/>
  <c r="CD10" i="56"/>
  <c r="CD17" i="56"/>
  <c r="CD25" i="56"/>
  <c r="CD38" i="56"/>
  <c r="CD34" i="56"/>
  <c r="CD41" i="56"/>
  <c r="CD28" i="56"/>
  <c r="CD46" i="56"/>
  <c r="CD45" i="56"/>
  <c r="CD54" i="56"/>
  <c r="CD37" i="56"/>
  <c r="CD20" i="56"/>
  <c r="CD55" i="56"/>
  <c r="CD11" i="56"/>
  <c r="CD27" i="56"/>
  <c r="CD32" i="56"/>
  <c r="CD39" i="56"/>
  <c r="CD23" i="56"/>
  <c r="CD31" i="56"/>
  <c r="CD83" i="56"/>
  <c r="CD96" i="56"/>
  <c r="CD97" i="56" s="1"/>
  <c r="CD113" i="56" s="1"/>
  <c r="CE82" i="56"/>
  <c r="CE9" i="56"/>
  <c r="CF8" i="56"/>
  <c r="CE6" i="56"/>
  <c r="CE7" i="56"/>
  <c r="CA84" i="56"/>
  <c r="BZ98" i="56"/>
  <c r="BZ115" i="56" s="1"/>
  <c r="BC84" i="56"/>
  <c r="BD98" i="56"/>
  <c r="BD114" i="56" s="1"/>
  <c r="CB105" i="56"/>
  <c r="CC91" i="56"/>
  <c r="CC86" i="56"/>
  <c r="CB100" i="56"/>
  <c r="CB99" i="56"/>
  <c r="CB117" i="56" s="1"/>
  <c r="CC90" i="56"/>
  <c r="CB104" i="56"/>
  <c r="BB107" i="56"/>
  <c r="BA93" i="56"/>
  <c r="CC89" i="56"/>
  <c r="CB103" i="56"/>
  <c r="BB104" i="56"/>
  <c r="BA90" i="56"/>
  <c r="BB103" i="56"/>
  <c r="BA89" i="56"/>
  <c r="BA85" i="56"/>
  <c r="BB99" i="56"/>
  <c r="BB116" i="56" s="1"/>
  <c r="BA91" i="56"/>
  <c r="BB105" i="56"/>
  <c r="CC92" i="56"/>
  <c r="CB106" i="56"/>
  <c r="BA92" i="56"/>
  <c r="BB106" i="56"/>
  <c r="CC88" i="56"/>
  <c r="CB102" i="56"/>
  <c r="BB101" i="56"/>
  <c r="BA87" i="56"/>
  <c r="CB101" i="56"/>
  <c r="CC87" i="56"/>
  <c r="BA88" i="56"/>
  <c r="BB102" i="56"/>
  <c r="CC93" i="56"/>
  <c r="CB107" i="56"/>
  <c r="BA86" i="56"/>
  <c r="BB100" i="56"/>
  <c r="M37" i="39"/>
  <c r="P36" i="39"/>
  <c r="X36" i="39"/>
  <c r="AA35" i="39"/>
  <c r="C35" i="39"/>
  <c r="F34" i="39"/>
  <c r="Y42" i="66" l="1"/>
  <c r="Z42" i="66" s="1"/>
  <c r="AB42" i="66"/>
  <c r="H41" i="66"/>
  <c r="N41" i="66" s="1"/>
  <c r="W41" i="66" s="1"/>
  <c r="S41" i="66"/>
  <c r="F42" i="66"/>
  <c r="G42" i="66"/>
  <c r="E43" i="66"/>
  <c r="N40" i="66"/>
  <c r="W40" i="66" s="1"/>
  <c r="K40" i="66"/>
  <c r="V40" i="66" s="1"/>
  <c r="I40" i="66"/>
  <c r="D43" i="66"/>
  <c r="P42" i="66"/>
  <c r="CD59" i="56"/>
  <c r="CD71" i="56" s="1"/>
  <c r="CE13" i="56"/>
  <c r="CE116" i="56"/>
  <c r="CE114" i="56"/>
  <c r="CE108" i="56"/>
  <c r="CE26" i="56"/>
  <c r="CE35" i="56"/>
  <c r="CE30" i="56"/>
  <c r="CE47" i="56"/>
  <c r="CE44" i="56"/>
  <c r="CE53" i="56"/>
  <c r="CE39" i="56"/>
  <c r="CE21" i="56"/>
  <c r="CE34" i="56"/>
  <c r="CE55" i="56"/>
  <c r="CE29" i="56"/>
  <c r="CE45" i="56"/>
  <c r="CE31" i="56"/>
  <c r="CE17" i="56"/>
  <c r="CE48" i="56"/>
  <c r="CE10" i="56"/>
  <c r="CE49" i="56"/>
  <c r="CE27" i="56"/>
  <c r="CE15" i="56"/>
  <c r="CE33" i="56"/>
  <c r="CE22" i="56"/>
  <c r="CE42" i="56"/>
  <c r="CE20" i="56"/>
  <c r="CE19" i="56"/>
  <c r="CE16" i="56"/>
  <c r="CE32" i="56"/>
  <c r="CE37" i="56"/>
  <c r="CE43" i="56"/>
  <c r="CE36" i="56"/>
  <c r="CE14" i="56"/>
  <c r="CE51" i="56"/>
  <c r="CE25" i="56"/>
  <c r="CE41" i="56"/>
  <c r="CE46" i="56"/>
  <c r="CE54" i="56"/>
  <c r="CE50" i="56"/>
  <c r="CE11" i="56"/>
  <c r="CE40" i="56"/>
  <c r="CE24" i="56"/>
  <c r="CE12" i="56"/>
  <c r="CE38" i="56"/>
  <c r="CE52" i="56"/>
  <c r="CE23" i="56"/>
  <c r="CE18" i="56"/>
  <c r="CE28" i="56"/>
  <c r="CE83" i="56"/>
  <c r="CE96" i="56"/>
  <c r="CE97" i="56" s="1"/>
  <c r="CE113" i="56" s="1"/>
  <c r="CF9" i="56"/>
  <c r="CF82" i="56"/>
  <c r="CF7" i="56"/>
  <c r="CF6" i="56"/>
  <c r="CG8" i="56"/>
  <c r="CB84" i="56"/>
  <c r="CA98" i="56"/>
  <c r="CA115" i="56" s="1"/>
  <c r="BB84" i="56"/>
  <c r="BC98" i="56"/>
  <c r="BC114" i="56" s="1"/>
  <c r="CC105" i="56"/>
  <c r="CD91" i="56"/>
  <c r="AZ86" i="56"/>
  <c r="BA100" i="56"/>
  <c r="CD93" i="56"/>
  <c r="CC107" i="56"/>
  <c r="CD88" i="56"/>
  <c r="CC102" i="56"/>
  <c r="AZ85" i="56"/>
  <c r="BA99" i="56"/>
  <c r="BA116" i="56" s="1"/>
  <c r="BA101" i="56"/>
  <c r="AZ87" i="56"/>
  <c r="BA103" i="56"/>
  <c r="AZ89" i="56"/>
  <c r="AZ92" i="56"/>
  <c r="BA106" i="56"/>
  <c r="CD85" i="56"/>
  <c r="CC99" i="56"/>
  <c r="CC117" i="56" s="1"/>
  <c r="AZ88" i="56"/>
  <c r="BA102" i="56"/>
  <c r="AZ91" i="56"/>
  <c r="BA105" i="56"/>
  <c r="CD89" i="56"/>
  <c r="CC103" i="56"/>
  <c r="CD90" i="56"/>
  <c r="CC104" i="56"/>
  <c r="CC101" i="56"/>
  <c r="CD87" i="56"/>
  <c r="AZ90" i="56"/>
  <c r="BA104" i="56"/>
  <c r="BA107" i="56"/>
  <c r="AZ93" i="56"/>
  <c r="CC106" i="56"/>
  <c r="CD92" i="56"/>
  <c r="CD86" i="56"/>
  <c r="CC100" i="56"/>
  <c r="M38" i="39"/>
  <c r="P37" i="39"/>
  <c r="AA36" i="39"/>
  <c r="X37" i="39"/>
  <c r="F35" i="39"/>
  <c r="C36" i="39"/>
  <c r="K41" i="66" l="1"/>
  <c r="V41" i="66" s="1"/>
  <c r="I41" i="66"/>
  <c r="Y43" i="66"/>
  <c r="Z43" i="66" s="1"/>
  <c r="AB43" i="66"/>
  <c r="H42" i="66"/>
  <c r="K42" i="66" s="1"/>
  <c r="V42" i="66" s="1"/>
  <c r="F43" i="66"/>
  <c r="G43" i="66"/>
  <c r="E44" i="66"/>
  <c r="S42" i="66"/>
  <c r="D44" i="66"/>
  <c r="P43" i="66"/>
  <c r="CE60" i="56"/>
  <c r="CE72" i="56" s="1"/>
  <c r="CE59" i="56"/>
  <c r="CE71" i="56" s="1"/>
  <c r="CG82" i="56"/>
  <c r="CG7" i="56"/>
  <c r="CH8" i="56"/>
  <c r="CG6" i="56"/>
  <c r="CG9" i="56"/>
  <c r="CF116" i="56"/>
  <c r="CF114" i="56"/>
  <c r="CF108" i="56"/>
  <c r="CF55" i="56"/>
  <c r="CF24" i="56"/>
  <c r="CF14" i="56"/>
  <c r="CF49" i="56"/>
  <c r="CF54" i="56"/>
  <c r="CF50" i="56"/>
  <c r="CF15" i="56"/>
  <c r="CF11" i="56"/>
  <c r="CF20" i="56"/>
  <c r="CF47" i="56"/>
  <c r="CF37" i="56"/>
  <c r="CF36" i="56"/>
  <c r="CF17" i="56"/>
  <c r="CF51" i="56"/>
  <c r="CF28" i="56"/>
  <c r="CF46" i="56"/>
  <c r="CF32" i="56"/>
  <c r="CF27" i="56"/>
  <c r="CF25" i="56"/>
  <c r="CF44" i="56"/>
  <c r="CF31" i="56"/>
  <c r="CF53" i="56"/>
  <c r="CF18" i="56"/>
  <c r="CF34" i="56"/>
  <c r="CF16" i="56"/>
  <c r="CF33" i="56"/>
  <c r="CF29" i="56"/>
  <c r="CF38" i="56"/>
  <c r="CF43" i="56"/>
  <c r="CF12" i="56"/>
  <c r="CF40" i="56"/>
  <c r="CF30" i="56"/>
  <c r="CF21" i="56"/>
  <c r="CF45" i="56"/>
  <c r="CF52" i="56"/>
  <c r="CF35" i="56"/>
  <c r="CF22" i="56"/>
  <c r="CF26" i="56"/>
  <c r="CF39" i="56"/>
  <c r="CF10" i="56"/>
  <c r="CF19" i="56"/>
  <c r="CF42" i="56"/>
  <c r="CF41" i="56"/>
  <c r="CF23" i="56"/>
  <c r="CF48" i="56"/>
  <c r="CF13" i="56"/>
  <c r="CF83" i="56"/>
  <c r="CF96" i="56"/>
  <c r="CF97" i="56" s="1"/>
  <c r="CF113" i="56" s="1"/>
  <c r="CB98" i="56"/>
  <c r="CB115" i="56" s="1"/>
  <c r="CC84" i="56"/>
  <c r="BA84" i="56"/>
  <c r="BB98" i="56"/>
  <c r="BB114" i="56" s="1"/>
  <c r="CE91" i="56"/>
  <c r="CD105" i="56"/>
  <c r="AZ107" i="56"/>
  <c r="AY93" i="56"/>
  <c r="CD101" i="56"/>
  <c r="CE87" i="56"/>
  <c r="AY89" i="56"/>
  <c r="AZ103" i="56"/>
  <c r="CD99" i="56"/>
  <c r="CD117" i="56" s="1"/>
  <c r="CD107" i="56"/>
  <c r="CE93" i="56"/>
  <c r="CE89" i="56"/>
  <c r="CD103" i="56"/>
  <c r="AY88" i="56"/>
  <c r="AZ102" i="56"/>
  <c r="AY85" i="56"/>
  <c r="AZ99" i="56"/>
  <c r="AZ116" i="56" s="1"/>
  <c r="CE92" i="56"/>
  <c r="CD106" i="56"/>
  <c r="AY87" i="56"/>
  <c r="AZ101" i="56"/>
  <c r="CD100" i="56"/>
  <c r="CE86" i="56"/>
  <c r="AY90" i="56"/>
  <c r="AZ104" i="56"/>
  <c r="CE90" i="56"/>
  <c r="CD104" i="56"/>
  <c r="AY91" i="56"/>
  <c r="AZ105" i="56"/>
  <c r="AZ106" i="56"/>
  <c r="AY92" i="56"/>
  <c r="CD102" i="56"/>
  <c r="CE88" i="56"/>
  <c r="AY86" i="56"/>
  <c r="AZ100" i="56"/>
  <c r="M39" i="39"/>
  <c r="P38" i="39"/>
  <c r="AA37" i="39"/>
  <c r="X38" i="39"/>
  <c r="F36" i="39"/>
  <c r="C37" i="39"/>
  <c r="I42" i="66" l="1"/>
  <c r="Y44" i="66"/>
  <c r="Z44" i="66" s="1"/>
  <c r="AB44" i="66"/>
  <c r="N42" i="66"/>
  <c r="W42" i="66" s="1"/>
  <c r="S43" i="66"/>
  <c r="F44" i="66"/>
  <c r="G44" i="66"/>
  <c r="E45" i="66"/>
  <c r="H43" i="66"/>
  <c r="CE85" i="56"/>
  <c r="D45" i="66"/>
  <c r="P44" i="66"/>
  <c r="CF60" i="56"/>
  <c r="CF72" i="56" s="1"/>
  <c r="CG41" i="56"/>
  <c r="CF59" i="56"/>
  <c r="CF71" i="56" s="1"/>
  <c r="CH7" i="56"/>
  <c r="CH82" i="56"/>
  <c r="CH9" i="56"/>
  <c r="CI8" i="56"/>
  <c r="CH6" i="56"/>
  <c r="CG108" i="56"/>
  <c r="CG116" i="56"/>
  <c r="CG114" i="56"/>
  <c r="CG38" i="56"/>
  <c r="CG43" i="56"/>
  <c r="CG54" i="56"/>
  <c r="CG20" i="56"/>
  <c r="CG46" i="56"/>
  <c r="CG44" i="56"/>
  <c r="CG22" i="56"/>
  <c r="CG48" i="56"/>
  <c r="CG33" i="56"/>
  <c r="CG10" i="56"/>
  <c r="CG51" i="56"/>
  <c r="CG53" i="56"/>
  <c r="CG40" i="56"/>
  <c r="CG26" i="56"/>
  <c r="CG32" i="56"/>
  <c r="CG23" i="56"/>
  <c r="CG50" i="56"/>
  <c r="CG25" i="56"/>
  <c r="CG19" i="56"/>
  <c r="CG24" i="56"/>
  <c r="CG16" i="56"/>
  <c r="CG14" i="56"/>
  <c r="CG49" i="56"/>
  <c r="CG47" i="56"/>
  <c r="CG45" i="56"/>
  <c r="CG13" i="56"/>
  <c r="CG34" i="56"/>
  <c r="CG36" i="56"/>
  <c r="CG35" i="56"/>
  <c r="CG29" i="56"/>
  <c r="CG28" i="56"/>
  <c r="CG55" i="56"/>
  <c r="CG30" i="56"/>
  <c r="CG37" i="56"/>
  <c r="CG31" i="56"/>
  <c r="CG11" i="56"/>
  <c r="CG21" i="56"/>
  <c r="CG12" i="56"/>
  <c r="CG15" i="56"/>
  <c r="CG27" i="56"/>
  <c r="CG52" i="56"/>
  <c r="CG42" i="56"/>
  <c r="CG39" i="56"/>
  <c r="CG17" i="56"/>
  <c r="CG18" i="56"/>
  <c r="CG96" i="56"/>
  <c r="CG97" i="56" s="1"/>
  <c r="CG113" i="56" s="1"/>
  <c r="CG83" i="56"/>
  <c r="AZ84" i="56"/>
  <c r="BA98" i="56"/>
  <c r="BA114" i="56" s="1"/>
  <c r="CC98" i="56"/>
  <c r="CC115" i="56" s="1"/>
  <c r="CD84" i="56"/>
  <c r="CF91" i="56"/>
  <c r="CE105" i="56"/>
  <c r="AY105" i="56"/>
  <c r="AX91" i="56"/>
  <c r="AY101" i="56"/>
  <c r="AX87" i="56"/>
  <c r="CF89" i="56"/>
  <c r="CE103" i="56"/>
  <c r="CE99" i="56"/>
  <c r="CE117" i="56" s="1"/>
  <c r="CF88" i="56"/>
  <c r="CE102" i="56"/>
  <c r="CF86" i="56"/>
  <c r="CE100" i="56"/>
  <c r="CF93" i="56"/>
  <c r="CE107" i="56"/>
  <c r="AY107" i="56"/>
  <c r="AX93" i="56"/>
  <c r="CF92" i="56"/>
  <c r="CE106" i="56"/>
  <c r="AY103" i="56"/>
  <c r="AX89" i="56"/>
  <c r="CF90" i="56"/>
  <c r="CE104" i="56"/>
  <c r="AY102" i="56"/>
  <c r="AX88" i="56"/>
  <c r="AX92" i="56"/>
  <c r="AY106" i="56"/>
  <c r="CE101" i="56"/>
  <c r="CF87" i="56"/>
  <c r="AY100" i="56"/>
  <c r="AX86" i="56"/>
  <c r="AY104" i="56"/>
  <c r="AX90" i="56"/>
  <c r="AX85" i="56"/>
  <c r="AY99" i="56"/>
  <c r="AY116" i="56" s="1"/>
  <c r="M40" i="39"/>
  <c r="P39" i="39"/>
  <c r="AA38" i="39"/>
  <c r="X39" i="39"/>
  <c r="C38" i="39"/>
  <c r="F37" i="39"/>
  <c r="Y45" i="66" l="1"/>
  <c r="Z45" i="66" s="1"/>
  <c r="AB45" i="66"/>
  <c r="N43" i="66"/>
  <c r="W43" i="66" s="1"/>
  <c r="K43" i="66"/>
  <c r="V43" i="66" s="1"/>
  <c r="I43" i="66"/>
  <c r="H44" i="66"/>
  <c r="F45" i="66"/>
  <c r="G45" i="66"/>
  <c r="E46" i="66"/>
  <c r="S44" i="66"/>
  <c r="D46" i="66"/>
  <c r="P45" i="66"/>
  <c r="CG60" i="56"/>
  <c r="CG72" i="56" s="1"/>
  <c r="CF85" i="56"/>
  <c r="CG59" i="56"/>
  <c r="CG71" i="56" s="1"/>
  <c r="CH114" i="56"/>
  <c r="CH108" i="56"/>
  <c r="CH116" i="56"/>
  <c r="CH26" i="56"/>
  <c r="CH12" i="56"/>
  <c r="CH18" i="56"/>
  <c r="CH44" i="56"/>
  <c r="CH36" i="56"/>
  <c r="CH29" i="56"/>
  <c r="CH11" i="56"/>
  <c r="CH23" i="56"/>
  <c r="CH43" i="56"/>
  <c r="CH46" i="56"/>
  <c r="CH24" i="56"/>
  <c r="CH13" i="56"/>
  <c r="CH31" i="56"/>
  <c r="CH48" i="56"/>
  <c r="CH53" i="56"/>
  <c r="CH28" i="56"/>
  <c r="CH14" i="56"/>
  <c r="CH37" i="56"/>
  <c r="CH22" i="56"/>
  <c r="CH45" i="56"/>
  <c r="CH47" i="56"/>
  <c r="CH41" i="56"/>
  <c r="CH38" i="56"/>
  <c r="CH19" i="56"/>
  <c r="CH30" i="56"/>
  <c r="CH51" i="56"/>
  <c r="CH27" i="56"/>
  <c r="CH32" i="56"/>
  <c r="CH40" i="56"/>
  <c r="CH21" i="56"/>
  <c r="CH15" i="56"/>
  <c r="CH50" i="56"/>
  <c r="CH54" i="56"/>
  <c r="CH10" i="56"/>
  <c r="CH34" i="56"/>
  <c r="CH35" i="56"/>
  <c r="CH39" i="56"/>
  <c r="CH33" i="56"/>
  <c r="CH42" i="56"/>
  <c r="CH25" i="56"/>
  <c r="CH49" i="56"/>
  <c r="CH20" i="56"/>
  <c r="CH16" i="56"/>
  <c r="CH55" i="56"/>
  <c r="CH17" i="56"/>
  <c r="CH52" i="56"/>
  <c r="CH83" i="56"/>
  <c r="CH96" i="56"/>
  <c r="CH97" i="56" s="1"/>
  <c r="CH113" i="56" s="1"/>
  <c r="CI82" i="56"/>
  <c r="CI6" i="56"/>
  <c r="CI7" i="56"/>
  <c r="CI9" i="56"/>
  <c r="AY84" i="56"/>
  <c r="AZ98" i="56"/>
  <c r="AZ114" i="56" s="1"/>
  <c r="CD98" i="56"/>
  <c r="CD115" i="56" s="1"/>
  <c r="CE84" i="56"/>
  <c r="CG91" i="56"/>
  <c r="CF105" i="56"/>
  <c r="AX104" i="56"/>
  <c r="AW90" i="56"/>
  <c r="CG87" i="56"/>
  <c r="CF101" i="56"/>
  <c r="AW88" i="56"/>
  <c r="AX102" i="56"/>
  <c r="AW89" i="56"/>
  <c r="AX103" i="56"/>
  <c r="CF99" i="56"/>
  <c r="CF117" i="56" s="1"/>
  <c r="AW87" i="56"/>
  <c r="AX101" i="56"/>
  <c r="CG93" i="56"/>
  <c r="CF107" i="56"/>
  <c r="CG88" i="56"/>
  <c r="CF102" i="56"/>
  <c r="AX100" i="56"/>
  <c r="AW86" i="56"/>
  <c r="AW93" i="56"/>
  <c r="AX107" i="56"/>
  <c r="AW91" i="56"/>
  <c r="AX105" i="56"/>
  <c r="AW85" i="56"/>
  <c r="AX99" i="56"/>
  <c r="AX116" i="56" s="1"/>
  <c r="AW92" i="56"/>
  <c r="AX106" i="56"/>
  <c r="CG90" i="56"/>
  <c r="CF104" i="56"/>
  <c r="CG92" i="56"/>
  <c r="CF106" i="56"/>
  <c r="CG86" i="56"/>
  <c r="CF100" i="56"/>
  <c r="CG89" i="56"/>
  <c r="CF103" i="56"/>
  <c r="M41" i="39"/>
  <c r="P40" i="39"/>
  <c r="X40" i="39"/>
  <c r="AA39" i="39"/>
  <c r="C39" i="39"/>
  <c r="F38" i="39"/>
  <c r="Y46" i="66" l="1"/>
  <c r="Z46" i="66" s="1"/>
  <c r="AB46" i="66"/>
  <c r="S45" i="66"/>
  <c r="G46" i="66"/>
  <c r="F46" i="66"/>
  <c r="E47" i="66"/>
  <c r="H45" i="66"/>
  <c r="N44" i="66"/>
  <c r="W44" i="66" s="1"/>
  <c r="K44" i="66"/>
  <c r="V44" i="66" s="1"/>
  <c r="I44" i="66"/>
  <c r="CG85" i="56"/>
  <c r="D47" i="66"/>
  <c r="P46" i="66"/>
  <c r="CH60" i="56"/>
  <c r="CH72" i="56" s="1"/>
  <c r="CH59" i="56"/>
  <c r="CH71" i="56" s="1"/>
  <c r="CI116" i="56"/>
  <c r="CI114" i="56"/>
  <c r="CI108" i="56"/>
  <c r="CI43" i="56"/>
  <c r="CI34" i="56"/>
  <c r="CI51" i="56"/>
  <c r="CI54" i="56"/>
  <c r="CI24" i="56"/>
  <c r="CI29" i="56"/>
  <c r="CI53" i="56"/>
  <c r="CI27" i="56"/>
  <c r="CI50" i="56"/>
  <c r="CI17" i="56"/>
  <c r="CI26" i="56"/>
  <c r="CI55" i="56"/>
  <c r="CI15" i="56"/>
  <c r="CI23" i="56"/>
  <c r="CI16" i="56"/>
  <c r="CI38" i="56"/>
  <c r="CI37" i="56"/>
  <c r="CI11" i="56"/>
  <c r="CI52" i="56"/>
  <c r="CI46" i="56"/>
  <c r="CI41" i="56"/>
  <c r="CI19" i="56"/>
  <c r="CI28" i="56"/>
  <c r="CI33" i="56"/>
  <c r="CI47" i="56"/>
  <c r="CI39" i="56"/>
  <c r="CI32" i="56"/>
  <c r="CI10" i="56"/>
  <c r="CI45" i="56"/>
  <c r="CI44" i="56"/>
  <c r="CI12" i="56"/>
  <c r="CI48" i="56"/>
  <c r="CI21" i="56"/>
  <c r="CI49" i="56"/>
  <c r="CI18" i="56"/>
  <c r="CI20" i="56"/>
  <c r="CI30" i="56"/>
  <c r="CI14" i="56"/>
  <c r="CI36" i="56"/>
  <c r="CI42" i="56"/>
  <c r="CI22" i="56"/>
  <c r="CI25" i="56"/>
  <c r="CI31" i="56"/>
  <c r="CI40" i="56"/>
  <c r="CI35" i="56"/>
  <c r="CI96" i="56"/>
  <c r="CI97" i="56" s="1"/>
  <c r="CI113" i="56" s="1"/>
  <c r="CI83" i="56"/>
  <c r="CI13" i="56"/>
  <c r="CF84" i="56"/>
  <c r="CE98" i="56"/>
  <c r="CE115" i="56" s="1"/>
  <c r="AX84" i="56"/>
  <c r="AY98" i="56"/>
  <c r="AY114" i="56" s="1"/>
  <c r="CH91" i="56"/>
  <c r="CG105" i="56"/>
  <c r="AW100" i="56"/>
  <c r="AV86" i="56"/>
  <c r="CH92" i="56"/>
  <c r="CG106" i="56"/>
  <c r="AW106" i="56"/>
  <c r="AV92" i="56"/>
  <c r="AV91" i="56"/>
  <c r="AW105" i="56"/>
  <c r="CG107" i="56"/>
  <c r="CH93" i="56"/>
  <c r="AV87" i="56"/>
  <c r="AW101" i="56"/>
  <c r="AW103" i="56"/>
  <c r="AV89" i="56"/>
  <c r="CG101" i="56"/>
  <c r="CH87" i="56"/>
  <c r="CG99" i="56"/>
  <c r="CG117" i="56" s="1"/>
  <c r="AV90" i="56"/>
  <c r="AW104" i="56"/>
  <c r="CH89" i="56"/>
  <c r="CG103" i="56"/>
  <c r="CG100" i="56"/>
  <c r="CH86" i="56"/>
  <c r="CG104" i="56"/>
  <c r="CH90" i="56"/>
  <c r="AV85" i="56"/>
  <c r="AW99" i="56"/>
  <c r="AW116" i="56" s="1"/>
  <c r="AV93" i="56"/>
  <c r="AW107" i="56"/>
  <c r="CG102" i="56"/>
  <c r="CH88" i="56"/>
  <c r="AV88" i="56"/>
  <c r="AW102" i="56"/>
  <c r="P41" i="39"/>
  <c r="M42" i="39"/>
  <c r="AA40" i="39"/>
  <c r="X41" i="39"/>
  <c r="C40" i="39"/>
  <c r="F39" i="39"/>
  <c r="Y47" i="66" l="1"/>
  <c r="Z47" i="66" s="1"/>
  <c r="AB47" i="66"/>
  <c r="H46" i="66"/>
  <c r="N46" i="66" s="1"/>
  <c r="W46" i="66" s="1"/>
  <c r="G47" i="66"/>
  <c r="F47" i="66"/>
  <c r="E48" i="66"/>
  <c r="S46" i="66"/>
  <c r="N45" i="66"/>
  <c r="W45" i="66" s="1"/>
  <c r="I45" i="66"/>
  <c r="K45" i="66"/>
  <c r="V45" i="66" s="1"/>
  <c r="D48" i="66"/>
  <c r="P47" i="66"/>
  <c r="CH85" i="56"/>
  <c r="CI60" i="56"/>
  <c r="CI72" i="56" s="1"/>
  <c r="CI59" i="56"/>
  <c r="CI71" i="56" s="1"/>
  <c r="AX98" i="56"/>
  <c r="AX114" i="56" s="1"/>
  <c r="AW84" i="56"/>
  <c r="CG84" i="56"/>
  <c r="CF98" i="56"/>
  <c r="CF115" i="56" s="1"/>
  <c r="CI91" i="56"/>
  <c r="CI105" i="56" s="1"/>
  <c r="CH105" i="56"/>
  <c r="CI88" i="56"/>
  <c r="CI102" i="56" s="1"/>
  <c r="CH102" i="56"/>
  <c r="CH100" i="56"/>
  <c r="CI86" i="56"/>
  <c r="CI100" i="56" s="1"/>
  <c r="AU89" i="56"/>
  <c r="AV103" i="56"/>
  <c r="CH107" i="56"/>
  <c r="CI93" i="56"/>
  <c r="CI107" i="56" s="1"/>
  <c r="AV106" i="56"/>
  <c r="AU92" i="56"/>
  <c r="AU85" i="56"/>
  <c r="AV99" i="56"/>
  <c r="AV116" i="56" s="1"/>
  <c r="AV104" i="56"/>
  <c r="AU90" i="56"/>
  <c r="CH104" i="56"/>
  <c r="CI90" i="56"/>
  <c r="CI104" i="56" s="1"/>
  <c r="CH99" i="56"/>
  <c r="CH117" i="56" s="1"/>
  <c r="CI87" i="56"/>
  <c r="CI101" i="56" s="1"/>
  <c r="CH101" i="56"/>
  <c r="AV100" i="56"/>
  <c r="AU86" i="56"/>
  <c r="AU88" i="56"/>
  <c r="AV102" i="56"/>
  <c r="AV107" i="56"/>
  <c r="AU93" i="56"/>
  <c r="CI89" i="56"/>
  <c r="CI103" i="56" s="1"/>
  <c r="CH103" i="56"/>
  <c r="AU87" i="56"/>
  <c r="AV101" i="56"/>
  <c r="AU91" i="56"/>
  <c r="AV105" i="56"/>
  <c r="CH106" i="56"/>
  <c r="CI92" i="56"/>
  <c r="CI106" i="56" s="1"/>
  <c r="M43" i="39"/>
  <c r="P42" i="39"/>
  <c r="X42" i="39"/>
  <c r="AA41" i="39"/>
  <c r="C41" i="39"/>
  <c r="F40" i="39"/>
  <c r="K46" i="66" l="1"/>
  <c r="V46" i="66" s="1"/>
  <c r="I46" i="66"/>
  <c r="Y48" i="66"/>
  <c r="Z48" i="66" s="1"/>
  <c r="AB48" i="66"/>
  <c r="H47" i="66"/>
  <c r="K47" i="66" s="1"/>
  <c r="V47" i="66" s="1"/>
  <c r="F48" i="66"/>
  <c r="G48" i="66"/>
  <c r="E49" i="66"/>
  <c r="S47" i="66"/>
  <c r="D49" i="66"/>
  <c r="P48" i="66"/>
  <c r="CI85" i="56"/>
  <c r="CI99" i="56" s="1"/>
  <c r="CI117" i="56" s="1"/>
  <c r="CH84" i="56"/>
  <c r="CG98" i="56"/>
  <c r="CG115" i="56" s="1"/>
  <c r="AV84" i="56"/>
  <c r="AW98" i="56"/>
  <c r="AW114" i="56" s="1"/>
  <c r="AU105" i="56"/>
  <c r="AT91" i="56"/>
  <c r="AT88" i="56"/>
  <c r="AU102" i="56"/>
  <c r="AU99" i="56"/>
  <c r="AU116" i="56" s="1"/>
  <c r="AT85" i="56"/>
  <c r="AT93" i="56"/>
  <c r="AU107" i="56"/>
  <c r="AT86" i="56"/>
  <c r="AU100" i="56"/>
  <c r="AT90" i="56"/>
  <c r="AU104" i="56"/>
  <c r="AT92" i="56"/>
  <c r="AU106" i="56"/>
  <c r="AT87" i="56"/>
  <c r="AU101" i="56"/>
  <c r="AT89" i="56"/>
  <c r="AU103" i="56"/>
  <c r="P43" i="39"/>
  <c r="M44" i="39"/>
  <c r="X43" i="39"/>
  <c r="AA42" i="39"/>
  <c r="C42" i="39"/>
  <c r="F41" i="39"/>
  <c r="N47" i="66" l="1"/>
  <c r="W47" i="66" s="1"/>
  <c r="I47" i="66"/>
  <c r="H48" i="66"/>
  <c r="N48" i="66" s="1"/>
  <c r="W48" i="66" s="1"/>
  <c r="Y49" i="66"/>
  <c r="Z49" i="66" s="1"/>
  <c r="AB49" i="66"/>
  <c r="S48" i="66"/>
  <c r="G49" i="66"/>
  <c r="F49" i="66"/>
  <c r="E50" i="66"/>
  <c r="D50" i="66"/>
  <c r="P49" i="66"/>
  <c r="CH98" i="56"/>
  <c r="CH115" i="56" s="1"/>
  <c r="CI84" i="56"/>
  <c r="CI98" i="56" s="1"/>
  <c r="CI115" i="56" s="1"/>
  <c r="AV98" i="56"/>
  <c r="AV114" i="56" s="1"/>
  <c r="AU84" i="56"/>
  <c r="AT99" i="56"/>
  <c r="AT116" i="56" s="1"/>
  <c r="AS85" i="56"/>
  <c r="AT105" i="56"/>
  <c r="AS91" i="56"/>
  <c r="AS89" i="56"/>
  <c r="AT103" i="56"/>
  <c r="AT106" i="56"/>
  <c r="AS92" i="56"/>
  <c r="AS86" i="56"/>
  <c r="AT100" i="56"/>
  <c r="AS87" i="56"/>
  <c r="AT101" i="56"/>
  <c r="AT104" i="56"/>
  <c r="AS90" i="56"/>
  <c r="AT107" i="56"/>
  <c r="AS93" i="56"/>
  <c r="AS88" i="56"/>
  <c r="AT102" i="56"/>
  <c r="M45" i="39"/>
  <c r="P44" i="39"/>
  <c r="X44" i="39"/>
  <c r="AA43" i="39"/>
  <c r="C43" i="39"/>
  <c r="F42" i="39"/>
  <c r="K48" i="66" l="1"/>
  <c r="V48" i="66" s="1"/>
  <c r="I48" i="66"/>
  <c r="Y50" i="66"/>
  <c r="Z50" i="66" s="1"/>
  <c r="AB50" i="66"/>
  <c r="S49" i="66"/>
  <c r="G50" i="66"/>
  <c r="F50" i="66"/>
  <c r="E51" i="66"/>
  <c r="H49" i="66"/>
  <c r="D51" i="66"/>
  <c r="P50" i="66"/>
  <c r="AT84" i="56"/>
  <c r="AU98" i="56"/>
  <c r="AU114" i="56" s="1"/>
  <c r="AR93" i="56"/>
  <c r="AS107" i="56"/>
  <c r="AS106" i="56"/>
  <c r="AR92" i="56"/>
  <c r="AR91" i="56"/>
  <c r="AS105" i="56"/>
  <c r="AR87" i="56"/>
  <c r="AS101" i="56"/>
  <c r="AR90" i="56"/>
  <c r="AS104" i="56"/>
  <c r="AS99" i="56"/>
  <c r="AS116" i="56" s="1"/>
  <c r="AR85" i="56"/>
  <c r="AR88" i="56"/>
  <c r="AS102" i="56"/>
  <c r="AR86" i="56"/>
  <c r="AS100" i="56"/>
  <c r="AS103" i="56"/>
  <c r="AR89" i="56"/>
  <c r="P45" i="39"/>
  <c r="M46" i="39"/>
  <c r="AA44" i="39"/>
  <c r="X45" i="39"/>
  <c r="C44" i="39"/>
  <c r="F43" i="39"/>
  <c r="Y51" i="66" l="1"/>
  <c r="Z51" i="66" s="1"/>
  <c r="AB51" i="66"/>
  <c r="H50" i="66"/>
  <c r="I50" i="66" s="1"/>
  <c r="N49" i="66"/>
  <c r="W49" i="66" s="1"/>
  <c r="I49" i="66"/>
  <c r="K49" i="66"/>
  <c r="V49" i="66" s="1"/>
  <c r="G51" i="66"/>
  <c r="F51" i="66"/>
  <c r="E52" i="66"/>
  <c r="S50" i="66"/>
  <c r="D52" i="66"/>
  <c r="P51" i="66"/>
  <c r="AS84" i="56"/>
  <c r="AT98" i="56"/>
  <c r="AT114" i="56" s="1"/>
  <c r="AR103" i="56"/>
  <c r="AQ89" i="56"/>
  <c r="AQ92" i="56"/>
  <c r="AR106" i="56"/>
  <c r="AR102" i="56"/>
  <c r="AQ88" i="56"/>
  <c r="AR104" i="56"/>
  <c r="AQ90" i="56"/>
  <c r="AQ85" i="56"/>
  <c r="AR99" i="56"/>
  <c r="AR116" i="56" s="1"/>
  <c r="AQ86" i="56"/>
  <c r="AR100" i="56"/>
  <c r="AQ87" i="56"/>
  <c r="AR101" i="56"/>
  <c r="AQ91" i="56"/>
  <c r="AR105" i="56"/>
  <c r="AQ93" i="56"/>
  <c r="AR107" i="56"/>
  <c r="M47" i="39"/>
  <c r="P46" i="39"/>
  <c r="AA45" i="39"/>
  <c r="X46" i="39"/>
  <c r="F44" i="39"/>
  <c r="C45" i="39"/>
  <c r="Y52" i="66" l="1"/>
  <c r="Z52" i="66" s="1"/>
  <c r="AB52" i="66"/>
  <c r="K50" i="66"/>
  <c r="V50" i="66" s="1"/>
  <c r="N50" i="66"/>
  <c r="W50" i="66" s="1"/>
  <c r="S51" i="66"/>
  <c r="G52" i="66"/>
  <c r="F52" i="66"/>
  <c r="E53" i="66"/>
  <c r="H51" i="66"/>
  <c r="D53" i="66"/>
  <c r="P52" i="66"/>
  <c r="AR84" i="56"/>
  <c r="AS98" i="56"/>
  <c r="AS114" i="56" s="1"/>
  <c r="AQ104" i="56"/>
  <c r="AP90" i="56"/>
  <c r="AP93" i="56"/>
  <c r="AQ107" i="56"/>
  <c r="AP87" i="56"/>
  <c r="AQ101" i="56"/>
  <c r="AQ99" i="56"/>
  <c r="AQ116" i="56" s="1"/>
  <c r="AP85" i="56"/>
  <c r="AP92" i="56"/>
  <c r="AQ106" i="56"/>
  <c r="AP88" i="56"/>
  <c r="AQ102" i="56"/>
  <c r="AQ103" i="56"/>
  <c r="AP89" i="56"/>
  <c r="AP91" i="56"/>
  <c r="AQ105" i="56"/>
  <c r="AP86" i="56"/>
  <c r="AQ100" i="56"/>
  <c r="P47" i="39"/>
  <c r="M48" i="39"/>
  <c r="AA46" i="39"/>
  <c r="X47" i="39"/>
  <c r="F45" i="39"/>
  <c r="C46" i="39"/>
  <c r="Y53" i="66" l="1"/>
  <c r="Z53" i="66" s="1"/>
  <c r="AB53" i="66"/>
  <c r="H52" i="66"/>
  <c r="N52" i="66" s="1"/>
  <c r="W52" i="66" s="1"/>
  <c r="N51" i="66"/>
  <c r="W51" i="66" s="1"/>
  <c r="I51" i="66"/>
  <c r="K51" i="66"/>
  <c r="V51" i="66" s="1"/>
  <c r="F53" i="66"/>
  <c r="G53" i="66"/>
  <c r="E54" i="66"/>
  <c r="S52" i="66"/>
  <c r="D54" i="66"/>
  <c r="P53" i="66"/>
  <c r="AR98" i="56"/>
  <c r="AR114" i="56" s="1"/>
  <c r="AQ84" i="56"/>
  <c r="AO86" i="56"/>
  <c r="AP100" i="56"/>
  <c r="AP107" i="56"/>
  <c r="AO93" i="56"/>
  <c r="AO90" i="56"/>
  <c r="AP104" i="56"/>
  <c r="AO89" i="56"/>
  <c r="AP103" i="56"/>
  <c r="AO85" i="56"/>
  <c r="AP99" i="56"/>
  <c r="AP116" i="56" s="1"/>
  <c r="AO91" i="56"/>
  <c r="AP105" i="56"/>
  <c r="AO88" i="56"/>
  <c r="AP102" i="56"/>
  <c r="AP106" i="56"/>
  <c r="AO92" i="56"/>
  <c r="AO87" i="56"/>
  <c r="AP101" i="56"/>
  <c r="M49" i="39"/>
  <c r="P48" i="39"/>
  <c r="X48" i="39"/>
  <c r="AA47" i="39"/>
  <c r="F46" i="39"/>
  <c r="C47" i="39"/>
  <c r="I52" i="66" l="1"/>
  <c r="K52" i="66"/>
  <c r="V52" i="66" s="1"/>
  <c r="Y54" i="66"/>
  <c r="Z54" i="66" s="1"/>
  <c r="AB54" i="66"/>
  <c r="H53" i="66"/>
  <c r="K53" i="66" s="1"/>
  <c r="V53" i="66" s="1"/>
  <c r="G54" i="66"/>
  <c r="F54" i="66"/>
  <c r="E55" i="66"/>
  <c r="S53" i="66"/>
  <c r="D55" i="66"/>
  <c r="P54" i="66"/>
  <c r="AQ98" i="56"/>
  <c r="AQ114" i="56" s="1"/>
  <c r="AP84" i="56"/>
  <c r="AN87" i="56"/>
  <c r="AO101" i="56"/>
  <c r="AN88" i="56"/>
  <c r="AO102" i="56"/>
  <c r="AN85" i="56"/>
  <c r="AO99" i="56"/>
  <c r="AO116" i="56" s="1"/>
  <c r="AN89" i="56"/>
  <c r="AO103" i="56"/>
  <c r="AN93" i="56"/>
  <c r="AO107" i="56"/>
  <c r="AN92" i="56"/>
  <c r="AO106" i="56"/>
  <c r="AO105" i="56"/>
  <c r="AN91" i="56"/>
  <c r="AN90" i="56"/>
  <c r="AO104" i="56"/>
  <c r="AN86" i="56"/>
  <c r="AO100" i="56"/>
  <c r="P49" i="39"/>
  <c r="M50" i="39"/>
  <c r="AA48" i="39"/>
  <c r="X49" i="39"/>
  <c r="C48" i="39"/>
  <c r="F47" i="39"/>
  <c r="I53" i="66" l="1"/>
  <c r="N53" i="66"/>
  <c r="W53" i="66" s="1"/>
  <c r="Y55" i="66"/>
  <c r="Z55" i="66" s="1"/>
  <c r="AB55" i="66"/>
  <c r="S54" i="66"/>
  <c r="F55" i="66"/>
  <c r="G55" i="66"/>
  <c r="E56" i="66"/>
  <c r="H54" i="66"/>
  <c r="D56" i="66"/>
  <c r="P55" i="66"/>
  <c r="AO84" i="56"/>
  <c r="AP98" i="56"/>
  <c r="AP114" i="56" s="1"/>
  <c r="AM86" i="56"/>
  <c r="AN100" i="56"/>
  <c r="AM92" i="56"/>
  <c r="AN106" i="56"/>
  <c r="AM89" i="56"/>
  <c r="AN103" i="56"/>
  <c r="AM88" i="56"/>
  <c r="AN102" i="56"/>
  <c r="AN105" i="56"/>
  <c r="AM91" i="56"/>
  <c r="AN104" i="56"/>
  <c r="AM90" i="56"/>
  <c r="AM93" i="56"/>
  <c r="AN107" i="56"/>
  <c r="AN99" i="56"/>
  <c r="AN116" i="56" s="1"/>
  <c r="AM85" i="56"/>
  <c r="AN101" i="56"/>
  <c r="AM87" i="56"/>
  <c r="M51" i="39"/>
  <c r="P50" i="39"/>
  <c r="X50" i="39"/>
  <c r="AA49" i="39"/>
  <c r="F48" i="39"/>
  <c r="C49" i="39"/>
  <c r="Y56" i="66" l="1"/>
  <c r="Z56" i="66" s="1"/>
  <c r="AB56" i="66"/>
  <c r="N54" i="66"/>
  <c r="W54" i="66" s="1"/>
  <c r="K54" i="66"/>
  <c r="V54" i="66" s="1"/>
  <c r="I54" i="66"/>
  <c r="F56" i="66"/>
  <c r="G56" i="66"/>
  <c r="E57" i="66"/>
  <c r="S55" i="66"/>
  <c r="H55" i="66"/>
  <c r="D57" i="66"/>
  <c r="P56" i="66"/>
  <c r="AN84" i="56"/>
  <c r="AO98" i="56"/>
  <c r="AO114" i="56" s="1"/>
  <c r="AM107" i="56"/>
  <c r="AL93" i="56"/>
  <c r="AM103" i="56"/>
  <c r="AL89" i="56"/>
  <c r="AM99" i="56"/>
  <c r="AM116" i="56" s="1"/>
  <c r="AL85" i="56"/>
  <c r="AL90" i="56"/>
  <c r="AM104" i="56"/>
  <c r="AL87" i="56"/>
  <c r="AM101" i="56"/>
  <c r="AM105" i="56"/>
  <c r="AL91" i="56"/>
  <c r="AM102" i="56"/>
  <c r="AL88" i="56"/>
  <c r="AL92" i="56"/>
  <c r="AM106" i="56"/>
  <c r="AL86" i="56"/>
  <c r="AM100" i="56"/>
  <c r="P51" i="39"/>
  <c r="M52" i="39"/>
  <c r="AA50" i="39"/>
  <c r="X51" i="39"/>
  <c r="C50" i="39"/>
  <c r="F49" i="39"/>
  <c r="Y57" i="66" l="1"/>
  <c r="Z57" i="66" s="1"/>
  <c r="AB57" i="66"/>
  <c r="H56" i="66"/>
  <c r="K56" i="66" s="1"/>
  <c r="V56" i="66" s="1"/>
  <c r="F57" i="66"/>
  <c r="G57" i="66"/>
  <c r="E58" i="66"/>
  <c r="S56" i="66"/>
  <c r="K55" i="66"/>
  <c r="V55" i="66" s="1"/>
  <c r="I55" i="66"/>
  <c r="N55" i="66"/>
  <c r="W55" i="66" s="1"/>
  <c r="D58" i="66"/>
  <c r="P57" i="66"/>
  <c r="AM84" i="56"/>
  <c r="AN98" i="56"/>
  <c r="AN114" i="56" s="1"/>
  <c r="AK88" i="56"/>
  <c r="AL102" i="56"/>
  <c r="AK91" i="56"/>
  <c r="AL105" i="56"/>
  <c r="AL103" i="56"/>
  <c r="AK89" i="56"/>
  <c r="AL104" i="56"/>
  <c r="AK90" i="56"/>
  <c r="AL100" i="56"/>
  <c r="AK86" i="56"/>
  <c r="AL99" i="56"/>
  <c r="AL116" i="56" s="1"/>
  <c r="AK85" i="56"/>
  <c r="AK93" i="56"/>
  <c r="AL107" i="56"/>
  <c r="AK92" i="56"/>
  <c r="AL106" i="56"/>
  <c r="AK87" i="56"/>
  <c r="AL101" i="56"/>
  <c r="M53" i="39"/>
  <c r="P52" i="39"/>
  <c r="X52" i="39"/>
  <c r="AA51" i="39"/>
  <c r="F50" i="39"/>
  <c r="C51" i="39"/>
  <c r="N56" i="66" l="1"/>
  <c r="W56" i="66" s="1"/>
  <c r="I56" i="66"/>
  <c r="Y58" i="66"/>
  <c r="Z58" i="66" s="1"/>
  <c r="AB58" i="66"/>
  <c r="H57" i="66"/>
  <c r="I57" i="66" s="1"/>
  <c r="F58" i="66"/>
  <c r="G58" i="66"/>
  <c r="E59" i="66"/>
  <c r="S57" i="66"/>
  <c r="D59" i="66"/>
  <c r="P58" i="66"/>
  <c r="AL84" i="56"/>
  <c r="AM98" i="56"/>
  <c r="AM114" i="56" s="1"/>
  <c r="AJ87" i="56"/>
  <c r="AK101" i="56"/>
  <c r="AJ93" i="56"/>
  <c r="AK107" i="56"/>
  <c r="AJ91" i="56"/>
  <c r="AK105" i="56"/>
  <c r="AJ90" i="56"/>
  <c r="AK104" i="56"/>
  <c r="AK99" i="56"/>
  <c r="AK116" i="56" s="1"/>
  <c r="AJ85" i="56"/>
  <c r="AK100" i="56"/>
  <c r="AJ86" i="56"/>
  <c r="AJ89" i="56"/>
  <c r="AK103" i="56"/>
  <c r="AK106" i="56"/>
  <c r="AJ92" i="56"/>
  <c r="AJ88" i="56"/>
  <c r="AK102" i="56"/>
  <c r="M54" i="39"/>
  <c r="P53" i="39"/>
  <c r="X53" i="39"/>
  <c r="AA52" i="39"/>
  <c r="C52" i="39"/>
  <c r="F51" i="39"/>
  <c r="K57" i="66" l="1"/>
  <c r="V57" i="66" s="1"/>
  <c r="N57" i="66"/>
  <c r="W57" i="66" s="1"/>
  <c r="H58" i="66"/>
  <c r="N58" i="66" s="1"/>
  <c r="W58" i="66" s="1"/>
  <c r="Y59" i="66"/>
  <c r="Z59" i="66" s="1"/>
  <c r="AB59" i="66"/>
  <c r="G59" i="66"/>
  <c r="F59" i="66"/>
  <c r="E60" i="66"/>
  <c r="S58" i="66"/>
  <c r="D60" i="66"/>
  <c r="P59" i="66"/>
  <c r="AK84" i="56"/>
  <c r="AL98" i="56"/>
  <c r="AL114" i="56" s="1"/>
  <c r="AI85" i="56"/>
  <c r="AJ99" i="56"/>
  <c r="AJ116" i="56" s="1"/>
  <c r="AJ102" i="56"/>
  <c r="AI88" i="56"/>
  <c r="AI89" i="56"/>
  <c r="AJ103" i="56"/>
  <c r="AI91" i="56"/>
  <c r="AJ105" i="56"/>
  <c r="AJ107" i="56"/>
  <c r="AI93" i="56"/>
  <c r="AJ106" i="56"/>
  <c r="AI92" i="56"/>
  <c r="AJ100" i="56"/>
  <c r="AI86" i="56"/>
  <c r="AJ104" i="56"/>
  <c r="AI90" i="56"/>
  <c r="AI87" i="56"/>
  <c r="AJ101" i="56"/>
  <c r="M55" i="39"/>
  <c r="P54" i="39"/>
  <c r="AA53" i="39"/>
  <c r="X54" i="39"/>
  <c r="F52" i="39"/>
  <c r="C53" i="39"/>
  <c r="I58" i="66" l="1"/>
  <c r="K58" i="66"/>
  <c r="V58" i="66" s="1"/>
  <c r="Y60" i="66"/>
  <c r="Z60" i="66" s="1"/>
  <c r="AB60" i="66"/>
  <c r="G60" i="66"/>
  <c r="F60" i="66"/>
  <c r="E61" i="66"/>
  <c r="S59" i="66"/>
  <c r="H59" i="66"/>
  <c r="D61" i="66"/>
  <c r="P60" i="66"/>
  <c r="AK98" i="56"/>
  <c r="AK114" i="56" s="1"/>
  <c r="AJ84" i="56"/>
  <c r="AH92" i="56"/>
  <c r="AI106" i="56"/>
  <c r="AI102" i="56"/>
  <c r="AH88" i="56"/>
  <c r="AH87" i="56"/>
  <c r="AI101" i="56"/>
  <c r="AI105" i="56"/>
  <c r="AH91" i="56"/>
  <c r="AH90" i="56"/>
  <c r="AI104" i="56"/>
  <c r="AH86" i="56"/>
  <c r="AI100" i="56"/>
  <c r="AH93" i="56"/>
  <c r="AI107" i="56"/>
  <c r="AH89" i="56"/>
  <c r="AI103" i="56"/>
  <c r="AH85" i="56"/>
  <c r="AI99" i="56"/>
  <c r="AI116" i="56" s="1"/>
  <c r="P55" i="39"/>
  <c r="M56" i="39"/>
  <c r="AA54" i="39"/>
  <c r="X55" i="39"/>
  <c r="F53" i="39"/>
  <c r="C54" i="39"/>
  <c r="H60" i="66" l="1"/>
  <c r="N60" i="66" s="1"/>
  <c r="W60" i="66" s="1"/>
  <c r="Y61" i="66"/>
  <c r="Z61" i="66" s="1"/>
  <c r="AB61" i="66"/>
  <c r="S60" i="66"/>
  <c r="I59" i="66"/>
  <c r="N59" i="66"/>
  <c r="W59" i="66" s="1"/>
  <c r="K59" i="66"/>
  <c r="V59" i="66" s="1"/>
  <c r="F61" i="66"/>
  <c r="G61" i="66"/>
  <c r="E62" i="66"/>
  <c r="D62" i="66"/>
  <c r="P61" i="66"/>
  <c r="AI84" i="56"/>
  <c r="AJ98" i="56"/>
  <c r="AJ114" i="56" s="1"/>
  <c r="AH103" i="56"/>
  <c r="AG89" i="56"/>
  <c r="AH102" i="56"/>
  <c r="AG88" i="56"/>
  <c r="AH99" i="56"/>
  <c r="AH116" i="56" s="1"/>
  <c r="AG85" i="56"/>
  <c r="AG93" i="56"/>
  <c r="AH107" i="56"/>
  <c r="AH104" i="56"/>
  <c r="AG90" i="56"/>
  <c r="AG91" i="56"/>
  <c r="AH105" i="56"/>
  <c r="AH100" i="56"/>
  <c r="AG86" i="56"/>
  <c r="AH101" i="56"/>
  <c r="AG87" i="56"/>
  <c r="AH106" i="56"/>
  <c r="AG92" i="56"/>
  <c r="M57" i="39"/>
  <c r="P56" i="39"/>
  <c r="X56" i="39"/>
  <c r="AA55" i="39"/>
  <c r="F54" i="39"/>
  <c r="C55" i="39"/>
  <c r="G673" i="44"/>
  <c r="G778" i="44"/>
  <c r="G612" i="44"/>
  <c r="G581" i="44"/>
  <c r="S522" i="44"/>
  <c r="G25" i="44"/>
  <c r="S599" i="44"/>
  <c r="G760" i="44"/>
  <c r="S55" i="44"/>
  <c r="G185" i="44"/>
  <c r="G337" i="44"/>
  <c r="G458" i="44"/>
  <c r="S676" i="44"/>
  <c r="G517" i="44"/>
  <c r="G282" i="44"/>
  <c r="G296" i="44"/>
  <c r="S545" i="44"/>
  <c r="G279" i="44"/>
  <c r="G540" i="44"/>
  <c r="G719" i="44"/>
  <c r="G240" i="44"/>
  <c r="S360" i="44"/>
  <c r="G723" i="44"/>
  <c r="G171" i="44"/>
  <c r="G378" i="44"/>
  <c r="S697" i="44"/>
  <c r="S474" i="44"/>
  <c r="S617" i="44"/>
  <c r="S747" i="44"/>
  <c r="G753" i="44"/>
  <c r="S698" i="44"/>
  <c r="S411" i="44"/>
  <c r="G328" i="44"/>
  <c r="S661" i="44"/>
  <c r="S559" i="44"/>
  <c r="S442" i="44"/>
  <c r="S592" i="44"/>
  <c r="S779" i="44"/>
  <c r="S115" i="44"/>
  <c r="G812" i="44"/>
  <c r="S499" i="44"/>
  <c r="G442" i="44"/>
  <c r="S137" i="44"/>
  <c r="G127" i="44"/>
  <c r="S212" i="44"/>
  <c r="S222" i="44"/>
  <c r="G78" i="44"/>
  <c r="G591" i="44"/>
  <c r="S54" i="44"/>
  <c r="G844" i="44"/>
  <c r="S529" i="44"/>
  <c r="G763" i="44"/>
  <c r="S356" i="44"/>
  <c r="S770" i="44"/>
  <c r="S265" i="44"/>
  <c r="S160" i="44"/>
  <c r="G163" i="44"/>
  <c r="G749" i="44"/>
  <c r="G569" i="44"/>
  <c r="S836" i="44"/>
  <c r="S153" i="44"/>
  <c r="S682" i="44"/>
  <c r="G425" i="44"/>
  <c r="S344" i="44"/>
  <c r="G490" i="44"/>
  <c r="G83" i="44"/>
  <c r="S81" i="44"/>
  <c r="G155" i="44"/>
  <c r="S783" i="44"/>
  <c r="S648" i="44"/>
  <c r="S656" i="44"/>
  <c r="S89" i="44"/>
  <c r="G281" i="44"/>
  <c r="S731" i="44"/>
  <c r="G451" i="44"/>
  <c r="S625" i="44"/>
  <c r="S119" i="44"/>
  <c r="G154" i="44"/>
  <c r="S608" i="44"/>
  <c r="G616" i="44"/>
  <c r="S446" i="44"/>
  <c r="G311" i="44"/>
  <c r="S127" i="44"/>
  <c r="S808" i="44"/>
  <c r="S213" i="44"/>
  <c r="S248" i="44"/>
  <c r="S669" i="44"/>
  <c r="G201" i="44"/>
  <c r="S189" i="44"/>
  <c r="S711" i="44"/>
  <c r="S138" i="44"/>
  <c r="S23" i="44"/>
  <c r="S233" i="44"/>
  <c r="S121" i="44"/>
  <c r="G830" i="44"/>
  <c r="S678" i="44"/>
  <c r="G666" i="44"/>
  <c r="G429" i="44"/>
  <c r="S179" i="44"/>
  <c r="G772" i="44"/>
  <c r="S205" i="44"/>
  <c r="S218" i="44"/>
  <c r="S96" i="44"/>
  <c r="S314" i="44"/>
  <c r="S491" i="44"/>
  <c r="S701" i="44"/>
  <c r="S125" i="44"/>
  <c r="G323" i="44"/>
  <c r="G33" i="44"/>
  <c r="G838" i="44"/>
  <c r="S671" i="44"/>
  <c r="G804" i="44"/>
  <c r="G227" i="44"/>
  <c r="S476" i="44"/>
  <c r="G29" i="44"/>
  <c r="S601" i="44"/>
  <c r="S763" i="44"/>
  <c r="G195" i="44"/>
  <c r="S253" i="44"/>
  <c r="G729" i="44"/>
  <c r="S91" i="44"/>
  <c r="S562" i="44"/>
  <c r="G249" i="44"/>
  <c r="G338" i="44"/>
  <c r="S143" i="44"/>
  <c r="S357" i="44"/>
  <c r="S497" i="44"/>
  <c r="S252" i="44"/>
  <c r="S458" i="44"/>
  <c r="G383" i="44"/>
  <c r="G77" i="44"/>
  <c r="S736" i="44"/>
  <c r="S831" i="44"/>
  <c r="S827" i="44"/>
  <c r="G871" i="44"/>
  <c r="S300" i="44"/>
  <c r="G330" i="44"/>
  <c r="G826" i="44"/>
  <c r="G432" i="44"/>
  <c r="S793" i="44"/>
  <c r="S666" i="44"/>
  <c r="S781" i="44"/>
  <c r="G245" i="44"/>
  <c r="G465" i="44"/>
  <c r="G52" i="44"/>
  <c r="G503" i="44"/>
  <c r="G858" i="44"/>
  <c r="S79" i="44"/>
  <c r="G559" i="44"/>
  <c r="S216" i="44"/>
  <c r="S277" i="44"/>
  <c r="G159" i="44"/>
  <c r="S422" i="44"/>
  <c r="S713" i="44"/>
  <c r="G780" i="44"/>
  <c r="G178" i="44"/>
  <c r="G554" i="44"/>
  <c r="G626" i="44"/>
  <c r="S552" i="44"/>
  <c r="S181" i="44"/>
  <c r="S557" i="44"/>
  <c r="S158" i="44"/>
  <c r="G107" i="44"/>
  <c r="G779" i="44"/>
  <c r="S477" i="44"/>
  <c r="S800" i="44"/>
  <c r="G647" i="44"/>
  <c r="G376" i="44"/>
  <c r="G342" i="44"/>
  <c r="G802" i="44"/>
  <c r="G345" i="44"/>
  <c r="S530" i="44"/>
  <c r="G35" i="44"/>
  <c r="G549" i="44"/>
  <c r="S326" i="44"/>
  <c r="S362" i="44"/>
  <c r="S538" i="44"/>
  <c r="S24" i="44"/>
  <c r="G847" i="44"/>
  <c r="G97" i="44"/>
  <c r="S631" i="44"/>
  <c r="G231" i="44"/>
  <c r="S101" i="44"/>
  <c r="G483" i="44"/>
  <c r="G110" i="44"/>
  <c r="G585" i="44"/>
  <c r="G848" i="44"/>
  <c r="S131" i="44"/>
  <c r="S48" i="44"/>
  <c r="S567" i="44"/>
  <c r="S660" i="44"/>
  <c r="G656" i="44"/>
  <c r="S149" i="44"/>
  <c r="G299" i="44"/>
  <c r="G457" i="44"/>
  <c r="G243" i="44"/>
  <c r="G652" i="44"/>
  <c r="G657" i="44"/>
  <c r="S135" i="44"/>
  <c r="S439" i="44"/>
  <c r="S503" i="44"/>
  <c r="S650" i="44"/>
  <c r="G519" i="44"/>
  <c r="G484" i="44"/>
  <c r="G422" i="44"/>
  <c r="S114" i="44"/>
  <c r="S381" i="44"/>
  <c r="S814" i="44"/>
  <c r="G565" i="44"/>
  <c r="G686" i="44"/>
  <c r="S379" i="44"/>
  <c r="S843" i="44"/>
  <c r="G597" i="44"/>
  <c r="G650" i="44"/>
  <c r="S795" i="44"/>
  <c r="G399" i="44"/>
  <c r="S363" i="44"/>
  <c r="G459" i="44"/>
  <c r="S742" i="44"/>
  <c r="S443" i="44"/>
  <c r="G266" i="44"/>
  <c r="S374" i="44"/>
  <c r="S468" i="44"/>
  <c r="S859" i="44"/>
  <c r="G111" i="44"/>
  <c r="S145" i="44"/>
  <c r="S855" i="44"/>
  <c r="S283" i="44"/>
  <c r="S500" i="44"/>
  <c r="G703" i="44"/>
  <c r="G756" i="44"/>
  <c r="S589" i="44"/>
  <c r="G509" i="44"/>
  <c r="S490" i="44"/>
  <c r="S97" i="44"/>
  <c r="S726" i="44"/>
  <c r="S423" i="44"/>
  <c r="S467" i="44"/>
  <c r="G370" i="44"/>
  <c r="S310" i="44"/>
  <c r="G648" i="44"/>
  <c r="G368" i="44"/>
  <c r="S271" i="44"/>
  <c r="S98" i="44"/>
  <c r="S244" i="44"/>
  <c r="S76" i="44"/>
  <c r="G72" i="44"/>
  <c r="S388" i="44"/>
  <c r="S553" i="44"/>
  <c r="G101" i="44"/>
  <c r="G637" i="44"/>
  <c r="S778" i="44"/>
  <c r="S448" i="44"/>
  <c r="S75" i="44"/>
  <c r="S791" i="44"/>
  <c r="S765" i="44"/>
  <c r="S566" i="44"/>
  <c r="G264" i="44"/>
  <c r="G150" i="44"/>
  <c r="G237" i="44"/>
  <c r="G366" i="44"/>
  <c r="G462" i="44"/>
  <c r="S785" i="44"/>
  <c r="G555" i="44"/>
  <c r="S431" i="44"/>
  <c r="G165" i="44"/>
  <c r="G272" i="44"/>
  <c r="S582" i="44"/>
  <c r="S378" i="44"/>
  <c r="G177" i="44"/>
  <c r="G367" i="44"/>
  <c r="S35" i="44"/>
  <c r="S721" i="44"/>
  <c r="S407" i="44"/>
  <c r="G361" i="44"/>
  <c r="S365" i="44"/>
  <c r="G233" i="44"/>
  <c r="G782" i="44"/>
  <c r="G639" i="44"/>
  <c r="G665" i="44"/>
  <c r="S251" i="44"/>
  <c r="G611" i="44"/>
  <c r="G28" i="44"/>
  <c r="S801" i="44"/>
  <c r="G681" i="44"/>
  <c r="G162" i="44"/>
  <c r="G357" i="44"/>
  <c r="G445" i="44"/>
  <c r="S307" i="44"/>
  <c r="G257" i="44"/>
  <c r="G291" i="44"/>
  <c r="G677" i="44"/>
  <c r="S257" i="44"/>
  <c r="S41" i="44"/>
  <c r="G423" i="44"/>
  <c r="G210" i="44"/>
  <c r="G200" i="44"/>
  <c r="S367" i="44"/>
  <c r="G119" i="44"/>
  <c r="S746" i="44"/>
  <c r="S816" i="44"/>
  <c r="G784" i="44"/>
  <c r="S258" i="44"/>
  <c r="S804" i="44"/>
  <c r="G254" i="44"/>
  <c r="S543" i="44"/>
  <c r="G586" i="44"/>
  <c r="S739" i="44"/>
  <c r="G679" i="44"/>
  <c r="G566" i="44"/>
  <c r="S472" i="44"/>
  <c r="G324" i="44"/>
  <c r="G461" i="44"/>
  <c r="G34" i="44"/>
  <c r="S350" i="44"/>
  <c r="G65" i="44"/>
  <c r="S479" i="44"/>
  <c r="S254" i="44"/>
  <c r="S162" i="44"/>
  <c r="S821" i="44"/>
  <c r="S352" i="44"/>
  <c r="G71" i="44"/>
  <c r="G182" i="44"/>
  <c r="S644" i="44"/>
  <c r="S317" i="44"/>
  <c r="S42" i="44"/>
  <c r="S584" i="44"/>
  <c r="S441" i="44"/>
  <c r="S105" i="44"/>
  <c r="G385" i="44"/>
  <c r="G617" i="44"/>
  <c r="S268" i="44"/>
  <c r="G351" i="44"/>
  <c r="G69" i="44"/>
  <c r="G377" i="44"/>
  <c r="G683" i="44"/>
  <c r="G658" i="44"/>
  <c r="G82" i="44"/>
  <c r="G849" i="44"/>
  <c r="S590" i="44"/>
  <c r="S689" i="44"/>
  <c r="G808" i="44"/>
  <c r="G506" i="44"/>
  <c r="G571" i="44"/>
  <c r="S320" i="44"/>
  <c r="S465" i="44"/>
  <c r="G109" i="44"/>
  <c r="G287" i="44"/>
  <c r="G521" i="44"/>
  <c r="G216" i="44"/>
  <c r="S437" i="44"/>
  <c r="S511" i="44"/>
  <c r="G241" i="44"/>
  <c r="S141" i="44"/>
  <c r="G408" i="44"/>
  <c r="G43" i="44"/>
  <c r="S565" i="44"/>
  <c r="S32" i="44"/>
  <c r="G715" i="44"/>
  <c r="S224" i="44"/>
  <c r="G504" i="44"/>
  <c r="G534" i="44"/>
  <c r="G704" i="44"/>
  <c r="G745" i="44"/>
  <c r="S100" i="44"/>
  <c r="G87" i="44"/>
  <c r="G489" i="44"/>
  <c r="S709" i="44"/>
  <c r="S204" i="44"/>
  <c r="G538" i="44"/>
  <c r="S124" i="44"/>
  <c r="S322" i="44"/>
  <c r="S628" i="44"/>
  <c r="S730" i="44"/>
  <c r="G59" i="44"/>
  <c r="S203" i="44"/>
  <c r="G214" i="44"/>
  <c r="S558" i="44"/>
  <c r="G36" i="44"/>
  <c r="G66" i="44"/>
  <c r="G692" i="44"/>
  <c r="S380" i="44"/>
  <c r="G138" i="44"/>
  <c r="S234" i="44"/>
  <c r="S180" i="44"/>
  <c r="G166" i="44"/>
  <c r="S28" i="44"/>
  <c r="S191" i="44"/>
  <c r="G633" i="44"/>
  <c r="S323" i="44"/>
  <c r="G789" i="44"/>
  <c r="S846" i="44"/>
  <c r="S286" i="44"/>
  <c r="G438" i="44"/>
  <c r="G315" i="44"/>
  <c r="G27" i="44"/>
  <c r="G118" i="44"/>
  <c r="G41" i="44"/>
  <c r="G341" i="44"/>
  <c r="S347" i="44"/>
  <c r="G535" i="44"/>
  <c r="S700" i="44"/>
  <c r="G596" i="44"/>
  <c r="S104" i="44"/>
  <c r="S236" i="44"/>
  <c r="G409" i="44"/>
  <c r="S604" i="44"/>
  <c r="S664" i="44"/>
  <c r="S209" i="44"/>
  <c r="S452" i="44"/>
  <c r="G146" i="44"/>
  <c r="S373" i="44"/>
  <c r="S501" i="44"/>
  <c r="G444" i="44"/>
  <c r="S694" i="44"/>
  <c r="G594" i="44"/>
  <c r="G766" i="44"/>
  <c r="S369" i="44"/>
  <c r="S768" i="44"/>
  <c r="G230" i="44"/>
  <c r="S862" i="44"/>
  <c r="S337" i="44"/>
  <c r="G496" i="44"/>
  <c r="S459" i="44"/>
  <c r="S868" i="44"/>
  <c r="G84" i="44"/>
  <c r="G260" i="44"/>
  <c r="S52" i="44"/>
  <c r="G662" i="44"/>
  <c r="G700" i="44"/>
  <c r="G584" i="44"/>
  <c r="S217" i="44"/>
  <c r="S626" i="44"/>
  <c r="S272" i="44"/>
  <c r="G288" i="44"/>
  <c r="G396" i="44"/>
  <c r="S187" i="44"/>
  <c r="G805" i="44"/>
  <c r="S675" i="44"/>
  <c r="G103" i="44"/>
  <c r="G56" i="44"/>
  <c r="S598" i="44"/>
  <c r="S433" i="44"/>
  <c r="S527" i="44"/>
  <c r="S680" i="44"/>
  <c r="G488" i="44"/>
  <c r="S219" i="44"/>
  <c r="S340" i="44"/>
  <c r="G381" i="44"/>
  <c r="S556" i="44"/>
  <c r="S780" i="44"/>
  <c r="S239" i="44"/>
  <c r="S92" i="44"/>
  <c r="G607" i="44"/>
  <c r="S395" i="44"/>
  <c r="S371" i="44"/>
  <c r="S540" i="44"/>
  <c r="S725" i="44"/>
  <c r="G144" i="44"/>
  <c r="S142" i="44"/>
  <c r="S430" i="44"/>
  <c r="G810" i="44"/>
  <c r="G67" i="44"/>
  <c r="G228" i="44"/>
  <c r="G220" i="44"/>
  <c r="S464" i="44"/>
  <c r="G524" i="44"/>
  <c r="S454" i="44"/>
  <c r="G275" i="44"/>
  <c r="G386" i="44"/>
  <c r="G477" i="44"/>
  <c r="G634" i="44"/>
  <c r="S156" i="44"/>
  <c r="G197" i="44"/>
  <c r="G133" i="44"/>
  <c r="G80" i="44"/>
  <c r="S541" i="44"/>
  <c r="S334" i="44"/>
  <c r="S269" i="44"/>
  <c r="S621" i="44"/>
  <c r="S532" i="44"/>
  <c r="G174" i="44"/>
  <c r="G283" i="44"/>
  <c r="S25" i="44"/>
  <c r="S677" i="44"/>
  <c r="S802" i="44"/>
  <c r="G532" i="44"/>
  <c r="G250" i="44"/>
  <c r="S583" i="44"/>
  <c r="S757" i="44"/>
  <c r="G57" i="44"/>
  <c r="S573" i="44"/>
  <c r="S489" i="44"/>
  <c r="G562" i="44"/>
  <c r="S457" i="44"/>
  <c r="G699" i="44"/>
  <c r="G775" i="44"/>
  <c r="S284" i="44"/>
  <c r="S848" i="44"/>
  <c r="S177" i="44"/>
  <c r="S43" i="44"/>
  <c r="S504" i="44"/>
  <c r="S401" i="44"/>
  <c r="S717" i="44"/>
  <c r="G384" i="44"/>
  <c r="S577" i="44"/>
  <c r="G397" i="44"/>
  <c r="G486" i="44"/>
  <c r="S338" i="44"/>
  <c r="S662" i="44"/>
  <c r="G439" i="44"/>
  <c r="S295" i="44"/>
  <c r="S66" i="44"/>
  <c r="S397" i="44"/>
  <c r="G187" i="44"/>
  <c r="G575" i="44"/>
  <c r="S240" i="44"/>
  <c r="S275" i="44"/>
  <c r="G403" i="44"/>
  <c r="S634" i="44"/>
  <c r="S364" i="44"/>
  <c r="S840" i="44"/>
  <c r="S593" i="44"/>
  <c r="G491" i="44"/>
  <c r="G672" i="44"/>
  <c r="G839" i="44"/>
  <c r="G577" i="44"/>
  <c r="S716" i="44"/>
  <c r="G495" i="44"/>
  <c r="G142" i="44"/>
  <c r="G767" i="44"/>
  <c r="S58" i="44"/>
  <c r="S329" i="44"/>
  <c r="S305" i="44"/>
  <c r="G24" i="44"/>
  <c r="S637" i="44"/>
  <c r="S416" i="44"/>
  <c r="S579" i="44"/>
  <c r="G857" i="44"/>
  <c r="S539" i="44"/>
  <c r="S133" i="44"/>
  <c r="G380" i="44"/>
  <c r="G593" i="44"/>
  <c r="S56" i="44"/>
  <c r="G135" i="44"/>
  <c r="G333" i="44"/>
  <c r="G501" i="44"/>
  <c r="S619" i="44"/>
  <c r="S226" i="44"/>
  <c r="S403" i="44"/>
  <c r="G428" i="44"/>
  <c r="S183" i="44"/>
  <c r="G470" i="44"/>
  <c r="G583" i="44"/>
  <c r="S341" i="44"/>
  <c r="G258" i="44"/>
  <c r="S384" i="44"/>
  <c r="G487" i="44"/>
  <c r="S535" i="44"/>
  <c r="S796" i="44"/>
  <c r="G145" i="44"/>
  <c r="S520" i="44"/>
  <c r="G797" i="44"/>
  <c r="G355" i="44"/>
  <c r="G168" i="44"/>
  <c r="S571" i="44"/>
  <c r="G822" i="44"/>
  <c r="S436" i="44"/>
  <c r="S152" i="44"/>
  <c r="G235" i="44"/>
  <c r="G834" i="44"/>
  <c r="S70" i="44"/>
  <c r="S313" i="44"/>
  <c r="S288" i="44"/>
  <c r="S297" i="44"/>
  <c r="G693" i="44"/>
  <c r="S611" i="44"/>
  <c r="S744" i="44"/>
  <c r="G550" i="44"/>
  <c r="S613" i="44"/>
  <c r="S93" i="44"/>
  <c r="G297" i="44"/>
  <c r="S117" i="44"/>
  <c r="G790" i="44"/>
  <c r="S71" i="44"/>
  <c r="G707" i="44"/>
  <c r="S106" i="44"/>
  <c r="S38" i="44"/>
  <c r="S228" i="44"/>
  <c r="S202" i="44"/>
  <c r="S95" i="44"/>
  <c r="S761" i="44"/>
  <c r="G859" i="44"/>
  <c r="G292" i="44"/>
  <c r="S409" i="44"/>
  <c r="G346" i="44"/>
  <c r="G824" i="44"/>
  <c r="G846" i="44"/>
  <c r="S688" i="44"/>
  <c r="S548" i="44"/>
  <c r="S50" i="44"/>
  <c r="S850" i="44"/>
  <c r="S695" i="44"/>
  <c r="G392" i="44"/>
  <c r="G362" i="44"/>
  <c r="G58" i="44"/>
  <c r="S280" i="44"/>
  <c r="S551" i="44"/>
  <c r="S129" i="44"/>
  <c r="G74" i="44"/>
  <c r="S488" i="44"/>
  <c r="S110" i="44"/>
  <c r="G653" i="44"/>
  <c r="S406" i="44"/>
  <c r="G226" i="44"/>
  <c r="S377" i="44"/>
  <c r="G800" i="44"/>
  <c r="S636" i="44"/>
  <c r="G713" i="44"/>
  <c r="G759" i="44"/>
  <c r="S866" i="44"/>
  <c r="G424" i="44"/>
  <c r="S420" i="44"/>
  <c r="G731" i="44"/>
  <c r="G655" i="44"/>
  <c r="S78" i="44"/>
  <c r="G350" i="44"/>
  <c r="G93" i="44"/>
  <c r="G580" i="44"/>
  <c r="S319" i="44"/>
  <c r="S498" i="44"/>
  <c r="G493" i="44"/>
  <c r="G742" i="44"/>
  <c r="S686" i="44"/>
  <c r="S461" i="44"/>
  <c r="S67" i="44"/>
  <c r="G410" i="44"/>
  <c r="S815" i="44"/>
  <c r="G344" i="44"/>
  <c r="S828" i="44"/>
  <c r="S766" i="44"/>
  <c r="G301" i="44"/>
  <c r="S37" i="44"/>
  <c r="S372" i="44"/>
  <c r="G452" i="44"/>
  <c r="S600" i="44"/>
  <c r="G160" i="44"/>
  <c r="G298" i="44"/>
  <c r="S200" i="44"/>
  <c r="G306" i="44"/>
  <c r="G102" i="44"/>
  <c r="G636" i="44"/>
  <c r="S627" i="44"/>
  <c r="S259" i="44"/>
  <c r="G747" i="44"/>
  <c r="G224" i="44"/>
  <c r="S438" i="44"/>
  <c r="G622" i="44"/>
  <c r="G454" i="44"/>
  <c r="S782" i="44"/>
  <c r="G761" i="44"/>
  <c r="S524" i="44"/>
  <c r="G215" i="44"/>
  <c r="S508" i="44"/>
  <c r="G173" i="44"/>
  <c r="G568" i="44"/>
  <c r="G825" i="44"/>
  <c r="G529" i="44"/>
  <c r="G375" i="44"/>
  <c r="S854" i="44"/>
  <c r="G727" i="44"/>
  <c r="G691" i="44"/>
  <c r="G785" i="44"/>
  <c r="G523" i="44"/>
  <c r="G739" i="44"/>
  <c r="S605" i="44"/>
  <c r="S62" i="44"/>
  <c r="S867" i="44"/>
  <c r="S282" i="44"/>
  <c r="G733" i="44"/>
  <c r="G194" i="44"/>
  <c r="S166" i="44"/>
  <c r="S227" i="44"/>
  <c r="S358" i="44"/>
  <c r="S190" i="44"/>
  <c r="S22" i="44"/>
  <c r="S417" i="44"/>
  <c r="S809" i="44"/>
  <c r="G122" i="44"/>
  <c r="G32" i="44"/>
  <c r="G46" i="44"/>
  <c r="G353" i="44"/>
  <c r="S704" i="44"/>
  <c r="S673" i="44"/>
  <c r="G553" i="44"/>
  <c r="S210" i="44"/>
  <c r="S428" i="44"/>
  <c r="S516" i="44"/>
  <c r="S509" i="44"/>
  <c r="S86" i="44"/>
  <c r="G544" i="44"/>
  <c r="S655" i="44"/>
  <c r="G446" i="44"/>
  <c r="S798" i="44"/>
  <c r="G614" i="44"/>
  <c r="S581" i="44"/>
  <c r="G588" i="44"/>
  <c r="G541" i="44"/>
  <c r="G815" i="44"/>
  <c r="S470" i="44"/>
  <c r="S47" i="44"/>
  <c r="S722" i="44"/>
  <c r="S206" i="44"/>
  <c r="S370" i="44"/>
  <c r="S609" i="44"/>
  <c r="S165" i="44"/>
  <c r="S243" i="44"/>
  <c r="S612" i="44"/>
  <c r="S515" i="44"/>
  <c r="S229" i="44"/>
  <c r="G189" i="44"/>
  <c r="S610" i="44"/>
  <c r="S359" i="44"/>
  <c r="G833" i="44"/>
  <c r="G131" i="44"/>
  <c r="S847" i="44"/>
  <c r="G98" i="44"/>
  <c r="G716" i="44"/>
  <c r="G329" i="44"/>
  <c r="G395" i="44"/>
  <c r="S534" i="44"/>
  <c r="S574" i="44"/>
  <c r="G96" i="44"/>
  <c r="S196" i="44"/>
  <c r="G674" i="44"/>
  <c r="S410" i="44"/>
  <c r="S404" i="44"/>
  <c r="S856" i="44"/>
  <c r="S753" i="44"/>
  <c r="G613" i="44"/>
  <c r="G625" i="44"/>
  <c r="S484" i="44"/>
  <c r="G413" i="44"/>
  <c r="S400" i="44"/>
  <c r="S214" i="44"/>
  <c r="G365" i="44"/>
  <c r="S333" i="44"/>
  <c r="G62" i="44"/>
  <c r="G741" i="44"/>
  <c r="S525" i="44"/>
  <c r="G497" i="44"/>
  <c r="S394" i="44"/>
  <c r="S496" i="44"/>
  <c r="G211" i="44"/>
  <c r="S745" i="44"/>
  <c r="G318" i="44"/>
  <c r="G152" i="44"/>
  <c r="G720" i="44"/>
  <c r="G271" i="44"/>
  <c r="S208" i="44"/>
  <c r="S432" i="44"/>
  <c r="G136" i="44"/>
  <c r="G348" i="44"/>
  <c r="G295" i="44"/>
  <c r="G113" i="44"/>
  <c r="S185" i="44"/>
  <c r="G590" i="44"/>
  <c r="S312" i="44"/>
  <c r="G232" i="44"/>
  <c r="G325" i="44"/>
  <c r="G180" i="44"/>
  <c r="G547" i="44"/>
  <c r="G268" i="44"/>
  <c r="S389" i="44"/>
  <c r="S835" i="44"/>
  <c r="S771" i="44"/>
  <c r="S201" i="44"/>
  <c r="S103" i="44"/>
  <c r="S513" i="44"/>
  <c r="S444" i="44"/>
  <c r="G479" i="44"/>
  <c r="G39" i="44"/>
  <c r="S164" i="44"/>
  <c r="G480" i="44"/>
  <c r="S550" i="44"/>
  <c r="G89" i="44"/>
  <c r="S820" i="44"/>
  <c r="G61" i="44"/>
  <c r="G536" i="44"/>
  <c r="S585" i="44"/>
  <c r="S426" i="44"/>
  <c r="G206" i="44"/>
  <c r="S852" i="44"/>
  <c r="G599" i="44"/>
  <c r="S136" i="44"/>
  <c r="S674" i="44"/>
  <c r="G335" i="44"/>
  <c r="G578" i="44"/>
  <c r="G183" i="44"/>
  <c r="G449" i="44"/>
  <c r="G100" i="44"/>
  <c r="S542" i="44"/>
  <c r="S475" i="44"/>
  <c r="S663" i="44"/>
  <c r="G709" i="44"/>
  <c r="G469" i="44"/>
  <c r="G115" i="44"/>
  <c r="G527" i="44"/>
  <c r="S197" i="44"/>
  <c r="G651" i="44"/>
  <c r="S773" i="44"/>
  <c r="S255" i="44"/>
  <c r="S30" i="44"/>
  <c r="G31" i="44"/>
  <c r="G740" i="44"/>
  <c r="G246" i="44"/>
  <c r="S799" i="44"/>
  <c r="G567" i="44"/>
  <c r="G837" i="44"/>
  <c r="G466" i="44"/>
  <c r="G671" i="44"/>
  <c r="G303" i="44"/>
  <c r="S174" i="44"/>
  <c r="G405" i="44"/>
  <c r="G471" i="44"/>
  <c r="G191" i="44"/>
  <c r="S651" i="44"/>
  <c r="G811" i="44"/>
  <c r="S679" i="44"/>
  <c r="S232" i="44"/>
  <c r="G44" i="44"/>
  <c r="G843" i="44"/>
  <c r="G472" i="44"/>
  <c r="G508" i="44"/>
  <c r="S712" i="44"/>
  <c r="G592" i="44"/>
  <c r="G862" i="44"/>
  <c r="G817" i="44"/>
  <c r="S188" i="44"/>
  <c r="G514" i="44"/>
  <c r="G678" i="44"/>
  <c r="S262" i="44"/>
  <c r="S706" i="44"/>
  <c r="G813" i="44"/>
  <c r="S116" i="44"/>
  <c r="G170" i="44"/>
  <c r="S653" i="44"/>
  <c r="S375" i="44"/>
  <c r="S260" i="44"/>
  <c r="G771" i="44"/>
  <c r="G705" i="44"/>
  <c r="G184" i="44"/>
  <c r="S819" i="44"/>
  <c r="S659" i="44"/>
  <c r="G552" i="44"/>
  <c r="S824" i="44"/>
  <c r="S425" i="44"/>
  <c r="S708" i="44"/>
  <c r="G621" i="44"/>
  <c r="S31" i="44"/>
  <c r="S427" i="44"/>
  <c r="G738" i="44"/>
  <c r="G290" i="44"/>
  <c r="G426" i="44"/>
  <c r="G609" i="44"/>
  <c r="G685" i="44"/>
  <c r="G714" i="44"/>
  <c r="S327" i="44"/>
  <c r="S368" i="44"/>
  <c r="S748" i="44"/>
  <c r="S561" i="44"/>
  <c r="G635" i="44"/>
  <c r="S172" i="44"/>
  <c r="G803" i="44"/>
  <c r="G851" i="44"/>
  <c r="S845" i="44"/>
  <c r="G512" i="44"/>
  <c r="S646" i="44"/>
  <c r="S777" i="44"/>
  <c r="S447" i="44"/>
  <c r="G289" i="44"/>
  <c r="S182" i="44"/>
  <c r="S330" i="44"/>
  <c r="S392" i="44"/>
  <c r="S193" i="44"/>
  <c r="S485" i="44"/>
  <c r="G358" i="44"/>
  <c r="S864" i="44"/>
  <c r="S622" i="44"/>
  <c r="S412" i="44"/>
  <c r="S555" i="44"/>
  <c r="S614" i="44"/>
  <c r="S591" i="44"/>
  <c r="S642" i="44"/>
  <c r="S355" i="44"/>
  <c r="S238" i="44"/>
  <c r="G533" i="44"/>
  <c r="G734" i="44"/>
  <c r="G238" i="44"/>
  <c r="S346" i="44"/>
  <c r="G204" i="44"/>
  <c r="G799" i="44"/>
  <c r="G402" i="44"/>
  <c r="S683" i="44"/>
  <c r="G850" i="44"/>
  <c r="G320" i="44"/>
  <c r="G104" i="44"/>
  <c r="G624" i="44"/>
  <c r="S569" i="44"/>
  <c r="G217" i="44"/>
  <c r="S754" i="44"/>
  <c r="S94" i="44"/>
  <c r="G564" i="44"/>
  <c r="G331" i="44"/>
  <c r="S59" i="44"/>
  <c r="G668" i="44"/>
  <c r="S784" i="44"/>
  <c r="G798" i="44"/>
  <c r="S533" i="44"/>
  <c r="S328" i="44"/>
  <c r="G186" i="44"/>
  <c r="G828" i="44"/>
  <c r="G807" i="44"/>
  <c r="G852" i="44"/>
  <c r="S849" i="44"/>
  <c r="G724" i="44"/>
  <c r="G717" i="44"/>
  <c r="S740" i="44"/>
  <c r="G261" i="44"/>
  <c r="S735" i="44"/>
  <c r="G151" i="44"/>
  <c r="S832" i="44"/>
  <c r="S691" i="44"/>
  <c r="S140" i="44"/>
  <c r="G427" i="44"/>
  <c r="G576" i="44"/>
  <c r="S518" i="44"/>
  <c r="S316" i="44"/>
  <c r="S743" i="44"/>
  <c r="G435" i="44"/>
  <c r="S150" i="44"/>
  <c r="S301" i="44"/>
  <c r="S787" i="44"/>
  <c r="S414" i="44"/>
  <c r="S44" i="44"/>
  <c r="G758" i="44"/>
  <c r="S331" i="44"/>
  <c r="S134" i="44"/>
  <c r="G137" i="44"/>
  <c r="G441" i="44"/>
  <c r="G308" i="44"/>
  <c r="G864" i="44"/>
  <c r="G755" i="44"/>
  <c r="S767" i="44"/>
  <c r="G751" i="44"/>
  <c r="G732" i="44"/>
  <c r="S576" i="44"/>
  <c r="G336" i="44"/>
  <c r="S171" i="44"/>
  <c r="G735" i="44"/>
  <c r="G273" i="44"/>
  <c r="S792" i="44"/>
  <c r="S769" i="44"/>
  <c r="G419" i="44"/>
  <c r="S638" i="44"/>
  <c r="S237" i="44"/>
  <c r="G269" i="44"/>
  <c r="S366" i="44"/>
  <c r="G774" i="44"/>
  <c r="G352" i="44"/>
  <c r="G448" i="44"/>
  <c r="S519" i="44"/>
  <c r="S635" i="44"/>
  <c r="G382" i="44"/>
  <c r="G437" i="44"/>
  <c r="S83" i="44"/>
  <c r="G49" i="44"/>
  <c r="S718" i="44"/>
  <c r="G725" i="44"/>
  <c r="S707" i="44"/>
  <c r="S242" i="44"/>
  <c r="G411" i="44"/>
  <c r="G307" i="44"/>
  <c r="S215" i="44"/>
  <c r="S434" i="44"/>
  <c r="G860" i="44"/>
  <c r="S775" i="44"/>
  <c r="G526" i="44"/>
  <c r="G870" i="44"/>
  <c r="S812" i="44"/>
  <c r="S256" i="44"/>
  <c r="G619" i="44"/>
  <c r="S471" i="44"/>
  <c r="S667" i="44"/>
  <c r="S339" i="44"/>
  <c r="S833" i="44"/>
  <c r="S692" i="44"/>
  <c r="S167" i="44"/>
  <c r="S462" i="44"/>
  <c r="S733" i="44"/>
  <c r="G603" i="44"/>
  <c r="G863" i="44"/>
  <c r="S276" i="44"/>
  <c r="G434" i="44"/>
  <c r="G511" i="44"/>
  <c r="G124" i="44"/>
  <c r="G42" i="44"/>
  <c r="G737" i="44"/>
  <c r="G660" i="44"/>
  <c r="S294" i="44"/>
  <c r="G158" i="44"/>
  <c r="S73" i="44"/>
  <c r="G475" i="44"/>
  <c r="G680" i="44"/>
  <c r="S797" i="44"/>
  <c r="G545" i="44"/>
  <c r="S568" i="44"/>
  <c r="S652" i="44"/>
  <c r="S309" i="44"/>
  <c r="S860" i="44"/>
  <c r="G23" i="44"/>
  <c r="S633" i="44"/>
  <c r="G468" i="44"/>
  <c r="G156" i="44"/>
  <c r="S102" i="44"/>
  <c r="G414" i="44"/>
  <c r="S749" i="44"/>
  <c r="G818" i="44"/>
  <c r="S273" i="44"/>
  <c r="G95" i="44"/>
  <c r="G814" i="44"/>
  <c r="S502" i="44"/>
  <c r="S853" i="44"/>
  <c r="S245" i="44"/>
  <c r="G537" i="44"/>
  <c r="G710" i="44"/>
  <c r="S308" i="44"/>
  <c r="G218" i="44"/>
  <c r="G600" i="44"/>
  <c r="G632" i="44"/>
  <c r="S595" i="44"/>
  <c r="S544" i="44"/>
  <c r="G574" i="44"/>
  <c r="G244" i="44"/>
  <c r="S737" i="44"/>
  <c r="S281" i="44"/>
  <c r="G305" i="44"/>
  <c r="G263" i="44"/>
  <c r="S463" i="44"/>
  <c r="G400" i="44"/>
  <c r="G356" i="44"/>
  <c r="S246" i="44"/>
  <c r="G842" i="44"/>
  <c r="S632" i="44"/>
  <c r="S578" i="44"/>
  <c r="S684" i="44"/>
  <c r="S547" i="44"/>
  <c r="G140" i="44"/>
  <c r="S863" i="44"/>
  <c r="S586" i="44"/>
  <c r="G456" i="44"/>
  <c r="G164" i="44"/>
  <c r="G608" i="44"/>
  <c r="S290" i="44"/>
  <c r="G853" i="44"/>
  <c r="G359" i="44"/>
  <c r="S186" i="44"/>
  <c r="G88" i="44"/>
  <c r="G76" i="44"/>
  <c r="G30" i="44"/>
  <c r="S460" i="44"/>
  <c r="G516" i="44"/>
  <c r="G190" i="44"/>
  <c r="G750" i="44"/>
  <c r="G139" i="44"/>
  <c r="G55" i="44"/>
  <c r="G265" i="44"/>
  <c r="G412" i="44"/>
  <c r="G169" i="44"/>
  <c r="S760" i="44"/>
  <c r="S741" i="44"/>
  <c r="S157" i="44"/>
  <c r="S108" i="44"/>
  <c r="S82" i="44"/>
  <c r="S861" i="44"/>
  <c r="G262" i="44"/>
  <c r="S419" i="44"/>
  <c r="S645" i="44"/>
  <c r="S154" i="44"/>
  <c r="S123" i="44"/>
  <c r="S865" i="44"/>
  <c r="S640" i="44"/>
  <c r="G701" i="44"/>
  <c r="G840" i="44"/>
  <c r="G286" i="44"/>
  <c r="G371" i="44"/>
  <c r="S61" i="44"/>
  <c r="G589" i="44"/>
  <c r="G783" i="44"/>
  <c r="S74" i="44"/>
  <c r="G417" i="44"/>
  <c r="S383" i="44"/>
  <c r="S829" i="44"/>
  <c r="S287" i="44"/>
  <c r="G605" i="44"/>
  <c r="G222" i="44"/>
  <c r="S46" i="44"/>
  <c r="G229" i="44"/>
  <c r="G649" i="44"/>
  <c r="S834" i="44"/>
  <c r="G319" i="44"/>
  <c r="S184" i="44"/>
  <c r="S696" i="44"/>
  <c r="S318" i="44"/>
  <c r="S449" i="44"/>
  <c r="G90" i="44"/>
  <c r="G364" i="44"/>
  <c r="S685" i="44"/>
  <c r="S789" i="44"/>
  <c r="G73" i="44"/>
  <c r="G697" i="44"/>
  <c r="G768" i="44"/>
  <c r="G587" i="44"/>
  <c r="G453" i="44"/>
  <c r="S51" i="44"/>
  <c r="G620" i="44"/>
  <c r="G676" i="44"/>
  <c r="S249" i="44"/>
  <c r="G781" i="44"/>
  <c r="G642" i="44"/>
  <c r="S53" i="44"/>
  <c r="S517" i="44"/>
  <c r="S531" i="44"/>
  <c r="G300" i="44"/>
  <c r="S332" i="44"/>
  <c r="G313" i="44"/>
  <c r="S85" i="44"/>
  <c r="G684" i="44"/>
  <c r="S36" i="44"/>
  <c r="G40" i="44"/>
  <c r="S857" i="44"/>
  <c r="G601" i="44"/>
  <c r="S665" i="44"/>
  <c r="G314" i="44"/>
  <c r="G91" i="44"/>
  <c r="S27" i="44"/>
  <c r="S521" i="44"/>
  <c r="G641" i="44"/>
  <c r="G167" i="44"/>
  <c r="S292" i="44"/>
  <c r="S456" i="44"/>
  <c r="G667" i="44"/>
  <c r="G175" i="44"/>
  <c r="G690" i="44"/>
  <c r="G334" i="44"/>
  <c r="G126" i="44"/>
  <c r="S528" i="44"/>
  <c r="S264" i="44"/>
  <c r="S120" i="44"/>
  <c r="S354" i="44"/>
  <c r="G394" i="44"/>
  <c r="S130" i="44"/>
  <c r="G406" i="44"/>
  <c r="G294" i="44"/>
  <c r="G134" i="44"/>
  <c r="G247" i="44"/>
  <c r="S719" i="44"/>
  <c r="S435" i="44"/>
  <c r="G121" i="44"/>
  <c r="G339" i="44"/>
  <c r="G520" i="44"/>
  <c r="S111" i="44"/>
  <c r="S738" i="44"/>
  <c r="G823" i="44"/>
  <c r="S450" i="44"/>
  <c r="G393" i="44"/>
  <c r="G866" i="44"/>
  <c r="G646" i="44"/>
  <c r="S132" i="44"/>
  <c r="G643" i="44"/>
  <c r="G630" i="44"/>
  <c r="G570" i="44"/>
  <c r="G682" i="44"/>
  <c r="G546" i="44"/>
  <c r="S170" i="44"/>
  <c r="S480" i="44"/>
  <c r="G379" i="44"/>
  <c r="G492" i="44"/>
  <c r="S69" i="44"/>
  <c r="S478" i="44"/>
  <c r="G861" i="44"/>
  <c r="S493" i="44"/>
  <c r="G560" i="44"/>
  <c r="G105" i="44"/>
  <c r="S466" i="44"/>
  <c r="G199" i="44"/>
  <c r="S512" i="44"/>
  <c r="G193" i="44"/>
  <c r="G415" i="44"/>
  <c r="G310" i="44"/>
  <c r="S398" i="44"/>
  <c r="S681" i="44"/>
  <c r="S399" i="44"/>
  <c r="G181" i="44"/>
  <c r="S343" i="44"/>
  <c r="S223" i="44"/>
  <c r="G706" i="44"/>
  <c r="G557" i="44"/>
  <c r="G322" i="44"/>
  <c r="S756" i="44"/>
  <c r="G256" i="44"/>
  <c r="S751" i="44"/>
  <c r="G317" i="44"/>
  <c r="G349" i="44"/>
  <c r="S817" i="44"/>
  <c r="G79" i="44"/>
  <c r="G505" i="44"/>
  <c r="S235" i="44"/>
  <c r="G513" i="44"/>
  <c r="G510" i="44"/>
  <c r="G219" i="44"/>
  <c r="G776" i="44"/>
  <c r="S413" i="44"/>
  <c r="G598" i="44"/>
  <c r="S405" i="44"/>
  <c r="S285" i="44"/>
  <c r="S159" i="44"/>
  <c r="G38" i="44"/>
  <c r="G421" i="44"/>
  <c r="G401" i="44"/>
  <c r="G54" i="44"/>
  <c r="S483" i="44"/>
  <c r="G595" i="44"/>
  <c r="G762" i="44"/>
  <c r="G502" i="44"/>
  <c r="G363" i="44"/>
  <c r="G743" i="44"/>
  <c r="S506" i="44"/>
  <c r="S572" i="44"/>
  <c r="S715" i="44"/>
  <c r="G476" i="44"/>
  <c r="S168" i="44"/>
  <c r="S306" i="44"/>
  <c r="S714" i="44"/>
  <c r="S670" i="44"/>
  <c r="S774" i="44"/>
  <c r="G464" i="44"/>
  <c r="G604" i="44"/>
  <c r="S418" i="44"/>
  <c r="S34" i="44"/>
  <c r="S391" i="44"/>
  <c r="G147" i="44"/>
  <c r="G387" i="44"/>
  <c r="G694" i="44"/>
  <c r="S494" i="44"/>
  <c r="S147" i="44"/>
  <c r="S647" i="44"/>
  <c r="G81" i="44"/>
  <c r="G141" i="44"/>
  <c r="S304" i="44"/>
  <c r="S250" i="44"/>
  <c r="S342" i="44"/>
  <c r="S72" i="44"/>
  <c r="S453" i="44"/>
  <c r="S654" i="44"/>
  <c r="G347" i="44"/>
  <c r="S64" i="44"/>
  <c r="G369" i="44"/>
  <c r="G302" i="44"/>
  <c r="S109" i="44"/>
  <c r="G582" i="44"/>
  <c r="S514" i="44"/>
  <c r="G284" i="44"/>
  <c r="G176" i="44"/>
  <c r="G836" i="44"/>
  <c r="G539" i="44"/>
  <c r="G573" i="44"/>
  <c r="S440" i="44"/>
  <c r="G208" i="44"/>
  <c r="S169" i="44"/>
  <c r="S429" i="44"/>
  <c r="G340" i="44"/>
  <c r="G64" i="44"/>
  <c r="G728" i="44"/>
  <c r="G542" i="44"/>
  <c r="S837" i="44"/>
  <c r="G481" i="44"/>
  <c r="G398" i="44"/>
  <c r="G68" i="44"/>
  <c r="G628" i="44"/>
  <c r="S261" i="44"/>
  <c r="S266" i="44"/>
  <c r="G473" i="44"/>
  <c r="S764" i="44"/>
  <c r="S194" i="44"/>
  <c r="G267" i="44"/>
  <c r="S40" i="44"/>
  <c r="S163" i="44"/>
  <c r="G188" i="44"/>
  <c r="G515" i="44"/>
  <c r="S192" i="44"/>
  <c r="G795" i="44"/>
  <c r="S811" i="44"/>
  <c r="S396" i="44"/>
  <c r="G202" i="44"/>
  <c r="G726" i="44"/>
  <c r="S668" i="44"/>
  <c r="G354" i="44"/>
  <c r="S445" i="44"/>
  <c r="G117" i="44"/>
  <c r="G157" i="44"/>
  <c r="G388" i="44"/>
  <c r="G615" i="44"/>
  <c r="G796" i="44"/>
  <c r="G528" i="44"/>
  <c r="G854" i="44"/>
  <c r="S302" i="44"/>
  <c r="G132" i="44"/>
  <c r="S607" i="44"/>
  <c r="S77" i="44"/>
  <c r="G86" i="44"/>
  <c r="G702" i="44"/>
  <c r="S703" i="44"/>
  <c r="G561" i="44"/>
  <c r="S87" i="44"/>
  <c r="G248" i="44"/>
  <c r="G806" i="44"/>
  <c r="S178" i="44"/>
  <c r="S390" i="44"/>
  <c r="S495" i="44"/>
  <c r="S107" i="44"/>
  <c r="G867" i="44"/>
  <c r="G688" i="44"/>
  <c r="G835" i="44"/>
  <c r="G270" i="44"/>
  <c r="S842" i="44"/>
  <c r="G455" i="44"/>
  <c r="S220" i="44"/>
  <c r="G60" i="44"/>
  <c r="S615" i="44"/>
  <c r="S657" i="44"/>
  <c r="G631" i="44"/>
  <c r="G304" i="44"/>
  <c r="G130" i="44"/>
  <c r="S278" i="44"/>
  <c r="S376" i="44"/>
  <c r="S408" i="44"/>
  <c r="G374" i="44"/>
  <c r="S207" i="44"/>
  <c r="G765" i="44"/>
  <c r="S225" i="44"/>
  <c r="G53" i="44"/>
  <c r="G618" i="44"/>
  <c r="G832" i="44"/>
  <c r="G447" i="44"/>
  <c r="S451" i="44"/>
  <c r="S80" i="44"/>
  <c r="G722" i="44"/>
  <c r="G627" i="44"/>
  <c r="S402" i="44"/>
  <c r="G420" i="44"/>
  <c r="G664" i="44"/>
  <c r="G525" i="44"/>
  <c r="G209" i="44"/>
  <c r="S241" i="44"/>
  <c r="G754" i="44"/>
  <c r="S386" i="44"/>
  <c r="G695" i="44"/>
  <c r="S199" i="44"/>
  <c r="G845" i="44"/>
  <c r="S805" i="44"/>
  <c r="G431" i="44"/>
  <c r="S546" i="44"/>
  <c r="S144" i="44"/>
  <c r="S687" i="44"/>
  <c r="S279" i="44"/>
  <c r="G659" i="44"/>
  <c r="G460" i="44"/>
  <c r="G278" i="44"/>
  <c r="G390" i="44"/>
  <c r="G820" i="44"/>
  <c r="S758" i="44"/>
  <c r="S293" i="44"/>
  <c r="S486" i="44"/>
  <c r="S762" i="44"/>
  <c r="G629" i="44"/>
  <c r="S263" i="44"/>
  <c r="S641" i="44"/>
  <c r="G518" i="44"/>
  <c r="G474" i="44"/>
  <c r="G663" i="44"/>
  <c r="S60" i="44"/>
  <c r="S65" i="44"/>
  <c r="G106" i="44"/>
  <c r="S690" i="44"/>
  <c r="G744" i="44"/>
  <c r="G855" i="44"/>
  <c r="S563" i="44"/>
  <c r="S336" i="44"/>
  <c r="S118" i="44"/>
  <c r="G696" i="44"/>
  <c r="G223" i="44"/>
  <c r="S554" i="44"/>
  <c r="S772" i="44"/>
  <c r="G485" i="44"/>
  <c r="S624" i="44"/>
  <c r="S705" i="44"/>
  <c r="S424" i="44"/>
  <c r="S335" i="44"/>
  <c r="G120" i="44"/>
  <c r="G433" i="44"/>
  <c r="S841" i="44"/>
  <c r="S510" i="44"/>
  <c r="G623" i="44"/>
  <c r="G148" i="44"/>
  <c r="S492" i="44"/>
  <c r="G436" i="44"/>
  <c r="S507" i="44"/>
  <c r="S39" i="44"/>
  <c r="G196" i="44"/>
  <c r="G450" i="44"/>
  <c r="G507" i="44"/>
  <c r="G277" i="44"/>
  <c r="S139" i="44"/>
  <c r="G108" i="44"/>
  <c r="G225" i="44"/>
  <c r="S869" i="44"/>
  <c r="G698" i="44"/>
  <c r="S560" i="44"/>
  <c r="S728" i="44"/>
  <c r="G563" i="44"/>
  <c r="S597" i="44"/>
  <c r="G791" i="44"/>
  <c r="G644" i="44"/>
  <c r="S851" i="44"/>
  <c r="G640" i="44"/>
  <c r="G661" i="44"/>
  <c r="S702" i="44"/>
  <c r="G234" i="44"/>
  <c r="G819" i="44"/>
  <c r="G551" i="44"/>
  <c r="G430" i="44"/>
  <c r="G869" i="44"/>
  <c r="G280" i="44"/>
  <c r="G37" i="44"/>
  <c r="S693" i="44"/>
  <c r="S361" i="44"/>
  <c r="S421" i="44"/>
  <c r="S596" i="44"/>
  <c r="S151" i="44"/>
  <c r="S658" i="44"/>
  <c r="S786" i="44"/>
  <c r="G788" i="44"/>
  <c r="G809" i="44"/>
  <c r="G478" i="44"/>
  <c r="S729" i="44"/>
  <c r="S112" i="44"/>
  <c r="S299" i="44"/>
  <c r="G816" i="44"/>
  <c r="G276" i="44"/>
  <c r="S113" i="44"/>
  <c r="G531" i="44"/>
  <c r="G572" i="44"/>
  <c r="S26" i="44"/>
  <c r="G602" i="44"/>
  <c r="G255" i="44"/>
  <c r="G463" i="44"/>
  <c r="G285" i="44"/>
  <c r="S618" i="44"/>
  <c r="S146" i="44"/>
  <c r="G123" i="44"/>
  <c r="S351" i="44"/>
  <c r="S469" i="44"/>
  <c r="S630" i="44"/>
  <c r="S274" i="44"/>
  <c r="G22" i="44"/>
  <c r="S755" i="44"/>
  <c r="S353" i="44"/>
  <c r="G654" i="44"/>
  <c r="G868" i="44"/>
  <c r="S267" i="44"/>
  <c r="G213" i="44"/>
  <c r="S321" i="44"/>
  <c r="G865" i="44"/>
  <c r="S99" i="44"/>
  <c r="G718" i="44"/>
  <c r="S270" i="44"/>
  <c r="S155" i="44"/>
  <c r="G856" i="44"/>
  <c r="S575" i="44"/>
  <c r="G372" i="44"/>
  <c r="S176" i="44"/>
  <c r="S549" i="44"/>
  <c r="G114" i="44"/>
  <c r="S823" i="44"/>
  <c r="S790" i="44"/>
  <c r="G416" i="44"/>
  <c r="S148" i="44"/>
  <c r="S570" i="44"/>
  <c r="G764" i="44"/>
  <c r="S752" i="44"/>
  <c r="S296" i="44"/>
  <c r="S587" i="44"/>
  <c r="G773" i="44"/>
  <c r="G203" i="44"/>
  <c r="G801" i="44"/>
  <c r="G221" i="44"/>
  <c r="G730" i="44"/>
  <c r="S324" i="44"/>
  <c r="G274" i="44"/>
  <c r="S63" i="44"/>
  <c r="G404" i="44"/>
  <c r="G499" i="44"/>
  <c r="S33" i="44"/>
  <c r="G92" i="44"/>
  <c r="G45" i="44"/>
  <c r="G645" i="44"/>
  <c r="S122" i="44"/>
  <c r="G161" i="44"/>
  <c r="G192" i="44"/>
  <c r="G418" i="44"/>
  <c r="G467" i="44"/>
  <c r="S830" i="44"/>
  <c r="S481" i="44"/>
  <c r="G85" i="44"/>
  <c r="S382" i="44"/>
  <c r="S616" i="44"/>
  <c r="S759" i="44"/>
  <c r="S303" i="44"/>
  <c r="S734" i="44"/>
  <c r="S825" i="44"/>
  <c r="S298" i="44"/>
  <c r="G829" i="44"/>
  <c r="S315" i="44"/>
  <c r="S803" i="44"/>
  <c r="G793" i="44"/>
  <c r="G770" i="44"/>
  <c r="S606" i="44"/>
  <c r="S588" i="44"/>
  <c r="S230" i="44"/>
  <c r="G443" i="44"/>
  <c r="S594" i="44"/>
  <c r="G522" i="44"/>
  <c r="G242" i="44"/>
  <c r="S620" i="44"/>
  <c r="G579" i="44"/>
  <c r="G373" i="44"/>
  <c r="G558" i="44"/>
  <c r="S311" i="44"/>
  <c r="G75" i="44"/>
  <c r="G711" i="44"/>
  <c r="G777" i="44"/>
  <c r="G543" i="44"/>
  <c r="S90" i="44"/>
  <c r="S455" i="44"/>
  <c r="S231" i="44"/>
  <c r="G689" i="44"/>
  <c r="S649" i="44"/>
  <c r="S807" i="44"/>
  <c r="S57" i="44"/>
  <c r="S818" i="44"/>
  <c r="G500" i="44"/>
  <c r="G787" i="44"/>
  <c r="G112" i="44"/>
  <c r="S325" i="44"/>
  <c r="S776" i="44"/>
  <c r="G440" i="44"/>
  <c r="G326" i="44"/>
  <c r="S564" i="44"/>
  <c r="G606" i="44"/>
  <c r="S482" i="44"/>
  <c r="G327" i="44"/>
  <c r="S727" i="44"/>
  <c r="G309" i="44"/>
  <c r="S724" i="44"/>
  <c r="S639" i="44"/>
  <c r="G748" i="44"/>
  <c r="G675" i="44"/>
  <c r="G721" i="44"/>
  <c r="S68" i="44"/>
  <c r="S415" i="44"/>
  <c r="G669" i="44"/>
  <c r="S29" i="44"/>
  <c r="S128" i="44"/>
  <c r="S175" i="44"/>
  <c r="S291" i="44"/>
  <c r="G769" i="44"/>
  <c r="G239" i="44"/>
  <c r="S195" i="44"/>
  <c r="G786" i="44"/>
  <c r="G259" i="44"/>
  <c r="S603" i="44"/>
  <c r="G116" i="44"/>
  <c r="G251" i="44"/>
  <c r="S523" i="44"/>
  <c r="G556" i="44"/>
  <c r="G821" i="44"/>
  <c r="G498" i="44"/>
  <c r="S387" i="44"/>
  <c r="S629" i="44"/>
  <c r="G736" i="44"/>
  <c r="G792" i="44"/>
  <c r="S720" i="44"/>
  <c r="G670" i="44"/>
  <c r="G63" i="44"/>
  <c r="G343" i="44"/>
  <c r="S813" i="44"/>
  <c r="S487" i="44"/>
  <c r="G212" i="44"/>
  <c r="S526" i="44"/>
  <c r="S84" i="44"/>
  <c r="S623" i="44"/>
  <c r="S788" i="44"/>
  <c r="S221" i="44"/>
  <c r="S393" i="44"/>
  <c r="S348" i="44"/>
  <c r="G757" i="44"/>
  <c r="S473" i="44"/>
  <c r="S580" i="44"/>
  <c r="G708" i="44"/>
  <c r="G530" i="44"/>
  <c r="S672" i="44"/>
  <c r="G293" i="44"/>
  <c r="S349" i="44"/>
  <c r="G407" i="44"/>
  <c r="G360" i="44"/>
  <c r="S505" i="44"/>
  <c r="G198" i="44"/>
  <c r="G172" i="44"/>
  <c r="G26" i="44"/>
  <c r="G129" i="44"/>
  <c r="S211" i="44"/>
  <c r="S826" i="44"/>
  <c r="G253" i="44"/>
  <c r="G125" i="44"/>
  <c r="S385" i="44"/>
  <c r="G482" i="44"/>
  <c r="G47" i="44"/>
  <c r="G389" i="44"/>
  <c r="S870" i="44"/>
  <c r="S750" i="44"/>
  <c r="G70" i="44"/>
  <c r="G321" i="44"/>
  <c r="S88" i="44"/>
  <c r="G638" i="44"/>
  <c r="S806" i="44"/>
  <c r="G494" i="44"/>
  <c r="G179" i="44"/>
  <c r="S198" i="44"/>
  <c r="S643" i="44"/>
  <c r="S838" i="44"/>
  <c r="G143" i="44"/>
  <c r="G712" i="44"/>
  <c r="G99" i="44"/>
  <c r="S126" i="44"/>
  <c r="G548" i="44"/>
  <c r="G841" i="44"/>
  <c r="S247" i="44"/>
  <c r="G207" i="44"/>
  <c r="G831" i="44"/>
  <c r="S794" i="44"/>
  <c r="G687" i="44"/>
  <c r="S732" i="44"/>
  <c r="S173" i="44"/>
  <c r="S536" i="44"/>
  <c r="G128" i="44"/>
  <c r="G391" i="44"/>
  <c r="S49" i="44"/>
  <c r="G610" i="44"/>
  <c r="S161" i="44"/>
  <c r="G48" i="44"/>
  <c r="S602" i="44"/>
  <c r="S810" i="44"/>
  <c r="G312" i="44"/>
  <c r="G94" i="44"/>
  <c r="S858" i="44"/>
  <c r="S45" i="44"/>
  <c r="G746" i="44"/>
  <c r="G752" i="44"/>
  <c r="S710" i="44"/>
  <c r="G794" i="44"/>
  <c r="G332" i="44"/>
  <c r="S822" i="44"/>
  <c r="G827" i="44"/>
  <c r="S839" i="44"/>
  <c r="S723" i="44"/>
  <c r="S537" i="44"/>
  <c r="G252" i="44"/>
  <c r="G51" i="44"/>
  <c r="G149" i="44"/>
  <c r="G153" i="44"/>
  <c r="G50" i="44"/>
  <c r="G236" i="44"/>
  <c r="S345" i="44"/>
  <c r="G205" i="44"/>
  <c r="S289" i="44"/>
  <c r="S699" i="44"/>
  <c r="S844" i="44"/>
  <c r="H51" i="44" l="1"/>
  <c r="J51" i="44" s="1"/>
  <c r="T505" i="44"/>
  <c r="V505" i="44" s="1"/>
  <c r="H718" i="44"/>
  <c r="J718" i="44" s="1"/>
  <c r="H398" i="44"/>
  <c r="J398" i="44" s="1"/>
  <c r="T429" i="44"/>
  <c r="V429" i="44" s="1"/>
  <c r="T51" i="44"/>
  <c r="V51" i="44" s="1"/>
  <c r="T215" i="44"/>
  <c r="V215" i="44" s="1"/>
  <c r="T723" i="44"/>
  <c r="V723" i="44" s="1"/>
  <c r="H687" i="44"/>
  <c r="J687" i="44" s="1"/>
  <c r="H360" i="44"/>
  <c r="J360" i="44" s="1"/>
  <c r="T99" i="44"/>
  <c r="V99" i="44" s="1"/>
  <c r="H40" i="44"/>
  <c r="J40" i="44" s="1"/>
  <c r="T517" i="44"/>
  <c r="V517" i="44" s="1"/>
  <c r="H453" i="44"/>
  <c r="J453" i="44" s="1"/>
  <c r="H307" i="44"/>
  <c r="J307" i="44" s="1"/>
  <c r="H85" i="44"/>
  <c r="J85" i="44" s="1"/>
  <c r="H406" i="44"/>
  <c r="J406" i="44" s="1"/>
  <c r="H407" i="44"/>
  <c r="J407" i="44" s="1"/>
  <c r="H865" i="44"/>
  <c r="J865" i="44" s="1"/>
  <c r="H481" i="44"/>
  <c r="J481" i="44" s="1"/>
  <c r="T53" i="44"/>
  <c r="V53" i="44" s="1"/>
  <c r="H587" i="44"/>
  <c r="J587" i="44" s="1"/>
  <c r="H411" i="44"/>
  <c r="J411" i="44" s="1"/>
  <c r="H468" i="44"/>
  <c r="J468" i="44" s="1"/>
  <c r="T587" i="44"/>
  <c r="V587" i="44" s="1"/>
  <c r="T349" i="44"/>
  <c r="V349" i="44" s="1"/>
  <c r="T321" i="44"/>
  <c r="V321" i="44" s="1"/>
  <c r="T36" i="44"/>
  <c r="V36" i="44" s="1"/>
  <c r="T169" i="44"/>
  <c r="V169" i="44" s="1"/>
  <c r="H768" i="44"/>
  <c r="J768" i="44" s="1"/>
  <c r="T242" i="44"/>
  <c r="V242" i="44" s="1"/>
  <c r="T844" i="44"/>
  <c r="V844" i="44" s="1"/>
  <c r="H863" i="44"/>
  <c r="J863" i="44" s="1"/>
  <c r="H293" i="44"/>
  <c r="J293" i="44" s="1"/>
  <c r="H213" i="44"/>
  <c r="J213" i="44" s="1"/>
  <c r="H460" i="44"/>
  <c r="J460" i="44" s="1"/>
  <c r="H642" i="44"/>
  <c r="J642" i="44" s="1"/>
  <c r="H697" i="44"/>
  <c r="J697" i="44" s="1"/>
  <c r="T707" i="44"/>
  <c r="V707" i="44" s="1"/>
  <c r="T480" i="44"/>
  <c r="V480" i="44" s="1"/>
  <c r="T794" i="44"/>
  <c r="V794" i="44" s="1"/>
  <c r="T672" i="44"/>
  <c r="V672" i="44" s="1"/>
  <c r="T267" i="44"/>
  <c r="V267" i="44" s="1"/>
  <c r="T837" i="44"/>
  <c r="V837" i="44" s="1"/>
  <c r="H781" i="44"/>
  <c r="J781" i="44" s="1"/>
  <c r="H73" i="44"/>
  <c r="J73" i="44" s="1"/>
  <c r="H725" i="44"/>
  <c r="J725" i="44" s="1"/>
  <c r="T839" i="44"/>
  <c r="V839" i="44" s="1"/>
  <c r="T130" i="44"/>
  <c r="V130" i="44" s="1"/>
  <c r="H530" i="44"/>
  <c r="J530" i="44" s="1"/>
  <c r="H868" i="44"/>
  <c r="J868" i="44" s="1"/>
  <c r="H684" i="44"/>
  <c r="J684" i="44" s="1"/>
  <c r="H208" i="44"/>
  <c r="J208" i="44" s="1"/>
  <c r="T789" i="44"/>
  <c r="V789" i="44" s="1"/>
  <c r="T718" i="44"/>
  <c r="V718" i="44" s="1"/>
  <c r="T481" i="44"/>
  <c r="V481" i="44" s="1"/>
  <c r="H820" i="44"/>
  <c r="J820" i="44" s="1"/>
  <c r="H708" i="44"/>
  <c r="J708" i="44" s="1"/>
  <c r="H654" i="44"/>
  <c r="J654" i="44" s="1"/>
  <c r="H542" i="44"/>
  <c r="J542" i="44" s="1"/>
  <c r="T249" i="44"/>
  <c r="V249" i="44" s="1"/>
  <c r="T685" i="44"/>
  <c r="V685" i="44" s="1"/>
  <c r="H49" i="44"/>
  <c r="J49" i="44" s="1"/>
  <c r="T633" i="44"/>
  <c r="V633" i="44" s="1"/>
  <c r="T296" i="44"/>
  <c r="V296" i="44" s="1"/>
  <c r="T580" i="44"/>
  <c r="V580" i="44" s="1"/>
  <c r="T353" i="44"/>
  <c r="V353" i="44" s="1"/>
  <c r="T85" i="44"/>
  <c r="V85" i="44" s="1"/>
  <c r="H676" i="44"/>
  <c r="J676" i="44" s="1"/>
  <c r="H364" i="44"/>
  <c r="J364" i="44" s="1"/>
  <c r="T83" i="44"/>
  <c r="V83" i="44" s="1"/>
  <c r="T699" i="44"/>
  <c r="V699" i="44" s="1"/>
  <c r="H603" i="44"/>
  <c r="J603" i="44" s="1"/>
  <c r="T473" i="44"/>
  <c r="V473" i="44" s="1"/>
  <c r="T755" i="44"/>
  <c r="V755" i="44" s="1"/>
  <c r="H659" i="44"/>
  <c r="J659" i="44" s="1"/>
  <c r="T440" i="44"/>
  <c r="V440" i="44" s="1"/>
  <c r="H90" i="44"/>
  <c r="J90" i="44" s="1"/>
  <c r="H437" i="44"/>
  <c r="J437" i="44" s="1"/>
  <c r="T170" i="44"/>
  <c r="V170" i="44" s="1"/>
  <c r="H831" i="44"/>
  <c r="J831" i="44" s="1"/>
  <c r="H757" i="44"/>
  <c r="J757" i="44" s="1"/>
  <c r="H22" i="44"/>
  <c r="J22" i="44" s="1"/>
  <c r="H728" i="44"/>
  <c r="J728" i="44" s="1"/>
  <c r="H620" i="44"/>
  <c r="J620" i="44" s="1"/>
  <c r="T449" i="44"/>
  <c r="V449" i="44" s="1"/>
  <c r="H382" i="44"/>
  <c r="J382" i="44" s="1"/>
  <c r="H827" i="44"/>
  <c r="J827" i="44" s="1"/>
  <c r="H394" i="44"/>
  <c r="J394" i="44" s="1"/>
  <c r="T348" i="44"/>
  <c r="V348" i="44" s="1"/>
  <c r="T274" i="44"/>
  <c r="V274" i="44" s="1"/>
  <c r="H313" i="44"/>
  <c r="J313" i="44" s="1"/>
  <c r="H573" i="44"/>
  <c r="J573" i="44" s="1"/>
  <c r="T318" i="44"/>
  <c r="V318" i="44" s="1"/>
  <c r="T635" i="44"/>
  <c r="V635" i="44" s="1"/>
  <c r="T830" i="44"/>
  <c r="V830" i="44" s="1"/>
  <c r="T752" i="44"/>
  <c r="V752" i="44" s="1"/>
  <c r="T393" i="44"/>
  <c r="V393" i="44" s="1"/>
  <c r="T630" i="44"/>
  <c r="V630" i="44" s="1"/>
  <c r="H64" i="44"/>
  <c r="J64" i="44" s="1"/>
  <c r="H539" i="44"/>
  <c r="J539" i="44" s="1"/>
  <c r="T696" i="44"/>
  <c r="V696" i="44" s="1"/>
  <c r="T519" i="44"/>
  <c r="V519" i="44" s="1"/>
  <c r="T289" i="44"/>
  <c r="V289" i="44" s="1"/>
  <c r="T733" i="44"/>
  <c r="V733" i="44" s="1"/>
  <c r="T221" i="44"/>
  <c r="V221" i="44" s="1"/>
  <c r="T469" i="44"/>
  <c r="V469" i="44" s="1"/>
  <c r="T279" i="44"/>
  <c r="V279" i="44" s="1"/>
  <c r="H836" i="44"/>
  <c r="J836" i="44" s="1"/>
  <c r="T184" i="44"/>
  <c r="V184" i="44" s="1"/>
  <c r="H448" i="44"/>
  <c r="J448" i="44" s="1"/>
  <c r="H23" i="44"/>
  <c r="J23" i="44" s="1"/>
  <c r="H207" i="44"/>
  <c r="J207" i="44" s="1"/>
  <c r="T788" i="44"/>
  <c r="V788" i="44" s="1"/>
  <c r="T351" i="44"/>
  <c r="V351" i="44" s="1"/>
  <c r="T332" i="44"/>
  <c r="V332" i="44" s="1"/>
  <c r="H176" i="44"/>
  <c r="J176" i="44" s="1"/>
  <c r="H319" i="44"/>
  <c r="J319" i="44" s="1"/>
  <c r="H352" i="44"/>
  <c r="J352" i="44" s="1"/>
  <c r="H546" i="44"/>
  <c r="J546" i="44" s="1"/>
  <c r="T354" i="44"/>
  <c r="V354" i="44" s="1"/>
  <c r="T623" i="44"/>
  <c r="V623" i="44" s="1"/>
  <c r="H123" i="44"/>
  <c r="J123" i="44" s="1"/>
  <c r="H300" i="44"/>
  <c r="J300" i="44" s="1"/>
  <c r="H284" i="44"/>
  <c r="J284" i="44" s="1"/>
  <c r="T834" i="44"/>
  <c r="V834" i="44" s="1"/>
  <c r="H774" i="44"/>
  <c r="J774" i="44" s="1"/>
  <c r="T822" i="44"/>
  <c r="V822" i="44" s="1"/>
  <c r="H764" i="44"/>
  <c r="J764" i="44" s="1"/>
  <c r="T84" i="44"/>
  <c r="V84" i="44" s="1"/>
  <c r="T146" i="44"/>
  <c r="V146" i="44" s="1"/>
  <c r="T687" i="44"/>
  <c r="V687" i="44" s="1"/>
  <c r="T514" i="44"/>
  <c r="V514" i="44" s="1"/>
  <c r="H649" i="44"/>
  <c r="J649" i="44" s="1"/>
  <c r="T366" i="44"/>
  <c r="V366" i="44" s="1"/>
  <c r="H467" i="44"/>
  <c r="J467" i="44" s="1"/>
  <c r="T247" i="44"/>
  <c r="V247" i="44" s="1"/>
  <c r="T526" i="44"/>
  <c r="V526" i="44" s="1"/>
  <c r="T618" i="44"/>
  <c r="V618" i="44" s="1"/>
  <c r="H340" i="44"/>
  <c r="J340" i="44" s="1"/>
  <c r="H582" i="44"/>
  <c r="J582" i="44" s="1"/>
  <c r="H229" i="44"/>
  <c r="J229" i="44" s="1"/>
  <c r="H269" i="44"/>
  <c r="J269" i="44" s="1"/>
  <c r="H205" i="44"/>
  <c r="J205" i="44" s="1"/>
  <c r="T462" i="44"/>
  <c r="V462" i="44" s="1"/>
  <c r="H212" i="44"/>
  <c r="J212" i="44" s="1"/>
  <c r="H285" i="44"/>
  <c r="J285" i="44" s="1"/>
  <c r="T144" i="44"/>
  <c r="V144" i="44" s="1"/>
  <c r="T109" i="44"/>
  <c r="V109" i="44" s="1"/>
  <c r="T46" i="44"/>
  <c r="V46" i="44" s="1"/>
  <c r="T237" i="44"/>
  <c r="V237" i="44" s="1"/>
  <c r="T486" i="44"/>
  <c r="V486" i="44" s="1"/>
  <c r="T120" i="44"/>
  <c r="V120" i="44" s="1"/>
  <c r="T487" i="44"/>
  <c r="V487" i="44" s="1"/>
  <c r="H463" i="44"/>
  <c r="J463" i="44" s="1"/>
  <c r="T531" i="44"/>
  <c r="V531" i="44" s="1"/>
  <c r="H302" i="44"/>
  <c r="J302" i="44" s="1"/>
  <c r="H222" i="44"/>
  <c r="J222" i="44" s="1"/>
  <c r="T638" i="44"/>
  <c r="V638" i="44" s="1"/>
  <c r="T860" i="44"/>
  <c r="V860" i="44" s="1"/>
  <c r="H841" i="44"/>
  <c r="J841" i="44" s="1"/>
  <c r="T813" i="44"/>
  <c r="V813" i="44" s="1"/>
  <c r="H255" i="44"/>
  <c r="J255" i="44" s="1"/>
  <c r="T546" i="44"/>
  <c r="V546" i="44" s="1"/>
  <c r="H369" i="44"/>
  <c r="J369" i="44" s="1"/>
  <c r="H605" i="44"/>
  <c r="J605" i="44" s="1"/>
  <c r="H419" i="44"/>
  <c r="J419" i="44" s="1"/>
  <c r="H682" i="44"/>
  <c r="J682" i="44" s="1"/>
  <c r="T570" i="44"/>
  <c r="V570" i="44" s="1"/>
  <c r="H343" i="44"/>
  <c r="J343" i="44" s="1"/>
  <c r="H602" i="44"/>
  <c r="J602" i="44" s="1"/>
  <c r="H431" i="44"/>
  <c r="J431" i="44" s="1"/>
  <c r="T64" i="44"/>
  <c r="V64" i="44" s="1"/>
  <c r="T287" i="44"/>
  <c r="V287" i="44" s="1"/>
  <c r="T769" i="44"/>
  <c r="V769" i="44" s="1"/>
  <c r="H332" i="44"/>
  <c r="J332" i="44" s="1"/>
  <c r="T167" i="44"/>
  <c r="V167" i="44" s="1"/>
  <c r="H63" i="44"/>
  <c r="J63" i="44" s="1"/>
  <c r="T26" i="44"/>
  <c r="V26" i="44" s="1"/>
  <c r="T805" i="44"/>
  <c r="V805" i="44" s="1"/>
  <c r="H347" i="44"/>
  <c r="J347" i="44" s="1"/>
  <c r="T829" i="44"/>
  <c r="V829" i="44" s="1"/>
  <c r="T792" i="44"/>
  <c r="V792" i="44" s="1"/>
  <c r="H418" i="44"/>
  <c r="J418" i="44" s="1"/>
  <c r="T264" i="44"/>
  <c r="V264" i="44" s="1"/>
  <c r="H670" i="44"/>
  <c r="J670" i="44" s="1"/>
  <c r="H572" i="44"/>
  <c r="J572" i="44" s="1"/>
  <c r="H845" i="44"/>
  <c r="J845" i="44" s="1"/>
  <c r="T654" i="44"/>
  <c r="V654" i="44" s="1"/>
  <c r="T383" i="44"/>
  <c r="V383" i="44" s="1"/>
  <c r="H273" i="44"/>
  <c r="J273" i="44" s="1"/>
  <c r="T345" i="44"/>
  <c r="V345" i="44" s="1"/>
  <c r="T261" i="44"/>
  <c r="V261" i="44" s="1"/>
  <c r="T720" i="44"/>
  <c r="V720" i="44" s="1"/>
  <c r="H531" i="44"/>
  <c r="J531" i="44" s="1"/>
  <c r="T199" i="44"/>
  <c r="V199" i="44" s="1"/>
  <c r="T453" i="44"/>
  <c r="V453" i="44" s="1"/>
  <c r="H417" i="44"/>
  <c r="J417" i="44" s="1"/>
  <c r="H735" i="44"/>
  <c r="J735" i="44" s="1"/>
  <c r="T309" i="44"/>
  <c r="V309" i="44" s="1"/>
  <c r="H548" i="44"/>
  <c r="J548" i="44" s="1"/>
  <c r="H792" i="44"/>
  <c r="J792" i="44" s="1"/>
  <c r="T113" i="44"/>
  <c r="V113" i="44" s="1"/>
  <c r="H695" i="44"/>
  <c r="J695" i="44" s="1"/>
  <c r="T72" i="44"/>
  <c r="V72" i="44" s="1"/>
  <c r="T74" i="44"/>
  <c r="V74" i="44" s="1"/>
  <c r="T171" i="44"/>
  <c r="V171" i="44" s="1"/>
  <c r="H570" i="44"/>
  <c r="J570" i="44" s="1"/>
  <c r="T148" i="44"/>
  <c r="V148" i="44" s="1"/>
  <c r="H736" i="44"/>
  <c r="J736" i="44" s="1"/>
  <c r="H276" i="44"/>
  <c r="J276" i="44" s="1"/>
  <c r="T386" i="44"/>
  <c r="V386" i="44" s="1"/>
  <c r="T342" i="44"/>
  <c r="V342" i="44" s="1"/>
  <c r="H783" i="44"/>
  <c r="J783" i="44" s="1"/>
  <c r="H336" i="44"/>
  <c r="J336" i="44" s="1"/>
  <c r="H794" i="44"/>
  <c r="J794" i="44" s="1"/>
  <c r="T528" i="44"/>
  <c r="V528" i="44" s="1"/>
  <c r="T629" i="44"/>
  <c r="V629" i="44" s="1"/>
  <c r="H816" i="44"/>
  <c r="J816" i="44" s="1"/>
  <c r="H754" i="44"/>
  <c r="J754" i="44" s="1"/>
  <c r="T250" i="44"/>
  <c r="V250" i="44" s="1"/>
  <c r="H589" i="44"/>
  <c r="J589" i="44" s="1"/>
  <c r="T576" i="44"/>
  <c r="V576" i="44" s="1"/>
  <c r="H192" i="44"/>
  <c r="J192" i="44" s="1"/>
  <c r="T692" i="44"/>
  <c r="V692" i="44" s="1"/>
  <c r="T387" i="44"/>
  <c r="V387" i="44" s="1"/>
  <c r="T299" i="44"/>
  <c r="V299" i="44" s="1"/>
  <c r="T241" i="44"/>
  <c r="V241" i="44" s="1"/>
  <c r="T304" i="44"/>
  <c r="V304" i="44" s="1"/>
  <c r="T61" i="44"/>
  <c r="V61" i="44" s="1"/>
  <c r="H732" i="44"/>
  <c r="J732" i="44" s="1"/>
  <c r="T652" i="44"/>
  <c r="V652" i="44" s="1"/>
  <c r="T126" i="44"/>
  <c r="V126" i="44" s="1"/>
  <c r="H498" i="44"/>
  <c r="J498" i="44" s="1"/>
  <c r="T112" i="44"/>
  <c r="V112" i="44" s="1"/>
  <c r="H209" i="44"/>
  <c r="J209" i="44" s="1"/>
  <c r="H141" i="44"/>
  <c r="J141" i="44" s="1"/>
  <c r="H371" i="44"/>
  <c r="J371" i="44" s="1"/>
  <c r="H751" i="44"/>
  <c r="J751" i="44" s="1"/>
  <c r="H236" i="44"/>
  <c r="J236" i="44" s="1"/>
  <c r="H126" i="44"/>
  <c r="J126" i="44" s="1"/>
  <c r="H821" i="44"/>
  <c r="J821" i="44" s="1"/>
  <c r="T729" i="44"/>
  <c r="V729" i="44" s="1"/>
  <c r="H525" i="44"/>
  <c r="J525" i="44" s="1"/>
  <c r="H81" i="44"/>
  <c r="J81" i="44" s="1"/>
  <c r="H286" i="44"/>
  <c r="J286" i="44" s="1"/>
  <c r="T767" i="44"/>
  <c r="V767" i="44" s="1"/>
  <c r="H630" i="44"/>
  <c r="J630" i="44" s="1"/>
  <c r="H416" i="44"/>
  <c r="J416" i="44" s="1"/>
  <c r="H556" i="44"/>
  <c r="J556" i="44" s="1"/>
  <c r="H478" i="44"/>
  <c r="J478" i="44" s="1"/>
  <c r="H664" i="44"/>
  <c r="J664" i="44" s="1"/>
  <c r="T647" i="44"/>
  <c r="V647" i="44" s="1"/>
  <c r="H840" i="44"/>
  <c r="J840" i="44" s="1"/>
  <c r="H755" i="44"/>
  <c r="J755" i="44" s="1"/>
  <c r="T710" i="44"/>
  <c r="V710" i="44" s="1"/>
  <c r="T833" i="44"/>
  <c r="V833" i="44" s="1"/>
  <c r="T523" i="44"/>
  <c r="V523" i="44" s="1"/>
  <c r="H809" i="44"/>
  <c r="J809" i="44" s="1"/>
  <c r="H420" i="44"/>
  <c r="J420" i="44" s="1"/>
  <c r="T147" i="44"/>
  <c r="V147" i="44" s="1"/>
  <c r="H701" i="44"/>
  <c r="J701" i="44" s="1"/>
  <c r="H864" i="44"/>
  <c r="J864" i="44" s="1"/>
  <c r="H161" i="44"/>
  <c r="J161" i="44" s="1"/>
  <c r="H99" i="44"/>
  <c r="J99" i="44" s="1"/>
  <c r="H251" i="44"/>
  <c r="J251" i="44" s="1"/>
  <c r="H788" i="44"/>
  <c r="J788" i="44" s="1"/>
  <c r="T402" i="44"/>
  <c r="V402" i="44" s="1"/>
  <c r="T494" i="44"/>
  <c r="V494" i="44" s="1"/>
  <c r="T640" i="44"/>
  <c r="V640" i="44" s="1"/>
  <c r="H308" i="44"/>
  <c r="J308" i="44" s="1"/>
  <c r="T568" i="44"/>
  <c r="V568" i="44" s="1"/>
  <c r="H334" i="44"/>
  <c r="J334" i="44" s="1"/>
  <c r="H116" i="44"/>
  <c r="J116" i="44" s="1"/>
  <c r="T786" i="44"/>
  <c r="V786" i="44" s="1"/>
  <c r="H627" i="44"/>
  <c r="J627" i="44" s="1"/>
  <c r="H694" i="44"/>
  <c r="J694" i="44" s="1"/>
  <c r="T865" i="44"/>
  <c r="V865" i="44" s="1"/>
  <c r="H441" i="44"/>
  <c r="J441" i="44" s="1"/>
  <c r="H643" i="44"/>
  <c r="J643" i="44" s="1"/>
  <c r="T790" i="44"/>
  <c r="V790" i="44" s="1"/>
  <c r="T603" i="44"/>
  <c r="V603" i="44" s="1"/>
  <c r="T658" i="44"/>
  <c r="V658" i="44" s="1"/>
  <c r="H722" i="44"/>
  <c r="J722" i="44" s="1"/>
  <c r="H387" i="44"/>
  <c r="J387" i="44" s="1"/>
  <c r="T123" i="44"/>
  <c r="V123" i="44" s="1"/>
  <c r="H137" i="44"/>
  <c r="J137" i="44" s="1"/>
  <c r="H752" i="44"/>
  <c r="J752" i="44" s="1"/>
  <c r="T339" i="44"/>
  <c r="V339" i="44" s="1"/>
  <c r="H259" i="44"/>
  <c r="J259" i="44" s="1"/>
  <c r="T151" i="44"/>
  <c r="V151" i="44" s="1"/>
  <c r="T80" i="44"/>
  <c r="V80" i="44" s="1"/>
  <c r="H147" i="44"/>
  <c r="J147" i="44" s="1"/>
  <c r="T154" i="44"/>
  <c r="V154" i="44" s="1"/>
  <c r="T134" i="44"/>
  <c r="V134" i="44" s="1"/>
  <c r="H50" i="44"/>
  <c r="J50" i="44" s="1"/>
  <c r="H712" i="44"/>
  <c r="J712" i="44" s="1"/>
  <c r="H786" i="44"/>
  <c r="J786" i="44" s="1"/>
  <c r="T596" i="44"/>
  <c r="V596" i="44" s="1"/>
  <c r="T451" i="44"/>
  <c r="V451" i="44" s="1"/>
  <c r="T391" i="44"/>
  <c r="V391" i="44" s="1"/>
  <c r="T645" i="44"/>
  <c r="V645" i="44" s="1"/>
  <c r="T331" i="44"/>
  <c r="V331" i="44" s="1"/>
  <c r="T122" i="44"/>
  <c r="V122" i="44" s="1"/>
  <c r="H690" i="44"/>
  <c r="J690" i="44" s="1"/>
  <c r="T195" i="44"/>
  <c r="V195" i="44" s="1"/>
  <c r="T421" i="44"/>
  <c r="V421" i="44" s="1"/>
  <c r="H447" i="44"/>
  <c r="J447" i="44" s="1"/>
  <c r="T34" i="44"/>
  <c r="V34" i="44" s="1"/>
  <c r="T419" i="44"/>
  <c r="V419" i="44" s="1"/>
  <c r="H758" i="44"/>
  <c r="J758" i="44" s="1"/>
  <c r="H545" i="44"/>
  <c r="J545" i="44" s="1"/>
  <c r="T823" i="44"/>
  <c r="V823" i="44" s="1"/>
  <c r="H239" i="44"/>
  <c r="J239" i="44" s="1"/>
  <c r="T361" i="44"/>
  <c r="V361" i="44" s="1"/>
  <c r="H832" i="44"/>
  <c r="J832" i="44" s="1"/>
  <c r="T418" i="44"/>
  <c r="V418" i="44" s="1"/>
  <c r="H262" i="44"/>
  <c r="J262" i="44" s="1"/>
  <c r="T44" i="44"/>
  <c r="V44" i="44" s="1"/>
  <c r="T132" i="44"/>
  <c r="V132" i="44" s="1"/>
  <c r="H143" i="44"/>
  <c r="J143" i="44" s="1"/>
  <c r="H769" i="44"/>
  <c r="J769" i="44" s="1"/>
  <c r="T693" i="44"/>
  <c r="V693" i="44" s="1"/>
  <c r="H618" i="44"/>
  <c r="J618" i="44" s="1"/>
  <c r="H604" i="44"/>
  <c r="J604" i="44" s="1"/>
  <c r="T861" i="44"/>
  <c r="V861" i="44" s="1"/>
  <c r="T414" i="44"/>
  <c r="V414" i="44" s="1"/>
  <c r="H746" i="44"/>
  <c r="J746" i="44" s="1"/>
  <c r="T667" i="44"/>
  <c r="V667" i="44" s="1"/>
  <c r="T291" i="44"/>
  <c r="V291" i="44" s="1"/>
  <c r="H37" i="44"/>
  <c r="J37" i="44" s="1"/>
  <c r="H53" i="44"/>
  <c r="J53" i="44" s="1"/>
  <c r="H464" i="44"/>
  <c r="J464" i="44" s="1"/>
  <c r="T82" i="44"/>
  <c r="V82" i="44" s="1"/>
  <c r="T787" i="44"/>
  <c r="V787" i="44" s="1"/>
  <c r="H645" i="44"/>
  <c r="J645" i="44" s="1"/>
  <c r="H390" i="44"/>
  <c r="J390" i="44" s="1"/>
  <c r="T175" i="44"/>
  <c r="V175" i="44" s="1"/>
  <c r="H280" i="44"/>
  <c r="J280" i="44" s="1"/>
  <c r="T225" i="44"/>
  <c r="V225" i="44" s="1"/>
  <c r="T774" i="44"/>
  <c r="V774" i="44" s="1"/>
  <c r="T108" i="44"/>
  <c r="V108" i="44" s="1"/>
  <c r="T301" i="44"/>
  <c r="V301" i="44" s="1"/>
  <c r="H646" i="44"/>
  <c r="J646" i="44" s="1"/>
  <c r="H175" i="44"/>
  <c r="J175" i="44" s="1"/>
  <c r="T128" i="44"/>
  <c r="V128" i="44" s="1"/>
  <c r="H869" i="44"/>
  <c r="J869" i="44" s="1"/>
  <c r="H765" i="44"/>
  <c r="J765" i="44" s="1"/>
  <c r="T670" i="44"/>
  <c r="V670" i="44" s="1"/>
  <c r="T157" i="44"/>
  <c r="V157" i="44" s="1"/>
  <c r="T150" i="44"/>
  <c r="V150" i="44" s="1"/>
  <c r="T797" i="44"/>
  <c r="V797" i="44" s="1"/>
  <c r="T838" i="44"/>
  <c r="V838" i="44" s="1"/>
  <c r="T29" i="44"/>
  <c r="V29" i="44" s="1"/>
  <c r="H430" i="44"/>
  <c r="J430" i="44" s="1"/>
  <c r="T207" i="44"/>
  <c r="V207" i="44" s="1"/>
  <c r="T714" i="44"/>
  <c r="V714" i="44" s="1"/>
  <c r="T741" i="44"/>
  <c r="V741" i="44" s="1"/>
  <c r="H435" i="44"/>
  <c r="J435" i="44" s="1"/>
  <c r="T45" i="44"/>
  <c r="V45" i="44" s="1"/>
  <c r="H114" i="44"/>
  <c r="J114" i="44" s="1"/>
  <c r="H669" i="44"/>
  <c r="J669" i="44" s="1"/>
  <c r="H551" i="44"/>
  <c r="J551" i="44" s="1"/>
  <c r="H374" i="44"/>
  <c r="J374" i="44" s="1"/>
  <c r="T306" i="44"/>
  <c r="V306" i="44" s="1"/>
  <c r="T760" i="44"/>
  <c r="V760" i="44" s="1"/>
  <c r="T743" i="44"/>
  <c r="V743" i="44" s="1"/>
  <c r="H866" i="44"/>
  <c r="J866" i="44" s="1"/>
  <c r="T471" i="44"/>
  <c r="V471" i="44" s="1"/>
  <c r="T415" i="44"/>
  <c r="V415" i="44" s="1"/>
  <c r="H819" i="44"/>
  <c r="J819" i="44" s="1"/>
  <c r="T408" i="44"/>
  <c r="V408" i="44" s="1"/>
  <c r="T168" i="44"/>
  <c r="V168" i="44" s="1"/>
  <c r="H169" i="44"/>
  <c r="J169" i="44" s="1"/>
  <c r="T316" i="44"/>
  <c r="V316" i="44" s="1"/>
  <c r="H45" i="44"/>
  <c r="J45" i="44" s="1"/>
  <c r="H667" i="44"/>
  <c r="J667" i="44" s="1"/>
  <c r="T68" i="44"/>
  <c r="V68" i="44" s="1"/>
  <c r="H234" i="44"/>
  <c r="J234" i="44" s="1"/>
  <c r="T376" i="44"/>
  <c r="V376" i="44" s="1"/>
  <c r="H476" i="44"/>
  <c r="J476" i="44" s="1"/>
  <c r="H412" i="44"/>
  <c r="J412" i="44" s="1"/>
  <c r="T518" i="44"/>
  <c r="V518" i="44" s="1"/>
  <c r="T858" i="44"/>
  <c r="V858" i="44" s="1"/>
  <c r="T643" i="44"/>
  <c r="V643" i="44" s="1"/>
  <c r="H721" i="44"/>
  <c r="J721" i="44" s="1"/>
  <c r="T702" i="44"/>
  <c r="V702" i="44" s="1"/>
  <c r="T278" i="44"/>
  <c r="V278" i="44" s="1"/>
  <c r="T715" i="44"/>
  <c r="V715" i="44" s="1"/>
  <c r="H265" i="44"/>
  <c r="J265" i="44" s="1"/>
  <c r="H576" i="44"/>
  <c r="J576" i="44" s="1"/>
  <c r="H680" i="44"/>
  <c r="J680" i="44" s="1"/>
  <c r="H628" i="44"/>
  <c r="J628" i="44" s="1"/>
  <c r="H675" i="44"/>
  <c r="J675" i="44" s="1"/>
  <c r="H661" i="44"/>
  <c r="J661" i="44" s="1"/>
  <c r="H130" i="44"/>
  <c r="J130" i="44" s="1"/>
  <c r="T572" i="44"/>
  <c r="V572" i="44" s="1"/>
  <c r="H55" i="44"/>
  <c r="J55" i="44" s="1"/>
  <c r="H427" i="44"/>
  <c r="J427" i="44" s="1"/>
  <c r="T293" i="44"/>
  <c r="V293" i="44" s="1"/>
  <c r="T549" i="44"/>
  <c r="V549" i="44" s="1"/>
  <c r="H748" i="44"/>
  <c r="J748" i="44" s="1"/>
  <c r="H640" i="44"/>
  <c r="J640" i="44" s="1"/>
  <c r="H304" i="44"/>
  <c r="J304" i="44" s="1"/>
  <c r="T506" i="44"/>
  <c r="V506" i="44" s="1"/>
  <c r="H139" i="44"/>
  <c r="J139" i="44" s="1"/>
  <c r="T140" i="44"/>
  <c r="V140" i="44" s="1"/>
  <c r="H153" i="44"/>
  <c r="J153" i="44" s="1"/>
  <c r="T456" i="44"/>
  <c r="V456" i="44" s="1"/>
  <c r="T639" i="44"/>
  <c r="V639" i="44" s="1"/>
  <c r="T851" i="44"/>
  <c r="V851" i="44" s="1"/>
  <c r="H631" i="44"/>
  <c r="J631" i="44" s="1"/>
  <c r="H743" i="44"/>
  <c r="J743" i="44" s="1"/>
  <c r="H750" i="44"/>
  <c r="J750" i="44" s="1"/>
  <c r="T691" i="44"/>
  <c r="V691" i="44" s="1"/>
  <c r="H393" i="44"/>
  <c r="J393" i="44" s="1"/>
  <c r="H619" i="44"/>
  <c r="J619" i="44" s="1"/>
  <c r="T724" i="44"/>
  <c r="V724" i="44" s="1"/>
  <c r="H644" i="44"/>
  <c r="J644" i="44" s="1"/>
  <c r="T657" i="44"/>
  <c r="V657" i="44" s="1"/>
  <c r="H363" i="44"/>
  <c r="J363" i="44" s="1"/>
  <c r="H190" i="44"/>
  <c r="J190" i="44" s="1"/>
  <c r="T832" i="44"/>
  <c r="V832" i="44" s="1"/>
  <c r="H94" i="44"/>
  <c r="J94" i="44" s="1"/>
  <c r="T198" i="44"/>
  <c r="V198" i="44" s="1"/>
  <c r="H309" i="44"/>
  <c r="J309" i="44" s="1"/>
  <c r="H791" i="44"/>
  <c r="J791" i="44" s="1"/>
  <c r="T615" i="44"/>
  <c r="V615" i="44" s="1"/>
  <c r="H502" i="44"/>
  <c r="J502" i="44" s="1"/>
  <c r="H516" i="44"/>
  <c r="J516" i="44" s="1"/>
  <c r="H151" i="44"/>
  <c r="J151" i="44" s="1"/>
  <c r="H92" i="44"/>
  <c r="J92" i="44" s="1"/>
  <c r="T292" i="44"/>
  <c r="V292" i="44" s="1"/>
  <c r="T727" i="44"/>
  <c r="V727" i="44" s="1"/>
  <c r="T597" i="44"/>
  <c r="V597" i="44" s="1"/>
  <c r="H60" i="44"/>
  <c r="J60" i="44" s="1"/>
  <c r="H762" i="44"/>
  <c r="J762" i="44" s="1"/>
  <c r="T460" i="44"/>
  <c r="V460" i="44" s="1"/>
  <c r="T735" i="44"/>
  <c r="V735" i="44" s="1"/>
  <c r="H475" i="44"/>
  <c r="J475" i="44" s="1"/>
  <c r="T176" i="44"/>
  <c r="V176" i="44" s="1"/>
  <c r="H327" i="44"/>
  <c r="J327" i="44" s="1"/>
  <c r="H563" i="44"/>
  <c r="J563" i="44" s="1"/>
  <c r="T220" i="44"/>
  <c r="V220" i="44" s="1"/>
  <c r="H595" i="44"/>
  <c r="J595" i="44" s="1"/>
  <c r="H30" i="44"/>
  <c r="J30" i="44" s="1"/>
  <c r="H261" i="44"/>
  <c r="J261" i="44" s="1"/>
  <c r="T450" i="44"/>
  <c r="V450" i="44" s="1"/>
  <c r="T256" i="44"/>
  <c r="V256" i="44" s="1"/>
  <c r="T482" i="44"/>
  <c r="V482" i="44" s="1"/>
  <c r="T728" i="44"/>
  <c r="V728" i="44" s="1"/>
  <c r="H455" i="44"/>
  <c r="J455" i="44" s="1"/>
  <c r="T483" i="44"/>
  <c r="V483" i="44" s="1"/>
  <c r="H76" i="44"/>
  <c r="J76" i="44" s="1"/>
  <c r="T740" i="44"/>
  <c r="V740" i="44" s="1"/>
  <c r="H312" i="44"/>
  <c r="J312" i="44" s="1"/>
  <c r="H179" i="44"/>
  <c r="J179" i="44" s="1"/>
  <c r="H606" i="44"/>
  <c r="J606" i="44" s="1"/>
  <c r="T560" i="44"/>
  <c r="V560" i="44" s="1"/>
  <c r="T842" i="44"/>
  <c r="V842" i="44" s="1"/>
  <c r="H54" i="44"/>
  <c r="J54" i="44" s="1"/>
  <c r="H88" i="44"/>
  <c r="J88" i="44" s="1"/>
  <c r="H717" i="44"/>
  <c r="J717" i="44" s="1"/>
  <c r="T33" i="44"/>
  <c r="V33" i="44" s="1"/>
  <c r="H167" i="44"/>
  <c r="J167" i="44" s="1"/>
  <c r="T564" i="44"/>
  <c r="V564" i="44" s="1"/>
  <c r="H698" i="44"/>
  <c r="J698" i="44" s="1"/>
  <c r="H270" i="44"/>
  <c r="J270" i="44" s="1"/>
  <c r="H401" i="44"/>
  <c r="J401" i="44" s="1"/>
  <c r="T186" i="44"/>
  <c r="V186" i="44" s="1"/>
  <c r="H724" i="44"/>
  <c r="J724" i="44" s="1"/>
  <c r="T73" i="44"/>
  <c r="V73" i="44" s="1"/>
  <c r="H372" i="44"/>
  <c r="J372" i="44" s="1"/>
  <c r="H326" i="44"/>
  <c r="J326" i="44" s="1"/>
  <c r="T869" i="44"/>
  <c r="V869" i="44" s="1"/>
  <c r="H835" i="44"/>
  <c r="J835" i="44" s="1"/>
  <c r="H421" i="44"/>
  <c r="J421" i="44" s="1"/>
  <c r="H359" i="44"/>
  <c r="J359" i="44" s="1"/>
  <c r="T849" i="44"/>
  <c r="V849" i="44" s="1"/>
  <c r="H823" i="44"/>
  <c r="J823" i="44" s="1"/>
  <c r="T812" i="44"/>
  <c r="V812" i="44" s="1"/>
  <c r="H440" i="44"/>
  <c r="J440" i="44" s="1"/>
  <c r="H225" i="44"/>
  <c r="J225" i="44" s="1"/>
  <c r="H688" i="44"/>
  <c r="J688" i="44" s="1"/>
  <c r="H38" i="44"/>
  <c r="J38" i="44" s="1"/>
  <c r="H853" i="44"/>
  <c r="J853" i="44" s="1"/>
  <c r="H852" i="44"/>
  <c r="J852" i="44" s="1"/>
  <c r="T810" i="44"/>
  <c r="V810" i="44" s="1"/>
  <c r="H494" i="44"/>
  <c r="J494" i="44" s="1"/>
  <c r="T776" i="44"/>
  <c r="V776" i="44" s="1"/>
  <c r="H108" i="44"/>
  <c r="J108" i="44" s="1"/>
  <c r="H867" i="44"/>
  <c r="J867" i="44" s="1"/>
  <c r="T159" i="44"/>
  <c r="V159" i="44" s="1"/>
  <c r="T290" i="44"/>
  <c r="V290" i="44" s="1"/>
  <c r="H807" i="44"/>
  <c r="J807" i="44" s="1"/>
  <c r="H499" i="44"/>
  <c r="J499" i="44" s="1"/>
  <c r="H641" i="44"/>
  <c r="J641" i="44" s="1"/>
  <c r="T325" i="44"/>
  <c r="V325" i="44" s="1"/>
  <c r="T139" i="44"/>
  <c r="V139" i="44" s="1"/>
  <c r="T107" i="44"/>
  <c r="V107" i="44" s="1"/>
  <c r="T285" i="44"/>
  <c r="V285" i="44" s="1"/>
  <c r="H608" i="44"/>
  <c r="J608" i="44" s="1"/>
  <c r="H828" i="44"/>
  <c r="J828" i="44" s="1"/>
  <c r="H158" i="44"/>
  <c r="J158" i="44" s="1"/>
  <c r="H252" i="44"/>
  <c r="J252" i="44" s="1"/>
  <c r="H112" i="44"/>
  <c r="J112" i="44" s="1"/>
  <c r="H277" i="44"/>
  <c r="J277" i="44" s="1"/>
  <c r="T495" i="44"/>
  <c r="V495" i="44" s="1"/>
  <c r="T405" i="44"/>
  <c r="V405" i="44" s="1"/>
  <c r="H164" i="44"/>
  <c r="J164" i="44" s="1"/>
  <c r="H186" i="44"/>
  <c r="J186" i="44" s="1"/>
  <c r="T738" i="44"/>
  <c r="V738" i="44" s="1"/>
  <c r="T575" i="44"/>
  <c r="V575" i="44" s="1"/>
  <c r="H787" i="44"/>
  <c r="J787" i="44" s="1"/>
  <c r="H507" i="44"/>
  <c r="J507" i="44" s="1"/>
  <c r="T390" i="44"/>
  <c r="V390" i="44" s="1"/>
  <c r="H598" i="44"/>
  <c r="J598" i="44" s="1"/>
  <c r="H456" i="44"/>
  <c r="J456" i="44" s="1"/>
  <c r="T328" i="44"/>
  <c r="V328" i="44" s="1"/>
  <c r="T602" i="44"/>
  <c r="V602" i="44" s="1"/>
  <c r="T806" i="44"/>
  <c r="V806" i="44" s="1"/>
  <c r="H500" i="44"/>
  <c r="J500" i="44" s="1"/>
  <c r="H450" i="44"/>
  <c r="J450" i="44" s="1"/>
  <c r="T178" i="44"/>
  <c r="V178" i="44" s="1"/>
  <c r="T413" i="44"/>
  <c r="V413" i="44" s="1"/>
  <c r="T586" i="44"/>
  <c r="V586" i="44" s="1"/>
  <c r="T533" i="44"/>
  <c r="V533" i="44" s="1"/>
  <c r="H404" i="44"/>
  <c r="J404" i="44" s="1"/>
  <c r="H870" i="44"/>
  <c r="J870" i="44" s="1"/>
  <c r="T818" i="44"/>
  <c r="V818" i="44" s="1"/>
  <c r="H196" i="44"/>
  <c r="J196" i="44" s="1"/>
  <c r="H806" i="44"/>
  <c r="J806" i="44" s="1"/>
  <c r="H776" i="44"/>
  <c r="J776" i="44" s="1"/>
  <c r="T863" i="44"/>
  <c r="V863" i="44" s="1"/>
  <c r="H798" i="44"/>
  <c r="J798" i="44" s="1"/>
  <c r="T294" i="44"/>
  <c r="V294" i="44" s="1"/>
  <c r="T521" i="44"/>
  <c r="V521" i="44" s="1"/>
  <c r="T57" i="44"/>
  <c r="V57" i="44" s="1"/>
  <c r="T39" i="44"/>
  <c r="V39" i="44" s="1"/>
  <c r="H248" i="44"/>
  <c r="J248" i="44" s="1"/>
  <c r="H219" i="44"/>
  <c r="J219" i="44" s="1"/>
  <c r="H140" i="44"/>
  <c r="J140" i="44" s="1"/>
  <c r="T784" i="44"/>
  <c r="V784" i="44" s="1"/>
  <c r="T111" i="44"/>
  <c r="V111" i="44" s="1"/>
  <c r="H638" i="44"/>
  <c r="J638" i="44" s="1"/>
  <c r="T807" i="44"/>
  <c r="V807" i="44" s="1"/>
  <c r="T507" i="44"/>
  <c r="V507" i="44" s="1"/>
  <c r="T87" i="44"/>
  <c r="V87" i="44" s="1"/>
  <c r="H510" i="44"/>
  <c r="J510" i="44" s="1"/>
  <c r="T547" i="44"/>
  <c r="V547" i="44" s="1"/>
  <c r="H668" i="44"/>
  <c r="J668" i="44" s="1"/>
  <c r="H48" i="44"/>
  <c r="J48" i="44" s="1"/>
  <c r="H856" i="44"/>
  <c r="J856" i="44" s="1"/>
  <c r="T649" i="44"/>
  <c r="V649" i="44" s="1"/>
  <c r="H436" i="44"/>
  <c r="J436" i="44" s="1"/>
  <c r="H561" i="44"/>
  <c r="J561" i="44" s="1"/>
  <c r="H513" i="44"/>
  <c r="J513" i="44" s="1"/>
  <c r="T684" i="44"/>
  <c r="V684" i="44" s="1"/>
  <c r="T59" i="44"/>
  <c r="V59" i="44" s="1"/>
  <c r="T63" i="44"/>
  <c r="V63" i="44" s="1"/>
  <c r="H526" i="44"/>
  <c r="J526" i="44" s="1"/>
  <c r="H689" i="44"/>
  <c r="J689" i="44" s="1"/>
  <c r="T492" i="44"/>
  <c r="V492" i="44" s="1"/>
  <c r="T703" i="44"/>
  <c r="V703" i="44" s="1"/>
  <c r="T235" i="44"/>
  <c r="V235" i="44" s="1"/>
  <c r="T578" i="44"/>
  <c r="V578" i="44" s="1"/>
  <c r="H331" i="44"/>
  <c r="J331" i="44" s="1"/>
  <c r="H520" i="44"/>
  <c r="J520" i="44" s="1"/>
  <c r="T27" i="44"/>
  <c r="V27" i="44" s="1"/>
  <c r="T231" i="44"/>
  <c r="V231" i="44" s="1"/>
  <c r="H148" i="44"/>
  <c r="J148" i="44" s="1"/>
  <c r="H702" i="44"/>
  <c r="J702" i="44" s="1"/>
  <c r="H505" i="44"/>
  <c r="J505" i="44" s="1"/>
  <c r="T632" i="44"/>
  <c r="V632" i="44" s="1"/>
  <c r="H564" i="44"/>
  <c r="J564" i="44" s="1"/>
  <c r="H660" i="44"/>
  <c r="J660" i="44" s="1"/>
  <c r="T88" i="44"/>
  <c r="V88" i="44" s="1"/>
  <c r="T455" i="44"/>
  <c r="V455" i="44" s="1"/>
  <c r="H623" i="44"/>
  <c r="J623" i="44" s="1"/>
  <c r="H86" i="44"/>
  <c r="J86" i="44" s="1"/>
  <c r="H79" i="44"/>
  <c r="J79" i="44" s="1"/>
  <c r="H842" i="44"/>
  <c r="J842" i="44" s="1"/>
  <c r="T94" i="44"/>
  <c r="V94" i="44" s="1"/>
  <c r="T161" i="44"/>
  <c r="V161" i="44" s="1"/>
  <c r="H91" i="44"/>
  <c r="J91" i="44" s="1"/>
  <c r="T90" i="44"/>
  <c r="V90" i="44" s="1"/>
  <c r="T510" i="44"/>
  <c r="V510" i="44" s="1"/>
  <c r="T77" i="44"/>
  <c r="V77" i="44" s="1"/>
  <c r="T817" i="44"/>
  <c r="V817" i="44" s="1"/>
  <c r="T246" i="44"/>
  <c r="V246" i="44" s="1"/>
  <c r="T754" i="44"/>
  <c r="V754" i="44" s="1"/>
  <c r="H274" i="44"/>
  <c r="J274" i="44" s="1"/>
  <c r="H321" i="44"/>
  <c r="J321" i="44" s="1"/>
  <c r="H543" i="44"/>
  <c r="J543" i="44" s="1"/>
  <c r="T841" i="44"/>
  <c r="V841" i="44" s="1"/>
  <c r="T607" i="44"/>
  <c r="V607" i="44" s="1"/>
  <c r="H349" i="44"/>
  <c r="J349" i="44" s="1"/>
  <c r="H356" i="44"/>
  <c r="J356" i="44" s="1"/>
  <c r="H217" i="44"/>
  <c r="J217" i="44" s="1"/>
  <c r="H339" i="44"/>
  <c r="J339" i="44" s="1"/>
  <c r="T775" i="44"/>
  <c r="V775" i="44" s="1"/>
  <c r="H777" i="44"/>
  <c r="J777" i="44" s="1"/>
  <c r="H433" i="44"/>
  <c r="J433" i="44" s="1"/>
  <c r="H132" i="44"/>
  <c r="J132" i="44" s="1"/>
  <c r="H317" i="44"/>
  <c r="J317" i="44" s="1"/>
  <c r="H400" i="44"/>
  <c r="J400" i="44" s="1"/>
  <c r="T569" i="44"/>
  <c r="V569" i="44" s="1"/>
  <c r="H737" i="44"/>
  <c r="J737" i="44" s="1"/>
  <c r="T155" i="44"/>
  <c r="V155" i="44" s="1"/>
  <c r="H711" i="44"/>
  <c r="J711" i="44" s="1"/>
  <c r="H120" i="44"/>
  <c r="J120" i="44" s="1"/>
  <c r="T302" i="44"/>
  <c r="V302" i="44" s="1"/>
  <c r="T751" i="44"/>
  <c r="V751" i="44" s="1"/>
  <c r="T463" i="44"/>
  <c r="V463" i="44" s="1"/>
  <c r="H624" i="44"/>
  <c r="J624" i="44" s="1"/>
  <c r="H610" i="44"/>
  <c r="J610" i="44" s="1"/>
  <c r="H314" i="44"/>
  <c r="J314" i="44" s="1"/>
  <c r="H75" i="44"/>
  <c r="J75" i="44" s="1"/>
  <c r="T335" i="44"/>
  <c r="V335" i="44" s="1"/>
  <c r="H854" i="44"/>
  <c r="J854" i="44" s="1"/>
  <c r="H256" i="44"/>
  <c r="J256" i="44" s="1"/>
  <c r="H263" i="44"/>
  <c r="J263" i="44" s="1"/>
  <c r="H104" i="44"/>
  <c r="J104" i="44" s="1"/>
  <c r="H121" i="44"/>
  <c r="J121" i="44" s="1"/>
  <c r="H70" i="44"/>
  <c r="J70" i="44" s="1"/>
  <c r="T311" i="44"/>
  <c r="V311" i="44" s="1"/>
  <c r="T424" i="44"/>
  <c r="V424" i="44" s="1"/>
  <c r="H528" i="44"/>
  <c r="J528" i="44" s="1"/>
  <c r="T756" i="44"/>
  <c r="V756" i="44" s="1"/>
  <c r="H305" i="44"/>
  <c r="J305" i="44" s="1"/>
  <c r="H320" i="44"/>
  <c r="J320" i="44" s="1"/>
  <c r="T324" i="44"/>
  <c r="V324" i="44" s="1"/>
  <c r="T665" i="44"/>
  <c r="V665" i="44" s="1"/>
  <c r="H558" i="44"/>
  <c r="J558" i="44" s="1"/>
  <c r="T705" i="44"/>
  <c r="V705" i="44" s="1"/>
  <c r="H796" i="44"/>
  <c r="J796" i="44" s="1"/>
  <c r="H322" i="44"/>
  <c r="J322" i="44" s="1"/>
  <c r="T281" i="44"/>
  <c r="V281" i="44" s="1"/>
  <c r="H850" i="44"/>
  <c r="J850" i="44" s="1"/>
  <c r="H42" i="44"/>
  <c r="J42" i="44" s="1"/>
  <c r="T750" i="44"/>
  <c r="V750" i="44" s="1"/>
  <c r="H373" i="44"/>
  <c r="J373" i="44" s="1"/>
  <c r="T624" i="44"/>
  <c r="V624" i="44" s="1"/>
  <c r="H615" i="44"/>
  <c r="J615" i="44" s="1"/>
  <c r="H557" i="44"/>
  <c r="J557" i="44" s="1"/>
  <c r="T737" i="44"/>
  <c r="V737" i="44" s="1"/>
  <c r="T683" i="44"/>
  <c r="V683" i="44" s="1"/>
  <c r="T49" i="44"/>
  <c r="V49" i="44" s="1"/>
  <c r="H860" i="44"/>
  <c r="J860" i="44" s="1"/>
  <c r="H579" i="44"/>
  <c r="J579" i="44" s="1"/>
  <c r="H485" i="44"/>
  <c r="J485" i="44" s="1"/>
  <c r="H388" i="44"/>
  <c r="J388" i="44" s="1"/>
  <c r="H706" i="44"/>
  <c r="J706" i="44" s="1"/>
  <c r="H244" i="44"/>
  <c r="J244" i="44" s="1"/>
  <c r="H402" i="44"/>
  <c r="J402" i="44" s="1"/>
  <c r="T435" i="44"/>
  <c r="V435" i="44" s="1"/>
  <c r="H601" i="44"/>
  <c r="J601" i="44" s="1"/>
  <c r="T620" i="44"/>
  <c r="V620" i="44" s="1"/>
  <c r="T772" i="44"/>
  <c r="V772" i="44" s="1"/>
  <c r="H157" i="44"/>
  <c r="J157" i="44" s="1"/>
  <c r="T223" i="44"/>
  <c r="V223" i="44" s="1"/>
  <c r="H574" i="44"/>
  <c r="J574" i="44" s="1"/>
  <c r="H799" i="44"/>
  <c r="J799" i="44" s="1"/>
  <c r="H730" i="44"/>
  <c r="J730" i="44" s="1"/>
  <c r="T270" i="44"/>
  <c r="V270" i="44" s="1"/>
  <c r="H242" i="44"/>
  <c r="J242" i="44" s="1"/>
  <c r="T554" i="44"/>
  <c r="V554" i="44" s="1"/>
  <c r="H117" i="44"/>
  <c r="J117" i="44" s="1"/>
  <c r="T343" i="44"/>
  <c r="V343" i="44" s="1"/>
  <c r="T544" i="44"/>
  <c r="V544" i="44" s="1"/>
  <c r="H204" i="44"/>
  <c r="J204" i="44" s="1"/>
  <c r="H391" i="44"/>
  <c r="J391" i="44" s="1"/>
  <c r="T870" i="44"/>
  <c r="V870" i="44" s="1"/>
  <c r="H522" i="44"/>
  <c r="J522" i="44" s="1"/>
  <c r="H223" i="44"/>
  <c r="J223" i="44" s="1"/>
  <c r="T445" i="44"/>
  <c r="V445" i="44" s="1"/>
  <c r="H181" i="44"/>
  <c r="J181" i="44" s="1"/>
  <c r="T595" i="44"/>
  <c r="V595" i="44" s="1"/>
  <c r="T346" i="44"/>
  <c r="V346" i="44" s="1"/>
  <c r="H124" i="44"/>
  <c r="J124" i="44" s="1"/>
  <c r="H389" i="44"/>
  <c r="J389" i="44" s="1"/>
  <c r="T594" i="44"/>
  <c r="V594" i="44" s="1"/>
  <c r="H136" i="44"/>
  <c r="J136" i="44" s="1"/>
  <c r="T461" i="44"/>
  <c r="V461" i="44" s="1"/>
  <c r="H486" i="44"/>
  <c r="J486" i="44" s="1"/>
  <c r="H692" i="44"/>
  <c r="J692" i="44" s="1"/>
  <c r="T75" i="44"/>
  <c r="V75" i="44" s="1"/>
  <c r="T497" i="44"/>
  <c r="V497" i="44" s="1"/>
  <c r="H696" i="44"/>
  <c r="J696" i="44" s="1"/>
  <c r="H354" i="44"/>
  <c r="J354" i="44" s="1"/>
  <c r="T432" i="44"/>
  <c r="V432" i="44" s="1"/>
  <c r="T686" i="44"/>
  <c r="V686" i="44" s="1"/>
  <c r="H397" i="44"/>
  <c r="J397" i="44" s="1"/>
  <c r="H66" i="44"/>
  <c r="J66" i="44" s="1"/>
  <c r="T448" i="44"/>
  <c r="V448" i="44" s="1"/>
  <c r="T357" i="44"/>
  <c r="V357" i="44" s="1"/>
  <c r="T399" i="44"/>
  <c r="V399" i="44" s="1"/>
  <c r="H632" i="44"/>
  <c r="J632" i="44" s="1"/>
  <c r="T208" i="44"/>
  <c r="V208" i="44" s="1"/>
  <c r="H742" i="44"/>
  <c r="J742" i="44" s="1"/>
  <c r="T577" i="44"/>
  <c r="V577" i="44" s="1"/>
  <c r="H36" i="44"/>
  <c r="J36" i="44" s="1"/>
  <c r="T778" i="44"/>
  <c r="V778" i="44" s="1"/>
  <c r="T143" i="44"/>
  <c r="V143" i="44" s="1"/>
  <c r="H238" i="44"/>
  <c r="J238" i="44" s="1"/>
  <c r="T719" i="44"/>
  <c r="V719" i="44" s="1"/>
  <c r="H271" i="44"/>
  <c r="J271" i="44" s="1"/>
  <c r="H493" i="44"/>
  <c r="J493" i="44" s="1"/>
  <c r="H384" i="44"/>
  <c r="J384" i="44" s="1"/>
  <c r="T558" i="44"/>
  <c r="V558" i="44" s="1"/>
  <c r="H637" i="44"/>
  <c r="J637" i="44" s="1"/>
  <c r="H338" i="44"/>
  <c r="J338" i="44" s="1"/>
  <c r="T857" i="44"/>
  <c r="V857" i="44" s="1"/>
  <c r="H443" i="44"/>
  <c r="J443" i="44" s="1"/>
  <c r="H720" i="44"/>
  <c r="J720" i="44" s="1"/>
  <c r="T498" i="44"/>
  <c r="V498" i="44" s="1"/>
  <c r="T717" i="44"/>
  <c r="V717" i="44" s="1"/>
  <c r="H214" i="44"/>
  <c r="J214" i="44" s="1"/>
  <c r="H101" i="44"/>
  <c r="J101" i="44" s="1"/>
  <c r="H249" i="44"/>
  <c r="J249" i="44" s="1"/>
  <c r="T118" i="44"/>
  <c r="V118" i="44" s="1"/>
  <c r="T668" i="44"/>
  <c r="V668" i="44" s="1"/>
  <c r="H152" i="44"/>
  <c r="J152" i="44" s="1"/>
  <c r="T319" i="44"/>
  <c r="V319" i="44" s="1"/>
  <c r="T401" i="44"/>
  <c r="V401" i="44" s="1"/>
  <c r="T203" i="44"/>
  <c r="V203" i="44" s="1"/>
  <c r="T553" i="44"/>
  <c r="V553" i="44" s="1"/>
  <c r="T562" i="44"/>
  <c r="V562" i="44" s="1"/>
  <c r="T681" i="44"/>
  <c r="V681" i="44" s="1"/>
  <c r="H600" i="44"/>
  <c r="J600" i="44" s="1"/>
  <c r="H318" i="44"/>
  <c r="J318" i="44" s="1"/>
  <c r="H580" i="44"/>
  <c r="J580" i="44" s="1"/>
  <c r="T504" i="44"/>
  <c r="V504" i="44" s="1"/>
  <c r="H59" i="44"/>
  <c r="J59" i="44" s="1"/>
  <c r="T388" i="44"/>
  <c r="V388" i="44" s="1"/>
  <c r="T91" i="44"/>
  <c r="V91" i="44" s="1"/>
  <c r="H734" i="44"/>
  <c r="J734" i="44" s="1"/>
  <c r="H221" i="44"/>
  <c r="J221" i="44" s="1"/>
  <c r="T745" i="44"/>
  <c r="V745" i="44" s="1"/>
  <c r="H93" i="44"/>
  <c r="J93" i="44" s="1"/>
  <c r="T43" i="44"/>
  <c r="V43" i="44" s="1"/>
  <c r="T730" i="44"/>
  <c r="V730" i="44" s="1"/>
  <c r="H72" i="44"/>
  <c r="J72" i="44" s="1"/>
  <c r="H729" i="44"/>
  <c r="J729" i="44" s="1"/>
  <c r="H47" i="44"/>
  <c r="J47" i="44" s="1"/>
  <c r="T182" i="44"/>
  <c r="V182" i="44" s="1"/>
  <c r="H211" i="44"/>
  <c r="J211" i="44" s="1"/>
  <c r="H350" i="44"/>
  <c r="J350" i="44" s="1"/>
  <c r="T177" i="44"/>
  <c r="V177" i="44" s="1"/>
  <c r="T628" i="44"/>
  <c r="V628" i="44" s="1"/>
  <c r="T76" i="44"/>
  <c r="V76" i="44" s="1"/>
  <c r="T253" i="44"/>
  <c r="V253" i="44" s="1"/>
  <c r="T230" i="44"/>
  <c r="V230" i="44" s="1"/>
  <c r="H289" i="44"/>
  <c r="J289" i="44" s="1"/>
  <c r="T496" i="44"/>
  <c r="V496" i="44" s="1"/>
  <c r="T78" i="44"/>
  <c r="V78" i="44" s="1"/>
  <c r="T848" i="44"/>
  <c r="V848" i="44" s="1"/>
  <c r="T322" i="44"/>
  <c r="V322" i="44" s="1"/>
  <c r="T244" i="44"/>
  <c r="V244" i="44" s="1"/>
  <c r="H195" i="44"/>
  <c r="J195" i="44" s="1"/>
  <c r="T336" i="44"/>
  <c r="V336" i="44" s="1"/>
  <c r="T447" i="44"/>
  <c r="V447" i="44" s="1"/>
  <c r="T394" i="44"/>
  <c r="V394" i="44" s="1"/>
  <c r="H655" i="44"/>
  <c r="J655" i="44" s="1"/>
  <c r="T284" i="44"/>
  <c r="V284" i="44" s="1"/>
  <c r="T124" i="44"/>
  <c r="V124" i="44" s="1"/>
  <c r="T98" i="44"/>
  <c r="V98" i="44" s="1"/>
  <c r="T763" i="44"/>
  <c r="V763" i="44" s="1"/>
  <c r="H726" i="44"/>
  <c r="J726" i="44" s="1"/>
  <c r="T777" i="44"/>
  <c r="V777" i="44" s="1"/>
  <c r="H497" i="44"/>
  <c r="J497" i="44" s="1"/>
  <c r="H731" i="44"/>
  <c r="J731" i="44" s="1"/>
  <c r="H775" i="44"/>
  <c r="J775" i="44" s="1"/>
  <c r="H538" i="44"/>
  <c r="J538" i="44" s="1"/>
  <c r="T271" i="44"/>
  <c r="V271" i="44" s="1"/>
  <c r="T601" i="44"/>
  <c r="V601" i="44" s="1"/>
  <c r="T398" i="44"/>
  <c r="V398" i="44" s="1"/>
  <c r="T646" i="44"/>
  <c r="V646" i="44" s="1"/>
  <c r="T525" i="44"/>
  <c r="V525" i="44" s="1"/>
  <c r="T420" i="44"/>
  <c r="V420" i="44" s="1"/>
  <c r="H699" i="44"/>
  <c r="J699" i="44" s="1"/>
  <c r="T204" i="44"/>
  <c r="V204" i="44" s="1"/>
  <c r="H368" i="44"/>
  <c r="J368" i="44" s="1"/>
  <c r="H29" i="44"/>
  <c r="J29" i="44" s="1"/>
  <c r="H218" i="44"/>
  <c r="J218" i="44" s="1"/>
  <c r="H512" i="44"/>
  <c r="J512" i="44" s="1"/>
  <c r="H741" i="44"/>
  <c r="J741" i="44" s="1"/>
  <c r="H424" i="44"/>
  <c r="J424" i="44" s="1"/>
  <c r="T457" i="44"/>
  <c r="V457" i="44" s="1"/>
  <c r="T709" i="44"/>
  <c r="V709" i="44" s="1"/>
  <c r="H648" i="44"/>
  <c r="J648" i="44" s="1"/>
  <c r="T476" i="44"/>
  <c r="V476" i="44" s="1"/>
  <c r="H533" i="44"/>
  <c r="J533" i="44" s="1"/>
  <c r="T845" i="44"/>
  <c r="V845" i="44" s="1"/>
  <c r="H62" i="44"/>
  <c r="J62" i="44" s="1"/>
  <c r="T866" i="44"/>
  <c r="V866" i="44" s="1"/>
  <c r="H562" i="44"/>
  <c r="J562" i="44" s="1"/>
  <c r="H489" i="44"/>
  <c r="J489" i="44" s="1"/>
  <c r="T310" i="44"/>
  <c r="V310" i="44" s="1"/>
  <c r="H227" i="44"/>
  <c r="J227" i="44" s="1"/>
  <c r="H128" i="44"/>
  <c r="J128" i="44" s="1"/>
  <c r="H851" i="44"/>
  <c r="J851" i="44" s="1"/>
  <c r="T333" i="44"/>
  <c r="V333" i="44" s="1"/>
  <c r="H759" i="44"/>
  <c r="J759" i="44" s="1"/>
  <c r="T489" i="44"/>
  <c r="V489" i="44" s="1"/>
  <c r="H87" i="44"/>
  <c r="J87" i="44" s="1"/>
  <c r="H370" i="44"/>
  <c r="J370" i="44" s="1"/>
  <c r="H804" i="44"/>
  <c r="J804" i="44" s="1"/>
  <c r="H482" i="44"/>
  <c r="J482" i="44" s="1"/>
  <c r="H803" i="44"/>
  <c r="J803" i="44" s="1"/>
  <c r="H365" i="44"/>
  <c r="J365" i="44" s="1"/>
  <c r="H713" i="44"/>
  <c r="J713" i="44" s="1"/>
  <c r="T573" i="44"/>
  <c r="V573" i="44" s="1"/>
  <c r="T100" i="44"/>
  <c r="V100" i="44" s="1"/>
  <c r="T467" i="44"/>
  <c r="V467" i="44" s="1"/>
  <c r="T671" i="44"/>
  <c r="V671" i="44" s="1"/>
  <c r="T588" i="44"/>
  <c r="V588" i="44" s="1"/>
  <c r="T172" i="44"/>
  <c r="V172" i="44" s="1"/>
  <c r="T214" i="44"/>
  <c r="V214" i="44" s="1"/>
  <c r="T636" i="44"/>
  <c r="V636" i="44" s="1"/>
  <c r="H57" i="44"/>
  <c r="J57" i="44" s="1"/>
  <c r="H745" i="44"/>
  <c r="J745" i="44" s="1"/>
  <c r="T423" i="44"/>
  <c r="V423" i="44" s="1"/>
  <c r="H838" i="44"/>
  <c r="J838" i="44" s="1"/>
  <c r="T563" i="44"/>
  <c r="V563" i="44" s="1"/>
  <c r="H635" i="44"/>
  <c r="J635" i="44" s="1"/>
  <c r="T400" i="44"/>
  <c r="V400" i="44" s="1"/>
  <c r="H800" i="44"/>
  <c r="J800" i="44" s="1"/>
  <c r="T757" i="44"/>
  <c r="V757" i="44" s="1"/>
  <c r="H704" i="44"/>
  <c r="J704" i="44" s="1"/>
  <c r="T726" i="44"/>
  <c r="V726" i="44" s="1"/>
  <c r="H33" i="44"/>
  <c r="J33" i="44" s="1"/>
  <c r="H202" i="44"/>
  <c r="J202" i="44" s="1"/>
  <c r="T561" i="44"/>
  <c r="V561" i="44" s="1"/>
  <c r="H413" i="44"/>
  <c r="J413" i="44" s="1"/>
  <c r="T377" i="44"/>
  <c r="V377" i="44" s="1"/>
  <c r="T583" i="44"/>
  <c r="V583" i="44" s="1"/>
  <c r="H534" i="44"/>
  <c r="J534" i="44" s="1"/>
  <c r="T97" i="44"/>
  <c r="V97" i="44" s="1"/>
  <c r="H323" i="44"/>
  <c r="J323" i="44" s="1"/>
  <c r="H310" i="44"/>
  <c r="J310" i="44" s="1"/>
  <c r="T748" i="44"/>
  <c r="V748" i="44" s="1"/>
  <c r="T484" i="44"/>
  <c r="V484" i="44" s="1"/>
  <c r="H226" i="44"/>
  <c r="J226" i="44" s="1"/>
  <c r="H250" i="44"/>
  <c r="J250" i="44" s="1"/>
  <c r="H504" i="44"/>
  <c r="J504" i="44" s="1"/>
  <c r="T490" i="44"/>
  <c r="V490" i="44" s="1"/>
  <c r="T125" i="44"/>
  <c r="V125" i="44" s="1"/>
  <c r="T308" i="44"/>
  <c r="V308" i="44" s="1"/>
  <c r="T368" i="44"/>
  <c r="V368" i="44" s="1"/>
  <c r="H625" i="44"/>
  <c r="J625" i="44" s="1"/>
  <c r="T406" i="44"/>
  <c r="V406" i="44" s="1"/>
  <c r="H532" i="44"/>
  <c r="J532" i="44" s="1"/>
  <c r="T224" i="44"/>
  <c r="V224" i="44" s="1"/>
  <c r="H509" i="44"/>
  <c r="J509" i="44" s="1"/>
  <c r="T701" i="44"/>
  <c r="V701" i="44" s="1"/>
  <c r="T238" i="44"/>
  <c r="V238" i="44" s="1"/>
  <c r="T327" i="44"/>
  <c r="V327" i="44" s="1"/>
  <c r="H613" i="44"/>
  <c r="J613" i="44" s="1"/>
  <c r="H653" i="44"/>
  <c r="J653" i="44" s="1"/>
  <c r="T802" i="44"/>
  <c r="V802" i="44" s="1"/>
  <c r="H715" i="44"/>
  <c r="J715" i="44" s="1"/>
  <c r="T589" i="44"/>
  <c r="V589" i="44" s="1"/>
  <c r="T491" i="44"/>
  <c r="V491" i="44" s="1"/>
  <c r="H511" i="44"/>
  <c r="J511" i="44" s="1"/>
  <c r="H714" i="44"/>
  <c r="J714" i="44" s="1"/>
  <c r="T753" i="44"/>
  <c r="V753" i="44" s="1"/>
  <c r="T110" i="44"/>
  <c r="V110" i="44" s="1"/>
  <c r="T677" i="44"/>
  <c r="V677" i="44" s="1"/>
  <c r="T32" i="44"/>
  <c r="V32" i="44" s="1"/>
  <c r="H756" i="44"/>
  <c r="J756" i="44" s="1"/>
  <c r="T314" i="44"/>
  <c r="V314" i="44" s="1"/>
  <c r="T537" i="44"/>
  <c r="V537" i="44" s="1"/>
  <c r="H685" i="44"/>
  <c r="J685" i="44" s="1"/>
  <c r="T856" i="44"/>
  <c r="V856" i="44" s="1"/>
  <c r="T488" i="44"/>
  <c r="V488" i="44" s="1"/>
  <c r="T25" i="44"/>
  <c r="V25" i="44" s="1"/>
  <c r="T565" i="44"/>
  <c r="V565" i="44" s="1"/>
  <c r="H703" i="44"/>
  <c r="J703" i="44" s="1"/>
  <c r="T96" i="44"/>
  <c r="V96" i="44" s="1"/>
  <c r="T606" i="44"/>
  <c r="V606" i="44" s="1"/>
  <c r="H609" i="44"/>
  <c r="J609" i="44" s="1"/>
  <c r="T404" i="44"/>
  <c r="V404" i="44" s="1"/>
  <c r="H74" i="44"/>
  <c r="J74" i="44" s="1"/>
  <c r="H283" i="44"/>
  <c r="J283" i="44" s="1"/>
  <c r="H43" i="44"/>
  <c r="J43" i="44" s="1"/>
  <c r="T500" i="44"/>
  <c r="V500" i="44" s="1"/>
  <c r="T218" i="44"/>
  <c r="V218" i="44" s="1"/>
  <c r="H855" i="44"/>
  <c r="J855" i="44" s="1"/>
  <c r="H426" i="44"/>
  <c r="J426" i="44" s="1"/>
  <c r="T410" i="44"/>
  <c r="V410" i="44" s="1"/>
  <c r="T129" i="44"/>
  <c r="V129" i="44" s="1"/>
  <c r="H174" i="44"/>
  <c r="J174" i="44" s="1"/>
  <c r="H408" i="44"/>
  <c r="J408" i="44" s="1"/>
  <c r="T283" i="44"/>
  <c r="V283" i="44" s="1"/>
  <c r="T205" i="44"/>
  <c r="V205" i="44" s="1"/>
  <c r="T396" i="44"/>
  <c r="V396" i="44" s="1"/>
  <c r="H290" i="44"/>
  <c r="J290" i="44" s="1"/>
  <c r="H674" i="44"/>
  <c r="J674" i="44" s="1"/>
  <c r="T551" i="44"/>
  <c r="V551" i="44" s="1"/>
  <c r="T532" i="44"/>
  <c r="V532" i="44" s="1"/>
  <c r="T141" i="44"/>
  <c r="V141" i="44" s="1"/>
  <c r="T855" i="44"/>
  <c r="V855" i="44" s="1"/>
  <c r="H772" i="44"/>
  <c r="J772" i="44" s="1"/>
  <c r="H415" i="44"/>
  <c r="J415" i="44" s="1"/>
  <c r="H738" i="44"/>
  <c r="J738" i="44" s="1"/>
  <c r="T196" i="44"/>
  <c r="V196" i="44" s="1"/>
  <c r="T280" i="44"/>
  <c r="V280" i="44" s="1"/>
  <c r="T621" i="44"/>
  <c r="V621" i="44" s="1"/>
  <c r="H241" i="44"/>
  <c r="J241" i="44" s="1"/>
  <c r="T145" i="44"/>
  <c r="V145" i="44" s="1"/>
  <c r="T179" i="44"/>
  <c r="V179" i="44" s="1"/>
  <c r="H710" i="44"/>
  <c r="J710" i="44" s="1"/>
  <c r="T427" i="44"/>
  <c r="V427" i="44" s="1"/>
  <c r="H96" i="44"/>
  <c r="J96" i="44" s="1"/>
  <c r="H58" i="44"/>
  <c r="J58" i="44" s="1"/>
  <c r="T269" i="44"/>
  <c r="V269" i="44" s="1"/>
  <c r="T511" i="44"/>
  <c r="V511" i="44" s="1"/>
  <c r="H111" i="44"/>
  <c r="J111" i="44" s="1"/>
  <c r="H429" i="44"/>
  <c r="J429" i="44" s="1"/>
  <c r="T355" i="44"/>
  <c r="V355" i="44" s="1"/>
  <c r="T31" i="44"/>
  <c r="V31" i="44" s="1"/>
  <c r="T574" i="44"/>
  <c r="V574" i="44" s="1"/>
  <c r="H362" i="44"/>
  <c r="J362" i="44" s="1"/>
  <c r="T334" i="44"/>
  <c r="V334" i="44" s="1"/>
  <c r="T437" i="44"/>
  <c r="V437" i="44" s="1"/>
  <c r="T859" i="44"/>
  <c r="V859" i="44" s="1"/>
  <c r="H666" i="44"/>
  <c r="J666" i="44" s="1"/>
  <c r="H247" i="44"/>
  <c r="J247" i="44" s="1"/>
  <c r="H621" i="44"/>
  <c r="J621" i="44" s="1"/>
  <c r="T534" i="44"/>
  <c r="V534" i="44" s="1"/>
  <c r="H392" i="44"/>
  <c r="J392" i="44" s="1"/>
  <c r="T541" i="44"/>
  <c r="V541" i="44" s="1"/>
  <c r="H216" i="44"/>
  <c r="J216" i="44" s="1"/>
  <c r="T468" i="44"/>
  <c r="V468" i="44" s="1"/>
  <c r="T678" i="44"/>
  <c r="V678" i="44" s="1"/>
  <c r="T385" i="44"/>
  <c r="V385" i="44" s="1"/>
  <c r="T708" i="44"/>
  <c r="V708" i="44" s="1"/>
  <c r="H395" i="44"/>
  <c r="J395" i="44" s="1"/>
  <c r="T695" i="44"/>
  <c r="V695" i="44" s="1"/>
  <c r="H80" i="44"/>
  <c r="J80" i="44" s="1"/>
  <c r="H521" i="44"/>
  <c r="J521" i="44" s="1"/>
  <c r="T374" i="44"/>
  <c r="V374" i="44" s="1"/>
  <c r="H830" i="44"/>
  <c r="J830" i="44" s="1"/>
  <c r="H770" i="44"/>
  <c r="J770" i="44" s="1"/>
  <c r="T425" i="44"/>
  <c r="V425" i="44" s="1"/>
  <c r="H329" i="44"/>
  <c r="J329" i="44" s="1"/>
  <c r="T850" i="44"/>
  <c r="V850" i="44" s="1"/>
  <c r="H133" i="44"/>
  <c r="J133" i="44" s="1"/>
  <c r="H287" i="44"/>
  <c r="J287" i="44" s="1"/>
  <c r="H266" i="44"/>
  <c r="J266" i="44" s="1"/>
  <c r="T121" i="44"/>
  <c r="V121" i="44" s="1"/>
  <c r="H744" i="44"/>
  <c r="J744" i="44" s="1"/>
  <c r="T824" i="44"/>
  <c r="V824" i="44" s="1"/>
  <c r="H716" i="44"/>
  <c r="J716" i="44" s="1"/>
  <c r="T50" i="44"/>
  <c r="V50" i="44" s="1"/>
  <c r="H197" i="44"/>
  <c r="J197" i="44" s="1"/>
  <c r="H109" i="44"/>
  <c r="J109" i="44" s="1"/>
  <c r="T443" i="44"/>
  <c r="V443" i="44" s="1"/>
  <c r="T233" i="44"/>
  <c r="V233" i="44" s="1"/>
  <c r="T811" i="44"/>
  <c r="V811" i="44" s="1"/>
  <c r="H552" i="44"/>
  <c r="J552" i="44" s="1"/>
  <c r="H98" i="44"/>
  <c r="J98" i="44" s="1"/>
  <c r="T548" i="44"/>
  <c r="V548" i="44" s="1"/>
  <c r="T156" i="44"/>
  <c r="V156" i="44" s="1"/>
  <c r="T465" i="44"/>
  <c r="V465" i="44" s="1"/>
  <c r="T742" i="44"/>
  <c r="V742" i="44" s="1"/>
  <c r="T23" i="44"/>
  <c r="V23" i="44" s="1"/>
  <c r="H193" i="44"/>
  <c r="J193" i="44" s="1"/>
  <c r="T659" i="44"/>
  <c r="V659" i="44" s="1"/>
  <c r="T847" i="44"/>
  <c r="V847" i="44" s="1"/>
  <c r="T688" i="44"/>
  <c r="V688" i="44" s="1"/>
  <c r="H634" i="44"/>
  <c r="J634" i="44" s="1"/>
  <c r="T320" i="44"/>
  <c r="V320" i="44" s="1"/>
  <c r="H459" i="44"/>
  <c r="J459" i="44" s="1"/>
  <c r="T138" i="44"/>
  <c r="V138" i="44" s="1"/>
  <c r="H537" i="44"/>
  <c r="J537" i="44" s="1"/>
  <c r="T819" i="44"/>
  <c r="V819" i="44" s="1"/>
  <c r="H131" i="44"/>
  <c r="J131" i="44" s="1"/>
  <c r="H846" i="44"/>
  <c r="J846" i="44" s="1"/>
  <c r="H477" i="44"/>
  <c r="J477" i="44" s="1"/>
  <c r="H571" i="44"/>
  <c r="J571" i="44" s="1"/>
  <c r="T363" i="44"/>
  <c r="V363" i="44" s="1"/>
  <c r="T711" i="44"/>
  <c r="V711" i="44" s="1"/>
  <c r="T642" i="44"/>
  <c r="V642" i="44" s="1"/>
  <c r="H184" i="44"/>
  <c r="J184" i="44" s="1"/>
  <c r="H833" i="44"/>
  <c r="J833" i="44" s="1"/>
  <c r="H824" i="44"/>
  <c r="J824" i="44" s="1"/>
  <c r="H386" i="44"/>
  <c r="J386" i="44" s="1"/>
  <c r="H506" i="44"/>
  <c r="J506" i="44" s="1"/>
  <c r="H399" i="44"/>
  <c r="J399" i="44" s="1"/>
  <c r="T189" i="44"/>
  <c r="V189" i="44" s="1"/>
  <c r="H801" i="44"/>
  <c r="J801" i="44" s="1"/>
  <c r="H705" i="44"/>
  <c r="J705" i="44" s="1"/>
  <c r="T359" i="44"/>
  <c r="V359" i="44" s="1"/>
  <c r="H346" i="44"/>
  <c r="J346" i="44" s="1"/>
  <c r="H275" i="44"/>
  <c r="J275" i="44" s="1"/>
  <c r="H808" i="44"/>
  <c r="J808" i="44" s="1"/>
  <c r="T795" i="44"/>
  <c r="V795" i="44" s="1"/>
  <c r="H201" i="44"/>
  <c r="J201" i="44" s="1"/>
  <c r="H125" i="44"/>
  <c r="J125" i="44" s="1"/>
  <c r="H771" i="44"/>
  <c r="J771" i="44" s="1"/>
  <c r="T610" i="44"/>
  <c r="V610" i="44" s="1"/>
  <c r="T409" i="44"/>
  <c r="V409" i="44" s="1"/>
  <c r="T454" i="44"/>
  <c r="V454" i="44" s="1"/>
  <c r="T689" i="44"/>
  <c r="V689" i="44" s="1"/>
  <c r="H650" i="44"/>
  <c r="J650" i="44" s="1"/>
  <c r="T669" i="44"/>
  <c r="V669" i="44" s="1"/>
  <c r="H793" i="44"/>
  <c r="J793" i="44" s="1"/>
  <c r="T260" i="44"/>
  <c r="V260" i="44" s="1"/>
  <c r="H189" i="44"/>
  <c r="J189" i="44" s="1"/>
  <c r="H292" i="44"/>
  <c r="J292" i="44" s="1"/>
  <c r="H524" i="44"/>
  <c r="J524" i="44" s="1"/>
  <c r="T590" i="44"/>
  <c r="V590" i="44" s="1"/>
  <c r="H597" i="44"/>
  <c r="J597" i="44" s="1"/>
  <c r="T248" i="44"/>
  <c r="V248" i="44" s="1"/>
  <c r="T690" i="44"/>
  <c r="V690" i="44" s="1"/>
  <c r="T375" i="44"/>
  <c r="V375" i="44" s="1"/>
  <c r="T229" i="44"/>
  <c r="V229" i="44" s="1"/>
  <c r="H859" i="44"/>
  <c r="J859" i="44" s="1"/>
  <c r="T464" i="44"/>
  <c r="V464" i="44" s="1"/>
  <c r="H849" i="44"/>
  <c r="J849" i="44" s="1"/>
  <c r="T843" i="44"/>
  <c r="V843" i="44" s="1"/>
  <c r="T213" i="44"/>
  <c r="V213" i="44" s="1"/>
  <c r="H795" i="44"/>
  <c r="J795" i="44" s="1"/>
  <c r="T653" i="44"/>
  <c r="V653" i="44" s="1"/>
  <c r="T515" i="44"/>
  <c r="V515" i="44" s="1"/>
  <c r="T761" i="44"/>
  <c r="V761" i="44" s="1"/>
  <c r="H220" i="44"/>
  <c r="J220" i="44" s="1"/>
  <c r="H82" i="44"/>
  <c r="J82" i="44" s="1"/>
  <c r="T379" i="44"/>
  <c r="V379" i="44" s="1"/>
  <c r="T808" i="44"/>
  <c r="V808" i="44" s="1"/>
  <c r="T512" i="44"/>
  <c r="V512" i="44" s="1"/>
  <c r="H170" i="44"/>
  <c r="J170" i="44" s="1"/>
  <c r="T612" i="44"/>
  <c r="V612" i="44" s="1"/>
  <c r="T95" i="44"/>
  <c r="V95" i="44" s="1"/>
  <c r="H228" i="44"/>
  <c r="J228" i="44" s="1"/>
  <c r="H658" i="44"/>
  <c r="J658" i="44" s="1"/>
  <c r="H686" i="44"/>
  <c r="J686" i="44" s="1"/>
  <c r="T127" i="44"/>
  <c r="V127" i="44" s="1"/>
  <c r="T245" i="44"/>
  <c r="V245" i="44" s="1"/>
  <c r="T116" i="44"/>
  <c r="V116" i="44" s="1"/>
  <c r="T243" i="44"/>
  <c r="V243" i="44" s="1"/>
  <c r="T202" i="44"/>
  <c r="V202" i="44" s="1"/>
  <c r="H67" i="44"/>
  <c r="J67" i="44" s="1"/>
  <c r="H683" i="44"/>
  <c r="J683" i="44" s="1"/>
  <c r="H565" i="44"/>
  <c r="J565" i="44" s="1"/>
  <c r="H311" i="44"/>
  <c r="J311" i="44" s="1"/>
  <c r="T591" i="44"/>
  <c r="V591" i="44" s="1"/>
  <c r="H813" i="44"/>
  <c r="J813" i="44" s="1"/>
  <c r="T165" i="44"/>
  <c r="V165" i="44" s="1"/>
  <c r="T228" i="44"/>
  <c r="V228" i="44" s="1"/>
  <c r="H810" i="44"/>
  <c r="J810" i="44" s="1"/>
  <c r="H377" i="44"/>
  <c r="J377" i="44" s="1"/>
  <c r="T814" i="44"/>
  <c r="V814" i="44" s="1"/>
  <c r="T446" i="44"/>
  <c r="V446" i="44" s="1"/>
  <c r="T536" i="44"/>
  <c r="V536" i="44" s="1"/>
  <c r="T706" i="44"/>
  <c r="V706" i="44" s="1"/>
  <c r="T609" i="44"/>
  <c r="V609" i="44" s="1"/>
  <c r="T38" i="44"/>
  <c r="V38" i="44" s="1"/>
  <c r="T430" i="44"/>
  <c r="V430" i="44" s="1"/>
  <c r="H69" i="44"/>
  <c r="J69" i="44" s="1"/>
  <c r="T381" i="44"/>
  <c r="V381" i="44" s="1"/>
  <c r="H616" i="44"/>
  <c r="J616" i="44" s="1"/>
  <c r="H253" i="44"/>
  <c r="J253" i="44" s="1"/>
  <c r="T262" i="44"/>
  <c r="V262" i="44" s="1"/>
  <c r="T370" i="44"/>
  <c r="V370" i="44" s="1"/>
  <c r="T106" i="44"/>
  <c r="V106" i="44" s="1"/>
  <c r="T142" i="44"/>
  <c r="V142" i="44" s="1"/>
  <c r="H351" i="44"/>
  <c r="J351" i="44" s="1"/>
  <c r="T114" i="44"/>
  <c r="V114" i="44" s="1"/>
  <c r="T608" i="44"/>
  <c r="V608" i="44" s="1"/>
  <c r="T803" i="44"/>
  <c r="V803" i="44" s="1"/>
  <c r="H678" i="44"/>
  <c r="J678" i="44" s="1"/>
  <c r="T206" i="44"/>
  <c r="V206" i="44" s="1"/>
  <c r="H707" i="44"/>
  <c r="J707" i="44" s="1"/>
  <c r="H144" i="44"/>
  <c r="J144" i="44" s="1"/>
  <c r="T268" i="44"/>
  <c r="V268" i="44" s="1"/>
  <c r="H422" i="44"/>
  <c r="J422" i="44" s="1"/>
  <c r="H154" i="44"/>
  <c r="J154" i="44" s="1"/>
  <c r="H106" i="44"/>
  <c r="J106" i="44" s="1"/>
  <c r="H514" i="44"/>
  <c r="J514" i="44" s="1"/>
  <c r="T722" i="44"/>
  <c r="V722" i="44" s="1"/>
  <c r="T71" i="44"/>
  <c r="V71" i="44" s="1"/>
  <c r="T725" i="44"/>
  <c r="V725" i="44" s="1"/>
  <c r="H617" i="44"/>
  <c r="J617" i="44" s="1"/>
  <c r="H484" i="44"/>
  <c r="J484" i="44" s="1"/>
  <c r="T119" i="44"/>
  <c r="V119" i="44" s="1"/>
  <c r="T192" i="44"/>
  <c r="V192" i="44" s="1"/>
  <c r="T188" i="44"/>
  <c r="V188" i="44" s="1"/>
  <c r="T47" i="44"/>
  <c r="V47" i="44" s="1"/>
  <c r="H790" i="44"/>
  <c r="J790" i="44" s="1"/>
  <c r="T540" i="44"/>
  <c r="V540" i="44" s="1"/>
  <c r="H385" i="44"/>
  <c r="J385" i="44" s="1"/>
  <c r="H519" i="44"/>
  <c r="J519" i="44" s="1"/>
  <c r="T625" i="44"/>
  <c r="V625" i="44" s="1"/>
  <c r="H199" i="44"/>
  <c r="J199" i="44" s="1"/>
  <c r="H817" i="44"/>
  <c r="J817" i="44" s="1"/>
  <c r="T470" i="44"/>
  <c r="V470" i="44" s="1"/>
  <c r="T117" i="44"/>
  <c r="V117" i="44" s="1"/>
  <c r="T371" i="44"/>
  <c r="V371" i="44" s="1"/>
  <c r="T105" i="44"/>
  <c r="V105" i="44" s="1"/>
  <c r="T650" i="44"/>
  <c r="V650" i="44" s="1"/>
  <c r="H451" i="44"/>
  <c r="J451" i="44" s="1"/>
  <c r="T853" i="44"/>
  <c r="V853" i="44" s="1"/>
  <c r="H862" i="44"/>
  <c r="J862" i="44" s="1"/>
  <c r="H815" i="44"/>
  <c r="J815" i="44" s="1"/>
  <c r="H297" i="44"/>
  <c r="J297" i="44" s="1"/>
  <c r="T395" i="44"/>
  <c r="V395" i="44" s="1"/>
  <c r="T441" i="44"/>
  <c r="V441" i="44" s="1"/>
  <c r="T503" i="44"/>
  <c r="V503" i="44" s="1"/>
  <c r="T731" i="44"/>
  <c r="V731" i="44" s="1"/>
  <c r="T614" i="44"/>
  <c r="V614" i="44" s="1"/>
  <c r="H592" i="44"/>
  <c r="J592" i="44" s="1"/>
  <c r="H541" i="44"/>
  <c r="J541" i="44" s="1"/>
  <c r="T93" i="44"/>
  <c r="V93" i="44" s="1"/>
  <c r="H607" i="44"/>
  <c r="J607" i="44" s="1"/>
  <c r="T584" i="44"/>
  <c r="V584" i="44" s="1"/>
  <c r="T439" i="44"/>
  <c r="V439" i="44" s="1"/>
  <c r="H281" i="44"/>
  <c r="J281" i="44" s="1"/>
  <c r="H434" i="44"/>
  <c r="J434" i="44" s="1"/>
  <c r="T712" i="44"/>
  <c r="V712" i="44" s="1"/>
  <c r="H588" i="44"/>
  <c r="J588" i="44" s="1"/>
  <c r="T613" i="44"/>
  <c r="V613" i="44" s="1"/>
  <c r="T92" i="44"/>
  <c r="V92" i="44" s="1"/>
  <c r="T42" i="44"/>
  <c r="V42" i="44" s="1"/>
  <c r="T135" i="44"/>
  <c r="V135" i="44" s="1"/>
  <c r="T89" i="44"/>
  <c r="V89" i="44" s="1"/>
  <c r="T826" i="44"/>
  <c r="V826" i="44" s="1"/>
  <c r="H508" i="44"/>
  <c r="J508" i="44" s="1"/>
  <c r="T581" i="44"/>
  <c r="V581" i="44" s="1"/>
  <c r="H550" i="44"/>
  <c r="J550" i="44" s="1"/>
  <c r="T239" i="44"/>
  <c r="V239" i="44" s="1"/>
  <c r="T317" i="44"/>
  <c r="V317" i="44" s="1"/>
  <c r="H657" i="44"/>
  <c r="J657" i="44" s="1"/>
  <c r="T656" i="44"/>
  <c r="V656" i="44" s="1"/>
  <c r="T315" i="44"/>
  <c r="V315" i="44" s="1"/>
  <c r="H472" i="44"/>
  <c r="J472" i="44" s="1"/>
  <c r="H614" i="44"/>
  <c r="J614" i="44" s="1"/>
  <c r="T744" i="44"/>
  <c r="V744" i="44" s="1"/>
  <c r="T780" i="44"/>
  <c r="V780" i="44" s="1"/>
  <c r="T644" i="44"/>
  <c r="V644" i="44" s="1"/>
  <c r="H652" i="44"/>
  <c r="J652" i="44" s="1"/>
  <c r="T648" i="44"/>
  <c r="V648" i="44" s="1"/>
  <c r="T65" i="44"/>
  <c r="V65" i="44" s="1"/>
  <c r="H843" i="44"/>
  <c r="J843" i="44" s="1"/>
  <c r="T798" i="44"/>
  <c r="V798" i="44" s="1"/>
  <c r="T611" i="44"/>
  <c r="V611" i="44" s="1"/>
  <c r="T556" i="44"/>
  <c r="V556" i="44" s="1"/>
  <c r="H182" i="44"/>
  <c r="J182" i="44" s="1"/>
  <c r="H243" i="44"/>
  <c r="J243" i="44" s="1"/>
  <c r="T783" i="44"/>
  <c r="V783" i="44" s="1"/>
  <c r="H515" i="44"/>
  <c r="J515" i="44" s="1"/>
  <c r="H44" i="44"/>
  <c r="J44" i="44" s="1"/>
  <c r="H446" i="44"/>
  <c r="J446" i="44" s="1"/>
  <c r="H693" i="44"/>
  <c r="J693" i="44" s="1"/>
  <c r="H381" i="44"/>
  <c r="J381" i="44" s="1"/>
  <c r="H71" i="44"/>
  <c r="J71" i="44" s="1"/>
  <c r="H457" i="44"/>
  <c r="J457" i="44" s="1"/>
  <c r="H155" i="44"/>
  <c r="J155" i="44" s="1"/>
  <c r="T466" i="44"/>
  <c r="V466" i="44" s="1"/>
  <c r="T232" i="44"/>
  <c r="V232" i="44" s="1"/>
  <c r="T655" i="44"/>
  <c r="V655" i="44" s="1"/>
  <c r="T297" i="44"/>
  <c r="V297" i="44" s="1"/>
  <c r="T340" i="44"/>
  <c r="V340" i="44" s="1"/>
  <c r="T352" i="44"/>
  <c r="V352" i="44" s="1"/>
  <c r="H299" i="44"/>
  <c r="J299" i="44" s="1"/>
  <c r="T81" i="44"/>
  <c r="V81" i="44" s="1"/>
  <c r="T502" i="44"/>
  <c r="V502" i="44" s="1"/>
  <c r="T679" i="44"/>
  <c r="V679" i="44" s="1"/>
  <c r="H544" i="44"/>
  <c r="J544" i="44" s="1"/>
  <c r="T288" i="44"/>
  <c r="V288" i="44" s="1"/>
  <c r="T219" i="44"/>
  <c r="V219" i="44" s="1"/>
  <c r="T821" i="44"/>
  <c r="V821" i="44" s="1"/>
  <c r="T149" i="44"/>
  <c r="V149" i="44" s="1"/>
  <c r="H83" i="44"/>
  <c r="J83" i="44" s="1"/>
  <c r="T555" i="44"/>
  <c r="V555" i="44" s="1"/>
  <c r="H811" i="44"/>
  <c r="J811" i="44" s="1"/>
  <c r="T86" i="44"/>
  <c r="V86" i="44" s="1"/>
  <c r="T313" i="44"/>
  <c r="V313" i="44" s="1"/>
  <c r="H488" i="44"/>
  <c r="J488" i="44" s="1"/>
  <c r="T162" i="44"/>
  <c r="V162" i="44" s="1"/>
  <c r="H656" i="44"/>
  <c r="J656" i="44" s="1"/>
  <c r="H490" i="44"/>
  <c r="J490" i="44" s="1"/>
  <c r="H149" i="44"/>
  <c r="J149" i="44" s="1"/>
  <c r="T651" i="44"/>
  <c r="V651" i="44" s="1"/>
  <c r="T509" i="44"/>
  <c r="V509" i="44" s="1"/>
  <c r="T70" i="44"/>
  <c r="V70" i="44" s="1"/>
  <c r="T680" i="44"/>
  <c r="V680" i="44" s="1"/>
  <c r="T254" i="44"/>
  <c r="V254" i="44" s="1"/>
  <c r="T660" i="44"/>
  <c r="V660" i="44" s="1"/>
  <c r="T344" i="44"/>
  <c r="V344" i="44" s="1"/>
  <c r="T211" i="44"/>
  <c r="V211" i="44" s="1"/>
  <c r="H191" i="44"/>
  <c r="J191" i="44" s="1"/>
  <c r="T516" i="44"/>
  <c r="V516" i="44" s="1"/>
  <c r="H834" i="44"/>
  <c r="J834" i="44" s="1"/>
  <c r="T527" i="44"/>
  <c r="V527" i="44" s="1"/>
  <c r="T479" i="44"/>
  <c r="V479" i="44" s="1"/>
  <c r="T567" i="44"/>
  <c r="V567" i="44" s="1"/>
  <c r="H425" i="44"/>
  <c r="J425" i="44" s="1"/>
  <c r="H829" i="44"/>
  <c r="J829" i="44" s="1"/>
  <c r="H471" i="44"/>
  <c r="J471" i="44" s="1"/>
  <c r="T428" i="44"/>
  <c r="V428" i="44" s="1"/>
  <c r="H235" i="44"/>
  <c r="J235" i="44" s="1"/>
  <c r="T433" i="44"/>
  <c r="V433" i="44" s="1"/>
  <c r="H65" i="44"/>
  <c r="J65" i="44" s="1"/>
  <c r="T48" i="44"/>
  <c r="V48" i="44" s="1"/>
  <c r="T682" i="44"/>
  <c r="V682" i="44" s="1"/>
  <c r="T60" i="44"/>
  <c r="V60" i="44" s="1"/>
  <c r="H405" i="44"/>
  <c r="J405" i="44" s="1"/>
  <c r="T210" i="44"/>
  <c r="V210" i="44" s="1"/>
  <c r="T152" i="44"/>
  <c r="V152" i="44" s="1"/>
  <c r="T598" i="44"/>
  <c r="V598" i="44" s="1"/>
  <c r="T350" i="44"/>
  <c r="V350" i="44" s="1"/>
  <c r="T131" i="44"/>
  <c r="V131" i="44" s="1"/>
  <c r="T153" i="44"/>
  <c r="V153" i="44" s="1"/>
  <c r="H188" i="44"/>
  <c r="J188" i="44" s="1"/>
  <c r="T174" i="44"/>
  <c r="V174" i="44" s="1"/>
  <c r="H553" i="44"/>
  <c r="J553" i="44" s="1"/>
  <c r="T436" i="44"/>
  <c r="V436" i="44" s="1"/>
  <c r="H56" i="44"/>
  <c r="J56" i="44" s="1"/>
  <c r="H34" i="44"/>
  <c r="J34" i="44" s="1"/>
  <c r="H848" i="44"/>
  <c r="J848" i="44" s="1"/>
  <c r="T836" i="44"/>
  <c r="V836" i="44" s="1"/>
  <c r="H105" i="44"/>
  <c r="J105" i="44" s="1"/>
  <c r="H303" i="44"/>
  <c r="J303" i="44" s="1"/>
  <c r="T673" i="44"/>
  <c r="V673" i="44" s="1"/>
  <c r="H822" i="44"/>
  <c r="J822" i="44" s="1"/>
  <c r="H103" i="44"/>
  <c r="J103" i="44" s="1"/>
  <c r="H461" i="44"/>
  <c r="J461" i="44" s="1"/>
  <c r="H585" i="44"/>
  <c r="J585" i="44" s="1"/>
  <c r="H569" i="44"/>
  <c r="J569" i="44" s="1"/>
  <c r="H814" i="44"/>
  <c r="J814" i="44" s="1"/>
  <c r="H671" i="44"/>
  <c r="J671" i="44" s="1"/>
  <c r="T704" i="44"/>
  <c r="V704" i="44" s="1"/>
  <c r="T571" i="44"/>
  <c r="V571" i="44" s="1"/>
  <c r="T675" i="44"/>
  <c r="V675" i="44" s="1"/>
  <c r="H324" i="44"/>
  <c r="J324" i="44" s="1"/>
  <c r="H110" i="44"/>
  <c r="J110" i="44" s="1"/>
  <c r="H749" i="44"/>
  <c r="J749" i="44" s="1"/>
  <c r="T412" i="44"/>
  <c r="V412" i="44" s="1"/>
  <c r="H466" i="44"/>
  <c r="J466" i="44" s="1"/>
  <c r="H353" i="44"/>
  <c r="J353" i="44" s="1"/>
  <c r="H168" i="44"/>
  <c r="J168" i="44" s="1"/>
  <c r="H805" i="44"/>
  <c r="J805" i="44" s="1"/>
  <c r="T472" i="44"/>
  <c r="V472" i="44" s="1"/>
  <c r="H483" i="44"/>
  <c r="J483" i="44" s="1"/>
  <c r="H163" i="44"/>
  <c r="J163" i="44" s="1"/>
  <c r="H134" i="44"/>
  <c r="J134" i="44" s="1"/>
  <c r="H837" i="44"/>
  <c r="J837" i="44" s="1"/>
  <c r="H46" i="44"/>
  <c r="J46" i="44" s="1"/>
  <c r="H355" i="44"/>
  <c r="J355" i="44" s="1"/>
  <c r="T187" i="44"/>
  <c r="V187" i="44" s="1"/>
  <c r="H566" i="44"/>
  <c r="J566" i="44" s="1"/>
  <c r="T101" i="44"/>
  <c r="V101" i="44" s="1"/>
  <c r="T160" i="44"/>
  <c r="V160" i="44" s="1"/>
  <c r="H129" i="44"/>
  <c r="J129" i="44" s="1"/>
  <c r="H567" i="44"/>
  <c r="J567" i="44" s="1"/>
  <c r="H32" i="44"/>
  <c r="J32" i="44" s="1"/>
  <c r="H797" i="44"/>
  <c r="J797" i="44" s="1"/>
  <c r="H396" i="44"/>
  <c r="J396" i="44" s="1"/>
  <c r="H679" i="44"/>
  <c r="J679" i="44" s="1"/>
  <c r="H231" i="44"/>
  <c r="J231" i="44" s="1"/>
  <c r="T265" i="44"/>
  <c r="V265" i="44" s="1"/>
  <c r="T298" i="44"/>
  <c r="V298" i="44" s="1"/>
  <c r="T799" i="44"/>
  <c r="V799" i="44" s="1"/>
  <c r="H122" i="44"/>
  <c r="J122" i="44" s="1"/>
  <c r="T520" i="44"/>
  <c r="V520" i="44" s="1"/>
  <c r="H288" i="44"/>
  <c r="J288" i="44" s="1"/>
  <c r="T739" i="44"/>
  <c r="V739" i="44" s="1"/>
  <c r="T631" i="44"/>
  <c r="V631" i="44" s="1"/>
  <c r="T770" i="44"/>
  <c r="V770" i="44" s="1"/>
  <c r="H663" i="44"/>
  <c r="J663" i="44" s="1"/>
  <c r="H246" i="44"/>
  <c r="J246" i="44" s="1"/>
  <c r="T809" i="44"/>
  <c r="V809" i="44" s="1"/>
  <c r="H145" i="44"/>
  <c r="J145" i="44" s="1"/>
  <c r="T272" i="44"/>
  <c r="V272" i="44" s="1"/>
  <c r="H586" i="44"/>
  <c r="J586" i="44" s="1"/>
  <c r="H97" i="44"/>
  <c r="J97" i="44" s="1"/>
  <c r="T356" i="44"/>
  <c r="V356" i="44" s="1"/>
  <c r="T163" i="44"/>
  <c r="V163" i="44" s="1"/>
  <c r="H740" i="44"/>
  <c r="J740" i="44" s="1"/>
  <c r="T417" i="44"/>
  <c r="V417" i="44" s="1"/>
  <c r="T796" i="44"/>
  <c r="V796" i="44" s="1"/>
  <c r="T626" i="44"/>
  <c r="V626" i="44" s="1"/>
  <c r="T543" i="44"/>
  <c r="V543" i="44" s="1"/>
  <c r="H847" i="44"/>
  <c r="J847" i="44" s="1"/>
  <c r="H763" i="44"/>
  <c r="J763" i="44" s="1"/>
  <c r="H560" i="44"/>
  <c r="J560" i="44" s="1"/>
  <c r="H31" i="44"/>
  <c r="J31" i="44" s="1"/>
  <c r="T22" i="44"/>
  <c r="V22" i="44" s="1"/>
  <c r="T535" i="44"/>
  <c r="V535" i="44" s="1"/>
  <c r="T217" i="44"/>
  <c r="V217" i="44" s="1"/>
  <c r="H254" i="44"/>
  <c r="J254" i="44" s="1"/>
  <c r="T24" i="44"/>
  <c r="V24" i="44" s="1"/>
  <c r="T529" i="44"/>
  <c r="V529" i="44" s="1"/>
  <c r="H95" i="44"/>
  <c r="J95" i="44" s="1"/>
  <c r="T30" i="44"/>
  <c r="V30" i="44" s="1"/>
  <c r="T190" i="44"/>
  <c r="V190" i="44" s="1"/>
  <c r="H487" i="44"/>
  <c r="J487" i="44" s="1"/>
  <c r="H584" i="44"/>
  <c r="J584" i="44" s="1"/>
  <c r="T804" i="44"/>
  <c r="V804" i="44" s="1"/>
  <c r="T538" i="44"/>
  <c r="V538" i="44" s="1"/>
  <c r="H844" i="44"/>
  <c r="J844" i="44" s="1"/>
  <c r="T622" i="44"/>
  <c r="V622" i="44" s="1"/>
  <c r="T255" i="44"/>
  <c r="V255" i="44" s="1"/>
  <c r="T358" i="44"/>
  <c r="V358" i="44" s="1"/>
  <c r="T384" i="44"/>
  <c r="V384" i="44" s="1"/>
  <c r="H700" i="44"/>
  <c r="J700" i="44" s="1"/>
  <c r="T258" i="44"/>
  <c r="V258" i="44" s="1"/>
  <c r="T362" i="44"/>
  <c r="V362" i="44" s="1"/>
  <c r="T54" i="44"/>
  <c r="V54" i="44" s="1"/>
  <c r="H203" i="44"/>
  <c r="J203" i="44" s="1"/>
  <c r="T773" i="44"/>
  <c r="V773" i="44" s="1"/>
  <c r="T227" i="44"/>
  <c r="V227" i="44" s="1"/>
  <c r="H258" i="44"/>
  <c r="J258" i="44" s="1"/>
  <c r="H662" i="44"/>
  <c r="J662" i="44" s="1"/>
  <c r="H784" i="44"/>
  <c r="J784" i="44" s="1"/>
  <c r="T326" i="44"/>
  <c r="V326" i="44" s="1"/>
  <c r="H591" i="44"/>
  <c r="J591" i="44" s="1"/>
  <c r="T434" i="44"/>
  <c r="V434" i="44" s="1"/>
  <c r="H651" i="44"/>
  <c r="J651" i="44" s="1"/>
  <c r="T166" i="44"/>
  <c r="V166" i="44" s="1"/>
  <c r="T341" i="44"/>
  <c r="V341" i="44" s="1"/>
  <c r="T52" i="44"/>
  <c r="V52" i="44" s="1"/>
  <c r="T816" i="44"/>
  <c r="V816" i="44" s="1"/>
  <c r="H549" i="44"/>
  <c r="J549" i="44" s="1"/>
  <c r="H78" i="44"/>
  <c r="J78" i="44" s="1"/>
  <c r="T825" i="44"/>
  <c r="V825" i="44" s="1"/>
  <c r="T197" i="44"/>
  <c r="V197" i="44" s="1"/>
  <c r="H194" i="44"/>
  <c r="J194" i="44" s="1"/>
  <c r="H583" i="44"/>
  <c r="J583" i="44" s="1"/>
  <c r="H260" i="44"/>
  <c r="J260" i="44" s="1"/>
  <c r="T746" i="44"/>
  <c r="V746" i="44" s="1"/>
  <c r="H35" i="44"/>
  <c r="J35" i="44" s="1"/>
  <c r="T222" i="44"/>
  <c r="V222" i="44" s="1"/>
  <c r="H474" i="44"/>
  <c r="J474" i="44" s="1"/>
  <c r="H527" i="44"/>
  <c r="J527" i="44" s="1"/>
  <c r="H733" i="44"/>
  <c r="J733" i="44" s="1"/>
  <c r="H470" i="44"/>
  <c r="J470" i="44" s="1"/>
  <c r="H84" i="44"/>
  <c r="J84" i="44" s="1"/>
  <c r="H119" i="44"/>
  <c r="J119" i="44" s="1"/>
  <c r="T530" i="44"/>
  <c r="V530" i="44" s="1"/>
  <c r="T212" i="44"/>
  <c r="V212" i="44" s="1"/>
  <c r="T40" i="44"/>
  <c r="V40" i="44" s="1"/>
  <c r="H115" i="44"/>
  <c r="J115" i="44" s="1"/>
  <c r="T282" i="44"/>
  <c r="V282" i="44" s="1"/>
  <c r="T183" i="44"/>
  <c r="V183" i="44" s="1"/>
  <c r="T868" i="44"/>
  <c r="V868" i="44" s="1"/>
  <c r="T367" i="44"/>
  <c r="V367" i="44" s="1"/>
  <c r="H345" i="44"/>
  <c r="J345" i="44" s="1"/>
  <c r="H127" i="44"/>
  <c r="J127" i="44" s="1"/>
  <c r="T493" i="44"/>
  <c r="V493" i="44" s="1"/>
  <c r="H469" i="44"/>
  <c r="J469" i="44" s="1"/>
  <c r="T867" i="44"/>
  <c r="V867" i="44" s="1"/>
  <c r="H428" i="44"/>
  <c r="J428" i="44" s="1"/>
  <c r="T459" i="44"/>
  <c r="V459" i="44" s="1"/>
  <c r="H200" i="44"/>
  <c r="J200" i="44" s="1"/>
  <c r="H802" i="44"/>
  <c r="J802" i="44" s="1"/>
  <c r="T137" i="44"/>
  <c r="V137" i="44" s="1"/>
  <c r="T273" i="44"/>
  <c r="V273" i="44" s="1"/>
  <c r="H709" i="44"/>
  <c r="J709" i="44" s="1"/>
  <c r="T62" i="44"/>
  <c r="V62" i="44" s="1"/>
  <c r="T403" i="44"/>
  <c r="V403" i="44" s="1"/>
  <c r="H496" i="44"/>
  <c r="J496" i="44" s="1"/>
  <c r="H210" i="44"/>
  <c r="J210" i="44" s="1"/>
  <c r="H342" i="44"/>
  <c r="J342" i="44" s="1"/>
  <c r="H442" i="44"/>
  <c r="J442" i="44" s="1"/>
  <c r="T864" i="44"/>
  <c r="V864" i="44" s="1"/>
  <c r="T663" i="44"/>
  <c r="V663" i="44" s="1"/>
  <c r="T605" i="44"/>
  <c r="V605" i="44" s="1"/>
  <c r="T226" i="44"/>
  <c r="V226" i="44" s="1"/>
  <c r="T337" i="44"/>
  <c r="V337" i="44" s="1"/>
  <c r="H423" i="44"/>
  <c r="J423" i="44" s="1"/>
  <c r="H376" i="44"/>
  <c r="J376" i="44" s="1"/>
  <c r="T499" i="44"/>
  <c r="V499" i="44" s="1"/>
  <c r="T173" i="44"/>
  <c r="V173" i="44" s="1"/>
  <c r="T475" i="44"/>
  <c r="V475" i="44" s="1"/>
  <c r="H739" i="44"/>
  <c r="J739" i="44" s="1"/>
  <c r="T619" i="44"/>
  <c r="V619" i="44" s="1"/>
  <c r="T862" i="44"/>
  <c r="V862" i="44" s="1"/>
  <c r="T41" i="44"/>
  <c r="V41" i="44" s="1"/>
  <c r="H647" i="44"/>
  <c r="J647" i="44" s="1"/>
  <c r="H812" i="44"/>
  <c r="J812" i="44" s="1"/>
  <c r="H26" i="44"/>
  <c r="J26" i="44" s="1"/>
  <c r="T542" i="44"/>
  <c r="V542" i="44" s="1"/>
  <c r="H523" i="44"/>
  <c r="J523" i="44" s="1"/>
  <c r="H501" i="44"/>
  <c r="J501" i="44" s="1"/>
  <c r="H230" i="44"/>
  <c r="J230" i="44" s="1"/>
  <c r="T257" i="44"/>
  <c r="V257" i="44" s="1"/>
  <c r="T800" i="44"/>
  <c r="V800" i="44" s="1"/>
  <c r="T115" i="44"/>
  <c r="V115" i="44" s="1"/>
  <c r="T734" i="44"/>
  <c r="V734" i="44" s="1"/>
  <c r="H100" i="44"/>
  <c r="J100" i="44" s="1"/>
  <c r="H785" i="44"/>
  <c r="J785" i="44" s="1"/>
  <c r="H333" i="44"/>
  <c r="J333" i="44" s="1"/>
  <c r="T768" i="44"/>
  <c r="V768" i="44" s="1"/>
  <c r="H677" i="44"/>
  <c r="J677" i="44" s="1"/>
  <c r="T477" i="44"/>
  <c r="V477" i="44" s="1"/>
  <c r="T779" i="44"/>
  <c r="V779" i="44" s="1"/>
  <c r="H518" i="44"/>
  <c r="J518" i="44" s="1"/>
  <c r="H449" i="44"/>
  <c r="J449" i="44" s="1"/>
  <c r="H691" i="44"/>
  <c r="J691" i="44" s="1"/>
  <c r="H135" i="44"/>
  <c r="J135" i="44" s="1"/>
  <c r="T369" i="44"/>
  <c r="V369" i="44" s="1"/>
  <c r="H291" i="44"/>
  <c r="J291" i="44" s="1"/>
  <c r="H779" i="44"/>
  <c r="J779" i="44" s="1"/>
  <c r="T592" i="44"/>
  <c r="V592" i="44" s="1"/>
  <c r="H267" i="44"/>
  <c r="J267" i="44" s="1"/>
  <c r="H183" i="44"/>
  <c r="J183" i="44" s="1"/>
  <c r="H727" i="44"/>
  <c r="J727" i="44" s="1"/>
  <c r="T56" i="44"/>
  <c r="V56" i="44" s="1"/>
  <c r="H766" i="44"/>
  <c r="J766" i="44" s="1"/>
  <c r="H257" i="44"/>
  <c r="J257" i="44" s="1"/>
  <c r="H107" i="44"/>
  <c r="J107" i="44" s="1"/>
  <c r="T442" i="44"/>
  <c r="V442" i="44" s="1"/>
  <c r="H861" i="44"/>
  <c r="J861" i="44" s="1"/>
  <c r="H578" i="44"/>
  <c r="J578" i="44" s="1"/>
  <c r="T854" i="44"/>
  <c r="V854" i="44" s="1"/>
  <c r="H593" i="44"/>
  <c r="J593" i="44" s="1"/>
  <c r="H594" i="44"/>
  <c r="J594" i="44" s="1"/>
  <c r="T307" i="44"/>
  <c r="V307" i="44" s="1"/>
  <c r="T158" i="44"/>
  <c r="V158" i="44" s="1"/>
  <c r="T559" i="44"/>
  <c r="V559" i="44" s="1"/>
  <c r="H818" i="44"/>
  <c r="J818" i="44" s="1"/>
  <c r="H335" i="44"/>
  <c r="J335" i="44" s="1"/>
  <c r="H375" i="44"/>
  <c r="J375" i="44" s="1"/>
  <c r="H380" i="44"/>
  <c r="J380" i="44" s="1"/>
  <c r="T694" i="44"/>
  <c r="V694" i="44" s="1"/>
  <c r="H445" i="44"/>
  <c r="J445" i="44" s="1"/>
  <c r="T557" i="44"/>
  <c r="V557" i="44" s="1"/>
  <c r="T661" i="44"/>
  <c r="V661" i="44" s="1"/>
  <c r="H358" i="44"/>
  <c r="J358" i="44" s="1"/>
  <c r="T674" i="44"/>
  <c r="V674" i="44" s="1"/>
  <c r="H529" i="44"/>
  <c r="J529" i="44" s="1"/>
  <c r="T133" i="44"/>
  <c r="V133" i="44" s="1"/>
  <c r="H444" i="44"/>
  <c r="J444" i="44" s="1"/>
  <c r="H357" i="44"/>
  <c r="J357" i="44" s="1"/>
  <c r="T181" i="44"/>
  <c r="V181" i="44" s="1"/>
  <c r="H328" i="44"/>
  <c r="J328" i="44" s="1"/>
  <c r="T276" i="44"/>
  <c r="V276" i="44" s="1"/>
  <c r="T136" i="44"/>
  <c r="V136" i="44" s="1"/>
  <c r="H825" i="44"/>
  <c r="J825" i="44" s="1"/>
  <c r="T539" i="44"/>
  <c r="V539" i="44" s="1"/>
  <c r="T501" i="44"/>
  <c r="V501" i="44" s="1"/>
  <c r="H162" i="44"/>
  <c r="J162" i="44" s="1"/>
  <c r="T552" i="44"/>
  <c r="V552" i="44" s="1"/>
  <c r="T411" i="44"/>
  <c r="V411" i="44" s="1"/>
  <c r="H172" i="44"/>
  <c r="J172" i="44" s="1"/>
  <c r="H599" i="44"/>
  <c r="J599" i="44" s="1"/>
  <c r="H568" i="44"/>
  <c r="J568" i="44" s="1"/>
  <c r="H857" i="44"/>
  <c r="J857" i="44" s="1"/>
  <c r="T373" i="44"/>
  <c r="V373" i="44" s="1"/>
  <c r="H681" i="44"/>
  <c r="J681" i="44" s="1"/>
  <c r="H626" i="44"/>
  <c r="J626" i="44" s="1"/>
  <c r="T698" i="44"/>
  <c r="V698" i="44" s="1"/>
  <c r="T303" i="44"/>
  <c r="V303" i="44" s="1"/>
  <c r="T852" i="44"/>
  <c r="V852" i="44" s="1"/>
  <c r="H173" i="44"/>
  <c r="J173" i="44" s="1"/>
  <c r="T579" i="44"/>
  <c r="V579" i="44" s="1"/>
  <c r="H146" i="44"/>
  <c r="J146" i="44" s="1"/>
  <c r="T801" i="44"/>
  <c r="V801" i="44" s="1"/>
  <c r="H554" i="44"/>
  <c r="J554" i="44" s="1"/>
  <c r="H753" i="44"/>
  <c r="J753" i="44" s="1"/>
  <c r="T641" i="44"/>
  <c r="V641" i="44" s="1"/>
  <c r="H206" i="44"/>
  <c r="J206" i="44" s="1"/>
  <c r="T508" i="44"/>
  <c r="V508" i="44" s="1"/>
  <c r="T416" i="44"/>
  <c r="V416" i="44" s="1"/>
  <c r="T452" i="44"/>
  <c r="V452" i="44" s="1"/>
  <c r="H28" i="44"/>
  <c r="J28" i="44" s="1"/>
  <c r="H178" i="44"/>
  <c r="J178" i="44" s="1"/>
  <c r="T747" i="44"/>
  <c r="V747" i="44" s="1"/>
  <c r="T194" i="44"/>
  <c r="V194" i="44" s="1"/>
  <c r="T426" i="44"/>
  <c r="V426" i="44" s="1"/>
  <c r="H215" i="44"/>
  <c r="J215" i="44" s="1"/>
  <c r="T637" i="44"/>
  <c r="V637" i="44" s="1"/>
  <c r="T209" i="44"/>
  <c r="V209" i="44" s="1"/>
  <c r="H611" i="44"/>
  <c r="J611" i="44" s="1"/>
  <c r="H780" i="44"/>
  <c r="J780" i="44" s="1"/>
  <c r="T617" i="44"/>
  <c r="V617" i="44" s="1"/>
  <c r="T478" i="44"/>
  <c r="V478" i="44" s="1"/>
  <c r="T585" i="44"/>
  <c r="V585" i="44" s="1"/>
  <c r="T524" i="44"/>
  <c r="V524" i="44" s="1"/>
  <c r="H24" i="44"/>
  <c r="J24" i="44" s="1"/>
  <c r="T664" i="44"/>
  <c r="V664" i="44" s="1"/>
  <c r="T251" i="44"/>
  <c r="V251" i="44" s="1"/>
  <c r="T713" i="44"/>
  <c r="V713" i="44" s="1"/>
  <c r="T474" i="44"/>
  <c r="V474" i="44" s="1"/>
  <c r="T749" i="44"/>
  <c r="V749" i="44" s="1"/>
  <c r="H536" i="44"/>
  <c r="J536" i="44" s="1"/>
  <c r="H761" i="44"/>
  <c r="J761" i="44" s="1"/>
  <c r="T305" i="44"/>
  <c r="V305" i="44" s="1"/>
  <c r="T604" i="44"/>
  <c r="V604" i="44" s="1"/>
  <c r="H665" i="44"/>
  <c r="J665" i="44" s="1"/>
  <c r="T422" i="44"/>
  <c r="V422" i="44" s="1"/>
  <c r="T697" i="44"/>
  <c r="V697" i="44" s="1"/>
  <c r="T485" i="44"/>
  <c r="V485" i="44" s="1"/>
  <c r="H61" i="44"/>
  <c r="J61" i="44" s="1"/>
  <c r="T782" i="44"/>
  <c r="V782" i="44" s="1"/>
  <c r="T329" i="44"/>
  <c r="V329" i="44" s="1"/>
  <c r="H409" i="44"/>
  <c r="J409" i="44" s="1"/>
  <c r="H639" i="44"/>
  <c r="J639" i="44" s="1"/>
  <c r="H159" i="44"/>
  <c r="J159" i="44" s="1"/>
  <c r="H378" i="44"/>
  <c r="J378" i="44" s="1"/>
  <c r="H294" i="44"/>
  <c r="J294" i="44" s="1"/>
  <c r="T820" i="44"/>
  <c r="V820" i="44" s="1"/>
  <c r="H454" i="44"/>
  <c r="J454" i="44" s="1"/>
  <c r="T58" i="44"/>
  <c r="V58" i="44" s="1"/>
  <c r="T236" i="44"/>
  <c r="V236" i="44" s="1"/>
  <c r="H782" i="44"/>
  <c r="J782" i="44" s="1"/>
  <c r="T277" i="44"/>
  <c r="V277" i="44" s="1"/>
  <c r="H171" i="44"/>
  <c r="J171" i="44" s="1"/>
  <c r="H278" i="44"/>
  <c r="J278" i="44" s="1"/>
  <c r="H89" i="44"/>
  <c r="J89" i="44" s="1"/>
  <c r="H622" i="44"/>
  <c r="J622" i="44" s="1"/>
  <c r="H767" i="44"/>
  <c r="J767" i="44" s="1"/>
  <c r="T104" i="44"/>
  <c r="V104" i="44" s="1"/>
  <c r="H233" i="44"/>
  <c r="J233" i="44" s="1"/>
  <c r="T216" i="44"/>
  <c r="V216" i="44" s="1"/>
  <c r="H723" i="44"/>
  <c r="J723" i="44" s="1"/>
  <c r="T759" i="44"/>
  <c r="V759" i="44" s="1"/>
  <c r="T550" i="44"/>
  <c r="V550" i="44" s="1"/>
  <c r="T438" i="44"/>
  <c r="V438" i="44" s="1"/>
  <c r="H142" i="44"/>
  <c r="J142" i="44" s="1"/>
  <c r="H596" i="44"/>
  <c r="J596" i="44" s="1"/>
  <c r="T365" i="44"/>
  <c r="V365" i="44" s="1"/>
  <c r="H559" i="44"/>
  <c r="J559" i="44" s="1"/>
  <c r="T360" i="44"/>
  <c r="V360" i="44" s="1"/>
  <c r="T263" i="44"/>
  <c r="V263" i="44" s="1"/>
  <c r="H480" i="44"/>
  <c r="J480" i="44" s="1"/>
  <c r="H224" i="44"/>
  <c r="J224" i="44" s="1"/>
  <c r="H495" i="44"/>
  <c r="J495" i="44" s="1"/>
  <c r="T700" i="44"/>
  <c r="V700" i="44" s="1"/>
  <c r="H361" i="44"/>
  <c r="J361" i="44" s="1"/>
  <c r="T79" i="44"/>
  <c r="V79" i="44" s="1"/>
  <c r="H240" i="44"/>
  <c r="J240" i="44" s="1"/>
  <c r="T764" i="44"/>
  <c r="V764" i="44" s="1"/>
  <c r="T164" i="44"/>
  <c r="V164" i="44" s="1"/>
  <c r="H747" i="44"/>
  <c r="J747" i="44" s="1"/>
  <c r="T716" i="44"/>
  <c r="V716" i="44" s="1"/>
  <c r="H535" i="44"/>
  <c r="J535" i="44" s="1"/>
  <c r="T407" i="44"/>
  <c r="V407" i="44" s="1"/>
  <c r="H858" i="44"/>
  <c r="J858" i="44" s="1"/>
  <c r="H719" i="44"/>
  <c r="J719" i="44" s="1"/>
  <c r="T69" i="44"/>
  <c r="V69" i="44" s="1"/>
  <c r="H39" i="44"/>
  <c r="J39" i="44" s="1"/>
  <c r="T259" i="44"/>
  <c r="V259" i="44" s="1"/>
  <c r="H577" i="44"/>
  <c r="J577" i="44" s="1"/>
  <c r="T347" i="44"/>
  <c r="V347" i="44" s="1"/>
  <c r="T721" i="44"/>
  <c r="V721" i="44" s="1"/>
  <c r="H503" i="44"/>
  <c r="J503" i="44" s="1"/>
  <c r="H540" i="44"/>
  <c r="J540" i="44" s="1"/>
  <c r="H414" i="44"/>
  <c r="J414" i="44" s="1"/>
  <c r="H479" i="44"/>
  <c r="J479" i="44" s="1"/>
  <c r="T627" i="44"/>
  <c r="V627" i="44" s="1"/>
  <c r="H839" i="44"/>
  <c r="J839" i="44" s="1"/>
  <c r="H341" i="44"/>
  <c r="J341" i="44" s="1"/>
  <c r="T35" i="44"/>
  <c r="V35" i="44" s="1"/>
  <c r="H52" i="44"/>
  <c r="J52" i="44" s="1"/>
  <c r="H279" i="44"/>
  <c r="J279" i="44" s="1"/>
  <c r="T193" i="44"/>
  <c r="V193" i="44" s="1"/>
  <c r="T444" i="44"/>
  <c r="V444" i="44" s="1"/>
  <c r="H636" i="44"/>
  <c r="J636" i="44" s="1"/>
  <c r="H672" i="44"/>
  <c r="J672" i="44" s="1"/>
  <c r="H41" i="44"/>
  <c r="J41" i="44" s="1"/>
  <c r="H367" i="44"/>
  <c r="J367" i="44" s="1"/>
  <c r="H465" i="44"/>
  <c r="J465" i="44" s="1"/>
  <c r="T545" i="44"/>
  <c r="V545" i="44" s="1"/>
  <c r="H773" i="44"/>
  <c r="J773" i="44" s="1"/>
  <c r="T513" i="44"/>
  <c r="V513" i="44" s="1"/>
  <c r="H102" i="44"/>
  <c r="J102" i="44" s="1"/>
  <c r="H491" i="44"/>
  <c r="J491" i="44" s="1"/>
  <c r="H118" i="44"/>
  <c r="J118" i="44" s="1"/>
  <c r="H177" i="44"/>
  <c r="J177" i="44" s="1"/>
  <c r="H245" i="44"/>
  <c r="J245" i="44" s="1"/>
  <c r="H296" i="44"/>
  <c r="J296" i="44" s="1"/>
  <c r="H198" i="44"/>
  <c r="J198" i="44" s="1"/>
  <c r="T103" i="44"/>
  <c r="V103" i="44" s="1"/>
  <c r="H306" i="44"/>
  <c r="J306" i="44" s="1"/>
  <c r="T593" i="44"/>
  <c r="V593" i="44" s="1"/>
  <c r="H27" i="44"/>
  <c r="J27" i="44" s="1"/>
  <c r="T378" i="44"/>
  <c r="V378" i="44" s="1"/>
  <c r="T781" i="44"/>
  <c r="V781" i="44" s="1"/>
  <c r="H282" i="44"/>
  <c r="J282" i="44" s="1"/>
  <c r="T616" i="44"/>
  <c r="V616" i="44" s="1"/>
  <c r="T201" i="44"/>
  <c r="V201" i="44" s="1"/>
  <c r="T200" i="44"/>
  <c r="V200" i="44" s="1"/>
  <c r="T840" i="44"/>
  <c r="V840" i="44" s="1"/>
  <c r="H315" i="44"/>
  <c r="J315" i="44" s="1"/>
  <c r="T582" i="44"/>
  <c r="V582" i="44" s="1"/>
  <c r="T666" i="44"/>
  <c r="V666" i="44" s="1"/>
  <c r="H517" i="44"/>
  <c r="J517" i="44" s="1"/>
  <c r="H629" i="44"/>
  <c r="J629" i="44" s="1"/>
  <c r="T771" i="44"/>
  <c r="V771" i="44" s="1"/>
  <c r="H298" i="44"/>
  <c r="J298" i="44" s="1"/>
  <c r="T364" i="44"/>
  <c r="V364" i="44" s="1"/>
  <c r="H438" i="44"/>
  <c r="J438" i="44" s="1"/>
  <c r="H272" i="44"/>
  <c r="J272" i="44" s="1"/>
  <c r="T793" i="44"/>
  <c r="V793" i="44" s="1"/>
  <c r="T676" i="44"/>
  <c r="V676" i="44" s="1"/>
  <c r="H473" i="44"/>
  <c r="J473" i="44" s="1"/>
  <c r="T835" i="44"/>
  <c r="V835" i="44" s="1"/>
  <c r="H160" i="44"/>
  <c r="J160" i="44" s="1"/>
  <c r="T634" i="44"/>
  <c r="V634" i="44" s="1"/>
  <c r="T286" i="44"/>
  <c r="V286" i="44" s="1"/>
  <c r="H165" i="44"/>
  <c r="J165" i="44" s="1"/>
  <c r="H432" i="44"/>
  <c r="J432" i="44" s="1"/>
  <c r="H458" i="44"/>
  <c r="J458" i="44" s="1"/>
  <c r="H492" i="44"/>
  <c r="J492" i="44" s="1"/>
  <c r="T389" i="44"/>
  <c r="V389" i="44" s="1"/>
  <c r="T600" i="44"/>
  <c r="V600" i="44" s="1"/>
  <c r="H403" i="44"/>
  <c r="J403" i="44" s="1"/>
  <c r="T846" i="44"/>
  <c r="V846" i="44" s="1"/>
  <c r="T431" i="44"/>
  <c r="V431" i="44" s="1"/>
  <c r="H826" i="44"/>
  <c r="J826" i="44" s="1"/>
  <c r="H337" i="44"/>
  <c r="J337" i="44" s="1"/>
  <c r="T102" i="44"/>
  <c r="V102" i="44" s="1"/>
  <c r="H268" i="44"/>
  <c r="J268" i="44" s="1"/>
  <c r="H452" i="44"/>
  <c r="J452" i="44" s="1"/>
  <c r="T275" i="44"/>
  <c r="V275" i="44" s="1"/>
  <c r="H789" i="44"/>
  <c r="J789" i="44" s="1"/>
  <c r="H555" i="44"/>
  <c r="J555" i="44" s="1"/>
  <c r="H330" i="44"/>
  <c r="J330" i="44" s="1"/>
  <c r="H185" i="44"/>
  <c r="J185" i="44" s="1"/>
  <c r="T392" i="44"/>
  <c r="V392" i="44" s="1"/>
  <c r="H547" i="44"/>
  <c r="J547" i="44" s="1"/>
  <c r="T372" i="44"/>
  <c r="V372" i="44" s="1"/>
  <c r="T240" i="44"/>
  <c r="V240" i="44" s="1"/>
  <c r="T323" i="44"/>
  <c r="V323" i="44" s="1"/>
  <c r="T785" i="44"/>
  <c r="V785" i="44" s="1"/>
  <c r="T300" i="44"/>
  <c r="V300" i="44" s="1"/>
  <c r="T55" i="44"/>
  <c r="V55" i="44" s="1"/>
  <c r="T758" i="44"/>
  <c r="V758" i="44" s="1"/>
  <c r="H180" i="44"/>
  <c r="J180" i="44" s="1"/>
  <c r="T37" i="44"/>
  <c r="V37" i="44" s="1"/>
  <c r="H575" i="44"/>
  <c r="J575" i="44" s="1"/>
  <c r="H633" i="44"/>
  <c r="J633" i="44" s="1"/>
  <c r="H462" i="44"/>
  <c r="J462" i="44" s="1"/>
  <c r="H871" i="44"/>
  <c r="J871" i="44" s="1"/>
  <c r="H760" i="44"/>
  <c r="J760" i="44" s="1"/>
  <c r="H68" i="44"/>
  <c r="J68" i="44" s="1"/>
  <c r="H325" i="44"/>
  <c r="J325" i="44" s="1"/>
  <c r="H301" i="44"/>
  <c r="J301" i="44" s="1"/>
  <c r="H187" i="44"/>
  <c r="J187" i="44" s="1"/>
  <c r="T191" i="44"/>
  <c r="V191" i="44" s="1"/>
  <c r="H366" i="44"/>
  <c r="J366" i="44" s="1"/>
  <c r="T827" i="44"/>
  <c r="V827" i="44" s="1"/>
  <c r="T599" i="44"/>
  <c r="V599" i="44" s="1"/>
  <c r="T382" i="44"/>
  <c r="V382" i="44" s="1"/>
  <c r="H232" i="44"/>
  <c r="J232" i="44" s="1"/>
  <c r="T766" i="44"/>
  <c r="V766" i="44" s="1"/>
  <c r="T397" i="44"/>
  <c r="V397" i="44" s="1"/>
  <c r="T28" i="44"/>
  <c r="V28" i="44" s="1"/>
  <c r="H237" i="44"/>
  <c r="J237" i="44" s="1"/>
  <c r="T831" i="44"/>
  <c r="V831" i="44" s="1"/>
  <c r="H25" i="44"/>
  <c r="J25" i="44" s="1"/>
  <c r="T762" i="44"/>
  <c r="V762" i="44" s="1"/>
  <c r="T312" i="44"/>
  <c r="V312" i="44" s="1"/>
  <c r="T828" i="44"/>
  <c r="V828" i="44" s="1"/>
  <c r="T66" i="44"/>
  <c r="V66" i="44" s="1"/>
  <c r="H166" i="44"/>
  <c r="J166" i="44" s="1"/>
  <c r="H150" i="44"/>
  <c r="J150" i="44" s="1"/>
  <c r="T736" i="44"/>
  <c r="V736" i="44" s="1"/>
  <c r="T522" i="44"/>
  <c r="V522" i="44" s="1"/>
  <c r="T266" i="44"/>
  <c r="V266" i="44" s="1"/>
  <c r="H590" i="44"/>
  <c r="J590" i="44" s="1"/>
  <c r="H344" i="44"/>
  <c r="J344" i="44" s="1"/>
  <c r="T295" i="44"/>
  <c r="V295" i="44" s="1"/>
  <c r="T180" i="44"/>
  <c r="V180" i="44" s="1"/>
  <c r="H264" i="44"/>
  <c r="J264" i="44" s="1"/>
  <c r="H77" i="44"/>
  <c r="J77" i="44" s="1"/>
  <c r="H581" i="44"/>
  <c r="J581" i="44" s="1"/>
  <c r="H379" i="44"/>
  <c r="J379" i="44" s="1"/>
  <c r="T185" i="44"/>
  <c r="V185" i="44" s="1"/>
  <c r="T815" i="44"/>
  <c r="V815" i="44" s="1"/>
  <c r="H439" i="44"/>
  <c r="J439" i="44" s="1"/>
  <c r="T234" i="44"/>
  <c r="V234" i="44" s="1"/>
  <c r="T566" i="44"/>
  <c r="V566" i="44" s="1"/>
  <c r="H383" i="44"/>
  <c r="J383" i="44" s="1"/>
  <c r="H612" i="44"/>
  <c r="J612" i="44" s="1"/>
  <c r="H156" i="44"/>
  <c r="J156" i="44" s="1"/>
  <c r="H113" i="44"/>
  <c r="J113" i="44" s="1"/>
  <c r="H410" i="44"/>
  <c r="J410" i="44" s="1"/>
  <c r="T662" i="44"/>
  <c r="V662" i="44" s="1"/>
  <c r="H138" i="44"/>
  <c r="J138" i="44" s="1"/>
  <c r="T765" i="44"/>
  <c r="V765" i="44" s="1"/>
  <c r="T458" i="44"/>
  <c r="V458" i="44" s="1"/>
  <c r="H778" i="44"/>
  <c r="J778" i="44" s="1"/>
  <c r="T330" i="44"/>
  <c r="V330" i="44" s="1"/>
  <c r="H295" i="44"/>
  <c r="J295" i="44" s="1"/>
  <c r="T67" i="44"/>
  <c r="V67" i="44" s="1"/>
  <c r="T338" i="44"/>
  <c r="V338" i="44" s="1"/>
  <c r="T380" i="44"/>
  <c r="V380" i="44" s="1"/>
  <c r="T791" i="44"/>
  <c r="V791" i="44" s="1"/>
  <c r="T252" i="44"/>
  <c r="V252" i="44" s="1"/>
  <c r="H673" i="44"/>
  <c r="J673" i="44" s="1"/>
  <c r="T732" i="44"/>
  <c r="V732" i="44" s="1"/>
  <c r="H348" i="44"/>
  <c r="J348" i="44" s="1"/>
  <c r="I60" i="66"/>
  <c r="K60" i="66"/>
  <c r="V60" i="66" s="1"/>
  <c r="Y62" i="66"/>
  <c r="Z62" i="66" s="1"/>
  <c r="AB62" i="66"/>
  <c r="S61" i="66"/>
  <c r="F62" i="66"/>
  <c r="G62" i="66"/>
  <c r="E63" i="66"/>
  <c r="H61" i="66"/>
  <c r="D63" i="66"/>
  <c r="P62" i="66"/>
  <c r="AH84" i="56"/>
  <c r="AI98" i="56"/>
  <c r="AI114" i="56" s="1"/>
  <c r="AG106" i="56"/>
  <c r="AF92" i="56"/>
  <c r="AG100" i="56"/>
  <c r="AF86" i="56"/>
  <c r="AF88" i="56"/>
  <c r="AG102" i="56"/>
  <c r="AG107" i="56"/>
  <c r="AF93" i="56"/>
  <c r="AG101" i="56"/>
  <c r="AF87" i="56"/>
  <c r="AG104" i="56"/>
  <c r="AF90" i="56"/>
  <c r="AG99" i="56"/>
  <c r="AG116" i="56" s="1"/>
  <c r="AF85" i="56"/>
  <c r="AF89" i="56"/>
  <c r="AG103" i="56"/>
  <c r="AF91" i="56"/>
  <c r="AG105" i="56"/>
  <c r="M58" i="39"/>
  <c r="P57" i="39"/>
  <c r="AA56" i="39"/>
  <c r="X57" i="39"/>
  <c r="C56" i="39"/>
  <c r="F55" i="39"/>
  <c r="Y63" i="66" l="1"/>
  <c r="Z63" i="66" s="1"/>
  <c r="AB63" i="66"/>
  <c r="S62" i="66"/>
  <c r="K61" i="66"/>
  <c r="V61" i="66" s="1"/>
  <c r="N61" i="66"/>
  <c r="W61" i="66" s="1"/>
  <c r="I61" i="66"/>
  <c r="G63" i="66"/>
  <c r="F63" i="66"/>
  <c r="E64" i="66"/>
  <c r="H62" i="66"/>
  <c r="D64" i="66"/>
  <c r="P63" i="66"/>
  <c r="AH98" i="56"/>
  <c r="AH114" i="56" s="1"/>
  <c r="AG84" i="56"/>
  <c r="AE85" i="56"/>
  <c r="AF99" i="56"/>
  <c r="AF116" i="56" s="1"/>
  <c r="AF101" i="56"/>
  <c r="AE87" i="56"/>
  <c r="AF100" i="56"/>
  <c r="AE86" i="56"/>
  <c r="AF105" i="56"/>
  <c r="AE91" i="56"/>
  <c r="AE88" i="56"/>
  <c r="AF102" i="56"/>
  <c r="AE90" i="56"/>
  <c r="AF104" i="56"/>
  <c r="AF107" i="56"/>
  <c r="AE93" i="56"/>
  <c r="AE92" i="56"/>
  <c r="AF106" i="56"/>
  <c r="AE89" i="56"/>
  <c r="AF103" i="56"/>
  <c r="M59" i="39"/>
  <c r="P58" i="39"/>
  <c r="X58" i="39"/>
  <c r="AA57" i="39"/>
  <c r="F56" i="39"/>
  <c r="C57" i="39"/>
  <c r="Y64" i="66" l="1"/>
  <c r="Z64" i="66" s="1"/>
  <c r="AB64" i="66"/>
  <c r="H63" i="66"/>
  <c r="I63" i="66" s="1"/>
  <c r="F64" i="66"/>
  <c r="G64" i="66"/>
  <c r="E65" i="66"/>
  <c r="S63" i="66"/>
  <c r="N62" i="66"/>
  <c r="W62" i="66" s="1"/>
  <c r="K62" i="66"/>
  <c r="V62" i="66" s="1"/>
  <c r="I62" i="66"/>
  <c r="D65" i="66"/>
  <c r="P64" i="66"/>
  <c r="AG98" i="56"/>
  <c r="AG114" i="56" s="1"/>
  <c r="AF84" i="56"/>
  <c r="AE106" i="56"/>
  <c r="AD92" i="56"/>
  <c r="AE104" i="56"/>
  <c r="AD90" i="56"/>
  <c r="AD91" i="56"/>
  <c r="AE105" i="56"/>
  <c r="AE101" i="56"/>
  <c r="AD87" i="56"/>
  <c r="AE107" i="56"/>
  <c r="AD93" i="56"/>
  <c r="AE100" i="56"/>
  <c r="AD86" i="56"/>
  <c r="AE103" i="56"/>
  <c r="AD89" i="56"/>
  <c r="AD88" i="56"/>
  <c r="AE102" i="56"/>
  <c r="AD85" i="56"/>
  <c r="AE99" i="56"/>
  <c r="AE116" i="56" s="1"/>
  <c r="M60" i="39"/>
  <c r="P59" i="39"/>
  <c r="AA58" i="39"/>
  <c r="X59" i="39"/>
  <c r="F57" i="39"/>
  <c r="C58" i="39"/>
  <c r="K63" i="66" l="1"/>
  <c r="V63" i="66" s="1"/>
  <c r="N63" i="66"/>
  <c r="W63" i="66" s="1"/>
  <c r="Y65" i="66"/>
  <c r="Z65" i="66" s="1"/>
  <c r="AB65" i="66"/>
  <c r="G65" i="66"/>
  <c r="F65" i="66"/>
  <c r="E66" i="66"/>
  <c r="S64" i="66"/>
  <c r="H64" i="66"/>
  <c r="D66" i="66"/>
  <c r="P65" i="66"/>
  <c r="AF98" i="56"/>
  <c r="AF114" i="56" s="1"/>
  <c r="AE84" i="56"/>
  <c r="AC89" i="56"/>
  <c r="AD103" i="56"/>
  <c r="AD107" i="56"/>
  <c r="AC93" i="56"/>
  <c r="AD104" i="56"/>
  <c r="AC90" i="56"/>
  <c r="AC85" i="56"/>
  <c r="AD99" i="56"/>
  <c r="AD116" i="56" s="1"/>
  <c r="AC91" i="56"/>
  <c r="AD105" i="56"/>
  <c r="AC86" i="56"/>
  <c r="AD100" i="56"/>
  <c r="AD101" i="56"/>
  <c r="AC87" i="56"/>
  <c r="AD106" i="56"/>
  <c r="AC92" i="56"/>
  <c r="AC88" i="56"/>
  <c r="AD102" i="56"/>
  <c r="M61" i="39"/>
  <c r="P61" i="39" s="1"/>
  <c r="P60" i="39"/>
  <c r="X60" i="39"/>
  <c r="AA59" i="39"/>
  <c r="F58" i="39"/>
  <c r="C59" i="39"/>
  <c r="Y66" i="66" l="1"/>
  <c r="Z66" i="66" s="1"/>
  <c r="AB66" i="66"/>
  <c r="S65" i="66"/>
  <c r="N64" i="66"/>
  <c r="W64" i="66" s="1"/>
  <c r="I64" i="66"/>
  <c r="K64" i="66"/>
  <c r="V64" i="66" s="1"/>
  <c r="G66" i="66"/>
  <c r="F66" i="66"/>
  <c r="E67" i="66"/>
  <c r="H65" i="66"/>
  <c r="D67" i="66"/>
  <c r="P66" i="66"/>
  <c r="AD84" i="56"/>
  <c r="AE98" i="56"/>
  <c r="AE114" i="56" s="1"/>
  <c r="N22" i="39" a="1"/>
  <c r="N47" i="39" s="1"/>
  <c r="AB92" i="56"/>
  <c r="AC106" i="56"/>
  <c r="AC107" i="56"/>
  <c r="AB93" i="56"/>
  <c r="AC100" i="56"/>
  <c r="AB86" i="56"/>
  <c r="AB85" i="56"/>
  <c r="AC99" i="56"/>
  <c r="AC116" i="56" s="1"/>
  <c r="AB87" i="56"/>
  <c r="AC101" i="56"/>
  <c r="AC104" i="56"/>
  <c r="AB90" i="56"/>
  <c r="AB88" i="56"/>
  <c r="AC102" i="56"/>
  <c r="AB91" i="56"/>
  <c r="AC105" i="56"/>
  <c r="AB89" i="56"/>
  <c r="AC103" i="56"/>
  <c r="X61" i="39"/>
  <c r="AA61" i="39" s="1"/>
  <c r="AA60" i="39"/>
  <c r="C60" i="39"/>
  <c r="F59" i="39"/>
  <c r="Y67" i="66" l="1"/>
  <c r="Z67" i="66" s="1"/>
  <c r="AB67" i="66"/>
  <c r="H66" i="66"/>
  <c r="S66" i="66"/>
  <c r="K65" i="66"/>
  <c r="V65" i="66" s="1"/>
  <c r="I65" i="66"/>
  <c r="N65" i="66"/>
  <c r="W65" i="66" s="1"/>
  <c r="G67" i="66"/>
  <c r="F67" i="66"/>
  <c r="E68" i="66"/>
  <c r="D68" i="66"/>
  <c r="P67" i="66"/>
  <c r="AC84" i="56"/>
  <c r="AD98" i="56"/>
  <c r="AD114" i="56" s="1"/>
  <c r="N53" i="39"/>
  <c r="N52" i="39"/>
  <c r="N37" i="39"/>
  <c r="N48" i="39"/>
  <c r="N29" i="39"/>
  <c r="N55" i="39"/>
  <c r="N22" i="39"/>
  <c r="N35" i="39"/>
  <c r="N49" i="39"/>
  <c r="N61" i="39"/>
  <c r="Y22" i="39" a="1"/>
  <c r="Y40" i="39" s="1"/>
  <c r="N30" i="39"/>
  <c r="N25" i="39"/>
  <c r="N45" i="39"/>
  <c r="N60" i="39"/>
  <c r="N36" i="39"/>
  <c r="N40" i="39"/>
  <c r="N26" i="39"/>
  <c r="N34" i="39"/>
  <c r="N54" i="39"/>
  <c r="N41" i="39"/>
  <c r="N57" i="39"/>
  <c r="N23" i="39"/>
  <c r="N46" i="39"/>
  <c r="N56" i="39"/>
  <c r="N50" i="39"/>
  <c r="N24" i="39"/>
  <c r="N28" i="39"/>
  <c r="N39" i="39"/>
  <c r="N51" i="39"/>
  <c r="N43" i="39"/>
  <c r="N38" i="39"/>
  <c r="N31" i="39"/>
  <c r="N27" i="39"/>
  <c r="N33" i="39"/>
  <c r="N42" i="39"/>
  <c r="N44" i="39"/>
  <c r="N32" i="39"/>
  <c r="N59" i="39"/>
  <c r="N58" i="39"/>
  <c r="AA86" i="56"/>
  <c r="AB100" i="56"/>
  <c r="AA93" i="56"/>
  <c r="AB107" i="56"/>
  <c r="AB103" i="56"/>
  <c r="AA89" i="56"/>
  <c r="AA88" i="56"/>
  <c r="AB102" i="56"/>
  <c r="AB101" i="56"/>
  <c r="AA87" i="56"/>
  <c r="AA90" i="56"/>
  <c r="AB104" i="56"/>
  <c r="AA91" i="56"/>
  <c r="AB105" i="56"/>
  <c r="AB99" i="56"/>
  <c r="AB116" i="56" s="1"/>
  <c r="AA85" i="56"/>
  <c r="AB106" i="56"/>
  <c r="AA92" i="56"/>
  <c r="C61" i="39"/>
  <c r="F60" i="39"/>
  <c r="Y68" i="66" l="1"/>
  <c r="Z68" i="66" s="1"/>
  <c r="AB68" i="66"/>
  <c r="H67" i="66"/>
  <c r="I67" i="66" s="1"/>
  <c r="S67" i="66"/>
  <c r="G68" i="66"/>
  <c r="F68" i="66"/>
  <c r="E69" i="66"/>
  <c r="K66" i="66"/>
  <c r="V66" i="66" s="1"/>
  <c r="I66" i="66"/>
  <c r="N66" i="66"/>
  <c r="W66" i="66" s="1"/>
  <c r="D69" i="66"/>
  <c r="P68" i="66"/>
  <c r="AC98" i="56"/>
  <c r="AC114" i="56" s="1"/>
  <c r="AB84" i="56"/>
  <c r="O32" i="39"/>
  <c r="O50" i="39"/>
  <c r="O27" i="39"/>
  <c r="O35" i="39"/>
  <c r="O48" i="39"/>
  <c r="O41" i="39"/>
  <c r="O59" i="39"/>
  <c r="O33" i="39"/>
  <c r="O43" i="39"/>
  <c r="O24" i="39"/>
  <c r="O53" i="39"/>
  <c r="O34" i="39"/>
  <c r="O60" i="39"/>
  <c r="O40" i="39"/>
  <c r="O57" i="39"/>
  <c r="O51" i="39"/>
  <c r="O25" i="39"/>
  <c r="Y31" i="39"/>
  <c r="Y36" i="39"/>
  <c r="Y54" i="39"/>
  <c r="Y61" i="39"/>
  <c r="Y42" i="39"/>
  <c r="Y50" i="39"/>
  <c r="O22" i="39"/>
  <c r="O39" i="39"/>
  <c r="O36" i="39"/>
  <c r="Y43" i="39"/>
  <c r="Y52" i="39"/>
  <c r="Y33" i="39"/>
  <c r="Y49" i="39"/>
  <c r="Y32" i="39"/>
  <c r="Y60" i="39"/>
  <c r="Y38" i="39"/>
  <c r="Y30" i="39"/>
  <c r="Y34" i="39"/>
  <c r="Y45" i="39"/>
  <c r="O49" i="39"/>
  <c r="O29" i="39"/>
  <c r="O23" i="39"/>
  <c r="O26" i="39"/>
  <c r="O45" i="39"/>
  <c r="O38" i="39"/>
  <c r="Y59" i="39"/>
  <c r="Y23" i="39"/>
  <c r="Y48" i="39"/>
  <c r="Y22" i="39"/>
  <c r="Y24" i="39"/>
  <c r="Y53" i="39"/>
  <c r="Y39" i="39"/>
  <c r="Y56" i="39"/>
  <c r="Y41" i="39"/>
  <c r="Y55" i="39"/>
  <c r="Y58" i="39"/>
  <c r="Y57" i="39"/>
  <c r="Y27" i="39"/>
  <c r="Y51" i="39"/>
  <c r="O37" i="39"/>
  <c r="O56" i="39"/>
  <c r="O54" i="39"/>
  <c r="O47" i="39"/>
  <c r="O44" i="39"/>
  <c r="O31" i="39"/>
  <c r="O30" i="39"/>
  <c r="Y28" i="39"/>
  <c r="Y37" i="39"/>
  <c r="Y25" i="39"/>
  <c r="Y47" i="39"/>
  <c r="Y26" i="39"/>
  <c r="Y46" i="39"/>
  <c r="Y44" i="39"/>
  <c r="Y29" i="39"/>
  <c r="Y35" i="39"/>
  <c r="O61" i="39"/>
  <c r="O55" i="39"/>
  <c r="O52" i="39"/>
  <c r="O28" i="39"/>
  <c r="O46" i="39"/>
  <c r="O58" i="39"/>
  <c r="O42" i="39"/>
  <c r="AA106" i="56"/>
  <c r="Z92" i="56"/>
  <c r="Z91" i="56"/>
  <c r="AA105" i="56"/>
  <c r="Z90" i="56"/>
  <c r="AA104" i="56"/>
  <c r="Z88" i="56"/>
  <c r="AA102" i="56"/>
  <c r="AA107" i="56"/>
  <c r="Z93" i="56"/>
  <c r="AA99" i="56"/>
  <c r="AA116" i="56" s="1"/>
  <c r="Z85" i="56"/>
  <c r="AA101" i="56"/>
  <c r="Z87" i="56"/>
  <c r="Z89" i="56"/>
  <c r="AA103" i="56"/>
  <c r="Z86" i="56"/>
  <c r="AA100" i="56"/>
  <c r="F61" i="39"/>
  <c r="F62" i="39" s="1"/>
  <c r="D22" i="39" a="1"/>
  <c r="N67" i="66" l="1"/>
  <c r="W67" i="66" s="1"/>
  <c r="K67" i="66"/>
  <c r="V67" i="66" s="1"/>
  <c r="Y69" i="66"/>
  <c r="Z69" i="66" s="1"/>
  <c r="AB69" i="66"/>
  <c r="H68" i="66"/>
  <c r="I68" i="66" s="1"/>
  <c r="F69" i="66"/>
  <c r="G69" i="66"/>
  <c r="E70" i="66"/>
  <c r="S68" i="66"/>
  <c r="D70" i="66"/>
  <c r="P69" i="66"/>
  <c r="Z43" i="39"/>
  <c r="Z50" i="39"/>
  <c r="Z45" i="39"/>
  <c r="AA84" i="56"/>
  <c r="AB98" i="56"/>
  <c r="AB114" i="56" s="1"/>
  <c r="Z27" i="39"/>
  <c r="Z46" i="39"/>
  <c r="Z47" i="39"/>
  <c r="Z54" i="39"/>
  <c r="Z37" i="39"/>
  <c r="Z58" i="39"/>
  <c r="Z39" i="39"/>
  <c r="Z48" i="39"/>
  <c r="Z38" i="39"/>
  <c r="Z26" i="39"/>
  <c r="Z61" i="39"/>
  <c r="Z60" i="39"/>
  <c r="Z32" i="39"/>
  <c r="Z22" i="39"/>
  <c r="Z29" i="39"/>
  <c r="Z57" i="39"/>
  <c r="Z41" i="39"/>
  <c r="Z33" i="39"/>
  <c r="Z36" i="39"/>
  <c r="Z34" i="39"/>
  <c r="Z52" i="39"/>
  <c r="Z44" i="39"/>
  <c r="Z56" i="39"/>
  <c r="Z53" i="39"/>
  <c r="Z59" i="39"/>
  <c r="Z30" i="39"/>
  <c r="Z40" i="39"/>
  <c r="Z28" i="39"/>
  <c r="Z49" i="39"/>
  <c r="Z51" i="39"/>
  <c r="Z55" i="39"/>
  <c r="Z42" i="39"/>
  <c r="Z24" i="39"/>
  <c r="Z23" i="39"/>
  <c r="Z31" i="39"/>
  <c r="Z35" i="39"/>
  <c r="Z25" i="39"/>
  <c r="Z101" i="56"/>
  <c r="Y87" i="56"/>
  <c r="Z99" i="56"/>
  <c r="Z116" i="56" s="1"/>
  <c r="Y85" i="56"/>
  <c r="Y86" i="56"/>
  <c r="Z100" i="56"/>
  <c r="Z102" i="56"/>
  <c r="Y88" i="56"/>
  <c r="Y91" i="56"/>
  <c r="Z105" i="56"/>
  <c r="Z107" i="56"/>
  <c r="Y93" i="56"/>
  <c r="Y92" i="56"/>
  <c r="Z106" i="56"/>
  <c r="Y89" i="56"/>
  <c r="Z103" i="56"/>
  <c r="Y90" i="56"/>
  <c r="Z104" i="56"/>
  <c r="D22" i="39"/>
  <c r="D56" i="39"/>
  <c r="D59" i="39"/>
  <c r="D52" i="39"/>
  <c r="D25" i="39"/>
  <c r="D29" i="39"/>
  <c r="D23" i="39"/>
  <c r="D33" i="39"/>
  <c r="D49" i="39"/>
  <c r="D32" i="39"/>
  <c r="D48" i="39"/>
  <c r="D61" i="39"/>
  <c r="D40" i="39"/>
  <c r="D47" i="39"/>
  <c r="D54" i="39"/>
  <c r="D28" i="39"/>
  <c r="D24" i="39"/>
  <c r="D26" i="39"/>
  <c r="D58" i="39"/>
  <c r="D30" i="39"/>
  <c r="D44" i="39"/>
  <c r="D50" i="39"/>
  <c r="D42" i="39"/>
  <c r="D34" i="39"/>
  <c r="D43" i="39"/>
  <c r="D53" i="39"/>
  <c r="D39" i="39"/>
  <c r="D51" i="39"/>
  <c r="D41" i="39"/>
  <c r="D57" i="39"/>
  <c r="D31" i="39"/>
  <c r="D36" i="39"/>
  <c r="D27" i="39"/>
  <c r="D46" i="39"/>
  <c r="D37" i="39"/>
  <c r="D38" i="39"/>
  <c r="D55" i="39"/>
  <c r="D35" i="39"/>
  <c r="D45" i="39"/>
  <c r="D60" i="39"/>
  <c r="N68" i="66" l="1"/>
  <c r="W68" i="66" s="1"/>
  <c r="K68" i="66"/>
  <c r="V68" i="66" s="1"/>
  <c r="H69" i="66"/>
  <c r="K69" i="66" s="1"/>
  <c r="V69" i="66" s="1"/>
  <c r="Y70" i="66"/>
  <c r="Z70" i="66" s="1"/>
  <c r="AB70" i="66"/>
  <c r="S69" i="66"/>
  <c r="F70" i="66"/>
  <c r="G70" i="66"/>
  <c r="E71" i="66"/>
  <c r="D71" i="66"/>
  <c r="P70" i="66"/>
  <c r="Z84" i="56"/>
  <c r="AA98" i="56"/>
  <c r="AA114" i="56" s="1"/>
  <c r="X93" i="56"/>
  <c r="Y107" i="56"/>
  <c r="Y102" i="56"/>
  <c r="X88" i="56"/>
  <c r="X85" i="56"/>
  <c r="Y99" i="56"/>
  <c r="Y116" i="56" s="1"/>
  <c r="Y104" i="56"/>
  <c r="X90" i="56"/>
  <c r="X89" i="56"/>
  <c r="Y103" i="56"/>
  <c r="Y101" i="56"/>
  <c r="X87" i="56"/>
  <c r="X92" i="56"/>
  <c r="Y106" i="56"/>
  <c r="X91" i="56"/>
  <c r="Y105" i="56"/>
  <c r="X86" i="56"/>
  <c r="Y100" i="56"/>
  <c r="E60" i="39"/>
  <c r="E38" i="39"/>
  <c r="E36" i="39"/>
  <c r="E51" i="39"/>
  <c r="E34" i="39"/>
  <c r="E30" i="39"/>
  <c r="E28" i="39"/>
  <c r="E61" i="39"/>
  <c r="E33" i="39"/>
  <c r="E52" i="39"/>
  <c r="E45" i="39"/>
  <c r="E37" i="39"/>
  <c r="E31" i="39"/>
  <c r="E39" i="39"/>
  <c r="E42" i="39"/>
  <c r="E58" i="39"/>
  <c r="E54" i="39"/>
  <c r="E48" i="39"/>
  <c r="E23" i="39"/>
  <c r="E59" i="39"/>
  <c r="E35" i="39"/>
  <c r="E46" i="39"/>
  <c r="E57" i="39"/>
  <c r="E53" i="39"/>
  <c r="E50" i="39"/>
  <c r="E26" i="39"/>
  <c r="E47" i="39"/>
  <c r="E32" i="39"/>
  <c r="E29" i="39"/>
  <c r="E56" i="39"/>
  <c r="E55" i="39"/>
  <c r="E27" i="39"/>
  <c r="E41" i="39"/>
  <c r="E43" i="39"/>
  <c r="E44" i="39"/>
  <c r="E24" i="39"/>
  <c r="E40" i="39"/>
  <c r="E49" i="39"/>
  <c r="E25" i="39"/>
  <c r="E22" i="39"/>
  <c r="N69" i="66" l="1"/>
  <c r="W69" i="66" s="1"/>
  <c r="I69" i="66"/>
  <c r="Y71" i="66"/>
  <c r="Z71" i="66" s="1"/>
  <c r="AB71" i="66"/>
  <c r="S70" i="66"/>
  <c r="H70" i="66"/>
  <c r="F71" i="66"/>
  <c r="G71" i="66"/>
  <c r="E72" i="66"/>
  <c r="D72" i="66"/>
  <c r="P71" i="66"/>
  <c r="Z98" i="56"/>
  <c r="Z114" i="56" s="1"/>
  <c r="Y84" i="56"/>
  <c r="X104" i="56"/>
  <c r="W90" i="56"/>
  <c r="W88" i="56"/>
  <c r="X102" i="56"/>
  <c r="W86" i="56"/>
  <c r="X100" i="56"/>
  <c r="W92" i="56"/>
  <c r="X106" i="56"/>
  <c r="W87" i="56"/>
  <c r="X101" i="56"/>
  <c r="X105" i="56"/>
  <c r="W91" i="56"/>
  <c r="W89" i="56"/>
  <c r="X103" i="56"/>
  <c r="X99" i="56"/>
  <c r="X116" i="56" s="1"/>
  <c r="W85" i="56"/>
  <c r="W93" i="56"/>
  <c r="X107" i="56"/>
  <c r="E62" i="39"/>
  <c r="Y72" i="66" l="1"/>
  <c r="Z72" i="66" s="1"/>
  <c r="AB72" i="66"/>
  <c r="S71" i="66"/>
  <c r="F72" i="66"/>
  <c r="G72" i="66"/>
  <c r="E73" i="66"/>
  <c r="H71" i="66"/>
  <c r="K70" i="66"/>
  <c r="V70" i="66" s="1"/>
  <c r="N70" i="66"/>
  <c r="W70" i="66" s="1"/>
  <c r="I70" i="66"/>
  <c r="D73" i="66"/>
  <c r="P72" i="66"/>
  <c r="Y98" i="56"/>
  <c r="Y114" i="56" s="1"/>
  <c r="X84" i="56"/>
  <c r="W104" i="56"/>
  <c r="V90" i="56"/>
  <c r="V93" i="56"/>
  <c r="W107" i="56"/>
  <c r="V89" i="56"/>
  <c r="W103" i="56"/>
  <c r="W101" i="56"/>
  <c r="V87" i="56"/>
  <c r="W100" i="56"/>
  <c r="V86" i="56"/>
  <c r="V85" i="56"/>
  <c r="W99" i="56"/>
  <c r="W116" i="56" s="1"/>
  <c r="W105" i="56"/>
  <c r="V91" i="56"/>
  <c r="V92" i="56"/>
  <c r="W106" i="56"/>
  <c r="W102" i="56"/>
  <c r="V88" i="56"/>
  <c r="H72" i="66" l="1"/>
  <c r="N72" i="66" s="1"/>
  <c r="W72" i="66" s="1"/>
  <c r="Y73" i="66"/>
  <c r="Z73" i="66" s="1"/>
  <c r="AB73" i="66"/>
  <c r="N71" i="66"/>
  <c r="W71" i="66" s="1"/>
  <c r="K71" i="66"/>
  <c r="V71" i="66" s="1"/>
  <c r="I71" i="66"/>
  <c r="S72" i="66"/>
  <c r="F73" i="66"/>
  <c r="G73" i="66"/>
  <c r="E74" i="66"/>
  <c r="D74" i="66"/>
  <c r="P73" i="66"/>
  <c r="X98" i="56"/>
  <c r="X114" i="56" s="1"/>
  <c r="W84" i="56"/>
  <c r="V102" i="56"/>
  <c r="U88" i="56"/>
  <c r="U87" i="56"/>
  <c r="V101" i="56"/>
  <c r="U85" i="56"/>
  <c r="V99" i="56"/>
  <c r="V116" i="56" s="1"/>
  <c r="V107" i="56"/>
  <c r="U93" i="56"/>
  <c r="U91" i="56"/>
  <c r="V105" i="56"/>
  <c r="U86" i="56"/>
  <c r="V100" i="56"/>
  <c r="U90" i="56"/>
  <c r="V104" i="56"/>
  <c r="V106" i="56"/>
  <c r="U92" i="56"/>
  <c r="U89" i="56"/>
  <c r="V103" i="56"/>
  <c r="I72" i="66" l="1"/>
  <c r="H73" i="66"/>
  <c r="I73" i="66" s="1"/>
  <c r="K72" i="66"/>
  <c r="V72" i="66" s="1"/>
  <c r="Y74" i="66"/>
  <c r="Z74" i="66" s="1"/>
  <c r="AB74" i="66"/>
  <c r="S73" i="66"/>
  <c r="F74" i="66"/>
  <c r="G74" i="66"/>
  <c r="E75" i="66"/>
  <c r="D75" i="66"/>
  <c r="P74" i="66"/>
  <c r="V84" i="56"/>
  <c r="W98" i="56"/>
  <c r="W114" i="56" s="1"/>
  <c r="T89" i="56"/>
  <c r="U103" i="56"/>
  <c r="T90" i="56"/>
  <c r="U104" i="56"/>
  <c r="T91" i="56"/>
  <c r="U105" i="56"/>
  <c r="T85" i="56"/>
  <c r="U99" i="56"/>
  <c r="U116" i="56" s="1"/>
  <c r="T87" i="56"/>
  <c r="U101" i="56"/>
  <c r="T92" i="56"/>
  <c r="U106" i="56"/>
  <c r="T93" i="56"/>
  <c r="U107" i="56"/>
  <c r="T88" i="56"/>
  <c r="U102" i="56"/>
  <c r="T86" i="56"/>
  <c r="U100" i="56"/>
  <c r="K73" i="66" l="1"/>
  <c r="V73" i="66" s="1"/>
  <c r="N73" i="66"/>
  <c r="W73" i="66" s="1"/>
  <c r="Y75" i="66"/>
  <c r="Z75" i="66" s="1"/>
  <c r="AB75" i="66"/>
  <c r="H74" i="66"/>
  <c r="F75" i="66"/>
  <c r="G75" i="66"/>
  <c r="E76" i="66"/>
  <c r="S74" i="66"/>
  <c r="D76" i="66"/>
  <c r="P75" i="66"/>
  <c r="U84" i="56"/>
  <c r="V98" i="56"/>
  <c r="V114" i="56" s="1"/>
  <c r="S88" i="56"/>
  <c r="T102" i="56"/>
  <c r="S92" i="56"/>
  <c r="T106" i="56"/>
  <c r="S85" i="56"/>
  <c r="T99" i="56"/>
  <c r="T116" i="56" s="1"/>
  <c r="S90" i="56"/>
  <c r="T104" i="56"/>
  <c r="S86" i="56"/>
  <c r="T100" i="56"/>
  <c r="T107" i="56"/>
  <c r="S93" i="56"/>
  <c r="S87" i="56"/>
  <c r="T101" i="56"/>
  <c r="S91" i="56"/>
  <c r="T105" i="56"/>
  <c r="S89" i="56"/>
  <c r="T103" i="56"/>
  <c r="Y76" i="66" l="1"/>
  <c r="Z76" i="66" s="1"/>
  <c r="AB76" i="66"/>
  <c r="S75" i="66"/>
  <c r="H75" i="66"/>
  <c r="F76" i="66"/>
  <c r="G76" i="66"/>
  <c r="E77" i="66"/>
  <c r="I74" i="66"/>
  <c r="K74" i="66"/>
  <c r="V74" i="66" s="1"/>
  <c r="N74" i="66"/>
  <c r="W74" i="66" s="1"/>
  <c r="D77" i="66"/>
  <c r="P76" i="66"/>
  <c r="U98" i="56"/>
  <c r="U114" i="56" s="1"/>
  <c r="T84" i="56"/>
  <c r="R89" i="56"/>
  <c r="S103" i="56"/>
  <c r="R87" i="56"/>
  <c r="S101" i="56"/>
  <c r="R86" i="56"/>
  <c r="S100" i="56"/>
  <c r="S99" i="56"/>
  <c r="S116" i="56" s="1"/>
  <c r="R85" i="56"/>
  <c r="R88" i="56"/>
  <c r="S102" i="56"/>
  <c r="S107" i="56"/>
  <c r="R93" i="56"/>
  <c r="R91" i="56"/>
  <c r="S105" i="56"/>
  <c r="R90" i="56"/>
  <c r="S104" i="56"/>
  <c r="R92" i="56"/>
  <c r="S106" i="56"/>
  <c r="Y77" i="66" l="1"/>
  <c r="Z77" i="66" s="1"/>
  <c r="AB77" i="66"/>
  <c r="S76" i="66"/>
  <c r="H76" i="66"/>
  <c r="N75" i="66"/>
  <c r="W75" i="66" s="1"/>
  <c r="I75" i="66"/>
  <c r="K75" i="66"/>
  <c r="V75" i="66" s="1"/>
  <c r="F77" i="66"/>
  <c r="G77" i="66"/>
  <c r="E78" i="66"/>
  <c r="D78" i="66"/>
  <c r="P77" i="66"/>
  <c r="S84" i="56"/>
  <c r="T98" i="56"/>
  <c r="T114" i="56" s="1"/>
  <c r="Q92" i="56"/>
  <c r="R106" i="56"/>
  <c r="Q93" i="56"/>
  <c r="R107" i="56"/>
  <c r="Q85" i="56"/>
  <c r="R99" i="56"/>
  <c r="R116" i="56" s="1"/>
  <c r="Q88" i="56"/>
  <c r="R102" i="56"/>
  <c r="Q90" i="56"/>
  <c r="R104" i="56"/>
  <c r="Q87" i="56"/>
  <c r="R101" i="56"/>
  <c r="Q91" i="56"/>
  <c r="R105" i="56"/>
  <c r="Q86" i="56"/>
  <c r="R100" i="56"/>
  <c r="Q89" i="56"/>
  <c r="R103" i="56"/>
  <c r="H77" i="66" l="1"/>
  <c r="K77" i="66" s="1"/>
  <c r="V77" i="66" s="1"/>
  <c r="Y78" i="66"/>
  <c r="Z78" i="66" s="1"/>
  <c r="AB78" i="66"/>
  <c r="S77" i="66"/>
  <c r="F78" i="66"/>
  <c r="G78" i="66"/>
  <c r="E79" i="66"/>
  <c r="K76" i="66"/>
  <c r="V76" i="66" s="1"/>
  <c r="N76" i="66"/>
  <c r="W76" i="66" s="1"/>
  <c r="I76" i="66"/>
  <c r="D79" i="66"/>
  <c r="P78" i="66"/>
  <c r="S98" i="56"/>
  <c r="S114" i="56" s="1"/>
  <c r="R84" i="56"/>
  <c r="Q103" i="56"/>
  <c r="P89" i="56"/>
  <c r="P91" i="56"/>
  <c r="Q105" i="56"/>
  <c r="P90" i="56"/>
  <c r="Q104" i="56"/>
  <c r="Q99" i="56"/>
  <c r="Q116" i="56" s="1"/>
  <c r="P85" i="56"/>
  <c r="Q100" i="56"/>
  <c r="P86" i="56"/>
  <c r="P87" i="56"/>
  <c r="Q101" i="56"/>
  <c r="P88" i="56"/>
  <c r="Q102" i="56"/>
  <c r="Q107" i="56"/>
  <c r="P93" i="56"/>
  <c r="P92" i="56"/>
  <c r="Q106" i="56"/>
  <c r="I77" i="66" l="1"/>
  <c r="N77" i="66"/>
  <c r="W77" i="66" s="1"/>
  <c r="Y79" i="66"/>
  <c r="Z79" i="66" s="1"/>
  <c r="AB79" i="66"/>
  <c r="S78" i="66"/>
  <c r="H78" i="66"/>
  <c r="G79" i="66"/>
  <c r="F79" i="66"/>
  <c r="E80" i="66"/>
  <c r="D80" i="66"/>
  <c r="P79" i="66"/>
  <c r="Q84" i="56"/>
  <c r="R98" i="56"/>
  <c r="R114" i="56" s="1"/>
  <c r="O86" i="56"/>
  <c r="P100" i="56"/>
  <c r="O85" i="56"/>
  <c r="P99" i="56"/>
  <c r="P116" i="56" s="1"/>
  <c r="O92" i="56"/>
  <c r="P106" i="56"/>
  <c r="P102" i="56"/>
  <c r="O88" i="56"/>
  <c r="P105" i="56"/>
  <c r="O91" i="56"/>
  <c r="O93" i="56"/>
  <c r="P107" i="56"/>
  <c r="O89" i="56"/>
  <c r="P103" i="56"/>
  <c r="O87" i="56"/>
  <c r="P101" i="56"/>
  <c r="O90" i="56"/>
  <c r="P104" i="56"/>
  <c r="Y80" i="66" l="1"/>
  <c r="Z80" i="66" s="1"/>
  <c r="AB80" i="66"/>
  <c r="H79" i="66"/>
  <c r="K79" i="66" s="1"/>
  <c r="V79" i="66" s="1"/>
  <c r="S79" i="66"/>
  <c r="F80" i="66"/>
  <c r="G80" i="66"/>
  <c r="E81" i="66"/>
  <c r="K78" i="66"/>
  <c r="V78" i="66" s="1"/>
  <c r="N78" i="66"/>
  <c r="W78" i="66" s="1"/>
  <c r="I78" i="66"/>
  <c r="D81" i="66"/>
  <c r="P80" i="66"/>
  <c r="Q98" i="56"/>
  <c r="Q114" i="56" s="1"/>
  <c r="P84" i="56"/>
  <c r="N88" i="56"/>
  <c r="O102" i="56"/>
  <c r="N90" i="56"/>
  <c r="O104" i="56"/>
  <c r="N89" i="56"/>
  <c r="O103" i="56"/>
  <c r="N93" i="56"/>
  <c r="O107" i="56"/>
  <c r="N85" i="56"/>
  <c r="O99" i="56"/>
  <c r="O116" i="56" s="1"/>
  <c r="O105" i="56"/>
  <c r="N91" i="56"/>
  <c r="N87" i="56"/>
  <c r="O101" i="56"/>
  <c r="N92" i="56"/>
  <c r="O106" i="56"/>
  <c r="N86" i="56"/>
  <c r="O100" i="56"/>
  <c r="I79" i="66" l="1"/>
  <c r="N79" i="66"/>
  <c r="W79" i="66" s="1"/>
  <c r="Y81" i="66"/>
  <c r="Z81" i="66" s="1"/>
  <c r="AB81" i="66"/>
  <c r="S80" i="66"/>
  <c r="H80" i="66"/>
  <c r="G81" i="66"/>
  <c r="F81" i="66"/>
  <c r="E82" i="66"/>
  <c r="D82" i="66"/>
  <c r="P81" i="66"/>
  <c r="P98" i="56"/>
  <c r="P114" i="56" s="1"/>
  <c r="O84" i="56"/>
  <c r="M86" i="56"/>
  <c r="N100" i="56"/>
  <c r="M87" i="56"/>
  <c r="N101" i="56"/>
  <c r="N107" i="56"/>
  <c r="M93" i="56"/>
  <c r="M90" i="56"/>
  <c r="N104" i="56"/>
  <c r="M91" i="56"/>
  <c r="N105" i="56"/>
  <c r="M92" i="56"/>
  <c r="N106" i="56"/>
  <c r="M85" i="56"/>
  <c r="N99" i="56"/>
  <c r="N116" i="56" s="1"/>
  <c r="N103" i="56"/>
  <c r="M89" i="56"/>
  <c r="M88" i="56"/>
  <c r="N102" i="56"/>
  <c r="Y82" i="66" l="1"/>
  <c r="Z82" i="66" s="1"/>
  <c r="AB82" i="66"/>
  <c r="H81" i="66"/>
  <c r="I81" i="66" s="1"/>
  <c r="S81" i="66"/>
  <c r="G82" i="66"/>
  <c r="F82" i="66"/>
  <c r="E83" i="66"/>
  <c r="N80" i="66"/>
  <c r="W80" i="66" s="1"/>
  <c r="K80" i="66"/>
  <c r="V80" i="66" s="1"/>
  <c r="I80" i="66"/>
  <c r="D83" i="66"/>
  <c r="P82" i="66"/>
  <c r="O98" i="56"/>
  <c r="O114" i="56" s="1"/>
  <c r="N84" i="56"/>
  <c r="M107" i="56"/>
  <c r="L93" i="56"/>
  <c r="L88" i="56"/>
  <c r="M102" i="56"/>
  <c r="L85" i="56"/>
  <c r="M99" i="56"/>
  <c r="M116" i="56" s="1"/>
  <c r="L91" i="56"/>
  <c r="M105" i="56"/>
  <c r="M101" i="56"/>
  <c r="L87" i="56"/>
  <c r="L89" i="56"/>
  <c r="M103" i="56"/>
  <c r="L92" i="56"/>
  <c r="M106" i="56"/>
  <c r="M104" i="56"/>
  <c r="L90" i="56"/>
  <c r="M100" i="56"/>
  <c r="L86" i="56"/>
  <c r="K81" i="66" l="1"/>
  <c r="V81" i="66" s="1"/>
  <c r="N81" i="66"/>
  <c r="W81" i="66" s="1"/>
  <c r="Y83" i="66"/>
  <c r="Z83" i="66" s="1"/>
  <c r="AB83" i="66"/>
  <c r="S82" i="66"/>
  <c r="G83" i="66"/>
  <c r="F83" i="66"/>
  <c r="E84" i="66"/>
  <c r="H82" i="66"/>
  <c r="D84" i="66"/>
  <c r="P83" i="66"/>
  <c r="M84" i="56"/>
  <c r="N98" i="56"/>
  <c r="N114" i="56" s="1"/>
  <c r="K92" i="56"/>
  <c r="K106" i="56" s="1"/>
  <c r="L106" i="56"/>
  <c r="L100" i="56"/>
  <c r="K86" i="56"/>
  <c r="K100" i="56" s="1"/>
  <c r="L104" i="56"/>
  <c r="K90" i="56"/>
  <c r="K104" i="56" s="1"/>
  <c r="L102" i="56"/>
  <c r="K88" i="56"/>
  <c r="K102" i="56" s="1"/>
  <c r="L103" i="56"/>
  <c r="K89" i="56"/>
  <c r="K103" i="56" s="1"/>
  <c r="K91" i="56"/>
  <c r="K105" i="56" s="1"/>
  <c r="L105" i="56"/>
  <c r="K87" i="56"/>
  <c r="K101" i="56" s="1"/>
  <c r="L101" i="56"/>
  <c r="L107" i="56"/>
  <c r="K93" i="56"/>
  <c r="K107" i="56" s="1"/>
  <c r="L99" i="56"/>
  <c r="L116" i="56" s="1"/>
  <c r="K85" i="56"/>
  <c r="K99" i="56" s="1"/>
  <c r="K116" i="56" s="1"/>
  <c r="H83" i="66" l="1"/>
  <c r="I83" i="66" s="1"/>
  <c r="Y84" i="66"/>
  <c r="Z84" i="66" s="1"/>
  <c r="AB84" i="66"/>
  <c r="G84" i="66"/>
  <c r="F84" i="66"/>
  <c r="E85" i="66"/>
  <c r="S83" i="66"/>
  <c r="K82" i="66"/>
  <c r="V82" i="66" s="1"/>
  <c r="I82" i="66"/>
  <c r="N82" i="66"/>
  <c r="W82" i="66" s="1"/>
  <c r="D85" i="66"/>
  <c r="P84" i="66"/>
  <c r="L84" i="56"/>
  <c r="M98" i="56"/>
  <c r="H84" i="66" l="1"/>
  <c r="K84" i="66" s="1"/>
  <c r="V84" i="66" s="1"/>
  <c r="K83" i="66"/>
  <c r="V83" i="66" s="1"/>
  <c r="N83" i="66"/>
  <c r="W83" i="66" s="1"/>
  <c r="Y85" i="66"/>
  <c r="Z85" i="66" s="1"/>
  <c r="AB85" i="66"/>
  <c r="S84" i="66"/>
  <c r="F85" i="66"/>
  <c r="G85" i="66"/>
  <c r="E86" i="66"/>
  <c r="D86" i="66"/>
  <c r="P85" i="66"/>
  <c r="K84" i="56"/>
  <c r="K98" i="56" s="1"/>
  <c r="K114" i="56" s="1"/>
  <c r="L98" i="56"/>
  <c r="M114" i="56"/>
  <c r="G109" i="56"/>
  <c r="N84" i="66" l="1"/>
  <c r="W84" i="66" s="1"/>
  <c r="I84" i="66"/>
  <c r="Y86" i="66"/>
  <c r="Z86" i="66" s="1"/>
  <c r="AB86" i="66"/>
  <c r="G86" i="66"/>
  <c r="F86" i="66"/>
  <c r="E87" i="66"/>
  <c r="S85" i="66"/>
  <c r="H85" i="66"/>
  <c r="D87" i="66"/>
  <c r="P86" i="66"/>
  <c r="AU108" i="56"/>
  <c r="AE108" i="56"/>
  <c r="BL108" i="56"/>
  <c r="BX109" i="56"/>
  <c r="CB109" i="56"/>
  <c r="L108" i="56"/>
  <c r="CD109" i="56"/>
  <c r="Y108" i="56"/>
  <c r="AT108" i="56"/>
  <c r="AD108" i="56"/>
  <c r="T108" i="56"/>
  <c r="AL108" i="56"/>
  <c r="BW109" i="56"/>
  <c r="BF108" i="56"/>
  <c r="BC108" i="56"/>
  <c r="BM108" i="56"/>
  <c r="AM108" i="56"/>
  <c r="BH108" i="56"/>
  <c r="AB2" i="65"/>
  <c r="CI109" i="56"/>
  <c r="BN108" i="56"/>
  <c r="BK108" i="56"/>
  <c r="V108" i="56"/>
  <c r="BZ109" i="56"/>
  <c r="AQ108" i="56"/>
  <c r="AX108" i="56"/>
  <c r="S108" i="56"/>
  <c r="AV108" i="56"/>
  <c r="Z108" i="56"/>
  <c r="AZ108" i="56"/>
  <c r="AN108" i="56"/>
  <c r="AC108" i="56"/>
  <c r="U108" i="56"/>
  <c r="CC109" i="56"/>
  <c r="BE108" i="56"/>
  <c r="BJ108" i="56"/>
  <c r="BQ109" i="56"/>
  <c r="P108" i="56"/>
  <c r="AB108" i="56"/>
  <c r="BO109" i="56"/>
  <c r="CE109" i="56"/>
  <c r="AO108" i="56"/>
  <c r="AS108" i="56"/>
  <c r="W108" i="56"/>
  <c r="CG109" i="56"/>
  <c r="BU109" i="56"/>
  <c r="X108" i="56"/>
  <c r="BS109" i="56"/>
  <c r="BA108" i="56"/>
  <c r="BB108" i="56"/>
  <c r="AW108" i="56"/>
  <c r="N108" i="56"/>
  <c r="BD108" i="56"/>
  <c r="BI108" i="56"/>
  <c r="AY108" i="56"/>
  <c r="AK108" i="56"/>
  <c r="CH109" i="56"/>
  <c r="AH108" i="56"/>
  <c r="CF109" i="56"/>
  <c r="R108" i="56"/>
  <c r="O108" i="56"/>
  <c r="BY109" i="56"/>
  <c r="AP108" i="56"/>
  <c r="BR109" i="56"/>
  <c r="AJ108" i="56"/>
  <c r="CA109" i="56"/>
  <c r="M108" i="56"/>
  <c r="BT109" i="56"/>
  <c r="Q108" i="56"/>
  <c r="BG108" i="56"/>
  <c r="AI108" i="56"/>
  <c r="AF108" i="56"/>
  <c r="BP109" i="56"/>
  <c r="K108" i="56"/>
  <c r="AG108" i="56"/>
  <c r="AA108" i="56"/>
  <c r="AR108" i="56"/>
  <c r="BV109" i="56"/>
  <c r="L114" i="56"/>
  <c r="Y87" i="66" l="1"/>
  <c r="Z87" i="66" s="1"/>
  <c r="AB87" i="66"/>
  <c r="H86" i="66"/>
  <c r="K86" i="66" s="1"/>
  <c r="V86" i="66" s="1"/>
  <c r="G87" i="66"/>
  <c r="F87" i="66"/>
  <c r="E88" i="66"/>
  <c r="S86" i="66"/>
  <c r="N85" i="66"/>
  <c r="W85" i="66" s="1"/>
  <c r="I85" i="66"/>
  <c r="K85" i="66"/>
  <c r="V85" i="66" s="1"/>
  <c r="D88" i="66"/>
  <c r="P87" i="66"/>
  <c r="AB5" i="65"/>
  <c r="C32" i="65"/>
  <c r="I86" i="66" l="1"/>
  <c r="N86" i="66"/>
  <c r="W86" i="66" s="1"/>
  <c r="Y88" i="66"/>
  <c r="Z88" i="66" s="1"/>
  <c r="AB88" i="66"/>
  <c r="H87" i="66"/>
  <c r="S87" i="66"/>
  <c r="G88" i="66"/>
  <c r="F88" i="66"/>
  <c r="E89" i="66"/>
  <c r="D89" i="66"/>
  <c r="P88" i="66"/>
  <c r="Y89" i="66" l="1"/>
  <c r="Z89" i="66" s="1"/>
  <c r="AB89" i="66"/>
  <c r="H88" i="66"/>
  <c r="I88" i="66" s="1"/>
  <c r="S88" i="66"/>
  <c r="F89" i="66"/>
  <c r="G89" i="66"/>
  <c r="E90" i="66"/>
  <c r="K87" i="66"/>
  <c r="V87" i="66" s="1"/>
  <c r="I87" i="66"/>
  <c r="N87" i="66"/>
  <c r="W87" i="66" s="1"/>
  <c r="D90" i="66"/>
  <c r="P89" i="66"/>
  <c r="N88" i="66" l="1"/>
  <c r="W88" i="66" s="1"/>
  <c r="K88" i="66"/>
  <c r="V88" i="66" s="1"/>
  <c r="Y90" i="66"/>
  <c r="Z90" i="66" s="1"/>
  <c r="AB90" i="66"/>
  <c r="S89" i="66"/>
  <c r="F90" i="66"/>
  <c r="G90" i="66"/>
  <c r="E91" i="66"/>
  <c r="H89" i="66"/>
  <c r="D91" i="66"/>
  <c r="P90" i="66"/>
  <c r="Y91" i="66" l="1"/>
  <c r="Z91" i="66" s="1"/>
  <c r="AB91" i="66"/>
  <c r="S90" i="66"/>
  <c r="F91" i="66"/>
  <c r="G91" i="66"/>
  <c r="E92" i="66"/>
  <c r="H90" i="66"/>
  <c r="N89" i="66"/>
  <c r="W89" i="66" s="1"/>
  <c r="K89" i="66"/>
  <c r="V89" i="66" s="1"/>
  <c r="I89" i="66"/>
  <c r="D92" i="66"/>
  <c r="P91" i="66"/>
  <c r="Y92" i="66" l="1"/>
  <c r="Z92" i="66" s="1"/>
  <c r="AB92" i="66"/>
  <c r="S91" i="66"/>
  <c r="F92" i="66"/>
  <c r="G92" i="66"/>
  <c r="E93" i="66"/>
  <c r="H91" i="66"/>
  <c r="I90" i="66"/>
  <c r="N90" i="66"/>
  <c r="W90" i="66" s="1"/>
  <c r="K90" i="66"/>
  <c r="V90" i="66" s="1"/>
  <c r="D93" i="66"/>
  <c r="P92" i="66"/>
  <c r="H92" i="66" l="1"/>
  <c r="K92" i="66" s="1"/>
  <c r="V92" i="66" s="1"/>
  <c r="Y93" i="66"/>
  <c r="Z93" i="66" s="1"/>
  <c r="AB93" i="66"/>
  <c r="S92" i="66"/>
  <c r="N91" i="66"/>
  <c r="W91" i="66" s="1"/>
  <c r="I91" i="66"/>
  <c r="K91" i="66"/>
  <c r="V91" i="66" s="1"/>
  <c r="F93" i="66"/>
  <c r="G93" i="66"/>
  <c r="E94" i="66"/>
  <c r="D94" i="66"/>
  <c r="P93" i="66"/>
  <c r="N92" i="66" l="1"/>
  <c r="W92" i="66" s="1"/>
  <c r="I92" i="66"/>
  <c r="Y94" i="66"/>
  <c r="Z94" i="66" s="1"/>
  <c r="AB94" i="66"/>
  <c r="H93" i="66"/>
  <c r="K93" i="66" s="1"/>
  <c r="V93" i="66" s="1"/>
  <c r="S93" i="66"/>
  <c r="G94" i="66"/>
  <c r="F94" i="66"/>
  <c r="E95" i="66"/>
  <c r="D95" i="66"/>
  <c r="P94" i="66"/>
  <c r="H94" i="66" l="1"/>
  <c r="I94" i="66" s="1"/>
  <c r="I93" i="66"/>
  <c r="Y95" i="66"/>
  <c r="Z95" i="66" s="1"/>
  <c r="AB95" i="66"/>
  <c r="N93" i="66"/>
  <c r="W93" i="66" s="1"/>
  <c r="G95" i="66"/>
  <c r="F95" i="66"/>
  <c r="E96" i="66"/>
  <c r="S94" i="66"/>
  <c r="D96" i="66"/>
  <c r="P95" i="66"/>
  <c r="K94" i="66" l="1"/>
  <c r="V94" i="66" s="1"/>
  <c r="N94" i="66"/>
  <c r="W94" i="66" s="1"/>
  <c r="H95" i="66"/>
  <c r="N95" i="66" s="1"/>
  <c r="W95" i="66" s="1"/>
  <c r="Y96" i="66"/>
  <c r="Z96" i="66" s="1"/>
  <c r="AB96" i="66"/>
  <c r="S95" i="66"/>
  <c r="F96" i="66"/>
  <c r="G96" i="66"/>
  <c r="E97" i="66"/>
  <c r="D97" i="66"/>
  <c r="P96" i="66"/>
  <c r="K95" i="66" l="1"/>
  <c r="V95" i="66" s="1"/>
  <c r="I95" i="66"/>
  <c r="H96" i="66"/>
  <c r="N96" i="66" s="1"/>
  <c r="W96" i="66" s="1"/>
  <c r="Y97" i="66"/>
  <c r="Z97" i="66" s="1"/>
  <c r="AB97" i="66"/>
  <c r="S96" i="66"/>
  <c r="G97" i="66"/>
  <c r="F97" i="66"/>
  <c r="E98" i="66"/>
  <c r="D98" i="66"/>
  <c r="P97" i="66"/>
  <c r="K96" i="66" l="1"/>
  <c r="V96" i="66" s="1"/>
  <c r="I96" i="66"/>
  <c r="H97" i="66"/>
  <c r="K97" i="66" s="1"/>
  <c r="V97" i="66" s="1"/>
  <c r="Y98" i="66"/>
  <c r="Z98" i="66" s="1"/>
  <c r="AB98" i="66"/>
  <c r="S97" i="66"/>
  <c r="G98" i="66"/>
  <c r="F98" i="66"/>
  <c r="E99" i="66"/>
  <c r="D99" i="66"/>
  <c r="P98" i="66"/>
  <c r="I97" i="66" l="1"/>
  <c r="N97" i="66"/>
  <c r="W97" i="66" s="1"/>
  <c r="H98" i="66"/>
  <c r="K98" i="66" s="1"/>
  <c r="V98" i="66" s="1"/>
  <c r="Y99" i="66"/>
  <c r="Z99" i="66" s="1"/>
  <c r="AB99" i="66"/>
  <c r="S98" i="66"/>
  <c r="G99" i="66"/>
  <c r="F99" i="66"/>
  <c r="E100" i="66"/>
  <c r="D100" i="66"/>
  <c r="P99" i="66"/>
  <c r="I98" i="66" l="1"/>
  <c r="N98" i="66"/>
  <c r="W98" i="66" s="1"/>
  <c r="H99" i="66"/>
  <c r="N99" i="66" s="1"/>
  <c r="W99" i="66" s="1"/>
  <c r="Y100" i="66"/>
  <c r="Z100" i="66" s="1"/>
  <c r="AB100" i="66"/>
  <c r="G100" i="66"/>
  <c r="F100" i="66"/>
  <c r="E101" i="66"/>
  <c r="S99" i="66"/>
  <c r="D101" i="66"/>
  <c r="P100" i="66"/>
  <c r="I99" i="66" l="1"/>
  <c r="K99" i="66"/>
  <c r="V99" i="66" s="1"/>
  <c r="H100" i="66"/>
  <c r="I100" i="66" s="1"/>
  <c r="Y101" i="66"/>
  <c r="Z101" i="66" s="1"/>
  <c r="AB101" i="66"/>
  <c r="F101" i="66"/>
  <c r="G101" i="66"/>
  <c r="E102" i="66"/>
  <c r="S100" i="66"/>
  <c r="D102" i="66"/>
  <c r="P101" i="66"/>
  <c r="N100" i="66" l="1"/>
  <c r="W100" i="66" s="1"/>
  <c r="K100" i="66"/>
  <c r="V100" i="66" s="1"/>
  <c r="Y102" i="66"/>
  <c r="Z102" i="66" s="1"/>
  <c r="AB102" i="66"/>
  <c r="S101" i="66"/>
  <c r="G102" i="66"/>
  <c r="F102" i="66"/>
  <c r="E103" i="66"/>
  <c r="H101" i="66"/>
  <c r="D103" i="66"/>
  <c r="P102" i="66"/>
  <c r="H102" i="66" l="1"/>
  <c r="K102" i="66" s="1"/>
  <c r="V102" i="66" s="1"/>
  <c r="Y103" i="66"/>
  <c r="Z103" i="66" s="1"/>
  <c r="AB103" i="66"/>
  <c r="S102" i="66"/>
  <c r="N101" i="66"/>
  <c r="W101" i="66" s="1"/>
  <c r="K101" i="66"/>
  <c r="V101" i="66" s="1"/>
  <c r="I101" i="66"/>
  <c r="G103" i="66"/>
  <c r="F103" i="66"/>
  <c r="E104" i="66"/>
  <c r="D104" i="66"/>
  <c r="P103" i="66"/>
  <c r="I102" i="66" l="1"/>
  <c r="N102" i="66"/>
  <c r="W102" i="66" s="1"/>
  <c r="Y104" i="66"/>
  <c r="Z104" i="66" s="1"/>
  <c r="AB104" i="66"/>
  <c r="G104" i="66"/>
  <c r="F104" i="66"/>
  <c r="E105" i="66"/>
  <c r="S103" i="66"/>
  <c r="H103" i="66"/>
  <c r="D105" i="66"/>
  <c r="P104" i="66"/>
  <c r="H104" i="66" l="1"/>
  <c r="N104" i="66" s="1"/>
  <c r="W104" i="66" s="1"/>
  <c r="Y105" i="66"/>
  <c r="Z105" i="66" s="1"/>
  <c r="AB105" i="66"/>
  <c r="F105" i="66"/>
  <c r="G105" i="66"/>
  <c r="E106" i="66"/>
  <c r="S104" i="66"/>
  <c r="N103" i="66"/>
  <c r="W103" i="66" s="1"/>
  <c r="K103" i="66"/>
  <c r="V103" i="66" s="1"/>
  <c r="I103" i="66"/>
  <c r="D106" i="66"/>
  <c r="P105" i="66"/>
  <c r="K104" i="66" l="1"/>
  <c r="V104" i="66" s="1"/>
  <c r="I104" i="66"/>
  <c r="Y106" i="66"/>
  <c r="Z106" i="66" s="1"/>
  <c r="AB106" i="66"/>
  <c r="H105" i="66"/>
  <c r="K105" i="66" s="1"/>
  <c r="V105" i="66" s="1"/>
  <c r="F106" i="66"/>
  <c r="G106" i="66"/>
  <c r="E107" i="66"/>
  <c r="S105" i="66"/>
  <c r="D107" i="66"/>
  <c r="P106" i="66"/>
  <c r="N105" i="66" l="1"/>
  <c r="W105" i="66" s="1"/>
  <c r="I105" i="66"/>
  <c r="Y107" i="66"/>
  <c r="Z107" i="66" s="1"/>
  <c r="AB107" i="66"/>
  <c r="S106" i="66"/>
  <c r="F107" i="66"/>
  <c r="G107" i="66"/>
  <c r="E108" i="66"/>
  <c r="H106" i="66"/>
  <c r="D108" i="66"/>
  <c r="P107" i="66"/>
  <c r="Y108" i="66" l="1"/>
  <c r="Z108" i="66" s="1"/>
  <c r="AB108" i="66"/>
  <c r="F108" i="66"/>
  <c r="G108" i="66"/>
  <c r="E109" i="66"/>
  <c r="S107" i="66"/>
  <c r="I106" i="66"/>
  <c r="N106" i="66"/>
  <c r="W106" i="66" s="1"/>
  <c r="K106" i="66"/>
  <c r="V106" i="66" s="1"/>
  <c r="H107" i="66"/>
  <c r="D109" i="66"/>
  <c r="P108" i="66"/>
  <c r="Y109" i="66" l="1"/>
  <c r="Z109" i="66" s="1"/>
  <c r="AB109" i="66"/>
  <c r="S108" i="66"/>
  <c r="K107" i="66"/>
  <c r="V107" i="66" s="1"/>
  <c r="N107" i="66"/>
  <c r="W107" i="66" s="1"/>
  <c r="I107" i="66"/>
  <c r="F109" i="66"/>
  <c r="G109" i="66"/>
  <c r="E110" i="66"/>
  <c r="H108" i="66"/>
  <c r="D110" i="66"/>
  <c r="P109" i="66"/>
  <c r="Y110" i="66" l="1"/>
  <c r="Z110" i="66" s="1"/>
  <c r="AB110" i="66"/>
  <c r="H109" i="66"/>
  <c r="I109" i="66" s="1"/>
  <c r="F110" i="66"/>
  <c r="G110" i="66"/>
  <c r="E111" i="66"/>
  <c r="S109" i="66"/>
  <c r="N108" i="66"/>
  <c r="W108" i="66" s="1"/>
  <c r="K108" i="66"/>
  <c r="V108" i="66" s="1"/>
  <c r="I108" i="66"/>
  <c r="D111" i="66"/>
  <c r="P110" i="66"/>
  <c r="N109" i="66" l="1"/>
  <c r="W109" i="66" s="1"/>
  <c r="K109" i="66"/>
  <c r="V109" i="66" s="1"/>
  <c r="Y111" i="66"/>
  <c r="Z111" i="66" s="1"/>
  <c r="AB111" i="66"/>
  <c r="G111" i="66"/>
  <c r="F111" i="66"/>
  <c r="E112" i="66"/>
  <c r="S110" i="66"/>
  <c r="H110" i="66"/>
  <c r="D112" i="66"/>
  <c r="P111" i="66"/>
  <c r="Y112" i="66" l="1"/>
  <c r="Z112" i="66" s="1"/>
  <c r="AB112" i="66"/>
  <c r="H111" i="66"/>
  <c r="I111" i="66" s="1"/>
  <c r="S111" i="66"/>
  <c r="F112" i="66"/>
  <c r="G112" i="66"/>
  <c r="E113" i="66"/>
  <c r="K110" i="66"/>
  <c r="V110" i="66" s="1"/>
  <c r="I110" i="66"/>
  <c r="N110" i="66"/>
  <c r="W110" i="66" s="1"/>
  <c r="D113" i="66"/>
  <c r="P112" i="66"/>
  <c r="N111" i="66" l="1"/>
  <c r="W111" i="66" s="1"/>
  <c r="K111" i="66"/>
  <c r="V111" i="66" s="1"/>
  <c r="Y113" i="66"/>
  <c r="Z113" i="66" s="1"/>
  <c r="AB113" i="66"/>
  <c r="G113" i="66"/>
  <c r="F113" i="66"/>
  <c r="E114" i="66"/>
  <c r="S112" i="66"/>
  <c r="H112" i="66"/>
  <c r="D114" i="66"/>
  <c r="P113" i="66"/>
  <c r="Y114" i="66" l="1"/>
  <c r="Z114" i="66" s="1"/>
  <c r="AB114" i="66"/>
  <c r="H113" i="66"/>
  <c r="N113" i="66" s="1"/>
  <c r="W113" i="66" s="1"/>
  <c r="S113" i="66"/>
  <c r="G114" i="66"/>
  <c r="F114" i="66"/>
  <c r="E115" i="66"/>
  <c r="N112" i="66"/>
  <c r="W112" i="66" s="1"/>
  <c r="K112" i="66"/>
  <c r="V112" i="66" s="1"/>
  <c r="I112" i="66"/>
  <c r="D115" i="66"/>
  <c r="P114" i="66"/>
  <c r="I113" i="66" l="1"/>
  <c r="K113" i="66"/>
  <c r="V113" i="66" s="1"/>
  <c r="Y115" i="66"/>
  <c r="Z115" i="66" s="1"/>
  <c r="AB115" i="66"/>
  <c r="H114" i="66"/>
  <c r="K114" i="66" s="1"/>
  <c r="V114" i="66" s="1"/>
  <c r="G115" i="66"/>
  <c r="F115" i="66"/>
  <c r="E116" i="66"/>
  <c r="S114" i="66"/>
  <c r="D116" i="66"/>
  <c r="P115" i="66"/>
  <c r="H115" i="66" l="1"/>
  <c r="N115" i="66" s="1"/>
  <c r="W115" i="66" s="1"/>
  <c r="I114" i="66"/>
  <c r="N114" i="66"/>
  <c r="W114" i="66" s="1"/>
  <c r="Y116" i="66"/>
  <c r="Z116" i="66" s="1"/>
  <c r="AB116" i="66"/>
  <c r="S115" i="66"/>
  <c r="G116" i="66"/>
  <c r="F116" i="66"/>
  <c r="E117" i="66"/>
  <c r="D117" i="66"/>
  <c r="P116" i="66"/>
  <c r="K115" i="66" l="1"/>
  <c r="V115" i="66" s="1"/>
  <c r="I115" i="66"/>
  <c r="H116" i="66"/>
  <c r="N116" i="66" s="1"/>
  <c r="W116" i="66" s="1"/>
  <c r="Y117" i="66"/>
  <c r="Z117" i="66" s="1"/>
  <c r="AB117" i="66"/>
  <c r="F117" i="66"/>
  <c r="G117" i="66"/>
  <c r="E118" i="66"/>
  <c r="S116" i="66"/>
  <c r="D118" i="66"/>
  <c r="P117" i="66"/>
  <c r="K116" i="66" l="1"/>
  <c r="V116" i="66" s="1"/>
  <c r="I116" i="66"/>
  <c r="Y118" i="66"/>
  <c r="Z118" i="66" s="1"/>
  <c r="AB118" i="66"/>
  <c r="F118" i="66"/>
  <c r="G118" i="66"/>
  <c r="E119" i="66"/>
  <c r="S117" i="66"/>
  <c r="H117" i="66"/>
  <c r="D119" i="66"/>
  <c r="P118" i="66"/>
  <c r="Y119" i="66" l="1"/>
  <c r="Z119" i="66" s="1"/>
  <c r="AB119" i="66"/>
  <c r="G119" i="66"/>
  <c r="F119" i="66"/>
  <c r="E120" i="66"/>
  <c r="S118" i="66"/>
  <c r="N117" i="66"/>
  <c r="W117" i="66" s="1"/>
  <c r="K117" i="66"/>
  <c r="V117" i="66" s="1"/>
  <c r="I117" i="66"/>
  <c r="H118" i="66"/>
  <c r="D120" i="66"/>
  <c r="P119" i="66"/>
  <c r="Y120" i="66" l="1"/>
  <c r="Z120" i="66" s="1"/>
  <c r="AB120" i="66"/>
  <c r="H119" i="66"/>
  <c r="S119" i="66"/>
  <c r="N118" i="66"/>
  <c r="W118" i="66" s="1"/>
  <c r="K118" i="66"/>
  <c r="V118" i="66" s="1"/>
  <c r="I118" i="66"/>
  <c r="G120" i="66"/>
  <c r="F120" i="66"/>
  <c r="E121" i="66"/>
  <c r="D121" i="66"/>
  <c r="P120" i="66"/>
  <c r="H120" i="66" l="1"/>
  <c r="N120" i="66" s="1"/>
  <c r="W120" i="66" s="1"/>
  <c r="Y121" i="66"/>
  <c r="Z121" i="66" s="1"/>
  <c r="AB121" i="66"/>
  <c r="S120" i="66"/>
  <c r="F121" i="66"/>
  <c r="G121" i="66"/>
  <c r="E122" i="66"/>
  <c r="N119" i="66"/>
  <c r="W119" i="66" s="1"/>
  <c r="I119" i="66"/>
  <c r="K119" i="66"/>
  <c r="V119" i="66" s="1"/>
  <c r="D122" i="66"/>
  <c r="P121" i="66"/>
  <c r="I120" i="66" l="1"/>
  <c r="K120" i="66"/>
  <c r="V120" i="66" s="1"/>
  <c r="Y122" i="66"/>
  <c r="Z122" i="66" s="1"/>
  <c r="AB122" i="66"/>
  <c r="F122" i="66"/>
  <c r="G122" i="66"/>
  <c r="E123" i="66"/>
  <c r="S121" i="66"/>
  <c r="H121" i="66"/>
  <c r="D123" i="66"/>
  <c r="P122" i="66"/>
  <c r="Y123" i="66" l="1"/>
  <c r="Z123" i="66" s="1"/>
  <c r="AB123" i="66"/>
  <c r="N121" i="66"/>
  <c r="W121" i="66" s="1"/>
  <c r="I121" i="66"/>
  <c r="K121" i="66"/>
  <c r="V121" i="66" s="1"/>
  <c r="F123" i="66"/>
  <c r="G123" i="66"/>
  <c r="E124" i="66"/>
  <c r="S122" i="66"/>
  <c r="H122" i="66"/>
  <c r="D124" i="66"/>
  <c r="P123" i="66"/>
  <c r="Y124" i="66" l="1"/>
  <c r="Z124" i="66" s="1"/>
  <c r="AB124" i="66"/>
  <c r="H123" i="66"/>
  <c r="K123" i="66" s="1"/>
  <c r="V123" i="66" s="1"/>
  <c r="K122" i="66"/>
  <c r="V122" i="66" s="1"/>
  <c r="I122" i="66"/>
  <c r="N122" i="66"/>
  <c r="W122" i="66" s="1"/>
  <c r="F124" i="66"/>
  <c r="G124" i="66"/>
  <c r="E125" i="66"/>
  <c r="S123" i="66"/>
  <c r="D125" i="66"/>
  <c r="P124" i="66"/>
  <c r="N123" i="66" l="1"/>
  <c r="W123" i="66" s="1"/>
  <c r="I123" i="66"/>
  <c r="Y125" i="66"/>
  <c r="Z125" i="66" s="1"/>
  <c r="AB125" i="66"/>
  <c r="H124" i="66"/>
  <c r="S124" i="66"/>
  <c r="F125" i="66"/>
  <c r="G125" i="66"/>
  <c r="E126" i="66"/>
  <c r="D126" i="66"/>
  <c r="P125" i="66"/>
  <c r="Y126" i="66" l="1"/>
  <c r="Z126" i="66" s="1"/>
  <c r="AB126" i="66"/>
  <c r="S125" i="66"/>
  <c r="F126" i="66"/>
  <c r="G126" i="66"/>
  <c r="E127" i="66"/>
  <c r="H125" i="66"/>
  <c r="N124" i="66"/>
  <c r="W124" i="66" s="1"/>
  <c r="K124" i="66"/>
  <c r="V124" i="66" s="1"/>
  <c r="I124" i="66"/>
  <c r="D127" i="66"/>
  <c r="P126" i="66"/>
  <c r="Y127" i="66" l="1"/>
  <c r="Z127" i="66" s="1"/>
  <c r="AB127" i="66"/>
  <c r="S126" i="66"/>
  <c r="G127" i="66"/>
  <c r="F127" i="66"/>
  <c r="E128" i="66"/>
  <c r="H126" i="66"/>
  <c r="N125" i="66"/>
  <c r="W125" i="66" s="1"/>
  <c r="I125" i="66"/>
  <c r="K125" i="66"/>
  <c r="V125" i="66" s="1"/>
  <c r="D128" i="66"/>
  <c r="P127" i="66"/>
  <c r="H127" i="66" l="1"/>
  <c r="K127" i="66" s="1"/>
  <c r="V127" i="66" s="1"/>
  <c r="Y128" i="66"/>
  <c r="Z128" i="66" s="1"/>
  <c r="AB128" i="66"/>
  <c r="S127" i="66"/>
  <c r="F128" i="66"/>
  <c r="G128" i="66"/>
  <c r="E129" i="66"/>
  <c r="K126" i="66"/>
  <c r="V126" i="66" s="1"/>
  <c r="N126" i="66"/>
  <c r="W126" i="66" s="1"/>
  <c r="I126" i="66"/>
  <c r="D129" i="66"/>
  <c r="P128" i="66"/>
  <c r="I127" i="66" l="1"/>
  <c r="N127" i="66"/>
  <c r="W127" i="66" s="1"/>
  <c r="Y129" i="66"/>
  <c r="Z129" i="66" s="1"/>
  <c r="AB129" i="66"/>
  <c r="H128" i="66"/>
  <c r="S128" i="66"/>
  <c r="F129" i="66"/>
  <c r="G129" i="66"/>
  <c r="E130" i="66"/>
  <c r="D130" i="66"/>
  <c r="P129" i="66"/>
  <c r="Y130" i="66" l="1"/>
  <c r="Z130" i="66" s="1"/>
  <c r="AB130" i="66"/>
  <c r="F130" i="66"/>
  <c r="G130" i="66"/>
  <c r="E131" i="66"/>
  <c r="H129" i="66"/>
  <c r="S129" i="66"/>
  <c r="I128" i="66"/>
  <c r="N128" i="66"/>
  <c r="W128" i="66" s="1"/>
  <c r="K128" i="66"/>
  <c r="V128" i="66" s="1"/>
  <c r="D131" i="66"/>
  <c r="P130" i="66"/>
  <c r="Y131" i="66" l="1"/>
  <c r="Z131" i="66" s="1"/>
  <c r="AB131" i="66"/>
  <c r="F131" i="66"/>
  <c r="G131" i="66"/>
  <c r="E132" i="66"/>
  <c r="S130" i="66"/>
  <c r="N129" i="66"/>
  <c r="W129" i="66" s="1"/>
  <c r="I129" i="66"/>
  <c r="K129" i="66"/>
  <c r="V129" i="66" s="1"/>
  <c r="H130" i="66"/>
  <c r="D132" i="66"/>
  <c r="P131" i="66"/>
  <c r="Y132" i="66" l="1"/>
  <c r="Z132" i="66" s="1"/>
  <c r="AB132" i="66"/>
  <c r="S131" i="66"/>
  <c r="F132" i="66"/>
  <c r="G132" i="66"/>
  <c r="E133" i="66"/>
  <c r="N130" i="66"/>
  <c r="W130" i="66" s="1"/>
  <c r="K130" i="66"/>
  <c r="V130" i="66" s="1"/>
  <c r="I130" i="66"/>
  <c r="H131" i="66"/>
  <c r="D133" i="66"/>
  <c r="P132" i="66"/>
  <c r="Y133" i="66" l="1"/>
  <c r="Z133" i="66" s="1"/>
  <c r="AB133" i="66"/>
  <c r="F133" i="66"/>
  <c r="G133" i="66"/>
  <c r="E134" i="66"/>
  <c r="S132" i="66"/>
  <c r="H132" i="66"/>
  <c r="I131" i="66"/>
  <c r="N131" i="66"/>
  <c r="W131" i="66" s="1"/>
  <c r="K131" i="66"/>
  <c r="V131" i="66" s="1"/>
  <c r="D134" i="66"/>
  <c r="P133" i="66"/>
  <c r="Y134" i="66" l="1"/>
  <c r="Z134" i="66" s="1"/>
  <c r="AB134" i="66"/>
  <c r="K132" i="66"/>
  <c r="V132" i="66" s="1"/>
  <c r="N132" i="66"/>
  <c r="W132" i="66" s="1"/>
  <c r="I132" i="66"/>
  <c r="G134" i="66"/>
  <c r="F134" i="66"/>
  <c r="E135" i="66"/>
  <c r="H133" i="66"/>
  <c r="S133" i="66"/>
  <c r="D135" i="66"/>
  <c r="P134" i="66"/>
  <c r="Y135" i="66" l="1"/>
  <c r="Z135" i="66" s="1"/>
  <c r="AB135" i="66"/>
  <c r="S134" i="66"/>
  <c r="I133" i="66"/>
  <c r="N133" i="66"/>
  <c r="W133" i="66" s="1"/>
  <c r="K133" i="66"/>
  <c r="V133" i="66" s="1"/>
  <c r="F135" i="66"/>
  <c r="G135" i="66"/>
  <c r="E136" i="66"/>
  <c r="H134" i="66"/>
  <c r="D136" i="66"/>
  <c r="P135" i="66"/>
  <c r="Y136" i="66" l="1"/>
  <c r="Z136" i="66" s="1"/>
  <c r="AB136" i="66"/>
  <c r="H135" i="66"/>
  <c r="K135" i="66" s="1"/>
  <c r="V135" i="66" s="1"/>
  <c r="S135" i="66"/>
  <c r="K134" i="66"/>
  <c r="V134" i="66" s="1"/>
  <c r="N134" i="66"/>
  <c r="W134" i="66" s="1"/>
  <c r="I134" i="66"/>
  <c r="F136" i="66"/>
  <c r="G136" i="66"/>
  <c r="E137" i="66"/>
  <c r="D137" i="66"/>
  <c r="P136" i="66"/>
  <c r="I135" i="66" l="1"/>
  <c r="N135" i="66"/>
  <c r="W135" i="66" s="1"/>
  <c r="Y137" i="66"/>
  <c r="Z137" i="66" s="1"/>
  <c r="AB137" i="66"/>
  <c r="H136" i="66"/>
  <c r="I136" i="66" s="1"/>
  <c r="S136" i="66"/>
  <c r="G137" i="66"/>
  <c r="F137" i="66"/>
  <c r="E138" i="66"/>
  <c r="D138" i="66"/>
  <c r="P137" i="66"/>
  <c r="K136" i="66" l="1"/>
  <c r="V136" i="66" s="1"/>
  <c r="H137" i="66"/>
  <c r="I137" i="66" s="1"/>
  <c r="N136" i="66"/>
  <c r="W136" i="66" s="1"/>
  <c r="Y138" i="66"/>
  <c r="Z138" i="66" s="1"/>
  <c r="AB138" i="66"/>
  <c r="S137" i="66"/>
  <c r="G138" i="66"/>
  <c r="F138" i="66"/>
  <c r="E139" i="66"/>
  <c r="D139" i="66"/>
  <c r="P138" i="66"/>
  <c r="K137" i="66" l="1"/>
  <c r="V137" i="66" s="1"/>
  <c r="N137" i="66"/>
  <c r="W137" i="66" s="1"/>
  <c r="H138" i="66"/>
  <c r="N138" i="66" s="1"/>
  <c r="W138" i="66" s="1"/>
  <c r="Y139" i="66"/>
  <c r="Z139" i="66" s="1"/>
  <c r="AB139" i="66"/>
  <c r="S138" i="66"/>
  <c r="F139" i="66"/>
  <c r="G139" i="66"/>
  <c r="E140" i="66"/>
  <c r="D140" i="66"/>
  <c r="P139" i="66"/>
  <c r="I138" i="66" l="1"/>
  <c r="K138" i="66"/>
  <c r="V138" i="66" s="1"/>
  <c r="Y140" i="66"/>
  <c r="Z140" i="66" s="1"/>
  <c r="AB140" i="66"/>
  <c r="F140" i="66"/>
  <c r="G140" i="66"/>
  <c r="E141" i="66"/>
  <c r="S139" i="66"/>
  <c r="H139" i="66"/>
  <c r="D141" i="66"/>
  <c r="P140" i="66"/>
  <c r="Y141" i="66" l="1"/>
  <c r="Z141" i="66" s="1"/>
  <c r="AB141" i="66"/>
  <c r="S140" i="66"/>
  <c r="H140" i="66"/>
  <c r="N139" i="66"/>
  <c r="W139" i="66" s="1"/>
  <c r="I139" i="66"/>
  <c r="K139" i="66"/>
  <c r="V139" i="66" s="1"/>
  <c r="F141" i="66"/>
  <c r="G141" i="66"/>
  <c r="E142" i="66"/>
  <c r="D142" i="66"/>
  <c r="P141" i="66"/>
  <c r="Y142" i="66" l="1"/>
  <c r="Z142" i="66" s="1"/>
  <c r="AB142" i="66"/>
  <c r="H141" i="66"/>
  <c r="I141" i="66" s="1"/>
  <c r="S141" i="66"/>
  <c r="N140" i="66"/>
  <c r="W140" i="66" s="1"/>
  <c r="I140" i="66"/>
  <c r="K140" i="66"/>
  <c r="V140" i="66" s="1"/>
  <c r="G142" i="66"/>
  <c r="F142" i="66"/>
  <c r="E143" i="66"/>
  <c r="D143" i="66"/>
  <c r="P142" i="66"/>
  <c r="H142" i="66" l="1"/>
  <c r="N142" i="66" s="1"/>
  <c r="W142" i="66" s="1"/>
  <c r="K141" i="66"/>
  <c r="V141" i="66" s="1"/>
  <c r="N141" i="66"/>
  <c r="W141" i="66" s="1"/>
  <c r="Y143" i="66"/>
  <c r="Z143" i="66" s="1"/>
  <c r="AB143" i="66"/>
  <c r="S142" i="66"/>
  <c r="G143" i="66"/>
  <c r="F143" i="66"/>
  <c r="E144" i="66"/>
  <c r="D144" i="66"/>
  <c r="P143" i="66"/>
  <c r="K142" i="66" l="1"/>
  <c r="V142" i="66" s="1"/>
  <c r="I142" i="66"/>
  <c r="H143" i="66"/>
  <c r="K143" i="66" s="1"/>
  <c r="V143" i="66" s="1"/>
  <c r="Y144" i="66"/>
  <c r="Z144" i="66" s="1"/>
  <c r="AB144" i="66"/>
  <c r="S143" i="66"/>
  <c r="F144" i="66"/>
  <c r="G144" i="66"/>
  <c r="E145" i="66"/>
  <c r="D145" i="66"/>
  <c r="P144" i="66"/>
  <c r="I143" i="66" l="1"/>
  <c r="N143" i="66"/>
  <c r="W143" i="66" s="1"/>
  <c r="Y145" i="66"/>
  <c r="Z145" i="66" s="1"/>
  <c r="AB145" i="66"/>
  <c r="H144" i="66"/>
  <c r="S144" i="66"/>
  <c r="G145" i="66"/>
  <c r="F145" i="66"/>
  <c r="E146" i="66"/>
  <c r="D146" i="66"/>
  <c r="P145" i="66"/>
  <c r="Y146" i="66" l="1"/>
  <c r="Z146" i="66" s="1"/>
  <c r="AB146" i="66"/>
  <c r="H145" i="66"/>
  <c r="N145" i="66" s="1"/>
  <c r="W145" i="66" s="1"/>
  <c r="G146" i="66"/>
  <c r="F146" i="66"/>
  <c r="E147" i="66"/>
  <c r="S145" i="66"/>
  <c r="K144" i="66"/>
  <c r="V144" i="66" s="1"/>
  <c r="I144" i="66"/>
  <c r="N144" i="66"/>
  <c r="W144" i="66" s="1"/>
  <c r="D147" i="66"/>
  <c r="P146" i="66"/>
  <c r="K145" i="66" l="1"/>
  <c r="V145" i="66" s="1"/>
  <c r="I145" i="66"/>
  <c r="Y147" i="66"/>
  <c r="Z147" i="66" s="1"/>
  <c r="AB147" i="66"/>
  <c r="H146" i="66"/>
  <c r="I146" i="66" s="1"/>
  <c r="F147" i="66"/>
  <c r="G147" i="66"/>
  <c r="E148" i="66"/>
  <c r="S146" i="66"/>
  <c r="D148" i="66"/>
  <c r="P147" i="66"/>
  <c r="K146" i="66" l="1"/>
  <c r="V146" i="66" s="1"/>
  <c r="N146" i="66"/>
  <c r="W146" i="66" s="1"/>
  <c r="Y148" i="66"/>
  <c r="Z148" i="66" s="1"/>
  <c r="AB148" i="66"/>
  <c r="G148" i="66"/>
  <c r="F148" i="66"/>
  <c r="E149" i="66"/>
  <c r="S147" i="66"/>
  <c r="H147" i="66"/>
  <c r="D149" i="66"/>
  <c r="P148" i="66"/>
  <c r="Y149" i="66" l="1"/>
  <c r="Z149" i="66" s="1"/>
  <c r="AB149" i="66"/>
  <c r="H148" i="66"/>
  <c r="I148" i="66" s="1"/>
  <c r="S148" i="66"/>
  <c r="F149" i="66"/>
  <c r="G149" i="66"/>
  <c r="E150" i="66"/>
  <c r="K147" i="66"/>
  <c r="V147" i="66" s="1"/>
  <c r="I147" i="66"/>
  <c r="N147" i="66"/>
  <c r="W147" i="66" s="1"/>
  <c r="D150" i="66"/>
  <c r="P149" i="66"/>
  <c r="K148" i="66" l="1"/>
  <c r="V148" i="66" s="1"/>
  <c r="N148" i="66"/>
  <c r="W148" i="66" s="1"/>
  <c r="Y150" i="66"/>
  <c r="Z150" i="66" s="1"/>
  <c r="AB150" i="66"/>
  <c r="G150" i="66"/>
  <c r="F150" i="66"/>
  <c r="E151" i="66"/>
  <c r="S149" i="66"/>
  <c r="H149" i="66"/>
  <c r="D151" i="66"/>
  <c r="P150" i="66"/>
  <c r="Y151" i="66" l="1"/>
  <c r="Z151" i="66" s="1"/>
  <c r="AB151" i="66"/>
  <c r="H150" i="66"/>
  <c r="S150" i="66"/>
  <c r="N149" i="66"/>
  <c r="W149" i="66" s="1"/>
  <c r="I149" i="66"/>
  <c r="K149" i="66"/>
  <c r="V149" i="66" s="1"/>
  <c r="G151" i="66"/>
  <c r="F151" i="66"/>
  <c r="E152" i="66"/>
  <c r="D152" i="66"/>
  <c r="P151" i="66"/>
  <c r="Y152" i="66" l="1"/>
  <c r="Z152" i="66" s="1"/>
  <c r="AB152" i="66"/>
  <c r="F152" i="66"/>
  <c r="G152" i="66"/>
  <c r="E153" i="66"/>
  <c r="H151" i="66"/>
  <c r="S151" i="66"/>
  <c r="I150" i="66"/>
  <c r="N150" i="66"/>
  <c r="W150" i="66" s="1"/>
  <c r="K150" i="66"/>
  <c r="V150" i="66" s="1"/>
  <c r="D153" i="66"/>
  <c r="P152" i="66"/>
  <c r="Y153" i="66" l="1"/>
  <c r="Z153" i="66" s="1"/>
  <c r="AB153" i="66"/>
  <c r="S152" i="66"/>
  <c r="G153" i="66"/>
  <c r="F153" i="66"/>
  <c r="E154" i="66"/>
  <c r="H152" i="66"/>
  <c r="N151" i="66"/>
  <c r="W151" i="66" s="1"/>
  <c r="K151" i="66"/>
  <c r="V151" i="66" s="1"/>
  <c r="I151" i="66"/>
  <c r="D154" i="66"/>
  <c r="P153" i="66"/>
  <c r="H153" i="66" l="1"/>
  <c r="I153" i="66" s="1"/>
  <c r="Y154" i="66"/>
  <c r="Z154" i="66" s="1"/>
  <c r="AB154" i="66"/>
  <c r="S153" i="66"/>
  <c r="G154" i="66"/>
  <c r="F154" i="66"/>
  <c r="E155" i="66"/>
  <c r="N152" i="66"/>
  <c r="W152" i="66" s="1"/>
  <c r="K152" i="66"/>
  <c r="V152" i="66" s="1"/>
  <c r="I152" i="66"/>
  <c r="D155" i="66"/>
  <c r="P154" i="66"/>
  <c r="N153" i="66" l="1"/>
  <c r="W153" i="66" s="1"/>
  <c r="K153" i="66"/>
  <c r="V153" i="66" s="1"/>
  <c r="H154" i="66"/>
  <c r="K154" i="66" s="1"/>
  <c r="V154" i="66" s="1"/>
  <c r="Y155" i="66"/>
  <c r="Z155" i="66" s="1"/>
  <c r="AB155" i="66"/>
  <c r="F155" i="66"/>
  <c r="G155" i="66"/>
  <c r="E156" i="66"/>
  <c r="S154" i="66"/>
  <c r="D156" i="66"/>
  <c r="P155" i="66"/>
  <c r="I154" i="66" l="1"/>
  <c r="N154" i="66"/>
  <c r="W154" i="66" s="1"/>
  <c r="Y156" i="66"/>
  <c r="Z156" i="66" s="1"/>
  <c r="AB156" i="66"/>
  <c r="S155" i="66"/>
  <c r="G156" i="66"/>
  <c r="F156" i="66"/>
  <c r="E157" i="66"/>
  <c r="H155" i="66"/>
  <c r="D157" i="66"/>
  <c r="P156" i="66"/>
  <c r="H156" i="66" l="1"/>
  <c r="N156" i="66" s="1"/>
  <c r="W156" i="66" s="1"/>
  <c r="Y157" i="66"/>
  <c r="Z157" i="66" s="1"/>
  <c r="AB157" i="66"/>
  <c r="N155" i="66"/>
  <c r="W155" i="66" s="1"/>
  <c r="I155" i="66"/>
  <c r="K155" i="66"/>
  <c r="V155" i="66" s="1"/>
  <c r="F157" i="66"/>
  <c r="G157" i="66"/>
  <c r="E158" i="66"/>
  <c r="S156" i="66"/>
  <c r="D158" i="66"/>
  <c r="P157" i="66"/>
  <c r="K156" i="66" l="1"/>
  <c r="V156" i="66" s="1"/>
  <c r="I156" i="66"/>
  <c r="Y158" i="66"/>
  <c r="Z158" i="66" s="1"/>
  <c r="AB158" i="66"/>
  <c r="H157" i="66"/>
  <c r="I157" i="66" s="1"/>
  <c r="S157" i="66"/>
  <c r="G158" i="66"/>
  <c r="F158" i="66"/>
  <c r="E159" i="66"/>
  <c r="D159" i="66"/>
  <c r="P158" i="66"/>
  <c r="K157" i="66" l="1"/>
  <c r="V157" i="66" s="1"/>
  <c r="Y159" i="66"/>
  <c r="Z159" i="66" s="1"/>
  <c r="AB159" i="66"/>
  <c r="N157" i="66"/>
  <c r="W157" i="66" s="1"/>
  <c r="H158" i="66"/>
  <c r="S158" i="66"/>
  <c r="G159" i="66"/>
  <c r="F159" i="66"/>
  <c r="E160" i="66"/>
  <c r="D160" i="66"/>
  <c r="P159" i="66"/>
  <c r="H159" i="66" l="1"/>
  <c r="K159" i="66" s="1"/>
  <c r="V159" i="66" s="1"/>
  <c r="Y160" i="66"/>
  <c r="Z160" i="66" s="1"/>
  <c r="AB160" i="66"/>
  <c r="S159" i="66"/>
  <c r="F160" i="66"/>
  <c r="G160" i="66"/>
  <c r="E161" i="66"/>
  <c r="K158" i="66"/>
  <c r="V158" i="66" s="1"/>
  <c r="N158" i="66"/>
  <c r="W158" i="66" s="1"/>
  <c r="I158" i="66"/>
  <c r="D161" i="66"/>
  <c r="P160" i="66"/>
  <c r="I159" i="66" l="1"/>
  <c r="N159" i="66"/>
  <c r="W159" i="66" s="1"/>
  <c r="Y161" i="66"/>
  <c r="Z161" i="66" s="1"/>
  <c r="AB161" i="66"/>
  <c r="G161" i="66"/>
  <c r="F161" i="66"/>
  <c r="E162" i="66"/>
  <c r="S160" i="66"/>
  <c r="H160" i="66"/>
  <c r="D162" i="66"/>
  <c r="P161" i="66"/>
  <c r="Y162" i="66" l="1"/>
  <c r="Z162" i="66" s="1"/>
  <c r="AB162" i="66"/>
  <c r="H161" i="66"/>
  <c r="I161" i="66" s="1"/>
  <c r="G162" i="66"/>
  <c r="F162" i="66"/>
  <c r="E163" i="66"/>
  <c r="S161" i="66"/>
  <c r="N160" i="66"/>
  <c r="W160" i="66" s="1"/>
  <c r="I160" i="66"/>
  <c r="K160" i="66"/>
  <c r="V160" i="66" s="1"/>
  <c r="D163" i="66"/>
  <c r="P162" i="66"/>
  <c r="K161" i="66" l="1"/>
  <c r="V161" i="66" s="1"/>
  <c r="N161" i="66"/>
  <c r="W161" i="66" s="1"/>
  <c r="H162" i="66"/>
  <c r="K162" i="66" s="1"/>
  <c r="V162" i="66" s="1"/>
  <c r="Y163" i="66"/>
  <c r="Z163" i="66" s="1"/>
  <c r="AB163" i="66"/>
  <c r="F163" i="66"/>
  <c r="G163" i="66"/>
  <c r="E164" i="66"/>
  <c r="S162" i="66"/>
  <c r="D164" i="66"/>
  <c r="P163" i="66"/>
  <c r="N162" i="66" l="1"/>
  <c r="W162" i="66" s="1"/>
  <c r="I162" i="66"/>
  <c r="Y164" i="66"/>
  <c r="Z164" i="66" s="1"/>
  <c r="AB164" i="66"/>
  <c r="S163" i="66"/>
  <c r="G164" i="66"/>
  <c r="F164" i="66"/>
  <c r="E165" i="66"/>
  <c r="H163" i="66"/>
  <c r="D165" i="66"/>
  <c r="P164" i="66"/>
  <c r="H164" i="66" l="1"/>
  <c r="I164" i="66" s="1"/>
  <c r="Y165" i="66"/>
  <c r="Z165" i="66" s="1"/>
  <c r="AB165" i="66"/>
  <c r="S164" i="66"/>
  <c r="F165" i="66"/>
  <c r="G165" i="66"/>
  <c r="E166" i="66"/>
  <c r="N163" i="66"/>
  <c r="W163" i="66" s="1"/>
  <c r="I163" i="66"/>
  <c r="K163" i="66"/>
  <c r="V163" i="66" s="1"/>
  <c r="D166" i="66"/>
  <c r="P165" i="66"/>
  <c r="N164" i="66" l="1"/>
  <c r="W164" i="66" s="1"/>
  <c r="K164" i="66"/>
  <c r="V164" i="66" s="1"/>
  <c r="H165" i="66"/>
  <c r="K165" i="66" s="1"/>
  <c r="V165" i="66" s="1"/>
  <c r="Y166" i="66"/>
  <c r="Z166" i="66" s="1"/>
  <c r="AB166" i="66"/>
  <c r="S165" i="66"/>
  <c r="G166" i="66"/>
  <c r="F166" i="66"/>
  <c r="E167" i="66"/>
  <c r="D167" i="66"/>
  <c r="P166" i="66"/>
  <c r="N165" i="66" l="1"/>
  <c r="W165" i="66" s="1"/>
  <c r="I165" i="66"/>
  <c r="Y167" i="66"/>
  <c r="Z167" i="66" s="1"/>
  <c r="AB167" i="66"/>
  <c r="H166" i="66"/>
  <c r="K166" i="66" s="1"/>
  <c r="V166" i="66" s="1"/>
  <c r="S166" i="66"/>
  <c r="G167" i="66"/>
  <c r="F167" i="66"/>
  <c r="E168" i="66"/>
  <c r="D168" i="66"/>
  <c r="P167" i="66"/>
  <c r="I166" i="66" l="1"/>
  <c r="N166" i="66"/>
  <c r="W166" i="66" s="1"/>
  <c r="Y168" i="66"/>
  <c r="Z168" i="66" s="1"/>
  <c r="AB168" i="66"/>
  <c r="H167" i="66"/>
  <c r="N167" i="66" s="1"/>
  <c r="W167" i="66" s="1"/>
  <c r="F168" i="66"/>
  <c r="G168" i="66"/>
  <c r="E169" i="66"/>
  <c r="S167" i="66"/>
  <c r="D169" i="66"/>
  <c r="P168" i="66"/>
  <c r="I167" i="66" l="1"/>
  <c r="K167" i="66"/>
  <c r="V167" i="66" s="1"/>
  <c r="Y169" i="66"/>
  <c r="Z169" i="66" s="1"/>
  <c r="AB169" i="66"/>
  <c r="S168" i="66"/>
  <c r="G169" i="66"/>
  <c r="F169" i="66"/>
  <c r="E170" i="66"/>
  <c r="H168" i="66"/>
  <c r="D170" i="66"/>
  <c r="P169" i="66"/>
  <c r="H169" i="66" l="1"/>
  <c r="N169" i="66" s="1"/>
  <c r="W169" i="66" s="1"/>
  <c r="Y170" i="66"/>
  <c r="Z170" i="66" s="1"/>
  <c r="AB170" i="66"/>
  <c r="G170" i="66"/>
  <c r="F170" i="66"/>
  <c r="E171" i="66"/>
  <c r="S169" i="66"/>
  <c r="N168" i="66"/>
  <c r="W168" i="66" s="1"/>
  <c r="K168" i="66"/>
  <c r="V168" i="66" s="1"/>
  <c r="I168" i="66"/>
  <c r="D171" i="66"/>
  <c r="P170" i="66"/>
  <c r="K169" i="66" l="1"/>
  <c r="V169" i="66" s="1"/>
  <c r="I169" i="66"/>
  <c r="Y171" i="66"/>
  <c r="Z171" i="66" s="1"/>
  <c r="AB171" i="66"/>
  <c r="H170" i="66"/>
  <c r="N170" i="66" s="1"/>
  <c r="W170" i="66" s="1"/>
  <c r="S170" i="66"/>
  <c r="F171" i="66"/>
  <c r="G171" i="66"/>
  <c r="E172" i="66"/>
  <c r="D172" i="66"/>
  <c r="P171" i="66"/>
  <c r="K170" i="66" l="1"/>
  <c r="V170" i="66" s="1"/>
  <c r="I170" i="66"/>
  <c r="Y172" i="66"/>
  <c r="Z172" i="66" s="1"/>
  <c r="AB172" i="66"/>
  <c r="G172" i="66"/>
  <c r="F172" i="66"/>
  <c r="E173" i="66"/>
  <c r="S171" i="66"/>
  <c r="H171" i="66"/>
  <c r="D173" i="66"/>
  <c r="P172" i="66"/>
  <c r="Y173" i="66" l="1"/>
  <c r="Z173" i="66" s="1"/>
  <c r="AB173" i="66"/>
  <c r="H172" i="66"/>
  <c r="I172" i="66" s="1"/>
  <c r="S172" i="66"/>
  <c r="K171" i="66"/>
  <c r="V171" i="66" s="1"/>
  <c r="N171" i="66"/>
  <c r="W171" i="66" s="1"/>
  <c r="I171" i="66"/>
  <c r="F173" i="66"/>
  <c r="G173" i="66"/>
  <c r="E174" i="66"/>
  <c r="D174" i="66"/>
  <c r="P173" i="66"/>
  <c r="K172" i="66" l="1"/>
  <c r="V172" i="66" s="1"/>
  <c r="N172" i="66"/>
  <c r="W172" i="66" s="1"/>
  <c r="H173" i="66"/>
  <c r="I173" i="66" s="1"/>
  <c r="Y174" i="66"/>
  <c r="Z174" i="66" s="1"/>
  <c r="AB174" i="66"/>
  <c r="S173" i="66"/>
  <c r="G174" i="66"/>
  <c r="F174" i="66"/>
  <c r="E175" i="66"/>
  <c r="D175" i="66"/>
  <c r="P174" i="66"/>
  <c r="W173" i="66" l="1"/>
  <c r="K173" i="66"/>
  <c r="V173" i="66" s="1"/>
  <c r="N173" i="66"/>
  <c r="H174" i="66"/>
  <c r="K174" i="66" s="1"/>
  <c r="V174" i="66" s="1"/>
  <c r="Y175" i="66"/>
  <c r="Z175" i="66" s="1"/>
  <c r="AB175" i="66"/>
  <c r="G175" i="66"/>
  <c r="F175" i="66"/>
  <c r="E176" i="66"/>
  <c r="S174" i="66"/>
  <c r="D176" i="66"/>
  <c r="P175" i="66"/>
  <c r="I174" i="66" l="1"/>
  <c r="N174" i="66"/>
  <c r="W174" i="66" s="1"/>
  <c r="Y176" i="66"/>
  <c r="Z176" i="66" s="1"/>
  <c r="AB176" i="66"/>
  <c r="H175" i="66"/>
  <c r="K175" i="66" s="1"/>
  <c r="V175" i="66" s="1"/>
  <c r="S175" i="66"/>
  <c r="F176" i="66"/>
  <c r="G176" i="66"/>
  <c r="E177" i="66"/>
  <c r="D177" i="66"/>
  <c r="P176" i="66"/>
  <c r="I175" i="66" l="1"/>
  <c r="N175" i="66"/>
  <c r="W175" i="66" s="1"/>
  <c r="Y177" i="66"/>
  <c r="Z177" i="66" s="1"/>
  <c r="AB177" i="66"/>
  <c r="S176" i="66"/>
  <c r="G177" i="66"/>
  <c r="F177" i="66"/>
  <c r="E178" i="66"/>
  <c r="H176" i="66"/>
  <c r="D178" i="66"/>
  <c r="P177" i="66"/>
  <c r="Y178" i="66" l="1"/>
  <c r="Z178" i="66" s="1"/>
  <c r="AB178" i="66"/>
  <c r="S177" i="66"/>
  <c r="K176" i="66"/>
  <c r="V176" i="66" s="1"/>
  <c r="N176" i="66"/>
  <c r="W176" i="66" s="1"/>
  <c r="I176" i="66"/>
  <c r="G178" i="66"/>
  <c r="F178" i="66"/>
  <c r="E179" i="66"/>
  <c r="H177" i="66"/>
  <c r="D179" i="66"/>
  <c r="P178" i="66"/>
  <c r="Y179" i="66" l="1"/>
  <c r="Z179" i="66" s="1"/>
  <c r="AB179" i="66"/>
  <c r="N177" i="66"/>
  <c r="W177" i="66" s="1"/>
  <c r="K177" i="66"/>
  <c r="V177" i="66" s="1"/>
  <c r="I177" i="66"/>
  <c r="S178" i="66"/>
  <c r="F179" i="66"/>
  <c r="G179" i="66"/>
  <c r="E180" i="66"/>
  <c r="H178" i="66"/>
  <c r="D180" i="66"/>
  <c r="P179" i="66"/>
  <c r="Y180" i="66" l="1"/>
  <c r="Z180" i="66" s="1"/>
  <c r="AB180" i="66"/>
  <c r="G180" i="66"/>
  <c r="F180" i="66"/>
  <c r="E181" i="66"/>
  <c r="S179" i="66"/>
  <c r="N178" i="66"/>
  <c r="W178" i="66" s="1"/>
  <c r="K178" i="66"/>
  <c r="V178" i="66" s="1"/>
  <c r="I178" i="66"/>
  <c r="H179" i="66"/>
  <c r="D181" i="66"/>
  <c r="P180" i="66"/>
  <c r="H180" i="66" l="1"/>
  <c r="K180" i="66" s="1"/>
  <c r="V180" i="66" s="1"/>
  <c r="Y181" i="66"/>
  <c r="Z181" i="66" s="1"/>
  <c r="AB181" i="66"/>
  <c r="N179" i="66"/>
  <c r="W179" i="66" s="1"/>
  <c r="I179" i="66"/>
  <c r="K179" i="66"/>
  <c r="V179" i="66" s="1"/>
  <c r="S180" i="66"/>
  <c r="F181" i="66"/>
  <c r="G181" i="66"/>
  <c r="E182" i="66"/>
  <c r="D182" i="66"/>
  <c r="P181" i="66"/>
  <c r="N180" i="66" l="1"/>
  <c r="W180" i="66" s="1"/>
  <c r="I180" i="66"/>
  <c r="Y182" i="66"/>
  <c r="Z182" i="66" s="1"/>
  <c r="AB182" i="66"/>
  <c r="H181" i="66"/>
  <c r="I181" i="66" s="1"/>
  <c r="G182" i="66"/>
  <c r="F182" i="66"/>
  <c r="E183" i="66"/>
  <c r="S181" i="66"/>
  <c r="D183" i="66"/>
  <c r="P182" i="66"/>
  <c r="K181" i="66" l="1"/>
  <c r="V181" i="66" s="1"/>
  <c r="N181" i="66"/>
  <c r="W181" i="66" s="1"/>
  <c r="Y183" i="66"/>
  <c r="Z183" i="66" s="1"/>
  <c r="AB183" i="66"/>
  <c r="G183" i="66"/>
  <c r="F183" i="66"/>
  <c r="E184" i="66"/>
  <c r="S182" i="66"/>
  <c r="H182" i="66"/>
  <c r="D184" i="66"/>
  <c r="P183" i="66"/>
  <c r="H183" i="66" l="1"/>
  <c r="K183" i="66" s="1"/>
  <c r="V183" i="66" s="1"/>
  <c r="Y184" i="66"/>
  <c r="Z184" i="66" s="1"/>
  <c r="AB184" i="66"/>
  <c r="F184" i="66"/>
  <c r="G184" i="66"/>
  <c r="E185" i="66"/>
  <c r="S183" i="66"/>
  <c r="N182" i="66"/>
  <c r="W182" i="66" s="1"/>
  <c r="I182" i="66"/>
  <c r="K182" i="66"/>
  <c r="V182" i="66" s="1"/>
  <c r="D185" i="66"/>
  <c r="P184" i="66"/>
  <c r="I183" i="66" l="1"/>
  <c r="N183" i="66"/>
  <c r="W183" i="66" s="1"/>
  <c r="Y185" i="66"/>
  <c r="Z185" i="66" s="1"/>
  <c r="AB185" i="66"/>
  <c r="G185" i="66"/>
  <c r="F185" i="66"/>
  <c r="E186" i="66"/>
  <c r="S184" i="66"/>
  <c r="H184" i="66"/>
  <c r="D186" i="66"/>
  <c r="P185" i="66"/>
  <c r="Y186" i="66" l="1"/>
  <c r="Z186" i="66" s="1"/>
  <c r="AB186" i="66"/>
  <c r="H185" i="66"/>
  <c r="I185" i="66" s="1"/>
  <c r="S185" i="66"/>
  <c r="G186" i="66"/>
  <c r="F186" i="66"/>
  <c r="E187" i="66"/>
  <c r="N184" i="66"/>
  <c r="W184" i="66" s="1"/>
  <c r="I184" i="66"/>
  <c r="K184" i="66"/>
  <c r="V184" i="66" s="1"/>
  <c r="D187" i="66"/>
  <c r="P186" i="66"/>
  <c r="N185" i="66" l="1"/>
  <c r="W185" i="66" s="1"/>
  <c r="K185" i="66"/>
  <c r="V185" i="66" s="1"/>
  <c r="Y187" i="66"/>
  <c r="Z187" i="66" s="1"/>
  <c r="AB187" i="66"/>
  <c r="H186" i="66"/>
  <c r="S186" i="66"/>
  <c r="F187" i="66"/>
  <c r="G187" i="66"/>
  <c r="E188" i="66"/>
  <c r="D188" i="66"/>
  <c r="P187" i="66"/>
  <c r="Y188" i="66" l="1"/>
  <c r="Z188" i="66" s="1"/>
  <c r="AB188" i="66"/>
  <c r="H187" i="66"/>
  <c r="S187" i="66"/>
  <c r="G188" i="66"/>
  <c r="F188" i="66"/>
  <c r="E189" i="66"/>
  <c r="K186" i="66"/>
  <c r="V186" i="66" s="1"/>
  <c r="I186" i="66"/>
  <c r="N186" i="66"/>
  <c r="W186" i="66" s="1"/>
  <c r="D189" i="66"/>
  <c r="P188" i="66"/>
  <c r="Y189" i="66" l="1"/>
  <c r="Z189" i="66" s="1"/>
  <c r="AB189" i="66"/>
  <c r="H188" i="66"/>
  <c r="I188" i="66" s="1"/>
  <c r="K187" i="66"/>
  <c r="V187" i="66" s="1"/>
  <c r="N187" i="66"/>
  <c r="W187" i="66" s="1"/>
  <c r="I187" i="66"/>
  <c r="S188" i="66"/>
  <c r="F189" i="66"/>
  <c r="G189" i="66"/>
  <c r="E190" i="66"/>
  <c r="D190" i="66"/>
  <c r="P189" i="66"/>
  <c r="N188" i="66" l="1"/>
  <c r="W188" i="66" s="1"/>
  <c r="K188" i="66"/>
  <c r="V188" i="66" s="1"/>
  <c r="Y190" i="66"/>
  <c r="Z190" i="66" s="1"/>
  <c r="AB190" i="66"/>
  <c r="S189" i="66"/>
  <c r="H189" i="66"/>
  <c r="G190" i="66"/>
  <c r="F190" i="66"/>
  <c r="E191" i="66"/>
  <c r="D191" i="66"/>
  <c r="P190" i="66"/>
  <c r="H190" i="66" l="1"/>
  <c r="K190" i="66" s="1"/>
  <c r="V190" i="66" s="1"/>
  <c r="Y191" i="66"/>
  <c r="Z191" i="66" s="1"/>
  <c r="AB191" i="66"/>
  <c r="S190" i="66"/>
  <c r="G191" i="66"/>
  <c r="F191" i="66"/>
  <c r="E192" i="66"/>
  <c r="I189" i="66"/>
  <c r="N189" i="66"/>
  <c r="W189" i="66" s="1"/>
  <c r="K189" i="66"/>
  <c r="V189" i="66" s="1"/>
  <c r="D192" i="66"/>
  <c r="P191" i="66"/>
  <c r="N190" i="66" l="1"/>
  <c r="W190" i="66" s="1"/>
  <c r="I190" i="66"/>
  <c r="Y192" i="66"/>
  <c r="Z192" i="66" s="1"/>
  <c r="AB192" i="66"/>
  <c r="H191" i="66"/>
  <c r="S191" i="66"/>
  <c r="F192" i="66"/>
  <c r="G192" i="66"/>
  <c r="E193" i="66"/>
  <c r="D193" i="66"/>
  <c r="P192" i="66"/>
  <c r="H192" i="66" l="1"/>
  <c r="I192" i="66" s="1"/>
  <c r="Y193" i="66"/>
  <c r="Z193" i="66" s="1"/>
  <c r="AB193" i="66"/>
  <c r="S192" i="66"/>
  <c r="G193" i="66"/>
  <c r="F193" i="66"/>
  <c r="E194" i="66"/>
  <c r="N191" i="66"/>
  <c r="W191" i="66" s="1"/>
  <c r="I191" i="66"/>
  <c r="K191" i="66"/>
  <c r="V191" i="66" s="1"/>
  <c r="D194" i="66"/>
  <c r="P193" i="66"/>
  <c r="N192" i="66" l="1"/>
  <c r="W192" i="66" s="1"/>
  <c r="K192" i="66"/>
  <c r="V192" i="66" s="1"/>
  <c r="Y194" i="66"/>
  <c r="Z194" i="66" s="1"/>
  <c r="AB194" i="66"/>
  <c r="S193" i="66"/>
  <c r="G194" i="66"/>
  <c r="F194" i="66"/>
  <c r="E195" i="66"/>
  <c r="H193" i="66"/>
  <c r="D195" i="66"/>
  <c r="P194" i="66"/>
  <c r="Y195" i="66" l="1"/>
  <c r="Z195" i="66" s="1"/>
  <c r="AB195" i="66"/>
  <c r="S194" i="66"/>
  <c r="H194" i="66"/>
  <c r="F195" i="66"/>
  <c r="G195" i="66"/>
  <c r="E196" i="66"/>
  <c r="I193" i="66"/>
  <c r="N193" i="66"/>
  <c r="W193" i="66" s="1"/>
  <c r="K193" i="66"/>
  <c r="V193" i="66" s="1"/>
  <c r="D196" i="66"/>
  <c r="P195" i="66"/>
  <c r="Y196" i="66" l="1"/>
  <c r="Z196" i="66" s="1"/>
  <c r="AB196" i="66"/>
  <c r="S195" i="66"/>
  <c r="G196" i="66"/>
  <c r="F196" i="66"/>
  <c r="E197" i="66"/>
  <c r="H195" i="66"/>
  <c r="K194" i="66"/>
  <c r="V194" i="66" s="1"/>
  <c r="N194" i="66"/>
  <c r="W194" i="66" s="1"/>
  <c r="I194" i="66"/>
  <c r="D197" i="66"/>
  <c r="P196" i="66"/>
  <c r="H196" i="66" l="1"/>
  <c r="N196" i="66" s="1"/>
  <c r="W196" i="66" s="1"/>
  <c r="Y197" i="66"/>
  <c r="Z197" i="66" s="1"/>
  <c r="AB197" i="66"/>
  <c r="N195" i="66"/>
  <c r="W195" i="66" s="1"/>
  <c r="I195" i="66"/>
  <c r="K195" i="66"/>
  <c r="V195" i="66" s="1"/>
  <c r="S196" i="66"/>
  <c r="F197" i="66"/>
  <c r="G197" i="66"/>
  <c r="E198" i="66"/>
  <c r="D198" i="66"/>
  <c r="P197" i="66"/>
  <c r="I196" i="66" l="1"/>
  <c r="K196" i="66"/>
  <c r="V196" i="66" s="1"/>
  <c r="Y198" i="66"/>
  <c r="Z198" i="66" s="1"/>
  <c r="AB198" i="66"/>
  <c r="G198" i="66"/>
  <c r="F198" i="66"/>
  <c r="E199" i="66"/>
  <c r="S197" i="66"/>
  <c r="H197" i="66"/>
  <c r="D199" i="66"/>
  <c r="P198" i="66"/>
  <c r="Y199" i="66" l="1"/>
  <c r="Z199" i="66" s="1"/>
  <c r="AB199" i="66"/>
  <c r="H198" i="66"/>
  <c r="N198" i="66" s="1"/>
  <c r="W198" i="66" s="1"/>
  <c r="S198" i="66"/>
  <c r="K197" i="66"/>
  <c r="V197" i="66" s="1"/>
  <c r="N197" i="66"/>
  <c r="W197" i="66" s="1"/>
  <c r="I197" i="66"/>
  <c r="G199" i="66"/>
  <c r="F199" i="66"/>
  <c r="E200" i="66"/>
  <c r="D200" i="66"/>
  <c r="P199" i="66"/>
  <c r="K198" i="66" l="1"/>
  <c r="V198" i="66" s="1"/>
  <c r="I198" i="66"/>
  <c r="Y200" i="66"/>
  <c r="Z200" i="66" s="1"/>
  <c r="AB200" i="66"/>
  <c r="H199" i="66"/>
  <c r="I199" i="66" s="1"/>
  <c r="S199" i="66"/>
  <c r="F200" i="66"/>
  <c r="G200" i="66"/>
  <c r="E201" i="66"/>
  <c r="D201" i="66"/>
  <c r="P200" i="66"/>
  <c r="N199" i="66" l="1"/>
  <c r="W199" i="66" s="1"/>
  <c r="Y201" i="66"/>
  <c r="Z201" i="66" s="1"/>
  <c r="AB201" i="66"/>
  <c r="K199" i="66"/>
  <c r="V199" i="66" s="1"/>
  <c r="G201" i="66"/>
  <c r="F201" i="66"/>
  <c r="E202" i="66"/>
  <c r="S200" i="66"/>
  <c r="H200" i="66"/>
  <c r="D202" i="66"/>
  <c r="P201" i="66"/>
  <c r="H201" i="66" l="1"/>
  <c r="I201" i="66" s="1"/>
  <c r="Y202" i="66"/>
  <c r="Z202" i="66" s="1"/>
  <c r="AB202" i="66"/>
  <c r="I200" i="66"/>
  <c r="N200" i="66"/>
  <c r="W200" i="66" s="1"/>
  <c r="K200" i="66"/>
  <c r="V200" i="66" s="1"/>
  <c r="G202" i="66"/>
  <c r="F202" i="66"/>
  <c r="E203" i="66"/>
  <c r="S201" i="66"/>
  <c r="D203" i="66"/>
  <c r="P202" i="66"/>
  <c r="K201" i="66" l="1"/>
  <c r="V201" i="66" s="1"/>
  <c r="N201" i="66"/>
  <c r="W201" i="66" s="1"/>
  <c r="Y203" i="66"/>
  <c r="Z203" i="66" s="1"/>
  <c r="AB203" i="66"/>
  <c r="S202" i="66"/>
  <c r="F203" i="66"/>
  <c r="G203" i="66"/>
  <c r="E204" i="66"/>
  <c r="H202" i="66"/>
  <c r="D204" i="66"/>
  <c r="P203" i="66"/>
  <c r="Y204" i="66" l="1"/>
  <c r="Z204" i="66" s="1"/>
  <c r="AB204" i="66"/>
  <c r="N202" i="66"/>
  <c r="W202" i="66" s="1"/>
  <c r="I202" i="66"/>
  <c r="K202" i="66"/>
  <c r="V202" i="66" s="1"/>
  <c r="S203" i="66"/>
  <c r="G204" i="66"/>
  <c r="F204" i="66"/>
  <c r="E205" i="66"/>
  <c r="H203" i="66"/>
  <c r="D205" i="66"/>
  <c r="P204" i="66"/>
  <c r="Y205" i="66" l="1"/>
  <c r="Z205" i="66" s="1"/>
  <c r="AB205" i="66"/>
  <c r="H204" i="66"/>
  <c r="I204" i="66" s="1"/>
  <c r="S204" i="66"/>
  <c r="K203" i="66"/>
  <c r="V203" i="66" s="1"/>
  <c r="I203" i="66"/>
  <c r="N203" i="66"/>
  <c r="W203" i="66" s="1"/>
  <c r="F205" i="66"/>
  <c r="G205" i="66"/>
  <c r="E206" i="66"/>
  <c r="D206" i="66"/>
  <c r="P205" i="66"/>
  <c r="N204" i="66" l="1"/>
  <c r="W204" i="66" s="1"/>
  <c r="K204" i="66"/>
  <c r="V204" i="66" s="1"/>
  <c r="Y206" i="66"/>
  <c r="Z206" i="66" s="1"/>
  <c r="AB206" i="66"/>
  <c r="G206" i="66"/>
  <c r="F206" i="66"/>
  <c r="E207" i="66"/>
  <c r="H205" i="66"/>
  <c r="S205" i="66"/>
  <c r="D207" i="66"/>
  <c r="P206" i="66"/>
  <c r="Y207" i="66" l="1"/>
  <c r="Z207" i="66" s="1"/>
  <c r="AB207" i="66"/>
  <c r="H206" i="66"/>
  <c r="I206" i="66" s="1"/>
  <c r="S206" i="66"/>
  <c r="N205" i="66"/>
  <c r="W205" i="66" s="1"/>
  <c r="I205" i="66"/>
  <c r="K205" i="66"/>
  <c r="V205" i="66" s="1"/>
  <c r="G207" i="66"/>
  <c r="F207" i="66"/>
  <c r="E208" i="66"/>
  <c r="D208" i="66"/>
  <c r="P207" i="66"/>
  <c r="K206" i="66" l="1"/>
  <c r="V206" i="66" s="1"/>
  <c r="N206" i="66"/>
  <c r="W206" i="66" s="1"/>
  <c r="Y208" i="66"/>
  <c r="Z208" i="66" s="1"/>
  <c r="AB208" i="66"/>
  <c r="S207" i="66"/>
  <c r="F208" i="66"/>
  <c r="G208" i="66"/>
  <c r="E209" i="66"/>
  <c r="H207" i="66"/>
  <c r="D209" i="66"/>
  <c r="P208" i="66"/>
  <c r="Y209" i="66" l="1"/>
  <c r="Z209" i="66" s="1"/>
  <c r="AB209" i="66"/>
  <c r="G209" i="66"/>
  <c r="F209" i="66"/>
  <c r="E210" i="66"/>
  <c r="S208" i="66"/>
  <c r="N207" i="66"/>
  <c r="W207" i="66" s="1"/>
  <c r="K207" i="66"/>
  <c r="V207" i="66" s="1"/>
  <c r="I207" i="66"/>
  <c r="H208" i="66"/>
  <c r="D210" i="66"/>
  <c r="P209" i="66"/>
  <c r="H209" i="66" l="1"/>
  <c r="K209" i="66" s="1"/>
  <c r="V209" i="66" s="1"/>
  <c r="Y210" i="66"/>
  <c r="Z210" i="66" s="1"/>
  <c r="AB210" i="66"/>
  <c r="S209" i="66"/>
  <c r="G210" i="66"/>
  <c r="F210" i="66"/>
  <c r="E211" i="66"/>
  <c r="I208" i="66"/>
  <c r="N208" i="66"/>
  <c r="W208" i="66" s="1"/>
  <c r="K208" i="66"/>
  <c r="V208" i="66" s="1"/>
  <c r="D211" i="66"/>
  <c r="P210" i="66"/>
  <c r="I209" i="66" l="1"/>
  <c r="N209" i="66"/>
  <c r="W209" i="66" s="1"/>
  <c r="H210" i="66"/>
  <c r="K210" i="66" s="1"/>
  <c r="V210" i="66" s="1"/>
  <c r="Y211" i="66"/>
  <c r="Z211" i="66" s="1"/>
  <c r="AB211" i="66"/>
  <c r="S210" i="66"/>
  <c r="F211" i="66"/>
  <c r="G211" i="66"/>
  <c r="E212" i="66"/>
  <c r="D212" i="66"/>
  <c r="P211" i="66"/>
  <c r="I210" i="66" l="1"/>
  <c r="N210" i="66"/>
  <c r="W210" i="66" s="1"/>
  <c r="Y212" i="66"/>
  <c r="Z212" i="66" s="1"/>
  <c r="AB212" i="66"/>
  <c r="G212" i="66"/>
  <c r="F212" i="66"/>
  <c r="E213" i="66"/>
  <c r="S211" i="66"/>
  <c r="H211" i="66"/>
  <c r="D213" i="66"/>
  <c r="P212" i="66"/>
  <c r="Y213" i="66" l="1"/>
  <c r="Z213" i="66" s="1"/>
  <c r="AB213" i="66"/>
  <c r="H212" i="66"/>
  <c r="I212" i="66" s="1"/>
  <c r="S212" i="66"/>
  <c r="K211" i="66"/>
  <c r="V211" i="66" s="1"/>
  <c r="N211" i="66"/>
  <c r="W211" i="66" s="1"/>
  <c r="I211" i="66"/>
  <c r="F213" i="66"/>
  <c r="G213" i="66"/>
  <c r="E214" i="66"/>
  <c r="D214" i="66"/>
  <c r="P213" i="66"/>
  <c r="N212" i="66" l="1"/>
  <c r="W212" i="66" s="1"/>
  <c r="K212" i="66"/>
  <c r="V212" i="66" s="1"/>
  <c r="H213" i="66"/>
  <c r="I213" i="66" s="1"/>
  <c r="Y214" i="66"/>
  <c r="Z214" i="66" s="1"/>
  <c r="AB214" i="66"/>
  <c r="G214" i="66"/>
  <c r="F214" i="66"/>
  <c r="E215" i="66"/>
  <c r="S213" i="66"/>
  <c r="D215" i="66"/>
  <c r="P214" i="66"/>
  <c r="K213" i="66" l="1"/>
  <c r="V213" i="66" s="1"/>
  <c r="N213" i="66"/>
  <c r="W213" i="66" s="1"/>
  <c r="Y215" i="66"/>
  <c r="Z215" i="66" s="1"/>
  <c r="AB215" i="66"/>
  <c r="S214" i="66"/>
  <c r="H214" i="66"/>
  <c r="G215" i="66"/>
  <c r="F215" i="66"/>
  <c r="E216" i="66"/>
  <c r="D216" i="66"/>
  <c r="P215" i="66"/>
  <c r="Y216" i="66" l="1"/>
  <c r="Z216" i="66" s="1"/>
  <c r="AB216" i="66"/>
  <c r="S215" i="66"/>
  <c r="F216" i="66"/>
  <c r="G216" i="66"/>
  <c r="E217" i="66"/>
  <c r="H215" i="66"/>
  <c r="N214" i="66"/>
  <c r="W214" i="66" s="1"/>
  <c r="K214" i="66"/>
  <c r="V214" i="66" s="1"/>
  <c r="I214" i="66"/>
  <c r="D217" i="66"/>
  <c r="P216" i="66"/>
  <c r="Y217" i="66" l="1"/>
  <c r="Z217" i="66" s="1"/>
  <c r="AB217" i="66"/>
  <c r="S216" i="66"/>
  <c r="N215" i="66"/>
  <c r="W215" i="66" s="1"/>
  <c r="K215" i="66"/>
  <c r="V215" i="66" s="1"/>
  <c r="I215" i="66"/>
  <c r="G217" i="66"/>
  <c r="F217" i="66"/>
  <c r="E218" i="66"/>
  <c r="H216" i="66"/>
  <c r="D218" i="66"/>
  <c r="P217" i="66"/>
  <c r="Y218" i="66" l="1"/>
  <c r="Z218" i="66" s="1"/>
  <c r="AB218" i="66"/>
  <c r="G218" i="66"/>
  <c r="F218" i="66"/>
  <c r="E219" i="66"/>
  <c r="H217" i="66"/>
  <c r="S217" i="66"/>
  <c r="N216" i="66"/>
  <c r="W216" i="66" s="1"/>
  <c r="K216" i="66"/>
  <c r="V216" i="66" s="1"/>
  <c r="I216" i="66"/>
  <c r="D219" i="66"/>
  <c r="P218" i="66"/>
  <c r="Y219" i="66" l="1"/>
  <c r="Z219" i="66" s="1"/>
  <c r="AB219" i="66"/>
  <c r="H218" i="66"/>
  <c r="K218" i="66" s="1"/>
  <c r="V218" i="66" s="1"/>
  <c r="S218" i="66"/>
  <c r="F219" i="66"/>
  <c r="G219" i="66"/>
  <c r="E220" i="66"/>
  <c r="K217" i="66"/>
  <c r="V217" i="66" s="1"/>
  <c r="I217" i="66"/>
  <c r="N217" i="66"/>
  <c r="W217" i="66" s="1"/>
  <c r="D220" i="66"/>
  <c r="P219" i="66"/>
  <c r="I218" i="66" l="1"/>
  <c r="N218" i="66"/>
  <c r="W218" i="66" s="1"/>
  <c r="Y220" i="66"/>
  <c r="Z220" i="66" s="1"/>
  <c r="AB220" i="66"/>
  <c r="G220" i="66"/>
  <c r="F220" i="66"/>
  <c r="E221" i="66"/>
  <c r="H219" i="66"/>
  <c r="S219" i="66"/>
  <c r="D221" i="66"/>
  <c r="P220" i="66"/>
  <c r="Y221" i="66" l="1"/>
  <c r="Z221" i="66" s="1"/>
  <c r="AB221" i="66"/>
  <c r="H220" i="66"/>
  <c r="I220" i="66" s="1"/>
  <c r="N219" i="66"/>
  <c r="W219" i="66" s="1"/>
  <c r="I219" i="66"/>
  <c r="K219" i="66"/>
  <c r="V219" i="66" s="1"/>
  <c r="F221" i="66"/>
  <c r="G221" i="66"/>
  <c r="E222" i="66"/>
  <c r="S220" i="66"/>
  <c r="D222" i="66"/>
  <c r="P221" i="66"/>
  <c r="K220" i="66" l="1"/>
  <c r="V220" i="66" s="1"/>
  <c r="N220" i="66"/>
  <c r="W220" i="66" s="1"/>
  <c r="H221" i="66"/>
  <c r="N221" i="66" s="1"/>
  <c r="W221" i="66" s="1"/>
  <c r="Y222" i="66"/>
  <c r="Z222" i="66" s="1"/>
  <c r="AB222" i="66"/>
  <c r="S221" i="66"/>
  <c r="G222" i="66"/>
  <c r="F222" i="66"/>
  <c r="E223" i="66"/>
  <c r="D223" i="66"/>
  <c r="P222" i="66"/>
  <c r="I221" i="66" l="1"/>
  <c r="K221" i="66"/>
  <c r="V221" i="66" s="1"/>
  <c r="Y223" i="66"/>
  <c r="Z223" i="66" s="1"/>
  <c r="AB223" i="66"/>
  <c r="S222" i="66"/>
  <c r="G223" i="66"/>
  <c r="F223" i="66"/>
  <c r="E224" i="66"/>
  <c r="H222" i="66"/>
  <c r="D224" i="66"/>
  <c r="P223" i="66"/>
  <c r="H223" i="66" l="1"/>
  <c r="N223" i="66" s="1"/>
  <c r="W223" i="66" s="1"/>
  <c r="Y224" i="66"/>
  <c r="Z224" i="66" s="1"/>
  <c r="AB224" i="66"/>
  <c r="S223" i="66"/>
  <c r="N222" i="66"/>
  <c r="W222" i="66" s="1"/>
  <c r="K222" i="66"/>
  <c r="V222" i="66" s="1"/>
  <c r="I222" i="66"/>
  <c r="F224" i="66"/>
  <c r="G224" i="66"/>
  <c r="E225" i="66"/>
  <c r="D225" i="66"/>
  <c r="P224" i="66"/>
  <c r="K223" i="66" l="1"/>
  <c r="V223" i="66" s="1"/>
  <c r="I223" i="66"/>
  <c r="H224" i="66"/>
  <c r="I224" i="66" s="1"/>
  <c r="Y225" i="66"/>
  <c r="Z225" i="66" s="1"/>
  <c r="AB225" i="66"/>
  <c r="G225" i="66"/>
  <c r="F225" i="66"/>
  <c r="E226" i="66"/>
  <c r="S224" i="66"/>
  <c r="D226" i="66"/>
  <c r="P225" i="66"/>
  <c r="K224" i="66" l="1"/>
  <c r="V224" i="66" s="1"/>
  <c r="N224" i="66"/>
  <c r="W224" i="66" s="1"/>
  <c r="Y226" i="66"/>
  <c r="Z226" i="66" s="1"/>
  <c r="AB226" i="66"/>
  <c r="H225" i="66"/>
  <c r="K225" i="66" s="1"/>
  <c r="V225" i="66" s="1"/>
  <c r="S225" i="66"/>
  <c r="G226" i="66"/>
  <c r="F226" i="66"/>
  <c r="E227" i="66"/>
  <c r="D227" i="66"/>
  <c r="P226" i="66"/>
  <c r="N225" i="66" l="1"/>
  <c r="W225" i="66" s="1"/>
  <c r="I225" i="66"/>
  <c r="Y227" i="66"/>
  <c r="Z227" i="66" s="1"/>
  <c r="AB227" i="66"/>
  <c r="H226" i="66"/>
  <c r="K226" i="66" s="1"/>
  <c r="V226" i="66" s="1"/>
  <c r="F227" i="66"/>
  <c r="G227" i="66"/>
  <c r="E228" i="66"/>
  <c r="S226" i="66"/>
  <c r="D228" i="66"/>
  <c r="P227" i="66"/>
  <c r="I226" i="66" l="1"/>
  <c r="N226" i="66"/>
  <c r="W226" i="66" s="1"/>
  <c r="Y228" i="66"/>
  <c r="Z228" i="66" s="1"/>
  <c r="AB228" i="66"/>
  <c r="S227" i="66"/>
  <c r="G228" i="66"/>
  <c r="F228" i="66"/>
  <c r="E229" i="66"/>
  <c r="H227" i="66"/>
  <c r="D229" i="66"/>
  <c r="P228" i="66"/>
  <c r="Y229" i="66" l="1"/>
  <c r="Z229" i="66" s="1"/>
  <c r="AB229" i="66"/>
  <c r="S228" i="66"/>
  <c r="I227" i="66"/>
  <c r="N227" i="66"/>
  <c r="W227" i="66" s="1"/>
  <c r="K227" i="66"/>
  <c r="V227" i="66" s="1"/>
  <c r="H228" i="66"/>
  <c r="F229" i="66"/>
  <c r="G229" i="66"/>
  <c r="E230" i="66"/>
  <c r="D230" i="66"/>
  <c r="P229" i="66"/>
  <c r="Y230" i="66" l="1"/>
  <c r="Z230" i="66" s="1"/>
  <c r="AB230" i="66"/>
  <c r="S229" i="66"/>
  <c r="G230" i="66"/>
  <c r="F230" i="66"/>
  <c r="E231" i="66"/>
  <c r="K228" i="66"/>
  <c r="V228" i="66" s="1"/>
  <c r="I228" i="66"/>
  <c r="N228" i="66"/>
  <c r="W228" i="66" s="1"/>
  <c r="H229" i="66"/>
  <c r="D231" i="66"/>
  <c r="P230" i="66"/>
  <c r="Y231" i="66" l="1"/>
  <c r="Z231" i="66" s="1"/>
  <c r="AB231" i="66"/>
  <c r="S230" i="66"/>
  <c r="K229" i="66"/>
  <c r="V229" i="66" s="1"/>
  <c r="N229" i="66"/>
  <c r="W229" i="66" s="1"/>
  <c r="I229" i="66"/>
  <c r="G231" i="66"/>
  <c r="F231" i="66"/>
  <c r="E232" i="66"/>
  <c r="H230" i="66"/>
  <c r="D232" i="66"/>
  <c r="P231" i="66"/>
  <c r="Y232" i="66" l="1"/>
  <c r="Z232" i="66" s="1"/>
  <c r="AB232" i="66"/>
  <c r="S231" i="66"/>
  <c r="H231" i="66"/>
  <c r="F232" i="66"/>
  <c r="G232" i="66"/>
  <c r="E233" i="66"/>
  <c r="N230" i="66"/>
  <c r="W230" i="66" s="1"/>
  <c r="I230" i="66"/>
  <c r="K230" i="66"/>
  <c r="V230" i="66" s="1"/>
  <c r="D233" i="66"/>
  <c r="P232" i="66"/>
  <c r="Y233" i="66" l="1"/>
  <c r="Z233" i="66" s="1"/>
  <c r="AB233" i="66"/>
  <c r="S232" i="66"/>
  <c r="H232" i="66"/>
  <c r="I231" i="66"/>
  <c r="N231" i="66"/>
  <c r="W231" i="66" s="1"/>
  <c r="K231" i="66"/>
  <c r="V231" i="66" s="1"/>
  <c r="G233" i="66"/>
  <c r="F233" i="66"/>
  <c r="E234" i="66"/>
  <c r="D234" i="66"/>
  <c r="P233" i="66"/>
  <c r="H233" i="66" l="1"/>
  <c r="K233" i="66" s="1"/>
  <c r="V233" i="66" s="1"/>
  <c r="Y234" i="66"/>
  <c r="Z234" i="66" s="1"/>
  <c r="AB234" i="66"/>
  <c r="G234" i="66"/>
  <c r="F234" i="66"/>
  <c r="E235" i="66"/>
  <c r="K232" i="66"/>
  <c r="V232" i="66" s="1"/>
  <c r="N232" i="66"/>
  <c r="W232" i="66" s="1"/>
  <c r="I232" i="66"/>
  <c r="S233" i="66"/>
  <c r="D235" i="66"/>
  <c r="P234" i="66"/>
  <c r="I233" i="66" l="1"/>
  <c r="N233" i="66"/>
  <c r="W233" i="66" s="1"/>
  <c r="H234" i="66"/>
  <c r="I234" i="66" s="1"/>
  <c r="Y235" i="66"/>
  <c r="Z235" i="66" s="1"/>
  <c r="AB235" i="66"/>
  <c r="F235" i="66"/>
  <c r="G235" i="66"/>
  <c r="E236" i="66"/>
  <c r="S234" i="66"/>
  <c r="D236" i="66"/>
  <c r="P235" i="66"/>
  <c r="K234" i="66" l="1"/>
  <c r="V234" i="66" s="1"/>
  <c r="N234" i="66"/>
  <c r="W234" i="66" s="1"/>
  <c r="Y236" i="66"/>
  <c r="Z236" i="66" s="1"/>
  <c r="AB236" i="66"/>
  <c r="S235" i="66"/>
  <c r="G236" i="66"/>
  <c r="F236" i="66"/>
  <c r="E237" i="66"/>
  <c r="H235" i="66"/>
  <c r="D237" i="66"/>
  <c r="P236" i="66"/>
  <c r="Y237" i="66" l="1"/>
  <c r="Z237" i="66" s="1"/>
  <c r="AB237" i="66"/>
  <c r="F237" i="66"/>
  <c r="G237" i="66"/>
  <c r="E238" i="66"/>
  <c r="H236" i="66"/>
  <c r="S236" i="66"/>
  <c r="N235" i="66"/>
  <c r="W235" i="66" s="1"/>
  <c r="I235" i="66"/>
  <c r="K235" i="66"/>
  <c r="V235" i="66" s="1"/>
  <c r="D238" i="66"/>
  <c r="P237" i="66"/>
  <c r="Y238" i="66" l="1"/>
  <c r="Z238" i="66" s="1"/>
  <c r="AB238" i="66"/>
  <c r="S237" i="66"/>
  <c r="G238" i="66"/>
  <c r="F238" i="66"/>
  <c r="E239" i="66"/>
  <c r="H237" i="66"/>
  <c r="N236" i="66"/>
  <c r="W236" i="66" s="1"/>
  <c r="K236" i="66"/>
  <c r="V236" i="66" s="1"/>
  <c r="I236" i="66"/>
  <c r="D239" i="66"/>
  <c r="P238" i="66"/>
  <c r="H238" i="66" l="1"/>
  <c r="N238" i="66" s="1"/>
  <c r="W238" i="66" s="1"/>
  <c r="Y239" i="66"/>
  <c r="Z239" i="66" s="1"/>
  <c r="AB239" i="66"/>
  <c r="G239" i="66"/>
  <c r="F239" i="66"/>
  <c r="E240" i="66"/>
  <c r="S238" i="66"/>
  <c r="N237" i="66"/>
  <c r="W237" i="66" s="1"/>
  <c r="K237" i="66"/>
  <c r="V237" i="66" s="1"/>
  <c r="I237" i="66"/>
  <c r="D240" i="66"/>
  <c r="P239" i="66"/>
  <c r="I238" i="66" l="1"/>
  <c r="K238" i="66"/>
  <c r="V238" i="66" s="1"/>
  <c r="Y240" i="66"/>
  <c r="Z240" i="66" s="1"/>
  <c r="AB240" i="66"/>
  <c r="H239" i="66"/>
  <c r="K239" i="66" s="1"/>
  <c r="V239" i="66" s="1"/>
  <c r="F240" i="66"/>
  <c r="G240" i="66"/>
  <c r="E241" i="66"/>
  <c r="S239" i="66"/>
  <c r="D241" i="66"/>
  <c r="P240" i="66"/>
  <c r="I239" i="66" l="1"/>
  <c r="N239" i="66"/>
  <c r="W239" i="66" s="1"/>
  <c r="Y241" i="66"/>
  <c r="Z241" i="66" s="1"/>
  <c r="AB241" i="66"/>
  <c r="G241" i="66"/>
  <c r="F241" i="66"/>
  <c r="E242" i="66"/>
  <c r="S240" i="66"/>
  <c r="H240" i="66"/>
  <c r="D242" i="66"/>
  <c r="P241" i="66"/>
  <c r="Y242" i="66" l="1"/>
  <c r="Z242" i="66" s="1"/>
  <c r="AB242" i="66"/>
  <c r="H241" i="66"/>
  <c r="N241" i="66" s="1"/>
  <c r="W241" i="66" s="1"/>
  <c r="G242" i="66"/>
  <c r="F242" i="66"/>
  <c r="E243" i="66"/>
  <c r="S241" i="66"/>
  <c r="N240" i="66"/>
  <c r="W240" i="66" s="1"/>
  <c r="K240" i="66"/>
  <c r="V240" i="66" s="1"/>
  <c r="I240" i="66"/>
  <c r="D243" i="66"/>
  <c r="P242" i="66"/>
  <c r="I241" i="66" l="1"/>
  <c r="K241" i="66"/>
  <c r="V241" i="66" s="1"/>
  <c r="Y243" i="66"/>
  <c r="Z243" i="66" s="1"/>
  <c r="AB243" i="66"/>
  <c r="S242" i="66"/>
  <c r="H242" i="66"/>
  <c r="F243" i="66"/>
  <c r="G243" i="66"/>
  <c r="E244" i="66"/>
  <c r="D244" i="66"/>
  <c r="P243" i="66"/>
  <c r="H243" i="66" l="1"/>
  <c r="N243" i="66" s="1"/>
  <c r="W243" i="66" s="1"/>
  <c r="Y244" i="66"/>
  <c r="Z244" i="66" s="1"/>
  <c r="AB244" i="66"/>
  <c r="S243" i="66"/>
  <c r="G244" i="66"/>
  <c r="F244" i="66"/>
  <c r="E245" i="66"/>
  <c r="N242" i="66"/>
  <c r="W242" i="66" s="1"/>
  <c r="I242" i="66"/>
  <c r="K242" i="66"/>
  <c r="V242" i="66" s="1"/>
  <c r="D245" i="66"/>
  <c r="P244" i="66"/>
  <c r="I243" i="66" l="1"/>
  <c r="K243" i="66"/>
  <c r="V243" i="66" s="1"/>
  <c r="H244" i="66"/>
  <c r="K244" i="66" s="1"/>
  <c r="V244" i="66" s="1"/>
  <c r="Y245" i="66"/>
  <c r="Z245" i="66" s="1"/>
  <c r="AB245" i="66"/>
  <c r="S244" i="66"/>
  <c r="F245" i="66"/>
  <c r="G245" i="66"/>
  <c r="E246" i="66"/>
  <c r="D246" i="66"/>
  <c r="P245" i="66"/>
  <c r="I244" i="66" l="1"/>
  <c r="N244" i="66"/>
  <c r="W244" i="66" s="1"/>
  <c r="Y246" i="66"/>
  <c r="Z246" i="66" s="1"/>
  <c r="AB246" i="66"/>
  <c r="H245" i="66"/>
  <c r="I245" i="66" s="1"/>
  <c r="S245" i="66"/>
  <c r="G246" i="66"/>
  <c r="F246" i="66"/>
  <c r="E247" i="66"/>
  <c r="D247" i="66"/>
  <c r="P246" i="66"/>
  <c r="N245" i="66" l="1"/>
  <c r="W245" i="66" s="1"/>
  <c r="K245" i="66"/>
  <c r="V245" i="66" s="1"/>
  <c r="Y247" i="66"/>
  <c r="Z247" i="66" s="1"/>
  <c r="AB247" i="66"/>
  <c r="S246" i="66"/>
  <c r="G247" i="66"/>
  <c r="F247" i="66"/>
  <c r="E248" i="66"/>
  <c r="H246" i="66"/>
  <c r="D248" i="66"/>
  <c r="P247" i="66"/>
  <c r="Y248" i="66" l="1"/>
  <c r="Z248" i="66" s="1"/>
  <c r="AB248" i="66"/>
  <c r="N246" i="66"/>
  <c r="W246" i="66" s="1"/>
  <c r="I246" i="66"/>
  <c r="K246" i="66"/>
  <c r="V246" i="66" s="1"/>
  <c r="H247" i="66"/>
  <c r="S247" i="66"/>
  <c r="F248" i="66"/>
  <c r="G248" i="66"/>
  <c r="E249" i="66"/>
  <c r="D249" i="66"/>
  <c r="P248" i="66"/>
  <c r="Y249" i="66" l="1"/>
  <c r="Z249" i="66" s="1"/>
  <c r="AB249" i="66"/>
  <c r="S248" i="66"/>
  <c r="K247" i="66"/>
  <c r="V247" i="66" s="1"/>
  <c r="I247" i="66"/>
  <c r="N247" i="66"/>
  <c r="W247" i="66" s="1"/>
  <c r="G249" i="66"/>
  <c r="F249" i="66"/>
  <c r="E250" i="66"/>
  <c r="H248" i="66"/>
  <c r="D250" i="66"/>
  <c r="P249" i="66"/>
  <c r="Y250" i="66" l="1"/>
  <c r="Z250" i="66" s="1"/>
  <c r="AB250" i="66"/>
  <c r="S249" i="66"/>
  <c r="N248" i="66"/>
  <c r="W248" i="66" s="1"/>
  <c r="I248" i="66"/>
  <c r="K248" i="66"/>
  <c r="V248" i="66" s="1"/>
  <c r="G250" i="66"/>
  <c r="F250" i="66"/>
  <c r="E251" i="66"/>
  <c r="H249" i="66"/>
  <c r="D251" i="66"/>
  <c r="P250" i="66"/>
  <c r="Y251" i="66" l="1"/>
  <c r="Z251" i="66" s="1"/>
  <c r="AB251" i="66"/>
  <c r="S250" i="66"/>
  <c r="N249" i="66"/>
  <c r="W249" i="66" s="1"/>
  <c r="I249" i="66"/>
  <c r="K249" i="66"/>
  <c r="V249" i="66" s="1"/>
  <c r="F251" i="66"/>
  <c r="G251" i="66"/>
  <c r="E252" i="66"/>
  <c r="H250" i="66"/>
  <c r="D252" i="66"/>
  <c r="P251" i="66"/>
  <c r="H251" i="66" l="1"/>
  <c r="I251" i="66" s="1"/>
  <c r="Y252" i="66"/>
  <c r="Z252" i="66" s="1"/>
  <c r="AB252" i="66"/>
  <c r="S251" i="66"/>
  <c r="K250" i="66"/>
  <c r="V250" i="66" s="1"/>
  <c r="I250" i="66"/>
  <c r="N250" i="66"/>
  <c r="W250" i="66" s="1"/>
  <c r="G252" i="66"/>
  <c r="F252" i="66"/>
  <c r="E253" i="66"/>
  <c r="D253" i="66"/>
  <c r="P252" i="66"/>
  <c r="K251" i="66" l="1"/>
  <c r="V251" i="66" s="1"/>
  <c r="N251" i="66"/>
  <c r="W251" i="66" s="1"/>
  <c r="Y253" i="66"/>
  <c r="Z253" i="66" s="1"/>
  <c r="AB253" i="66"/>
  <c r="H252" i="66"/>
  <c r="I252" i="66" s="1"/>
  <c r="F253" i="66"/>
  <c r="G253" i="66"/>
  <c r="E254" i="66"/>
  <c r="S252" i="66"/>
  <c r="D254" i="66"/>
  <c r="P253" i="66"/>
  <c r="K252" i="66" l="1"/>
  <c r="V252" i="66" s="1"/>
  <c r="N252" i="66"/>
  <c r="W252" i="66" s="1"/>
  <c r="Y254" i="66"/>
  <c r="Z254" i="66" s="1"/>
  <c r="AB254" i="66"/>
  <c r="G254" i="66"/>
  <c r="F254" i="66"/>
  <c r="E255" i="66"/>
  <c r="H253" i="66"/>
  <c r="S253" i="66"/>
  <c r="D255" i="66"/>
  <c r="P254" i="66"/>
  <c r="Y255" i="66" l="1"/>
  <c r="Z255" i="66" s="1"/>
  <c r="AB255" i="66"/>
  <c r="H254" i="66"/>
  <c r="K254" i="66" s="1"/>
  <c r="V254" i="66" s="1"/>
  <c r="G255" i="66"/>
  <c r="F255" i="66"/>
  <c r="E256" i="66"/>
  <c r="S254" i="66"/>
  <c r="N253" i="66"/>
  <c r="W253" i="66" s="1"/>
  <c r="I253" i="66"/>
  <c r="K253" i="66"/>
  <c r="V253" i="66" s="1"/>
  <c r="D256" i="66"/>
  <c r="P255" i="66"/>
  <c r="N254" i="66" l="1"/>
  <c r="W254" i="66" s="1"/>
  <c r="H255" i="66"/>
  <c r="N255" i="66" s="1"/>
  <c r="W255" i="66" s="1"/>
  <c r="I254" i="66"/>
  <c r="Y256" i="66"/>
  <c r="Z256" i="66" s="1"/>
  <c r="AB256" i="66"/>
  <c r="F256" i="66"/>
  <c r="G256" i="66"/>
  <c r="E257" i="66"/>
  <c r="S255" i="66"/>
  <c r="D257" i="66"/>
  <c r="P256" i="66"/>
  <c r="K255" i="66" l="1"/>
  <c r="V255" i="66" s="1"/>
  <c r="I255" i="66"/>
  <c r="Y257" i="66"/>
  <c r="Z257" i="66" s="1"/>
  <c r="AB257" i="66"/>
  <c r="S256" i="66"/>
  <c r="F257" i="66"/>
  <c r="G257" i="66"/>
  <c r="E258" i="66"/>
  <c r="H256" i="66"/>
  <c r="D258" i="66"/>
  <c r="P257" i="66"/>
  <c r="Y258" i="66" l="1"/>
  <c r="Z258" i="66" s="1"/>
  <c r="AB258" i="66"/>
  <c r="G258" i="66"/>
  <c r="F258" i="66"/>
  <c r="E259" i="66"/>
  <c r="S257" i="66"/>
  <c r="K256" i="66"/>
  <c r="V256" i="66" s="1"/>
  <c r="N256" i="66"/>
  <c r="W256" i="66" s="1"/>
  <c r="I256" i="66"/>
  <c r="H257" i="66"/>
  <c r="D259" i="66"/>
  <c r="P258" i="66"/>
  <c r="H258" i="66" l="1"/>
  <c r="I258" i="66" s="1"/>
  <c r="Y259" i="66"/>
  <c r="Z259" i="66" s="1"/>
  <c r="AB259" i="66"/>
  <c r="S258" i="66"/>
  <c r="K257" i="66"/>
  <c r="V257" i="66" s="1"/>
  <c r="N257" i="66"/>
  <c r="W257" i="66" s="1"/>
  <c r="I257" i="66"/>
  <c r="F259" i="66"/>
  <c r="G259" i="66"/>
  <c r="E260" i="66"/>
  <c r="D260" i="66"/>
  <c r="P259" i="66"/>
  <c r="N258" i="66" l="1"/>
  <c r="W258" i="66" s="1"/>
  <c r="K258" i="66"/>
  <c r="V258" i="66" s="1"/>
  <c r="H259" i="66"/>
  <c r="I259" i="66" s="1"/>
  <c r="Y260" i="66"/>
  <c r="Z260" i="66" s="1"/>
  <c r="AB260" i="66"/>
  <c r="G260" i="66"/>
  <c r="F260" i="66"/>
  <c r="E261" i="66"/>
  <c r="S259" i="66"/>
  <c r="D261" i="66"/>
  <c r="P260" i="66"/>
  <c r="K259" i="66" l="1"/>
  <c r="V259" i="66" s="1"/>
  <c r="H260" i="66"/>
  <c r="K260" i="66" s="1"/>
  <c r="V260" i="66" s="1"/>
  <c r="N259" i="66"/>
  <c r="W259" i="66" s="1"/>
  <c r="Y261" i="66"/>
  <c r="Z261" i="66" s="1"/>
  <c r="AB261" i="66"/>
  <c r="S260" i="66"/>
  <c r="F261" i="66"/>
  <c r="G261" i="66"/>
  <c r="E262" i="66"/>
  <c r="D262" i="66"/>
  <c r="P261" i="66"/>
  <c r="I260" i="66" l="1"/>
  <c r="N260" i="66"/>
  <c r="W260" i="66" s="1"/>
  <c r="Y262" i="66"/>
  <c r="Z262" i="66" s="1"/>
  <c r="AB262" i="66"/>
  <c r="H261" i="66"/>
  <c r="S261" i="66"/>
  <c r="G262" i="66"/>
  <c r="F262" i="66"/>
  <c r="E263" i="66"/>
  <c r="D263" i="66"/>
  <c r="P262" i="66"/>
  <c r="Y263" i="66" l="1"/>
  <c r="Z263" i="66" s="1"/>
  <c r="AB263" i="66"/>
  <c r="H262" i="66"/>
  <c r="I262" i="66" s="1"/>
  <c r="F263" i="66"/>
  <c r="G263" i="66"/>
  <c r="E264" i="66"/>
  <c r="S262" i="66"/>
  <c r="N261" i="66"/>
  <c r="W261" i="66" s="1"/>
  <c r="K261" i="66"/>
  <c r="V261" i="66" s="1"/>
  <c r="I261" i="66"/>
  <c r="D264" i="66"/>
  <c r="P263" i="66"/>
  <c r="K262" i="66" l="1"/>
  <c r="V262" i="66" s="1"/>
  <c r="N262" i="66"/>
  <c r="W262" i="66" s="1"/>
  <c r="Y264" i="66"/>
  <c r="Z264" i="66" s="1"/>
  <c r="AB264" i="66"/>
  <c r="G264" i="66"/>
  <c r="F264" i="66"/>
  <c r="E265" i="66"/>
  <c r="S263" i="66"/>
  <c r="H263" i="66"/>
  <c r="D265" i="66"/>
  <c r="P264" i="66"/>
  <c r="Y265" i="66" l="1"/>
  <c r="Z265" i="66" s="1"/>
  <c r="AB265" i="66"/>
  <c r="H264" i="66"/>
  <c r="N264" i="66" s="1"/>
  <c r="W264" i="66" s="1"/>
  <c r="S264" i="66"/>
  <c r="N263" i="66"/>
  <c r="W263" i="66" s="1"/>
  <c r="K263" i="66"/>
  <c r="V263" i="66" s="1"/>
  <c r="I263" i="66"/>
  <c r="F265" i="66"/>
  <c r="G265" i="66"/>
  <c r="E266" i="66"/>
  <c r="D266" i="66"/>
  <c r="P265" i="66"/>
  <c r="K264" i="66" l="1"/>
  <c r="V264" i="66" s="1"/>
  <c r="I264" i="66"/>
  <c r="H265" i="66"/>
  <c r="K265" i="66" s="1"/>
  <c r="V265" i="66" s="1"/>
  <c r="Y266" i="66"/>
  <c r="Z266" i="66" s="1"/>
  <c r="AB266" i="66"/>
  <c r="G266" i="66"/>
  <c r="F266" i="66"/>
  <c r="E267" i="66"/>
  <c r="S265" i="66"/>
  <c r="D267" i="66"/>
  <c r="P266" i="66"/>
  <c r="I265" i="66" l="1"/>
  <c r="N265" i="66"/>
  <c r="W265" i="66" s="1"/>
  <c r="H266" i="66"/>
  <c r="I266" i="66" s="1"/>
  <c r="Y267" i="66"/>
  <c r="Z267" i="66" s="1"/>
  <c r="AB267" i="66"/>
  <c r="S266" i="66"/>
  <c r="F267" i="66"/>
  <c r="G267" i="66"/>
  <c r="E268" i="66"/>
  <c r="D268" i="66"/>
  <c r="P267" i="66"/>
  <c r="K266" i="66" l="1"/>
  <c r="V266" i="66" s="1"/>
  <c r="N266" i="66"/>
  <c r="W266" i="66" s="1"/>
  <c r="Y268" i="66"/>
  <c r="Z268" i="66" s="1"/>
  <c r="AB268" i="66"/>
  <c r="S267" i="66"/>
  <c r="G268" i="66"/>
  <c r="F268" i="66"/>
  <c r="E269" i="66"/>
  <c r="H267" i="66"/>
  <c r="D269" i="66"/>
  <c r="P268" i="66"/>
  <c r="H268" i="66" l="1"/>
  <c r="N268" i="66" s="1"/>
  <c r="W268" i="66" s="1"/>
  <c r="Y269" i="66"/>
  <c r="Z269" i="66" s="1"/>
  <c r="AB269" i="66"/>
  <c r="F269" i="66"/>
  <c r="G269" i="66"/>
  <c r="E270" i="66"/>
  <c r="S268" i="66"/>
  <c r="N267" i="66"/>
  <c r="W267" i="66" s="1"/>
  <c r="I267" i="66"/>
  <c r="K267" i="66"/>
  <c r="V267" i="66" s="1"/>
  <c r="D270" i="66"/>
  <c r="P269" i="66"/>
  <c r="I268" i="66" l="1"/>
  <c r="K268" i="66"/>
  <c r="V268" i="66" s="1"/>
  <c r="Y270" i="66"/>
  <c r="Z270" i="66" s="1"/>
  <c r="AB270" i="66"/>
  <c r="G270" i="66"/>
  <c r="F270" i="66"/>
  <c r="E271" i="66"/>
  <c r="H269" i="66"/>
  <c r="S269" i="66"/>
  <c r="D271" i="66"/>
  <c r="P270" i="66"/>
  <c r="Y271" i="66" l="1"/>
  <c r="Z271" i="66" s="1"/>
  <c r="AB271" i="66"/>
  <c r="H270" i="66"/>
  <c r="I270" i="66" s="1"/>
  <c r="F271" i="66"/>
  <c r="G271" i="66"/>
  <c r="E272" i="66"/>
  <c r="N269" i="66"/>
  <c r="W269" i="66" s="1"/>
  <c r="I269" i="66"/>
  <c r="K269" i="66"/>
  <c r="V269" i="66" s="1"/>
  <c r="S270" i="66"/>
  <c r="D272" i="66"/>
  <c r="P271" i="66"/>
  <c r="N270" i="66" l="1"/>
  <c r="W270" i="66" s="1"/>
  <c r="K270" i="66"/>
  <c r="V270" i="66" s="1"/>
  <c r="Y272" i="66"/>
  <c r="Z272" i="66" s="1"/>
  <c r="AB272" i="66"/>
  <c r="G272" i="66"/>
  <c r="F272" i="66"/>
  <c r="E273" i="66"/>
  <c r="S271" i="66"/>
  <c r="H271" i="66"/>
  <c r="D273" i="66"/>
  <c r="P272" i="66"/>
  <c r="Y273" i="66" l="1"/>
  <c r="Z273" i="66" s="1"/>
  <c r="AB273" i="66"/>
  <c r="H272" i="66"/>
  <c r="K272" i="66" s="1"/>
  <c r="V272" i="66" s="1"/>
  <c r="F273" i="66"/>
  <c r="G273" i="66"/>
  <c r="E274" i="66"/>
  <c r="S272" i="66"/>
  <c r="N271" i="66"/>
  <c r="W271" i="66" s="1"/>
  <c r="K271" i="66"/>
  <c r="V271" i="66" s="1"/>
  <c r="I271" i="66"/>
  <c r="D274" i="66"/>
  <c r="P273" i="66"/>
  <c r="N272" i="66" l="1"/>
  <c r="W272" i="66" s="1"/>
  <c r="I272" i="66"/>
  <c r="Y274" i="66"/>
  <c r="Z274" i="66" s="1"/>
  <c r="AB274" i="66"/>
  <c r="H273" i="66"/>
  <c r="N273" i="66" s="1"/>
  <c r="W273" i="66" s="1"/>
  <c r="S273" i="66"/>
  <c r="G274" i="66"/>
  <c r="F274" i="66"/>
  <c r="E275" i="66"/>
  <c r="D275" i="66"/>
  <c r="P274" i="66"/>
  <c r="I273" i="66" l="1"/>
  <c r="K273" i="66"/>
  <c r="V273" i="66" s="1"/>
  <c r="Y275" i="66"/>
  <c r="Z275" i="66" s="1"/>
  <c r="AB275" i="66"/>
  <c r="S274" i="66"/>
  <c r="F275" i="66"/>
  <c r="G275" i="66"/>
  <c r="E276" i="66"/>
  <c r="H274" i="66"/>
  <c r="D276" i="66"/>
  <c r="P275" i="66"/>
  <c r="Y276" i="66" l="1"/>
  <c r="Z276" i="66" s="1"/>
  <c r="AB276" i="66"/>
  <c r="N274" i="66"/>
  <c r="W274" i="66" s="1"/>
  <c r="I274" i="66"/>
  <c r="K274" i="66"/>
  <c r="V274" i="66" s="1"/>
  <c r="G276" i="66"/>
  <c r="F276" i="66"/>
  <c r="E277" i="66"/>
  <c r="S275" i="66"/>
  <c r="H275" i="66"/>
  <c r="D277" i="66"/>
  <c r="P276" i="66"/>
  <c r="Y277" i="66" l="1"/>
  <c r="Z277" i="66" s="1"/>
  <c r="AB277" i="66"/>
  <c r="K275" i="66"/>
  <c r="V275" i="66" s="1"/>
  <c r="I275" i="66"/>
  <c r="N275" i="66"/>
  <c r="W275" i="66" s="1"/>
  <c r="S276" i="66"/>
  <c r="F277" i="66"/>
  <c r="G277" i="66"/>
  <c r="E278" i="66"/>
  <c r="H276" i="66"/>
  <c r="D278" i="66"/>
  <c r="P277" i="66"/>
  <c r="Y278" i="66" l="1"/>
  <c r="Z278" i="66" s="1"/>
  <c r="AB278" i="66"/>
  <c r="K276" i="66"/>
  <c r="V276" i="66" s="1"/>
  <c r="I276" i="66"/>
  <c r="N276" i="66"/>
  <c r="W276" i="66" s="1"/>
  <c r="H277" i="66"/>
  <c r="S277" i="66"/>
  <c r="G278" i="66"/>
  <c r="F278" i="66"/>
  <c r="E279" i="66"/>
  <c r="D279" i="66"/>
  <c r="P278" i="66"/>
  <c r="Y279" i="66" l="1"/>
  <c r="Z279" i="66" s="1"/>
  <c r="AB279" i="66"/>
  <c r="H278" i="66"/>
  <c r="K278" i="66" s="1"/>
  <c r="V278" i="66" s="1"/>
  <c r="S278" i="66"/>
  <c r="N277" i="66"/>
  <c r="W277" i="66" s="1"/>
  <c r="K277" i="66"/>
  <c r="V277" i="66" s="1"/>
  <c r="I277" i="66"/>
  <c r="F279" i="66"/>
  <c r="G279" i="66"/>
  <c r="E280" i="66"/>
  <c r="D280" i="66"/>
  <c r="P279" i="66"/>
  <c r="N278" i="66" l="1"/>
  <c r="W278" i="66" s="1"/>
  <c r="I278" i="66"/>
  <c r="H279" i="66"/>
  <c r="I279" i="66" s="1"/>
  <c r="Y280" i="66"/>
  <c r="Z280" i="66" s="1"/>
  <c r="AB280" i="66"/>
  <c r="S279" i="66"/>
  <c r="G280" i="66"/>
  <c r="F280" i="66"/>
  <c r="E281" i="66"/>
  <c r="D281" i="66"/>
  <c r="P280" i="66"/>
  <c r="K279" i="66" l="1"/>
  <c r="V279" i="66" s="1"/>
  <c r="N279" i="66"/>
  <c r="W279" i="66" s="1"/>
  <c r="Y281" i="66"/>
  <c r="Z281" i="66" s="1"/>
  <c r="AB281" i="66"/>
  <c r="H280" i="66"/>
  <c r="K280" i="66" s="1"/>
  <c r="V280" i="66" s="1"/>
  <c r="S280" i="66"/>
  <c r="F281" i="66"/>
  <c r="G281" i="66"/>
  <c r="E282" i="66"/>
  <c r="D282" i="66"/>
  <c r="P281" i="66"/>
  <c r="I280" i="66" l="1"/>
  <c r="N280" i="66"/>
  <c r="W280" i="66" s="1"/>
  <c r="Y282" i="66"/>
  <c r="Z282" i="66" s="1"/>
  <c r="AB282" i="66"/>
  <c r="G282" i="66"/>
  <c r="F282" i="66"/>
  <c r="E283" i="66"/>
  <c r="H281" i="66"/>
  <c r="S281" i="66"/>
  <c r="D283" i="66"/>
  <c r="P282" i="66"/>
  <c r="Y283" i="66" l="1"/>
  <c r="Z283" i="66" s="1"/>
  <c r="AB283" i="66"/>
  <c r="H282" i="66"/>
  <c r="I282" i="66" s="1"/>
  <c r="S282" i="66"/>
  <c r="F283" i="66"/>
  <c r="G283" i="66"/>
  <c r="E284" i="66"/>
  <c r="K281" i="66"/>
  <c r="V281" i="66" s="1"/>
  <c r="I281" i="66"/>
  <c r="N281" i="66"/>
  <c r="W281" i="66" s="1"/>
  <c r="D284" i="66"/>
  <c r="P283" i="66"/>
  <c r="N282" i="66" l="1"/>
  <c r="W282" i="66" s="1"/>
  <c r="H283" i="66"/>
  <c r="K283" i="66" s="1"/>
  <c r="V283" i="66" s="1"/>
  <c r="K282" i="66"/>
  <c r="V282" i="66" s="1"/>
  <c r="Y284" i="66"/>
  <c r="Z284" i="66" s="1"/>
  <c r="AB284" i="66"/>
  <c r="S283" i="66"/>
  <c r="G284" i="66"/>
  <c r="F284" i="66"/>
  <c r="E285" i="66"/>
  <c r="D285" i="66"/>
  <c r="P284" i="66"/>
  <c r="N283" i="66" l="1"/>
  <c r="W283" i="66" s="1"/>
  <c r="I283" i="66"/>
  <c r="H284" i="66"/>
  <c r="I284" i="66" s="1"/>
  <c r="Y285" i="66"/>
  <c r="Z285" i="66" s="1"/>
  <c r="AB285" i="66"/>
  <c r="S284" i="66"/>
  <c r="F285" i="66"/>
  <c r="G285" i="66"/>
  <c r="E286" i="66"/>
  <c r="D286" i="66"/>
  <c r="P285" i="66"/>
  <c r="K284" i="66" l="1"/>
  <c r="V284" i="66" s="1"/>
  <c r="N284" i="66"/>
  <c r="W284" i="66" s="1"/>
  <c r="Y286" i="66"/>
  <c r="Z286" i="66" s="1"/>
  <c r="AB286" i="66"/>
  <c r="G286" i="66"/>
  <c r="F286" i="66"/>
  <c r="E287" i="66"/>
  <c r="S285" i="66"/>
  <c r="H285" i="66"/>
  <c r="D287" i="66"/>
  <c r="P286" i="66"/>
  <c r="Y287" i="66" l="1"/>
  <c r="Z287" i="66" s="1"/>
  <c r="AB287" i="66"/>
  <c r="H286" i="66"/>
  <c r="I286" i="66" s="1"/>
  <c r="S286" i="66"/>
  <c r="K285" i="66"/>
  <c r="V285" i="66" s="1"/>
  <c r="I285" i="66"/>
  <c r="N285" i="66"/>
  <c r="W285" i="66" s="1"/>
  <c r="F287" i="66"/>
  <c r="G287" i="66"/>
  <c r="E288" i="66"/>
  <c r="D288" i="66"/>
  <c r="P287" i="66"/>
  <c r="K286" i="66" l="1"/>
  <c r="V286" i="66" s="1"/>
  <c r="N286" i="66"/>
  <c r="W286" i="66" s="1"/>
  <c r="Y288" i="66"/>
  <c r="Z288" i="66" s="1"/>
  <c r="AB288" i="66"/>
  <c r="G288" i="66"/>
  <c r="F288" i="66"/>
  <c r="E289" i="66"/>
  <c r="S287" i="66"/>
  <c r="H287" i="66"/>
  <c r="D289" i="66"/>
  <c r="P288" i="66"/>
  <c r="Y289" i="66" l="1"/>
  <c r="Z289" i="66" s="1"/>
  <c r="AB289" i="66"/>
  <c r="H288" i="66"/>
  <c r="I288" i="66" s="1"/>
  <c r="S288" i="66"/>
  <c r="N287" i="66"/>
  <c r="W287" i="66" s="1"/>
  <c r="K287" i="66"/>
  <c r="V287" i="66" s="1"/>
  <c r="I287" i="66"/>
  <c r="F289" i="66"/>
  <c r="G289" i="66"/>
  <c r="E290" i="66"/>
  <c r="D290" i="66"/>
  <c r="P289" i="66"/>
  <c r="K288" i="66" l="1"/>
  <c r="V288" i="66" s="1"/>
  <c r="N288" i="66"/>
  <c r="W288" i="66" s="1"/>
  <c r="H289" i="66"/>
  <c r="I289" i="66" s="1"/>
  <c r="Y290" i="66"/>
  <c r="Z290" i="66" s="1"/>
  <c r="AB290" i="66"/>
  <c r="S289" i="66"/>
  <c r="G290" i="66"/>
  <c r="F290" i="66"/>
  <c r="E291" i="66"/>
  <c r="D291" i="66"/>
  <c r="P290" i="66"/>
  <c r="K289" i="66" l="1"/>
  <c r="V289" i="66" s="1"/>
  <c r="N289" i="66"/>
  <c r="W289" i="66" s="1"/>
  <c r="H290" i="66"/>
  <c r="I290" i="66" s="1"/>
  <c r="Y291" i="66"/>
  <c r="Z291" i="66" s="1"/>
  <c r="AB291" i="66"/>
  <c r="S290" i="66"/>
  <c r="F291" i="66"/>
  <c r="G291" i="66"/>
  <c r="E292" i="66"/>
  <c r="D292" i="66"/>
  <c r="P291" i="66"/>
  <c r="K290" i="66" l="1"/>
  <c r="V290" i="66" s="1"/>
  <c r="N290" i="66"/>
  <c r="W290" i="66" s="1"/>
  <c r="H291" i="66"/>
  <c r="I291" i="66" s="1"/>
  <c r="Y292" i="66"/>
  <c r="Z292" i="66" s="1"/>
  <c r="AB292" i="66"/>
  <c r="G292" i="66"/>
  <c r="F292" i="66"/>
  <c r="E293" i="66"/>
  <c r="S291" i="66"/>
  <c r="D293" i="66"/>
  <c r="P292" i="66"/>
  <c r="K291" i="66" l="1"/>
  <c r="V291" i="66" s="1"/>
  <c r="N291" i="66"/>
  <c r="W291" i="66" s="1"/>
  <c r="Y293" i="66"/>
  <c r="Z293" i="66" s="1"/>
  <c r="AB293" i="66"/>
  <c r="H292" i="66"/>
  <c r="K292" i="66" s="1"/>
  <c r="V292" i="66" s="1"/>
  <c r="S292" i="66"/>
  <c r="F293" i="66"/>
  <c r="G293" i="66"/>
  <c r="E294" i="66"/>
  <c r="D294" i="66"/>
  <c r="P293" i="66"/>
  <c r="N292" i="66" l="1"/>
  <c r="W292" i="66" s="1"/>
  <c r="I292" i="66"/>
  <c r="Y294" i="66"/>
  <c r="Z294" i="66" s="1"/>
  <c r="AB294" i="66"/>
  <c r="G294" i="66"/>
  <c r="F294" i="66"/>
  <c r="E295" i="66"/>
  <c r="S293" i="66"/>
  <c r="H293" i="66"/>
  <c r="D295" i="66"/>
  <c r="P294" i="66"/>
  <c r="Y295" i="66" l="1"/>
  <c r="Z295" i="66" s="1"/>
  <c r="AB295" i="66"/>
  <c r="H294" i="66"/>
  <c r="N294" i="66" s="1"/>
  <c r="W294" i="66" s="1"/>
  <c r="F295" i="66"/>
  <c r="G295" i="66"/>
  <c r="E296" i="66"/>
  <c r="S294" i="66"/>
  <c r="K293" i="66"/>
  <c r="V293" i="66" s="1"/>
  <c r="I293" i="66"/>
  <c r="N293" i="66"/>
  <c r="W293" i="66" s="1"/>
  <c r="D296" i="66"/>
  <c r="P295" i="66"/>
  <c r="K294" i="66" l="1"/>
  <c r="V294" i="66" s="1"/>
  <c r="I294" i="66"/>
  <c r="Y296" i="66"/>
  <c r="Z296" i="66" s="1"/>
  <c r="AB296" i="66"/>
  <c r="G296" i="66"/>
  <c r="F296" i="66"/>
  <c r="E297" i="66"/>
  <c r="S295" i="66"/>
  <c r="H295" i="66"/>
  <c r="D297" i="66"/>
  <c r="P296" i="66"/>
  <c r="Y297" i="66" l="1"/>
  <c r="Z297" i="66" s="1"/>
  <c r="AB297" i="66"/>
  <c r="H296" i="66"/>
  <c r="N296" i="66" s="1"/>
  <c r="W296" i="66" s="1"/>
  <c r="N295" i="66"/>
  <c r="W295" i="66" s="1"/>
  <c r="K295" i="66"/>
  <c r="V295" i="66" s="1"/>
  <c r="I295" i="66"/>
  <c r="F297" i="66"/>
  <c r="G297" i="66"/>
  <c r="E298" i="66"/>
  <c r="S296" i="66"/>
  <c r="D298" i="66"/>
  <c r="P297" i="66"/>
  <c r="K296" i="66" l="1"/>
  <c r="V296" i="66" s="1"/>
  <c r="I296" i="66"/>
  <c r="Y298" i="66"/>
  <c r="Z298" i="66" s="1"/>
  <c r="AB298" i="66"/>
  <c r="S297" i="66"/>
  <c r="G298" i="66"/>
  <c r="F298" i="66"/>
  <c r="E299" i="66"/>
  <c r="H297" i="66"/>
  <c r="D299" i="66"/>
  <c r="P298" i="66"/>
  <c r="H298" i="66" l="1"/>
  <c r="K298" i="66" s="1"/>
  <c r="V298" i="66" s="1"/>
  <c r="Y299" i="66"/>
  <c r="Z299" i="66" s="1"/>
  <c r="AB299" i="66"/>
  <c r="F299" i="66"/>
  <c r="G299" i="66"/>
  <c r="E300" i="66"/>
  <c r="S298" i="66"/>
  <c r="I297" i="66"/>
  <c r="N297" i="66"/>
  <c r="W297" i="66" s="1"/>
  <c r="K297" i="66"/>
  <c r="V297" i="66" s="1"/>
  <c r="D300" i="66"/>
  <c r="P299" i="66"/>
  <c r="I298" i="66" l="1"/>
  <c r="N298" i="66"/>
  <c r="W298" i="66" s="1"/>
  <c r="Y300" i="66"/>
  <c r="Z300" i="66" s="1"/>
  <c r="AB300" i="66"/>
  <c r="S299" i="66"/>
  <c r="G300" i="66"/>
  <c r="F300" i="66"/>
  <c r="E301" i="66"/>
  <c r="H299" i="66"/>
  <c r="D301" i="66"/>
  <c r="P300" i="66"/>
  <c r="H300" i="66" l="1"/>
  <c r="N300" i="66" s="1"/>
  <c r="W300" i="66" s="1"/>
  <c r="Y301" i="66"/>
  <c r="Z301" i="66" s="1"/>
  <c r="AB301" i="66"/>
  <c r="F301" i="66"/>
  <c r="G301" i="66"/>
  <c r="E302" i="66"/>
  <c r="S300" i="66"/>
  <c r="N299" i="66"/>
  <c r="W299" i="66" s="1"/>
  <c r="I299" i="66"/>
  <c r="K299" i="66"/>
  <c r="V299" i="66" s="1"/>
  <c r="D302" i="66"/>
  <c r="P301" i="66"/>
  <c r="K300" i="66" l="1"/>
  <c r="V300" i="66" s="1"/>
  <c r="I300" i="66"/>
  <c r="Y302" i="66"/>
  <c r="Z302" i="66" s="1"/>
  <c r="AB302" i="66"/>
  <c r="S301" i="66"/>
  <c r="G302" i="66"/>
  <c r="F302" i="66"/>
  <c r="E303" i="66"/>
  <c r="H301" i="66"/>
  <c r="D303" i="66"/>
  <c r="P302" i="66"/>
  <c r="H302" i="66" l="1"/>
  <c r="I302" i="66" s="1"/>
  <c r="Y303" i="66"/>
  <c r="Z303" i="66" s="1"/>
  <c r="AB303" i="66"/>
  <c r="N301" i="66"/>
  <c r="W301" i="66" s="1"/>
  <c r="I301" i="66"/>
  <c r="K301" i="66"/>
  <c r="V301" i="66" s="1"/>
  <c r="S302" i="66"/>
  <c r="F303" i="66"/>
  <c r="G303" i="66"/>
  <c r="E304" i="66"/>
  <c r="D304" i="66"/>
  <c r="P303" i="66"/>
  <c r="K302" i="66" l="1"/>
  <c r="V302" i="66" s="1"/>
  <c r="N302" i="66"/>
  <c r="W302" i="66" s="1"/>
  <c r="Y304" i="66"/>
  <c r="Z304" i="66" s="1"/>
  <c r="AB304" i="66"/>
  <c r="S303" i="66"/>
  <c r="G304" i="66"/>
  <c r="F304" i="66"/>
  <c r="E305" i="66"/>
  <c r="H303" i="66"/>
  <c r="D305" i="66"/>
  <c r="P304" i="66"/>
  <c r="Y305" i="66" l="1"/>
  <c r="Z305" i="66" s="1"/>
  <c r="AB305" i="66"/>
  <c r="F305" i="66"/>
  <c r="G305" i="66"/>
  <c r="E306" i="66"/>
  <c r="H304" i="66"/>
  <c r="S304" i="66"/>
  <c r="N303" i="66"/>
  <c r="W303" i="66" s="1"/>
  <c r="K303" i="66"/>
  <c r="V303" i="66" s="1"/>
  <c r="I303" i="66"/>
  <c r="D306" i="66"/>
  <c r="P305" i="66"/>
  <c r="Y306" i="66" l="1"/>
  <c r="Z306" i="66" s="1"/>
  <c r="AB306" i="66"/>
  <c r="S305" i="66"/>
  <c r="G306" i="66"/>
  <c r="F306" i="66"/>
  <c r="E307" i="66"/>
  <c r="H305" i="66"/>
  <c r="K304" i="66"/>
  <c r="V304" i="66" s="1"/>
  <c r="N304" i="66"/>
  <c r="W304" i="66" s="1"/>
  <c r="I304" i="66"/>
  <c r="D307" i="66"/>
  <c r="P306" i="66"/>
  <c r="Y307" i="66" l="1"/>
  <c r="Z307" i="66" s="1"/>
  <c r="AB307" i="66"/>
  <c r="H306" i="66"/>
  <c r="I306" i="66" s="1"/>
  <c r="F307" i="66"/>
  <c r="G307" i="66"/>
  <c r="E308" i="66"/>
  <c r="S306" i="66"/>
  <c r="K305" i="66"/>
  <c r="V305" i="66" s="1"/>
  <c r="I305" i="66"/>
  <c r="N305" i="66"/>
  <c r="W305" i="66" s="1"/>
  <c r="D308" i="66"/>
  <c r="P307" i="66"/>
  <c r="N306" i="66" l="1"/>
  <c r="W306" i="66" s="1"/>
  <c r="K306" i="66"/>
  <c r="V306" i="66" s="1"/>
  <c r="Y308" i="66"/>
  <c r="Z308" i="66" s="1"/>
  <c r="AB308" i="66"/>
  <c r="S307" i="66"/>
  <c r="H307" i="66"/>
  <c r="G308" i="66"/>
  <c r="F308" i="66"/>
  <c r="E309" i="66"/>
  <c r="D309" i="66"/>
  <c r="P308" i="66"/>
  <c r="Y309" i="66" l="1"/>
  <c r="Z309" i="66" s="1"/>
  <c r="AB309" i="66"/>
  <c r="F309" i="66"/>
  <c r="G309" i="66"/>
  <c r="E310" i="66"/>
  <c r="N307" i="66"/>
  <c r="W307" i="66" s="1"/>
  <c r="K307" i="66"/>
  <c r="V307" i="66" s="1"/>
  <c r="I307" i="66"/>
  <c r="H308" i="66"/>
  <c r="S308" i="66"/>
  <c r="D310" i="66"/>
  <c r="P309" i="66"/>
  <c r="Y310" i="66" l="1"/>
  <c r="Z310" i="66" s="1"/>
  <c r="AB310" i="66"/>
  <c r="K308" i="66"/>
  <c r="V308" i="66" s="1"/>
  <c r="I308" i="66"/>
  <c r="N308" i="66"/>
  <c r="W308" i="66" s="1"/>
  <c r="G310" i="66"/>
  <c r="F310" i="66"/>
  <c r="E311" i="66"/>
  <c r="S309" i="66"/>
  <c r="H309" i="66"/>
  <c r="D311" i="66"/>
  <c r="P310" i="66"/>
  <c r="Y311" i="66" l="1"/>
  <c r="Z311" i="66" s="1"/>
  <c r="AB311" i="66"/>
  <c r="H310" i="66"/>
  <c r="I310" i="66" s="1"/>
  <c r="N309" i="66"/>
  <c r="W309" i="66" s="1"/>
  <c r="K309" i="66"/>
  <c r="V309" i="66" s="1"/>
  <c r="I309" i="66"/>
  <c r="S310" i="66"/>
  <c r="F311" i="66"/>
  <c r="G311" i="66"/>
  <c r="E312" i="66"/>
  <c r="D312" i="66"/>
  <c r="P311" i="66"/>
  <c r="K310" i="66" l="1"/>
  <c r="V310" i="66" s="1"/>
  <c r="N310" i="66"/>
  <c r="W310" i="66" s="1"/>
  <c r="H311" i="66"/>
  <c r="K311" i="66" s="1"/>
  <c r="V311" i="66" s="1"/>
  <c r="Y312" i="66"/>
  <c r="Z312" i="66" s="1"/>
  <c r="AB312" i="66"/>
  <c r="S311" i="66"/>
  <c r="G312" i="66"/>
  <c r="F312" i="66"/>
  <c r="E313" i="66"/>
  <c r="D313" i="66"/>
  <c r="P312" i="66"/>
  <c r="N311" i="66" l="1"/>
  <c r="W311" i="66" s="1"/>
  <c r="I311" i="66"/>
  <c r="Y313" i="66"/>
  <c r="Z313" i="66" s="1"/>
  <c r="AB313" i="66"/>
  <c r="F313" i="66"/>
  <c r="G313" i="66"/>
  <c r="E314" i="66"/>
  <c r="H312" i="66"/>
  <c r="S312" i="66"/>
  <c r="D314" i="66"/>
  <c r="P313" i="66"/>
  <c r="Y314" i="66" l="1"/>
  <c r="Z314" i="66" s="1"/>
  <c r="AB314" i="66"/>
  <c r="I312" i="66"/>
  <c r="K312" i="66"/>
  <c r="V312" i="66" s="1"/>
  <c r="N312" i="66"/>
  <c r="W312" i="66" s="1"/>
  <c r="G314" i="66"/>
  <c r="F314" i="66"/>
  <c r="E315" i="66"/>
  <c r="S313" i="66"/>
  <c r="H313" i="66"/>
  <c r="D315" i="66"/>
  <c r="P314" i="66"/>
  <c r="H314" i="66" l="1"/>
  <c r="I314" i="66" s="1"/>
  <c r="Y315" i="66"/>
  <c r="Z315" i="66" s="1"/>
  <c r="AB315" i="66"/>
  <c r="S314" i="66"/>
  <c r="N313" i="66"/>
  <c r="W313" i="66" s="1"/>
  <c r="K313" i="66"/>
  <c r="V313" i="66" s="1"/>
  <c r="I313" i="66"/>
  <c r="F315" i="66"/>
  <c r="G315" i="66"/>
  <c r="E316" i="66"/>
  <c r="N314" i="66"/>
  <c r="W314" i="66" s="1"/>
  <c r="D316" i="66"/>
  <c r="P315" i="66"/>
  <c r="K314" i="66" l="1"/>
  <c r="V314" i="66" s="1"/>
  <c r="Y316" i="66"/>
  <c r="Z316" i="66" s="1"/>
  <c r="AB316" i="66"/>
  <c r="H315" i="66"/>
  <c r="I315" i="66" s="1"/>
  <c r="S315" i="66"/>
  <c r="G316" i="66"/>
  <c r="F316" i="66"/>
  <c r="E317" i="66"/>
  <c r="D317" i="66"/>
  <c r="P316" i="66"/>
  <c r="K315" i="66" l="1"/>
  <c r="V315" i="66" s="1"/>
  <c r="N315" i="66"/>
  <c r="W315" i="66" s="1"/>
  <c r="Y317" i="66"/>
  <c r="Z317" i="66" s="1"/>
  <c r="AB317" i="66"/>
  <c r="H316" i="66"/>
  <c r="K316" i="66" s="1"/>
  <c r="V316" i="66" s="1"/>
  <c r="S316" i="66"/>
  <c r="F317" i="66"/>
  <c r="G317" i="66"/>
  <c r="E318" i="66"/>
  <c r="D318" i="66"/>
  <c r="P317" i="66"/>
  <c r="H317" i="66" l="1"/>
  <c r="K317" i="66" s="1"/>
  <c r="V317" i="66" s="1"/>
  <c r="N316" i="66"/>
  <c r="W316" i="66" s="1"/>
  <c r="I316" i="66"/>
  <c r="Y318" i="66"/>
  <c r="Z318" i="66" s="1"/>
  <c r="AB318" i="66"/>
  <c r="S317" i="66"/>
  <c r="G318" i="66"/>
  <c r="F318" i="66"/>
  <c r="E319" i="66"/>
  <c r="D319" i="66"/>
  <c r="P318" i="66"/>
  <c r="I317" i="66" l="1"/>
  <c r="N317" i="66"/>
  <c r="W317" i="66" s="1"/>
  <c r="Y319" i="66"/>
  <c r="Z319" i="66" s="1"/>
  <c r="AB319" i="66"/>
  <c r="H318" i="66"/>
  <c r="S318" i="66"/>
  <c r="F319" i="66"/>
  <c r="G319" i="66"/>
  <c r="E320" i="66"/>
  <c r="D320" i="66"/>
  <c r="P319" i="66"/>
  <c r="Y320" i="66" l="1"/>
  <c r="Z320" i="66" s="1"/>
  <c r="AB320" i="66"/>
  <c r="S319" i="66"/>
  <c r="H319" i="66"/>
  <c r="G320" i="66"/>
  <c r="F320" i="66"/>
  <c r="E321" i="66"/>
  <c r="K318" i="66"/>
  <c r="V318" i="66" s="1"/>
  <c r="N318" i="66"/>
  <c r="W318" i="66" s="1"/>
  <c r="I318" i="66"/>
  <c r="D321" i="66"/>
  <c r="P320" i="66"/>
  <c r="Y321" i="66" l="1"/>
  <c r="Z321" i="66" s="1"/>
  <c r="AB321" i="66"/>
  <c r="H320" i="66"/>
  <c r="N320" i="66" s="1"/>
  <c r="W320" i="66" s="1"/>
  <c r="F321" i="66"/>
  <c r="G321" i="66"/>
  <c r="E322" i="66"/>
  <c r="K319" i="66"/>
  <c r="V319" i="66" s="1"/>
  <c r="I319" i="66"/>
  <c r="N319" i="66"/>
  <c r="W319" i="66" s="1"/>
  <c r="S320" i="66"/>
  <c r="D322" i="66"/>
  <c r="P321" i="66"/>
  <c r="I320" i="66" l="1"/>
  <c r="K320" i="66"/>
  <c r="V320" i="66" s="1"/>
  <c r="Y322" i="66"/>
  <c r="Z322" i="66" s="1"/>
  <c r="AB322" i="66"/>
  <c r="G322" i="66"/>
  <c r="F322" i="66"/>
  <c r="E323" i="66"/>
  <c r="S321" i="66"/>
  <c r="H321" i="66"/>
  <c r="D323" i="66"/>
  <c r="P322" i="66"/>
  <c r="Y323" i="66" l="1"/>
  <c r="Z323" i="66" s="1"/>
  <c r="AB323" i="66"/>
  <c r="H322" i="66"/>
  <c r="N322" i="66" s="1"/>
  <c r="W322" i="66" s="1"/>
  <c r="F323" i="66"/>
  <c r="G323" i="66"/>
  <c r="E324" i="66"/>
  <c r="S322" i="66"/>
  <c r="N321" i="66"/>
  <c r="W321" i="66" s="1"/>
  <c r="K321" i="66"/>
  <c r="V321" i="66" s="1"/>
  <c r="I321" i="66"/>
  <c r="D324" i="66"/>
  <c r="P323" i="66"/>
  <c r="K322" i="66" l="1"/>
  <c r="V322" i="66" s="1"/>
  <c r="I322" i="66"/>
  <c r="Y324" i="66"/>
  <c r="Z324" i="66" s="1"/>
  <c r="AB324" i="66"/>
  <c r="S323" i="66"/>
  <c r="G324" i="66"/>
  <c r="F324" i="66"/>
  <c r="E325" i="66"/>
  <c r="H323" i="66"/>
  <c r="D325" i="66"/>
  <c r="P324" i="66"/>
  <c r="Y325" i="66" l="1"/>
  <c r="Z325" i="66" s="1"/>
  <c r="AB325" i="66"/>
  <c r="S324" i="66"/>
  <c r="I323" i="66"/>
  <c r="N323" i="66"/>
  <c r="W323" i="66" s="1"/>
  <c r="K323" i="66"/>
  <c r="V323" i="66" s="1"/>
  <c r="F325" i="66"/>
  <c r="G325" i="66"/>
  <c r="E326" i="66"/>
  <c r="H324" i="66"/>
  <c r="D326" i="66"/>
  <c r="P325" i="66"/>
  <c r="Y326" i="66" l="1"/>
  <c r="Z326" i="66" s="1"/>
  <c r="AB326" i="66"/>
  <c r="H325" i="66"/>
  <c r="S325" i="66"/>
  <c r="N324" i="66"/>
  <c r="W324" i="66" s="1"/>
  <c r="I324" i="66"/>
  <c r="K324" i="66"/>
  <c r="V324" i="66" s="1"/>
  <c r="G326" i="66"/>
  <c r="F326" i="66"/>
  <c r="E327" i="66"/>
  <c r="D327" i="66"/>
  <c r="P326" i="66"/>
  <c r="Y327" i="66" l="1"/>
  <c r="Z327" i="66" s="1"/>
  <c r="AB327" i="66"/>
  <c r="S326" i="66"/>
  <c r="F327" i="66"/>
  <c r="G327" i="66"/>
  <c r="E328" i="66"/>
  <c r="H326" i="66"/>
  <c r="K325" i="66"/>
  <c r="V325" i="66" s="1"/>
  <c r="I325" i="66"/>
  <c r="N325" i="66"/>
  <c r="W325" i="66" s="1"/>
  <c r="D328" i="66"/>
  <c r="P327" i="66"/>
  <c r="H327" i="66" l="1"/>
  <c r="N327" i="66" s="1"/>
  <c r="W327" i="66" s="1"/>
  <c r="Y328" i="66"/>
  <c r="Z328" i="66" s="1"/>
  <c r="AB328" i="66"/>
  <c r="G328" i="66"/>
  <c r="F328" i="66"/>
  <c r="E329" i="66"/>
  <c r="S327" i="66"/>
  <c r="K326" i="66"/>
  <c r="V326" i="66" s="1"/>
  <c r="I326" i="66"/>
  <c r="N326" i="66"/>
  <c r="W326" i="66" s="1"/>
  <c r="D329" i="66"/>
  <c r="P328" i="66"/>
  <c r="K327" i="66" l="1"/>
  <c r="V327" i="66" s="1"/>
  <c r="I327" i="66"/>
  <c r="Y329" i="66"/>
  <c r="Z329" i="66" s="1"/>
  <c r="AB329" i="66"/>
  <c r="H328" i="66"/>
  <c r="N328" i="66" s="1"/>
  <c r="W328" i="66" s="1"/>
  <c r="S328" i="66"/>
  <c r="F329" i="66"/>
  <c r="G329" i="66"/>
  <c r="E330" i="66"/>
  <c r="D330" i="66"/>
  <c r="P329" i="66"/>
  <c r="K328" i="66" l="1"/>
  <c r="V328" i="66" s="1"/>
  <c r="I328" i="66"/>
  <c r="Y330" i="66"/>
  <c r="Z330" i="66" s="1"/>
  <c r="AB330" i="66"/>
  <c r="G330" i="66"/>
  <c r="F330" i="66"/>
  <c r="E331" i="66"/>
  <c r="S329" i="66"/>
  <c r="H329" i="66"/>
  <c r="D331" i="66"/>
  <c r="P330" i="66"/>
  <c r="Y331" i="66" l="1"/>
  <c r="Z331" i="66" s="1"/>
  <c r="AB331" i="66"/>
  <c r="H330" i="66"/>
  <c r="I330" i="66" s="1"/>
  <c r="F331" i="66"/>
  <c r="G331" i="66"/>
  <c r="E332" i="66"/>
  <c r="S330" i="66"/>
  <c r="I329" i="66"/>
  <c r="N329" i="66"/>
  <c r="W329" i="66" s="1"/>
  <c r="K329" i="66"/>
  <c r="V329" i="66" s="1"/>
  <c r="D332" i="66"/>
  <c r="P331" i="66"/>
  <c r="N330" i="66" l="1"/>
  <c r="W330" i="66" s="1"/>
  <c r="K330" i="66"/>
  <c r="V330" i="66" s="1"/>
  <c r="Y332" i="66"/>
  <c r="Z332" i="66" s="1"/>
  <c r="AB332" i="66"/>
  <c r="H331" i="66"/>
  <c r="K331" i="66" s="1"/>
  <c r="V331" i="66" s="1"/>
  <c r="S331" i="66"/>
  <c r="G332" i="66"/>
  <c r="F332" i="66"/>
  <c r="E333" i="66"/>
  <c r="D333" i="66"/>
  <c r="P332" i="66"/>
  <c r="Y333" i="66" l="1"/>
  <c r="Z333" i="66" s="1"/>
  <c r="AB333" i="66"/>
  <c r="I331" i="66"/>
  <c r="N331" i="66"/>
  <c r="W331" i="66" s="1"/>
  <c r="S332" i="66"/>
  <c r="F333" i="66"/>
  <c r="G333" i="66"/>
  <c r="E334" i="66"/>
  <c r="H332" i="66"/>
  <c r="D334" i="66"/>
  <c r="P333" i="66"/>
  <c r="Y334" i="66" l="1"/>
  <c r="Z334" i="66" s="1"/>
  <c r="AB334" i="66"/>
  <c r="G334" i="66"/>
  <c r="F334" i="66"/>
  <c r="E335" i="66"/>
  <c r="S333" i="66"/>
  <c r="N332" i="66"/>
  <c r="W332" i="66" s="1"/>
  <c r="K332" i="66"/>
  <c r="V332" i="66" s="1"/>
  <c r="I332" i="66"/>
  <c r="H333" i="66"/>
  <c r="D335" i="66"/>
  <c r="P334" i="66"/>
  <c r="H334" i="66" l="1"/>
  <c r="I334" i="66" s="1"/>
  <c r="Y335" i="66"/>
  <c r="Z335" i="66" s="1"/>
  <c r="AB335" i="66"/>
  <c r="N333" i="66"/>
  <c r="W333" i="66" s="1"/>
  <c r="K333" i="66"/>
  <c r="V333" i="66" s="1"/>
  <c r="I333" i="66"/>
  <c r="F335" i="66"/>
  <c r="G335" i="66"/>
  <c r="E336" i="66"/>
  <c r="S334" i="66"/>
  <c r="D336" i="66"/>
  <c r="P335" i="66"/>
  <c r="K334" i="66" l="1"/>
  <c r="V334" i="66" s="1"/>
  <c r="N334" i="66"/>
  <c r="W334" i="66" s="1"/>
  <c r="Y336" i="66"/>
  <c r="Z336" i="66" s="1"/>
  <c r="AB336" i="66"/>
  <c r="H335" i="66"/>
  <c r="S335" i="66"/>
  <c r="G336" i="66"/>
  <c r="F336" i="66"/>
  <c r="E337" i="66"/>
  <c r="D337" i="66"/>
  <c r="P336" i="66"/>
  <c r="Y337" i="66" l="1"/>
  <c r="Z337" i="66" s="1"/>
  <c r="AB337" i="66"/>
  <c r="H336" i="66"/>
  <c r="N336" i="66" s="1"/>
  <c r="W336" i="66" s="1"/>
  <c r="F337" i="66"/>
  <c r="G337" i="66"/>
  <c r="E338" i="66"/>
  <c r="S336" i="66"/>
  <c r="N335" i="66"/>
  <c r="W335" i="66" s="1"/>
  <c r="I335" i="66"/>
  <c r="K335" i="66"/>
  <c r="V335" i="66" s="1"/>
  <c r="D338" i="66"/>
  <c r="P337" i="66"/>
  <c r="K336" i="66" l="1"/>
  <c r="V336" i="66" s="1"/>
  <c r="I336" i="66"/>
  <c r="Y338" i="66"/>
  <c r="Z338" i="66" s="1"/>
  <c r="AB338" i="66"/>
  <c r="S337" i="66"/>
  <c r="G338" i="66"/>
  <c r="F338" i="66"/>
  <c r="E339" i="66"/>
  <c r="H337" i="66"/>
  <c r="D339" i="66"/>
  <c r="P338" i="66"/>
  <c r="H338" i="66" l="1"/>
  <c r="N338" i="66" s="1"/>
  <c r="W338" i="66" s="1"/>
  <c r="Y339" i="66"/>
  <c r="Z339" i="66" s="1"/>
  <c r="AB339" i="66"/>
  <c r="S338" i="66"/>
  <c r="K337" i="66"/>
  <c r="V337" i="66" s="1"/>
  <c r="N337" i="66"/>
  <c r="W337" i="66" s="1"/>
  <c r="I337" i="66"/>
  <c r="F339" i="66"/>
  <c r="G339" i="66"/>
  <c r="E340" i="66"/>
  <c r="D340" i="66"/>
  <c r="P339" i="66"/>
  <c r="K338" i="66" l="1"/>
  <c r="V338" i="66" s="1"/>
  <c r="I338" i="66"/>
  <c r="H339" i="66"/>
  <c r="N339" i="66" s="1"/>
  <c r="W339" i="66" s="1"/>
  <c r="Y340" i="66"/>
  <c r="Z340" i="66" s="1"/>
  <c r="AB340" i="66"/>
  <c r="S339" i="66"/>
  <c r="G340" i="66"/>
  <c r="F340" i="66"/>
  <c r="E341" i="66"/>
  <c r="D341" i="66"/>
  <c r="P340" i="66"/>
  <c r="I339" i="66" l="1"/>
  <c r="K339" i="66"/>
  <c r="V339" i="66" s="1"/>
  <c r="Y341" i="66"/>
  <c r="Z341" i="66" s="1"/>
  <c r="AB341" i="66"/>
  <c r="H340" i="66"/>
  <c r="K340" i="66" s="1"/>
  <c r="V340" i="66" s="1"/>
  <c r="F341" i="66"/>
  <c r="G341" i="66"/>
  <c r="E342" i="66"/>
  <c r="S340" i="66"/>
  <c r="D342" i="66"/>
  <c r="P341" i="66"/>
  <c r="I340" i="66" l="1"/>
  <c r="N340" i="66"/>
  <c r="W340" i="66" s="1"/>
  <c r="Y342" i="66"/>
  <c r="Z342" i="66" s="1"/>
  <c r="AB342" i="66"/>
  <c r="S341" i="66"/>
  <c r="G342" i="66"/>
  <c r="F342" i="66"/>
  <c r="E343" i="66"/>
  <c r="H341" i="66"/>
  <c r="D343" i="66"/>
  <c r="P342" i="66"/>
  <c r="Y343" i="66" l="1"/>
  <c r="Z343" i="66" s="1"/>
  <c r="AB343" i="66"/>
  <c r="H342" i="66"/>
  <c r="I342" i="66" s="1"/>
  <c r="S342" i="66"/>
  <c r="F343" i="66"/>
  <c r="G343" i="66"/>
  <c r="E344" i="66"/>
  <c r="N341" i="66"/>
  <c r="W341" i="66" s="1"/>
  <c r="I341" i="66"/>
  <c r="K341" i="66"/>
  <c r="V341" i="66" s="1"/>
  <c r="D344" i="66"/>
  <c r="P343" i="66"/>
  <c r="K342" i="66" l="1"/>
  <c r="V342" i="66" s="1"/>
  <c r="N342" i="66"/>
  <c r="W342" i="66" s="1"/>
  <c r="Y344" i="66"/>
  <c r="Z344" i="66" s="1"/>
  <c r="AB344" i="66"/>
  <c r="S343" i="66"/>
  <c r="H343" i="66"/>
  <c r="G344" i="66"/>
  <c r="F344" i="66"/>
  <c r="E345" i="66"/>
  <c r="D345" i="66"/>
  <c r="P344" i="66"/>
  <c r="Y345" i="66" l="1"/>
  <c r="Z345" i="66" s="1"/>
  <c r="AB345" i="66"/>
  <c r="H344" i="66"/>
  <c r="I344" i="66" s="1"/>
  <c r="F345" i="66"/>
  <c r="G345" i="66"/>
  <c r="E346" i="66"/>
  <c r="N343" i="66"/>
  <c r="W343" i="66" s="1"/>
  <c r="K343" i="66"/>
  <c r="V343" i="66" s="1"/>
  <c r="I343" i="66"/>
  <c r="S344" i="66"/>
  <c r="D346" i="66"/>
  <c r="P345" i="66"/>
  <c r="N344" i="66" l="1"/>
  <c r="W344" i="66" s="1"/>
  <c r="K344" i="66"/>
  <c r="V344" i="66" s="1"/>
  <c r="Y346" i="66"/>
  <c r="Z346" i="66" s="1"/>
  <c r="AB346" i="66"/>
  <c r="G346" i="66"/>
  <c r="F346" i="66"/>
  <c r="E347" i="66"/>
  <c r="S345" i="66"/>
  <c r="H345" i="66"/>
  <c r="D347" i="66"/>
  <c r="P346" i="66"/>
  <c r="H346" i="66" l="1"/>
  <c r="K346" i="66" s="1"/>
  <c r="V346" i="66" s="1"/>
  <c r="Y347" i="66"/>
  <c r="Z347" i="66" s="1"/>
  <c r="AB347" i="66"/>
  <c r="G347" i="66"/>
  <c r="F347" i="66"/>
  <c r="E348" i="66"/>
  <c r="S346" i="66"/>
  <c r="N345" i="66"/>
  <c r="W345" i="66" s="1"/>
  <c r="I345" i="66"/>
  <c r="K345" i="66"/>
  <c r="V345" i="66" s="1"/>
  <c r="D348" i="66"/>
  <c r="P347" i="66"/>
  <c r="I346" i="66" l="1"/>
  <c r="N346" i="66"/>
  <c r="W346" i="66" s="1"/>
  <c r="Y348" i="66"/>
  <c r="Z348" i="66" s="1"/>
  <c r="AB348" i="66"/>
  <c r="S347" i="66"/>
  <c r="H347" i="66"/>
  <c r="F348" i="66"/>
  <c r="G348" i="66"/>
  <c r="E349" i="66"/>
  <c r="D349" i="66"/>
  <c r="P348" i="66"/>
  <c r="Y349" i="66" l="1"/>
  <c r="Z349" i="66" s="1"/>
  <c r="AB349" i="66"/>
  <c r="H348" i="66"/>
  <c r="I348" i="66" s="1"/>
  <c r="S348" i="66"/>
  <c r="I347" i="66"/>
  <c r="N347" i="66"/>
  <c r="W347" i="66" s="1"/>
  <c r="K347" i="66"/>
  <c r="V347" i="66" s="1"/>
  <c r="F349" i="66"/>
  <c r="G349" i="66"/>
  <c r="E350" i="66"/>
  <c r="D350" i="66"/>
  <c r="P349" i="66"/>
  <c r="N348" i="66" l="1"/>
  <c r="W348" i="66" s="1"/>
  <c r="K348" i="66"/>
  <c r="V348" i="66" s="1"/>
  <c r="Y350" i="66"/>
  <c r="Z350" i="66" s="1"/>
  <c r="AB350" i="66"/>
  <c r="H349" i="66"/>
  <c r="N349" i="66" s="1"/>
  <c r="W349" i="66" s="1"/>
  <c r="S349" i="66"/>
  <c r="F350" i="66"/>
  <c r="G350" i="66"/>
  <c r="E351" i="66"/>
  <c r="D351" i="66"/>
  <c r="P350" i="66"/>
  <c r="K349" i="66" l="1"/>
  <c r="V349" i="66" s="1"/>
  <c r="I349" i="66"/>
  <c r="Y351" i="66"/>
  <c r="Z351" i="66" s="1"/>
  <c r="AB351" i="66"/>
  <c r="S350" i="66"/>
  <c r="G351" i="66"/>
  <c r="F351" i="66"/>
  <c r="E352" i="66"/>
  <c r="H350" i="66"/>
  <c r="D352" i="66"/>
  <c r="P351" i="66"/>
  <c r="Y352" i="66" l="1"/>
  <c r="Z352" i="66" s="1"/>
  <c r="AB352" i="66"/>
  <c r="H351" i="66"/>
  <c r="I351" i="66" s="1"/>
  <c r="G352" i="66"/>
  <c r="F352" i="66"/>
  <c r="E353" i="66"/>
  <c r="S351" i="66"/>
  <c r="N350" i="66"/>
  <c r="W350" i="66" s="1"/>
  <c r="I350" i="66"/>
  <c r="K350" i="66"/>
  <c r="V350" i="66" s="1"/>
  <c r="D353" i="66"/>
  <c r="P352" i="66"/>
  <c r="N351" i="66" l="1"/>
  <c r="W351" i="66" s="1"/>
  <c r="K351" i="66"/>
  <c r="V351" i="66" s="1"/>
  <c r="Y353" i="66"/>
  <c r="Z353" i="66" s="1"/>
  <c r="AB353" i="66"/>
  <c r="H352" i="66"/>
  <c r="N352" i="66" s="1"/>
  <c r="W352" i="66" s="1"/>
  <c r="S352" i="66"/>
  <c r="F353" i="66"/>
  <c r="G353" i="66"/>
  <c r="E354" i="66"/>
  <c r="D354" i="66"/>
  <c r="P353" i="66"/>
  <c r="I352" i="66" l="1"/>
  <c r="K352" i="66"/>
  <c r="V352" i="66" s="1"/>
  <c r="Y354" i="66"/>
  <c r="Z354" i="66" s="1"/>
  <c r="AB354" i="66"/>
  <c r="F354" i="66"/>
  <c r="G354" i="66"/>
  <c r="E355" i="66"/>
  <c r="S353" i="66"/>
  <c r="H353" i="66"/>
  <c r="D355" i="66"/>
  <c r="P354" i="66"/>
  <c r="Y355" i="66" l="1"/>
  <c r="Z355" i="66" s="1"/>
  <c r="AB355" i="66"/>
  <c r="S354" i="66"/>
  <c r="K353" i="66"/>
  <c r="V353" i="66" s="1"/>
  <c r="I353" i="66"/>
  <c r="N353" i="66"/>
  <c r="W353" i="66" s="1"/>
  <c r="G355" i="66"/>
  <c r="F355" i="66"/>
  <c r="E356" i="66"/>
  <c r="H354" i="66"/>
  <c r="D356" i="66"/>
  <c r="P355" i="66"/>
  <c r="Y356" i="66" l="1"/>
  <c r="Z356" i="66" s="1"/>
  <c r="AB356" i="66"/>
  <c r="F356" i="66"/>
  <c r="G356" i="66"/>
  <c r="E357" i="66"/>
  <c r="H355" i="66"/>
  <c r="S355" i="66"/>
  <c r="I354" i="66"/>
  <c r="N354" i="66"/>
  <c r="W354" i="66" s="1"/>
  <c r="K354" i="66"/>
  <c r="V354" i="66" s="1"/>
  <c r="D357" i="66"/>
  <c r="P356" i="66"/>
  <c r="Y357" i="66" l="1"/>
  <c r="Z357" i="66" s="1"/>
  <c r="AB357" i="66"/>
  <c r="S356" i="66"/>
  <c r="F357" i="66"/>
  <c r="G357" i="66"/>
  <c r="E358" i="66"/>
  <c r="N355" i="66"/>
  <c r="W355" i="66" s="1"/>
  <c r="I355" i="66"/>
  <c r="K355" i="66"/>
  <c r="V355" i="66" s="1"/>
  <c r="H356" i="66"/>
  <c r="D358" i="66"/>
  <c r="P357" i="66"/>
  <c r="Y358" i="66" l="1"/>
  <c r="Z358" i="66" s="1"/>
  <c r="AB358" i="66"/>
  <c r="S357" i="66"/>
  <c r="G358" i="66"/>
  <c r="F358" i="66"/>
  <c r="E359" i="66"/>
  <c r="N356" i="66"/>
  <c r="W356" i="66" s="1"/>
  <c r="K356" i="66"/>
  <c r="V356" i="66" s="1"/>
  <c r="I356" i="66"/>
  <c r="H357" i="66"/>
  <c r="D359" i="66"/>
  <c r="P358" i="66"/>
  <c r="Y359" i="66" l="1"/>
  <c r="Z359" i="66" s="1"/>
  <c r="AB359" i="66"/>
  <c r="S358" i="66"/>
  <c r="G359" i="66"/>
  <c r="F359" i="66"/>
  <c r="E360" i="66"/>
  <c r="H358" i="66"/>
  <c r="N357" i="66"/>
  <c r="W357" i="66" s="1"/>
  <c r="I357" i="66"/>
  <c r="K357" i="66"/>
  <c r="V357" i="66" s="1"/>
  <c r="D360" i="66"/>
  <c r="P359" i="66"/>
  <c r="H359" i="66" l="1"/>
  <c r="N359" i="66" s="1"/>
  <c r="W359" i="66" s="1"/>
  <c r="Y360" i="66"/>
  <c r="Z360" i="66" s="1"/>
  <c r="AB360" i="66"/>
  <c r="S359" i="66"/>
  <c r="G360" i="66"/>
  <c r="F360" i="66"/>
  <c r="E361" i="66"/>
  <c r="N358" i="66"/>
  <c r="W358" i="66" s="1"/>
  <c r="I358" i="66"/>
  <c r="K358" i="66"/>
  <c r="V358" i="66" s="1"/>
  <c r="D361" i="66"/>
  <c r="P360" i="66"/>
  <c r="K359" i="66" l="1"/>
  <c r="V359" i="66" s="1"/>
  <c r="I359" i="66"/>
  <c r="Y361" i="66"/>
  <c r="Z361" i="66" s="1"/>
  <c r="AB361" i="66"/>
  <c r="H360" i="66"/>
  <c r="N360" i="66" s="1"/>
  <c r="W360" i="66" s="1"/>
  <c r="F361" i="66"/>
  <c r="G361" i="66"/>
  <c r="E362" i="66"/>
  <c r="S360" i="66"/>
  <c r="D362" i="66"/>
  <c r="P361" i="66"/>
  <c r="K360" i="66" l="1"/>
  <c r="V360" i="66" s="1"/>
  <c r="I360" i="66"/>
  <c r="Y362" i="66"/>
  <c r="Z362" i="66" s="1"/>
  <c r="AB362" i="66"/>
  <c r="S361" i="66"/>
  <c r="G362" i="66"/>
  <c r="F362" i="66"/>
  <c r="E363" i="66"/>
  <c r="H361" i="66"/>
  <c r="D363" i="66"/>
  <c r="P362" i="66"/>
  <c r="Y363" i="66" l="1"/>
  <c r="Z363" i="66" s="1"/>
  <c r="AB363" i="66"/>
  <c r="H362" i="66"/>
  <c r="S362" i="66"/>
  <c r="K361" i="66"/>
  <c r="V361" i="66" s="1"/>
  <c r="I361" i="66"/>
  <c r="N361" i="66"/>
  <c r="W361" i="66" s="1"/>
  <c r="G363" i="66"/>
  <c r="F363" i="66"/>
  <c r="E364" i="66"/>
  <c r="D364" i="66"/>
  <c r="P363" i="66"/>
  <c r="Y364" i="66" l="1"/>
  <c r="Z364" i="66" s="1"/>
  <c r="AB364" i="66"/>
  <c r="H363" i="66"/>
  <c r="I363" i="66" s="1"/>
  <c r="F364" i="66"/>
  <c r="G364" i="66"/>
  <c r="E365" i="66"/>
  <c r="K362" i="66"/>
  <c r="V362" i="66" s="1"/>
  <c r="I362" i="66"/>
  <c r="N362" i="66"/>
  <c r="W362" i="66" s="1"/>
  <c r="S363" i="66"/>
  <c r="D365" i="66"/>
  <c r="P364" i="66"/>
  <c r="K363" i="66" l="1"/>
  <c r="V363" i="66" s="1"/>
  <c r="N363" i="66"/>
  <c r="W363" i="66" s="1"/>
  <c r="Y365" i="66"/>
  <c r="Z365" i="66" s="1"/>
  <c r="AB365" i="66"/>
  <c r="F365" i="66"/>
  <c r="G365" i="66"/>
  <c r="E366" i="66"/>
  <c r="S364" i="66"/>
  <c r="H364" i="66"/>
  <c r="D366" i="66"/>
  <c r="P365" i="66"/>
  <c r="Y366" i="66" l="1"/>
  <c r="Z366" i="66" s="1"/>
  <c r="AB366" i="66"/>
  <c r="G366" i="66"/>
  <c r="F366" i="66"/>
  <c r="E367" i="66"/>
  <c r="S365" i="66"/>
  <c r="K364" i="66"/>
  <c r="V364" i="66" s="1"/>
  <c r="I364" i="66"/>
  <c r="N364" i="66"/>
  <c r="W364" i="66" s="1"/>
  <c r="H365" i="66"/>
  <c r="D367" i="66"/>
  <c r="P366" i="66"/>
  <c r="H366" i="66" l="1"/>
  <c r="N366" i="66" s="1"/>
  <c r="W366" i="66" s="1"/>
  <c r="Y367" i="66"/>
  <c r="Z367" i="66" s="1"/>
  <c r="AB367" i="66"/>
  <c r="S366" i="66"/>
  <c r="I365" i="66"/>
  <c r="N365" i="66"/>
  <c r="W365" i="66" s="1"/>
  <c r="K365" i="66"/>
  <c r="V365" i="66" s="1"/>
  <c r="G367" i="66"/>
  <c r="F367" i="66"/>
  <c r="E368" i="66"/>
  <c r="D368" i="66"/>
  <c r="P367" i="66"/>
  <c r="K366" i="66" l="1"/>
  <c r="V366" i="66" s="1"/>
  <c r="I366" i="66"/>
  <c r="Y368" i="66"/>
  <c r="Z368" i="66" s="1"/>
  <c r="AB368" i="66"/>
  <c r="H367" i="66"/>
  <c r="K367" i="66" s="1"/>
  <c r="V367" i="66" s="1"/>
  <c r="S367" i="66"/>
  <c r="G368" i="66"/>
  <c r="F368" i="66"/>
  <c r="E369" i="66"/>
  <c r="D369" i="66"/>
  <c r="P368" i="66"/>
  <c r="I367" i="66" l="1"/>
  <c r="N367" i="66"/>
  <c r="W367" i="66" s="1"/>
  <c r="Y369" i="66"/>
  <c r="Z369" i="66" s="1"/>
  <c r="AB369" i="66"/>
  <c r="H368" i="66"/>
  <c r="N368" i="66" s="1"/>
  <c r="W368" i="66" s="1"/>
  <c r="F369" i="66"/>
  <c r="G369" i="66"/>
  <c r="E370" i="66"/>
  <c r="S368" i="66"/>
  <c r="D370" i="66"/>
  <c r="P369" i="66"/>
  <c r="K368" i="66" l="1"/>
  <c r="V368" i="66" s="1"/>
  <c r="I368" i="66"/>
  <c r="Y370" i="66"/>
  <c r="Z370" i="66" s="1"/>
  <c r="AB370" i="66"/>
  <c r="S369" i="66"/>
  <c r="F370" i="66"/>
  <c r="G370" i="66"/>
  <c r="E371" i="66"/>
  <c r="H369" i="66"/>
  <c r="D371" i="66"/>
  <c r="P370" i="66"/>
  <c r="Y371" i="66" l="1"/>
  <c r="Z371" i="66" s="1"/>
  <c r="AB371" i="66"/>
  <c r="H370" i="66"/>
  <c r="S370" i="66"/>
  <c r="G371" i="66"/>
  <c r="F371" i="66"/>
  <c r="E372" i="66"/>
  <c r="K369" i="66"/>
  <c r="V369" i="66" s="1"/>
  <c r="N369" i="66"/>
  <c r="W369" i="66" s="1"/>
  <c r="I369" i="66"/>
  <c r="D372" i="66"/>
  <c r="P371" i="66"/>
  <c r="Y372" i="66" l="1"/>
  <c r="Z372" i="66" s="1"/>
  <c r="AB372" i="66"/>
  <c r="H371" i="66"/>
  <c r="I371" i="66" s="1"/>
  <c r="S371" i="66"/>
  <c r="F372" i="66"/>
  <c r="G372" i="66"/>
  <c r="E373" i="66"/>
  <c r="N370" i="66"/>
  <c r="W370" i="66" s="1"/>
  <c r="I370" i="66"/>
  <c r="K370" i="66"/>
  <c r="V370" i="66" s="1"/>
  <c r="D373" i="66"/>
  <c r="P372" i="66"/>
  <c r="N371" i="66" l="1"/>
  <c r="W371" i="66" s="1"/>
  <c r="K371" i="66"/>
  <c r="V371" i="66" s="1"/>
  <c r="Y373" i="66"/>
  <c r="Z373" i="66" s="1"/>
  <c r="AB373" i="66"/>
  <c r="H372" i="66"/>
  <c r="I372" i="66" s="1"/>
  <c r="F373" i="66"/>
  <c r="G373" i="66"/>
  <c r="E374" i="66"/>
  <c r="S372" i="66"/>
  <c r="D374" i="66"/>
  <c r="P373" i="66"/>
  <c r="N372" i="66" l="1"/>
  <c r="W372" i="66" s="1"/>
  <c r="Y374" i="66"/>
  <c r="Z374" i="66" s="1"/>
  <c r="AB374" i="66"/>
  <c r="K372" i="66"/>
  <c r="V372" i="66" s="1"/>
  <c r="H373" i="66"/>
  <c r="S373" i="66"/>
  <c r="G374" i="66"/>
  <c r="F374" i="66"/>
  <c r="E375" i="66"/>
  <c r="D375" i="66"/>
  <c r="P374" i="66"/>
  <c r="H374" i="66" l="1"/>
  <c r="K374" i="66" s="1"/>
  <c r="V374" i="66" s="1"/>
  <c r="Y375" i="66"/>
  <c r="Z375" i="66" s="1"/>
  <c r="AB375" i="66"/>
  <c r="S374" i="66"/>
  <c r="G375" i="66"/>
  <c r="F375" i="66"/>
  <c r="E376" i="66"/>
  <c r="I373" i="66"/>
  <c r="N373" i="66"/>
  <c r="W373" i="66" s="1"/>
  <c r="K373" i="66"/>
  <c r="V373" i="66" s="1"/>
  <c r="D376" i="66"/>
  <c r="P375" i="66"/>
  <c r="I374" i="66" l="1"/>
  <c r="N374" i="66"/>
  <c r="W374" i="66" s="1"/>
  <c r="H375" i="66"/>
  <c r="N375" i="66" s="1"/>
  <c r="W375" i="66" s="1"/>
  <c r="Y376" i="66"/>
  <c r="Z376" i="66" s="1"/>
  <c r="AB376" i="66"/>
  <c r="G376" i="66"/>
  <c r="F376" i="66"/>
  <c r="E377" i="66"/>
  <c r="S375" i="66"/>
  <c r="D377" i="66"/>
  <c r="P376" i="66"/>
  <c r="K375" i="66" l="1"/>
  <c r="V375" i="66" s="1"/>
  <c r="I375" i="66"/>
  <c r="H376" i="66"/>
  <c r="I376" i="66" s="1"/>
  <c r="Y377" i="66"/>
  <c r="Z377" i="66" s="1"/>
  <c r="AB377" i="66"/>
  <c r="F377" i="66"/>
  <c r="G377" i="66"/>
  <c r="E378" i="66"/>
  <c r="S376" i="66"/>
  <c r="D378" i="66"/>
  <c r="P377" i="66"/>
  <c r="K376" i="66" l="1"/>
  <c r="V376" i="66" s="1"/>
  <c r="N376" i="66"/>
  <c r="W376" i="66" s="1"/>
  <c r="Y378" i="66"/>
  <c r="Z378" i="66" s="1"/>
  <c r="AB378" i="66"/>
  <c r="S377" i="66"/>
  <c r="G378" i="66"/>
  <c r="F378" i="66"/>
  <c r="E379" i="66"/>
  <c r="H377" i="66"/>
  <c r="D379" i="66"/>
  <c r="P378" i="66"/>
  <c r="Y379" i="66" l="1"/>
  <c r="Z379" i="66" s="1"/>
  <c r="AB379" i="66"/>
  <c r="H378" i="66"/>
  <c r="S378" i="66"/>
  <c r="N377" i="66"/>
  <c r="W377" i="66" s="1"/>
  <c r="I377" i="66"/>
  <c r="K377" i="66"/>
  <c r="V377" i="66" s="1"/>
  <c r="G379" i="66"/>
  <c r="F379" i="66"/>
  <c r="E380" i="66"/>
  <c r="D380" i="66"/>
  <c r="P379" i="66"/>
  <c r="Y380" i="66" l="1"/>
  <c r="Z380" i="66" s="1"/>
  <c r="AB380" i="66"/>
  <c r="H379" i="66"/>
  <c r="I379" i="66" s="1"/>
  <c r="S379" i="66"/>
  <c r="F380" i="66"/>
  <c r="G380" i="66"/>
  <c r="E381" i="66"/>
  <c r="K378" i="66"/>
  <c r="V378" i="66" s="1"/>
  <c r="I378" i="66"/>
  <c r="N378" i="66"/>
  <c r="W378" i="66" s="1"/>
  <c r="D381" i="66"/>
  <c r="P380" i="66"/>
  <c r="N379" i="66" l="1"/>
  <c r="W379" i="66" s="1"/>
  <c r="K379" i="66"/>
  <c r="V379" i="66" s="1"/>
  <c r="Y381" i="66"/>
  <c r="Z381" i="66" s="1"/>
  <c r="AB381" i="66"/>
  <c r="F381" i="66"/>
  <c r="G381" i="66"/>
  <c r="E382" i="66"/>
  <c r="S380" i="66"/>
  <c r="H380" i="66"/>
  <c r="D382" i="66"/>
  <c r="P381" i="66"/>
  <c r="Y382" i="66" l="1"/>
  <c r="Z382" i="66" s="1"/>
  <c r="AB382" i="66"/>
  <c r="G382" i="66"/>
  <c r="F382" i="66"/>
  <c r="E383" i="66"/>
  <c r="S381" i="66"/>
  <c r="K380" i="66"/>
  <c r="V380" i="66" s="1"/>
  <c r="N380" i="66"/>
  <c r="W380" i="66" s="1"/>
  <c r="I380" i="66"/>
  <c r="H381" i="66"/>
  <c r="D383" i="66"/>
  <c r="P382" i="66"/>
  <c r="H382" i="66" l="1"/>
  <c r="N382" i="66" s="1"/>
  <c r="W382" i="66" s="1"/>
  <c r="Y383" i="66"/>
  <c r="Z383" i="66" s="1"/>
  <c r="AB383" i="66"/>
  <c r="G383" i="66"/>
  <c r="F383" i="66"/>
  <c r="E384" i="66"/>
  <c r="S382" i="66"/>
  <c r="N381" i="66"/>
  <c r="W381" i="66" s="1"/>
  <c r="I381" i="66"/>
  <c r="K381" i="66"/>
  <c r="V381" i="66" s="1"/>
  <c r="D384" i="66"/>
  <c r="P383" i="66"/>
  <c r="K382" i="66" l="1"/>
  <c r="V382" i="66" s="1"/>
  <c r="I382" i="66"/>
  <c r="Y384" i="66"/>
  <c r="Z384" i="66" s="1"/>
  <c r="AB384" i="66"/>
  <c r="G384" i="66"/>
  <c r="F384" i="66"/>
  <c r="E385" i="66"/>
  <c r="S383" i="66"/>
  <c r="H383" i="66"/>
  <c r="D385" i="66"/>
  <c r="P384" i="66"/>
  <c r="Y385" i="66" l="1"/>
  <c r="Z385" i="66" s="1"/>
  <c r="AB385" i="66"/>
  <c r="H384" i="66"/>
  <c r="N384" i="66" s="1"/>
  <c r="W384" i="66" s="1"/>
  <c r="S384" i="66"/>
  <c r="N383" i="66"/>
  <c r="W383" i="66" s="1"/>
  <c r="I383" i="66"/>
  <c r="K383" i="66"/>
  <c r="V383" i="66" s="1"/>
  <c r="F385" i="66"/>
  <c r="G385" i="66"/>
  <c r="E386" i="66"/>
  <c r="D386" i="66"/>
  <c r="P385" i="66"/>
  <c r="I384" i="66" l="1"/>
  <c r="K384" i="66"/>
  <c r="V384" i="66" s="1"/>
  <c r="H385" i="66"/>
  <c r="K385" i="66" s="1"/>
  <c r="V385" i="66" s="1"/>
  <c r="Y386" i="66"/>
  <c r="Z386" i="66" s="1"/>
  <c r="AB386" i="66"/>
  <c r="G386" i="66"/>
  <c r="F386" i="66"/>
  <c r="E387" i="66"/>
  <c r="S385" i="66"/>
  <c r="D387" i="66"/>
  <c r="P386" i="66"/>
  <c r="I385" i="66" l="1"/>
  <c r="N385" i="66"/>
  <c r="W385" i="66" s="1"/>
  <c r="Y387" i="66"/>
  <c r="Z387" i="66" s="1"/>
  <c r="AB387" i="66"/>
  <c r="H386" i="66"/>
  <c r="N386" i="66" s="1"/>
  <c r="W386" i="66" s="1"/>
  <c r="G387" i="66"/>
  <c r="F387" i="66"/>
  <c r="E388" i="66"/>
  <c r="S386" i="66"/>
  <c r="D388" i="66"/>
  <c r="P387" i="66"/>
  <c r="K386" i="66" l="1"/>
  <c r="V386" i="66" s="1"/>
  <c r="I386" i="66"/>
  <c r="Y388" i="66"/>
  <c r="Z388" i="66" s="1"/>
  <c r="AB388" i="66"/>
  <c r="H387" i="66"/>
  <c r="S387" i="66"/>
  <c r="F388" i="66"/>
  <c r="G388" i="66"/>
  <c r="E389" i="66"/>
  <c r="D389" i="66"/>
  <c r="P388" i="66"/>
  <c r="Y389" i="66" l="1"/>
  <c r="Z389" i="66" s="1"/>
  <c r="AB389" i="66"/>
  <c r="S388" i="66"/>
  <c r="H388" i="66"/>
  <c r="F389" i="66"/>
  <c r="G389" i="66"/>
  <c r="E390" i="66"/>
  <c r="N387" i="66"/>
  <c r="W387" i="66" s="1"/>
  <c r="K387" i="66"/>
  <c r="V387" i="66" s="1"/>
  <c r="I387" i="66"/>
  <c r="D390" i="66"/>
  <c r="P389" i="66"/>
  <c r="H389" i="66" l="1"/>
  <c r="I389" i="66" s="1"/>
  <c r="Y390" i="66"/>
  <c r="Z390" i="66" s="1"/>
  <c r="AB390" i="66"/>
  <c r="S389" i="66"/>
  <c r="G390" i="66"/>
  <c r="F390" i="66"/>
  <c r="E391" i="66"/>
  <c r="I388" i="66"/>
  <c r="N388" i="66"/>
  <c r="W388" i="66" s="1"/>
  <c r="K388" i="66"/>
  <c r="V388" i="66" s="1"/>
  <c r="D391" i="66"/>
  <c r="P390" i="66"/>
  <c r="K389" i="66" l="1"/>
  <c r="V389" i="66" s="1"/>
  <c r="N389" i="66"/>
  <c r="W389" i="66" s="1"/>
  <c r="Y391" i="66"/>
  <c r="Z391" i="66" s="1"/>
  <c r="AB391" i="66"/>
  <c r="H390" i="66"/>
  <c r="K390" i="66" s="1"/>
  <c r="V390" i="66" s="1"/>
  <c r="S390" i="66"/>
  <c r="G391" i="66"/>
  <c r="F391" i="66"/>
  <c r="E392" i="66"/>
  <c r="D392" i="66"/>
  <c r="P391" i="66"/>
  <c r="I390" i="66" l="1"/>
  <c r="N390" i="66"/>
  <c r="W390" i="66" s="1"/>
  <c r="Y392" i="66"/>
  <c r="Z392" i="66" s="1"/>
  <c r="AB392" i="66"/>
  <c r="S391" i="66"/>
  <c r="G392" i="66"/>
  <c r="F392" i="66"/>
  <c r="E393" i="66"/>
  <c r="H391" i="66"/>
  <c r="D393" i="66"/>
  <c r="P392" i="66"/>
  <c r="Y393" i="66" l="1"/>
  <c r="Z393" i="66" s="1"/>
  <c r="AB393" i="66"/>
  <c r="H392" i="66"/>
  <c r="K392" i="66" s="1"/>
  <c r="V392" i="66" s="1"/>
  <c r="F393" i="66"/>
  <c r="G393" i="66"/>
  <c r="E394" i="66"/>
  <c r="S392" i="66"/>
  <c r="N391" i="66"/>
  <c r="W391" i="66" s="1"/>
  <c r="I391" i="66"/>
  <c r="K391" i="66"/>
  <c r="V391" i="66" s="1"/>
  <c r="D394" i="66"/>
  <c r="P393" i="66"/>
  <c r="N392" i="66" l="1"/>
  <c r="W392" i="66" s="1"/>
  <c r="I392" i="66"/>
  <c r="Y394" i="66"/>
  <c r="Z394" i="66" s="1"/>
  <c r="AB394" i="66"/>
  <c r="G394" i="66"/>
  <c r="F394" i="66"/>
  <c r="E395" i="66"/>
  <c r="S393" i="66"/>
  <c r="H393" i="66"/>
  <c r="D395" i="66"/>
  <c r="P394" i="66"/>
  <c r="Y395" i="66" l="1"/>
  <c r="Z395" i="66" s="1"/>
  <c r="AB395" i="66"/>
  <c r="H394" i="66"/>
  <c r="I394" i="66" s="1"/>
  <c r="N393" i="66"/>
  <c r="W393" i="66" s="1"/>
  <c r="I393" i="66"/>
  <c r="K393" i="66"/>
  <c r="V393" i="66" s="1"/>
  <c r="G395" i="66"/>
  <c r="F395" i="66"/>
  <c r="E396" i="66"/>
  <c r="S394" i="66"/>
  <c r="D396" i="66"/>
  <c r="P395" i="66"/>
  <c r="N394" i="66" l="1"/>
  <c r="W394" i="66" s="1"/>
  <c r="K394" i="66"/>
  <c r="V394" i="66" s="1"/>
  <c r="Y396" i="66"/>
  <c r="Z396" i="66" s="1"/>
  <c r="AB396" i="66"/>
  <c r="H395" i="66"/>
  <c r="N395" i="66" s="1"/>
  <c r="W395" i="66" s="1"/>
  <c r="S395" i="66"/>
  <c r="F396" i="66"/>
  <c r="G396" i="66"/>
  <c r="E397" i="66"/>
  <c r="D397" i="66"/>
  <c r="P396" i="66"/>
  <c r="K395" i="66" l="1"/>
  <c r="V395" i="66" s="1"/>
  <c r="I395" i="66"/>
  <c r="Y397" i="66"/>
  <c r="Z397" i="66" s="1"/>
  <c r="AB397" i="66"/>
  <c r="S396" i="66"/>
  <c r="F397" i="66"/>
  <c r="G397" i="66"/>
  <c r="E398" i="66"/>
  <c r="H396" i="66"/>
  <c r="D398" i="66"/>
  <c r="P397" i="66"/>
  <c r="Y398" i="66" l="1"/>
  <c r="Z398" i="66" s="1"/>
  <c r="AB398" i="66"/>
  <c r="K396" i="66"/>
  <c r="V396" i="66" s="1"/>
  <c r="N396" i="66"/>
  <c r="W396" i="66" s="1"/>
  <c r="I396" i="66"/>
  <c r="H397" i="66"/>
  <c r="S397" i="66"/>
  <c r="G398" i="66"/>
  <c r="F398" i="66"/>
  <c r="E399" i="66"/>
  <c r="D399" i="66"/>
  <c r="P398" i="66"/>
  <c r="Y399" i="66" l="1"/>
  <c r="Z399" i="66" s="1"/>
  <c r="AB399" i="66"/>
  <c r="S398" i="66"/>
  <c r="G399" i="66"/>
  <c r="F399" i="66"/>
  <c r="E400" i="66"/>
  <c r="H398" i="66"/>
  <c r="K397" i="66"/>
  <c r="V397" i="66" s="1"/>
  <c r="N397" i="66"/>
  <c r="W397" i="66" s="1"/>
  <c r="I397" i="66"/>
  <c r="D400" i="66"/>
  <c r="P399" i="66"/>
  <c r="Y400" i="66" l="1"/>
  <c r="Z400" i="66" s="1"/>
  <c r="AB400" i="66"/>
  <c r="H399" i="66"/>
  <c r="N399" i="66" s="1"/>
  <c r="W399" i="66" s="1"/>
  <c r="S399" i="66"/>
  <c r="K398" i="66"/>
  <c r="V398" i="66" s="1"/>
  <c r="N398" i="66"/>
  <c r="W398" i="66" s="1"/>
  <c r="I398" i="66"/>
  <c r="G400" i="66"/>
  <c r="F400" i="66"/>
  <c r="E401" i="66"/>
  <c r="D401" i="66"/>
  <c r="P400" i="66"/>
  <c r="H400" i="66" l="1"/>
  <c r="K400" i="66" s="1"/>
  <c r="V400" i="66" s="1"/>
  <c r="I399" i="66"/>
  <c r="K399" i="66"/>
  <c r="V399" i="66" s="1"/>
  <c r="Y401" i="66"/>
  <c r="Z401" i="66" s="1"/>
  <c r="AB401" i="66"/>
  <c r="S400" i="66"/>
  <c r="F401" i="66"/>
  <c r="G401" i="66"/>
  <c r="E402" i="66"/>
  <c r="D402" i="66"/>
  <c r="P401" i="66"/>
  <c r="I400" i="66" l="1"/>
  <c r="N400" i="66"/>
  <c r="W400" i="66" s="1"/>
  <c r="Y402" i="66"/>
  <c r="Z402" i="66" s="1"/>
  <c r="AB402" i="66"/>
  <c r="F402" i="66"/>
  <c r="G402" i="66"/>
  <c r="E403" i="66"/>
  <c r="S401" i="66"/>
  <c r="H401" i="66"/>
  <c r="D403" i="66"/>
  <c r="P402" i="66"/>
  <c r="Y403" i="66" l="1"/>
  <c r="Z403" i="66" s="1"/>
  <c r="AB403" i="66"/>
  <c r="N401" i="66"/>
  <c r="W401" i="66" s="1"/>
  <c r="I401" i="66"/>
  <c r="K401" i="66"/>
  <c r="V401" i="66" s="1"/>
  <c r="G403" i="66"/>
  <c r="F403" i="66"/>
  <c r="E404" i="66"/>
  <c r="H402" i="66"/>
  <c r="S402" i="66"/>
  <c r="D404" i="66"/>
  <c r="P403" i="66"/>
  <c r="Y404" i="66" l="1"/>
  <c r="Z404" i="66" s="1"/>
  <c r="AB404" i="66"/>
  <c r="S403" i="66"/>
  <c r="F404" i="66"/>
  <c r="G404" i="66"/>
  <c r="E405" i="66"/>
  <c r="H403" i="66"/>
  <c r="I402" i="66"/>
  <c r="N402" i="66"/>
  <c r="W402" i="66" s="1"/>
  <c r="K402" i="66"/>
  <c r="V402" i="66" s="1"/>
  <c r="D405" i="66"/>
  <c r="P404" i="66"/>
  <c r="H404" i="66" l="1"/>
  <c r="I404" i="66" s="1"/>
  <c r="Y405" i="66"/>
  <c r="Z405" i="66" s="1"/>
  <c r="AB405" i="66"/>
  <c r="S404" i="66"/>
  <c r="N403" i="66"/>
  <c r="W403" i="66" s="1"/>
  <c r="I403" i="66"/>
  <c r="K403" i="66"/>
  <c r="V403" i="66" s="1"/>
  <c r="F405" i="66"/>
  <c r="G405" i="66"/>
  <c r="E406" i="66"/>
  <c r="D406" i="66"/>
  <c r="P405" i="66"/>
  <c r="N404" i="66" l="1"/>
  <c r="W404" i="66" s="1"/>
  <c r="K404" i="66"/>
  <c r="V404" i="66" s="1"/>
  <c r="Y406" i="66"/>
  <c r="Z406" i="66" s="1"/>
  <c r="AB406" i="66"/>
  <c r="G406" i="66"/>
  <c r="F406" i="66"/>
  <c r="E407" i="66"/>
  <c r="S405" i="66"/>
  <c r="H405" i="66"/>
  <c r="D407" i="66"/>
  <c r="P406" i="66"/>
  <c r="Y407" i="66" l="1"/>
  <c r="Z407" i="66" s="1"/>
  <c r="AB407" i="66"/>
  <c r="H406" i="66"/>
  <c r="N406" i="66" s="1"/>
  <c r="W406" i="66" s="1"/>
  <c r="N405" i="66"/>
  <c r="W405" i="66" s="1"/>
  <c r="I405" i="66"/>
  <c r="K405" i="66"/>
  <c r="V405" i="66" s="1"/>
  <c r="G407" i="66"/>
  <c r="F407" i="66"/>
  <c r="E408" i="66"/>
  <c r="S406" i="66"/>
  <c r="D408" i="66"/>
  <c r="P407" i="66"/>
  <c r="K406" i="66" l="1"/>
  <c r="V406" i="66" s="1"/>
  <c r="I406" i="66"/>
  <c r="H407" i="66"/>
  <c r="I407" i="66" s="1"/>
  <c r="Y408" i="66"/>
  <c r="Z408" i="66" s="1"/>
  <c r="AB408" i="66"/>
  <c r="S407" i="66"/>
  <c r="G408" i="66"/>
  <c r="F408" i="66"/>
  <c r="E409" i="66"/>
  <c r="D409" i="66"/>
  <c r="P408" i="66"/>
  <c r="K407" i="66" l="1"/>
  <c r="V407" i="66" s="1"/>
  <c r="N407" i="66"/>
  <c r="W407" i="66" s="1"/>
  <c r="Y409" i="66"/>
  <c r="Z409" i="66" s="1"/>
  <c r="AB409" i="66"/>
  <c r="H408" i="66"/>
  <c r="K408" i="66" s="1"/>
  <c r="V408" i="66" s="1"/>
  <c r="F409" i="66"/>
  <c r="G409" i="66"/>
  <c r="E410" i="66"/>
  <c r="S408" i="66"/>
  <c r="D410" i="66"/>
  <c r="P409" i="66"/>
  <c r="I408" i="66" l="1"/>
  <c r="N408" i="66"/>
  <c r="W408" i="66" s="1"/>
  <c r="Y410" i="66"/>
  <c r="Z410" i="66" s="1"/>
  <c r="AB410" i="66"/>
  <c r="S409" i="66"/>
  <c r="G410" i="66"/>
  <c r="F410" i="66"/>
  <c r="E411" i="66"/>
  <c r="H409" i="66"/>
  <c r="D411" i="66"/>
  <c r="P410" i="66"/>
  <c r="Y411" i="66" l="1"/>
  <c r="Z411" i="66" s="1"/>
  <c r="AB411" i="66"/>
  <c r="H410" i="66"/>
  <c r="I410" i="66" s="1"/>
  <c r="S410" i="66"/>
  <c r="K409" i="66"/>
  <c r="V409" i="66" s="1"/>
  <c r="N409" i="66"/>
  <c r="W409" i="66" s="1"/>
  <c r="I409" i="66"/>
  <c r="G411" i="66"/>
  <c r="F411" i="66"/>
  <c r="E412" i="66"/>
  <c r="D412" i="66"/>
  <c r="P411" i="66"/>
  <c r="N410" i="66" l="1"/>
  <c r="W410" i="66" s="1"/>
  <c r="K410" i="66"/>
  <c r="V410" i="66" s="1"/>
  <c r="Y412" i="66"/>
  <c r="Z412" i="66" s="1"/>
  <c r="AB412" i="66"/>
  <c r="H411" i="66"/>
  <c r="K411" i="66" s="1"/>
  <c r="V411" i="66" s="1"/>
  <c r="S411" i="66"/>
  <c r="F412" i="66"/>
  <c r="G412" i="66"/>
  <c r="E413" i="66"/>
  <c r="D413" i="66"/>
  <c r="P412" i="66"/>
  <c r="I411" i="66" l="1"/>
  <c r="N411" i="66"/>
  <c r="W411" i="66" s="1"/>
  <c r="Y413" i="66"/>
  <c r="Z413" i="66" s="1"/>
  <c r="AB413" i="66"/>
  <c r="H412" i="66"/>
  <c r="N412" i="66" s="1"/>
  <c r="W412" i="66" s="1"/>
  <c r="S412" i="66"/>
  <c r="F413" i="66"/>
  <c r="G413" i="66"/>
  <c r="E414" i="66"/>
  <c r="D414" i="66"/>
  <c r="P413" i="66"/>
  <c r="I412" i="66" l="1"/>
  <c r="K412" i="66"/>
  <c r="V412" i="66" s="1"/>
  <c r="Y414" i="66"/>
  <c r="Z414" i="66" s="1"/>
  <c r="AB414" i="66"/>
  <c r="S413" i="66"/>
  <c r="G414" i="66"/>
  <c r="F414" i="66"/>
  <c r="E415" i="66"/>
  <c r="H413" i="66"/>
  <c r="D415" i="66"/>
  <c r="P414" i="66"/>
  <c r="H414" i="66" l="1"/>
  <c r="K414" i="66" s="1"/>
  <c r="V414" i="66" s="1"/>
  <c r="Y415" i="66"/>
  <c r="Z415" i="66" s="1"/>
  <c r="AB415" i="66"/>
  <c r="G415" i="66"/>
  <c r="F415" i="66"/>
  <c r="E416" i="66"/>
  <c r="S414" i="66"/>
  <c r="N413" i="66"/>
  <c r="W413" i="66" s="1"/>
  <c r="I413" i="66"/>
  <c r="K413" i="66"/>
  <c r="V413" i="66" s="1"/>
  <c r="D416" i="66"/>
  <c r="P415" i="66"/>
  <c r="I414" i="66" l="1"/>
  <c r="N414" i="66"/>
  <c r="W414" i="66" s="1"/>
  <c r="H415" i="66"/>
  <c r="K415" i="66" s="1"/>
  <c r="V415" i="66" s="1"/>
  <c r="Y416" i="66"/>
  <c r="Z416" i="66" s="1"/>
  <c r="AB416" i="66"/>
  <c r="G416" i="66"/>
  <c r="F416" i="66"/>
  <c r="E417" i="66"/>
  <c r="S415" i="66"/>
  <c r="D417" i="66"/>
  <c r="P416" i="66"/>
  <c r="N415" i="66" l="1"/>
  <c r="W415" i="66" s="1"/>
  <c r="I415" i="66"/>
  <c r="Y417" i="66"/>
  <c r="Z417" i="66" s="1"/>
  <c r="AB417" i="66"/>
  <c r="H416" i="66"/>
  <c r="I416" i="66" s="1"/>
  <c r="F417" i="66"/>
  <c r="G417" i="66"/>
  <c r="E418" i="66"/>
  <c r="S416" i="66"/>
  <c r="D418" i="66"/>
  <c r="P417" i="66"/>
  <c r="K416" i="66" l="1"/>
  <c r="V416" i="66" s="1"/>
  <c r="N416" i="66"/>
  <c r="W416" i="66" s="1"/>
  <c r="Y418" i="66"/>
  <c r="Z418" i="66" s="1"/>
  <c r="AB418" i="66"/>
  <c r="H417" i="66"/>
  <c r="K417" i="66" s="1"/>
  <c r="V417" i="66" s="1"/>
  <c r="S417" i="66"/>
  <c r="F418" i="66"/>
  <c r="G418" i="66"/>
  <c r="E419" i="66"/>
  <c r="D419" i="66"/>
  <c r="P418" i="66"/>
  <c r="Y419" i="66" l="1"/>
  <c r="Z419" i="66" s="1"/>
  <c r="AB419" i="66"/>
  <c r="N417" i="66"/>
  <c r="W417" i="66" s="1"/>
  <c r="I417" i="66"/>
  <c r="S418" i="66"/>
  <c r="G419" i="66"/>
  <c r="F419" i="66"/>
  <c r="E420" i="66"/>
  <c r="H418" i="66"/>
  <c r="D420" i="66"/>
  <c r="P419" i="66"/>
  <c r="Y420" i="66" l="1"/>
  <c r="Z420" i="66" s="1"/>
  <c r="AB420" i="66"/>
  <c r="F420" i="66"/>
  <c r="G420" i="66"/>
  <c r="E421" i="66"/>
  <c r="I418" i="66"/>
  <c r="N418" i="66"/>
  <c r="W418" i="66" s="1"/>
  <c r="K418" i="66"/>
  <c r="V418" i="66" s="1"/>
  <c r="H419" i="66"/>
  <c r="S419" i="66"/>
  <c r="D421" i="66"/>
  <c r="P420" i="66"/>
  <c r="Y421" i="66" l="1"/>
  <c r="Z421" i="66" s="1"/>
  <c r="AB421" i="66"/>
  <c r="S420" i="66"/>
  <c r="K419" i="66"/>
  <c r="V419" i="66" s="1"/>
  <c r="N419" i="66"/>
  <c r="W419" i="66" s="1"/>
  <c r="I419" i="66"/>
  <c r="F421" i="66"/>
  <c r="G421" i="66"/>
  <c r="E422" i="66"/>
  <c r="H420" i="66"/>
  <c r="D422" i="66"/>
  <c r="P421" i="66"/>
  <c r="H421" i="66" l="1"/>
  <c r="K421" i="66" s="1"/>
  <c r="V421" i="66" s="1"/>
  <c r="Y422" i="66"/>
  <c r="Z422" i="66" s="1"/>
  <c r="AB422" i="66"/>
  <c r="S421" i="66"/>
  <c r="I420" i="66"/>
  <c r="N420" i="66"/>
  <c r="W420" i="66" s="1"/>
  <c r="K420" i="66"/>
  <c r="V420" i="66" s="1"/>
  <c r="G422" i="66"/>
  <c r="F422" i="66"/>
  <c r="E423" i="66"/>
  <c r="D423" i="66"/>
  <c r="P422" i="66"/>
  <c r="N421" i="66" l="1"/>
  <c r="W421" i="66" s="1"/>
  <c r="I421" i="66"/>
  <c r="Y423" i="66"/>
  <c r="Z423" i="66" s="1"/>
  <c r="AB423" i="66"/>
  <c r="H422" i="66"/>
  <c r="I422" i="66" s="1"/>
  <c r="G423" i="66"/>
  <c r="F423" i="66"/>
  <c r="E424" i="66"/>
  <c r="S422" i="66"/>
  <c r="D424" i="66"/>
  <c r="P423" i="66"/>
  <c r="H423" i="66" l="1"/>
  <c r="K423" i="66" s="1"/>
  <c r="V423" i="66" s="1"/>
  <c r="K422" i="66"/>
  <c r="V422" i="66" s="1"/>
  <c r="Y424" i="66"/>
  <c r="Z424" i="66" s="1"/>
  <c r="AB424" i="66"/>
  <c r="N422" i="66"/>
  <c r="W422" i="66" s="1"/>
  <c r="G424" i="66"/>
  <c r="F424" i="66"/>
  <c r="E425" i="66"/>
  <c r="S423" i="66"/>
  <c r="D425" i="66"/>
  <c r="P424" i="66"/>
  <c r="I423" i="66" l="1"/>
  <c r="N423" i="66"/>
  <c r="W423" i="66" s="1"/>
  <c r="Y425" i="66"/>
  <c r="Z425" i="66" s="1"/>
  <c r="AB425" i="66"/>
  <c r="H424" i="66"/>
  <c r="I424" i="66" s="1"/>
  <c r="F425" i="66"/>
  <c r="G425" i="66"/>
  <c r="E426" i="66"/>
  <c r="S424" i="66"/>
  <c r="D426" i="66"/>
  <c r="P425" i="66"/>
  <c r="K424" i="66" l="1"/>
  <c r="V424" i="66" s="1"/>
  <c r="N424" i="66"/>
  <c r="W424" i="66" s="1"/>
  <c r="H425" i="66"/>
  <c r="K425" i="66" s="1"/>
  <c r="V425" i="66" s="1"/>
  <c r="Y426" i="66"/>
  <c r="Z426" i="66" s="1"/>
  <c r="AB426" i="66"/>
  <c r="S425" i="66"/>
  <c r="G426" i="66"/>
  <c r="F426" i="66"/>
  <c r="E427" i="66"/>
  <c r="D427" i="66"/>
  <c r="P426" i="66"/>
  <c r="I425" i="66" l="1"/>
  <c r="N425" i="66"/>
  <c r="W425" i="66" s="1"/>
  <c r="Y427" i="66"/>
  <c r="Z427" i="66" s="1"/>
  <c r="AB427" i="66"/>
  <c r="S426" i="66"/>
  <c r="G427" i="66"/>
  <c r="F427" i="66"/>
  <c r="E428" i="66"/>
  <c r="H426" i="66"/>
  <c r="D428" i="66"/>
  <c r="P427" i="66"/>
  <c r="H427" i="66" l="1"/>
  <c r="K427" i="66" s="1"/>
  <c r="V427" i="66" s="1"/>
  <c r="Y428" i="66"/>
  <c r="Z428" i="66" s="1"/>
  <c r="AB428" i="66"/>
  <c r="F428" i="66"/>
  <c r="G428" i="66"/>
  <c r="E429" i="66"/>
  <c r="S427" i="66"/>
  <c r="N426" i="66"/>
  <c r="W426" i="66" s="1"/>
  <c r="I426" i="66"/>
  <c r="K426" i="66"/>
  <c r="V426" i="66" s="1"/>
  <c r="D429" i="66"/>
  <c r="P428" i="66"/>
  <c r="I427" i="66" l="1"/>
  <c r="N427" i="66"/>
  <c r="W427" i="66" s="1"/>
  <c r="Y429" i="66"/>
  <c r="Z429" i="66" s="1"/>
  <c r="AB429" i="66"/>
  <c r="F429" i="66"/>
  <c r="G429" i="66"/>
  <c r="E430" i="66"/>
  <c r="S428" i="66"/>
  <c r="H428" i="66"/>
  <c r="D430" i="66"/>
  <c r="P429" i="66"/>
  <c r="Y430" i="66" l="1"/>
  <c r="Z430" i="66" s="1"/>
  <c r="AB430" i="66"/>
  <c r="H429" i="66"/>
  <c r="K429" i="66" s="1"/>
  <c r="V429" i="66" s="1"/>
  <c r="S429" i="66"/>
  <c r="I428" i="66"/>
  <c r="N428" i="66"/>
  <c r="W428" i="66" s="1"/>
  <c r="K428" i="66"/>
  <c r="V428" i="66" s="1"/>
  <c r="G430" i="66"/>
  <c r="F430" i="66"/>
  <c r="E431" i="66"/>
  <c r="D431" i="66"/>
  <c r="P430" i="66"/>
  <c r="I429" i="66" l="1"/>
  <c r="H430" i="66"/>
  <c r="I430" i="66" s="1"/>
  <c r="N429" i="66"/>
  <c r="W429" i="66" s="1"/>
  <c r="Y431" i="66"/>
  <c r="Z431" i="66" s="1"/>
  <c r="AB431" i="66"/>
  <c r="S430" i="66"/>
  <c r="G431" i="66"/>
  <c r="F431" i="66"/>
  <c r="E432" i="66"/>
  <c r="D432" i="66"/>
  <c r="P431" i="66"/>
  <c r="K430" i="66" l="1"/>
  <c r="V430" i="66" s="1"/>
  <c r="N430" i="66"/>
  <c r="W430" i="66" s="1"/>
  <c r="Y432" i="66"/>
  <c r="Z432" i="66" s="1"/>
  <c r="AB432" i="66"/>
  <c r="H431" i="66"/>
  <c r="K431" i="66" s="1"/>
  <c r="V431" i="66" s="1"/>
  <c r="G432" i="66"/>
  <c r="F432" i="66"/>
  <c r="E433" i="66"/>
  <c r="S431" i="66"/>
  <c r="D433" i="66"/>
  <c r="P432" i="66"/>
  <c r="N431" i="66" l="1"/>
  <c r="W431" i="66" s="1"/>
  <c r="I431" i="66"/>
  <c r="Y433" i="66"/>
  <c r="Z433" i="66" s="1"/>
  <c r="AB433" i="66"/>
  <c r="H432" i="66"/>
  <c r="I432" i="66" s="1"/>
  <c r="S432" i="66"/>
  <c r="F433" i="66"/>
  <c r="G433" i="66"/>
  <c r="E434" i="66"/>
  <c r="D434" i="66"/>
  <c r="P433" i="66"/>
  <c r="H433" i="66" l="1"/>
  <c r="N433" i="66" s="1"/>
  <c r="W433" i="66" s="1"/>
  <c r="K432" i="66"/>
  <c r="V432" i="66" s="1"/>
  <c r="N432" i="66"/>
  <c r="W432" i="66" s="1"/>
  <c r="Y434" i="66"/>
  <c r="Z434" i="66" s="1"/>
  <c r="AB434" i="66"/>
  <c r="S433" i="66"/>
  <c r="F434" i="66"/>
  <c r="G434" i="66"/>
  <c r="E435" i="66"/>
  <c r="D435" i="66"/>
  <c r="P434" i="66"/>
  <c r="K433" i="66" l="1"/>
  <c r="V433" i="66" s="1"/>
  <c r="I433" i="66"/>
  <c r="Y435" i="66"/>
  <c r="Z435" i="66" s="1"/>
  <c r="AB435" i="66"/>
  <c r="H434" i="66"/>
  <c r="G435" i="66"/>
  <c r="F435" i="66"/>
  <c r="E436" i="66"/>
  <c r="S434" i="66"/>
  <c r="D436" i="66"/>
  <c r="P435" i="66"/>
  <c r="Y436" i="66" l="1"/>
  <c r="Z436" i="66" s="1"/>
  <c r="AB436" i="66"/>
  <c r="H435" i="66"/>
  <c r="N435" i="66" s="1"/>
  <c r="W435" i="66" s="1"/>
  <c r="F436" i="66"/>
  <c r="G436" i="66"/>
  <c r="E437" i="66"/>
  <c r="N434" i="66"/>
  <c r="W434" i="66" s="1"/>
  <c r="K434" i="66"/>
  <c r="V434" i="66" s="1"/>
  <c r="I434" i="66"/>
  <c r="S435" i="66"/>
  <c r="D437" i="66"/>
  <c r="P436" i="66"/>
  <c r="K435" i="66" l="1"/>
  <c r="V435" i="66" s="1"/>
  <c r="I435" i="66"/>
  <c r="Y437" i="66"/>
  <c r="Z437" i="66" s="1"/>
  <c r="AB437" i="66"/>
  <c r="F437" i="66"/>
  <c r="G437" i="66"/>
  <c r="E438" i="66"/>
  <c r="S436" i="66"/>
  <c r="H436" i="66"/>
  <c r="D438" i="66"/>
  <c r="P437" i="66"/>
  <c r="Y438" i="66" l="1"/>
  <c r="Z438" i="66" s="1"/>
  <c r="AB438" i="66"/>
  <c r="G438" i="66"/>
  <c r="F438" i="66"/>
  <c r="E439" i="66"/>
  <c r="S437" i="66"/>
  <c r="N436" i="66"/>
  <c r="W436" i="66" s="1"/>
  <c r="K436" i="66"/>
  <c r="V436" i="66" s="1"/>
  <c r="I436" i="66"/>
  <c r="H437" i="66"/>
  <c r="D439" i="66"/>
  <c r="P438" i="66"/>
  <c r="H438" i="66" l="1"/>
  <c r="N438" i="66" s="1"/>
  <c r="W438" i="66" s="1"/>
  <c r="Y439" i="66"/>
  <c r="Z439" i="66" s="1"/>
  <c r="AB439" i="66"/>
  <c r="G439" i="66"/>
  <c r="F439" i="66"/>
  <c r="E440" i="66"/>
  <c r="S438" i="66"/>
  <c r="N437" i="66"/>
  <c r="W437" i="66" s="1"/>
  <c r="K437" i="66"/>
  <c r="V437" i="66" s="1"/>
  <c r="I437" i="66"/>
  <c r="D440" i="66"/>
  <c r="P439" i="66"/>
  <c r="I438" i="66" l="1"/>
  <c r="K438" i="66"/>
  <c r="V438" i="66" s="1"/>
  <c r="Y440" i="66"/>
  <c r="Z440" i="66" s="1"/>
  <c r="AB440" i="66"/>
  <c r="H439" i="66"/>
  <c r="I439" i="66" s="1"/>
  <c r="S439" i="66"/>
  <c r="G440" i="66"/>
  <c r="F440" i="66"/>
  <c r="E441" i="66"/>
  <c r="D441" i="66"/>
  <c r="P440" i="66"/>
  <c r="N439" i="66" l="1"/>
  <c r="W439" i="66" s="1"/>
  <c r="K439" i="66"/>
  <c r="V439" i="66" s="1"/>
  <c r="Y441" i="66"/>
  <c r="Z441" i="66" s="1"/>
  <c r="AB441" i="66"/>
  <c r="H440" i="66"/>
  <c r="I440" i="66" s="1"/>
  <c r="F441" i="66"/>
  <c r="G441" i="66"/>
  <c r="E442" i="66"/>
  <c r="S440" i="66"/>
  <c r="D442" i="66"/>
  <c r="P441" i="66"/>
  <c r="N440" i="66" l="1"/>
  <c r="W440" i="66" s="1"/>
  <c r="K440" i="66"/>
  <c r="V440" i="66" s="1"/>
  <c r="Y442" i="66"/>
  <c r="Z442" i="66" s="1"/>
  <c r="AB442" i="66"/>
  <c r="S441" i="66"/>
  <c r="G442" i="66"/>
  <c r="F442" i="66"/>
  <c r="E443" i="66"/>
  <c r="H441" i="66"/>
  <c r="D443" i="66"/>
  <c r="P442" i="66"/>
  <c r="Y443" i="66" l="1"/>
  <c r="Z443" i="66" s="1"/>
  <c r="AB443" i="66"/>
  <c r="H442" i="66"/>
  <c r="K442" i="66" s="1"/>
  <c r="V442" i="66" s="1"/>
  <c r="S442" i="66"/>
  <c r="N441" i="66"/>
  <c r="W441" i="66" s="1"/>
  <c r="K441" i="66"/>
  <c r="V441" i="66" s="1"/>
  <c r="I441" i="66"/>
  <c r="G443" i="66"/>
  <c r="F443" i="66"/>
  <c r="E444" i="66"/>
  <c r="D444" i="66"/>
  <c r="P443" i="66"/>
  <c r="N442" i="66" l="1"/>
  <c r="W442" i="66" s="1"/>
  <c r="I442" i="66"/>
  <c r="Y444" i="66"/>
  <c r="Z444" i="66" s="1"/>
  <c r="AB444" i="66"/>
  <c r="F444" i="66"/>
  <c r="G444" i="66"/>
  <c r="E445" i="66"/>
  <c r="S443" i="66"/>
  <c r="H443" i="66"/>
  <c r="D445" i="66"/>
  <c r="P444" i="66"/>
  <c r="Y445" i="66" l="1"/>
  <c r="Z445" i="66" s="1"/>
  <c r="AB445" i="66"/>
  <c r="H444" i="66"/>
  <c r="I444" i="66" s="1"/>
  <c r="N443" i="66"/>
  <c r="W443" i="66" s="1"/>
  <c r="I443" i="66"/>
  <c r="K443" i="66"/>
  <c r="V443" i="66" s="1"/>
  <c r="S444" i="66"/>
  <c r="F445" i="66"/>
  <c r="G445" i="66"/>
  <c r="E446" i="66"/>
  <c r="D446" i="66"/>
  <c r="P445" i="66"/>
  <c r="N444" i="66" l="1"/>
  <c r="W444" i="66" s="1"/>
  <c r="K444" i="66"/>
  <c r="V444" i="66" s="1"/>
  <c r="Y446" i="66"/>
  <c r="Z446" i="66" s="1"/>
  <c r="AB446" i="66"/>
  <c r="S445" i="66"/>
  <c r="G446" i="66"/>
  <c r="F446" i="66"/>
  <c r="E447" i="66"/>
  <c r="H445" i="66"/>
  <c r="D447" i="66"/>
  <c r="P446" i="66"/>
  <c r="Y447" i="66" l="1"/>
  <c r="Z447" i="66" s="1"/>
  <c r="AB447" i="66"/>
  <c r="K445" i="66"/>
  <c r="V445" i="66" s="1"/>
  <c r="N445" i="66"/>
  <c r="W445" i="66" s="1"/>
  <c r="I445" i="66"/>
  <c r="G447" i="66"/>
  <c r="F447" i="66"/>
  <c r="E448" i="66"/>
  <c r="S446" i="66"/>
  <c r="H446" i="66"/>
  <c r="D448" i="66"/>
  <c r="P447" i="66"/>
  <c r="Y448" i="66" l="1"/>
  <c r="Z448" i="66" s="1"/>
  <c r="AB448" i="66"/>
  <c r="S447" i="66"/>
  <c r="K446" i="66"/>
  <c r="V446" i="66" s="1"/>
  <c r="I446" i="66"/>
  <c r="N446" i="66"/>
  <c r="W446" i="66" s="1"/>
  <c r="G448" i="66"/>
  <c r="F448" i="66"/>
  <c r="E449" i="66"/>
  <c r="H447" i="66"/>
  <c r="D449" i="66"/>
  <c r="P448" i="66"/>
  <c r="Y449" i="66" l="1"/>
  <c r="Z449" i="66" s="1"/>
  <c r="AB449" i="66"/>
  <c r="F449" i="66"/>
  <c r="G449" i="66"/>
  <c r="E450" i="66"/>
  <c r="H448" i="66"/>
  <c r="I447" i="66"/>
  <c r="N447" i="66"/>
  <c r="W447" i="66" s="1"/>
  <c r="K447" i="66"/>
  <c r="V447" i="66" s="1"/>
  <c r="S448" i="66"/>
  <c r="D450" i="66"/>
  <c r="P449" i="66"/>
  <c r="Y450" i="66" l="1"/>
  <c r="Z450" i="66" s="1"/>
  <c r="AB450" i="66"/>
  <c r="F450" i="66"/>
  <c r="G450" i="66"/>
  <c r="E451" i="66"/>
  <c r="H449" i="66"/>
  <c r="S449" i="66"/>
  <c r="N448" i="66"/>
  <c r="W448" i="66" s="1"/>
  <c r="K448" i="66"/>
  <c r="V448" i="66" s="1"/>
  <c r="I448" i="66"/>
  <c r="D451" i="66"/>
  <c r="P450" i="66"/>
  <c r="Y451" i="66" l="1"/>
  <c r="Z451" i="66" s="1"/>
  <c r="AB451" i="66"/>
  <c r="N449" i="66"/>
  <c r="W449" i="66" s="1"/>
  <c r="K449" i="66"/>
  <c r="V449" i="66" s="1"/>
  <c r="I449" i="66"/>
  <c r="S450" i="66"/>
  <c r="G451" i="66"/>
  <c r="F451" i="66"/>
  <c r="E452" i="66"/>
  <c r="H450" i="66"/>
  <c r="D452" i="66"/>
  <c r="P451" i="66"/>
  <c r="H451" i="66" l="1"/>
  <c r="K451" i="66" s="1"/>
  <c r="V451" i="66" s="1"/>
  <c r="Y452" i="66"/>
  <c r="Z452" i="66" s="1"/>
  <c r="AB452" i="66"/>
  <c r="S451" i="66"/>
  <c r="N450" i="66"/>
  <c r="W450" i="66" s="1"/>
  <c r="I450" i="66"/>
  <c r="K450" i="66"/>
  <c r="V450" i="66" s="1"/>
  <c r="F452" i="66"/>
  <c r="G452" i="66"/>
  <c r="E453" i="66"/>
  <c r="D453" i="66"/>
  <c r="P452" i="66"/>
  <c r="N451" i="66" l="1"/>
  <c r="W451" i="66" s="1"/>
  <c r="I451" i="66"/>
  <c r="Y453" i="66"/>
  <c r="Z453" i="66" s="1"/>
  <c r="AB453" i="66"/>
  <c r="F453" i="66"/>
  <c r="G453" i="66"/>
  <c r="E454" i="66"/>
  <c r="S452" i="66"/>
  <c r="H452" i="66"/>
  <c r="D454" i="66"/>
  <c r="P453" i="66"/>
  <c r="Y454" i="66" l="1"/>
  <c r="Z454" i="66" s="1"/>
  <c r="AB454" i="66"/>
  <c r="G454" i="66"/>
  <c r="F454" i="66"/>
  <c r="E455" i="66"/>
  <c r="H453" i="66"/>
  <c r="S453" i="66"/>
  <c r="N452" i="66"/>
  <c r="W452" i="66" s="1"/>
  <c r="K452" i="66"/>
  <c r="V452" i="66" s="1"/>
  <c r="I452" i="66"/>
  <c r="D455" i="66"/>
  <c r="P454" i="66"/>
  <c r="H454" i="66" l="1"/>
  <c r="I454" i="66" s="1"/>
  <c r="Y455" i="66"/>
  <c r="Z455" i="66" s="1"/>
  <c r="AB455" i="66"/>
  <c r="S454" i="66"/>
  <c r="N453" i="66"/>
  <c r="W453" i="66" s="1"/>
  <c r="I453" i="66"/>
  <c r="K453" i="66"/>
  <c r="V453" i="66" s="1"/>
  <c r="G455" i="66"/>
  <c r="F455" i="66"/>
  <c r="E456" i="66"/>
  <c r="D456" i="66"/>
  <c r="P455" i="66"/>
  <c r="K454" i="66" l="1"/>
  <c r="V454" i="66" s="1"/>
  <c r="N454" i="66"/>
  <c r="W454" i="66" s="1"/>
  <c r="Y456" i="66"/>
  <c r="Z456" i="66" s="1"/>
  <c r="AB456" i="66"/>
  <c r="H455" i="66"/>
  <c r="I455" i="66" s="1"/>
  <c r="G456" i="66"/>
  <c r="F456" i="66"/>
  <c r="E457" i="66"/>
  <c r="S455" i="66"/>
  <c r="D457" i="66"/>
  <c r="P456" i="66"/>
  <c r="H456" i="66" l="1"/>
  <c r="K456" i="66" s="1"/>
  <c r="V456" i="66" s="1"/>
  <c r="N455" i="66"/>
  <c r="W455" i="66" s="1"/>
  <c r="K455" i="66"/>
  <c r="V455" i="66" s="1"/>
  <c r="Y457" i="66"/>
  <c r="Z457" i="66" s="1"/>
  <c r="AB457" i="66"/>
  <c r="F457" i="66"/>
  <c r="G457" i="66"/>
  <c r="E458" i="66"/>
  <c r="S456" i="66"/>
  <c r="D458" i="66"/>
  <c r="P457" i="66"/>
  <c r="I456" i="66" l="1"/>
  <c r="N456" i="66"/>
  <c r="W456" i="66" s="1"/>
  <c r="Y458" i="66"/>
  <c r="Z458" i="66" s="1"/>
  <c r="AB458" i="66"/>
  <c r="S457" i="66"/>
  <c r="G458" i="66"/>
  <c r="F458" i="66"/>
  <c r="E459" i="66"/>
  <c r="H457" i="66"/>
  <c r="D459" i="66"/>
  <c r="P458" i="66"/>
  <c r="Y459" i="66" l="1"/>
  <c r="Z459" i="66" s="1"/>
  <c r="AB459" i="66"/>
  <c r="H458" i="66"/>
  <c r="I458" i="66" s="1"/>
  <c r="S458" i="66"/>
  <c r="N457" i="66"/>
  <c r="W457" i="66" s="1"/>
  <c r="K457" i="66"/>
  <c r="V457" i="66" s="1"/>
  <c r="I457" i="66"/>
  <c r="G459" i="66"/>
  <c r="F459" i="66"/>
  <c r="E460" i="66"/>
  <c r="D460" i="66"/>
  <c r="P459" i="66"/>
  <c r="N458" i="66" l="1"/>
  <c r="W458" i="66" s="1"/>
  <c r="K458" i="66"/>
  <c r="V458" i="66" s="1"/>
  <c r="Y460" i="66"/>
  <c r="Z460" i="66" s="1"/>
  <c r="AB460" i="66"/>
  <c r="H459" i="66"/>
  <c r="N459" i="66" s="1"/>
  <c r="W459" i="66" s="1"/>
  <c r="S459" i="66"/>
  <c r="F460" i="66"/>
  <c r="G460" i="66"/>
  <c r="E461" i="66"/>
  <c r="D461" i="66"/>
  <c r="P460" i="66"/>
  <c r="K459" i="66" l="1"/>
  <c r="V459" i="66" s="1"/>
  <c r="I459" i="66"/>
  <c r="Y461" i="66"/>
  <c r="Z461" i="66" s="1"/>
  <c r="AB461" i="66"/>
  <c r="F461" i="66"/>
  <c r="G461" i="66"/>
  <c r="E462" i="66"/>
  <c r="S460" i="66"/>
  <c r="H460" i="66"/>
  <c r="D462" i="66"/>
  <c r="AB462" i="66" s="1"/>
  <c r="P461" i="66"/>
  <c r="H461" i="66" l="1"/>
  <c r="I461" i="66" s="1"/>
  <c r="N4" i="66"/>
  <c r="Y462" i="66"/>
  <c r="Z462" i="66" s="1"/>
  <c r="N460" i="66"/>
  <c r="W460" i="66" s="1"/>
  <c r="I460" i="66"/>
  <c r="K460" i="66"/>
  <c r="V460" i="66" s="1"/>
  <c r="G462" i="66"/>
  <c r="F462" i="66"/>
  <c r="E463" i="66"/>
  <c r="S461" i="66"/>
  <c r="D463" i="66"/>
  <c r="P462" i="66"/>
  <c r="N461" i="66" l="1"/>
  <c r="W461" i="66" s="1"/>
  <c r="K461" i="66"/>
  <c r="V461" i="66" s="1"/>
  <c r="Y463" i="66"/>
  <c r="Z463" i="66" s="1"/>
  <c r="AB463" i="66"/>
  <c r="H462" i="66"/>
  <c r="S462" i="66"/>
  <c r="G463" i="66"/>
  <c r="F463" i="66"/>
  <c r="E464" i="66"/>
  <c r="D464" i="66"/>
  <c r="P463" i="66"/>
  <c r="I462" i="66" l="1"/>
  <c r="H463" i="66"/>
  <c r="Y464" i="66"/>
  <c r="Z464" i="66" s="1"/>
  <c r="AB464" i="66"/>
  <c r="G464" i="66"/>
  <c r="F464" i="66"/>
  <c r="E465" i="66"/>
  <c r="S463" i="66"/>
  <c r="D465" i="66"/>
  <c r="P464" i="66"/>
  <c r="H464" i="66" l="1"/>
  <c r="I464" i="66" s="1"/>
  <c r="I463" i="66"/>
  <c r="Y465" i="66"/>
  <c r="Z465" i="66" s="1"/>
  <c r="AB465" i="66"/>
  <c r="F465" i="66"/>
  <c r="G465" i="66"/>
  <c r="E466" i="66"/>
  <c r="S464" i="66"/>
  <c r="D466" i="66"/>
  <c r="P465" i="66"/>
  <c r="Y466" i="66" l="1"/>
  <c r="Z466" i="66" s="1"/>
  <c r="AB466" i="66"/>
  <c r="H465" i="66"/>
  <c r="I465" i="66" s="1"/>
  <c r="F466" i="66"/>
  <c r="G466" i="66"/>
  <c r="E467" i="66"/>
  <c r="S465" i="66"/>
  <c r="D467" i="66"/>
  <c r="P466" i="66"/>
  <c r="H466" i="66" l="1"/>
  <c r="I466" i="66" s="1"/>
  <c r="Y467" i="66"/>
  <c r="Z467" i="66" s="1"/>
  <c r="AB467" i="66"/>
  <c r="G467" i="66"/>
  <c r="F467" i="66"/>
  <c r="E468" i="66"/>
  <c r="S466" i="66"/>
  <c r="D468" i="66"/>
  <c r="P467" i="66"/>
  <c r="H467" i="66" l="1"/>
  <c r="I467" i="66" s="1"/>
  <c r="Y468" i="66"/>
  <c r="Z468" i="66" s="1"/>
  <c r="AB468" i="66"/>
  <c r="S467" i="66"/>
  <c r="F468" i="66"/>
  <c r="G468" i="66"/>
  <c r="E469" i="66"/>
  <c r="D469" i="66"/>
  <c r="P468" i="66"/>
  <c r="Y469" i="66" l="1"/>
  <c r="Z469" i="66" s="1"/>
  <c r="AB469" i="66"/>
  <c r="S468" i="66"/>
  <c r="F469" i="66"/>
  <c r="G469" i="66"/>
  <c r="E470" i="66"/>
  <c r="H468" i="66"/>
  <c r="D470" i="66"/>
  <c r="P469" i="66"/>
  <c r="H469" i="66" l="1"/>
  <c r="Y470" i="66"/>
  <c r="Z470" i="66" s="1"/>
  <c r="AB470" i="66"/>
  <c r="G470" i="66"/>
  <c r="F470" i="66"/>
  <c r="E471" i="66"/>
  <c r="S469" i="66"/>
  <c r="I468" i="66"/>
  <c r="D471" i="66"/>
  <c r="P470" i="66"/>
  <c r="H470" i="66" l="1"/>
  <c r="I470" i="66" s="1"/>
  <c r="I469" i="66"/>
  <c r="Y471" i="66"/>
  <c r="Z471" i="66" s="1"/>
  <c r="AB471" i="66"/>
  <c r="S470" i="66"/>
  <c r="G471" i="66"/>
  <c r="F471" i="66"/>
  <c r="E472" i="66"/>
  <c r="D472" i="66"/>
  <c r="P471" i="66"/>
  <c r="Y472" i="66" l="1"/>
  <c r="Z472" i="66" s="1"/>
  <c r="AB472" i="66"/>
  <c r="H471" i="66"/>
  <c r="I471" i="66" s="1"/>
  <c r="S471" i="66"/>
  <c r="G472" i="66"/>
  <c r="F472" i="66"/>
  <c r="E473" i="66"/>
  <c r="D473" i="66"/>
  <c r="P472" i="66"/>
  <c r="Y473" i="66" l="1"/>
  <c r="Z473" i="66" s="1"/>
  <c r="AB473" i="66"/>
  <c r="S472" i="66"/>
  <c r="F473" i="66"/>
  <c r="G473" i="66"/>
  <c r="E474" i="66"/>
  <c r="H472" i="66"/>
  <c r="D474" i="66"/>
  <c r="P473" i="66"/>
  <c r="Y474" i="66" l="1"/>
  <c r="Z474" i="66" s="1"/>
  <c r="AB474" i="66"/>
  <c r="S473" i="66"/>
  <c r="G474" i="66"/>
  <c r="F474" i="66"/>
  <c r="E475" i="66"/>
  <c r="I472" i="66"/>
  <c r="H473" i="66"/>
  <c r="D475" i="66"/>
  <c r="P474" i="66"/>
  <c r="Y475" i="66" l="1"/>
  <c r="Z475" i="66" s="1"/>
  <c r="AB475" i="66"/>
  <c r="H474" i="66"/>
  <c r="G475" i="66"/>
  <c r="F475" i="66"/>
  <c r="E476" i="66"/>
  <c r="S474" i="66"/>
  <c r="I473" i="66"/>
  <c r="D476" i="66"/>
  <c r="P475" i="66"/>
  <c r="I474" i="66" l="1"/>
  <c r="Y476" i="66"/>
  <c r="Z476" i="66" s="1"/>
  <c r="AB476" i="66"/>
  <c r="H475" i="66"/>
  <c r="I475" i="66" s="1"/>
  <c r="F476" i="66"/>
  <c r="G476" i="66"/>
  <c r="E477" i="66"/>
  <c r="S475" i="66"/>
  <c r="D477" i="66"/>
  <c r="P476" i="66"/>
  <c r="Y477" i="66" l="1"/>
  <c r="Z477" i="66" s="1"/>
  <c r="AB477" i="66"/>
  <c r="H476" i="66"/>
  <c r="F477" i="66"/>
  <c r="G477" i="66"/>
  <c r="E478" i="66"/>
  <c r="S476" i="66"/>
  <c r="D478" i="66"/>
  <c r="P477" i="66"/>
  <c r="Y478" i="66" l="1"/>
  <c r="Z478" i="66" s="1"/>
  <c r="AB478" i="66"/>
  <c r="H477" i="66"/>
  <c r="S477" i="66"/>
  <c r="F478" i="66"/>
  <c r="G478" i="66"/>
  <c r="E479" i="66"/>
  <c r="I476" i="66"/>
  <c r="D479" i="66"/>
  <c r="P478" i="66"/>
  <c r="Y479" i="66" l="1"/>
  <c r="Z479" i="66" s="1"/>
  <c r="AB479" i="66"/>
  <c r="H478" i="66"/>
  <c r="S478" i="66"/>
  <c r="G479" i="66"/>
  <c r="F479" i="66"/>
  <c r="E480" i="66"/>
  <c r="I477" i="66"/>
  <c r="D480" i="66"/>
  <c r="P479" i="66"/>
  <c r="Y480" i="66" l="1"/>
  <c r="Z480" i="66" s="1"/>
  <c r="AB480" i="66"/>
  <c r="H479" i="66"/>
  <c r="I479" i="66" s="1"/>
  <c r="S479" i="66"/>
  <c r="G480" i="66"/>
  <c r="F480" i="66"/>
  <c r="E481" i="66"/>
  <c r="I478" i="66"/>
  <c r="D481" i="66"/>
  <c r="P480" i="66"/>
  <c r="Y481" i="66" l="1"/>
  <c r="Z481" i="66" s="1"/>
  <c r="AB481" i="66"/>
  <c r="H480" i="66"/>
  <c r="F481" i="66"/>
  <c r="G481" i="66"/>
  <c r="E482" i="66"/>
  <c r="S480" i="66"/>
  <c r="D482" i="66"/>
  <c r="P481" i="66"/>
  <c r="I480" i="66" l="1"/>
  <c r="Y482" i="66"/>
  <c r="Z482" i="66" s="1"/>
  <c r="AB482" i="66"/>
  <c r="S481" i="66"/>
  <c r="F482" i="66"/>
  <c r="G482" i="66"/>
  <c r="E483" i="66"/>
  <c r="H481" i="66"/>
  <c r="D483" i="66"/>
  <c r="P482" i="66"/>
  <c r="H482" i="66" l="1"/>
  <c r="I482" i="66" s="1"/>
  <c r="Y483" i="66"/>
  <c r="Z483" i="66" s="1"/>
  <c r="AB483" i="66"/>
  <c r="S482" i="66"/>
  <c r="I481" i="66"/>
  <c r="G483" i="66"/>
  <c r="F483" i="66"/>
  <c r="E484" i="66"/>
  <c r="D484" i="66"/>
  <c r="P483" i="66"/>
  <c r="H483" i="66" l="1"/>
  <c r="I483" i="66" s="1"/>
  <c r="Y484" i="66"/>
  <c r="Z484" i="66" s="1"/>
  <c r="AB484" i="66"/>
  <c r="F484" i="66"/>
  <c r="G484" i="66"/>
  <c r="E485" i="66"/>
  <c r="S483" i="66"/>
  <c r="D485" i="66"/>
  <c r="P484" i="66"/>
  <c r="Y485" i="66" l="1"/>
  <c r="Z485" i="66" s="1"/>
  <c r="AB485" i="66"/>
  <c r="F485" i="66"/>
  <c r="G485" i="66"/>
  <c r="E486" i="66"/>
  <c r="S484" i="66"/>
  <c r="H484" i="66"/>
  <c r="D486" i="66"/>
  <c r="P485" i="66"/>
  <c r="Y486" i="66" l="1"/>
  <c r="Z486" i="66" s="1"/>
  <c r="AB486" i="66"/>
  <c r="H485" i="66"/>
  <c r="I485" i="66" s="1"/>
  <c r="S485" i="66"/>
  <c r="I484" i="66"/>
  <c r="G486" i="66"/>
  <c r="F486" i="66"/>
  <c r="E487" i="66"/>
  <c r="D487" i="66"/>
  <c r="P486" i="66"/>
  <c r="Y487" i="66" l="1"/>
  <c r="Z487" i="66" s="1"/>
  <c r="AB487" i="66"/>
  <c r="S486" i="66"/>
  <c r="G487" i="66"/>
  <c r="F487" i="66"/>
  <c r="E488" i="66"/>
  <c r="H486" i="66"/>
  <c r="D488" i="66"/>
  <c r="P487" i="66"/>
  <c r="Y488" i="66" l="1"/>
  <c r="Z488" i="66" s="1"/>
  <c r="AB488" i="66"/>
  <c r="H487" i="66"/>
  <c r="I486" i="66"/>
  <c r="G488" i="66"/>
  <c r="F488" i="66"/>
  <c r="E489" i="66"/>
  <c r="S487" i="66"/>
  <c r="D489" i="66"/>
  <c r="P488" i="66"/>
  <c r="Y489" i="66" l="1"/>
  <c r="Z489" i="66" s="1"/>
  <c r="AB489" i="66"/>
  <c r="H488" i="66"/>
  <c r="S488" i="66"/>
  <c r="I487" i="66"/>
  <c r="F489" i="66"/>
  <c r="G489" i="66"/>
  <c r="E490" i="66"/>
  <c r="D490" i="66"/>
  <c r="P489" i="66"/>
  <c r="Y490" i="66" l="1"/>
  <c r="Z490" i="66" s="1"/>
  <c r="AB490" i="66"/>
  <c r="G490" i="66"/>
  <c r="F490" i="66"/>
  <c r="E491" i="66"/>
  <c r="H489" i="66"/>
  <c r="S489" i="66"/>
  <c r="I488" i="66"/>
  <c r="D491" i="66"/>
  <c r="P490" i="66"/>
  <c r="H490" i="66" l="1"/>
  <c r="Y491" i="66"/>
  <c r="Z491" i="66" s="1"/>
  <c r="AB491" i="66"/>
  <c r="I489" i="66"/>
  <c r="G491" i="66"/>
  <c r="F491" i="66"/>
  <c r="E492" i="66"/>
  <c r="S490" i="66"/>
  <c r="D492" i="66"/>
  <c r="P491" i="66"/>
  <c r="I490" i="66" l="1"/>
  <c r="Y492" i="66"/>
  <c r="Z492" i="66" s="1"/>
  <c r="AB492" i="66"/>
  <c r="F492" i="66"/>
  <c r="G492" i="66"/>
  <c r="E493" i="66"/>
  <c r="S491" i="66"/>
  <c r="H491" i="66"/>
  <c r="D493" i="66"/>
  <c r="P492" i="66"/>
  <c r="Y493" i="66" l="1"/>
  <c r="Z493" i="66" s="1"/>
  <c r="AB493" i="66"/>
  <c r="S492" i="66"/>
  <c r="I491" i="66"/>
  <c r="F493" i="66"/>
  <c r="G493" i="66"/>
  <c r="E494" i="66"/>
  <c r="H492" i="66"/>
  <c r="D494" i="66"/>
  <c r="P493" i="66"/>
  <c r="Y494" i="66" l="1"/>
  <c r="Z494" i="66" s="1"/>
  <c r="AB494" i="66"/>
  <c r="H493" i="66"/>
  <c r="I493" i="66" s="1"/>
  <c r="I492" i="66"/>
  <c r="S493" i="66"/>
  <c r="G494" i="66"/>
  <c r="F494" i="66"/>
  <c r="E495" i="66"/>
  <c r="D495" i="66"/>
  <c r="P494" i="66"/>
  <c r="Y495" i="66" l="1"/>
  <c r="Z495" i="66" s="1"/>
  <c r="AB495" i="66"/>
  <c r="S494" i="66"/>
  <c r="G495" i="66"/>
  <c r="F495" i="66"/>
  <c r="E496" i="66"/>
  <c r="H494" i="66"/>
  <c r="D496" i="66"/>
  <c r="P495" i="66"/>
  <c r="H495" i="66" l="1"/>
  <c r="I495" i="66" s="1"/>
  <c r="Y496" i="66"/>
  <c r="Z496" i="66" s="1"/>
  <c r="AB496" i="66"/>
  <c r="G496" i="66"/>
  <c r="F496" i="66"/>
  <c r="E497" i="66"/>
  <c r="S495" i="66"/>
  <c r="I494" i="66"/>
  <c r="D497" i="66"/>
  <c r="P496" i="66"/>
  <c r="H496" i="66" l="1"/>
  <c r="I496" i="66" s="1"/>
  <c r="Y497" i="66"/>
  <c r="Z497" i="66" s="1"/>
  <c r="AB497" i="66"/>
  <c r="S496" i="66"/>
  <c r="F497" i="66"/>
  <c r="G497" i="66"/>
  <c r="E498" i="66"/>
  <c r="D498" i="66"/>
  <c r="P497" i="66"/>
  <c r="Y498" i="66" l="1"/>
  <c r="Z498" i="66" s="1"/>
  <c r="AB498" i="66"/>
  <c r="F498" i="66"/>
  <c r="G498" i="66"/>
  <c r="E499" i="66"/>
  <c r="H497" i="66"/>
  <c r="S497" i="66"/>
  <c r="D499" i="66"/>
  <c r="P498" i="66"/>
  <c r="Y499" i="66" l="1"/>
  <c r="Z499" i="66" s="1"/>
  <c r="AB499" i="66"/>
  <c r="S498" i="66"/>
  <c r="G499" i="66"/>
  <c r="F499" i="66"/>
  <c r="E500" i="66"/>
  <c r="I497" i="66"/>
  <c r="H498" i="66"/>
  <c r="D500" i="66"/>
  <c r="P499" i="66"/>
  <c r="Y500" i="66" l="1"/>
  <c r="Z500" i="66" s="1"/>
  <c r="AB500" i="66"/>
  <c r="H499" i="66"/>
  <c r="I498" i="66"/>
  <c r="S499" i="66"/>
  <c r="F500" i="66"/>
  <c r="G500" i="66"/>
  <c r="E501" i="66"/>
  <c r="D501" i="66"/>
  <c r="P500" i="66"/>
  <c r="Y501" i="66" l="1"/>
  <c r="Z501" i="66" s="1"/>
  <c r="AB501" i="66"/>
  <c r="S500" i="66"/>
  <c r="F501" i="66"/>
  <c r="G501" i="66"/>
  <c r="E502" i="66"/>
  <c r="H500" i="66"/>
  <c r="I499" i="66"/>
  <c r="D502" i="66"/>
  <c r="P501" i="66"/>
  <c r="H501" i="66" l="1"/>
  <c r="Y502" i="66"/>
  <c r="Z502" i="66" s="1"/>
  <c r="AB502" i="66"/>
  <c r="G502" i="66"/>
  <c r="F502" i="66"/>
  <c r="E503" i="66"/>
  <c r="I500" i="66"/>
  <c r="S501" i="66"/>
  <c r="D503" i="66"/>
  <c r="P502" i="66"/>
  <c r="I501" i="66" l="1"/>
  <c r="Y503" i="66"/>
  <c r="Z503" i="66" s="1"/>
  <c r="AB503" i="66"/>
  <c r="H502" i="66"/>
  <c r="S502" i="66"/>
  <c r="G503" i="66"/>
  <c r="F503" i="66"/>
  <c r="E504" i="66"/>
  <c r="D504" i="66"/>
  <c r="P503" i="66"/>
  <c r="Y504" i="66" l="1"/>
  <c r="Z504" i="66" s="1"/>
  <c r="AB504" i="66"/>
  <c r="I502" i="66"/>
  <c r="S503" i="66"/>
  <c r="G504" i="66"/>
  <c r="F504" i="66"/>
  <c r="E505" i="66"/>
  <c r="H503" i="66"/>
  <c r="D505" i="66"/>
  <c r="P504" i="66"/>
  <c r="H504" i="66" l="1"/>
  <c r="I504" i="66" s="1"/>
  <c r="Y505" i="66"/>
  <c r="Z505" i="66" s="1"/>
  <c r="AB505" i="66"/>
  <c r="S504" i="66"/>
  <c r="I503" i="66"/>
  <c r="F505" i="66"/>
  <c r="G505" i="66"/>
  <c r="E506" i="66"/>
  <c r="D506" i="66"/>
  <c r="P505" i="66"/>
  <c r="H505" i="66" l="1"/>
  <c r="I505" i="66" s="1"/>
  <c r="Y506" i="66"/>
  <c r="Z506" i="66" s="1"/>
  <c r="AB506" i="66"/>
  <c r="G506" i="66"/>
  <c r="F506" i="66"/>
  <c r="E507" i="66"/>
  <c r="S505" i="66"/>
  <c r="D507" i="66"/>
  <c r="P506" i="66"/>
  <c r="Y507" i="66" l="1"/>
  <c r="Z507" i="66" s="1"/>
  <c r="AB507" i="66"/>
  <c r="H506" i="66"/>
  <c r="G507" i="66"/>
  <c r="F507" i="66"/>
  <c r="E508" i="66"/>
  <c r="S506" i="66"/>
  <c r="D508" i="66"/>
  <c r="P507" i="66"/>
  <c r="I506" i="66" l="1"/>
  <c r="Y508" i="66"/>
  <c r="Z508" i="66" s="1"/>
  <c r="AB508" i="66"/>
  <c r="H507" i="66"/>
  <c r="I507" i="66" s="1"/>
  <c r="F508" i="66"/>
  <c r="G508" i="66"/>
  <c r="E509" i="66"/>
  <c r="S507" i="66"/>
  <c r="D509" i="66"/>
  <c r="P508" i="66"/>
  <c r="Y509" i="66" l="1"/>
  <c r="Z509" i="66" s="1"/>
  <c r="AB509" i="66"/>
  <c r="S508" i="66"/>
  <c r="F509" i="66"/>
  <c r="G509" i="66"/>
  <c r="E510" i="66"/>
  <c r="H508" i="66"/>
  <c r="D510" i="66"/>
  <c r="P509" i="66"/>
  <c r="Y510" i="66" l="1"/>
  <c r="Z510" i="66" s="1"/>
  <c r="AB510" i="66"/>
  <c r="G510" i="66"/>
  <c r="F510" i="66"/>
  <c r="E511" i="66"/>
  <c r="S509" i="66"/>
  <c r="I508" i="66"/>
  <c r="H509" i="66"/>
  <c r="D511" i="66"/>
  <c r="P510" i="66"/>
  <c r="H510" i="66" l="1"/>
  <c r="Y511" i="66"/>
  <c r="Z511" i="66" s="1"/>
  <c r="AB511" i="66"/>
  <c r="I509" i="66"/>
  <c r="G511" i="66"/>
  <c r="F511" i="66"/>
  <c r="E512" i="66"/>
  <c r="S510" i="66"/>
  <c r="D512" i="66"/>
  <c r="P511" i="66"/>
  <c r="I510" i="66" l="1"/>
  <c r="Y512" i="66"/>
  <c r="Z512" i="66" s="1"/>
  <c r="AB512" i="66"/>
  <c r="G512" i="66"/>
  <c r="F512" i="66"/>
  <c r="E513" i="66"/>
  <c r="H511" i="66"/>
  <c r="S511" i="66"/>
  <c r="D513" i="66"/>
  <c r="P512" i="66"/>
  <c r="H512" i="66" l="1"/>
  <c r="I512" i="66" s="1"/>
  <c r="Y513" i="66"/>
  <c r="Z513" i="66" s="1"/>
  <c r="AB513" i="66"/>
  <c r="S512" i="66"/>
  <c r="F513" i="66"/>
  <c r="G513" i="66"/>
  <c r="E514" i="66"/>
  <c r="I511" i="66"/>
  <c r="D514" i="66"/>
  <c r="P513" i="66"/>
  <c r="Y514" i="66" l="1"/>
  <c r="Z514" i="66" s="1"/>
  <c r="AB514" i="66"/>
  <c r="F514" i="66"/>
  <c r="G514" i="66"/>
  <c r="E515" i="66"/>
  <c r="S513" i="66"/>
  <c r="H513" i="66"/>
  <c r="D515" i="66"/>
  <c r="P514" i="66"/>
  <c r="Y515" i="66" l="1"/>
  <c r="Z515" i="66" s="1"/>
  <c r="AB515" i="66"/>
  <c r="G515" i="66"/>
  <c r="F515" i="66"/>
  <c r="E516" i="66"/>
  <c r="H514" i="66"/>
  <c r="S514" i="66"/>
  <c r="I513" i="66"/>
  <c r="D516" i="66"/>
  <c r="P515" i="66"/>
  <c r="H515" i="66" l="1"/>
  <c r="Y516" i="66"/>
  <c r="Z516" i="66" s="1"/>
  <c r="AB516" i="66"/>
  <c r="I514" i="66"/>
  <c r="F516" i="66"/>
  <c r="G516" i="66"/>
  <c r="E517" i="66"/>
  <c r="S515" i="66"/>
  <c r="D517" i="66"/>
  <c r="P516" i="66"/>
  <c r="I515" i="66" l="1"/>
  <c r="H516" i="66"/>
  <c r="I516" i="66" s="1"/>
  <c r="Y517" i="66"/>
  <c r="Z517" i="66" s="1"/>
  <c r="AB517" i="66"/>
  <c r="S516" i="66"/>
  <c r="F517" i="66"/>
  <c r="G517" i="66"/>
  <c r="E518" i="66"/>
  <c r="D518" i="66"/>
  <c r="P517" i="66"/>
  <c r="Y518" i="66" l="1"/>
  <c r="Z518" i="66" s="1"/>
  <c r="AB518" i="66"/>
  <c r="S517" i="66"/>
  <c r="G518" i="66"/>
  <c r="F518" i="66"/>
  <c r="E519" i="66"/>
  <c r="H517" i="66"/>
  <c r="D519" i="66"/>
  <c r="P518" i="66"/>
  <c r="Y519" i="66" l="1"/>
  <c r="Z519" i="66" s="1"/>
  <c r="AB519" i="66"/>
  <c r="I517" i="66"/>
  <c r="H518" i="66"/>
  <c r="S518" i="66"/>
  <c r="G519" i="66"/>
  <c r="F519" i="66"/>
  <c r="E520" i="66"/>
  <c r="D520" i="66"/>
  <c r="P519" i="66"/>
  <c r="Y520" i="66" l="1"/>
  <c r="Z520" i="66" s="1"/>
  <c r="AB520" i="66"/>
  <c r="H519" i="66"/>
  <c r="S519" i="66"/>
  <c r="G520" i="66"/>
  <c r="F520" i="66"/>
  <c r="E521" i="66"/>
  <c r="I518" i="66"/>
  <c r="D521" i="66"/>
  <c r="P520" i="66"/>
  <c r="I519" i="66" l="1"/>
  <c r="Y521" i="66"/>
  <c r="Z521" i="66" s="1"/>
  <c r="AB521" i="66"/>
  <c r="H520" i="66"/>
  <c r="I520" i="66" s="1"/>
  <c r="F521" i="66"/>
  <c r="G521" i="66"/>
  <c r="E522" i="66"/>
  <c r="S520" i="66"/>
  <c r="D522" i="66"/>
  <c r="P521" i="66"/>
  <c r="Y522" i="66" l="1"/>
  <c r="Z522" i="66" s="1"/>
  <c r="AB522" i="66"/>
  <c r="G522" i="66"/>
  <c r="F522" i="66"/>
  <c r="E523" i="66"/>
  <c r="H521" i="66"/>
  <c r="S521" i="66"/>
  <c r="D523" i="66"/>
  <c r="P522" i="66"/>
  <c r="H522" i="66" l="1"/>
  <c r="I522" i="66" s="1"/>
  <c r="Y523" i="66"/>
  <c r="Z523" i="66" s="1"/>
  <c r="AB523" i="66"/>
  <c r="S522" i="66"/>
  <c r="I521" i="66"/>
  <c r="G523" i="66"/>
  <c r="F523" i="66"/>
  <c r="E524" i="66"/>
  <c r="D524" i="66"/>
  <c r="P523" i="66"/>
  <c r="H523" i="66" l="1"/>
  <c r="I523" i="66" s="1"/>
  <c r="Y524" i="66"/>
  <c r="Z524" i="66" s="1"/>
  <c r="AB524" i="66"/>
  <c r="F524" i="66"/>
  <c r="G524" i="66"/>
  <c r="E525" i="66"/>
  <c r="S523" i="66"/>
  <c r="D525" i="66"/>
  <c r="P524" i="66"/>
  <c r="Y525" i="66" l="1"/>
  <c r="Z525" i="66" s="1"/>
  <c r="AB525" i="66"/>
  <c r="F525" i="66"/>
  <c r="G525" i="66"/>
  <c r="E526" i="66"/>
  <c r="S524" i="66"/>
  <c r="H524" i="66"/>
  <c r="D526" i="66"/>
  <c r="P525" i="66"/>
  <c r="Y526" i="66" l="1"/>
  <c r="Z526" i="66" s="1"/>
  <c r="AB526" i="66"/>
  <c r="H525" i="66"/>
  <c r="I525" i="66" s="1"/>
  <c r="S525" i="66"/>
  <c r="I524" i="66"/>
  <c r="G526" i="66"/>
  <c r="F526" i="66"/>
  <c r="E527" i="66"/>
  <c r="D527" i="66"/>
  <c r="P526" i="66"/>
  <c r="Y527" i="66" l="1"/>
  <c r="Z527" i="66" s="1"/>
  <c r="AB527" i="66"/>
  <c r="H526" i="66"/>
  <c r="G527" i="66"/>
  <c r="F527" i="66"/>
  <c r="E528" i="66"/>
  <c r="S526" i="66"/>
  <c r="D528" i="66"/>
  <c r="P527" i="66"/>
  <c r="I526" i="66" l="1"/>
  <c r="Y528" i="66"/>
  <c r="Z528" i="66" s="1"/>
  <c r="AB528" i="66"/>
  <c r="H527" i="66"/>
  <c r="I527" i="66" s="1"/>
  <c r="S527" i="66"/>
  <c r="G528" i="66"/>
  <c r="F528" i="66"/>
  <c r="E529" i="66"/>
  <c r="D529" i="66"/>
  <c r="P528" i="66"/>
  <c r="Y529" i="66" l="1"/>
  <c r="Z529" i="66" s="1"/>
  <c r="AB529" i="66"/>
  <c r="S528" i="66"/>
  <c r="F529" i="66"/>
  <c r="G529" i="66"/>
  <c r="E530" i="66"/>
  <c r="H528" i="66"/>
  <c r="D530" i="66"/>
  <c r="P529" i="66"/>
  <c r="Y530" i="66" l="1"/>
  <c r="Z530" i="66" s="1"/>
  <c r="AB530" i="66"/>
  <c r="I528" i="66"/>
  <c r="G530" i="66"/>
  <c r="F530" i="66"/>
  <c r="E531" i="66"/>
  <c r="H529" i="66"/>
  <c r="S529" i="66"/>
  <c r="D531" i="66"/>
  <c r="P530" i="66"/>
  <c r="Y531" i="66" l="1"/>
  <c r="Z531" i="66" s="1"/>
  <c r="AB531" i="66"/>
  <c r="G531" i="66"/>
  <c r="F531" i="66"/>
  <c r="E532" i="66"/>
  <c r="S530" i="66"/>
  <c r="I529" i="66"/>
  <c r="H530" i="66"/>
  <c r="D532" i="66"/>
  <c r="P531" i="66"/>
  <c r="H531" i="66" l="1"/>
  <c r="Y532" i="66"/>
  <c r="Z532" i="66" s="1"/>
  <c r="AB532" i="66"/>
  <c r="S531" i="66"/>
  <c r="F532" i="66"/>
  <c r="G532" i="66"/>
  <c r="E533" i="66"/>
  <c r="I530" i="66"/>
  <c r="D533" i="66"/>
  <c r="P532" i="66"/>
  <c r="H532" i="66" l="1"/>
  <c r="I532" i="66" s="1"/>
  <c r="I531" i="66"/>
  <c r="Y533" i="66"/>
  <c r="Z533" i="66" s="1"/>
  <c r="AB533" i="66"/>
  <c r="S532" i="66"/>
  <c r="F533" i="66"/>
  <c r="G533" i="66"/>
  <c r="E534" i="66"/>
  <c r="D534" i="66"/>
  <c r="P533" i="66"/>
  <c r="Y534" i="66" l="1"/>
  <c r="Z534" i="66" s="1"/>
  <c r="AB534" i="66"/>
  <c r="G534" i="66"/>
  <c r="F534" i="66"/>
  <c r="E535" i="66"/>
  <c r="S533" i="66"/>
  <c r="H533" i="66"/>
  <c r="D535" i="66"/>
  <c r="P534" i="66"/>
  <c r="H534" i="66" l="1"/>
  <c r="Y535" i="66"/>
  <c r="Z535" i="66" s="1"/>
  <c r="AB535" i="66"/>
  <c r="I533" i="66"/>
  <c r="G535" i="66"/>
  <c r="F535" i="66"/>
  <c r="E536" i="66"/>
  <c r="S534" i="66"/>
  <c r="D536" i="66"/>
  <c r="P535" i="66"/>
  <c r="H535" i="66" l="1"/>
  <c r="I535" i="66" s="1"/>
  <c r="I534" i="66"/>
  <c r="Y536" i="66"/>
  <c r="Z536" i="66" s="1"/>
  <c r="AB536" i="66"/>
  <c r="G536" i="66"/>
  <c r="F536" i="66"/>
  <c r="E537" i="66"/>
  <c r="S535" i="66"/>
  <c r="D537" i="66"/>
  <c r="P536" i="66"/>
  <c r="H536" i="66" l="1"/>
  <c r="I536" i="66" s="1"/>
  <c r="Y537" i="66"/>
  <c r="Z537" i="66" s="1"/>
  <c r="AB537" i="66"/>
  <c r="S536" i="66"/>
  <c r="F537" i="66"/>
  <c r="G537" i="66"/>
  <c r="E538" i="66"/>
  <c r="D538" i="66"/>
  <c r="P537" i="66"/>
  <c r="Y538" i="66" l="1"/>
  <c r="Z538" i="66" s="1"/>
  <c r="AB538" i="66"/>
  <c r="G538" i="66"/>
  <c r="F538" i="66"/>
  <c r="E539" i="66"/>
  <c r="S537" i="66"/>
  <c r="H537" i="66"/>
  <c r="D539" i="66"/>
  <c r="P538" i="66"/>
  <c r="H538" i="66" l="1"/>
  <c r="I538" i="66" s="1"/>
  <c r="Y539" i="66"/>
  <c r="Z539" i="66" s="1"/>
  <c r="AB539" i="66"/>
  <c r="G539" i="66"/>
  <c r="F539" i="66"/>
  <c r="E540" i="66"/>
  <c r="S538" i="66"/>
  <c r="I537" i="66"/>
  <c r="D540" i="66"/>
  <c r="P539" i="66"/>
  <c r="Y540" i="66" l="1"/>
  <c r="Z540" i="66" s="1"/>
  <c r="AB540" i="66"/>
  <c r="F540" i="66"/>
  <c r="G540" i="66"/>
  <c r="E541" i="66"/>
  <c r="H539" i="66"/>
  <c r="S539" i="66"/>
  <c r="D541" i="66"/>
  <c r="P540" i="66"/>
  <c r="H540" i="66" l="1"/>
  <c r="Y541" i="66"/>
  <c r="Z541" i="66" s="1"/>
  <c r="AB541" i="66"/>
  <c r="I539" i="66"/>
  <c r="F541" i="66"/>
  <c r="G541" i="66"/>
  <c r="E542" i="66"/>
  <c r="S540" i="66"/>
  <c r="D542" i="66"/>
  <c r="P541" i="66"/>
  <c r="I540" i="66" l="1"/>
  <c r="Y542" i="66"/>
  <c r="Z542" i="66" s="1"/>
  <c r="AB542" i="66"/>
  <c r="H541" i="66"/>
  <c r="S541" i="66"/>
  <c r="G542" i="66"/>
  <c r="F542" i="66"/>
  <c r="E543" i="66"/>
  <c r="D543" i="66"/>
  <c r="P542" i="66"/>
  <c r="Y543" i="66" l="1"/>
  <c r="Z543" i="66" s="1"/>
  <c r="AB543" i="66"/>
  <c r="H542" i="66"/>
  <c r="I542" i="66" s="1"/>
  <c r="S542" i="66"/>
  <c r="G543" i="66"/>
  <c r="F543" i="66"/>
  <c r="E544" i="66"/>
  <c r="I541" i="66"/>
  <c r="D544" i="66"/>
  <c r="P543" i="66"/>
  <c r="Y544" i="66" l="1"/>
  <c r="Z544" i="66" s="1"/>
  <c r="AB544" i="66"/>
  <c r="H543" i="66"/>
  <c r="I543" i="66" s="1"/>
  <c r="G544" i="66"/>
  <c r="F544" i="66"/>
  <c r="E545" i="66"/>
  <c r="S543" i="66"/>
  <c r="D545" i="66"/>
  <c r="P544" i="66"/>
  <c r="Y545" i="66" l="1"/>
  <c r="Z545" i="66" s="1"/>
  <c r="AB545" i="66"/>
  <c r="H544" i="66"/>
  <c r="F545" i="66"/>
  <c r="G545" i="66"/>
  <c r="E546" i="66"/>
  <c r="S544" i="66"/>
  <c r="D546" i="66"/>
  <c r="P545" i="66"/>
  <c r="I544" i="66" l="1"/>
  <c r="Y546" i="66"/>
  <c r="Z546" i="66" s="1"/>
  <c r="AB546" i="66"/>
  <c r="H545" i="66"/>
  <c r="I545" i="66" s="1"/>
  <c r="S545" i="66"/>
  <c r="F546" i="66"/>
  <c r="G546" i="66"/>
  <c r="E547" i="66"/>
  <c r="D547" i="66"/>
  <c r="P546" i="66"/>
  <c r="H546" i="66" l="1"/>
  <c r="I546" i="66" s="1"/>
  <c r="Y547" i="66"/>
  <c r="Z547" i="66" s="1"/>
  <c r="AB547" i="66"/>
  <c r="S546" i="66"/>
  <c r="G547" i="66"/>
  <c r="F547" i="66"/>
  <c r="E548" i="66"/>
  <c r="D548" i="66"/>
  <c r="P547" i="66"/>
  <c r="Y548" i="66" l="1"/>
  <c r="Z548" i="66" s="1"/>
  <c r="AB548" i="66"/>
  <c r="F548" i="66"/>
  <c r="G548" i="66"/>
  <c r="E549" i="66"/>
  <c r="H547" i="66"/>
  <c r="S547" i="66"/>
  <c r="D549" i="66"/>
  <c r="P548" i="66"/>
  <c r="Y549" i="66" l="1"/>
  <c r="Z549" i="66" s="1"/>
  <c r="AB549" i="66"/>
  <c r="S548" i="66"/>
  <c r="F549" i="66"/>
  <c r="G549" i="66"/>
  <c r="E550" i="66"/>
  <c r="I547" i="66"/>
  <c r="H548" i="66"/>
  <c r="D550" i="66"/>
  <c r="P549" i="66"/>
  <c r="Y550" i="66" l="1"/>
  <c r="Z550" i="66" s="1"/>
  <c r="AB550" i="66"/>
  <c r="S549" i="66"/>
  <c r="G550" i="66"/>
  <c r="F550" i="66"/>
  <c r="E551" i="66"/>
  <c r="I548" i="66"/>
  <c r="H549" i="66"/>
  <c r="D551" i="66"/>
  <c r="P550" i="66"/>
  <c r="Y551" i="66" l="1"/>
  <c r="Z551" i="66" s="1"/>
  <c r="AB551" i="66"/>
  <c r="H550" i="66"/>
  <c r="G551" i="66"/>
  <c r="F551" i="66"/>
  <c r="E552" i="66"/>
  <c r="S550" i="66"/>
  <c r="I549" i="66"/>
  <c r="D552" i="66"/>
  <c r="P551" i="66"/>
  <c r="I550" i="66" l="1"/>
  <c r="Y552" i="66"/>
  <c r="Z552" i="66" s="1"/>
  <c r="AB552" i="66"/>
  <c r="H551" i="66"/>
  <c r="I551" i="66" s="1"/>
  <c r="G552" i="66"/>
  <c r="F552" i="66"/>
  <c r="E553" i="66"/>
  <c r="S551" i="66"/>
  <c r="D553" i="66"/>
  <c r="P552" i="66"/>
  <c r="Y553" i="66" l="1"/>
  <c r="Z553" i="66" s="1"/>
  <c r="AB553" i="66"/>
  <c r="H552" i="66"/>
  <c r="F553" i="66"/>
  <c r="G553" i="66"/>
  <c r="E554" i="66"/>
  <c r="S552" i="66"/>
  <c r="D554" i="66"/>
  <c r="P553" i="66"/>
  <c r="Y554" i="66" l="1"/>
  <c r="Z554" i="66" s="1"/>
  <c r="AB554" i="66"/>
  <c r="S553" i="66"/>
  <c r="G554" i="66"/>
  <c r="F554" i="66"/>
  <c r="E555" i="66"/>
  <c r="H553" i="66"/>
  <c r="I552" i="66"/>
  <c r="D555" i="66"/>
  <c r="P554" i="66"/>
  <c r="Y555" i="66" l="1"/>
  <c r="Z555" i="66" s="1"/>
  <c r="AB555" i="66"/>
  <c r="H554" i="66"/>
  <c r="I554" i="66" s="1"/>
  <c r="G555" i="66"/>
  <c r="F555" i="66"/>
  <c r="E556" i="66"/>
  <c r="S554" i="66"/>
  <c r="I553" i="66"/>
  <c r="D556" i="66"/>
  <c r="P555" i="66"/>
  <c r="Y556" i="66" l="1"/>
  <c r="Z556" i="66" s="1"/>
  <c r="AB556" i="66"/>
  <c r="H555" i="66"/>
  <c r="I555" i="66" s="1"/>
  <c r="F556" i="66"/>
  <c r="G556" i="66"/>
  <c r="E557" i="66"/>
  <c r="S555" i="66"/>
  <c r="D557" i="66"/>
  <c r="P556" i="66"/>
  <c r="Y557" i="66" l="1"/>
  <c r="Z557" i="66" s="1"/>
  <c r="AB557" i="66"/>
  <c r="H556" i="66"/>
  <c r="F557" i="66"/>
  <c r="G557" i="66"/>
  <c r="E558" i="66"/>
  <c r="S556" i="66"/>
  <c r="D558" i="66"/>
  <c r="P557" i="66"/>
  <c r="Y558" i="66" l="1"/>
  <c r="Z558" i="66" s="1"/>
  <c r="AB558" i="66"/>
  <c r="H557" i="66"/>
  <c r="S557" i="66"/>
  <c r="G558" i="66"/>
  <c r="F558" i="66"/>
  <c r="E559" i="66"/>
  <c r="I556" i="66"/>
  <c r="D559" i="66"/>
  <c r="P558" i="66"/>
  <c r="Y559" i="66" l="1"/>
  <c r="Z559" i="66" s="1"/>
  <c r="AB559" i="66"/>
  <c r="H558" i="66"/>
  <c r="I558" i="66" s="1"/>
  <c r="G559" i="66"/>
  <c r="F559" i="66"/>
  <c r="E560" i="66"/>
  <c r="S558" i="66"/>
  <c r="I557" i="66"/>
  <c r="D560" i="66"/>
  <c r="P559" i="66"/>
  <c r="Y560" i="66" l="1"/>
  <c r="Z560" i="66" s="1"/>
  <c r="AB560" i="66"/>
  <c r="H559" i="66"/>
  <c r="I559" i="66" s="1"/>
  <c r="S559" i="66"/>
  <c r="G560" i="66"/>
  <c r="F560" i="66"/>
  <c r="E561" i="66"/>
  <c r="D561" i="66"/>
  <c r="P560" i="66"/>
  <c r="Y561" i="66" l="1"/>
  <c r="Z561" i="66" s="1"/>
  <c r="AB561" i="66"/>
  <c r="H560" i="66"/>
  <c r="S560" i="66"/>
  <c r="F561" i="66"/>
  <c r="G561" i="66"/>
  <c r="E562" i="66"/>
  <c r="D562" i="66"/>
  <c r="P561" i="66"/>
  <c r="Y562" i="66" l="1"/>
  <c r="Z562" i="66" s="1"/>
  <c r="AB562" i="66"/>
  <c r="I560" i="66"/>
  <c r="H561" i="66"/>
  <c r="I561" i="66" s="1"/>
  <c r="F562" i="66"/>
  <c r="G562" i="66"/>
  <c r="E563" i="66"/>
  <c r="S561" i="66"/>
  <c r="D563" i="66"/>
  <c r="P562" i="66"/>
  <c r="Y563" i="66" l="1"/>
  <c r="Z563" i="66" s="1"/>
  <c r="AB563" i="66"/>
  <c r="G563" i="66"/>
  <c r="F563" i="66"/>
  <c r="E564" i="66"/>
  <c r="S562" i="66"/>
  <c r="H562" i="66"/>
  <c r="D564" i="66"/>
  <c r="P563" i="66"/>
  <c r="Y564" i="66" l="1"/>
  <c r="Z564" i="66" s="1"/>
  <c r="AB564" i="66"/>
  <c r="H563" i="66"/>
  <c r="I563" i="66" s="1"/>
  <c r="S563" i="66"/>
  <c r="F564" i="66"/>
  <c r="G564" i="66"/>
  <c r="E565" i="66"/>
  <c r="I562" i="66"/>
  <c r="D565" i="66"/>
  <c r="P564" i="66"/>
  <c r="H564" i="66" l="1"/>
  <c r="I564" i="66" s="1"/>
  <c r="Y565" i="66"/>
  <c r="Z565" i="66" s="1"/>
  <c r="AB565" i="66"/>
  <c r="F565" i="66"/>
  <c r="G565" i="66"/>
  <c r="E566" i="66"/>
  <c r="S564" i="66"/>
  <c r="D566" i="66"/>
  <c r="P565" i="66"/>
  <c r="Y566" i="66" l="1"/>
  <c r="Z566" i="66" s="1"/>
  <c r="AB566" i="66"/>
  <c r="S565" i="66"/>
  <c r="G566" i="66"/>
  <c r="F566" i="66"/>
  <c r="E567" i="66"/>
  <c r="H565" i="66"/>
  <c r="D567" i="66"/>
  <c r="P566" i="66"/>
  <c r="Y567" i="66" l="1"/>
  <c r="Z567" i="66" s="1"/>
  <c r="AB567" i="66"/>
  <c r="H566" i="66"/>
  <c r="I566" i="66" s="1"/>
  <c r="G567" i="66"/>
  <c r="F567" i="66"/>
  <c r="E568" i="66"/>
  <c r="S566" i="66"/>
  <c r="I565" i="66"/>
  <c r="D568" i="66"/>
  <c r="P567" i="66"/>
  <c r="Y568" i="66" l="1"/>
  <c r="Z568" i="66" s="1"/>
  <c r="AB568" i="66"/>
  <c r="H567" i="66"/>
  <c r="I567" i="66" s="1"/>
  <c r="G568" i="66"/>
  <c r="F568" i="66"/>
  <c r="E569" i="66"/>
  <c r="S567" i="66"/>
  <c r="D569" i="66"/>
  <c r="P568" i="66"/>
  <c r="Y569" i="66" l="1"/>
  <c r="Z569" i="66" s="1"/>
  <c r="AB569" i="66"/>
  <c r="H568" i="66"/>
  <c r="I568" i="66" s="1"/>
  <c r="S568" i="66"/>
  <c r="F569" i="66"/>
  <c r="G569" i="66"/>
  <c r="E570" i="66"/>
  <c r="D570" i="66"/>
  <c r="P569" i="66"/>
  <c r="Y570" i="66" l="1"/>
  <c r="Z570" i="66" s="1"/>
  <c r="AB570" i="66"/>
  <c r="S569" i="66"/>
  <c r="G570" i="66"/>
  <c r="F570" i="66"/>
  <c r="E571" i="66"/>
  <c r="H569" i="66"/>
  <c r="D571" i="66"/>
  <c r="P570" i="66"/>
  <c r="Y571" i="66" l="1"/>
  <c r="Z571" i="66" s="1"/>
  <c r="AB571" i="66"/>
  <c r="H570" i="66"/>
  <c r="I570" i="66" s="1"/>
  <c r="G571" i="66"/>
  <c r="F571" i="66"/>
  <c r="E572" i="66"/>
  <c r="S570" i="66"/>
  <c r="I569" i="66"/>
  <c r="D572" i="66"/>
  <c r="P571" i="66"/>
  <c r="Y572" i="66" l="1"/>
  <c r="Z572" i="66" s="1"/>
  <c r="AB572" i="66"/>
  <c r="F572" i="66"/>
  <c r="G572" i="66"/>
  <c r="E573" i="66"/>
  <c r="S571" i="66"/>
  <c r="H571" i="66"/>
  <c r="D573" i="66"/>
  <c r="P572" i="66"/>
  <c r="Y573" i="66" l="1"/>
  <c r="Z573" i="66" s="1"/>
  <c r="AB573" i="66"/>
  <c r="S572" i="66"/>
  <c r="F573" i="66"/>
  <c r="G573" i="66"/>
  <c r="E574" i="66"/>
  <c r="I571" i="66"/>
  <c r="H572" i="66"/>
  <c r="D574" i="66"/>
  <c r="P573" i="66"/>
  <c r="H573" i="66" l="1"/>
  <c r="I573" i="66" s="1"/>
  <c r="Y574" i="66"/>
  <c r="Z574" i="66" s="1"/>
  <c r="AB574" i="66"/>
  <c r="S573" i="66"/>
  <c r="I572" i="66"/>
  <c r="G574" i="66"/>
  <c r="F574" i="66"/>
  <c r="E575" i="66"/>
  <c r="D575" i="66"/>
  <c r="P574" i="66"/>
  <c r="Y575" i="66" l="1"/>
  <c r="Z575" i="66" s="1"/>
  <c r="AB575" i="66"/>
  <c r="S574" i="66"/>
  <c r="G575" i="66"/>
  <c r="F575" i="66"/>
  <c r="E576" i="66"/>
  <c r="H574" i="66"/>
  <c r="D576" i="66"/>
  <c r="P575" i="66"/>
  <c r="H575" i="66" l="1"/>
  <c r="I575" i="66" s="1"/>
  <c r="Y576" i="66"/>
  <c r="Z576" i="66" s="1"/>
  <c r="AB576" i="66"/>
  <c r="S575" i="66"/>
  <c r="I574" i="66"/>
  <c r="G576" i="66"/>
  <c r="F576" i="66"/>
  <c r="E577" i="66"/>
  <c r="D577" i="66"/>
  <c r="P576" i="66"/>
  <c r="Y577" i="66" l="1"/>
  <c r="Z577" i="66" s="1"/>
  <c r="AB577" i="66"/>
  <c r="H576" i="66"/>
  <c r="I576" i="66" s="1"/>
  <c r="F577" i="66"/>
  <c r="G577" i="66"/>
  <c r="E578" i="66"/>
  <c r="S576" i="66"/>
  <c r="D578" i="66"/>
  <c r="P577" i="66"/>
  <c r="Y578" i="66" l="1"/>
  <c r="Z578" i="66" s="1"/>
  <c r="AB578" i="66"/>
  <c r="S577" i="66"/>
  <c r="F578" i="66"/>
  <c r="G578" i="66"/>
  <c r="E579" i="66"/>
  <c r="H577" i="66"/>
  <c r="D579" i="66"/>
  <c r="P578" i="66"/>
  <c r="Y579" i="66" l="1"/>
  <c r="Z579" i="66" s="1"/>
  <c r="AB579" i="66"/>
  <c r="G579" i="66"/>
  <c r="F579" i="66"/>
  <c r="E580" i="66"/>
  <c r="S578" i="66"/>
  <c r="I577" i="66"/>
  <c r="H578" i="66"/>
  <c r="D580" i="66"/>
  <c r="P579" i="66"/>
  <c r="H579" i="66" l="1"/>
  <c r="I579" i="66" s="1"/>
  <c r="Y580" i="66"/>
  <c r="Z580" i="66" s="1"/>
  <c r="AB580" i="66"/>
  <c r="S579" i="66"/>
  <c r="I578" i="66"/>
  <c r="F580" i="66"/>
  <c r="G580" i="66"/>
  <c r="E581" i="66"/>
  <c r="D581" i="66"/>
  <c r="P580" i="66"/>
  <c r="H580" i="66" l="1"/>
  <c r="I580" i="66" s="1"/>
  <c r="Y581" i="66"/>
  <c r="Z581" i="66" s="1"/>
  <c r="AB581" i="66"/>
  <c r="S580" i="66"/>
  <c r="F581" i="66"/>
  <c r="G581" i="66"/>
  <c r="E582" i="66"/>
  <c r="D582" i="66"/>
  <c r="P581" i="66"/>
  <c r="Y582" i="66" l="1"/>
  <c r="Z582" i="66" s="1"/>
  <c r="AB582" i="66"/>
  <c r="H581" i="66"/>
  <c r="I581" i="66" s="1"/>
  <c r="G582" i="66"/>
  <c r="F582" i="66"/>
  <c r="E583" i="66"/>
  <c r="S581" i="66"/>
  <c r="D583" i="66"/>
  <c r="P582" i="66"/>
  <c r="Y583" i="66" l="1"/>
  <c r="Z583" i="66" s="1"/>
  <c r="AB583" i="66"/>
  <c r="H582" i="66"/>
  <c r="I582" i="66" s="1"/>
  <c r="G583" i="66"/>
  <c r="F583" i="66"/>
  <c r="E584" i="66"/>
  <c r="S582" i="66"/>
  <c r="D584" i="66"/>
  <c r="P583" i="66"/>
  <c r="Y584" i="66" l="1"/>
  <c r="Z584" i="66" s="1"/>
  <c r="AB584" i="66"/>
  <c r="H583" i="66"/>
  <c r="G584" i="66"/>
  <c r="F584" i="66"/>
  <c r="E585" i="66"/>
  <c r="S583" i="66"/>
  <c r="D585" i="66"/>
  <c r="P584" i="66"/>
  <c r="Y585" i="66" l="1"/>
  <c r="Z585" i="66" s="1"/>
  <c r="AB585" i="66"/>
  <c r="H584" i="66"/>
  <c r="I584" i="66" s="1"/>
  <c r="S584" i="66"/>
  <c r="F585" i="66"/>
  <c r="G585" i="66"/>
  <c r="E586" i="66"/>
  <c r="I583" i="66"/>
  <c r="D586" i="66"/>
  <c r="P585" i="66"/>
  <c r="Y586" i="66" l="1"/>
  <c r="Z586" i="66" s="1"/>
  <c r="AB586" i="66"/>
  <c r="S585" i="66"/>
  <c r="G586" i="66"/>
  <c r="F586" i="66"/>
  <c r="E587" i="66"/>
  <c r="H585" i="66"/>
  <c r="D587" i="66"/>
  <c r="P586" i="66"/>
  <c r="Y587" i="66" l="1"/>
  <c r="Z587" i="66" s="1"/>
  <c r="AB587" i="66"/>
  <c r="H586" i="66"/>
  <c r="I586" i="66" s="1"/>
  <c r="I585" i="66"/>
  <c r="G587" i="66"/>
  <c r="F587" i="66"/>
  <c r="E588" i="66"/>
  <c r="S586" i="66"/>
  <c r="D588" i="66"/>
  <c r="P587" i="66"/>
  <c r="H587" i="66" l="1"/>
  <c r="Y588" i="66"/>
  <c r="Z588" i="66" s="1"/>
  <c r="AB588" i="66"/>
  <c r="F588" i="66"/>
  <c r="G588" i="66"/>
  <c r="E589" i="66"/>
  <c r="S587" i="66"/>
  <c r="D589" i="66"/>
  <c r="P588" i="66"/>
  <c r="I587" i="66" l="1"/>
  <c r="Y589" i="66"/>
  <c r="Z589" i="66" s="1"/>
  <c r="AB589" i="66"/>
  <c r="F589" i="66"/>
  <c r="G589" i="66"/>
  <c r="E590" i="66"/>
  <c r="S588" i="66"/>
  <c r="H588" i="66"/>
  <c r="D590" i="66"/>
  <c r="P589" i="66"/>
  <c r="Y590" i="66" l="1"/>
  <c r="Z590" i="66" s="1"/>
  <c r="AB590" i="66"/>
  <c r="G590" i="66"/>
  <c r="F590" i="66"/>
  <c r="E591" i="66"/>
  <c r="H589" i="66"/>
  <c r="S589" i="66"/>
  <c r="I588" i="66"/>
  <c r="D591" i="66"/>
  <c r="P590" i="66"/>
  <c r="Y591" i="66" l="1"/>
  <c r="Z591" i="66" s="1"/>
  <c r="AB591" i="66"/>
  <c r="S590" i="66"/>
  <c r="H590" i="66"/>
  <c r="G591" i="66"/>
  <c r="F591" i="66"/>
  <c r="E592" i="66"/>
  <c r="I589" i="66"/>
  <c r="D592" i="66"/>
  <c r="P591" i="66"/>
  <c r="Y592" i="66" l="1"/>
  <c r="Z592" i="66" s="1"/>
  <c r="AB592" i="66"/>
  <c r="H591" i="66"/>
  <c r="S591" i="66"/>
  <c r="I590" i="66"/>
  <c r="G592" i="66"/>
  <c r="F592" i="66"/>
  <c r="E593" i="66"/>
  <c r="D593" i="66"/>
  <c r="P592" i="66"/>
  <c r="I591" i="66" l="1"/>
  <c r="Y593" i="66"/>
  <c r="Z593" i="66" s="1"/>
  <c r="AB593" i="66"/>
  <c r="S592" i="66"/>
  <c r="F593" i="66"/>
  <c r="G593" i="66"/>
  <c r="E594" i="66"/>
  <c r="H592" i="66"/>
  <c r="D594" i="66"/>
  <c r="P593" i="66"/>
  <c r="H593" i="66" l="1"/>
  <c r="Y594" i="66"/>
  <c r="Z594" i="66" s="1"/>
  <c r="AB594" i="66"/>
  <c r="I592" i="66"/>
  <c r="S593" i="66"/>
  <c r="G594" i="66"/>
  <c r="F594" i="66"/>
  <c r="E595" i="66"/>
  <c r="D595" i="66"/>
  <c r="P594" i="66"/>
  <c r="I593" i="66" l="1"/>
  <c r="H594" i="66"/>
  <c r="I594" i="66" s="1"/>
  <c r="Y595" i="66"/>
  <c r="Z595" i="66" s="1"/>
  <c r="AB595" i="66"/>
  <c r="S594" i="66"/>
  <c r="G595" i="66"/>
  <c r="F595" i="66"/>
  <c r="E596" i="66"/>
  <c r="D596" i="66"/>
  <c r="P595" i="66"/>
  <c r="Y596" i="66" l="1"/>
  <c r="Z596" i="66" s="1"/>
  <c r="AB596" i="66"/>
  <c r="S595" i="66"/>
  <c r="H595" i="66"/>
  <c r="F596" i="66"/>
  <c r="G596" i="66"/>
  <c r="E597" i="66"/>
  <c r="D597" i="66"/>
  <c r="P596" i="66"/>
  <c r="Y597" i="66" l="1"/>
  <c r="Z597" i="66" s="1"/>
  <c r="AB597" i="66"/>
  <c r="S596" i="66"/>
  <c r="F597" i="66"/>
  <c r="G597" i="66"/>
  <c r="E598" i="66"/>
  <c r="H596" i="66"/>
  <c r="I595" i="66"/>
  <c r="D598" i="66"/>
  <c r="P597" i="66"/>
  <c r="Y598" i="66" l="1"/>
  <c r="Z598" i="66" s="1"/>
  <c r="AB598" i="66"/>
  <c r="S597" i="66"/>
  <c r="G598" i="66"/>
  <c r="F598" i="66"/>
  <c r="E599" i="66"/>
  <c r="H597" i="66"/>
  <c r="I596" i="66"/>
  <c r="D599" i="66"/>
  <c r="P598" i="66"/>
  <c r="Y599" i="66" l="1"/>
  <c r="Z599" i="66" s="1"/>
  <c r="AB599" i="66"/>
  <c r="H598" i="66"/>
  <c r="G599" i="66"/>
  <c r="F599" i="66"/>
  <c r="E600" i="66"/>
  <c r="S598" i="66"/>
  <c r="I597" i="66"/>
  <c r="D600" i="66"/>
  <c r="P599" i="66"/>
  <c r="Y600" i="66" l="1"/>
  <c r="Z600" i="66" s="1"/>
  <c r="AB600" i="66"/>
  <c r="H599" i="66"/>
  <c r="I599" i="66" s="1"/>
  <c r="S599" i="66"/>
  <c r="G600" i="66"/>
  <c r="F600" i="66"/>
  <c r="E601" i="66"/>
  <c r="I598" i="66"/>
  <c r="D601" i="66"/>
  <c r="P600" i="66"/>
  <c r="Y601" i="66" l="1"/>
  <c r="Z601" i="66" s="1"/>
  <c r="AB601" i="66"/>
  <c r="S600" i="66"/>
  <c r="F601" i="66"/>
  <c r="G601" i="66"/>
  <c r="E602" i="66"/>
  <c r="H600" i="66"/>
  <c r="D602" i="66"/>
  <c r="P601" i="66"/>
  <c r="Y602" i="66" l="1"/>
  <c r="Z602" i="66" s="1"/>
  <c r="AB602" i="66"/>
  <c r="S601" i="66"/>
  <c r="F602" i="66"/>
  <c r="G602" i="66"/>
  <c r="E603" i="66"/>
  <c r="I600" i="66"/>
  <c r="H601" i="66"/>
  <c r="D603" i="66"/>
  <c r="P602" i="66"/>
  <c r="Y603" i="66" l="1"/>
  <c r="Z603" i="66" s="1"/>
  <c r="AB603" i="66"/>
  <c r="I601" i="66"/>
  <c r="H602" i="66"/>
  <c r="G603" i="66"/>
  <c r="F603" i="66"/>
  <c r="E604" i="66"/>
  <c r="S602" i="66"/>
  <c r="D604" i="66"/>
  <c r="P603" i="66"/>
  <c r="H603" i="66" l="1"/>
  <c r="Y604" i="66"/>
  <c r="Z604" i="66" s="1"/>
  <c r="AB604" i="66"/>
  <c r="S603" i="66"/>
  <c r="F604" i="66"/>
  <c r="G604" i="66"/>
  <c r="E605" i="66"/>
  <c r="I602" i="66"/>
  <c r="D605" i="66"/>
  <c r="P604" i="66"/>
  <c r="I603" i="66" l="1"/>
  <c r="Y605" i="66"/>
  <c r="Z605" i="66" s="1"/>
  <c r="AB605" i="66"/>
  <c r="F605" i="66"/>
  <c r="G605" i="66"/>
  <c r="E606" i="66"/>
  <c r="S604" i="66"/>
  <c r="H604" i="66"/>
  <c r="D606" i="66"/>
  <c r="P605" i="66"/>
  <c r="Y606" i="66" l="1"/>
  <c r="Z606" i="66" s="1"/>
  <c r="AB606" i="66"/>
  <c r="G606" i="66"/>
  <c r="F606" i="66"/>
  <c r="E607" i="66"/>
  <c r="S605" i="66"/>
  <c r="I604" i="66"/>
  <c r="H605" i="66"/>
  <c r="D607" i="66"/>
  <c r="P606" i="66"/>
  <c r="Y607" i="66" l="1"/>
  <c r="Z607" i="66" s="1"/>
  <c r="AB607" i="66"/>
  <c r="G607" i="66"/>
  <c r="F607" i="66"/>
  <c r="E608" i="66"/>
  <c r="H606" i="66"/>
  <c r="S606" i="66"/>
  <c r="I605" i="66"/>
  <c r="D608" i="66"/>
  <c r="P607" i="66"/>
  <c r="Y608" i="66" l="1"/>
  <c r="Z608" i="66" s="1"/>
  <c r="AB608" i="66"/>
  <c r="H607" i="66"/>
  <c r="I607" i="66" s="1"/>
  <c r="G608" i="66"/>
  <c r="F608" i="66"/>
  <c r="E609" i="66"/>
  <c r="I606" i="66"/>
  <c r="S607" i="66"/>
  <c r="D609" i="66"/>
  <c r="P608" i="66"/>
  <c r="Y609" i="66" l="1"/>
  <c r="Z609" i="66" s="1"/>
  <c r="AB609" i="66"/>
  <c r="H608" i="66"/>
  <c r="I608" i="66" s="1"/>
  <c r="F609" i="66"/>
  <c r="G609" i="66"/>
  <c r="E610" i="66"/>
  <c r="S608" i="66"/>
  <c r="D610" i="66"/>
  <c r="P609" i="66"/>
  <c r="Y610" i="66" l="1"/>
  <c r="Z610" i="66" s="1"/>
  <c r="AB610" i="66"/>
  <c r="S609" i="66"/>
  <c r="F610" i="66"/>
  <c r="G610" i="66"/>
  <c r="E611" i="66"/>
  <c r="H609" i="66"/>
  <c r="D611" i="66"/>
  <c r="P610" i="66"/>
  <c r="H610" i="66" l="1"/>
  <c r="I610" i="66" s="1"/>
  <c r="Y611" i="66"/>
  <c r="Z611" i="66" s="1"/>
  <c r="AB611" i="66"/>
  <c r="S610" i="66"/>
  <c r="I609" i="66"/>
  <c r="G611" i="66"/>
  <c r="F611" i="66"/>
  <c r="E612" i="66"/>
  <c r="D612" i="66"/>
  <c r="P611" i="66"/>
  <c r="H611" i="66" l="1"/>
  <c r="I611" i="66" s="1"/>
  <c r="Y612" i="66"/>
  <c r="Z612" i="66" s="1"/>
  <c r="AB612" i="66"/>
  <c r="S611" i="66"/>
  <c r="G612" i="66"/>
  <c r="F612" i="66"/>
  <c r="E613" i="66"/>
  <c r="D613" i="66"/>
  <c r="P612" i="66"/>
  <c r="H612" i="66" l="1"/>
  <c r="I612" i="66" s="1"/>
  <c r="Y613" i="66"/>
  <c r="Z613" i="66" s="1"/>
  <c r="AB613" i="66"/>
  <c r="S612" i="66"/>
  <c r="F613" i="66"/>
  <c r="G613" i="66"/>
  <c r="E614" i="66"/>
  <c r="D614" i="66"/>
  <c r="P613" i="66"/>
  <c r="Y614" i="66" l="1"/>
  <c r="Z614" i="66" s="1"/>
  <c r="AB614" i="66"/>
  <c r="S613" i="66"/>
  <c r="G614" i="66"/>
  <c r="F614" i="66"/>
  <c r="E615" i="66"/>
  <c r="H613" i="66"/>
  <c r="D615" i="66"/>
  <c r="P614" i="66"/>
  <c r="H614" i="66" l="1"/>
  <c r="I614" i="66" s="1"/>
  <c r="Y615" i="66"/>
  <c r="Z615" i="66" s="1"/>
  <c r="AB615" i="66"/>
  <c r="I613" i="66"/>
  <c r="G615" i="66"/>
  <c r="F615" i="66"/>
  <c r="E616" i="66"/>
  <c r="S614" i="66"/>
  <c r="D616" i="66"/>
  <c r="P615" i="66"/>
  <c r="H615" i="66" l="1"/>
  <c r="I615" i="66" s="1"/>
  <c r="Y616" i="66"/>
  <c r="Z616" i="66" s="1"/>
  <c r="AB616" i="66"/>
  <c r="G616" i="66"/>
  <c r="F616" i="66"/>
  <c r="E617" i="66"/>
  <c r="S615" i="66"/>
  <c r="D617" i="66"/>
  <c r="P616" i="66"/>
  <c r="Y617" i="66" l="1"/>
  <c r="Z617" i="66" s="1"/>
  <c r="AB617" i="66"/>
  <c r="H616" i="66"/>
  <c r="I616" i="66" s="1"/>
  <c r="F617" i="66"/>
  <c r="G617" i="66"/>
  <c r="E618" i="66"/>
  <c r="S616" i="66"/>
  <c r="D618" i="66"/>
  <c r="P617" i="66"/>
  <c r="Y618" i="66" l="1"/>
  <c r="Z618" i="66" s="1"/>
  <c r="AB618" i="66"/>
  <c r="G618" i="66"/>
  <c r="F618" i="66"/>
  <c r="E619" i="66"/>
  <c r="S617" i="66"/>
  <c r="H617" i="66"/>
  <c r="D619" i="66"/>
  <c r="P618" i="66"/>
  <c r="H618" i="66" l="1"/>
  <c r="I618" i="66" s="1"/>
  <c r="Y619" i="66"/>
  <c r="Z619" i="66" s="1"/>
  <c r="AB619" i="66"/>
  <c r="G619" i="66"/>
  <c r="F619" i="66"/>
  <c r="E620" i="66"/>
  <c r="S618" i="66"/>
  <c r="I617" i="66"/>
  <c r="D620" i="66"/>
  <c r="P619" i="66"/>
  <c r="Y620" i="66" l="1"/>
  <c r="Z620" i="66" s="1"/>
  <c r="AB620" i="66"/>
  <c r="H619" i="66"/>
  <c r="I619" i="66" s="1"/>
  <c r="G620" i="66"/>
  <c r="F620" i="66"/>
  <c r="E621" i="66"/>
  <c r="S619" i="66"/>
  <c r="D621" i="66"/>
  <c r="P620" i="66"/>
  <c r="Y621" i="66" l="1"/>
  <c r="Z621" i="66" s="1"/>
  <c r="AB621" i="66"/>
  <c r="H620" i="66"/>
  <c r="I620" i="66" s="1"/>
  <c r="F621" i="66"/>
  <c r="G621" i="66"/>
  <c r="E622" i="66"/>
  <c r="S620" i="66"/>
  <c r="D622" i="66"/>
  <c r="P621" i="66"/>
  <c r="Y622" i="66" l="1"/>
  <c r="Z622" i="66" s="1"/>
  <c r="AB622" i="66"/>
  <c r="G622" i="66"/>
  <c r="F622" i="66"/>
  <c r="E623" i="66"/>
  <c r="S621" i="66"/>
  <c r="H621" i="66"/>
  <c r="D623" i="66"/>
  <c r="P622" i="66"/>
  <c r="H622" i="66" l="1"/>
  <c r="Y623" i="66"/>
  <c r="Z623" i="66" s="1"/>
  <c r="AB623" i="66"/>
  <c r="G623" i="66"/>
  <c r="F623" i="66"/>
  <c r="E624" i="66"/>
  <c r="S622" i="66"/>
  <c r="I621" i="66"/>
  <c r="D624" i="66"/>
  <c r="P623" i="66"/>
  <c r="I622" i="66" l="1"/>
  <c r="Y624" i="66"/>
  <c r="Z624" i="66" s="1"/>
  <c r="AB624" i="66"/>
  <c r="H623" i="66"/>
  <c r="S623" i="66"/>
  <c r="G624" i="66"/>
  <c r="F624" i="66"/>
  <c r="E625" i="66"/>
  <c r="D625" i="66"/>
  <c r="P624" i="66"/>
  <c r="H624" i="66" l="1"/>
  <c r="I624" i="66" s="1"/>
  <c r="Y625" i="66"/>
  <c r="Z625" i="66" s="1"/>
  <c r="AB625" i="66"/>
  <c r="S624" i="66"/>
  <c r="F625" i="66"/>
  <c r="G625" i="66"/>
  <c r="E626" i="66"/>
  <c r="I623" i="66"/>
  <c r="D626" i="66"/>
  <c r="P625" i="66"/>
  <c r="Y626" i="66" l="1"/>
  <c r="Z626" i="66" s="1"/>
  <c r="AB626" i="66"/>
  <c r="S625" i="66"/>
  <c r="G626" i="66"/>
  <c r="F626" i="66"/>
  <c r="E627" i="66"/>
  <c r="H625" i="66"/>
  <c r="D627" i="66"/>
  <c r="P626" i="66"/>
  <c r="Y627" i="66" l="1"/>
  <c r="Z627" i="66" s="1"/>
  <c r="AB627" i="66"/>
  <c r="H626" i="66"/>
  <c r="G627" i="66"/>
  <c r="F627" i="66"/>
  <c r="E628" i="66"/>
  <c r="S626" i="66"/>
  <c r="I625" i="66"/>
  <c r="D628" i="66"/>
  <c r="P627" i="66"/>
  <c r="I626" i="66" l="1"/>
  <c r="Y628" i="66"/>
  <c r="Z628" i="66" s="1"/>
  <c r="AB628" i="66"/>
  <c r="H627" i="66"/>
  <c r="I627" i="66" s="1"/>
  <c r="G628" i="66"/>
  <c r="F628" i="66"/>
  <c r="E629" i="66"/>
  <c r="S627" i="66"/>
  <c r="D629" i="66"/>
  <c r="P628" i="66"/>
  <c r="Y629" i="66" l="1"/>
  <c r="Z629" i="66" s="1"/>
  <c r="AB629" i="66"/>
  <c r="F629" i="66"/>
  <c r="G629" i="66"/>
  <c r="E630" i="66"/>
  <c r="H628" i="66"/>
  <c r="S628" i="66"/>
  <c r="D630" i="66"/>
  <c r="P629" i="66"/>
  <c r="Y630" i="66" l="1"/>
  <c r="Z630" i="66" s="1"/>
  <c r="AB630" i="66"/>
  <c r="G630" i="66"/>
  <c r="F630" i="66"/>
  <c r="E631" i="66"/>
  <c r="S629" i="66"/>
  <c r="I628" i="66"/>
  <c r="H629" i="66"/>
  <c r="D631" i="66"/>
  <c r="P630" i="66"/>
  <c r="H630" i="66" l="1"/>
  <c r="I630" i="66" s="1"/>
  <c r="Y631" i="66"/>
  <c r="Z631" i="66" s="1"/>
  <c r="AB631" i="66"/>
  <c r="S630" i="66"/>
  <c r="G631" i="66"/>
  <c r="F631" i="66"/>
  <c r="E632" i="66"/>
  <c r="I629" i="66"/>
  <c r="D632" i="66"/>
  <c r="P631" i="66"/>
  <c r="Y632" i="66" l="1"/>
  <c r="Z632" i="66" s="1"/>
  <c r="AB632" i="66"/>
  <c r="H631" i="66"/>
  <c r="I631" i="66" s="1"/>
  <c r="G632" i="66"/>
  <c r="F632" i="66"/>
  <c r="E633" i="66"/>
  <c r="S631" i="66"/>
  <c r="D633" i="66"/>
  <c r="P632" i="66"/>
  <c r="Y633" i="66" l="1"/>
  <c r="Z633" i="66" s="1"/>
  <c r="AB633" i="66"/>
  <c r="H632" i="66"/>
  <c r="I632" i="66" s="1"/>
  <c r="F633" i="66"/>
  <c r="G633" i="66"/>
  <c r="E634" i="66"/>
  <c r="S632" i="66"/>
  <c r="D634" i="66"/>
  <c r="P633" i="66"/>
  <c r="Y634" i="66" l="1"/>
  <c r="Z634" i="66" s="1"/>
  <c r="AB634" i="66"/>
  <c r="S633" i="66"/>
  <c r="F634" i="66"/>
  <c r="G634" i="66"/>
  <c r="E635" i="66"/>
  <c r="H633" i="66"/>
  <c r="D635" i="66"/>
  <c r="P634" i="66"/>
  <c r="Y635" i="66" l="1"/>
  <c r="Z635" i="66" s="1"/>
  <c r="AB635" i="66"/>
  <c r="S634" i="66"/>
  <c r="I633" i="66"/>
  <c r="G635" i="66"/>
  <c r="F635" i="66"/>
  <c r="E636" i="66"/>
  <c r="H634" i="66"/>
  <c r="D636" i="66"/>
  <c r="P635" i="66"/>
  <c r="Y636" i="66" l="1"/>
  <c r="Z636" i="66" s="1"/>
  <c r="AB636" i="66"/>
  <c r="S635" i="66"/>
  <c r="I634" i="66"/>
  <c r="G636" i="66"/>
  <c r="F636" i="66"/>
  <c r="E637" i="66"/>
  <c r="H635" i="66"/>
  <c r="D637" i="66"/>
  <c r="P636" i="66"/>
  <c r="H636" i="66" l="1"/>
  <c r="Y637" i="66"/>
  <c r="Z637" i="66" s="1"/>
  <c r="AB637" i="66"/>
  <c r="I635" i="66"/>
  <c r="S636" i="66"/>
  <c r="F637" i="66"/>
  <c r="G637" i="66"/>
  <c r="E638" i="66"/>
  <c r="D638" i="66"/>
  <c r="P637" i="66"/>
  <c r="I636" i="66" l="1"/>
  <c r="Y638" i="66"/>
  <c r="Z638" i="66" s="1"/>
  <c r="AB638" i="66"/>
  <c r="S637" i="66"/>
  <c r="H637" i="66"/>
  <c r="G638" i="66"/>
  <c r="F638" i="66"/>
  <c r="E639" i="66"/>
  <c r="D639" i="66"/>
  <c r="P638" i="66"/>
  <c r="H638" i="66" l="1"/>
  <c r="I638" i="66" s="1"/>
  <c r="Y639" i="66"/>
  <c r="Z639" i="66" s="1"/>
  <c r="AB639" i="66"/>
  <c r="G639" i="66"/>
  <c r="F639" i="66"/>
  <c r="E640" i="66"/>
  <c r="I637" i="66"/>
  <c r="S638" i="66"/>
  <c r="D640" i="66"/>
  <c r="P639" i="66"/>
  <c r="H639" i="66" l="1"/>
  <c r="I639" i="66" s="1"/>
  <c r="Y640" i="66"/>
  <c r="Z640" i="66" s="1"/>
  <c r="AB640" i="66"/>
  <c r="G640" i="66"/>
  <c r="F640" i="66"/>
  <c r="E641" i="66"/>
  <c r="S639" i="66"/>
  <c r="D641" i="66"/>
  <c r="P640" i="66"/>
  <c r="Y641" i="66" l="1"/>
  <c r="Z641" i="66" s="1"/>
  <c r="AB641" i="66"/>
  <c r="H640" i="66"/>
  <c r="S640" i="66"/>
  <c r="F641" i="66"/>
  <c r="G641" i="66"/>
  <c r="E642" i="66"/>
  <c r="D642" i="66"/>
  <c r="P641" i="66"/>
  <c r="I640" i="66" l="1"/>
  <c r="Y642" i="66"/>
  <c r="Z642" i="66" s="1"/>
  <c r="AB642" i="66"/>
  <c r="G642" i="66"/>
  <c r="F642" i="66"/>
  <c r="E643" i="66"/>
  <c r="H641" i="66"/>
  <c r="S641" i="66"/>
  <c r="D643" i="66"/>
  <c r="P642" i="66"/>
  <c r="H642" i="66" l="1"/>
  <c r="I642" i="66" s="1"/>
  <c r="Y643" i="66"/>
  <c r="Z643" i="66" s="1"/>
  <c r="AB643" i="66"/>
  <c r="I641" i="66"/>
  <c r="G643" i="66"/>
  <c r="F643" i="66"/>
  <c r="E644" i="66"/>
  <c r="S642" i="66"/>
  <c r="D644" i="66"/>
  <c r="P643" i="66"/>
  <c r="H643" i="66" l="1"/>
  <c r="I643" i="66" s="1"/>
  <c r="Y644" i="66"/>
  <c r="Z644" i="66" s="1"/>
  <c r="AB644" i="66"/>
  <c r="S643" i="66"/>
  <c r="G644" i="66"/>
  <c r="F644" i="66"/>
  <c r="E645" i="66"/>
  <c r="D645" i="66"/>
  <c r="P644" i="66"/>
  <c r="Y645" i="66" l="1"/>
  <c r="Z645" i="66" s="1"/>
  <c r="AB645" i="66"/>
  <c r="H644" i="66"/>
  <c r="F645" i="66"/>
  <c r="G645" i="66"/>
  <c r="E646" i="66"/>
  <c r="S644" i="66"/>
  <c r="D646" i="66"/>
  <c r="P645" i="66"/>
  <c r="I644" i="66" l="1"/>
  <c r="H645" i="66"/>
  <c r="I645" i="66" s="1"/>
  <c r="Y646" i="66"/>
  <c r="Z646" i="66" s="1"/>
  <c r="AB646" i="66"/>
  <c r="S645" i="66"/>
  <c r="G646" i="66"/>
  <c r="F646" i="66"/>
  <c r="E647" i="66"/>
  <c r="D647" i="66"/>
  <c r="P646" i="66"/>
  <c r="Y647" i="66" l="1"/>
  <c r="Z647" i="66" s="1"/>
  <c r="AB647" i="66"/>
  <c r="H646" i="66"/>
  <c r="I646" i="66" s="1"/>
  <c r="G647" i="66"/>
  <c r="F647" i="66"/>
  <c r="E648" i="66"/>
  <c r="S646" i="66"/>
  <c r="D648" i="66"/>
  <c r="P647" i="66"/>
  <c r="Y648" i="66" l="1"/>
  <c r="Z648" i="66" s="1"/>
  <c r="AB648" i="66"/>
  <c r="H647" i="66"/>
  <c r="I647" i="66" s="1"/>
  <c r="S647" i="66"/>
  <c r="G648" i="66"/>
  <c r="F648" i="66"/>
  <c r="E649" i="66"/>
  <c r="D649" i="66"/>
  <c r="P648" i="66"/>
  <c r="Y649" i="66" l="1"/>
  <c r="Z649" i="66" s="1"/>
  <c r="AB649" i="66"/>
  <c r="H648" i="66"/>
  <c r="I648" i="66" s="1"/>
  <c r="S648" i="66"/>
  <c r="F649" i="66"/>
  <c r="G649" i="66"/>
  <c r="E650" i="66"/>
  <c r="D650" i="66"/>
  <c r="P649" i="66"/>
  <c r="Y650" i="66" l="1"/>
  <c r="Z650" i="66" s="1"/>
  <c r="AB650" i="66"/>
  <c r="G650" i="66"/>
  <c r="F650" i="66"/>
  <c r="E651" i="66"/>
  <c r="S649" i="66"/>
  <c r="H649" i="66"/>
  <c r="D651" i="66"/>
  <c r="P650" i="66"/>
  <c r="H650" i="66" l="1"/>
  <c r="I650" i="66" s="1"/>
  <c r="Y651" i="66"/>
  <c r="Z651" i="66" s="1"/>
  <c r="AB651" i="66"/>
  <c r="G651" i="66"/>
  <c r="F651" i="66"/>
  <c r="E652" i="66"/>
  <c r="S650" i="66"/>
  <c r="I649" i="66"/>
  <c r="D652" i="66"/>
  <c r="P651" i="66"/>
  <c r="H651" i="66" l="1"/>
  <c r="I651" i="66" s="1"/>
  <c r="Y652" i="66"/>
  <c r="Z652" i="66" s="1"/>
  <c r="AB652" i="66"/>
  <c r="S651" i="66"/>
  <c r="G652" i="66"/>
  <c r="F652" i="66"/>
  <c r="E653" i="66"/>
  <c r="D653" i="66"/>
  <c r="P652" i="66"/>
  <c r="Y653" i="66" l="1"/>
  <c r="Z653" i="66" s="1"/>
  <c r="AB653" i="66"/>
  <c r="H652" i="66"/>
  <c r="S652" i="66"/>
  <c r="F653" i="66"/>
  <c r="G653" i="66"/>
  <c r="E654" i="66"/>
  <c r="E655" i="66" s="1"/>
  <c r="D654" i="66"/>
  <c r="P653" i="66"/>
  <c r="Y654" i="66" l="1"/>
  <c r="Z654" i="66" s="1"/>
  <c r="AB654" i="66"/>
  <c r="H653" i="66"/>
  <c r="G655" i="66"/>
  <c r="F655" i="66"/>
  <c r="E656" i="66"/>
  <c r="I652" i="66"/>
  <c r="S653" i="66"/>
  <c r="G654" i="66"/>
  <c r="F654" i="66"/>
  <c r="D655" i="66"/>
  <c r="P654" i="66"/>
  <c r="H654" i="66" l="1"/>
  <c r="I654" i="66" s="1"/>
  <c r="Y655" i="66"/>
  <c r="Z655" i="66" s="1"/>
  <c r="AB655" i="66"/>
  <c r="E657" i="66"/>
  <c r="G656" i="66"/>
  <c r="F656" i="66"/>
  <c r="H655" i="66"/>
  <c r="I653" i="66"/>
  <c r="S654" i="66"/>
  <c r="D656" i="66"/>
  <c r="P655" i="66"/>
  <c r="Y656" i="66" l="1"/>
  <c r="Z656" i="66" s="1"/>
  <c r="AB656" i="66"/>
  <c r="I655" i="66"/>
  <c r="H656" i="66"/>
  <c r="E658" i="66"/>
  <c r="F657" i="66"/>
  <c r="G657" i="66"/>
  <c r="S655" i="66"/>
  <c r="D657" i="66"/>
  <c r="P656" i="66"/>
  <c r="Y657" i="66" l="1"/>
  <c r="Z657" i="66" s="1"/>
  <c r="AB657" i="66"/>
  <c r="H657" i="66"/>
  <c r="I657" i="66" s="1"/>
  <c r="E659" i="66"/>
  <c r="G658" i="66"/>
  <c r="F658" i="66"/>
  <c r="I656" i="66"/>
  <c r="S656" i="66"/>
  <c r="D658" i="66"/>
  <c r="P657" i="66"/>
  <c r="Y658" i="66" l="1"/>
  <c r="Z658" i="66" s="1"/>
  <c r="AB658" i="66"/>
  <c r="H658" i="66"/>
  <c r="I658" i="66" s="1"/>
  <c r="G659" i="66"/>
  <c r="F659" i="66"/>
  <c r="E660" i="66"/>
  <c r="S657" i="66"/>
  <c r="D659" i="66"/>
  <c r="P658" i="66"/>
  <c r="Y659" i="66" l="1"/>
  <c r="Z659" i="66" s="1"/>
  <c r="AB659" i="66"/>
  <c r="H659" i="66"/>
  <c r="I659" i="66" s="1"/>
  <c r="G660" i="66"/>
  <c r="F660" i="66"/>
  <c r="E661" i="66"/>
  <c r="S658" i="66"/>
  <c r="D660" i="66"/>
  <c r="P659" i="66"/>
  <c r="Y660" i="66" l="1"/>
  <c r="Z660" i="66" s="1"/>
  <c r="AB660" i="66"/>
  <c r="G661" i="66"/>
  <c r="E662" i="66"/>
  <c r="F661" i="66"/>
  <c r="H660" i="66"/>
  <c r="S659" i="66"/>
  <c r="D661" i="66"/>
  <c r="P660" i="66"/>
  <c r="H661" i="66" l="1"/>
  <c r="I661" i="66" s="1"/>
  <c r="Y661" i="66"/>
  <c r="Z661" i="66" s="1"/>
  <c r="AB661" i="66"/>
  <c r="G662" i="66"/>
  <c r="E663" i="66"/>
  <c r="F662" i="66"/>
  <c r="I660" i="66"/>
  <c r="S660" i="66"/>
  <c r="D662" i="66"/>
  <c r="P661" i="66"/>
  <c r="Y662" i="66" l="1"/>
  <c r="Z662" i="66" s="1"/>
  <c r="AB662" i="66"/>
  <c r="G663" i="66"/>
  <c r="F663" i="66"/>
  <c r="E664" i="66"/>
  <c r="H662" i="66"/>
  <c r="S661" i="66"/>
  <c r="D663" i="66"/>
  <c r="P662" i="66"/>
  <c r="Y663" i="66" l="1"/>
  <c r="Z663" i="66" s="1"/>
  <c r="AB663" i="66"/>
  <c r="H663" i="66"/>
  <c r="I662" i="66"/>
  <c r="G664" i="66"/>
  <c r="F664" i="66"/>
  <c r="E665" i="66"/>
  <c r="S662" i="66"/>
  <c r="D664" i="66"/>
  <c r="P663" i="66"/>
  <c r="Y664" i="66" l="1"/>
  <c r="Z664" i="66" s="1"/>
  <c r="AB664" i="66"/>
  <c r="I663" i="66"/>
  <c r="F665" i="66"/>
  <c r="G665" i="66"/>
  <c r="E666" i="66"/>
  <c r="H664" i="66"/>
  <c r="S663" i="66"/>
  <c r="D665" i="66"/>
  <c r="P664" i="66"/>
  <c r="Y665" i="66" l="1"/>
  <c r="Z665" i="66" s="1"/>
  <c r="AB665" i="66"/>
  <c r="H665" i="66"/>
  <c r="E10" i="66"/>
  <c r="I664" i="66"/>
  <c r="E667" i="66"/>
  <c r="G666" i="66"/>
  <c r="F666" i="66"/>
  <c r="S664" i="66"/>
  <c r="D666" i="66"/>
  <c r="P665" i="66"/>
  <c r="H666" i="66" l="1"/>
  <c r="Y666" i="66"/>
  <c r="Z666" i="66" s="1"/>
  <c r="AB666" i="66"/>
  <c r="I665" i="66"/>
  <c r="F667" i="66"/>
  <c r="E668" i="66"/>
  <c r="G667" i="66"/>
  <c r="S665" i="66"/>
  <c r="D667" i="66"/>
  <c r="P666" i="66"/>
  <c r="H667" i="66" l="1"/>
  <c r="I667" i="66" s="1"/>
  <c r="I666" i="66"/>
  <c r="Y667" i="66"/>
  <c r="Z667" i="66" s="1"/>
  <c r="AB667" i="66"/>
  <c r="F668" i="66"/>
  <c r="E669" i="66"/>
  <c r="G668" i="66"/>
  <c r="S666" i="66"/>
  <c r="D668" i="66"/>
  <c r="P667" i="66"/>
  <c r="H668" i="66" l="1"/>
  <c r="I668" i="66" s="1"/>
  <c r="Y668" i="66"/>
  <c r="Z668" i="66" s="1"/>
  <c r="AB668" i="66"/>
  <c r="F669" i="66"/>
  <c r="G669" i="66"/>
  <c r="E670" i="66"/>
  <c r="S667" i="66"/>
  <c r="D669" i="66"/>
  <c r="P668" i="66"/>
  <c r="H669" i="66" l="1"/>
  <c r="I669" i="66" s="1"/>
  <c r="Y669" i="66"/>
  <c r="Z669" i="66" s="1"/>
  <c r="AB669" i="66"/>
  <c r="G670" i="66"/>
  <c r="F670" i="66"/>
  <c r="E671" i="66"/>
  <c r="S668" i="66"/>
  <c r="D670" i="66"/>
  <c r="P669" i="66"/>
  <c r="H670" i="66" l="1"/>
  <c r="I670" i="66" s="1"/>
  <c r="Y670" i="66"/>
  <c r="Z670" i="66" s="1"/>
  <c r="AB670" i="66"/>
  <c r="G671" i="66"/>
  <c r="F671" i="66"/>
  <c r="E672" i="66"/>
  <c r="S669" i="66"/>
  <c r="D671" i="66"/>
  <c r="P670" i="66"/>
  <c r="H671" i="66" l="1"/>
  <c r="I671" i="66" s="1"/>
  <c r="Y671" i="66"/>
  <c r="Z671" i="66" s="1"/>
  <c r="AB671" i="66"/>
  <c r="F672" i="66"/>
  <c r="G672" i="66"/>
  <c r="E673" i="66"/>
  <c r="S670" i="66"/>
  <c r="D672" i="66"/>
  <c r="P671" i="66"/>
  <c r="Y672" i="66" l="1"/>
  <c r="Z672" i="66" s="1"/>
  <c r="AB672" i="66"/>
  <c r="F673" i="66"/>
  <c r="E674" i="66"/>
  <c r="G673" i="66"/>
  <c r="H672" i="66"/>
  <c r="I672" i="66" s="1"/>
  <c r="S671" i="66"/>
  <c r="D673" i="66"/>
  <c r="P672" i="66"/>
  <c r="Y673" i="66" l="1"/>
  <c r="Z673" i="66" s="1"/>
  <c r="AB673" i="66"/>
  <c r="F674" i="66"/>
  <c r="E675" i="66"/>
  <c r="G674" i="66"/>
  <c r="H673" i="66"/>
  <c r="I673" i="66" s="1"/>
  <c r="S672" i="66"/>
  <c r="D674" i="66"/>
  <c r="P673" i="66"/>
  <c r="H674" i="66" l="1"/>
  <c r="I674" i="66" s="1"/>
  <c r="Y674" i="66"/>
  <c r="Z674" i="66" s="1"/>
  <c r="AB674" i="66"/>
  <c r="F675" i="66"/>
  <c r="E676" i="66"/>
  <c r="G675" i="66"/>
  <c r="S673" i="66"/>
  <c r="D675" i="66"/>
  <c r="P674" i="66"/>
  <c r="Y675" i="66" l="1"/>
  <c r="Z675" i="66" s="1"/>
  <c r="AB675" i="66"/>
  <c r="F676" i="66"/>
  <c r="E677" i="66"/>
  <c r="G676" i="66"/>
  <c r="H675" i="66"/>
  <c r="S674" i="66"/>
  <c r="D676" i="66"/>
  <c r="P675" i="66"/>
  <c r="H676" i="66" l="1"/>
  <c r="Y676" i="66"/>
  <c r="Z676" i="66" s="1"/>
  <c r="AB676" i="66"/>
  <c r="I675" i="66"/>
  <c r="F677" i="66"/>
  <c r="E678" i="66"/>
  <c r="G677" i="66"/>
  <c r="S675" i="66"/>
  <c r="D677" i="66"/>
  <c r="P676" i="66"/>
  <c r="I676" i="66" l="1"/>
  <c r="Y677" i="66"/>
  <c r="Z677" i="66" s="1"/>
  <c r="AB677" i="66"/>
  <c r="G678" i="66"/>
  <c r="F678" i="66"/>
  <c r="E679" i="66"/>
  <c r="H677" i="66"/>
  <c r="S676" i="66"/>
  <c r="D678" i="66"/>
  <c r="P677" i="66"/>
  <c r="H678" i="66" l="1"/>
  <c r="I678" i="66" s="1"/>
  <c r="Y678" i="66"/>
  <c r="Z678" i="66" s="1"/>
  <c r="AB678" i="66"/>
  <c r="I677" i="66"/>
  <c r="G679" i="66"/>
  <c r="F679" i="66"/>
  <c r="E680" i="66"/>
  <c r="S677" i="66"/>
  <c r="D679" i="66"/>
  <c r="P678" i="66"/>
  <c r="H679" i="66" l="1"/>
  <c r="I679" i="66" s="1"/>
  <c r="Y679" i="66"/>
  <c r="Z679" i="66" s="1"/>
  <c r="AB679" i="66"/>
  <c r="G680" i="66"/>
  <c r="E681" i="66"/>
  <c r="F680" i="66"/>
  <c r="S678" i="66"/>
  <c r="D680" i="66"/>
  <c r="P679" i="66"/>
  <c r="Y680" i="66" l="1"/>
  <c r="Z680" i="66" s="1"/>
  <c r="AB680" i="66"/>
  <c r="H680" i="66"/>
  <c r="I680" i="66" s="1"/>
  <c r="F681" i="66"/>
  <c r="G681" i="66"/>
  <c r="E682" i="66"/>
  <c r="S679" i="66"/>
  <c r="D681" i="66"/>
  <c r="P680" i="66"/>
  <c r="Y681" i="66" l="1"/>
  <c r="Z681" i="66" s="1"/>
  <c r="AB681" i="66"/>
  <c r="E683" i="66"/>
  <c r="G682" i="66"/>
  <c r="F682" i="66"/>
  <c r="H681" i="66"/>
  <c r="S680" i="66"/>
  <c r="D682" i="66"/>
  <c r="P681" i="66"/>
  <c r="Y682" i="66" l="1"/>
  <c r="Z682" i="66" s="1"/>
  <c r="AB682" i="66"/>
  <c r="H682" i="66"/>
  <c r="G683" i="66"/>
  <c r="E684" i="66"/>
  <c r="F683" i="66"/>
  <c r="I681" i="66"/>
  <c r="S681" i="66"/>
  <c r="D683" i="66"/>
  <c r="P682" i="66"/>
  <c r="I682" i="66" l="1"/>
  <c r="Y683" i="66"/>
  <c r="Z683" i="66" s="1"/>
  <c r="AB683" i="66"/>
  <c r="H683" i="66"/>
  <c r="I683" i="66" s="1"/>
  <c r="F684" i="66"/>
  <c r="E685" i="66"/>
  <c r="G684" i="66"/>
  <c r="S682" i="66"/>
  <c r="D684" i="66"/>
  <c r="P683" i="66"/>
  <c r="Y684" i="66" l="1"/>
  <c r="Z684" i="66" s="1"/>
  <c r="AB684" i="66"/>
  <c r="G685" i="66"/>
  <c r="F685" i="66"/>
  <c r="E686" i="66"/>
  <c r="H684" i="66"/>
  <c r="S683" i="66"/>
  <c r="D685" i="66"/>
  <c r="P684" i="66"/>
  <c r="Y685" i="66" l="1"/>
  <c r="Z685" i="66" s="1"/>
  <c r="AB685" i="66"/>
  <c r="H685" i="66"/>
  <c r="G686" i="66"/>
  <c r="F686" i="66"/>
  <c r="E687" i="66"/>
  <c r="I684" i="66"/>
  <c r="S684" i="66"/>
  <c r="D686" i="66"/>
  <c r="P685" i="66"/>
  <c r="Y686" i="66" l="1"/>
  <c r="Z686" i="66" s="1"/>
  <c r="AB686" i="66"/>
  <c r="G687" i="66"/>
  <c r="F687" i="66"/>
  <c r="E688" i="66"/>
  <c r="H686" i="66"/>
  <c r="I686" i="66" s="1"/>
  <c r="I685" i="66"/>
  <c r="S685" i="66"/>
  <c r="D687" i="66"/>
  <c r="P686" i="66"/>
  <c r="H687" i="66" l="1"/>
  <c r="Y687" i="66"/>
  <c r="Z687" i="66" s="1"/>
  <c r="AB687" i="66"/>
  <c r="F688" i="66"/>
  <c r="E689" i="66"/>
  <c r="G688" i="66"/>
  <c r="S686" i="66"/>
  <c r="D688" i="66"/>
  <c r="P687" i="66"/>
  <c r="I687" i="66" l="1"/>
  <c r="Y688" i="66"/>
  <c r="Z688" i="66" s="1"/>
  <c r="AB688" i="66"/>
  <c r="E690" i="66"/>
  <c r="F689" i="66"/>
  <c r="G689" i="66"/>
  <c r="H688" i="66"/>
  <c r="I688" i="66" s="1"/>
  <c r="S687" i="66"/>
  <c r="D689" i="66"/>
  <c r="P688" i="66"/>
  <c r="H689" i="66" l="1"/>
  <c r="I689" i="66" s="1"/>
  <c r="Y689" i="66"/>
  <c r="Z689" i="66" s="1"/>
  <c r="AB689" i="66"/>
  <c r="G690" i="66"/>
  <c r="E691" i="66"/>
  <c r="F690" i="66"/>
  <c r="S688" i="66"/>
  <c r="D690" i="66"/>
  <c r="P689" i="66"/>
  <c r="Y690" i="66" l="1"/>
  <c r="Z690" i="66" s="1"/>
  <c r="AB690" i="66"/>
  <c r="G691" i="66"/>
  <c r="E692" i="66"/>
  <c r="F691" i="66"/>
  <c r="H690" i="66"/>
  <c r="S689" i="66"/>
  <c r="D691" i="66"/>
  <c r="P690" i="66"/>
  <c r="H691" i="66" l="1"/>
  <c r="I691" i="66" s="1"/>
  <c r="Y691" i="66"/>
  <c r="Z691" i="66" s="1"/>
  <c r="AB691" i="66"/>
  <c r="G692" i="66"/>
  <c r="E693" i="66"/>
  <c r="F692" i="66"/>
  <c r="I690" i="66"/>
  <c r="S690" i="66"/>
  <c r="D692" i="66"/>
  <c r="P691" i="66"/>
  <c r="H692" i="66" l="1"/>
  <c r="I692" i="66" s="1"/>
  <c r="Y692" i="66"/>
  <c r="Z692" i="66" s="1"/>
  <c r="AB692" i="66"/>
  <c r="E694" i="66"/>
  <c r="F693" i="66"/>
  <c r="G693" i="66"/>
  <c r="S691" i="66"/>
  <c r="D693" i="66"/>
  <c r="P692" i="66"/>
  <c r="Y693" i="66" l="1"/>
  <c r="Z693" i="66" s="1"/>
  <c r="AB693" i="66"/>
  <c r="H693" i="66"/>
  <c r="I693" i="66" s="1"/>
  <c r="F694" i="66"/>
  <c r="G694" i="66"/>
  <c r="E695" i="66"/>
  <c r="S692" i="66"/>
  <c r="D694" i="66"/>
  <c r="P693" i="66"/>
  <c r="H694" i="66" l="1"/>
  <c r="I694" i="66" s="1"/>
  <c r="Y694" i="66"/>
  <c r="Z694" i="66" s="1"/>
  <c r="AB694" i="66"/>
  <c r="G695" i="66"/>
  <c r="F695" i="66"/>
  <c r="E696" i="66"/>
  <c r="S693" i="66"/>
  <c r="D695" i="66"/>
  <c r="P694" i="66"/>
  <c r="Y695" i="66" l="1"/>
  <c r="Z695" i="66" s="1"/>
  <c r="AB695" i="66"/>
  <c r="F696" i="66"/>
  <c r="G696" i="66"/>
  <c r="E697" i="66"/>
  <c r="H695" i="66"/>
  <c r="S694" i="66"/>
  <c r="D696" i="66"/>
  <c r="P695" i="66"/>
  <c r="Y696" i="66" l="1"/>
  <c r="Z696" i="66" s="1"/>
  <c r="AB696" i="66"/>
  <c r="I695" i="66"/>
  <c r="G697" i="66"/>
  <c r="E698" i="66"/>
  <c r="F697" i="66"/>
  <c r="H696" i="66"/>
  <c r="S695" i="66"/>
  <c r="D697" i="66"/>
  <c r="P696" i="66"/>
  <c r="H697" i="66" l="1"/>
  <c r="I697" i="66" s="1"/>
  <c r="Y697" i="66"/>
  <c r="Z697" i="66" s="1"/>
  <c r="AB697" i="66"/>
  <c r="G698" i="66"/>
  <c r="F698" i="66"/>
  <c r="E699" i="66"/>
  <c r="I696" i="66"/>
  <c r="S696" i="66"/>
  <c r="D698" i="66"/>
  <c r="P697" i="66"/>
  <c r="H698" i="66" l="1"/>
  <c r="I698" i="66" s="1"/>
  <c r="Y698" i="66"/>
  <c r="Z698" i="66" s="1"/>
  <c r="AB698" i="66"/>
  <c r="G699" i="66"/>
  <c r="F699" i="66"/>
  <c r="E700" i="66"/>
  <c r="S697" i="66"/>
  <c r="D699" i="66"/>
  <c r="P698" i="66"/>
  <c r="Y699" i="66" l="1"/>
  <c r="Z699" i="66" s="1"/>
  <c r="AB699" i="66"/>
  <c r="F700" i="66"/>
  <c r="E701" i="66"/>
  <c r="G700" i="66"/>
  <c r="H699" i="66"/>
  <c r="I699" i="66" s="1"/>
  <c r="S698" i="66"/>
  <c r="D700" i="66"/>
  <c r="P699" i="66"/>
  <c r="H700" i="66" l="1"/>
  <c r="I700" i="66" s="1"/>
  <c r="Y700" i="66"/>
  <c r="Z700" i="66" s="1"/>
  <c r="AB700" i="66"/>
  <c r="G701" i="66"/>
  <c r="E702" i="66"/>
  <c r="F701" i="66"/>
  <c r="S699" i="66"/>
  <c r="D701" i="66"/>
  <c r="P700" i="66"/>
  <c r="H701" i="66" l="1"/>
  <c r="I701" i="66" s="1"/>
  <c r="Y701" i="66"/>
  <c r="Z701" i="66" s="1"/>
  <c r="AB701" i="66"/>
  <c r="G702" i="66"/>
  <c r="F702" i="66"/>
  <c r="E703" i="66"/>
  <c r="S700" i="66"/>
  <c r="D702" i="66"/>
  <c r="P701" i="66"/>
  <c r="Y702" i="66" l="1"/>
  <c r="Z702" i="66" s="1"/>
  <c r="AB702" i="66"/>
  <c r="H702" i="66"/>
  <c r="G703" i="66"/>
  <c r="E704" i="66"/>
  <c r="F703" i="66"/>
  <c r="S701" i="66"/>
  <c r="D703" i="66"/>
  <c r="P702" i="66"/>
  <c r="H703" i="66" l="1"/>
  <c r="I703" i="66" s="1"/>
  <c r="Y703" i="66"/>
  <c r="Z703" i="66" s="1"/>
  <c r="AB703" i="66"/>
  <c r="I702" i="66"/>
  <c r="F704" i="66"/>
  <c r="G704" i="66"/>
  <c r="E705" i="66"/>
  <c r="S702" i="66"/>
  <c r="D704" i="66"/>
  <c r="P703" i="66"/>
  <c r="Y704" i="66" l="1"/>
  <c r="Z704" i="66" s="1"/>
  <c r="AB704" i="66"/>
  <c r="H704" i="66"/>
  <c r="G705" i="66"/>
  <c r="E706" i="66"/>
  <c r="F705" i="66"/>
  <c r="S703" i="66"/>
  <c r="D705" i="66"/>
  <c r="P704" i="66"/>
  <c r="Y705" i="66" l="1"/>
  <c r="Z705" i="66" s="1"/>
  <c r="AB705" i="66"/>
  <c r="G706" i="66"/>
  <c r="F706" i="66"/>
  <c r="E707" i="66"/>
  <c r="H705" i="66"/>
  <c r="I704" i="66"/>
  <c r="S704" i="66"/>
  <c r="D706" i="66"/>
  <c r="P705" i="66"/>
  <c r="H706" i="66" l="1"/>
  <c r="I706" i="66" s="1"/>
  <c r="Y706" i="66"/>
  <c r="Z706" i="66" s="1"/>
  <c r="AB706" i="66"/>
  <c r="I705" i="66"/>
  <c r="F707" i="66"/>
  <c r="G707" i="66"/>
  <c r="E708" i="66"/>
  <c r="S705" i="66"/>
  <c r="D707" i="66"/>
  <c r="P706" i="66"/>
  <c r="Y707" i="66" l="1"/>
  <c r="Z707" i="66" s="1"/>
  <c r="AB707" i="66"/>
  <c r="H707" i="66"/>
  <c r="G708" i="66"/>
  <c r="E709" i="66"/>
  <c r="F708" i="66"/>
  <c r="S706" i="66"/>
  <c r="D708" i="66"/>
  <c r="P707" i="66"/>
  <c r="Y708" i="66" l="1"/>
  <c r="Z708" i="66" s="1"/>
  <c r="AB708" i="66"/>
  <c r="I707" i="66"/>
  <c r="H708" i="66"/>
  <c r="F709" i="66"/>
  <c r="G709" i="66"/>
  <c r="E710" i="66"/>
  <c r="S707" i="66"/>
  <c r="D709" i="66"/>
  <c r="P708" i="66"/>
  <c r="Y709" i="66" l="1"/>
  <c r="Z709" i="66" s="1"/>
  <c r="AB709" i="66"/>
  <c r="F710" i="66"/>
  <c r="E711" i="66"/>
  <c r="G710" i="66"/>
  <c r="H709" i="66"/>
  <c r="I708" i="66"/>
  <c r="S708" i="66"/>
  <c r="D710" i="66"/>
  <c r="P709" i="66"/>
  <c r="Y710" i="66" l="1"/>
  <c r="Z710" i="66" s="1"/>
  <c r="AB710" i="66"/>
  <c r="I709" i="66"/>
  <c r="G711" i="66"/>
  <c r="F711" i="66"/>
  <c r="E712" i="66"/>
  <c r="H710" i="66"/>
  <c r="S709" i="66"/>
  <c r="D711" i="66"/>
  <c r="P710" i="66"/>
  <c r="Y711" i="66" l="1"/>
  <c r="Z711" i="66" s="1"/>
  <c r="AB711" i="66"/>
  <c r="E713" i="66"/>
  <c r="F712" i="66"/>
  <c r="G712" i="66"/>
  <c r="H711" i="66"/>
  <c r="I710" i="66"/>
  <c r="S710" i="66"/>
  <c r="D712" i="66"/>
  <c r="P711" i="66"/>
  <c r="Y712" i="66" l="1"/>
  <c r="Z712" i="66" s="1"/>
  <c r="AB712" i="66"/>
  <c r="I711" i="66"/>
  <c r="H712" i="66"/>
  <c r="G713" i="66"/>
  <c r="E714" i="66"/>
  <c r="F713" i="66"/>
  <c r="S711" i="66"/>
  <c r="D713" i="66"/>
  <c r="P712" i="66"/>
  <c r="Y713" i="66" l="1"/>
  <c r="Z713" i="66" s="1"/>
  <c r="AB713" i="66"/>
  <c r="I712" i="66"/>
  <c r="H713" i="66"/>
  <c r="I713" i="66" s="1"/>
  <c r="G714" i="66"/>
  <c r="E715" i="66"/>
  <c r="F714" i="66"/>
  <c r="S712" i="66"/>
  <c r="D714" i="66"/>
  <c r="P713" i="66"/>
  <c r="Y714" i="66" l="1"/>
  <c r="Z714" i="66" s="1"/>
  <c r="AB714" i="66"/>
  <c r="H714" i="66"/>
  <c r="F715" i="66"/>
  <c r="E716" i="66"/>
  <c r="G715" i="66"/>
  <c r="S713" i="66"/>
  <c r="D715" i="66"/>
  <c r="P714" i="66"/>
  <c r="Y715" i="66" l="1"/>
  <c r="Z715" i="66" s="1"/>
  <c r="AB715" i="66"/>
  <c r="H715" i="66"/>
  <c r="I714" i="66"/>
  <c r="G716" i="66"/>
  <c r="F716" i="66"/>
  <c r="E717" i="66"/>
  <c r="S714" i="66"/>
  <c r="D716" i="66"/>
  <c r="P715" i="66"/>
  <c r="H716" i="66" l="1"/>
  <c r="Y716" i="66"/>
  <c r="Z716" i="66" s="1"/>
  <c r="AB716" i="66"/>
  <c r="I715" i="66"/>
  <c r="G717" i="66"/>
  <c r="F717" i="66"/>
  <c r="E718" i="66"/>
  <c r="S715" i="66"/>
  <c r="D717" i="66"/>
  <c r="P716" i="66"/>
  <c r="I716" i="66" l="1"/>
  <c r="Y717" i="66"/>
  <c r="Z717" i="66" s="1"/>
  <c r="AB717" i="66"/>
  <c r="F718" i="66"/>
  <c r="E719" i="66"/>
  <c r="G718" i="66"/>
  <c r="H717" i="66"/>
  <c r="S716" i="66"/>
  <c r="D718" i="66"/>
  <c r="P717" i="66"/>
  <c r="Y718" i="66" l="1"/>
  <c r="Z718" i="66" s="1"/>
  <c r="AB718" i="66"/>
  <c r="I717" i="66"/>
  <c r="F719" i="66"/>
  <c r="E720" i="66"/>
  <c r="G719" i="66"/>
  <c r="H718" i="66"/>
  <c r="S717" i="66"/>
  <c r="D719" i="66"/>
  <c r="P718" i="66"/>
  <c r="Y719" i="66" l="1"/>
  <c r="Z719" i="66" s="1"/>
  <c r="AB719" i="66"/>
  <c r="H719" i="66"/>
  <c r="I719" i="66" s="1"/>
  <c r="I718" i="66"/>
  <c r="F720" i="66"/>
  <c r="E721" i="66"/>
  <c r="G720" i="66"/>
  <c r="S718" i="66"/>
  <c r="D720" i="66"/>
  <c r="P719" i="66"/>
  <c r="Y720" i="66" l="1"/>
  <c r="Z720" i="66" s="1"/>
  <c r="AB720" i="66"/>
  <c r="G721" i="66"/>
  <c r="F721" i="66"/>
  <c r="E722" i="66"/>
  <c r="H720" i="66"/>
  <c r="S719" i="66"/>
  <c r="D721" i="66"/>
  <c r="P720" i="66"/>
  <c r="H721" i="66" l="1"/>
  <c r="I721" i="66" s="1"/>
  <c r="Y721" i="66"/>
  <c r="Z721" i="66" s="1"/>
  <c r="AB721" i="66"/>
  <c r="G722" i="66"/>
  <c r="F722" i="66"/>
  <c r="E723" i="66"/>
  <c r="I720" i="66"/>
  <c r="S720" i="66"/>
  <c r="D722" i="66"/>
  <c r="P721" i="66"/>
  <c r="Y722" i="66" l="1"/>
  <c r="Z722" i="66" s="1"/>
  <c r="AB722" i="66"/>
  <c r="H722" i="66"/>
  <c r="E724" i="66"/>
  <c r="G723" i="66"/>
  <c r="F723" i="66"/>
  <c r="S721" i="66"/>
  <c r="D723" i="66"/>
  <c r="P722" i="66"/>
  <c r="Y723" i="66" l="1"/>
  <c r="Z723" i="66" s="1"/>
  <c r="AB723" i="66"/>
  <c r="G724" i="66"/>
  <c r="F724" i="66"/>
  <c r="E725" i="66"/>
  <c r="I722" i="66"/>
  <c r="H723" i="66"/>
  <c r="S722" i="66"/>
  <c r="D724" i="66"/>
  <c r="P723" i="66"/>
  <c r="Y724" i="66" l="1"/>
  <c r="Z724" i="66" s="1"/>
  <c r="AB724" i="66"/>
  <c r="G725" i="66"/>
  <c r="E726" i="66"/>
  <c r="F725" i="66"/>
  <c r="H724" i="66"/>
  <c r="I723" i="66"/>
  <c r="S723" i="66"/>
  <c r="D725" i="66"/>
  <c r="P724" i="66"/>
  <c r="H725" i="66" l="1"/>
  <c r="I725" i="66" s="1"/>
  <c r="Y725" i="66"/>
  <c r="Z725" i="66" s="1"/>
  <c r="AB725" i="66"/>
  <c r="G726" i="66"/>
  <c r="F726" i="66"/>
  <c r="E727" i="66"/>
  <c r="I724" i="66"/>
  <c r="S724" i="66"/>
  <c r="D726" i="66"/>
  <c r="P725" i="66"/>
  <c r="H726" i="66" l="1"/>
  <c r="I726" i="66" s="1"/>
  <c r="Y726" i="66"/>
  <c r="Z726" i="66" s="1"/>
  <c r="AB726" i="66"/>
  <c r="G727" i="66"/>
  <c r="F727" i="66"/>
  <c r="E728" i="66"/>
  <c r="S725" i="66"/>
  <c r="D727" i="66"/>
  <c r="P726" i="66"/>
  <c r="Y727" i="66" l="1"/>
  <c r="Z727" i="66" s="1"/>
  <c r="AB727" i="66"/>
  <c r="H727" i="66"/>
  <c r="F728" i="66"/>
  <c r="G728" i="66"/>
  <c r="E729" i="66"/>
  <c r="S726" i="66"/>
  <c r="D728" i="66"/>
  <c r="P727" i="66"/>
  <c r="I727" i="66" l="1"/>
  <c r="Y728" i="66"/>
  <c r="Z728" i="66" s="1"/>
  <c r="AB728" i="66"/>
  <c r="H728" i="66"/>
  <c r="F729" i="66"/>
  <c r="G729" i="66"/>
  <c r="E730" i="66"/>
  <c r="S727" i="66"/>
  <c r="D729" i="66"/>
  <c r="P728" i="66"/>
  <c r="Y729" i="66" l="1"/>
  <c r="Z729" i="66" s="1"/>
  <c r="AB729" i="66"/>
  <c r="E731" i="66"/>
  <c r="G730" i="66"/>
  <c r="F730" i="66"/>
  <c r="H729" i="66"/>
  <c r="I729" i="66" s="1"/>
  <c r="I728" i="66"/>
  <c r="S728" i="66"/>
  <c r="N5" i="66"/>
  <c r="E12" i="66" s="1"/>
  <c r="D730" i="66"/>
  <c r="P729" i="66"/>
  <c r="C11" i="44" a="1"/>
  <c r="Y730" i="66" l="1"/>
  <c r="Z730" i="66" s="1"/>
  <c r="AB730" i="66"/>
  <c r="H730" i="66"/>
  <c r="G731" i="66"/>
  <c r="F731" i="66"/>
  <c r="E732" i="66"/>
  <c r="S729" i="66"/>
  <c r="C55" i="44"/>
  <c r="C487" i="44"/>
  <c r="C572" i="44"/>
  <c r="C592" i="44"/>
  <c r="C847" i="44"/>
  <c r="C793" i="44"/>
  <c r="C798" i="44"/>
  <c r="C741" i="44"/>
  <c r="C597" i="44"/>
  <c r="C511" i="44"/>
  <c r="C687" i="44"/>
  <c r="C326" i="44"/>
  <c r="C432" i="44"/>
  <c r="C413" i="44"/>
  <c r="C368" i="44"/>
  <c r="C610" i="44"/>
  <c r="C574" i="44"/>
  <c r="C427" i="44"/>
  <c r="C164" i="44"/>
  <c r="C807" i="44"/>
  <c r="C33" i="44"/>
  <c r="C818" i="44"/>
  <c r="C386" i="44"/>
  <c r="C415" i="44"/>
  <c r="C191" i="44"/>
  <c r="C217" i="44"/>
  <c r="C690" i="44"/>
  <c r="C29" i="44"/>
  <c r="C665" i="44"/>
  <c r="C498" i="44"/>
  <c r="C518" i="44"/>
  <c r="C102" i="44"/>
  <c r="C451" i="44"/>
  <c r="C344" i="44"/>
  <c r="C95" i="44"/>
  <c r="C25" i="44"/>
  <c r="C90" i="44"/>
  <c r="C279" i="44"/>
  <c r="C281" i="44"/>
  <c r="C632" i="44"/>
  <c r="C419" i="44"/>
  <c r="C704" i="44"/>
  <c r="C52" i="44"/>
  <c r="C358" i="44"/>
  <c r="C449" i="44"/>
  <c r="C88" i="44"/>
  <c r="C142" i="44"/>
  <c r="C46" i="44"/>
  <c r="C53" i="44"/>
  <c r="C391" i="44"/>
  <c r="C840" i="44"/>
  <c r="C504" i="44"/>
  <c r="C800" i="44"/>
  <c r="C554" i="44"/>
  <c r="C827" i="44"/>
  <c r="C501" i="44"/>
  <c r="C797" i="44"/>
  <c r="C426" i="44"/>
  <c r="C595" i="44"/>
  <c r="C743" i="44"/>
  <c r="C862" i="44"/>
  <c r="C444" i="44"/>
  <c r="C274" i="44"/>
  <c r="C34" i="44"/>
  <c r="C248" i="44"/>
  <c r="C324" i="44"/>
  <c r="C674" i="44"/>
  <c r="C318" i="44"/>
  <c r="C809" i="44"/>
  <c r="C40" i="44"/>
  <c r="C512" i="44"/>
  <c r="C334" i="44"/>
  <c r="C280" i="44"/>
  <c r="C861" i="44"/>
  <c r="C677" i="44"/>
  <c r="C772" i="44"/>
  <c r="C544" i="44"/>
  <c r="C753" i="44"/>
  <c r="C684" i="44"/>
  <c r="C450" i="44"/>
  <c r="C94" i="44"/>
  <c r="C514" i="44"/>
  <c r="C208" i="44"/>
  <c r="C178" i="44"/>
  <c r="C212" i="44"/>
  <c r="C756" i="44"/>
  <c r="C854" i="44"/>
  <c r="C769" i="44"/>
  <c r="C436" i="44"/>
  <c r="C264" i="44"/>
  <c r="C148" i="44"/>
  <c r="C85" i="44"/>
  <c r="C576" i="44"/>
  <c r="C329" i="44"/>
  <c r="C727" i="44"/>
  <c r="C625" i="44"/>
  <c r="C497" i="44"/>
  <c r="C438" i="44"/>
  <c r="C824" i="44"/>
  <c r="C835" i="44"/>
  <c r="C502" i="44"/>
  <c r="C553" i="44"/>
  <c r="C466" i="44"/>
  <c r="C182" i="44"/>
  <c r="C192" i="44"/>
  <c r="C19" i="44"/>
  <c r="C805" i="44"/>
  <c r="C500" i="44"/>
  <c r="C312" i="44"/>
  <c r="C747" i="44"/>
  <c r="C184" i="44"/>
  <c r="C117" i="44"/>
  <c r="C51" i="44"/>
  <c r="C268" i="44"/>
  <c r="C439" i="44"/>
  <c r="C140" i="44"/>
  <c r="C327" i="44"/>
  <c r="C718" i="44"/>
  <c r="C44" i="44"/>
  <c r="C408" i="44"/>
  <c r="C236" i="44"/>
  <c r="C54" i="44"/>
  <c r="C387" i="44"/>
  <c r="C314" i="44"/>
  <c r="C493" i="44"/>
  <c r="C476" i="44"/>
  <c r="C23" i="44"/>
  <c r="C763" i="44"/>
  <c r="C852" i="44"/>
  <c r="C233" i="44"/>
  <c r="C153" i="44"/>
  <c r="C742" i="44"/>
  <c r="C146" i="44"/>
  <c r="C294" i="44"/>
  <c r="C568" i="44"/>
  <c r="C696" i="44"/>
  <c r="C422" i="44"/>
  <c r="C68" i="44"/>
  <c r="C691" i="44"/>
  <c r="C833" i="44"/>
  <c r="C584" i="44"/>
  <c r="C794" i="44"/>
  <c r="C643" i="44"/>
  <c r="C672" i="44"/>
  <c r="C707" i="44"/>
  <c r="C737" i="44"/>
  <c r="C434" i="44"/>
  <c r="C347" i="44"/>
  <c r="C490" i="44"/>
  <c r="C297" i="44"/>
  <c r="C263" i="44"/>
  <c r="C520" i="44"/>
  <c r="C482" i="44"/>
  <c r="C759" i="44"/>
  <c r="C322" i="44"/>
  <c r="C729" i="44"/>
  <c r="C654" i="44"/>
  <c r="C11" i="44"/>
  <c r="C802" i="44"/>
  <c r="C773" i="44"/>
  <c r="C804" i="44"/>
  <c r="C670" i="44"/>
  <c r="C860" i="44"/>
  <c r="C174" i="44"/>
  <c r="C561" i="44"/>
  <c r="C97" i="44"/>
  <c r="C477" i="44"/>
  <c r="C650" i="44"/>
  <c r="C79" i="44"/>
  <c r="C335" i="44"/>
  <c r="C855" i="44"/>
  <c r="C787" i="44"/>
  <c r="C667" i="44"/>
  <c r="C119" i="44"/>
  <c r="C636" i="44"/>
  <c r="C522" i="44"/>
  <c r="C435" i="44"/>
  <c r="C642" i="44"/>
  <c r="C99" i="44"/>
  <c r="C719" i="44"/>
  <c r="C730" i="44"/>
  <c r="C661" i="44"/>
  <c r="C199" i="44"/>
  <c r="C306" i="44"/>
  <c r="C779" i="44"/>
  <c r="C851" i="44"/>
  <c r="C853" i="44"/>
  <c r="C508" i="44"/>
  <c r="C321" i="44"/>
  <c r="C35" i="44"/>
  <c r="C483" i="44"/>
  <c r="C644" i="44"/>
  <c r="C626" i="44"/>
  <c r="C525" i="44"/>
  <c r="C246" i="44"/>
  <c r="C581" i="44"/>
  <c r="C509" i="44"/>
  <c r="C542" i="44"/>
  <c r="C172" i="44"/>
  <c r="C652" i="44"/>
  <c r="C283" i="44"/>
  <c r="C224" i="44"/>
  <c r="C392" i="44"/>
  <c r="C286" i="44"/>
  <c r="C717" i="44"/>
  <c r="C746" i="44"/>
  <c r="C156" i="44"/>
  <c r="C464" i="44"/>
  <c r="C28" i="44"/>
  <c r="C638" i="44"/>
  <c r="C816" i="44"/>
  <c r="C421" i="44"/>
  <c r="C402" i="44"/>
  <c r="C748" i="44"/>
  <c r="C373" i="44"/>
  <c r="C122" i="44"/>
  <c r="C600" i="44"/>
  <c r="C126" i="44"/>
  <c r="C109" i="44"/>
  <c r="C710" i="44"/>
  <c r="C559" i="44"/>
  <c r="C398" i="44"/>
  <c r="C697" i="44"/>
  <c r="C557" i="44"/>
  <c r="C242" i="44"/>
  <c r="C528" i="44"/>
  <c r="C770" i="44"/>
  <c r="C440" i="44"/>
  <c r="C634" i="44"/>
  <c r="C617" i="44"/>
  <c r="C547" i="44"/>
  <c r="C210" i="44"/>
  <c r="C202" i="44"/>
  <c r="C400" i="44"/>
  <c r="C760" i="44"/>
  <c r="C716" i="44"/>
  <c r="C744" i="44"/>
  <c r="C541" i="44"/>
  <c r="C252" i="44"/>
  <c r="C106" i="44"/>
  <c r="C77" i="44"/>
  <c r="C313" i="44"/>
  <c r="C136" i="44"/>
  <c r="C839" i="44"/>
  <c r="C789" i="44"/>
  <c r="C857" i="44"/>
  <c r="C586" i="44"/>
  <c r="C846" i="44"/>
  <c r="C551" i="44"/>
  <c r="C603" i="44"/>
  <c r="C596" i="44"/>
  <c r="C510" i="44"/>
  <c r="C412" i="44"/>
  <c r="C81" i="44"/>
  <c r="C271" i="44"/>
  <c r="C569" i="44"/>
  <c r="C653" i="44"/>
  <c r="C750" i="44"/>
  <c r="C247" i="44"/>
  <c r="C731" i="44"/>
  <c r="C529" i="44"/>
  <c r="C265" i="44"/>
  <c r="C445" i="44"/>
  <c r="C838" i="44"/>
  <c r="C867" i="44"/>
  <c r="C740" i="44"/>
  <c r="C633" i="44"/>
  <c r="C734" i="44"/>
  <c r="C437" i="44"/>
  <c r="C776" i="44"/>
  <c r="C820" i="44"/>
  <c r="C745" i="44"/>
  <c r="C679" i="44"/>
  <c r="C390" i="44"/>
  <c r="C47" i="44"/>
  <c r="C173" i="44"/>
  <c r="C257" i="44"/>
  <c r="C593" i="44"/>
  <c r="C399" i="44"/>
  <c r="C316" i="44"/>
  <c r="C573" i="44"/>
  <c r="C658" i="44"/>
  <c r="C86" i="44"/>
  <c r="C366" i="44"/>
  <c r="C157" i="44"/>
  <c r="C17" i="44"/>
  <c r="C494" i="44"/>
  <c r="C238" i="44"/>
  <c r="C100" i="44"/>
  <c r="C764" i="44"/>
  <c r="C338" i="44"/>
  <c r="C166" i="44"/>
  <c r="C722" i="44"/>
  <c r="C244" i="44"/>
  <c r="C548" i="44"/>
  <c r="C336" i="44"/>
  <c r="C129" i="44"/>
  <c r="C227" i="44"/>
  <c r="C646" i="44"/>
  <c r="C87" i="44"/>
  <c r="C507" i="44"/>
  <c r="C410" i="44"/>
  <c r="C761" i="44"/>
  <c r="C345" i="44"/>
  <c r="C91" i="44"/>
  <c r="C472" i="44"/>
  <c r="C460" i="44"/>
  <c r="C814" i="44"/>
  <c r="C624" i="44"/>
  <c r="C371" i="44"/>
  <c r="C639" i="44"/>
  <c r="C315" i="44"/>
  <c r="C608" i="44"/>
  <c r="C524" i="44"/>
  <c r="C406" i="44"/>
  <c r="C712" i="44"/>
  <c r="C27" i="44"/>
  <c r="C175" i="44"/>
  <c r="C253" i="44"/>
  <c r="C78" i="44"/>
  <c r="C489" i="44"/>
  <c r="C552" i="44"/>
  <c r="C659" i="44"/>
  <c r="C134" i="44"/>
  <c r="C214" i="44"/>
  <c r="C287" i="44"/>
  <c r="C570" i="44"/>
  <c r="C379" i="44"/>
  <c r="C424" i="44"/>
  <c r="C822" i="44"/>
  <c r="C783" i="44"/>
  <c r="C534" i="44"/>
  <c r="C863" i="44"/>
  <c r="C545" i="44"/>
  <c r="C645" i="44"/>
  <c r="C428" i="44"/>
  <c r="C859" i="44"/>
  <c r="C180" i="44"/>
  <c r="C43" i="44"/>
  <c r="C429" i="44"/>
  <c r="C832" i="44"/>
  <c r="C323" i="44"/>
  <c r="C200" i="44"/>
  <c r="C171" i="44"/>
  <c r="C812" i="44"/>
  <c r="C758" i="44"/>
  <c r="C258" i="44"/>
  <c r="C223" i="44"/>
  <c r="C869" i="44"/>
  <c r="C858" i="44"/>
  <c r="C788" i="44"/>
  <c r="C111" i="44"/>
  <c r="C405" i="44"/>
  <c r="C703" i="44"/>
  <c r="C780" i="44"/>
  <c r="C777" i="44"/>
  <c r="C871" i="44"/>
  <c r="C630" i="44"/>
  <c r="C226" i="44"/>
  <c r="C168" i="44"/>
  <c r="C189" i="44"/>
  <c r="C488" i="44"/>
  <c r="C599" i="44"/>
  <c r="C360" i="44"/>
  <c r="C209" i="44"/>
  <c r="C240" i="44"/>
  <c r="C425" i="44"/>
  <c r="C48" i="44"/>
  <c r="C485" i="44"/>
  <c r="C63" i="44"/>
  <c r="C158" i="44"/>
  <c r="C319" i="44"/>
  <c r="C350" i="44"/>
  <c r="C757" i="44"/>
  <c r="C383" i="44"/>
  <c r="C120" i="44"/>
  <c r="C754" i="44"/>
  <c r="C237" i="44"/>
  <c r="C381" i="44"/>
  <c r="C484" i="44"/>
  <c r="C685" i="44"/>
  <c r="C154" i="44"/>
  <c r="C230" i="44"/>
  <c r="C471" i="44"/>
  <c r="C272" i="44"/>
  <c r="C856" i="44"/>
  <c r="C590" i="44"/>
  <c r="C443" i="44"/>
  <c r="C285" i="44"/>
  <c r="C291" i="44"/>
  <c r="C678" i="44"/>
  <c r="C531" i="44"/>
  <c r="C527" i="44"/>
  <c r="C656" i="44"/>
  <c r="C692" i="44"/>
  <c r="C811" i="44"/>
  <c r="C724" i="44"/>
  <c r="C356" i="44"/>
  <c r="C648" i="44"/>
  <c r="C688" i="44"/>
  <c r="C456" i="44"/>
  <c r="C473" i="44"/>
  <c r="C567" i="44"/>
  <c r="C474" i="44"/>
  <c r="C395" i="44"/>
  <c r="C621" i="44"/>
  <c r="C628" i="44"/>
  <c r="C492" i="44"/>
  <c r="C635" i="44"/>
  <c r="C110" i="44"/>
  <c r="C21" i="44"/>
  <c r="C458" i="44"/>
  <c r="C80" i="44"/>
  <c r="C686" i="44"/>
  <c r="C870" i="44"/>
  <c r="C689" i="44"/>
  <c r="C864" i="44"/>
  <c r="C795" i="44"/>
  <c r="C481" i="44"/>
  <c r="C604" i="44"/>
  <c r="C137" i="44"/>
  <c r="C821" i="44"/>
  <c r="C414" i="44"/>
  <c r="C762" i="44"/>
  <c r="C513" i="44"/>
  <c r="C660" i="44"/>
  <c r="C114" i="44"/>
  <c r="C611" i="44"/>
  <c r="C478" i="44"/>
  <c r="C673" i="44"/>
  <c r="C555" i="44"/>
  <c r="C495" i="44"/>
  <c r="C232" i="44"/>
  <c r="C583" i="44"/>
  <c r="C819" i="44"/>
  <c r="C813" i="44"/>
  <c r="C418" i="44"/>
  <c r="C308" i="44"/>
  <c r="C683" i="44"/>
  <c r="C778" i="44"/>
  <c r="C602" i="44"/>
  <c r="C815" i="44"/>
  <c r="C207" i="44"/>
  <c r="C475" i="44"/>
  <c r="C18" i="44"/>
  <c r="C160" i="44"/>
  <c r="C619" i="44"/>
  <c r="C785" i="44"/>
  <c r="C715" i="44"/>
  <c r="C601" i="44"/>
  <c r="C231" i="44"/>
  <c r="C205" i="44"/>
  <c r="C243" i="44"/>
  <c r="C339" i="44"/>
  <c r="C176" i="44"/>
  <c r="C66" i="44"/>
  <c r="C491" i="44"/>
  <c r="C433" i="44"/>
  <c r="C385" i="44"/>
  <c r="C367" i="44"/>
  <c r="C103" i="44"/>
  <c r="C225" i="44"/>
  <c r="C302" i="44"/>
  <c r="C725" i="44"/>
  <c r="C714" i="44"/>
  <c r="C177" i="44"/>
  <c r="C163" i="44"/>
  <c r="C298" i="44"/>
  <c r="C320" i="44"/>
  <c r="C211" i="44"/>
  <c r="C127" i="44"/>
  <c r="C218" i="44"/>
  <c r="C290" i="44"/>
  <c r="C538" i="44"/>
  <c r="C275" i="44"/>
  <c r="C657" i="44"/>
  <c r="C806" i="44"/>
  <c r="C664" i="44"/>
  <c r="C828" i="44"/>
  <c r="C702" i="44"/>
  <c r="C705" i="44"/>
  <c r="C187" i="44"/>
  <c r="C374" i="44"/>
  <c r="C751" i="44"/>
  <c r="C607" i="44"/>
  <c r="C587" i="44"/>
  <c r="C546" i="44"/>
  <c r="C261" i="44"/>
  <c r="C562" i="44"/>
  <c r="C82" i="44"/>
  <c r="C446" i="44"/>
  <c r="C198" i="44"/>
  <c r="C580" i="44"/>
  <c r="C397" i="44"/>
  <c r="C50" i="44"/>
  <c r="C206" i="44"/>
  <c r="C459" i="44"/>
  <c r="C564" i="44"/>
  <c r="C796" i="44"/>
  <c r="C523" i="44"/>
  <c r="C255" i="44"/>
  <c r="C152" i="44"/>
  <c r="C662" i="44"/>
  <c r="C380" i="44"/>
  <c r="C452" i="44"/>
  <c r="C578" i="44"/>
  <c r="C299" i="44"/>
  <c r="C296" i="44"/>
  <c r="C278" i="44"/>
  <c r="C251" i="44"/>
  <c r="C768" i="44"/>
  <c r="C613" i="44"/>
  <c r="C303" i="44"/>
  <c r="C668" i="44"/>
  <c r="C307" i="44"/>
  <c r="C623" i="44"/>
  <c r="C771" i="44"/>
  <c r="C216" i="44"/>
  <c r="C364" i="44"/>
  <c r="C71" i="44"/>
  <c r="C234" i="44"/>
  <c r="C101" i="44"/>
  <c r="C155" i="44"/>
  <c r="C359" i="44"/>
  <c r="C352" i="44"/>
  <c r="C249" i="44"/>
  <c r="C733" i="44"/>
  <c r="C266" i="44"/>
  <c r="C193" i="44"/>
  <c r="C32" i="44"/>
  <c r="C72" i="44"/>
  <c r="C93" i="44"/>
  <c r="C125" i="44"/>
  <c r="C409" i="44"/>
  <c r="C378" i="44"/>
  <c r="C693" i="44"/>
  <c r="C330" i="44"/>
  <c r="C245" i="44"/>
  <c r="C680" i="44"/>
  <c r="C14" i="44"/>
  <c r="C147" i="44"/>
  <c r="C411" i="44"/>
  <c r="C62" i="44"/>
  <c r="C808" i="44"/>
  <c r="C337" i="44"/>
  <c r="C784" i="44"/>
  <c r="C59" i="44"/>
  <c r="C620" i="44"/>
  <c r="C420" i="44"/>
  <c r="C462" i="44"/>
  <c r="C74" i="44"/>
  <c r="C826" i="44"/>
  <c r="C792" i="44"/>
  <c r="C837" i="44"/>
  <c r="C20" i="44"/>
  <c r="C215" i="44"/>
  <c r="C112" i="44"/>
  <c r="C431" i="44"/>
  <c r="C64" i="44"/>
  <c r="C365" i="44"/>
  <c r="C328" i="44"/>
  <c r="C30" i="44"/>
  <c r="C260" i="44"/>
  <c r="C767" i="44"/>
  <c r="C448" i="44"/>
  <c r="C701" i="44"/>
  <c r="C401" i="44"/>
  <c r="C124" i="44"/>
  <c r="C629" i="44"/>
  <c r="C836" i="44"/>
  <c r="C221" i="44"/>
  <c r="C469" i="44"/>
  <c r="C384" i="44"/>
  <c r="C353" i="44"/>
  <c r="C516" i="44"/>
  <c r="C42" i="44"/>
  <c r="C170" i="44"/>
  <c r="C726" i="44"/>
  <c r="C843" i="44"/>
  <c r="C417" i="44"/>
  <c r="C388" i="44"/>
  <c r="C241" i="44"/>
  <c r="C128" i="44"/>
  <c r="C183" i="44"/>
  <c r="C465" i="44"/>
  <c r="C36" i="44"/>
  <c r="C609" i="44"/>
  <c r="C250" i="44"/>
  <c r="C270" i="44"/>
  <c r="C441" i="44"/>
  <c r="C348" i="44"/>
  <c r="C376" i="44"/>
  <c r="C735" i="44"/>
  <c r="C169" i="44"/>
  <c r="C181" i="44"/>
  <c r="C123" i="44"/>
  <c r="C57" i="44"/>
  <c r="C13" i="44"/>
  <c r="C256" i="44"/>
  <c r="C781" i="44"/>
  <c r="C480" i="44"/>
  <c r="C738" i="44"/>
  <c r="C282" i="44"/>
  <c r="C791" i="44"/>
  <c r="C681" i="44"/>
  <c r="C138" i="44"/>
  <c r="C709" i="44"/>
  <c r="C530" i="44"/>
  <c r="C130" i="44"/>
  <c r="C22" i="44"/>
  <c r="C375" i="44"/>
  <c r="C45" i="44"/>
  <c r="C141" i="44"/>
  <c r="C357" i="44"/>
  <c r="C533" i="44"/>
  <c r="C848" i="44"/>
  <c r="C582" i="44"/>
  <c r="C594" i="44"/>
  <c r="C585" i="44"/>
  <c r="C56" i="44"/>
  <c r="C829" i="44"/>
  <c r="C736" i="44"/>
  <c r="C699" i="44"/>
  <c r="C622" i="44"/>
  <c r="C540" i="44"/>
  <c r="C273" i="44"/>
  <c r="C363" i="44"/>
  <c r="C732" i="44"/>
  <c r="C342" i="44"/>
  <c r="C671" i="44"/>
  <c r="C333" i="44"/>
  <c r="C700" i="44"/>
  <c r="C539" i="44"/>
  <c r="C204" i="44"/>
  <c r="C16" i="44"/>
  <c r="C37" i="44"/>
  <c r="C135" i="44"/>
  <c r="C185" i="44"/>
  <c r="C346" i="44"/>
  <c r="C457" i="44"/>
  <c r="C799" i="44"/>
  <c r="C579" i="44"/>
  <c r="C591" i="44"/>
  <c r="C31" i="44"/>
  <c r="C203" i="44"/>
  <c r="C165" i="44"/>
  <c r="C104" i="44"/>
  <c r="C728" i="44"/>
  <c r="C850" i="44"/>
  <c r="C831" i="44"/>
  <c r="C455" i="44"/>
  <c r="C340" i="44"/>
  <c r="C616" i="44"/>
  <c r="C535" i="44"/>
  <c r="C167" i="44"/>
  <c r="C61" i="44"/>
  <c r="C179" i="44"/>
  <c r="C479" i="44"/>
  <c r="C108" i="44"/>
  <c r="C343" i="44"/>
  <c r="C782" i="44"/>
  <c r="C865" i="44"/>
  <c r="C640" i="44"/>
  <c r="C105" i="44"/>
  <c r="C834" i="44"/>
  <c r="C325" i="44"/>
  <c r="C341" i="44"/>
  <c r="C618" i="44"/>
  <c r="C331" i="44"/>
  <c r="C486" i="44"/>
  <c r="C75" i="44"/>
  <c r="C588" i="44"/>
  <c r="C276" i="44"/>
  <c r="C83" i="44"/>
  <c r="C468" i="44"/>
  <c r="C766" i="44"/>
  <c r="C830" i="44"/>
  <c r="C721" i="44"/>
  <c r="C416" i="44"/>
  <c r="C571" i="44"/>
  <c r="C76" i="44"/>
  <c r="C195" i="44"/>
  <c r="C132" i="44"/>
  <c r="C284" i="44"/>
  <c r="C349" i="44"/>
  <c r="C749" i="44"/>
  <c r="C515" i="44"/>
  <c r="C228" i="44"/>
  <c r="C389" i="44"/>
  <c r="C38" i="44"/>
  <c r="C133" i="44"/>
  <c r="C496" i="44"/>
  <c r="C12" i="44"/>
  <c r="C560" i="44"/>
  <c r="C197" i="44"/>
  <c r="C720" i="44"/>
  <c r="C229" i="44"/>
  <c r="C467" i="44"/>
  <c r="C116" i="44"/>
  <c r="C463" i="44"/>
  <c r="C698" i="44"/>
  <c r="C605" i="44"/>
  <c r="C675" i="44"/>
  <c r="C801" i="44"/>
  <c r="C311" i="44"/>
  <c r="C382" i="44"/>
  <c r="C92" i="44"/>
  <c r="C58" i="44"/>
  <c r="C627" i="44"/>
  <c r="C666" i="44"/>
  <c r="C301" i="44"/>
  <c r="C663" i="44"/>
  <c r="C706" i="44"/>
  <c r="C615" i="44"/>
  <c r="C259" i="44"/>
  <c r="C262" i="44"/>
  <c r="C267" i="44"/>
  <c r="C752" i="44"/>
  <c r="C849" i="44"/>
  <c r="C370" i="44"/>
  <c r="C351" i="44"/>
  <c r="C817" i="44"/>
  <c r="C517" i="44"/>
  <c r="C143" i="44"/>
  <c r="C361" i="44"/>
  <c r="C532" i="44"/>
  <c r="C213" i="44"/>
  <c r="C755" i="44"/>
  <c r="C277" i="44"/>
  <c r="C694" i="44"/>
  <c r="C96" i="44"/>
  <c r="C844" i="44"/>
  <c r="C641" i="44"/>
  <c r="C24" i="44"/>
  <c r="C695" i="44"/>
  <c r="C220" i="44"/>
  <c r="C526" i="44"/>
  <c r="C711" i="44"/>
  <c r="C396" i="44"/>
  <c r="C186" i="44"/>
  <c r="C98" i="44"/>
  <c r="C26" i="44"/>
  <c r="C73" i="44"/>
  <c r="C107" i="44"/>
  <c r="C442" i="44"/>
  <c r="C521" i="44"/>
  <c r="C556" i="44"/>
  <c r="C151" i="44"/>
  <c r="C649" i="44"/>
  <c r="C305" i="44"/>
  <c r="C113" i="44"/>
  <c r="C563" i="44"/>
  <c r="C713" i="44"/>
  <c r="C430" i="44"/>
  <c r="C647" i="44"/>
  <c r="C254" i="44"/>
  <c r="C606" i="44"/>
  <c r="C65" i="44"/>
  <c r="C115" i="44"/>
  <c r="C394" i="44"/>
  <c r="C505" i="44"/>
  <c r="C614" i="44"/>
  <c r="C403" i="44"/>
  <c r="C786" i="44"/>
  <c r="C543" i="44"/>
  <c r="C149" i="44"/>
  <c r="C354" i="44"/>
  <c r="C841" i="44"/>
  <c r="C550" i="44"/>
  <c r="C637" i="44"/>
  <c r="C682" i="44"/>
  <c r="C577" i="44"/>
  <c r="C15" i="44"/>
  <c r="C219" i="44"/>
  <c r="C60" i="44"/>
  <c r="C676" i="44"/>
  <c r="C651" i="44"/>
  <c r="C332" i="44"/>
  <c r="C537" i="44"/>
  <c r="C803" i="44"/>
  <c r="C369" i="44"/>
  <c r="C309" i="44"/>
  <c r="C317" i="44"/>
  <c r="C159" i="44"/>
  <c r="C404" i="44"/>
  <c r="C235" i="44"/>
  <c r="C161" i="44"/>
  <c r="C295" i="44"/>
  <c r="C825" i="44"/>
  <c r="C549" i="44"/>
  <c r="C292" i="44"/>
  <c r="C454" i="44"/>
  <c r="C575" i="44"/>
  <c r="C118" i="44"/>
  <c r="C774" i="44"/>
  <c r="C190" i="44"/>
  <c r="C288" i="44"/>
  <c r="C310" i="44"/>
  <c r="C845" i="44"/>
  <c r="C194" i="44"/>
  <c r="C89" i="44"/>
  <c r="C453" i="44"/>
  <c r="C70" i="44"/>
  <c r="C162" i="44"/>
  <c r="C503" i="44"/>
  <c r="C84" i="44"/>
  <c r="C145" i="44"/>
  <c r="C499" i="44"/>
  <c r="C739" i="44"/>
  <c r="C842" i="44"/>
  <c r="C121" i="44"/>
  <c r="C470" i="44"/>
  <c r="C41" i="44"/>
  <c r="C407" i="44"/>
  <c r="C300" i="44"/>
  <c r="C536" i="44"/>
  <c r="C304" i="44"/>
  <c r="C222" i="44"/>
  <c r="C823" i="44"/>
  <c r="C723" i="44"/>
  <c r="C558" i="44"/>
  <c r="C355" i="44"/>
  <c r="C589" i="44"/>
  <c r="C565" i="44"/>
  <c r="C612" i="44"/>
  <c r="C866" i="44"/>
  <c r="C519" i="44"/>
  <c r="C239" i="44"/>
  <c r="C775" i="44"/>
  <c r="C293" i="44"/>
  <c r="C67" i="44"/>
  <c r="C423" i="44"/>
  <c r="C269" i="44"/>
  <c r="C447" i="44"/>
  <c r="C810" i="44"/>
  <c r="C790" i="44"/>
  <c r="C669" i="44"/>
  <c r="C196" i="44"/>
  <c r="C131" i="44"/>
  <c r="C139" i="44"/>
  <c r="C69" i="44"/>
  <c r="C631" i="44"/>
  <c r="C566" i="44"/>
  <c r="C708" i="44"/>
  <c r="C868" i="44"/>
  <c r="C377" i="44"/>
  <c r="C765" i="44"/>
  <c r="C461" i="44"/>
  <c r="C506" i="44"/>
  <c r="C201" i="44"/>
  <c r="C150" i="44"/>
  <c r="C188" i="44"/>
  <c r="C655" i="44"/>
  <c r="C39" i="44"/>
  <c r="C362" i="44"/>
  <c r="C598" i="44"/>
  <c r="C393" i="44"/>
  <c r="C372" i="44"/>
  <c r="C144" i="44"/>
  <c r="C289" i="44"/>
  <c r="C49" i="44"/>
  <c r="Z11" i="44"/>
  <c r="D731" i="66"/>
  <c r="P730" i="66"/>
  <c r="Y731" i="66" l="1"/>
  <c r="Z731" i="66" s="1"/>
  <c r="AB731" i="66"/>
  <c r="H731" i="66"/>
  <c r="I730" i="66"/>
  <c r="G732" i="66"/>
  <c r="E733" i="66"/>
  <c r="F732" i="66"/>
  <c r="S730" i="66"/>
  <c r="O139" i="44"/>
  <c r="U139" i="44" s="1"/>
  <c r="K139" i="44"/>
  <c r="I139" i="44"/>
  <c r="O499" i="44"/>
  <c r="U499" i="44" s="1"/>
  <c r="K499" i="44"/>
  <c r="I499" i="44"/>
  <c r="O159" i="44"/>
  <c r="U159" i="44" s="1"/>
  <c r="K159" i="44"/>
  <c r="I159" i="44"/>
  <c r="K107" i="44"/>
  <c r="O107" i="44"/>
  <c r="U107" i="44" s="1"/>
  <c r="I107" i="44"/>
  <c r="O370" i="44"/>
  <c r="U370" i="44" s="1"/>
  <c r="K370" i="44"/>
  <c r="I370" i="44"/>
  <c r="O228" i="44"/>
  <c r="U228" i="44" s="1"/>
  <c r="K228" i="44"/>
  <c r="I228" i="44"/>
  <c r="K571" i="44"/>
  <c r="O571" i="44"/>
  <c r="U571" i="44" s="1"/>
  <c r="I571" i="44"/>
  <c r="K728" i="44"/>
  <c r="O728" i="44"/>
  <c r="U728" i="44" s="1"/>
  <c r="I728" i="44"/>
  <c r="O848" i="44"/>
  <c r="U848" i="44" s="1"/>
  <c r="K848" i="44"/>
  <c r="I848" i="44"/>
  <c r="K42" i="44"/>
  <c r="O42" i="44"/>
  <c r="U42" i="44" s="1"/>
  <c r="I42" i="44"/>
  <c r="O808" i="44"/>
  <c r="U808" i="44" s="1"/>
  <c r="K808" i="44"/>
  <c r="I808" i="44"/>
  <c r="K613" i="44"/>
  <c r="O613" i="44"/>
  <c r="U613" i="44" s="1"/>
  <c r="I613" i="44"/>
  <c r="O725" i="44"/>
  <c r="U725" i="44" s="1"/>
  <c r="K725" i="44"/>
  <c r="I725" i="44"/>
  <c r="K778" i="44"/>
  <c r="O778" i="44"/>
  <c r="U778" i="44" s="1"/>
  <c r="I778" i="44"/>
  <c r="K688" i="44"/>
  <c r="O688" i="44"/>
  <c r="U688" i="44" s="1"/>
  <c r="I688" i="44"/>
  <c r="O48" i="44"/>
  <c r="U48" i="44" s="1"/>
  <c r="K48" i="44"/>
  <c r="I48" i="44"/>
  <c r="O171" i="44"/>
  <c r="U171" i="44" s="1"/>
  <c r="K171" i="44"/>
  <c r="I171" i="44"/>
  <c r="O78" i="44"/>
  <c r="U78" i="44" s="1"/>
  <c r="K78" i="44"/>
  <c r="I78" i="44"/>
  <c r="K238" i="44"/>
  <c r="O238" i="44"/>
  <c r="U238" i="44" s="1"/>
  <c r="I238" i="44"/>
  <c r="O106" i="44"/>
  <c r="U106" i="44" s="1"/>
  <c r="K106" i="44"/>
  <c r="I106" i="44"/>
  <c r="K644" i="44"/>
  <c r="O644" i="44"/>
  <c r="U644" i="44" s="1"/>
  <c r="I644" i="44"/>
  <c r="O650" i="44"/>
  <c r="U650" i="44" s="1"/>
  <c r="K650" i="44"/>
  <c r="I650" i="44"/>
  <c r="K696" i="44"/>
  <c r="O696" i="44"/>
  <c r="U696" i="44" s="1"/>
  <c r="I696" i="44"/>
  <c r="K117" i="44"/>
  <c r="O117" i="44"/>
  <c r="U117" i="44" s="1"/>
  <c r="I117" i="44"/>
  <c r="O450" i="44"/>
  <c r="U450" i="44" s="1"/>
  <c r="K450" i="44"/>
  <c r="I450" i="44"/>
  <c r="O501" i="44"/>
  <c r="U501" i="44" s="1"/>
  <c r="K501" i="44"/>
  <c r="I501" i="44"/>
  <c r="O610" i="44"/>
  <c r="U610" i="44" s="1"/>
  <c r="K610" i="44"/>
  <c r="I610" i="44"/>
  <c r="K362" i="44"/>
  <c r="O362" i="44"/>
  <c r="U362" i="44" s="1"/>
  <c r="I362" i="44"/>
  <c r="K765" i="44"/>
  <c r="O765" i="44"/>
  <c r="U765" i="44" s="1"/>
  <c r="I765" i="44"/>
  <c r="K131" i="44"/>
  <c r="O131" i="44"/>
  <c r="U131" i="44" s="1"/>
  <c r="I131" i="44"/>
  <c r="O67" i="44"/>
  <c r="U67" i="44" s="1"/>
  <c r="K67" i="44"/>
  <c r="I67" i="44"/>
  <c r="K589" i="44"/>
  <c r="O589" i="44"/>
  <c r="U589" i="44" s="1"/>
  <c r="I589" i="44"/>
  <c r="O300" i="44"/>
  <c r="U300" i="44" s="1"/>
  <c r="K300" i="44"/>
  <c r="I300" i="44"/>
  <c r="K145" i="44"/>
  <c r="O145" i="44"/>
  <c r="U145" i="44" s="1"/>
  <c r="I145" i="44"/>
  <c r="O845" i="44"/>
  <c r="U845" i="44" s="1"/>
  <c r="K845" i="44"/>
  <c r="I845" i="44"/>
  <c r="K292" i="44"/>
  <c r="O292" i="44"/>
  <c r="U292" i="44" s="1"/>
  <c r="I292" i="44"/>
  <c r="O317" i="44"/>
  <c r="U317" i="44" s="1"/>
  <c r="K317" i="44"/>
  <c r="I317" i="44"/>
  <c r="K60" i="44"/>
  <c r="O60" i="44"/>
  <c r="U60" i="44" s="1"/>
  <c r="I60" i="44"/>
  <c r="K354" i="44"/>
  <c r="O354" i="44"/>
  <c r="U354" i="44" s="1"/>
  <c r="I354" i="44"/>
  <c r="O115" i="44"/>
  <c r="U115" i="44" s="1"/>
  <c r="K115" i="44"/>
  <c r="I115" i="44"/>
  <c r="K113" i="44"/>
  <c r="O113" i="44"/>
  <c r="U113" i="44" s="1"/>
  <c r="I113" i="44"/>
  <c r="K73" i="44"/>
  <c r="O73" i="44"/>
  <c r="U73" i="44" s="1"/>
  <c r="I73" i="44"/>
  <c r="O695" i="44"/>
  <c r="U695" i="44" s="1"/>
  <c r="K695" i="44"/>
  <c r="I695" i="44"/>
  <c r="O213" i="44"/>
  <c r="U213" i="44" s="1"/>
  <c r="K213" i="44"/>
  <c r="I213" i="44"/>
  <c r="K849" i="44"/>
  <c r="O849" i="44"/>
  <c r="U849" i="44" s="1"/>
  <c r="I849" i="44"/>
  <c r="O301" i="44"/>
  <c r="U301" i="44" s="1"/>
  <c r="K301" i="44"/>
  <c r="I301" i="44"/>
  <c r="K675" i="44"/>
  <c r="O675" i="44"/>
  <c r="U675" i="44" s="1"/>
  <c r="I675" i="44"/>
  <c r="O197" i="44"/>
  <c r="U197" i="44" s="1"/>
  <c r="K197" i="44"/>
  <c r="I197" i="44"/>
  <c r="K515" i="44"/>
  <c r="O515" i="44"/>
  <c r="U515" i="44" s="1"/>
  <c r="I515" i="44"/>
  <c r="O416" i="44"/>
  <c r="U416" i="44" s="1"/>
  <c r="K416" i="44"/>
  <c r="I416" i="44"/>
  <c r="K75" i="44"/>
  <c r="O75" i="44"/>
  <c r="U75" i="44" s="1"/>
  <c r="I75" i="44"/>
  <c r="O640" i="44"/>
  <c r="U640" i="44" s="1"/>
  <c r="K640" i="44"/>
  <c r="I640" i="44"/>
  <c r="O167" i="44"/>
  <c r="U167" i="44" s="1"/>
  <c r="K167" i="44"/>
  <c r="I167" i="44"/>
  <c r="O104" i="44"/>
  <c r="U104" i="44" s="1"/>
  <c r="K104" i="44"/>
  <c r="I104" i="44"/>
  <c r="O346" i="44"/>
  <c r="U346" i="44" s="1"/>
  <c r="K346" i="44"/>
  <c r="I346" i="44"/>
  <c r="K333" i="44"/>
  <c r="O333" i="44"/>
  <c r="U333" i="44" s="1"/>
  <c r="I333" i="44"/>
  <c r="K699" i="44"/>
  <c r="O699" i="44"/>
  <c r="U699" i="44" s="1"/>
  <c r="I699" i="44"/>
  <c r="O533" i="44"/>
  <c r="U533" i="44" s="1"/>
  <c r="K533" i="44"/>
  <c r="I533" i="44"/>
  <c r="O709" i="44"/>
  <c r="U709" i="44" s="1"/>
  <c r="K709" i="44"/>
  <c r="I709" i="44"/>
  <c r="K256" i="44"/>
  <c r="O256" i="44"/>
  <c r="U256" i="44" s="1"/>
  <c r="I256" i="44"/>
  <c r="O348" i="44"/>
  <c r="U348" i="44" s="1"/>
  <c r="K348" i="44"/>
  <c r="I348" i="44"/>
  <c r="O128" i="44"/>
  <c r="U128" i="44" s="1"/>
  <c r="K128" i="44"/>
  <c r="I128" i="44"/>
  <c r="O516" i="44"/>
  <c r="U516" i="44" s="1"/>
  <c r="K516" i="44"/>
  <c r="I516" i="44"/>
  <c r="K401" i="44"/>
  <c r="O401" i="44"/>
  <c r="U401" i="44" s="1"/>
  <c r="I401" i="44"/>
  <c r="K64" i="44"/>
  <c r="O64" i="44"/>
  <c r="U64" i="44" s="1"/>
  <c r="I64" i="44"/>
  <c r="O74" i="44"/>
  <c r="U74" i="44" s="1"/>
  <c r="K74" i="44"/>
  <c r="I74" i="44"/>
  <c r="K62" i="44"/>
  <c r="O62" i="44"/>
  <c r="U62" i="44" s="1"/>
  <c r="I62" i="44"/>
  <c r="K378" i="44"/>
  <c r="O378" i="44"/>
  <c r="U378" i="44" s="1"/>
  <c r="I378" i="44"/>
  <c r="O733" i="44"/>
  <c r="U733" i="44" s="1"/>
  <c r="K733" i="44"/>
  <c r="I733" i="44"/>
  <c r="K364" i="44"/>
  <c r="O364" i="44"/>
  <c r="U364" i="44" s="1"/>
  <c r="I364" i="44"/>
  <c r="O768" i="44"/>
  <c r="U768" i="44" s="1"/>
  <c r="K768" i="44"/>
  <c r="I768" i="44"/>
  <c r="O662" i="44"/>
  <c r="U662" i="44" s="1"/>
  <c r="K662" i="44"/>
  <c r="I662" i="44"/>
  <c r="K50" i="44"/>
  <c r="O50" i="44"/>
  <c r="U50" i="44" s="1"/>
  <c r="I50" i="44"/>
  <c r="K546" i="44"/>
  <c r="O546" i="44"/>
  <c r="U546" i="44" s="1"/>
  <c r="I546" i="44"/>
  <c r="K828" i="44"/>
  <c r="O828" i="44"/>
  <c r="U828" i="44" s="1"/>
  <c r="I828" i="44"/>
  <c r="O127" i="44"/>
  <c r="U127" i="44" s="1"/>
  <c r="K127" i="44"/>
  <c r="I127" i="44"/>
  <c r="K302" i="44"/>
  <c r="O302" i="44"/>
  <c r="U302" i="44" s="1"/>
  <c r="I302" i="44"/>
  <c r="K176" i="44"/>
  <c r="O176" i="44"/>
  <c r="U176" i="44" s="1"/>
  <c r="I176" i="44"/>
  <c r="O619" i="44"/>
  <c r="U619" i="44" s="1"/>
  <c r="K619" i="44"/>
  <c r="I619" i="44"/>
  <c r="O683" i="44"/>
  <c r="U683" i="44" s="1"/>
  <c r="K683" i="44"/>
  <c r="I683" i="44"/>
  <c r="O555" i="44"/>
  <c r="U555" i="44" s="1"/>
  <c r="K555" i="44"/>
  <c r="I555" i="44"/>
  <c r="K414" i="44"/>
  <c r="O414" i="44"/>
  <c r="U414" i="44" s="1"/>
  <c r="I414" i="44"/>
  <c r="O870" i="44"/>
  <c r="U870" i="44" s="1"/>
  <c r="K870" i="44"/>
  <c r="I870" i="44"/>
  <c r="O628" i="44"/>
  <c r="U628" i="44" s="1"/>
  <c r="K628" i="44"/>
  <c r="I628" i="44"/>
  <c r="O648" i="44"/>
  <c r="U648" i="44" s="1"/>
  <c r="K648" i="44"/>
  <c r="I648" i="44"/>
  <c r="O678" i="44"/>
  <c r="U678" i="44" s="1"/>
  <c r="K678" i="44"/>
  <c r="I678" i="44"/>
  <c r="O230" i="44"/>
  <c r="U230" i="44" s="1"/>
  <c r="K230" i="44"/>
  <c r="I230" i="44"/>
  <c r="O383" i="44"/>
  <c r="U383" i="44" s="1"/>
  <c r="K383" i="44"/>
  <c r="I383" i="44"/>
  <c r="K425" i="44"/>
  <c r="O425" i="44"/>
  <c r="U425" i="44" s="1"/>
  <c r="I425" i="44"/>
  <c r="K226" i="44"/>
  <c r="O226" i="44"/>
  <c r="U226" i="44" s="1"/>
  <c r="I226" i="44"/>
  <c r="K788" i="44"/>
  <c r="O788" i="44"/>
  <c r="U788" i="44" s="1"/>
  <c r="I788" i="44"/>
  <c r="O200" i="44"/>
  <c r="U200" i="44" s="1"/>
  <c r="K200" i="44"/>
  <c r="I200" i="44"/>
  <c r="K645" i="44"/>
  <c r="O645" i="44"/>
  <c r="U645" i="44" s="1"/>
  <c r="I645" i="44"/>
  <c r="K570" i="44"/>
  <c r="O570" i="44"/>
  <c r="U570" i="44" s="1"/>
  <c r="I570" i="44"/>
  <c r="O253" i="44"/>
  <c r="U253" i="44" s="1"/>
  <c r="K253" i="44"/>
  <c r="I253" i="44"/>
  <c r="O639" i="44"/>
  <c r="U639" i="44" s="1"/>
  <c r="K639" i="44"/>
  <c r="I639" i="44"/>
  <c r="O761" i="44"/>
  <c r="U761" i="44" s="1"/>
  <c r="K761" i="44"/>
  <c r="I761" i="44"/>
  <c r="K548" i="44"/>
  <c r="O548" i="44"/>
  <c r="U548" i="44" s="1"/>
  <c r="I548" i="44"/>
  <c r="O494" i="44"/>
  <c r="U494" i="44" s="1"/>
  <c r="K494" i="44"/>
  <c r="I494" i="44"/>
  <c r="O399" i="44"/>
  <c r="U399" i="44" s="1"/>
  <c r="K399" i="44"/>
  <c r="I399" i="44"/>
  <c r="K820" i="44"/>
  <c r="O820" i="44"/>
  <c r="U820" i="44" s="1"/>
  <c r="I820" i="44"/>
  <c r="K445" i="44"/>
  <c r="O445" i="44"/>
  <c r="U445" i="44" s="1"/>
  <c r="I445" i="44"/>
  <c r="O271" i="44"/>
  <c r="U271" i="44" s="1"/>
  <c r="K271" i="44"/>
  <c r="I271" i="44"/>
  <c r="O586" i="44"/>
  <c r="U586" i="44" s="1"/>
  <c r="K586" i="44"/>
  <c r="I586" i="44"/>
  <c r="K252" i="44"/>
  <c r="O252" i="44"/>
  <c r="U252" i="44" s="1"/>
  <c r="I252" i="44"/>
  <c r="O547" i="44"/>
  <c r="U547" i="44" s="1"/>
  <c r="K547" i="44"/>
  <c r="I547" i="44"/>
  <c r="K697" i="44"/>
  <c r="O697" i="44"/>
  <c r="U697" i="44" s="1"/>
  <c r="I697" i="44"/>
  <c r="O373" i="44"/>
  <c r="U373" i="44" s="1"/>
  <c r="K373" i="44"/>
  <c r="I373" i="44"/>
  <c r="K156" i="44"/>
  <c r="O156" i="44"/>
  <c r="U156" i="44" s="1"/>
  <c r="I156" i="44"/>
  <c r="O172" i="44"/>
  <c r="U172" i="44" s="1"/>
  <c r="K172" i="44"/>
  <c r="I172" i="44"/>
  <c r="O483" i="44"/>
  <c r="U483" i="44" s="1"/>
  <c r="K483" i="44"/>
  <c r="I483" i="44"/>
  <c r="O199" i="44"/>
  <c r="U199" i="44" s="1"/>
  <c r="K199" i="44"/>
  <c r="I199" i="44"/>
  <c r="O636" i="44"/>
  <c r="U636" i="44" s="1"/>
  <c r="K636" i="44"/>
  <c r="I636" i="44"/>
  <c r="K477" i="44"/>
  <c r="O477" i="44"/>
  <c r="U477" i="44" s="1"/>
  <c r="I477" i="44"/>
  <c r="O802" i="44"/>
  <c r="U802" i="44" s="1"/>
  <c r="K802" i="44"/>
  <c r="I802" i="44"/>
  <c r="O263" i="44"/>
  <c r="U263" i="44" s="1"/>
  <c r="K263" i="44"/>
  <c r="I263" i="44"/>
  <c r="K643" i="44"/>
  <c r="O643" i="44"/>
  <c r="U643" i="44" s="1"/>
  <c r="I643" i="44"/>
  <c r="K568" i="44"/>
  <c r="O568" i="44"/>
  <c r="U568" i="44" s="1"/>
  <c r="I568" i="44"/>
  <c r="O23" i="44"/>
  <c r="U23" i="44" s="1"/>
  <c r="K23" i="44"/>
  <c r="I23" i="44"/>
  <c r="K44" i="44"/>
  <c r="O44" i="44"/>
  <c r="U44" i="44" s="1"/>
  <c r="I44" i="44"/>
  <c r="K184" i="44"/>
  <c r="O184" i="44"/>
  <c r="U184" i="44" s="1"/>
  <c r="I184" i="44"/>
  <c r="O466" i="44"/>
  <c r="U466" i="44" s="1"/>
  <c r="K466" i="44"/>
  <c r="I466" i="44"/>
  <c r="O727" i="44"/>
  <c r="U727" i="44" s="1"/>
  <c r="K727" i="44"/>
  <c r="I727" i="44"/>
  <c r="K854" i="44"/>
  <c r="O854" i="44"/>
  <c r="U854" i="44" s="1"/>
  <c r="I854" i="44"/>
  <c r="O684" i="44"/>
  <c r="U684" i="44" s="1"/>
  <c r="K684" i="44"/>
  <c r="I684" i="44"/>
  <c r="O512" i="44"/>
  <c r="U512" i="44" s="1"/>
  <c r="K512" i="44"/>
  <c r="I512" i="44"/>
  <c r="O274" i="44"/>
  <c r="U274" i="44" s="1"/>
  <c r="K274" i="44"/>
  <c r="I274" i="44"/>
  <c r="K827" i="44"/>
  <c r="O827" i="44"/>
  <c r="U827" i="44" s="1"/>
  <c r="I827" i="44"/>
  <c r="O142" i="44"/>
  <c r="U142" i="44" s="1"/>
  <c r="K142" i="44"/>
  <c r="I142" i="44"/>
  <c r="K281" i="44"/>
  <c r="O281" i="44"/>
  <c r="U281" i="44" s="1"/>
  <c r="I281" i="44"/>
  <c r="K518" i="44"/>
  <c r="O518" i="44"/>
  <c r="U518" i="44" s="1"/>
  <c r="I518" i="44"/>
  <c r="O386" i="44"/>
  <c r="U386" i="44" s="1"/>
  <c r="K386" i="44"/>
  <c r="I386" i="44"/>
  <c r="O368" i="44"/>
  <c r="U368" i="44" s="1"/>
  <c r="K368" i="44"/>
  <c r="I368" i="44"/>
  <c r="O798" i="44"/>
  <c r="U798" i="44" s="1"/>
  <c r="K798" i="44"/>
  <c r="I798" i="44"/>
  <c r="O563" i="44"/>
  <c r="U563" i="44" s="1"/>
  <c r="K563" i="44"/>
  <c r="I563" i="44"/>
  <c r="O689" i="44"/>
  <c r="U689" i="44" s="1"/>
  <c r="K689" i="44"/>
  <c r="I689" i="44"/>
  <c r="O632" i="44"/>
  <c r="U632" i="44" s="1"/>
  <c r="K632" i="44"/>
  <c r="I632" i="44"/>
  <c r="K39" i="44"/>
  <c r="O39" i="44"/>
  <c r="U39" i="44" s="1"/>
  <c r="I39" i="44"/>
  <c r="K377" i="44"/>
  <c r="O377" i="44"/>
  <c r="U377" i="44" s="1"/>
  <c r="I377" i="44"/>
  <c r="O196" i="44"/>
  <c r="U196" i="44" s="1"/>
  <c r="K196" i="44"/>
  <c r="I196" i="44"/>
  <c r="K293" i="44"/>
  <c r="O293" i="44"/>
  <c r="U293" i="44" s="1"/>
  <c r="I293" i="44"/>
  <c r="K355" i="44"/>
  <c r="O355" i="44"/>
  <c r="U355" i="44" s="1"/>
  <c r="I355" i="44"/>
  <c r="O407" i="44"/>
  <c r="U407" i="44" s="1"/>
  <c r="K407" i="44"/>
  <c r="I407" i="44"/>
  <c r="K84" i="44"/>
  <c r="O84" i="44"/>
  <c r="U84" i="44" s="1"/>
  <c r="I84" i="44"/>
  <c r="K310" i="44"/>
  <c r="O310" i="44"/>
  <c r="U310" i="44" s="1"/>
  <c r="I310" i="44"/>
  <c r="O549" i="44"/>
  <c r="U549" i="44" s="1"/>
  <c r="K549" i="44"/>
  <c r="I549" i="44"/>
  <c r="O309" i="44"/>
  <c r="U309" i="44" s="1"/>
  <c r="K309" i="44"/>
  <c r="I309" i="44"/>
  <c r="O219" i="44"/>
  <c r="U219" i="44" s="1"/>
  <c r="K219" i="44"/>
  <c r="I219" i="44"/>
  <c r="K149" i="44"/>
  <c r="O149" i="44"/>
  <c r="U149" i="44" s="1"/>
  <c r="I149" i="44"/>
  <c r="O65" i="44"/>
  <c r="U65" i="44" s="1"/>
  <c r="K65" i="44"/>
  <c r="I65" i="44"/>
  <c r="O305" i="44"/>
  <c r="U305" i="44" s="1"/>
  <c r="K305" i="44"/>
  <c r="I305" i="44"/>
  <c r="K26" i="44"/>
  <c r="O26" i="44"/>
  <c r="U26" i="44" s="1"/>
  <c r="I26" i="44"/>
  <c r="K24" i="44"/>
  <c r="O24" i="44"/>
  <c r="U24" i="44" s="1"/>
  <c r="I24" i="44"/>
  <c r="O532" i="44"/>
  <c r="U532" i="44" s="1"/>
  <c r="K532" i="44"/>
  <c r="I532" i="44"/>
  <c r="O752" i="44"/>
  <c r="U752" i="44" s="1"/>
  <c r="K752" i="44"/>
  <c r="I752" i="44"/>
  <c r="O666" i="44"/>
  <c r="U666" i="44" s="1"/>
  <c r="K666" i="44"/>
  <c r="I666" i="44"/>
  <c r="O605" i="44"/>
  <c r="U605" i="44" s="1"/>
  <c r="K605" i="44"/>
  <c r="I605" i="44"/>
  <c r="K560" i="44"/>
  <c r="O560" i="44"/>
  <c r="U560" i="44" s="1"/>
  <c r="I560" i="44"/>
  <c r="K749" i="44"/>
  <c r="O749" i="44"/>
  <c r="U749" i="44" s="1"/>
  <c r="I749" i="44"/>
  <c r="O721" i="44"/>
  <c r="U721" i="44" s="1"/>
  <c r="K721" i="44"/>
  <c r="I721" i="44"/>
  <c r="O486" i="44"/>
  <c r="U486" i="44" s="1"/>
  <c r="K486" i="44"/>
  <c r="I486" i="44"/>
  <c r="O865" i="44"/>
  <c r="U865" i="44" s="1"/>
  <c r="K865" i="44"/>
  <c r="I865" i="44"/>
  <c r="O535" i="44"/>
  <c r="U535" i="44" s="1"/>
  <c r="K535" i="44"/>
  <c r="I535" i="44"/>
  <c r="O165" i="44"/>
  <c r="U165" i="44" s="1"/>
  <c r="K165" i="44"/>
  <c r="I165" i="44"/>
  <c r="K185" i="44"/>
  <c r="O185" i="44"/>
  <c r="U185" i="44" s="1"/>
  <c r="I185" i="44"/>
  <c r="K671" i="44"/>
  <c r="O671" i="44"/>
  <c r="U671" i="44" s="1"/>
  <c r="I671" i="44"/>
  <c r="K736" i="44"/>
  <c r="O736" i="44"/>
  <c r="U736" i="44" s="1"/>
  <c r="I736" i="44"/>
  <c r="K357" i="44"/>
  <c r="O357" i="44"/>
  <c r="U357" i="44" s="1"/>
  <c r="I357" i="44"/>
  <c r="O138" i="44"/>
  <c r="U138" i="44" s="1"/>
  <c r="K138" i="44"/>
  <c r="I138" i="44"/>
  <c r="K13" i="44"/>
  <c r="O13" i="44"/>
  <c r="K441" i="44"/>
  <c r="O441" i="44"/>
  <c r="U441" i="44" s="1"/>
  <c r="I441" i="44"/>
  <c r="K241" i="44"/>
  <c r="O241" i="44"/>
  <c r="U241" i="44" s="1"/>
  <c r="I241" i="44"/>
  <c r="O353" i="44"/>
  <c r="U353" i="44" s="1"/>
  <c r="K353" i="44"/>
  <c r="I353" i="44"/>
  <c r="O701" i="44"/>
  <c r="U701" i="44" s="1"/>
  <c r="K701" i="44"/>
  <c r="I701" i="44"/>
  <c r="K431" i="44"/>
  <c r="O431" i="44"/>
  <c r="U431" i="44" s="1"/>
  <c r="I431" i="44"/>
  <c r="K462" i="44"/>
  <c r="O462" i="44"/>
  <c r="U462" i="44" s="1"/>
  <c r="I462" i="44"/>
  <c r="K411" i="44"/>
  <c r="O411" i="44"/>
  <c r="U411" i="44" s="1"/>
  <c r="I411" i="44"/>
  <c r="O409" i="44"/>
  <c r="U409" i="44" s="1"/>
  <c r="K409" i="44"/>
  <c r="I409" i="44"/>
  <c r="K249" i="44"/>
  <c r="O249" i="44"/>
  <c r="U249" i="44" s="1"/>
  <c r="I249" i="44"/>
  <c r="K216" i="44"/>
  <c r="O216" i="44"/>
  <c r="U216" i="44" s="1"/>
  <c r="I216" i="44"/>
  <c r="K251" i="44"/>
  <c r="O251" i="44"/>
  <c r="U251" i="44" s="1"/>
  <c r="I251" i="44"/>
  <c r="K152" i="44"/>
  <c r="O152" i="44"/>
  <c r="U152" i="44" s="1"/>
  <c r="I152" i="44"/>
  <c r="K397" i="44"/>
  <c r="O397" i="44"/>
  <c r="U397" i="44" s="1"/>
  <c r="I397" i="44"/>
  <c r="O587" i="44"/>
  <c r="U587" i="44" s="1"/>
  <c r="K587" i="44"/>
  <c r="I587" i="44"/>
  <c r="K664" i="44"/>
  <c r="O664" i="44"/>
  <c r="U664" i="44" s="1"/>
  <c r="I664" i="44"/>
  <c r="O211" i="44"/>
  <c r="U211" i="44" s="1"/>
  <c r="K211" i="44"/>
  <c r="I211" i="44"/>
  <c r="K225" i="44"/>
  <c r="O225" i="44"/>
  <c r="U225" i="44" s="1"/>
  <c r="I225" i="44"/>
  <c r="K339" i="44"/>
  <c r="O339" i="44"/>
  <c r="U339" i="44" s="1"/>
  <c r="I339" i="44"/>
  <c r="O160" i="44"/>
  <c r="U160" i="44" s="1"/>
  <c r="K160" i="44"/>
  <c r="I160" i="44"/>
  <c r="K308" i="44"/>
  <c r="O308" i="44"/>
  <c r="U308" i="44" s="1"/>
  <c r="I308" i="44"/>
  <c r="O673" i="44"/>
  <c r="U673" i="44" s="1"/>
  <c r="K673" i="44"/>
  <c r="I673" i="44"/>
  <c r="O821" i="44"/>
  <c r="U821" i="44" s="1"/>
  <c r="K821" i="44"/>
  <c r="I821" i="44"/>
  <c r="O686" i="44"/>
  <c r="U686" i="44" s="1"/>
  <c r="K686" i="44"/>
  <c r="I686" i="44"/>
  <c r="K621" i="44"/>
  <c r="O621" i="44"/>
  <c r="U621" i="44" s="1"/>
  <c r="I621" i="44"/>
  <c r="K356" i="44"/>
  <c r="O356" i="44"/>
  <c r="U356" i="44" s="1"/>
  <c r="I356" i="44"/>
  <c r="O291" i="44"/>
  <c r="U291" i="44" s="1"/>
  <c r="K291" i="44"/>
  <c r="I291" i="44"/>
  <c r="K154" i="44"/>
  <c r="O154" i="44"/>
  <c r="U154" i="44" s="1"/>
  <c r="I154" i="44"/>
  <c r="O757" i="44"/>
  <c r="U757" i="44" s="1"/>
  <c r="K757" i="44"/>
  <c r="I757" i="44"/>
  <c r="K240" i="44"/>
  <c r="O240" i="44"/>
  <c r="U240" i="44" s="1"/>
  <c r="I240" i="44"/>
  <c r="O630" i="44"/>
  <c r="U630" i="44" s="1"/>
  <c r="K630" i="44"/>
  <c r="I630" i="44"/>
  <c r="O858" i="44"/>
  <c r="U858" i="44" s="1"/>
  <c r="K858" i="44"/>
  <c r="I858" i="44"/>
  <c r="K323" i="44"/>
  <c r="O323" i="44"/>
  <c r="U323" i="44" s="1"/>
  <c r="I323" i="44"/>
  <c r="K545" i="44"/>
  <c r="O545" i="44"/>
  <c r="U545" i="44" s="1"/>
  <c r="I545" i="44"/>
  <c r="O287" i="44"/>
  <c r="U287" i="44" s="1"/>
  <c r="K287" i="44"/>
  <c r="I287" i="44"/>
  <c r="O175" i="44"/>
  <c r="U175" i="44" s="1"/>
  <c r="K175" i="44"/>
  <c r="I175" i="44"/>
  <c r="O371" i="44"/>
  <c r="U371" i="44" s="1"/>
  <c r="K371" i="44"/>
  <c r="I371" i="44"/>
  <c r="O410" i="44"/>
  <c r="U410" i="44" s="1"/>
  <c r="K410" i="44"/>
  <c r="I410" i="44"/>
  <c r="K244" i="44"/>
  <c r="O244" i="44"/>
  <c r="U244" i="44" s="1"/>
  <c r="I244" i="44"/>
  <c r="K17" i="44"/>
  <c r="O17" i="44"/>
  <c r="K593" i="44"/>
  <c r="O593" i="44"/>
  <c r="U593" i="44" s="1"/>
  <c r="I593" i="44"/>
  <c r="O776" i="44"/>
  <c r="U776" i="44" s="1"/>
  <c r="K776" i="44"/>
  <c r="I776" i="44"/>
  <c r="K265" i="44"/>
  <c r="O265" i="44"/>
  <c r="U265" i="44" s="1"/>
  <c r="I265" i="44"/>
  <c r="K81" i="44"/>
  <c r="O81" i="44"/>
  <c r="U81" i="44" s="1"/>
  <c r="I81" i="44"/>
  <c r="O857" i="44"/>
  <c r="U857" i="44" s="1"/>
  <c r="K857" i="44"/>
  <c r="I857" i="44"/>
  <c r="O541" i="44"/>
  <c r="U541" i="44" s="1"/>
  <c r="K541" i="44"/>
  <c r="I541" i="44"/>
  <c r="O617" i="44"/>
  <c r="U617" i="44" s="1"/>
  <c r="K617" i="44"/>
  <c r="I617" i="44"/>
  <c r="K398" i="44"/>
  <c r="O398" i="44"/>
  <c r="U398" i="44" s="1"/>
  <c r="I398" i="44"/>
  <c r="K748" i="44"/>
  <c r="O748" i="44"/>
  <c r="U748" i="44" s="1"/>
  <c r="I748" i="44"/>
  <c r="K746" i="44"/>
  <c r="O746" i="44"/>
  <c r="U746" i="44" s="1"/>
  <c r="I746" i="44"/>
  <c r="O542" i="44"/>
  <c r="U542" i="44" s="1"/>
  <c r="K542" i="44"/>
  <c r="I542" i="44"/>
  <c r="O35" i="44"/>
  <c r="U35" i="44" s="1"/>
  <c r="K35" i="44"/>
  <c r="I35" i="44"/>
  <c r="K661" i="44"/>
  <c r="O661" i="44"/>
  <c r="U661" i="44" s="1"/>
  <c r="I661" i="44"/>
  <c r="K119" i="44"/>
  <c r="O119" i="44"/>
  <c r="U119" i="44" s="1"/>
  <c r="I119" i="44"/>
  <c r="K97" i="44"/>
  <c r="O97" i="44"/>
  <c r="U97" i="44" s="1"/>
  <c r="I97" i="44"/>
  <c r="O11" i="44"/>
  <c r="K11" i="44"/>
  <c r="Z10" i="44"/>
  <c r="Y14" i="44"/>
  <c r="K297" i="44"/>
  <c r="O297" i="44"/>
  <c r="U297" i="44" s="1"/>
  <c r="I297" i="44"/>
  <c r="K794" i="44"/>
  <c r="O794" i="44"/>
  <c r="U794" i="44" s="1"/>
  <c r="I794" i="44"/>
  <c r="O294" i="44"/>
  <c r="U294" i="44" s="1"/>
  <c r="K294" i="44"/>
  <c r="I294" i="44"/>
  <c r="K476" i="44"/>
  <c r="O476" i="44"/>
  <c r="U476" i="44" s="1"/>
  <c r="I476" i="44"/>
  <c r="O718" i="44"/>
  <c r="U718" i="44" s="1"/>
  <c r="K718" i="44"/>
  <c r="I718" i="44"/>
  <c r="O747" i="44"/>
  <c r="U747" i="44" s="1"/>
  <c r="K747" i="44"/>
  <c r="I747" i="44"/>
  <c r="O553" i="44"/>
  <c r="U553" i="44" s="1"/>
  <c r="K553" i="44"/>
  <c r="I553" i="44"/>
  <c r="O329" i="44"/>
  <c r="U329" i="44" s="1"/>
  <c r="K329" i="44"/>
  <c r="I329" i="44"/>
  <c r="K756" i="44"/>
  <c r="O756" i="44"/>
  <c r="U756" i="44" s="1"/>
  <c r="I756" i="44"/>
  <c r="K753" i="44"/>
  <c r="O753" i="44"/>
  <c r="U753" i="44" s="1"/>
  <c r="I753" i="44"/>
  <c r="K40" i="44"/>
  <c r="O40" i="44"/>
  <c r="U40" i="44" s="1"/>
  <c r="I40" i="44"/>
  <c r="O444" i="44"/>
  <c r="U444" i="44" s="1"/>
  <c r="K444" i="44"/>
  <c r="I444" i="44"/>
  <c r="O554" i="44"/>
  <c r="U554" i="44" s="1"/>
  <c r="K554" i="44"/>
  <c r="I554" i="44"/>
  <c r="O88" i="44"/>
  <c r="U88" i="44" s="1"/>
  <c r="K88" i="44"/>
  <c r="I88" i="44"/>
  <c r="O279" i="44"/>
  <c r="U279" i="44" s="1"/>
  <c r="K279" i="44"/>
  <c r="I279" i="44"/>
  <c r="O498" i="44"/>
  <c r="U498" i="44" s="1"/>
  <c r="K498" i="44"/>
  <c r="I498" i="44"/>
  <c r="O818" i="44"/>
  <c r="U818" i="44" s="1"/>
  <c r="K818" i="44"/>
  <c r="I818" i="44"/>
  <c r="O413" i="44"/>
  <c r="U413" i="44" s="1"/>
  <c r="K413" i="44"/>
  <c r="I413" i="44"/>
  <c r="O793" i="44"/>
  <c r="U793" i="44" s="1"/>
  <c r="K793" i="44"/>
  <c r="I793" i="44"/>
  <c r="D732" i="66"/>
  <c r="P731" i="66"/>
  <c r="K423" i="44"/>
  <c r="O423" i="44"/>
  <c r="U423" i="44" s="1"/>
  <c r="I423" i="44"/>
  <c r="O565" i="44"/>
  <c r="U565" i="44" s="1"/>
  <c r="K565" i="44"/>
  <c r="I565" i="44"/>
  <c r="K454" i="44"/>
  <c r="O454" i="44"/>
  <c r="U454" i="44" s="1"/>
  <c r="I454" i="44"/>
  <c r="K676" i="44"/>
  <c r="O676" i="44"/>
  <c r="U676" i="44" s="1"/>
  <c r="I676" i="44"/>
  <c r="O220" i="44"/>
  <c r="U220" i="44" s="1"/>
  <c r="K220" i="44"/>
  <c r="I220" i="44"/>
  <c r="K720" i="44"/>
  <c r="O720" i="44"/>
  <c r="U720" i="44" s="1"/>
  <c r="I720" i="44"/>
  <c r="K588" i="44"/>
  <c r="O588" i="44"/>
  <c r="U588" i="44" s="1"/>
  <c r="I588" i="44"/>
  <c r="O457" i="44"/>
  <c r="U457" i="44" s="1"/>
  <c r="K457" i="44"/>
  <c r="I457" i="44"/>
  <c r="O781" i="44"/>
  <c r="U781" i="44" s="1"/>
  <c r="K781" i="44"/>
  <c r="I781" i="44"/>
  <c r="K365" i="44"/>
  <c r="O365" i="44"/>
  <c r="U365" i="44" s="1"/>
  <c r="I365" i="44"/>
  <c r="K266" i="44"/>
  <c r="O266" i="44"/>
  <c r="U266" i="44" s="1"/>
  <c r="I266" i="44"/>
  <c r="K702" i="44"/>
  <c r="O702" i="44"/>
  <c r="U702" i="44" s="1"/>
  <c r="I702" i="44"/>
  <c r="O785" i="44"/>
  <c r="U785" i="44" s="1"/>
  <c r="K785" i="44"/>
  <c r="I785" i="44"/>
  <c r="K492" i="44"/>
  <c r="O492" i="44"/>
  <c r="U492" i="44" s="1"/>
  <c r="I492" i="44"/>
  <c r="O168" i="44"/>
  <c r="U168" i="44" s="1"/>
  <c r="K168" i="44"/>
  <c r="I168" i="44"/>
  <c r="O379" i="44"/>
  <c r="U379" i="44" s="1"/>
  <c r="K379" i="44"/>
  <c r="I379" i="44"/>
  <c r="K336" i="44"/>
  <c r="O336" i="44"/>
  <c r="U336" i="44" s="1"/>
  <c r="I336" i="44"/>
  <c r="K838" i="44"/>
  <c r="O838" i="44"/>
  <c r="U838" i="44" s="1"/>
  <c r="I838" i="44"/>
  <c r="K210" i="44"/>
  <c r="O210" i="44"/>
  <c r="U210" i="44" s="1"/>
  <c r="I210" i="44"/>
  <c r="O557" i="44"/>
  <c r="U557" i="44" s="1"/>
  <c r="K557" i="44"/>
  <c r="I557" i="44"/>
  <c r="K652" i="44"/>
  <c r="O652" i="44"/>
  <c r="U652" i="44" s="1"/>
  <c r="I652" i="44"/>
  <c r="O306" i="44"/>
  <c r="U306" i="44" s="1"/>
  <c r="K306" i="44"/>
  <c r="I306" i="44"/>
  <c r="K773" i="44"/>
  <c r="O773" i="44"/>
  <c r="U773" i="44" s="1"/>
  <c r="I773" i="44"/>
  <c r="K672" i="44"/>
  <c r="O672" i="44"/>
  <c r="U672" i="44" s="1"/>
  <c r="I672" i="44"/>
  <c r="O763" i="44"/>
  <c r="U763" i="44" s="1"/>
  <c r="K763" i="44"/>
  <c r="I763" i="44"/>
  <c r="O182" i="44"/>
  <c r="U182" i="44" s="1"/>
  <c r="K182" i="44"/>
  <c r="I182" i="44"/>
  <c r="O769" i="44"/>
  <c r="U769" i="44" s="1"/>
  <c r="K769" i="44"/>
  <c r="I769" i="44"/>
  <c r="K334" i="44"/>
  <c r="O334" i="44"/>
  <c r="U334" i="44" s="1"/>
  <c r="I334" i="44"/>
  <c r="K34" i="44"/>
  <c r="O34" i="44"/>
  <c r="U34" i="44" s="1"/>
  <c r="I34" i="44"/>
  <c r="K415" i="44"/>
  <c r="O415" i="44"/>
  <c r="U415" i="44" s="1"/>
  <c r="I415" i="44"/>
  <c r="K49" i="44"/>
  <c r="O49" i="44"/>
  <c r="U49" i="44" s="1"/>
  <c r="I49" i="44"/>
  <c r="O868" i="44"/>
  <c r="U868" i="44" s="1"/>
  <c r="K868" i="44"/>
  <c r="I868" i="44"/>
  <c r="O669" i="44"/>
  <c r="U669" i="44" s="1"/>
  <c r="K669" i="44"/>
  <c r="I669" i="44"/>
  <c r="O775" i="44"/>
  <c r="U775" i="44" s="1"/>
  <c r="K775" i="44"/>
  <c r="I775" i="44"/>
  <c r="K558" i="44"/>
  <c r="O558" i="44"/>
  <c r="U558" i="44" s="1"/>
  <c r="I558" i="44"/>
  <c r="O41" i="44"/>
  <c r="U41" i="44" s="1"/>
  <c r="K41" i="44"/>
  <c r="I41" i="44"/>
  <c r="K503" i="44"/>
  <c r="O503" i="44"/>
  <c r="U503" i="44" s="1"/>
  <c r="I503" i="44"/>
  <c r="K288" i="44"/>
  <c r="O288" i="44"/>
  <c r="U288" i="44" s="1"/>
  <c r="I288" i="44"/>
  <c r="O825" i="44"/>
  <c r="U825" i="44" s="1"/>
  <c r="K825" i="44"/>
  <c r="I825" i="44"/>
  <c r="O369" i="44"/>
  <c r="U369" i="44" s="1"/>
  <c r="K369" i="44"/>
  <c r="I369" i="44"/>
  <c r="O15" i="44"/>
  <c r="K15" i="44"/>
  <c r="K543" i="44"/>
  <c r="O543" i="44"/>
  <c r="U543" i="44" s="1"/>
  <c r="I543" i="44"/>
  <c r="K606" i="44"/>
  <c r="O606" i="44"/>
  <c r="U606" i="44" s="1"/>
  <c r="I606" i="44"/>
  <c r="O649" i="44"/>
  <c r="U649" i="44" s="1"/>
  <c r="K649" i="44"/>
  <c r="I649" i="44"/>
  <c r="K98" i="44"/>
  <c r="O98" i="44"/>
  <c r="U98" i="44" s="1"/>
  <c r="I98" i="44"/>
  <c r="K641" i="44"/>
  <c r="O641" i="44"/>
  <c r="U641" i="44" s="1"/>
  <c r="I641" i="44"/>
  <c r="O361" i="44"/>
  <c r="U361" i="44" s="1"/>
  <c r="K361" i="44"/>
  <c r="I361" i="44"/>
  <c r="O267" i="44"/>
  <c r="U267" i="44" s="1"/>
  <c r="K267" i="44"/>
  <c r="I267" i="44"/>
  <c r="O627" i="44"/>
  <c r="U627" i="44" s="1"/>
  <c r="K627" i="44"/>
  <c r="I627" i="44"/>
  <c r="K698" i="44"/>
  <c r="O698" i="44"/>
  <c r="U698" i="44" s="1"/>
  <c r="I698" i="44"/>
  <c r="O12" i="44"/>
  <c r="K12" i="44"/>
  <c r="O349" i="44"/>
  <c r="U349" i="44" s="1"/>
  <c r="K349" i="44"/>
  <c r="I349" i="44"/>
  <c r="K830" i="44"/>
  <c r="O830" i="44"/>
  <c r="U830" i="44" s="1"/>
  <c r="I830" i="44"/>
  <c r="K331" i="44"/>
  <c r="O331" i="44"/>
  <c r="U331" i="44" s="1"/>
  <c r="I331" i="44"/>
  <c r="K782" i="44"/>
  <c r="O782" i="44"/>
  <c r="U782" i="44" s="1"/>
  <c r="I782" i="44"/>
  <c r="O616" i="44"/>
  <c r="U616" i="44" s="1"/>
  <c r="K616" i="44"/>
  <c r="I616" i="44"/>
  <c r="K203" i="44"/>
  <c r="O203" i="44"/>
  <c r="U203" i="44" s="1"/>
  <c r="I203" i="44"/>
  <c r="O135" i="44"/>
  <c r="U135" i="44" s="1"/>
  <c r="K135" i="44"/>
  <c r="I135" i="44"/>
  <c r="K342" i="44"/>
  <c r="O342" i="44"/>
  <c r="U342" i="44" s="1"/>
  <c r="I342" i="44"/>
  <c r="K829" i="44"/>
  <c r="O829" i="44"/>
  <c r="U829" i="44" s="1"/>
  <c r="I829" i="44"/>
  <c r="K141" i="44"/>
  <c r="O141" i="44"/>
  <c r="U141" i="44" s="1"/>
  <c r="I141" i="44"/>
  <c r="K681" i="44"/>
  <c r="O681" i="44"/>
  <c r="U681" i="44" s="1"/>
  <c r="I681" i="44"/>
  <c r="K57" i="44"/>
  <c r="O57" i="44"/>
  <c r="U57" i="44" s="1"/>
  <c r="I57" i="44"/>
  <c r="K270" i="44"/>
  <c r="O270" i="44"/>
  <c r="U270" i="44" s="1"/>
  <c r="I270" i="44"/>
  <c r="K388" i="44"/>
  <c r="O388" i="44"/>
  <c r="U388" i="44" s="1"/>
  <c r="I388" i="44"/>
  <c r="K384" i="44"/>
  <c r="O384" i="44"/>
  <c r="U384" i="44" s="1"/>
  <c r="I384" i="44"/>
  <c r="O448" i="44"/>
  <c r="U448" i="44" s="1"/>
  <c r="K448" i="44"/>
  <c r="I448" i="44"/>
  <c r="K112" i="44"/>
  <c r="O112" i="44"/>
  <c r="U112" i="44" s="1"/>
  <c r="I112" i="44"/>
  <c r="O420" i="44"/>
  <c r="U420" i="44" s="1"/>
  <c r="K420" i="44"/>
  <c r="I420" i="44"/>
  <c r="K147" i="44"/>
  <c r="O147" i="44"/>
  <c r="U147" i="44" s="1"/>
  <c r="I147" i="44"/>
  <c r="K125" i="44"/>
  <c r="O125" i="44"/>
  <c r="U125" i="44" s="1"/>
  <c r="I125" i="44"/>
  <c r="O352" i="44"/>
  <c r="U352" i="44" s="1"/>
  <c r="K352" i="44"/>
  <c r="I352" i="44"/>
  <c r="O771" i="44"/>
  <c r="U771" i="44" s="1"/>
  <c r="K771" i="44"/>
  <c r="I771" i="44"/>
  <c r="O278" i="44"/>
  <c r="U278" i="44" s="1"/>
  <c r="K278" i="44"/>
  <c r="I278" i="44"/>
  <c r="K255" i="44"/>
  <c r="O255" i="44"/>
  <c r="U255" i="44" s="1"/>
  <c r="I255" i="44"/>
  <c r="O580" i="44"/>
  <c r="U580" i="44" s="1"/>
  <c r="K580" i="44"/>
  <c r="I580" i="44"/>
  <c r="O607" i="44"/>
  <c r="U607" i="44" s="1"/>
  <c r="K607" i="44"/>
  <c r="I607" i="44"/>
  <c r="K806" i="44"/>
  <c r="O806" i="44"/>
  <c r="U806" i="44" s="1"/>
  <c r="I806" i="44"/>
  <c r="O320" i="44"/>
  <c r="U320" i="44" s="1"/>
  <c r="K320" i="44"/>
  <c r="I320" i="44"/>
  <c r="O103" i="44"/>
  <c r="U103" i="44" s="1"/>
  <c r="K103" i="44"/>
  <c r="I103" i="44"/>
  <c r="K243" i="44"/>
  <c r="O243" i="44"/>
  <c r="U243" i="44" s="1"/>
  <c r="I243" i="44"/>
  <c r="K18" i="44"/>
  <c r="O18" i="44"/>
  <c r="O418" i="44"/>
  <c r="U418" i="44" s="1"/>
  <c r="K418" i="44"/>
  <c r="I418" i="44"/>
  <c r="K478" i="44"/>
  <c r="O478" i="44"/>
  <c r="U478" i="44" s="1"/>
  <c r="I478" i="44"/>
  <c r="K137" i="44"/>
  <c r="O137" i="44"/>
  <c r="U137" i="44" s="1"/>
  <c r="I137" i="44"/>
  <c r="K80" i="44"/>
  <c r="O80" i="44"/>
  <c r="U80" i="44" s="1"/>
  <c r="I80" i="44"/>
  <c r="O395" i="44"/>
  <c r="U395" i="44" s="1"/>
  <c r="K395" i="44"/>
  <c r="I395" i="44"/>
  <c r="O724" i="44"/>
  <c r="U724" i="44" s="1"/>
  <c r="K724" i="44"/>
  <c r="I724" i="44"/>
  <c r="K285" i="44"/>
  <c r="O285" i="44"/>
  <c r="U285" i="44" s="1"/>
  <c r="I285" i="44"/>
  <c r="O685" i="44"/>
  <c r="U685" i="44" s="1"/>
  <c r="K685" i="44"/>
  <c r="I685" i="44"/>
  <c r="O350" i="44"/>
  <c r="U350" i="44" s="1"/>
  <c r="K350" i="44"/>
  <c r="I350" i="44"/>
  <c r="K209" i="44"/>
  <c r="O209" i="44"/>
  <c r="U209" i="44" s="1"/>
  <c r="I209" i="44"/>
  <c r="O871" i="44"/>
  <c r="U871" i="44" s="1"/>
  <c r="K871" i="44"/>
  <c r="I871" i="44"/>
  <c r="O869" i="44"/>
  <c r="U869" i="44" s="1"/>
  <c r="K869" i="44"/>
  <c r="I869" i="44"/>
  <c r="O832" i="44"/>
  <c r="U832" i="44" s="1"/>
  <c r="K832" i="44"/>
  <c r="I832" i="44"/>
  <c r="K863" i="44"/>
  <c r="O863" i="44"/>
  <c r="U863" i="44" s="1"/>
  <c r="I863" i="44"/>
  <c r="K214" i="44"/>
  <c r="O214" i="44"/>
  <c r="U214" i="44" s="1"/>
  <c r="I214" i="44"/>
  <c r="K27" i="44"/>
  <c r="O27" i="44"/>
  <c r="U27" i="44" s="1"/>
  <c r="I27" i="44"/>
  <c r="O624" i="44"/>
  <c r="U624" i="44" s="1"/>
  <c r="K624" i="44"/>
  <c r="I624" i="44"/>
  <c r="K507" i="44"/>
  <c r="O507" i="44"/>
  <c r="U507" i="44" s="1"/>
  <c r="I507" i="44"/>
  <c r="O722" i="44"/>
  <c r="U722" i="44" s="1"/>
  <c r="K722" i="44"/>
  <c r="I722" i="44"/>
  <c r="K157" i="44"/>
  <c r="O157" i="44"/>
  <c r="U157" i="44" s="1"/>
  <c r="I157" i="44"/>
  <c r="K257" i="44"/>
  <c r="O257" i="44"/>
  <c r="U257" i="44" s="1"/>
  <c r="I257" i="44"/>
  <c r="O437" i="44"/>
  <c r="U437" i="44" s="1"/>
  <c r="K437" i="44"/>
  <c r="I437" i="44"/>
  <c r="K529" i="44"/>
  <c r="O529" i="44"/>
  <c r="U529" i="44" s="1"/>
  <c r="I529" i="44"/>
  <c r="K412" i="44"/>
  <c r="O412" i="44"/>
  <c r="U412" i="44" s="1"/>
  <c r="I412" i="44"/>
  <c r="O789" i="44"/>
  <c r="U789" i="44" s="1"/>
  <c r="K789" i="44"/>
  <c r="I789" i="44"/>
  <c r="K744" i="44"/>
  <c r="O744" i="44"/>
  <c r="U744" i="44" s="1"/>
  <c r="I744" i="44"/>
  <c r="K634" i="44"/>
  <c r="O634" i="44"/>
  <c r="U634" i="44" s="1"/>
  <c r="I634" i="44"/>
  <c r="K559" i="44"/>
  <c r="O559" i="44"/>
  <c r="U559" i="44" s="1"/>
  <c r="I559" i="44"/>
  <c r="K402" i="44"/>
  <c r="O402" i="44"/>
  <c r="U402" i="44" s="1"/>
  <c r="I402" i="44"/>
  <c r="O717" i="44"/>
  <c r="U717" i="44" s="1"/>
  <c r="K717" i="44"/>
  <c r="I717" i="44"/>
  <c r="K509" i="44"/>
  <c r="O509" i="44"/>
  <c r="U509" i="44" s="1"/>
  <c r="I509" i="44"/>
  <c r="K321" i="44"/>
  <c r="O321" i="44"/>
  <c r="U321" i="44" s="1"/>
  <c r="I321" i="44"/>
  <c r="O730" i="44"/>
  <c r="U730" i="44" s="1"/>
  <c r="K730" i="44"/>
  <c r="I730" i="44"/>
  <c r="K667" i="44"/>
  <c r="O667" i="44"/>
  <c r="U667" i="44" s="1"/>
  <c r="I667" i="44"/>
  <c r="O561" i="44"/>
  <c r="U561" i="44" s="1"/>
  <c r="K561" i="44"/>
  <c r="I561" i="44"/>
  <c r="O654" i="44"/>
  <c r="U654" i="44" s="1"/>
  <c r="K654" i="44"/>
  <c r="I654" i="44"/>
  <c r="K490" i="44"/>
  <c r="O490" i="44"/>
  <c r="U490" i="44" s="1"/>
  <c r="I490" i="44"/>
  <c r="K584" i="44"/>
  <c r="O584" i="44"/>
  <c r="U584" i="44" s="1"/>
  <c r="I584" i="44"/>
  <c r="O146" i="44"/>
  <c r="U146" i="44" s="1"/>
  <c r="K146" i="44"/>
  <c r="I146" i="44"/>
  <c r="K493" i="44"/>
  <c r="O493" i="44"/>
  <c r="U493" i="44" s="1"/>
  <c r="I493" i="44"/>
  <c r="K327" i="44"/>
  <c r="O327" i="44"/>
  <c r="U327" i="44" s="1"/>
  <c r="I327" i="44"/>
  <c r="K312" i="44"/>
  <c r="O312" i="44"/>
  <c r="U312" i="44" s="1"/>
  <c r="I312" i="44"/>
  <c r="K502" i="44"/>
  <c r="O502" i="44"/>
  <c r="U502" i="44" s="1"/>
  <c r="I502" i="44"/>
  <c r="O576" i="44"/>
  <c r="U576" i="44" s="1"/>
  <c r="K576" i="44"/>
  <c r="I576" i="44"/>
  <c r="O212" i="44"/>
  <c r="U212" i="44" s="1"/>
  <c r="K212" i="44"/>
  <c r="I212" i="44"/>
  <c r="K544" i="44"/>
  <c r="O544" i="44"/>
  <c r="U544" i="44" s="1"/>
  <c r="I544" i="44"/>
  <c r="K809" i="44"/>
  <c r="O809" i="44"/>
  <c r="U809" i="44" s="1"/>
  <c r="I809" i="44"/>
  <c r="K862" i="44"/>
  <c r="O862" i="44"/>
  <c r="U862" i="44" s="1"/>
  <c r="I862" i="44"/>
  <c r="K800" i="44"/>
  <c r="O800" i="44"/>
  <c r="U800" i="44" s="1"/>
  <c r="I800" i="44"/>
  <c r="K449" i="44"/>
  <c r="O449" i="44"/>
  <c r="U449" i="44" s="1"/>
  <c r="I449" i="44"/>
  <c r="K90" i="44"/>
  <c r="O90" i="44"/>
  <c r="U90" i="44" s="1"/>
  <c r="I90" i="44"/>
  <c r="K665" i="44"/>
  <c r="O665" i="44"/>
  <c r="U665" i="44" s="1"/>
  <c r="I665" i="44"/>
  <c r="K33" i="44"/>
  <c r="O33" i="44"/>
  <c r="U33" i="44" s="1"/>
  <c r="I33" i="44"/>
  <c r="K432" i="44"/>
  <c r="O432" i="44"/>
  <c r="U432" i="44" s="1"/>
  <c r="I432" i="44"/>
  <c r="K847" i="44"/>
  <c r="O847" i="44"/>
  <c r="U847" i="44" s="1"/>
  <c r="I847" i="44"/>
  <c r="O598" i="44"/>
  <c r="U598" i="44" s="1"/>
  <c r="K598" i="44"/>
  <c r="I598" i="44"/>
  <c r="K536" i="44"/>
  <c r="O536" i="44"/>
  <c r="U536" i="44" s="1"/>
  <c r="I536" i="44"/>
  <c r="O841" i="44"/>
  <c r="U841" i="44" s="1"/>
  <c r="K841" i="44"/>
  <c r="I841" i="44"/>
  <c r="O663" i="44"/>
  <c r="U663" i="44" s="1"/>
  <c r="K663" i="44"/>
  <c r="I663" i="44"/>
  <c r="K61" i="44"/>
  <c r="O61" i="44"/>
  <c r="U61" i="44" s="1"/>
  <c r="I61" i="44"/>
  <c r="K622" i="44"/>
  <c r="O622" i="44"/>
  <c r="U622" i="44" s="1"/>
  <c r="I622" i="44"/>
  <c r="K376" i="44"/>
  <c r="O376" i="44"/>
  <c r="U376" i="44" s="1"/>
  <c r="I376" i="44"/>
  <c r="O826" i="44"/>
  <c r="U826" i="44" s="1"/>
  <c r="K826" i="44"/>
  <c r="I826" i="44"/>
  <c r="K71" i="44"/>
  <c r="O71" i="44"/>
  <c r="U71" i="44" s="1"/>
  <c r="I71" i="44"/>
  <c r="O261" i="44"/>
  <c r="U261" i="44" s="1"/>
  <c r="K261" i="44"/>
  <c r="I261" i="44"/>
  <c r="K66" i="44"/>
  <c r="O66" i="44"/>
  <c r="U66" i="44" s="1"/>
  <c r="I66" i="44"/>
  <c r="O762" i="44"/>
  <c r="U762" i="44" s="1"/>
  <c r="K762" i="44"/>
  <c r="I762" i="44"/>
  <c r="K471" i="44"/>
  <c r="O471" i="44"/>
  <c r="U471" i="44" s="1"/>
  <c r="I471" i="44"/>
  <c r="O428" i="44"/>
  <c r="U428" i="44" s="1"/>
  <c r="K428" i="44"/>
  <c r="I428" i="44"/>
  <c r="O345" i="44"/>
  <c r="U345" i="44" s="1"/>
  <c r="K345" i="44"/>
  <c r="I345" i="44"/>
  <c r="O745" i="44"/>
  <c r="U745" i="44" s="1"/>
  <c r="K745" i="44"/>
  <c r="I745" i="44"/>
  <c r="O569" i="44"/>
  <c r="U569" i="44" s="1"/>
  <c r="K569" i="44"/>
  <c r="I569" i="44"/>
  <c r="K122" i="44"/>
  <c r="O122" i="44"/>
  <c r="U122" i="44" s="1"/>
  <c r="I122" i="44"/>
  <c r="O520" i="44"/>
  <c r="U520" i="44" s="1"/>
  <c r="K520" i="44"/>
  <c r="I520" i="44"/>
  <c r="O625" i="44"/>
  <c r="U625" i="44" s="1"/>
  <c r="K625" i="44"/>
  <c r="I625" i="44"/>
  <c r="O102" i="44"/>
  <c r="U102" i="44" s="1"/>
  <c r="K102" i="44"/>
  <c r="I102" i="44"/>
  <c r="O655" i="44"/>
  <c r="U655" i="44" s="1"/>
  <c r="K655" i="44"/>
  <c r="I655" i="44"/>
  <c r="K289" i="44"/>
  <c r="O289" i="44"/>
  <c r="U289" i="44" s="1"/>
  <c r="I289" i="44"/>
  <c r="O188" i="44"/>
  <c r="U188" i="44" s="1"/>
  <c r="K188" i="44"/>
  <c r="I188" i="44"/>
  <c r="K708" i="44"/>
  <c r="O708" i="44"/>
  <c r="U708" i="44" s="1"/>
  <c r="I708" i="44"/>
  <c r="O790" i="44"/>
  <c r="U790" i="44" s="1"/>
  <c r="K790" i="44"/>
  <c r="I790" i="44"/>
  <c r="K239" i="44"/>
  <c r="O239" i="44"/>
  <c r="U239" i="44" s="1"/>
  <c r="I239" i="44"/>
  <c r="K723" i="44"/>
  <c r="O723" i="44"/>
  <c r="U723" i="44" s="1"/>
  <c r="I723" i="44"/>
  <c r="O470" i="44"/>
  <c r="U470" i="44" s="1"/>
  <c r="K470" i="44"/>
  <c r="I470" i="44"/>
  <c r="O162" i="44"/>
  <c r="U162" i="44" s="1"/>
  <c r="K162" i="44"/>
  <c r="I162" i="44"/>
  <c r="K190" i="44"/>
  <c r="O190" i="44"/>
  <c r="U190" i="44" s="1"/>
  <c r="I190" i="44"/>
  <c r="O295" i="44"/>
  <c r="U295" i="44" s="1"/>
  <c r="K295" i="44"/>
  <c r="I295" i="44"/>
  <c r="K803" i="44"/>
  <c r="O803" i="44"/>
  <c r="U803" i="44" s="1"/>
  <c r="I803" i="44"/>
  <c r="O577" i="44"/>
  <c r="U577" i="44" s="1"/>
  <c r="K577" i="44"/>
  <c r="I577" i="44"/>
  <c r="K786" i="44"/>
  <c r="O786" i="44"/>
  <c r="U786" i="44" s="1"/>
  <c r="I786" i="44"/>
  <c r="K254" i="44"/>
  <c r="O254" i="44"/>
  <c r="U254" i="44" s="1"/>
  <c r="I254" i="44"/>
  <c r="O151" i="44"/>
  <c r="U151" i="44" s="1"/>
  <c r="K151" i="44"/>
  <c r="I151" i="44"/>
  <c r="O186" i="44"/>
  <c r="U186" i="44" s="1"/>
  <c r="K186" i="44"/>
  <c r="I186" i="44"/>
  <c r="O844" i="44"/>
  <c r="U844" i="44" s="1"/>
  <c r="K844" i="44"/>
  <c r="I844" i="44"/>
  <c r="O143" i="44"/>
  <c r="U143" i="44" s="1"/>
  <c r="K143" i="44"/>
  <c r="I143" i="44"/>
  <c r="O262" i="44"/>
  <c r="U262" i="44" s="1"/>
  <c r="K262" i="44"/>
  <c r="I262" i="44"/>
  <c r="O58" i="44"/>
  <c r="U58" i="44" s="1"/>
  <c r="K58" i="44"/>
  <c r="I58" i="44"/>
  <c r="K463" i="44"/>
  <c r="O463" i="44"/>
  <c r="U463" i="44" s="1"/>
  <c r="I463" i="44"/>
  <c r="O496" i="44"/>
  <c r="U496" i="44" s="1"/>
  <c r="K496" i="44"/>
  <c r="I496" i="44"/>
  <c r="K284" i="44"/>
  <c r="O284" i="44"/>
  <c r="U284" i="44" s="1"/>
  <c r="I284" i="44"/>
  <c r="K766" i="44"/>
  <c r="O766" i="44"/>
  <c r="U766" i="44" s="1"/>
  <c r="I766" i="44"/>
  <c r="K618" i="44"/>
  <c r="O618" i="44"/>
  <c r="U618" i="44" s="1"/>
  <c r="I618" i="44"/>
  <c r="O343" i="44"/>
  <c r="U343" i="44" s="1"/>
  <c r="K343" i="44"/>
  <c r="I343" i="44"/>
  <c r="K340" i="44"/>
  <c r="O340" i="44"/>
  <c r="U340" i="44" s="1"/>
  <c r="I340" i="44"/>
  <c r="K31" i="44"/>
  <c r="O31" i="44"/>
  <c r="U31" i="44" s="1"/>
  <c r="I31" i="44"/>
  <c r="O37" i="44"/>
  <c r="U37" i="44" s="1"/>
  <c r="K37" i="44"/>
  <c r="I37" i="44"/>
  <c r="K732" i="44"/>
  <c r="O732" i="44"/>
  <c r="U732" i="44" s="1"/>
  <c r="I732" i="44"/>
  <c r="O56" i="44"/>
  <c r="U56" i="44" s="1"/>
  <c r="K56" i="44"/>
  <c r="I56" i="44"/>
  <c r="O45" i="44"/>
  <c r="U45" i="44" s="1"/>
  <c r="K45" i="44"/>
  <c r="I45" i="44"/>
  <c r="O791" i="44"/>
  <c r="U791" i="44" s="1"/>
  <c r="K791" i="44"/>
  <c r="I791" i="44"/>
  <c r="K123" i="44"/>
  <c r="O123" i="44"/>
  <c r="U123" i="44" s="1"/>
  <c r="I123" i="44"/>
  <c r="O250" i="44"/>
  <c r="U250" i="44" s="1"/>
  <c r="K250" i="44"/>
  <c r="I250" i="44"/>
  <c r="K417" i="44"/>
  <c r="O417" i="44"/>
  <c r="U417" i="44" s="1"/>
  <c r="I417" i="44"/>
  <c r="O469" i="44"/>
  <c r="U469" i="44" s="1"/>
  <c r="K469" i="44"/>
  <c r="I469" i="44"/>
  <c r="K767" i="44"/>
  <c r="O767" i="44"/>
  <c r="U767" i="44" s="1"/>
  <c r="I767" i="44"/>
  <c r="K215" i="44"/>
  <c r="O215" i="44"/>
  <c r="U215" i="44" s="1"/>
  <c r="I215" i="44"/>
  <c r="K620" i="44"/>
  <c r="O620" i="44"/>
  <c r="U620" i="44" s="1"/>
  <c r="I620" i="44"/>
  <c r="O14" i="44"/>
  <c r="K14" i="44"/>
  <c r="O93" i="44"/>
  <c r="U93" i="44" s="1"/>
  <c r="K93" i="44"/>
  <c r="I93" i="44"/>
  <c r="K359" i="44"/>
  <c r="O359" i="44"/>
  <c r="U359" i="44" s="1"/>
  <c r="I359" i="44"/>
  <c r="O623" i="44"/>
  <c r="U623" i="44" s="1"/>
  <c r="K623" i="44"/>
  <c r="I623" i="44"/>
  <c r="O296" i="44"/>
  <c r="U296" i="44" s="1"/>
  <c r="K296" i="44"/>
  <c r="I296" i="44"/>
  <c r="O523" i="44"/>
  <c r="U523" i="44" s="1"/>
  <c r="K523" i="44"/>
  <c r="I523" i="44"/>
  <c r="O198" i="44"/>
  <c r="U198" i="44" s="1"/>
  <c r="K198" i="44"/>
  <c r="I198" i="44"/>
  <c r="O751" i="44"/>
  <c r="U751" i="44" s="1"/>
  <c r="K751" i="44"/>
  <c r="I751" i="44"/>
  <c r="K657" i="44"/>
  <c r="O657" i="44"/>
  <c r="U657" i="44" s="1"/>
  <c r="I657" i="44"/>
  <c r="O298" i="44"/>
  <c r="U298" i="44" s="1"/>
  <c r="K298" i="44"/>
  <c r="I298" i="44"/>
  <c r="O367" i="44"/>
  <c r="U367" i="44" s="1"/>
  <c r="K367" i="44"/>
  <c r="I367" i="44"/>
  <c r="O205" i="44"/>
  <c r="U205" i="44" s="1"/>
  <c r="K205" i="44"/>
  <c r="I205" i="44"/>
  <c r="K475" i="44"/>
  <c r="O475" i="44"/>
  <c r="U475" i="44" s="1"/>
  <c r="I475" i="44"/>
  <c r="K813" i="44"/>
  <c r="O813" i="44"/>
  <c r="U813" i="44" s="1"/>
  <c r="I813" i="44"/>
  <c r="O611" i="44"/>
  <c r="U611" i="44" s="1"/>
  <c r="K611" i="44"/>
  <c r="I611" i="44"/>
  <c r="K604" i="44"/>
  <c r="O604" i="44"/>
  <c r="U604" i="44" s="1"/>
  <c r="I604" i="44"/>
  <c r="O458" i="44"/>
  <c r="U458" i="44" s="1"/>
  <c r="K458" i="44"/>
  <c r="I458" i="44"/>
  <c r="O474" i="44"/>
  <c r="U474" i="44" s="1"/>
  <c r="K474" i="44"/>
  <c r="I474" i="44"/>
  <c r="O811" i="44"/>
  <c r="U811" i="44" s="1"/>
  <c r="K811" i="44"/>
  <c r="I811" i="44"/>
  <c r="K443" i="44"/>
  <c r="O443" i="44"/>
  <c r="U443" i="44" s="1"/>
  <c r="I443" i="44"/>
  <c r="O484" i="44"/>
  <c r="U484" i="44" s="1"/>
  <c r="K484" i="44"/>
  <c r="I484" i="44"/>
  <c r="O319" i="44"/>
  <c r="U319" i="44" s="1"/>
  <c r="K319" i="44"/>
  <c r="I319" i="44"/>
  <c r="K360" i="44"/>
  <c r="O360" i="44"/>
  <c r="U360" i="44" s="1"/>
  <c r="I360" i="44"/>
  <c r="O777" i="44"/>
  <c r="U777" i="44" s="1"/>
  <c r="K777" i="44"/>
  <c r="I777" i="44"/>
  <c r="O223" i="44"/>
  <c r="U223" i="44" s="1"/>
  <c r="K223" i="44"/>
  <c r="I223" i="44"/>
  <c r="K429" i="44"/>
  <c r="O429" i="44"/>
  <c r="U429" i="44" s="1"/>
  <c r="I429" i="44"/>
  <c r="O534" i="44"/>
  <c r="U534" i="44" s="1"/>
  <c r="K534" i="44"/>
  <c r="I534" i="44"/>
  <c r="O134" i="44"/>
  <c r="U134" i="44" s="1"/>
  <c r="K134" i="44"/>
  <c r="I134" i="44"/>
  <c r="K712" i="44"/>
  <c r="O712" i="44"/>
  <c r="U712" i="44" s="1"/>
  <c r="I712" i="44"/>
  <c r="K814" i="44"/>
  <c r="O814" i="44"/>
  <c r="U814" i="44" s="1"/>
  <c r="I814" i="44"/>
  <c r="O87" i="44"/>
  <c r="U87" i="44" s="1"/>
  <c r="K87" i="44"/>
  <c r="I87" i="44"/>
  <c r="K166" i="44"/>
  <c r="O166" i="44"/>
  <c r="U166" i="44" s="1"/>
  <c r="I166" i="44"/>
  <c r="K366" i="44"/>
  <c r="O366" i="44"/>
  <c r="U366" i="44" s="1"/>
  <c r="I366" i="44"/>
  <c r="O173" i="44"/>
  <c r="U173" i="44" s="1"/>
  <c r="K173" i="44"/>
  <c r="I173" i="44"/>
  <c r="O734" i="44"/>
  <c r="U734" i="44" s="1"/>
  <c r="K734" i="44"/>
  <c r="I734" i="44"/>
  <c r="K731" i="44"/>
  <c r="O731" i="44"/>
  <c r="U731" i="44" s="1"/>
  <c r="I731" i="44"/>
  <c r="O510" i="44"/>
  <c r="U510" i="44" s="1"/>
  <c r="K510" i="44"/>
  <c r="I510" i="44"/>
  <c r="O839" i="44"/>
  <c r="U839" i="44" s="1"/>
  <c r="K839" i="44"/>
  <c r="I839" i="44"/>
  <c r="K716" i="44"/>
  <c r="O716" i="44"/>
  <c r="U716" i="44" s="1"/>
  <c r="I716" i="44"/>
  <c r="O440" i="44"/>
  <c r="U440" i="44" s="1"/>
  <c r="K440" i="44"/>
  <c r="I440" i="44"/>
  <c r="K710" i="44"/>
  <c r="O710" i="44"/>
  <c r="U710" i="44" s="1"/>
  <c r="I710" i="44"/>
  <c r="K421" i="44"/>
  <c r="O421" i="44"/>
  <c r="U421" i="44" s="1"/>
  <c r="I421" i="44"/>
  <c r="O286" i="44"/>
  <c r="U286" i="44" s="1"/>
  <c r="K286" i="44"/>
  <c r="I286" i="44"/>
  <c r="K581" i="44"/>
  <c r="O581" i="44"/>
  <c r="U581" i="44" s="1"/>
  <c r="I581" i="44"/>
  <c r="K508" i="44"/>
  <c r="O508" i="44"/>
  <c r="U508" i="44" s="1"/>
  <c r="I508" i="44"/>
  <c r="K719" i="44"/>
  <c r="O719" i="44"/>
  <c r="U719" i="44" s="1"/>
  <c r="I719" i="44"/>
  <c r="O787" i="44"/>
  <c r="U787" i="44" s="1"/>
  <c r="K787" i="44"/>
  <c r="I787" i="44"/>
  <c r="O174" i="44"/>
  <c r="U174" i="44" s="1"/>
  <c r="K174" i="44"/>
  <c r="I174" i="44"/>
  <c r="O729" i="44"/>
  <c r="U729" i="44" s="1"/>
  <c r="K729" i="44"/>
  <c r="I729" i="44"/>
  <c r="O347" i="44"/>
  <c r="U347" i="44" s="1"/>
  <c r="K347" i="44"/>
  <c r="I347" i="44"/>
  <c r="O833" i="44"/>
  <c r="U833" i="44" s="1"/>
  <c r="K833" i="44"/>
  <c r="I833" i="44"/>
  <c r="O742" i="44"/>
  <c r="U742" i="44" s="1"/>
  <c r="K742" i="44"/>
  <c r="I742" i="44"/>
  <c r="O314" i="44"/>
  <c r="U314" i="44" s="1"/>
  <c r="K314" i="44"/>
  <c r="I314" i="44"/>
  <c r="K140" i="44"/>
  <c r="O140" i="44"/>
  <c r="U140" i="44" s="1"/>
  <c r="I140" i="44"/>
  <c r="K500" i="44"/>
  <c r="O500" i="44"/>
  <c r="U500" i="44" s="1"/>
  <c r="I500" i="44"/>
  <c r="O835" i="44"/>
  <c r="U835" i="44" s="1"/>
  <c r="K835" i="44"/>
  <c r="I835" i="44"/>
  <c r="K85" i="44"/>
  <c r="O85" i="44"/>
  <c r="U85" i="44" s="1"/>
  <c r="I85" i="44"/>
  <c r="K178" i="44"/>
  <c r="O178" i="44"/>
  <c r="U178" i="44" s="1"/>
  <c r="I178" i="44"/>
  <c r="O772" i="44"/>
  <c r="U772" i="44" s="1"/>
  <c r="K772" i="44"/>
  <c r="I772" i="44"/>
  <c r="K318" i="44"/>
  <c r="O318" i="44"/>
  <c r="U318" i="44" s="1"/>
  <c r="I318" i="44"/>
  <c r="K743" i="44"/>
  <c r="O743" i="44"/>
  <c r="U743" i="44" s="1"/>
  <c r="I743" i="44"/>
  <c r="O504" i="44"/>
  <c r="U504" i="44" s="1"/>
  <c r="K504" i="44"/>
  <c r="I504" i="44"/>
  <c r="O358" i="44"/>
  <c r="U358" i="44" s="1"/>
  <c r="K358" i="44"/>
  <c r="I358" i="44"/>
  <c r="O25" i="44"/>
  <c r="U25" i="44" s="1"/>
  <c r="K25" i="44"/>
  <c r="I25" i="44"/>
  <c r="O29" i="44"/>
  <c r="U29" i="44" s="1"/>
  <c r="K29" i="44"/>
  <c r="I29" i="44"/>
  <c r="O807" i="44"/>
  <c r="U807" i="44" s="1"/>
  <c r="K807" i="44"/>
  <c r="I807" i="44"/>
  <c r="O326" i="44"/>
  <c r="U326" i="44" s="1"/>
  <c r="K326" i="44"/>
  <c r="I326" i="44"/>
  <c r="K592" i="44"/>
  <c r="O592" i="44"/>
  <c r="U592" i="44" s="1"/>
  <c r="I592" i="44"/>
  <c r="K755" i="44"/>
  <c r="O755" i="44"/>
  <c r="U755" i="44" s="1"/>
  <c r="I755" i="44"/>
  <c r="K120" i="44"/>
  <c r="O120" i="44"/>
  <c r="U120" i="44" s="1"/>
  <c r="I120" i="44"/>
  <c r="K46" i="44"/>
  <c r="O46" i="44"/>
  <c r="U46" i="44" s="1"/>
  <c r="I46" i="44"/>
  <c r="O144" i="44"/>
  <c r="U144" i="44" s="1"/>
  <c r="K144" i="44"/>
  <c r="I144" i="44"/>
  <c r="O150" i="44"/>
  <c r="U150" i="44" s="1"/>
  <c r="K150" i="44"/>
  <c r="I150" i="44"/>
  <c r="O566" i="44"/>
  <c r="U566" i="44" s="1"/>
  <c r="K566" i="44"/>
  <c r="I566" i="44"/>
  <c r="O810" i="44"/>
  <c r="U810" i="44" s="1"/>
  <c r="K810" i="44"/>
  <c r="I810" i="44"/>
  <c r="K519" i="44"/>
  <c r="O519" i="44"/>
  <c r="U519" i="44" s="1"/>
  <c r="I519" i="44"/>
  <c r="O823" i="44"/>
  <c r="U823" i="44" s="1"/>
  <c r="K823" i="44"/>
  <c r="I823" i="44"/>
  <c r="O121" i="44"/>
  <c r="U121" i="44" s="1"/>
  <c r="K121" i="44"/>
  <c r="I121" i="44"/>
  <c r="O70" i="44"/>
  <c r="U70" i="44" s="1"/>
  <c r="K70" i="44"/>
  <c r="I70" i="44"/>
  <c r="K774" i="44"/>
  <c r="O774" i="44"/>
  <c r="U774" i="44" s="1"/>
  <c r="I774" i="44"/>
  <c r="O161" i="44"/>
  <c r="U161" i="44" s="1"/>
  <c r="K161" i="44"/>
  <c r="I161" i="44"/>
  <c r="K537" i="44"/>
  <c r="O537" i="44"/>
  <c r="U537" i="44" s="1"/>
  <c r="I537" i="44"/>
  <c r="K682" i="44"/>
  <c r="O682" i="44"/>
  <c r="U682" i="44" s="1"/>
  <c r="I682" i="44"/>
  <c r="O403" i="44"/>
  <c r="U403" i="44" s="1"/>
  <c r="K403" i="44"/>
  <c r="I403" i="44"/>
  <c r="O647" i="44"/>
  <c r="U647" i="44" s="1"/>
  <c r="K647" i="44"/>
  <c r="I647" i="44"/>
  <c r="K556" i="44"/>
  <c r="O556" i="44"/>
  <c r="U556" i="44" s="1"/>
  <c r="I556" i="44"/>
  <c r="O396" i="44"/>
  <c r="U396" i="44" s="1"/>
  <c r="K396" i="44"/>
  <c r="I396" i="44"/>
  <c r="K96" i="44"/>
  <c r="O96" i="44"/>
  <c r="U96" i="44" s="1"/>
  <c r="I96" i="44"/>
  <c r="O517" i="44"/>
  <c r="U517" i="44" s="1"/>
  <c r="K517" i="44"/>
  <c r="I517" i="44"/>
  <c r="O259" i="44"/>
  <c r="U259" i="44" s="1"/>
  <c r="K259" i="44"/>
  <c r="I259" i="44"/>
  <c r="K92" i="44"/>
  <c r="O92" i="44"/>
  <c r="U92" i="44" s="1"/>
  <c r="I92" i="44"/>
  <c r="K116" i="44"/>
  <c r="O116" i="44"/>
  <c r="U116" i="44" s="1"/>
  <c r="I116" i="44"/>
  <c r="O133" i="44"/>
  <c r="U133" i="44" s="1"/>
  <c r="K133" i="44"/>
  <c r="I133" i="44"/>
  <c r="K132" i="44"/>
  <c r="O132" i="44"/>
  <c r="U132" i="44" s="1"/>
  <c r="I132" i="44"/>
  <c r="O468" i="44"/>
  <c r="U468" i="44" s="1"/>
  <c r="K468" i="44"/>
  <c r="I468" i="44"/>
  <c r="K341" i="44"/>
  <c r="O341" i="44"/>
  <c r="U341" i="44" s="1"/>
  <c r="I341" i="44"/>
  <c r="K108" i="44"/>
  <c r="O108" i="44"/>
  <c r="U108" i="44" s="1"/>
  <c r="I108" i="44"/>
  <c r="K455" i="44"/>
  <c r="O455" i="44"/>
  <c r="U455" i="44" s="1"/>
  <c r="I455" i="44"/>
  <c r="K591" i="44"/>
  <c r="O591" i="44"/>
  <c r="U591" i="44" s="1"/>
  <c r="I591" i="44"/>
  <c r="O16" i="44"/>
  <c r="K16" i="44"/>
  <c r="O363" i="44"/>
  <c r="U363" i="44" s="1"/>
  <c r="K363" i="44"/>
  <c r="I363" i="44"/>
  <c r="O585" i="44"/>
  <c r="U585" i="44" s="1"/>
  <c r="K585" i="44"/>
  <c r="I585" i="44"/>
  <c r="K375" i="44"/>
  <c r="O375" i="44"/>
  <c r="U375" i="44" s="1"/>
  <c r="I375" i="44"/>
  <c r="O282" i="44"/>
  <c r="U282" i="44" s="1"/>
  <c r="K282" i="44"/>
  <c r="I282" i="44"/>
  <c r="K181" i="44"/>
  <c r="O181" i="44"/>
  <c r="U181" i="44" s="1"/>
  <c r="I181" i="44"/>
  <c r="K609" i="44"/>
  <c r="O609" i="44"/>
  <c r="U609" i="44" s="1"/>
  <c r="I609" i="44"/>
  <c r="O843" i="44"/>
  <c r="U843" i="44" s="1"/>
  <c r="K843" i="44"/>
  <c r="I843" i="44"/>
  <c r="K221" i="44"/>
  <c r="O221" i="44"/>
  <c r="U221" i="44" s="1"/>
  <c r="I221" i="44"/>
  <c r="O260" i="44"/>
  <c r="U260" i="44" s="1"/>
  <c r="K260" i="44"/>
  <c r="I260" i="44"/>
  <c r="K20" i="44"/>
  <c r="O20" i="44"/>
  <c r="K59" i="44"/>
  <c r="O59" i="44"/>
  <c r="U59" i="44" s="1"/>
  <c r="I59" i="44"/>
  <c r="K680" i="44"/>
  <c r="O680" i="44"/>
  <c r="U680" i="44" s="1"/>
  <c r="I680" i="44"/>
  <c r="K72" i="44"/>
  <c r="O72" i="44"/>
  <c r="U72" i="44" s="1"/>
  <c r="I72" i="44"/>
  <c r="O155" i="44"/>
  <c r="U155" i="44" s="1"/>
  <c r="K155" i="44"/>
  <c r="I155" i="44"/>
  <c r="K307" i="44"/>
  <c r="O307" i="44"/>
  <c r="U307" i="44" s="1"/>
  <c r="I307" i="44"/>
  <c r="K299" i="44"/>
  <c r="O299" i="44"/>
  <c r="U299" i="44" s="1"/>
  <c r="I299" i="44"/>
  <c r="O796" i="44"/>
  <c r="U796" i="44" s="1"/>
  <c r="K796" i="44"/>
  <c r="I796" i="44"/>
  <c r="K446" i="44"/>
  <c r="O446" i="44"/>
  <c r="U446" i="44" s="1"/>
  <c r="I446" i="44"/>
  <c r="O374" i="44"/>
  <c r="U374" i="44" s="1"/>
  <c r="K374" i="44"/>
  <c r="I374" i="44"/>
  <c r="O275" i="44"/>
  <c r="U275" i="44" s="1"/>
  <c r="K275" i="44"/>
  <c r="I275" i="44"/>
  <c r="K163" i="44"/>
  <c r="O163" i="44"/>
  <c r="U163" i="44" s="1"/>
  <c r="I163" i="44"/>
  <c r="K385" i="44"/>
  <c r="O385" i="44"/>
  <c r="U385" i="44" s="1"/>
  <c r="I385" i="44"/>
  <c r="O231" i="44"/>
  <c r="U231" i="44" s="1"/>
  <c r="K231" i="44"/>
  <c r="I231" i="44"/>
  <c r="O207" i="44"/>
  <c r="U207" i="44" s="1"/>
  <c r="K207" i="44"/>
  <c r="I207" i="44"/>
  <c r="K819" i="44"/>
  <c r="O819" i="44"/>
  <c r="U819" i="44" s="1"/>
  <c r="I819" i="44"/>
  <c r="K114" i="44"/>
  <c r="O114" i="44"/>
  <c r="U114" i="44" s="1"/>
  <c r="I114" i="44"/>
  <c r="K481" i="44"/>
  <c r="O481" i="44"/>
  <c r="U481" i="44" s="1"/>
  <c r="I481" i="44"/>
  <c r="K21" i="44"/>
  <c r="O21" i="44"/>
  <c r="K567" i="44"/>
  <c r="O567" i="44"/>
  <c r="U567" i="44" s="1"/>
  <c r="I567" i="44"/>
  <c r="O692" i="44"/>
  <c r="U692" i="44" s="1"/>
  <c r="K692" i="44"/>
  <c r="I692" i="44"/>
  <c r="K590" i="44"/>
  <c r="O590" i="44"/>
  <c r="U590" i="44" s="1"/>
  <c r="I590" i="44"/>
  <c r="O381" i="44"/>
  <c r="U381" i="44" s="1"/>
  <c r="K381" i="44"/>
  <c r="I381" i="44"/>
  <c r="O158" i="44"/>
  <c r="U158" i="44" s="1"/>
  <c r="K158" i="44"/>
  <c r="I158" i="44"/>
  <c r="K599" i="44"/>
  <c r="O599" i="44"/>
  <c r="U599" i="44" s="1"/>
  <c r="I599" i="44"/>
  <c r="K780" i="44"/>
  <c r="O780" i="44"/>
  <c r="U780" i="44" s="1"/>
  <c r="I780" i="44"/>
  <c r="K258" i="44"/>
  <c r="O258" i="44"/>
  <c r="U258" i="44" s="1"/>
  <c r="I258" i="44"/>
  <c r="K43" i="44"/>
  <c r="O43" i="44"/>
  <c r="U43" i="44" s="1"/>
  <c r="I43" i="44"/>
  <c r="O783" i="44"/>
  <c r="U783" i="44" s="1"/>
  <c r="K783" i="44"/>
  <c r="I783" i="44"/>
  <c r="K659" i="44"/>
  <c r="O659" i="44"/>
  <c r="U659" i="44" s="1"/>
  <c r="I659" i="44"/>
  <c r="O406" i="44"/>
  <c r="U406" i="44" s="1"/>
  <c r="K406" i="44"/>
  <c r="I406" i="44"/>
  <c r="O460" i="44"/>
  <c r="U460" i="44" s="1"/>
  <c r="K460" i="44"/>
  <c r="I460" i="44"/>
  <c r="K646" i="44"/>
  <c r="O646" i="44"/>
  <c r="U646" i="44" s="1"/>
  <c r="I646" i="44"/>
  <c r="O338" i="44"/>
  <c r="U338" i="44" s="1"/>
  <c r="K338" i="44"/>
  <c r="I338" i="44"/>
  <c r="O86" i="44"/>
  <c r="U86" i="44" s="1"/>
  <c r="K86" i="44"/>
  <c r="I86" i="44"/>
  <c r="K47" i="44"/>
  <c r="O47" i="44"/>
  <c r="U47" i="44" s="1"/>
  <c r="I47" i="44"/>
  <c r="K633" i="44"/>
  <c r="O633" i="44"/>
  <c r="U633" i="44" s="1"/>
  <c r="I633" i="44"/>
  <c r="K247" i="44"/>
  <c r="O247" i="44"/>
  <c r="U247" i="44" s="1"/>
  <c r="I247" i="44"/>
  <c r="K596" i="44"/>
  <c r="O596" i="44"/>
  <c r="U596" i="44" s="1"/>
  <c r="I596" i="44"/>
  <c r="K136" i="44"/>
  <c r="O136" i="44"/>
  <c r="U136" i="44" s="1"/>
  <c r="I136" i="44"/>
  <c r="O760" i="44"/>
  <c r="U760" i="44" s="1"/>
  <c r="K760" i="44"/>
  <c r="I760" i="44"/>
  <c r="O770" i="44"/>
  <c r="U770" i="44" s="1"/>
  <c r="K770" i="44"/>
  <c r="I770" i="44"/>
  <c r="O109" i="44"/>
  <c r="U109" i="44" s="1"/>
  <c r="K109" i="44"/>
  <c r="I109" i="44"/>
  <c r="O816" i="44"/>
  <c r="U816" i="44" s="1"/>
  <c r="K816" i="44"/>
  <c r="I816" i="44"/>
  <c r="K392" i="44"/>
  <c r="O392" i="44"/>
  <c r="U392" i="44" s="1"/>
  <c r="I392" i="44"/>
  <c r="K246" i="44"/>
  <c r="O246" i="44"/>
  <c r="U246" i="44" s="1"/>
  <c r="I246" i="44"/>
  <c r="K853" i="44"/>
  <c r="O853" i="44"/>
  <c r="U853" i="44" s="1"/>
  <c r="I853" i="44"/>
  <c r="O99" i="44"/>
  <c r="U99" i="44" s="1"/>
  <c r="K99" i="44"/>
  <c r="I99" i="44"/>
  <c r="K855" i="44"/>
  <c r="O855" i="44"/>
  <c r="U855" i="44" s="1"/>
  <c r="I855" i="44"/>
  <c r="K860" i="44"/>
  <c r="O860" i="44"/>
  <c r="U860" i="44" s="1"/>
  <c r="I860" i="44"/>
  <c r="K322" i="44"/>
  <c r="O322" i="44"/>
  <c r="U322" i="44" s="1"/>
  <c r="I322" i="44"/>
  <c r="O434" i="44"/>
  <c r="U434" i="44" s="1"/>
  <c r="K434" i="44"/>
  <c r="I434" i="44"/>
  <c r="K691" i="44"/>
  <c r="O691" i="44"/>
  <c r="U691" i="44" s="1"/>
  <c r="I691" i="44"/>
  <c r="K153" i="44"/>
  <c r="O153" i="44"/>
  <c r="U153" i="44" s="1"/>
  <c r="I153" i="44"/>
  <c r="K387" i="44"/>
  <c r="O387" i="44"/>
  <c r="U387" i="44" s="1"/>
  <c r="I387" i="44"/>
  <c r="O439" i="44"/>
  <c r="U439" i="44" s="1"/>
  <c r="K439" i="44"/>
  <c r="I439" i="44"/>
  <c r="K805" i="44"/>
  <c r="O805" i="44"/>
  <c r="U805" i="44" s="1"/>
  <c r="I805" i="44"/>
  <c r="O824" i="44"/>
  <c r="U824" i="44" s="1"/>
  <c r="K824" i="44"/>
  <c r="I824" i="44"/>
  <c r="O148" i="44"/>
  <c r="U148" i="44" s="1"/>
  <c r="K148" i="44"/>
  <c r="I148" i="44"/>
  <c r="K208" i="44"/>
  <c r="O208" i="44"/>
  <c r="U208" i="44" s="1"/>
  <c r="I208" i="44"/>
  <c r="K677" i="44"/>
  <c r="O677" i="44"/>
  <c r="U677" i="44" s="1"/>
  <c r="I677" i="44"/>
  <c r="O674" i="44"/>
  <c r="U674" i="44" s="1"/>
  <c r="K674" i="44"/>
  <c r="I674" i="44"/>
  <c r="K595" i="44"/>
  <c r="O595" i="44"/>
  <c r="U595" i="44" s="1"/>
  <c r="I595" i="44"/>
  <c r="O840" i="44"/>
  <c r="U840" i="44" s="1"/>
  <c r="K840" i="44"/>
  <c r="I840" i="44"/>
  <c r="O52" i="44"/>
  <c r="U52" i="44" s="1"/>
  <c r="K52" i="44"/>
  <c r="I52" i="44"/>
  <c r="K95" i="44"/>
  <c r="O95" i="44"/>
  <c r="U95" i="44" s="1"/>
  <c r="I95" i="44"/>
  <c r="K690" i="44"/>
  <c r="O690" i="44"/>
  <c r="U690" i="44" s="1"/>
  <c r="I690" i="44"/>
  <c r="O164" i="44"/>
  <c r="U164" i="44" s="1"/>
  <c r="K164" i="44"/>
  <c r="I164" i="44"/>
  <c r="K687" i="44"/>
  <c r="O687" i="44"/>
  <c r="U687" i="44" s="1"/>
  <c r="I687" i="44"/>
  <c r="K572" i="44"/>
  <c r="O572" i="44"/>
  <c r="U572" i="44" s="1"/>
  <c r="I572" i="44"/>
  <c r="K461" i="44"/>
  <c r="O461" i="44"/>
  <c r="U461" i="44" s="1"/>
  <c r="I461" i="44"/>
  <c r="O194" i="44"/>
  <c r="U194" i="44" s="1"/>
  <c r="K194" i="44"/>
  <c r="I194" i="44"/>
  <c r="O394" i="44"/>
  <c r="U394" i="44" s="1"/>
  <c r="K394" i="44"/>
  <c r="I394" i="44"/>
  <c r="O801" i="44"/>
  <c r="U801" i="44" s="1"/>
  <c r="K801" i="44"/>
  <c r="I801" i="44"/>
  <c r="O105" i="44"/>
  <c r="U105" i="44" s="1"/>
  <c r="K105" i="44"/>
  <c r="I105" i="44"/>
  <c r="O700" i="44"/>
  <c r="U700" i="44" s="1"/>
  <c r="K700" i="44"/>
  <c r="I700" i="44"/>
  <c r="O530" i="44"/>
  <c r="U530" i="44" s="1"/>
  <c r="K530" i="44"/>
  <c r="I530" i="44"/>
  <c r="K183" i="44"/>
  <c r="O183" i="44"/>
  <c r="U183" i="44" s="1"/>
  <c r="I183" i="44"/>
  <c r="K124" i="44"/>
  <c r="O124" i="44"/>
  <c r="U124" i="44" s="1"/>
  <c r="I124" i="44"/>
  <c r="O693" i="44"/>
  <c r="U693" i="44" s="1"/>
  <c r="K693" i="44"/>
  <c r="I693" i="44"/>
  <c r="K380" i="44"/>
  <c r="O380" i="44"/>
  <c r="U380" i="44" s="1"/>
  <c r="I380" i="44"/>
  <c r="O218" i="44"/>
  <c r="U218" i="44" s="1"/>
  <c r="K218" i="44"/>
  <c r="I218" i="44"/>
  <c r="K495" i="44"/>
  <c r="O495" i="44"/>
  <c r="U495" i="44" s="1"/>
  <c r="I495" i="44"/>
  <c r="K531" i="44"/>
  <c r="O531" i="44"/>
  <c r="U531" i="44" s="1"/>
  <c r="I531" i="44"/>
  <c r="O111" i="44"/>
  <c r="U111" i="44" s="1"/>
  <c r="K111" i="44"/>
  <c r="I111" i="44"/>
  <c r="K315" i="44"/>
  <c r="O315" i="44"/>
  <c r="U315" i="44" s="1"/>
  <c r="I315" i="44"/>
  <c r="K316" i="44"/>
  <c r="O316" i="44"/>
  <c r="U316" i="44" s="1"/>
  <c r="I316" i="44"/>
  <c r="O846" i="44"/>
  <c r="U846" i="44" s="1"/>
  <c r="K846" i="44"/>
  <c r="I846" i="44"/>
  <c r="K464" i="44"/>
  <c r="O464" i="44"/>
  <c r="U464" i="44" s="1"/>
  <c r="I464" i="44"/>
  <c r="O522" i="44"/>
  <c r="U522" i="44" s="1"/>
  <c r="K522" i="44"/>
  <c r="I522" i="44"/>
  <c r="O408" i="44"/>
  <c r="U408" i="44" s="1"/>
  <c r="K408" i="44"/>
  <c r="I408" i="44"/>
  <c r="K741" i="44"/>
  <c r="O741" i="44"/>
  <c r="U741" i="44" s="1"/>
  <c r="I741" i="44"/>
  <c r="K372" i="44"/>
  <c r="O372" i="44"/>
  <c r="U372" i="44" s="1"/>
  <c r="I372" i="44"/>
  <c r="K201" i="44"/>
  <c r="O201" i="44"/>
  <c r="U201" i="44" s="1"/>
  <c r="I201" i="44"/>
  <c r="K631" i="44"/>
  <c r="O631" i="44"/>
  <c r="U631" i="44" s="1"/>
  <c r="I631" i="44"/>
  <c r="K447" i="44"/>
  <c r="O447" i="44"/>
  <c r="U447" i="44" s="1"/>
  <c r="I447" i="44"/>
  <c r="O866" i="44"/>
  <c r="U866" i="44" s="1"/>
  <c r="K866" i="44"/>
  <c r="I866" i="44"/>
  <c r="K222" i="44"/>
  <c r="O222" i="44"/>
  <c r="U222" i="44" s="1"/>
  <c r="I222" i="44"/>
  <c r="K842" i="44"/>
  <c r="O842" i="44"/>
  <c r="U842" i="44" s="1"/>
  <c r="I842" i="44"/>
  <c r="K453" i="44"/>
  <c r="O453" i="44"/>
  <c r="U453" i="44" s="1"/>
  <c r="I453" i="44"/>
  <c r="K118" i="44"/>
  <c r="O118" i="44"/>
  <c r="U118" i="44" s="1"/>
  <c r="I118" i="44"/>
  <c r="K235" i="44"/>
  <c r="O235" i="44"/>
  <c r="U235" i="44" s="1"/>
  <c r="I235" i="44"/>
  <c r="K332" i="44"/>
  <c r="O332" i="44"/>
  <c r="U332" i="44" s="1"/>
  <c r="I332" i="44"/>
  <c r="O637" i="44"/>
  <c r="U637" i="44" s="1"/>
  <c r="K637" i="44"/>
  <c r="I637" i="44"/>
  <c r="O614" i="44"/>
  <c r="U614" i="44" s="1"/>
  <c r="K614" i="44"/>
  <c r="I614" i="44"/>
  <c r="O430" i="44"/>
  <c r="U430" i="44" s="1"/>
  <c r="K430" i="44"/>
  <c r="I430" i="44"/>
  <c r="O521" i="44"/>
  <c r="U521" i="44" s="1"/>
  <c r="K521" i="44"/>
  <c r="I521" i="44"/>
  <c r="K711" i="44"/>
  <c r="O711" i="44"/>
  <c r="U711" i="44" s="1"/>
  <c r="I711" i="44"/>
  <c r="O694" i="44"/>
  <c r="U694" i="44" s="1"/>
  <c r="K694" i="44"/>
  <c r="I694" i="44"/>
  <c r="O817" i="44"/>
  <c r="U817" i="44" s="1"/>
  <c r="K817" i="44"/>
  <c r="I817" i="44"/>
  <c r="K615" i="44"/>
  <c r="O615" i="44"/>
  <c r="U615" i="44" s="1"/>
  <c r="I615" i="44"/>
  <c r="K382" i="44"/>
  <c r="O382" i="44"/>
  <c r="U382" i="44" s="1"/>
  <c r="I382" i="44"/>
  <c r="K467" i="44"/>
  <c r="O467" i="44"/>
  <c r="U467" i="44" s="1"/>
  <c r="I467" i="44"/>
  <c r="K38" i="44"/>
  <c r="O38" i="44"/>
  <c r="U38" i="44" s="1"/>
  <c r="I38" i="44"/>
  <c r="O195" i="44"/>
  <c r="U195" i="44" s="1"/>
  <c r="K195" i="44"/>
  <c r="I195" i="44"/>
  <c r="O83" i="44"/>
  <c r="U83" i="44" s="1"/>
  <c r="K83" i="44"/>
  <c r="I83" i="44"/>
  <c r="K325" i="44"/>
  <c r="O325" i="44"/>
  <c r="U325" i="44" s="1"/>
  <c r="I325" i="44"/>
  <c r="K479" i="44"/>
  <c r="O479" i="44"/>
  <c r="U479" i="44" s="1"/>
  <c r="I479" i="44"/>
  <c r="K831" i="44"/>
  <c r="O831" i="44"/>
  <c r="U831" i="44" s="1"/>
  <c r="I831" i="44"/>
  <c r="K579" i="44"/>
  <c r="O579" i="44"/>
  <c r="U579" i="44" s="1"/>
  <c r="I579" i="44"/>
  <c r="K204" i="44"/>
  <c r="O204" i="44"/>
  <c r="U204" i="44" s="1"/>
  <c r="I204" i="44"/>
  <c r="O273" i="44"/>
  <c r="U273" i="44" s="1"/>
  <c r="K273" i="44"/>
  <c r="I273" i="44"/>
  <c r="O594" i="44"/>
  <c r="U594" i="44" s="1"/>
  <c r="K594" i="44"/>
  <c r="I594" i="44"/>
  <c r="K22" i="44"/>
  <c r="O22" i="44"/>
  <c r="U22" i="44" s="1"/>
  <c r="I22" i="44"/>
  <c r="O738" i="44"/>
  <c r="U738" i="44" s="1"/>
  <c r="K738" i="44"/>
  <c r="I738" i="44"/>
  <c r="O169" i="44"/>
  <c r="U169" i="44" s="1"/>
  <c r="K169" i="44"/>
  <c r="I169" i="44"/>
  <c r="K36" i="44"/>
  <c r="O36" i="44"/>
  <c r="U36" i="44" s="1"/>
  <c r="I36" i="44"/>
  <c r="O726" i="44"/>
  <c r="U726" i="44" s="1"/>
  <c r="K726" i="44"/>
  <c r="I726" i="44"/>
  <c r="K836" i="44"/>
  <c r="O836" i="44"/>
  <c r="U836" i="44" s="1"/>
  <c r="I836" i="44"/>
  <c r="K30" i="44"/>
  <c r="O30" i="44"/>
  <c r="U30" i="44" s="1"/>
  <c r="I30" i="44"/>
  <c r="K837" i="44"/>
  <c r="O837" i="44"/>
  <c r="U837" i="44" s="1"/>
  <c r="I837" i="44"/>
  <c r="O784" i="44"/>
  <c r="U784" i="44" s="1"/>
  <c r="K784" i="44"/>
  <c r="I784" i="44"/>
  <c r="K245" i="44"/>
  <c r="O245" i="44"/>
  <c r="U245" i="44" s="1"/>
  <c r="I245" i="44"/>
  <c r="O32" i="44"/>
  <c r="U32" i="44" s="1"/>
  <c r="K32" i="44"/>
  <c r="I32" i="44"/>
  <c r="K101" i="44"/>
  <c r="O101" i="44"/>
  <c r="U101" i="44" s="1"/>
  <c r="I101" i="44"/>
  <c r="O668" i="44"/>
  <c r="U668" i="44" s="1"/>
  <c r="K668" i="44"/>
  <c r="I668" i="44"/>
  <c r="O578" i="44"/>
  <c r="U578" i="44" s="1"/>
  <c r="K578" i="44"/>
  <c r="I578" i="44"/>
  <c r="K564" i="44"/>
  <c r="O564" i="44"/>
  <c r="U564" i="44" s="1"/>
  <c r="I564" i="44"/>
  <c r="K82" i="44"/>
  <c r="O82" i="44"/>
  <c r="U82" i="44" s="1"/>
  <c r="I82" i="44"/>
  <c r="K187" i="44"/>
  <c r="O187" i="44"/>
  <c r="U187" i="44" s="1"/>
  <c r="I187" i="44"/>
  <c r="K538" i="44"/>
  <c r="O538" i="44"/>
  <c r="U538" i="44" s="1"/>
  <c r="I538" i="44"/>
  <c r="O177" i="44"/>
  <c r="U177" i="44" s="1"/>
  <c r="K177" i="44"/>
  <c r="I177" i="44"/>
  <c r="K433" i="44"/>
  <c r="O433" i="44"/>
  <c r="U433" i="44" s="1"/>
  <c r="I433" i="44"/>
  <c r="K601" i="44"/>
  <c r="O601" i="44"/>
  <c r="U601" i="44" s="1"/>
  <c r="I601" i="44"/>
  <c r="O815" i="44"/>
  <c r="U815" i="44" s="1"/>
  <c r="K815" i="44"/>
  <c r="I815" i="44"/>
  <c r="K583" i="44"/>
  <c r="O583" i="44"/>
  <c r="U583" i="44" s="1"/>
  <c r="I583" i="44"/>
  <c r="O660" i="44"/>
  <c r="U660" i="44" s="1"/>
  <c r="K660" i="44"/>
  <c r="I660" i="44"/>
  <c r="K795" i="44"/>
  <c r="O795" i="44"/>
  <c r="U795" i="44" s="1"/>
  <c r="I795" i="44"/>
  <c r="O110" i="44"/>
  <c r="U110" i="44" s="1"/>
  <c r="K110" i="44"/>
  <c r="I110" i="44"/>
  <c r="K473" i="44"/>
  <c r="O473" i="44"/>
  <c r="U473" i="44" s="1"/>
  <c r="I473" i="44"/>
  <c r="O656" i="44"/>
  <c r="U656" i="44" s="1"/>
  <c r="K656" i="44"/>
  <c r="I656" i="44"/>
  <c r="K856" i="44"/>
  <c r="O856" i="44"/>
  <c r="U856" i="44" s="1"/>
  <c r="I856" i="44"/>
  <c r="O237" i="44"/>
  <c r="U237" i="44" s="1"/>
  <c r="K237" i="44"/>
  <c r="I237" i="44"/>
  <c r="K63" i="44"/>
  <c r="O63" i="44"/>
  <c r="U63" i="44" s="1"/>
  <c r="I63" i="44"/>
  <c r="K488" i="44"/>
  <c r="O488" i="44"/>
  <c r="U488" i="44" s="1"/>
  <c r="I488" i="44"/>
  <c r="K703" i="44"/>
  <c r="O703" i="44"/>
  <c r="U703" i="44" s="1"/>
  <c r="I703" i="44"/>
  <c r="O758" i="44"/>
  <c r="U758" i="44" s="1"/>
  <c r="K758" i="44"/>
  <c r="I758" i="44"/>
  <c r="K180" i="44"/>
  <c r="O180" i="44"/>
  <c r="U180" i="44" s="1"/>
  <c r="I180" i="44"/>
  <c r="K822" i="44"/>
  <c r="O822" i="44"/>
  <c r="U822" i="44" s="1"/>
  <c r="I822" i="44"/>
  <c r="K552" i="44"/>
  <c r="O552" i="44"/>
  <c r="U552" i="44" s="1"/>
  <c r="I552" i="44"/>
  <c r="O524" i="44"/>
  <c r="U524" i="44" s="1"/>
  <c r="K524" i="44"/>
  <c r="I524" i="44"/>
  <c r="O472" i="44"/>
  <c r="U472" i="44" s="1"/>
  <c r="K472" i="44"/>
  <c r="I472" i="44"/>
  <c r="K227" i="44"/>
  <c r="O227" i="44"/>
  <c r="U227" i="44" s="1"/>
  <c r="I227" i="44"/>
  <c r="O764" i="44"/>
  <c r="U764" i="44" s="1"/>
  <c r="K764" i="44"/>
  <c r="I764" i="44"/>
  <c r="O658" i="44"/>
  <c r="U658" i="44" s="1"/>
  <c r="K658" i="44"/>
  <c r="I658" i="44"/>
  <c r="O390" i="44"/>
  <c r="U390" i="44" s="1"/>
  <c r="K390" i="44"/>
  <c r="I390" i="44"/>
  <c r="K740" i="44"/>
  <c r="O740" i="44"/>
  <c r="U740" i="44" s="1"/>
  <c r="I740" i="44"/>
  <c r="K750" i="44"/>
  <c r="O750" i="44"/>
  <c r="U750" i="44" s="1"/>
  <c r="I750" i="44"/>
  <c r="O603" i="44"/>
  <c r="U603" i="44" s="1"/>
  <c r="K603" i="44"/>
  <c r="I603" i="44"/>
  <c r="K313" i="44"/>
  <c r="O313" i="44"/>
  <c r="U313" i="44" s="1"/>
  <c r="I313" i="44"/>
  <c r="K400" i="44"/>
  <c r="O400" i="44"/>
  <c r="U400" i="44" s="1"/>
  <c r="I400" i="44"/>
  <c r="O528" i="44"/>
  <c r="U528" i="44" s="1"/>
  <c r="K528" i="44"/>
  <c r="I528" i="44"/>
  <c r="O126" i="44"/>
  <c r="U126" i="44" s="1"/>
  <c r="K126" i="44"/>
  <c r="I126" i="44"/>
  <c r="O638" i="44"/>
  <c r="U638" i="44" s="1"/>
  <c r="K638" i="44"/>
  <c r="I638" i="44"/>
  <c r="K224" i="44"/>
  <c r="O224" i="44"/>
  <c r="U224" i="44" s="1"/>
  <c r="I224" i="44"/>
  <c r="K525" i="44"/>
  <c r="O525" i="44"/>
  <c r="U525" i="44" s="1"/>
  <c r="I525" i="44"/>
  <c r="K851" i="44"/>
  <c r="O851" i="44"/>
  <c r="U851" i="44" s="1"/>
  <c r="I851" i="44"/>
  <c r="K642" i="44"/>
  <c r="O642" i="44"/>
  <c r="U642" i="44" s="1"/>
  <c r="I642" i="44"/>
  <c r="K335" i="44"/>
  <c r="O335" i="44"/>
  <c r="U335" i="44" s="1"/>
  <c r="I335" i="44"/>
  <c r="K670" i="44"/>
  <c r="O670" i="44"/>
  <c r="U670" i="44" s="1"/>
  <c r="I670" i="44"/>
  <c r="O759" i="44"/>
  <c r="U759" i="44" s="1"/>
  <c r="K759" i="44"/>
  <c r="I759" i="44"/>
  <c r="O737" i="44"/>
  <c r="U737" i="44" s="1"/>
  <c r="K737" i="44"/>
  <c r="I737" i="44"/>
  <c r="O68" i="44"/>
  <c r="U68" i="44" s="1"/>
  <c r="K68" i="44"/>
  <c r="I68" i="44"/>
  <c r="K233" i="44"/>
  <c r="O233" i="44"/>
  <c r="U233" i="44" s="1"/>
  <c r="I233" i="44"/>
  <c r="O54" i="44"/>
  <c r="U54" i="44" s="1"/>
  <c r="K54" i="44"/>
  <c r="I54" i="44"/>
  <c r="K268" i="44"/>
  <c r="O268" i="44"/>
  <c r="U268" i="44" s="1"/>
  <c r="I268" i="44"/>
  <c r="K19" i="44"/>
  <c r="O19" i="44"/>
  <c r="K438" i="44"/>
  <c r="O438" i="44"/>
  <c r="U438" i="44" s="1"/>
  <c r="I438" i="44"/>
  <c r="K264" i="44"/>
  <c r="O264" i="44"/>
  <c r="U264" i="44" s="1"/>
  <c r="I264" i="44"/>
  <c r="O514" i="44"/>
  <c r="U514" i="44" s="1"/>
  <c r="K514" i="44"/>
  <c r="I514" i="44"/>
  <c r="O861" i="44"/>
  <c r="U861" i="44" s="1"/>
  <c r="K861" i="44"/>
  <c r="I861" i="44"/>
  <c r="K324" i="44"/>
  <c r="O324" i="44"/>
  <c r="U324" i="44" s="1"/>
  <c r="I324" i="44"/>
  <c r="O426" i="44"/>
  <c r="U426" i="44" s="1"/>
  <c r="K426" i="44"/>
  <c r="I426" i="44"/>
  <c r="O391" i="44"/>
  <c r="U391" i="44" s="1"/>
  <c r="K391" i="44"/>
  <c r="I391" i="44"/>
  <c r="K704" i="44"/>
  <c r="O704" i="44"/>
  <c r="U704" i="44" s="1"/>
  <c r="I704" i="44"/>
  <c r="K344" i="44"/>
  <c r="O344" i="44"/>
  <c r="U344" i="44" s="1"/>
  <c r="I344" i="44"/>
  <c r="O217" i="44"/>
  <c r="U217" i="44" s="1"/>
  <c r="K217" i="44"/>
  <c r="I217" i="44"/>
  <c r="O427" i="44"/>
  <c r="U427" i="44" s="1"/>
  <c r="K427" i="44"/>
  <c r="I427" i="44"/>
  <c r="K511" i="44"/>
  <c r="O511" i="44"/>
  <c r="U511" i="44" s="1"/>
  <c r="I511" i="44"/>
  <c r="O487" i="44"/>
  <c r="U487" i="44" s="1"/>
  <c r="K487" i="44"/>
  <c r="I487" i="44"/>
  <c r="K206" i="44"/>
  <c r="O206" i="44"/>
  <c r="U206" i="44" s="1"/>
  <c r="I206" i="44"/>
  <c r="K393" i="44"/>
  <c r="O393" i="44"/>
  <c r="U393" i="44" s="1"/>
  <c r="I393" i="44"/>
  <c r="O506" i="44"/>
  <c r="U506" i="44" s="1"/>
  <c r="K506" i="44"/>
  <c r="I506" i="44"/>
  <c r="K69" i="44"/>
  <c r="O69" i="44"/>
  <c r="U69" i="44" s="1"/>
  <c r="I69" i="44"/>
  <c r="O269" i="44"/>
  <c r="U269" i="44" s="1"/>
  <c r="K269" i="44"/>
  <c r="I269" i="44"/>
  <c r="K612" i="44"/>
  <c r="O612" i="44"/>
  <c r="U612" i="44" s="1"/>
  <c r="I612" i="44"/>
  <c r="O304" i="44"/>
  <c r="U304" i="44" s="1"/>
  <c r="K304" i="44"/>
  <c r="I304" i="44"/>
  <c r="O739" i="44"/>
  <c r="U739" i="44" s="1"/>
  <c r="K739" i="44"/>
  <c r="I739" i="44"/>
  <c r="K89" i="44"/>
  <c r="O89" i="44"/>
  <c r="U89" i="44" s="1"/>
  <c r="I89" i="44"/>
  <c r="K575" i="44"/>
  <c r="O575" i="44"/>
  <c r="U575" i="44" s="1"/>
  <c r="I575" i="44"/>
  <c r="K404" i="44"/>
  <c r="O404" i="44"/>
  <c r="U404" i="44" s="1"/>
  <c r="I404" i="44"/>
  <c r="O651" i="44"/>
  <c r="U651" i="44" s="1"/>
  <c r="K651" i="44"/>
  <c r="I651" i="44"/>
  <c r="K550" i="44"/>
  <c r="O550" i="44"/>
  <c r="U550" i="44" s="1"/>
  <c r="I550" i="44"/>
  <c r="K505" i="44"/>
  <c r="O505" i="44"/>
  <c r="U505" i="44" s="1"/>
  <c r="I505" i="44"/>
  <c r="K713" i="44"/>
  <c r="O713" i="44"/>
  <c r="U713" i="44" s="1"/>
  <c r="I713" i="44"/>
  <c r="K442" i="44"/>
  <c r="O442" i="44"/>
  <c r="U442" i="44" s="1"/>
  <c r="I442" i="44"/>
  <c r="K526" i="44"/>
  <c r="O526" i="44"/>
  <c r="U526" i="44" s="1"/>
  <c r="I526" i="44"/>
  <c r="K277" i="44"/>
  <c r="O277" i="44"/>
  <c r="U277" i="44" s="1"/>
  <c r="I277" i="44"/>
  <c r="K351" i="44"/>
  <c r="O351" i="44"/>
  <c r="U351" i="44" s="1"/>
  <c r="I351" i="44"/>
  <c r="O706" i="44"/>
  <c r="U706" i="44" s="1"/>
  <c r="K706" i="44"/>
  <c r="I706" i="44"/>
  <c r="O311" i="44"/>
  <c r="U311" i="44" s="1"/>
  <c r="K311" i="44"/>
  <c r="I311" i="44"/>
  <c r="O229" i="44"/>
  <c r="U229" i="44" s="1"/>
  <c r="K229" i="44"/>
  <c r="I229" i="44"/>
  <c r="O389" i="44"/>
  <c r="U389" i="44" s="1"/>
  <c r="K389" i="44"/>
  <c r="I389" i="44"/>
  <c r="O76" i="44"/>
  <c r="U76" i="44" s="1"/>
  <c r="K76" i="44"/>
  <c r="I76" i="44"/>
  <c r="O276" i="44"/>
  <c r="U276" i="44" s="1"/>
  <c r="K276" i="44"/>
  <c r="I276" i="44"/>
  <c r="K834" i="44"/>
  <c r="O834" i="44"/>
  <c r="U834" i="44" s="1"/>
  <c r="I834" i="44"/>
  <c r="O179" i="44"/>
  <c r="U179" i="44" s="1"/>
  <c r="K179" i="44"/>
  <c r="I179" i="44"/>
  <c r="O850" i="44"/>
  <c r="U850" i="44" s="1"/>
  <c r="K850" i="44"/>
  <c r="I850" i="44"/>
  <c r="O799" i="44"/>
  <c r="U799" i="44" s="1"/>
  <c r="K799" i="44"/>
  <c r="I799" i="44"/>
  <c r="O539" i="44"/>
  <c r="U539" i="44" s="1"/>
  <c r="K539" i="44"/>
  <c r="I539" i="44"/>
  <c r="O540" i="44"/>
  <c r="U540" i="44" s="1"/>
  <c r="K540" i="44"/>
  <c r="I540" i="44"/>
  <c r="O582" i="44"/>
  <c r="U582" i="44" s="1"/>
  <c r="K582" i="44"/>
  <c r="I582" i="44"/>
  <c r="O130" i="44"/>
  <c r="U130" i="44" s="1"/>
  <c r="K130" i="44"/>
  <c r="I130" i="44"/>
  <c r="K480" i="44"/>
  <c r="O480" i="44"/>
  <c r="U480" i="44" s="1"/>
  <c r="I480" i="44"/>
  <c r="O735" i="44"/>
  <c r="U735" i="44" s="1"/>
  <c r="K735" i="44"/>
  <c r="I735" i="44"/>
  <c r="O465" i="44"/>
  <c r="U465" i="44" s="1"/>
  <c r="K465" i="44"/>
  <c r="I465" i="44"/>
  <c r="K170" i="44"/>
  <c r="O170" i="44"/>
  <c r="U170" i="44" s="1"/>
  <c r="I170" i="44"/>
  <c r="K629" i="44"/>
  <c r="O629" i="44"/>
  <c r="U629" i="44" s="1"/>
  <c r="I629" i="44"/>
  <c r="K328" i="44"/>
  <c r="O328" i="44"/>
  <c r="U328" i="44" s="1"/>
  <c r="I328" i="44"/>
  <c r="K792" i="44"/>
  <c r="O792" i="44"/>
  <c r="U792" i="44" s="1"/>
  <c r="I792" i="44"/>
  <c r="K337" i="44"/>
  <c r="O337" i="44"/>
  <c r="U337" i="44" s="1"/>
  <c r="I337" i="44"/>
  <c r="K330" i="44"/>
  <c r="O330" i="44"/>
  <c r="U330" i="44" s="1"/>
  <c r="I330" i="44"/>
  <c r="O193" i="44"/>
  <c r="U193" i="44" s="1"/>
  <c r="K193" i="44"/>
  <c r="I193" i="44"/>
  <c r="K234" i="44"/>
  <c r="O234" i="44"/>
  <c r="U234" i="44" s="1"/>
  <c r="I234" i="44"/>
  <c r="O303" i="44"/>
  <c r="U303" i="44" s="1"/>
  <c r="K303" i="44"/>
  <c r="I303" i="44"/>
  <c r="O452" i="44"/>
  <c r="U452" i="44" s="1"/>
  <c r="K452" i="44"/>
  <c r="I452" i="44"/>
  <c r="O459" i="44"/>
  <c r="U459" i="44" s="1"/>
  <c r="K459" i="44"/>
  <c r="I459" i="44"/>
  <c r="K562" i="44"/>
  <c r="O562" i="44"/>
  <c r="U562" i="44" s="1"/>
  <c r="I562" i="44"/>
  <c r="O705" i="44"/>
  <c r="U705" i="44" s="1"/>
  <c r="K705" i="44"/>
  <c r="I705" i="44"/>
  <c r="K290" i="44"/>
  <c r="O290" i="44"/>
  <c r="U290" i="44" s="1"/>
  <c r="I290" i="44"/>
  <c r="O714" i="44"/>
  <c r="U714" i="44" s="1"/>
  <c r="K714" i="44"/>
  <c r="I714" i="44"/>
  <c r="K491" i="44"/>
  <c r="O491" i="44"/>
  <c r="U491" i="44" s="1"/>
  <c r="I491" i="44"/>
  <c r="K715" i="44"/>
  <c r="O715" i="44"/>
  <c r="U715" i="44" s="1"/>
  <c r="I715" i="44"/>
  <c r="K602" i="44"/>
  <c r="O602" i="44"/>
  <c r="U602" i="44" s="1"/>
  <c r="I602" i="44"/>
  <c r="K232" i="44"/>
  <c r="O232" i="44"/>
  <c r="U232" i="44" s="1"/>
  <c r="I232" i="44"/>
  <c r="O513" i="44"/>
  <c r="U513" i="44" s="1"/>
  <c r="K513" i="44"/>
  <c r="I513" i="44"/>
  <c r="O864" i="44"/>
  <c r="U864" i="44" s="1"/>
  <c r="K864" i="44"/>
  <c r="I864" i="44"/>
  <c r="O635" i="44"/>
  <c r="U635" i="44" s="1"/>
  <c r="K635" i="44"/>
  <c r="I635" i="44"/>
  <c r="O456" i="44"/>
  <c r="U456" i="44" s="1"/>
  <c r="K456" i="44"/>
  <c r="I456" i="44"/>
  <c r="K527" i="44"/>
  <c r="O527" i="44"/>
  <c r="U527" i="44" s="1"/>
  <c r="I527" i="44"/>
  <c r="K272" i="44"/>
  <c r="O272" i="44"/>
  <c r="U272" i="44" s="1"/>
  <c r="I272" i="44"/>
  <c r="K754" i="44"/>
  <c r="O754" i="44"/>
  <c r="U754" i="44" s="1"/>
  <c r="I754" i="44"/>
  <c r="K485" i="44"/>
  <c r="O485" i="44"/>
  <c r="U485" i="44" s="1"/>
  <c r="I485" i="44"/>
  <c r="O189" i="44"/>
  <c r="U189" i="44" s="1"/>
  <c r="K189" i="44"/>
  <c r="I189" i="44"/>
  <c r="K405" i="44"/>
  <c r="O405" i="44"/>
  <c r="U405" i="44" s="1"/>
  <c r="I405" i="44"/>
  <c r="O812" i="44"/>
  <c r="U812" i="44" s="1"/>
  <c r="K812" i="44"/>
  <c r="I812" i="44"/>
  <c r="K859" i="44"/>
  <c r="O859" i="44"/>
  <c r="U859" i="44" s="1"/>
  <c r="I859" i="44"/>
  <c r="K424" i="44"/>
  <c r="O424" i="44"/>
  <c r="U424" i="44" s="1"/>
  <c r="I424" i="44"/>
  <c r="K489" i="44"/>
  <c r="O489" i="44"/>
  <c r="U489" i="44" s="1"/>
  <c r="I489" i="44"/>
  <c r="K608" i="44"/>
  <c r="O608" i="44"/>
  <c r="U608" i="44" s="1"/>
  <c r="I608" i="44"/>
  <c r="K91" i="44"/>
  <c r="O91" i="44"/>
  <c r="U91" i="44" s="1"/>
  <c r="I91" i="44"/>
  <c r="K129" i="44"/>
  <c r="O129" i="44"/>
  <c r="U129" i="44" s="1"/>
  <c r="I129" i="44"/>
  <c r="K100" i="44"/>
  <c r="O100" i="44"/>
  <c r="U100" i="44" s="1"/>
  <c r="I100" i="44"/>
  <c r="O573" i="44"/>
  <c r="U573" i="44" s="1"/>
  <c r="K573" i="44"/>
  <c r="I573" i="44"/>
  <c r="K679" i="44"/>
  <c r="O679" i="44"/>
  <c r="U679" i="44" s="1"/>
  <c r="I679" i="44"/>
  <c r="K867" i="44"/>
  <c r="O867" i="44"/>
  <c r="U867" i="44" s="1"/>
  <c r="I867" i="44"/>
  <c r="O653" i="44"/>
  <c r="U653" i="44" s="1"/>
  <c r="K653" i="44"/>
  <c r="I653" i="44"/>
  <c r="K551" i="44"/>
  <c r="O551" i="44"/>
  <c r="U551" i="44" s="1"/>
  <c r="I551" i="44"/>
  <c r="O77" i="44"/>
  <c r="U77" i="44" s="1"/>
  <c r="K77" i="44"/>
  <c r="I77" i="44"/>
  <c r="K202" i="44"/>
  <c r="O202" i="44"/>
  <c r="U202" i="44" s="1"/>
  <c r="I202" i="44"/>
  <c r="O242" i="44"/>
  <c r="U242" i="44" s="1"/>
  <c r="K242" i="44"/>
  <c r="I242" i="44"/>
  <c r="O600" i="44"/>
  <c r="U600" i="44" s="1"/>
  <c r="K600" i="44"/>
  <c r="I600" i="44"/>
  <c r="O28" i="44"/>
  <c r="U28" i="44" s="1"/>
  <c r="K28" i="44"/>
  <c r="I28" i="44"/>
  <c r="K283" i="44"/>
  <c r="O283" i="44"/>
  <c r="U283" i="44" s="1"/>
  <c r="I283" i="44"/>
  <c r="O626" i="44"/>
  <c r="U626" i="44" s="1"/>
  <c r="K626" i="44"/>
  <c r="I626" i="44"/>
  <c r="O779" i="44"/>
  <c r="U779" i="44" s="1"/>
  <c r="K779" i="44"/>
  <c r="I779" i="44"/>
  <c r="K435" i="44"/>
  <c r="O435" i="44"/>
  <c r="U435" i="44" s="1"/>
  <c r="I435" i="44"/>
  <c r="O79" i="44"/>
  <c r="U79" i="44" s="1"/>
  <c r="K79" i="44"/>
  <c r="I79" i="44"/>
  <c r="O804" i="44"/>
  <c r="U804" i="44" s="1"/>
  <c r="K804" i="44"/>
  <c r="I804" i="44"/>
  <c r="O482" i="44"/>
  <c r="U482" i="44" s="1"/>
  <c r="K482" i="44"/>
  <c r="I482" i="44"/>
  <c r="O707" i="44"/>
  <c r="U707" i="44" s="1"/>
  <c r="K707" i="44"/>
  <c r="I707" i="44"/>
  <c r="O422" i="44"/>
  <c r="U422" i="44" s="1"/>
  <c r="K422" i="44"/>
  <c r="I422" i="44"/>
  <c r="O852" i="44"/>
  <c r="U852" i="44" s="1"/>
  <c r="K852" i="44"/>
  <c r="I852" i="44"/>
  <c r="O236" i="44"/>
  <c r="U236" i="44" s="1"/>
  <c r="K236" i="44"/>
  <c r="I236" i="44"/>
  <c r="O51" i="44"/>
  <c r="U51" i="44" s="1"/>
  <c r="K51" i="44"/>
  <c r="I51" i="44"/>
  <c r="K192" i="44"/>
  <c r="O192" i="44"/>
  <c r="U192" i="44" s="1"/>
  <c r="I192" i="44"/>
  <c r="K497" i="44"/>
  <c r="O497" i="44"/>
  <c r="U497" i="44" s="1"/>
  <c r="I497" i="44"/>
  <c r="K436" i="44"/>
  <c r="O436" i="44"/>
  <c r="U436" i="44" s="1"/>
  <c r="I436" i="44"/>
  <c r="K94" i="44"/>
  <c r="O94" i="44"/>
  <c r="U94" i="44" s="1"/>
  <c r="I94" i="44"/>
  <c r="K280" i="44"/>
  <c r="O280" i="44"/>
  <c r="U280" i="44" s="1"/>
  <c r="I280" i="44"/>
  <c r="K248" i="44"/>
  <c r="O248" i="44"/>
  <c r="U248" i="44" s="1"/>
  <c r="I248" i="44"/>
  <c r="O797" i="44"/>
  <c r="U797" i="44" s="1"/>
  <c r="K797" i="44"/>
  <c r="I797" i="44"/>
  <c r="O53" i="44"/>
  <c r="U53" i="44" s="1"/>
  <c r="K53" i="44"/>
  <c r="I53" i="44"/>
  <c r="O419" i="44"/>
  <c r="U419" i="44" s="1"/>
  <c r="K419" i="44"/>
  <c r="I419" i="44"/>
  <c r="O451" i="44"/>
  <c r="U451" i="44" s="1"/>
  <c r="K451" i="44"/>
  <c r="I451" i="44"/>
  <c r="O191" i="44"/>
  <c r="U191" i="44" s="1"/>
  <c r="K191" i="44"/>
  <c r="I191" i="44"/>
  <c r="K574" i="44"/>
  <c r="O574" i="44"/>
  <c r="U574" i="44" s="1"/>
  <c r="I574" i="44"/>
  <c r="K597" i="44"/>
  <c r="O597" i="44"/>
  <c r="U597" i="44" s="1"/>
  <c r="I597" i="44"/>
  <c r="K55" i="44"/>
  <c r="O55" i="44"/>
  <c r="U55" i="44" s="1"/>
  <c r="I55" i="44"/>
  <c r="I731" i="66" l="1"/>
  <c r="Y732" i="66"/>
  <c r="Z732" i="66" s="1"/>
  <c r="AB732" i="66"/>
  <c r="H732" i="66"/>
  <c r="E734" i="66"/>
  <c r="G733" i="66"/>
  <c r="F733" i="66"/>
  <c r="S731" i="66"/>
  <c r="D733" i="66"/>
  <c r="P732" i="66"/>
  <c r="AD14" i="44"/>
  <c r="Z14" i="44"/>
  <c r="Y15" i="44"/>
  <c r="AJ14" i="44"/>
  <c r="AK14" i="44" s="1"/>
  <c r="H733" i="66" l="1"/>
  <c r="Y733" i="66"/>
  <c r="Z733" i="66" s="1"/>
  <c r="AB733" i="66"/>
  <c r="F734" i="66"/>
  <c r="G734" i="66"/>
  <c r="E735" i="66"/>
  <c r="I732" i="66"/>
  <c r="S732" i="66"/>
  <c r="AL14" i="44"/>
  <c r="AM14" i="44"/>
  <c r="AN14" i="44" s="1"/>
  <c r="AJ15" i="44"/>
  <c r="AK15" i="44" s="1"/>
  <c r="AD15" i="44"/>
  <c r="Y16" i="44"/>
  <c r="Z15" i="44"/>
  <c r="AA14" i="44"/>
  <c r="AE14" i="44"/>
  <c r="AF14" i="44" s="1"/>
  <c r="D734" i="66"/>
  <c r="P733" i="66"/>
  <c r="I733" i="66" l="1"/>
  <c r="Y734" i="66"/>
  <c r="Z734" i="66" s="1"/>
  <c r="AB734" i="66"/>
  <c r="H734" i="66"/>
  <c r="G735" i="66"/>
  <c r="E736" i="66"/>
  <c r="F735" i="66"/>
  <c r="S733" i="66"/>
  <c r="AD16" i="44"/>
  <c r="Z16" i="44"/>
  <c r="AJ16" i="44"/>
  <c r="AK16" i="44" s="1"/>
  <c r="Y17" i="44"/>
  <c r="AE15" i="44"/>
  <c r="AF15" i="44" s="1"/>
  <c r="AG15" i="44" s="1"/>
  <c r="AA15" i="44"/>
  <c r="AB15" i="44" s="1"/>
  <c r="AM15" i="44"/>
  <c r="AN15" i="44" s="1"/>
  <c r="AL15" i="44"/>
  <c r="D735" i="66"/>
  <c r="P734" i="66"/>
  <c r="Y735" i="66" l="1"/>
  <c r="Z735" i="66" s="1"/>
  <c r="AB735" i="66"/>
  <c r="H735" i="66"/>
  <c r="F736" i="66"/>
  <c r="G736" i="66"/>
  <c r="E737" i="66"/>
  <c r="I734" i="66"/>
  <c r="S734" i="66"/>
  <c r="D736" i="66"/>
  <c r="P735" i="66"/>
  <c r="Z17" i="44"/>
  <c r="Y18" i="44"/>
  <c r="AD17" i="44"/>
  <c r="AJ17" i="44"/>
  <c r="AK17" i="44" s="1"/>
  <c r="AL16" i="44"/>
  <c r="AM16" i="44"/>
  <c r="AN16" i="44" s="1"/>
  <c r="AE16" i="44"/>
  <c r="AA16" i="44"/>
  <c r="AB16" i="44" s="1"/>
  <c r="Y736" i="66" l="1"/>
  <c r="Z736" i="66" s="1"/>
  <c r="AB736" i="66"/>
  <c r="H736" i="66"/>
  <c r="G737" i="66"/>
  <c r="F737" i="66"/>
  <c r="E738" i="66"/>
  <c r="I735" i="66"/>
  <c r="S735" i="66"/>
  <c r="AA17" i="44"/>
  <c r="AB17" i="44" s="1"/>
  <c r="AE17" i="44"/>
  <c r="AF17" i="44" s="1"/>
  <c r="D737" i="66"/>
  <c r="P736" i="66"/>
  <c r="Z18" i="44"/>
  <c r="AD18" i="44"/>
  <c r="Y19" i="44"/>
  <c r="AJ18" i="44"/>
  <c r="AK18" i="44" s="1"/>
  <c r="AF16" i="44"/>
  <c r="AG16" i="44" s="1"/>
  <c r="AP14" i="44"/>
  <c r="AQ14" i="44" s="1"/>
  <c r="AM17" i="44"/>
  <c r="AN17" i="44" s="1"/>
  <c r="AL17" i="44"/>
  <c r="Y737" i="66" l="1"/>
  <c r="Z737" i="66" s="1"/>
  <c r="AB737" i="66"/>
  <c r="H737" i="66"/>
  <c r="F738" i="66"/>
  <c r="G738" i="66"/>
  <c r="E739" i="66"/>
  <c r="I736" i="66"/>
  <c r="S736" i="66"/>
  <c r="AG17" i="44"/>
  <c r="AM18" i="44"/>
  <c r="AN18" i="44" s="1"/>
  <c r="AL18" i="44"/>
  <c r="AD19" i="44"/>
  <c r="Z19" i="44"/>
  <c r="Y20" i="44"/>
  <c r="AJ19" i="44"/>
  <c r="AK19" i="44" s="1"/>
  <c r="D738" i="66"/>
  <c r="P737" i="66"/>
  <c r="AE18" i="44"/>
  <c r="AA18" i="44"/>
  <c r="AB18" i="44" s="1"/>
  <c r="H738" i="66" l="1"/>
  <c r="Y738" i="66"/>
  <c r="Z738" i="66" s="1"/>
  <c r="AB738" i="66"/>
  <c r="I737" i="66"/>
  <c r="F739" i="66"/>
  <c r="G739" i="66"/>
  <c r="E740" i="66"/>
  <c r="S737" i="66"/>
  <c r="D739" i="66"/>
  <c r="P738" i="66"/>
  <c r="AF18" i="44"/>
  <c r="AG18" i="44" s="1"/>
  <c r="AM19" i="44"/>
  <c r="AN19" i="44" s="1"/>
  <c r="AL19" i="44"/>
  <c r="AD20" i="44"/>
  <c r="AJ20" i="44"/>
  <c r="AK20" i="44" s="1"/>
  <c r="Z20" i="44"/>
  <c r="Y21" i="44"/>
  <c r="AA19" i="44"/>
  <c r="AB19" i="44" s="1"/>
  <c r="AE19" i="44"/>
  <c r="AF19" i="44" s="1"/>
  <c r="I738" i="66" l="1"/>
  <c r="Y739" i="66"/>
  <c r="Z739" i="66" s="1"/>
  <c r="AB739" i="66"/>
  <c r="H739" i="66"/>
  <c r="G740" i="66"/>
  <c r="F740" i="66"/>
  <c r="E741" i="66"/>
  <c r="S738" i="66"/>
  <c r="AG19" i="44"/>
  <c r="AP15" i="44"/>
  <c r="AQ15" i="44" s="1"/>
  <c r="Z21" i="44"/>
  <c r="AJ21" i="44"/>
  <c r="AK21" i="44" s="1"/>
  <c r="AM21" i="44" s="1"/>
  <c r="AD21" i="44"/>
  <c r="Y22" i="44"/>
  <c r="D740" i="66"/>
  <c r="P739" i="66"/>
  <c r="AM20" i="44"/>
  <c r="AN20" i="44" s="1"/>
  <c r="AL20" i="44"/>
  <c r="AE20" i="44"/>
  <c r="AA20" i="44"/>
  <c r="AB20" i="44" s="1"/>
  <c r="H740" i="66" l="1"/>
  <c r="I740" i="66" s="1"/>
  <c r="Y740" i="66"/>
  <c r="Z740" i="66" s="1"/>
  <c r="AB740" i="66"/>
  <c r="I739" i="66"/>
  <c r="F741" i="66"/>
  <c r="G741" i="66"/>
  <c r="E742" i="66"/>
  <c r="S739" i="66"/>
  <c r="AL21" i="44"/>
  <c r="AN21" i="44"/>
  <c r="AF20" i="44"/>
  <c r="AG20" i="44" s="1"/>
  <c r="AA21" i="44"/>
  <c r="AB21" i="44" s="1"/>
  <c r="AE21" i="44"/>
  <c r="AF21" i="44" s="1"/>
  <c r="D741" i="66"/>
  <c r="P740" i="66"/>
  <c r="AD22" i="44"/>
  <c r="Y23" i="44"/>
  <c r="AJ22" i="44"/>
  <c r="AK22" i="44" s="1"/>
  <c r="Z22" i="44"/>
  <c r="Y741" i="66" l="1"/>
  <c r="Z741" i="66" s="1"/>
  <c r="AB741" i="66"/>
  <c r="H741" i="66"/>
  <c r="G742" i="66"/>
  <c r="E743" i="66"/>
  <c r="F742" i="66"/>
  <c r="S740" i="66"/>
  <c r="D742" i="66"/>
  <c r="P741" i="66"/>
  <c r="AG21" i="44"/>
  <c r="AA22" i="44"/>
  <c r="AB22" i="44" s="1"/>
  <c r="AE22" i="44"/>
  <c r="AF22" i="44" s="1"/>
  <c r="AG22" i="44" s="1"/>
  <c r="AM22" i="44"/>
  <c r="AN22" i="44" s="1"/>
  <c r="AL22" i="44"/>
  <c r="AD23" i="44"/>
  <c r="AJ23" i="44"/>
  <c r="AK23" i="44" s="1"/>
  <c r="Z23" i="44"/>
  <c r="Y24" i="44"/>
  <c r="H742" i="66" l="1"/>
  <c r="Y742" i="66"/>
  <c r="Z742" i="66" s="1"/>
  <c r="AB742" i="66"/>
  <c r="I741" i="66"/>
  <c r="G743" i="66"/>
  <c r="F743" i="66"/>
  <c r="E744" i="66"/>
  <c r="S741" i="66"/>
  <c r="AD24" i="44"/>
  <c r="AJ24" i="44"/>
  <c r="AK24" i="44" s="1"/>
  <c r="Y25" i="44"/>
  <c r="Z24" i="44"/>
  <c r="AE23" i="44"/>
  <c r="AA23" i="44"/>
  <c r="AB23" i="44" s="1"/>
  <c r="AM23" i="44"/>
  <c r="AN23" i="44" s="1"/>
  <c r="AL23" i="44"/>
  <c r="D743" i="66"/>
  <c r="P742" i="66"/>
  <c r="H743" i="66" l="1"/>
  <c r="I743" i="66" s="1"/>
  <c r="Y743" i="66"/>
  <c r="Z743" i="66" s="1"/>
  <c r="AB743" i="66"/>
  <c r="I742" i="66"/>
  <c r="G744" i="66"/>
  <c r="F744" i="66"/>
  <c r="E745" i="66"/>
  <c r="S742" i="66"/>
  <c r="AF23" i="44"/>
  <c r="AG23" i="44" s="1"/>
  <c r="AA24" i="44"/>
  <c r="AB24" i="44" s="1"/>
  <c r="AE24" i="44"/>
  <c r="AF24" i="44" s="1"/>
  <c r="AJ25" i="44"/>
  <c r="AK25" i="44" s="1"/>
  <c r="AM25" i="44" s="1"/>
  <c r="Y26" i="44"/>
  <c r="Z25" i="44"/>
  <c r="AD25" i="44"/>
  <c r="D744" i="66"/>
  <c r="P743" i="66"/>
  <c r="AM24" i="44"/>
  <c r="AN24" i="44" s="1"/>
  <c r="AL24" i="44"/>
  <c r="Y744" i="66" l="1"/>
  <c r="Z744" i="66" s="1"/>
  <c r="AB744" i="66"/>
  <c r="H744" i="66"/>
  <c r="E746" i="66"/>
  <c r="F745" i="66"/>
  <c r="G745" i="66"/>
  <c r="S743" i="66"/>
  <c r="AN25" i="44"/>
  <c r="AG24" i="44"/>
  <c r="AJ26" i="44"/>
  <c r="AK26" i="44" s="1"/>
  <c r="Z26" i="44"/>
  <c r="Y27" i="44"/>
  <c r="AD26" i="44"/>
  <c r="AL25" i="44"/>
  <c r="D745" i="66"/>
  <c r="P744" i="66"/>
  <c r="AA25" i="44"/>
  <c r="AB25" i="44" s="1"/>
  <c r="AE25" i="44"/>
  <c r="AF25" i="44" s="1"/>
  <c r="AG25" i="44" s="1"/>
  <c r="Y745" i="66" l="1"/>
  <c r="Z745" i="66" s="1"/>
  <c r="AB745" i="66"/>
  <c r="I744" i="66"/>
  <c r="H745" i="66"/>
  <c r="F746" i="66"/>
  <c r="E747" i="66"/>
  <c r="G746" i="66"/>
  <c r="S744" i="66"/>
  <c r="D746" i="66"/>
  <c r="P745" i="66"/>
  <c r="AJ27" i="44"/>
  <c r="AK27" i="44" s="1"/>
  <c r="Y28" i="44"/>
  <c r="Z27" i="44"/>
  <c r="AD27" i="44"/>
  <c r="AA26" i="44"/>
  <c r="AB26" i="44" s="1"/>
  <c r="AE26" i="44"/>
  <c r="AF26" i="44" s="1"/>
  <c r="AG26" i="44" s="1"/>
  <c r="AM26" i="44"/>
  <c r="AN26" i="44" s="1"/>
  <c r="AL26" i="44"/>
  <c r="Y746" i="66" l="1"/>
  <c r="Z746" i="66" s="1"/>
  <c r="AB746" i="66"/>
  <c r="I745" i="66"/>
  <c r="F747" i="66"/>
  <c r="E748" i="66"/>
  <c r="G747" i="66"/>
  <c r="H746" i="66"/>
  <c r="S745" i="66"/>
  <c r="AA27" i="44"/>
  <c r="AB27" i="44" s="1"/>
  <c r="AE27" i="44"/>
  <c r="AF27" i="44" s="1"/>
  <c r="AG27" i="44" s="1"/>
  <c r="Y29" i="44"/>
  <c r="AD28" i="44"/>
  <c r="Z28" i="44"/>
  <c r="AJ28" i="44"/>
  <c r="AK28" i="44" s="1"/>
  <c r="AL27" i="44"/>
  <c r="AM27" i="44"/>
  <c r="AN27" i="44" s="1"/>
  <c r="D747" i="66"/>
  <c r="P746" i="66"/>
  <c r="Y747" i="66" l="1"/>
  <c r="Z747" i="66" s="1"/>
  <c r="AB747" i="66"/>
  <c r="H747" i="66"/>
  <c r="I746" i="66"/>
  <c r="F748" i="66"/>
  <c r="E749" i="66"/>
  <c r="G748" i="66"/>
  <c r="S746" i="66"/>
  <c r="AM28" i="44"/>
  <c r="AN28" i="44" s="1"/>
  <c r="AL28" i="44"/>
  <c r="AE28" i="44"/>
  <c r="AF28" i="44" s="1"/>
  <c r="AG28" i="44" s="1"/>
  <c r="AA28" i="44"/>
  <c r="AB28" i="44" s="1"/>
  <c r="D748" i="66"/>
  <c r="P747" i="66"/>
  <c r="Z29" i="44"/>
  <c r="AJ29" i="44"/>
  <c r="AK29" i="44" s="1"/>
  <c r="AM29" i="44" s="1"/>
  <c r="Y30" i="44"/>
  <c r="AD29" i="44"/>
  <c r="H748" i="66" l="1"/>
  <c r="Y748" i="66"/>
  <c r="Z748" i="66" s="1"/>
  <c r="AB748" i="66"/>
  <c r="I747" i="66"/>
  <c r="G749" i="66"/>
  <c r="F749" i="66"/>
  <c r="E750" i="66"/>
  <c r="S747" i="66"/>
  <c r="AN29" i="44"/>
  <c r="AL29" i="44"/>
  <c r="D749" i="66"/>
  <c r="P748" i="66"/>
  <c r="AA29" i="44"/>
  <c r="AB29" i="44" s="1"/>
  <c r="AE29" i="44"/>
  <c r="Y31" i="44"/>
  <c r="Z30" i="44"/>
  <c r="AD30" i="44"/>
  <c r="AJ30" i="44"/>
  <c r="AK30" i="44" s="1"/>
  <c r="I748" i="66" l="1"/>
  <c r="Y749" i="66"/>
  <c r="Z749" i="66" s="1"/>
  <c r="AB749" i="66"/>
  <c r="H749" i="66"/>
  <c r="G750" i="66"/>
  <c r="F750" i="66"/>
  <c r="E751" i="66"/>
  <c r="S748" i="66"/>
  <c r="AA30" i="44"/>
  <c r="AB30" i="44" s="1"/>
  <c r="AE30" i="44"/>
  <c r="AF30" i="44" s="1"/>
  <c r="Z31" i="44"/>
  <c r="AD31" i="44"/>
  <c r="Y32" i="44"/>
  <c r="AJ31" i="44"/>
  <c r="AK31" i="44" s="1"/>
  <c r="AF29" i="44"/>
  <c r="AG29" i="44" s="1"/>
  <c r="AL30" i="44"/>
  <c r="AM30" i="44"/>
  <c r="AN30" i="44" s="1"/>
  <c r="D750" i="66"/>
  <c r="P749" i="66"/>
  <c r="Y750" i="66" l="1"/>
  <c r="Z750" i="66" s="1"/>
  <c r="AB750" i="66"/>
  <c r="H750" i="66"/>
  <c r="I750" i="66" s="1"/>
  <c r="I749" i="66"/>
  <c r="G751" i="66"/>
  <c r="F751" i="66"/>
  <c r="E752" i="66"/>
  <c r="S749" i="66"/>
  <c r="AL31" i="44"/>
  <c r="AM31" i="44"/>
  <c r="AN31" i="44" s="1"/>
  <c r="Y33" i="44"/>
  <c r="AJ32" i="44"/>
  <c r="AK32" i="44" s="1"/>
  <c r="AD32" i="44"/>
  <c r="Z32" i="44"/>
  <c r="D751" i="66"/>
  <c r="P750" i="66"/>
  <c r="AE31" i="44"/>
  <c r="AF31" i="44" s="1"/>
  <c r="AG31" i="44" s="1"/>
  <c r="AA31" i="44"/>
  <c r="AB31" i="44" s="1"/>
  <c r="AG30" i="44"/>
  <c r="H751" i="66" l="1"/>
  <c r="Y751" i="66"/>
  <c r="Z751" i="66" s="1"/>
  <c r="AB751" i="66"/>
  <c r="G752" i="66"/>
  <c r="E753" i="66"/>
  <c r="F752" i="66"/>
  <c r="S750" i="66"/>
  <c r="D752" i="66"/>
  <c r="P751" i="66"/>
  <c r="AE32" i="44"/>
  <c r="AF32" i="44" s="1"/>
  <c r="AG32" i="44" s="1"/>
  <c r="AA32" i="44"/>
  <c r="AB32" i="44" s="1"/>
  <c r="AL32" i="44"/>
  <c r="AM32" i="44"/>
  <c r="AN32" i="44" s="1"/>
  <c r="AD33" i="44"/>
  <c r="Z33" i="44"/>
  <c r="AJ33" i="44"/>
  <c r="AK33" i="44" s="1"/>
  <c r="Y34" i="44"/>
  <c r="H752" i="66" l="1"/>
  <c r="I752" i="66" s="1"/>
  <c r="I751" i="66"/>
  <c r="Y752" i="66"/>
  <c r="Z752" i="66" s="1"/>
  <c r="AB752" i="66"/>
  <c r="G753" i="66"/>
  <c r="E754" i="66"/>
  <c r="F753" i="66"/>
  <c r="S751" i="66"/>
  <c r="Y35" i="44"/>
  <c r="Z34" i="44"/>
  <c r="AD34" i="44"/>
  <c r="AJ34" i="44"/>
  <c r="AK34" i="44" s="1"/>
  <c r="AL33" i="44"/>
  <c r="AM33" i="44"/>
  <c r="AN33" i="44" s="1"/>
  <c r="AA33" i="44"/>
  <c r="AB33" i="44" s="1"/>
  <c r="AE33" i="44"/>
  <c r="AF33" i="44" s="1"/>
  <c r="AG33" i="44" s="1"/>
  <c r="D753" i="66"/>
  <c r="P752" i="66"/>
  <c r="H753" i="66" l="1"/>
  <c r="Y753" i="66"/>
  <c r="Z753" i="66" s="1"/>
  <c r="AB753" i="66"/>
  <c r="F754" i="66"/>
  <c r="E755" i="66"/>
  <c r="G754" i="66"/>
  <c r="S752" i="66"/>
  <c r="AM34" i="44"/>
  <c r="AN34" i="44" s="1"/>
  <c r="AL34" i="44"/>
  <c r="AE34" i="44"/>
  <c r="AF34" i="44" s="1"/>
  <c r="AG34" i="44" s="1"/>
  <c r="AA34" i="44"/>
  <c r="AB34" i="44" s="1"/>
  <c r="D754" i="66"/>
  <c r="P753" i="66"/>
  <c r="AJ35" i="44"/>
  <c r="AK35" i="44" s="1"/>
  <c r="Y36" i="44"/>
  <c r="AD35" i="44"/>
  <c r="Z35" i="44"/>
  <c r="I753" i="66" l="1"/>
  <c r="Y754" i="66"/>
  <c r="Z754" i="66" s="1"/>
  <c r="AB754" i="66"/>
  <c r="G755" i="66"/>
  <c r="F755" i="66"/>
  <c r="E756" i="66"/>
  <c r="H754" i="66"/>
  <c r="S753" i="66"/>
  <c r="AL35" i="44"/>
  <c r="AM35" i="44"/>
  <c r="AN35" i="44" s="1"/>
  <c r="D755" i="66"/>
  <c r="P754" i="66"/>
  <c r="AA35" i="44"/>
  <c r="AB35" i="44" s="1"/>
  <c r="AE35" i="44"/>
  <c r="AF35" i="44" s="1"/>
  <c r="AG35" i="44" s="1"/>
  <c r="Z36" i="44"/>
  <c r="AJ36" i="44"/>
  <c r="AK36" i="44" s="1"/>
  <c r="AD36" i="44"/>
  <c r="Y37" i="44"/>
  <c r="H755" i="66" l="1"/>
  <c r="Y755" i="66"/>
  <c r="Z755" i="66" s="1"/>
  <c r="AB755" i="66"/>
  <c r="I754" i="66"/>
  <c r="F756" i="66"/>
  <c r="G756" i="66"/>
  <c r="E757" i="66"/>
  <c r="S754" i="66"/>
  <c r="AE36" i="44"/>
  <c r="AF36" i="44" s="1"/>
  <c r="AG36" i="44" s="1"/>
  <c r="AA36" i="44"/>
  <c r="AB36" i="44" s="1"/>
  <c r="AB78" i="44" s="1"/>
  <c r="H7" i="44" s="1"/>
  <c r="D756" i="66"/>
  <c r="P755" i="66"/>
  <c r="Z37" i="44"/>
  <c r="AD37" i="44"/>
  <c r="AJ37" i="44"/>
  <c r="AK37" i="44" s="1"/>
  <c r="Y38" i="44"/>
  <c r="AL36" i="44"/>
  <c r="AM36" i="44"/>
  <c r="AN36" i="44" s="1"/>
  <c r="I755" i="66" l="1"/>
  <c r="Y756" i="66"/>
  <c r="Z756" i="66" s="1"/>
  <c r="AB756" i="66"/>
  <c r="H756" i="66"/>
  <c r="F757" i="66"/>
  <c r="G757" i="66"/>
  <c r="E758" i="66"/>
  <c r="S755" i="66"/>
  <c r="AM37" i="44"/>
  <c r="AN37" i="44" s="1"/>
  <c r="AL37" i="44"/>
  <c r="AA37" i="44"/>
  <c r="AB37" i="44" s="1"/>
  <c r="AE37" i="44"/>
  <c r="AF37" i="44" s="1"/>
  <c r="AG37" i="44" s="1"/>
  <c r="D757" i="66"/>
  <c r="P756" i="66"/>
  <c r="AP20" i="66"/>
  <c r="H883" i="44"/>
  <c r="H884" i="44" s="1"/>
  <c r="Y39" i="44"/>
  <c r="AJ38" i="44"/>
  <c r="AK38" i="44" s="1"/>
  <c r="Z38" i="44"/>
  <c r="AD38" i="44"/>
  <c r="H757" i="66" l="1"/>
  <c r="Y757" i="66"/>
  <c r="Z757" i="66" s="1"/>
  <c r="AB757" i="66"/>
  <c r="I756" i="66"/>
  <c r="G758" i="66"/>
  <c r="E759" i="66"/>
  <c r="F758" i="66"/>
  <c r="S756" i="66"/>
  <c r="D758" i="66"/>
  <c r="P757" i="66"/>
  <c r="AE38" i="44"/>
  <c r="AF38" i="44" s="1"/>
  <c r="AG38" i="44" s="1"/>
  <c r="AA38" i="44"/>
  <c r="AB38" i="44" s="1"/>
  <c r="AJ39" i="44"/>
  <c r="AK39" i="44" s="1"/>
  <c r="Z39" i="44"/>
  <c r="Y40" i="44"/>
  <c r="AD39" i="44"/>
  <c r="AL38" i="44"/>
  <c r="AM38" i="44"/>
  <c r="AN38" i="44" s="1"/>
  <c r="H758" i="66" l="1"/>
  <c r="I757" i="66"/>
  <c r="Y758" i="66"/>
  <c r="Z758" i="66" s="1"/>
  <c r="AB758" i="66"/>
  <c r="I758" i="66"/>
  <c r="F759" i="66"/>
  <c r="E760" i="66"/>
  <c r="G759" i="66"/>
  <c r="S757" i="66"/>
  <c r="AE39" i="44"/>
  <c r="AF39" i="44" s="1"/>
  <c r="AG39" i="44" s="1"/>
  <c r="AA39" i="44"/>
  <c r="AB39" i="44" s="1"/>
  <c r="AL39" i="44"/>
  <c r="AM39" i="44"/>
  <c r="AN39" i="44" s="1"/>
  <c r="D759" i="66"/>
  <c r="P758" i="66"/>
  <c r="AD40" i="44"/>
  <c r="AJ40" i="44"/>
  <c r="AK40" i="44" s="1"/>
  <c r="Y41" i="44"/>
  <c r="Z40" i="44"/>
  <c r="Y759" i="66" l="1"/>
  <c r="Z759" i="66" s="1"/>
  <c r="AB759" i="66"/>
  <c r="G760" i="66"/>
  <c r="E761" i="66"/>
  <c r="F760" i="66"/>
  <c r="H759" i="66"/>
  <c r="S758" i="66"/>
  <c r="D760" i="66"/>
  <c r="P759" i="66"/>
  <c r="AD41" i="44"/>
  <c r="Z41" i="44"/>
  <c r="Y42" i="44"/>
  <c r="AJ41" i="44"/>
  <c r="AK41" i="44" s="1"/>
  <c r="AE40" i="44"/>
  <c r="AF40" i="44" s="1"/>
  <c r="AG40" i="44" s="1"/>
  <c r="AA40" i="44"/>
  <c r="AB40" i="44" s="1"/>
  <c r="AL40" i="44"/>
  <c r="AM40" i="44"/>
  <c r="AN40" i="44" s="1"/>
  <c r="H760" i="66" l="1"/>
  <c r="I760" i="66" s="1"/>
  <c r="Y760" i="66"/>
  <c r="Z760" i="66" s="1"/>
  <c r="AB760" i="66"/>
  <c r="I759" i="66"/>
  <c r="F761" i="66"/>
  <c r="G761" i="66"/>
  <c r="E762" i="66"/>
  <c r="S759" i="66"/>
  <c r="AM41" i="44"/>
  <c r="AN41" i="44" s="1"/>
  <c r="AL41" i="44"/>
  <c r="AD42" i="44"/>
  <c r="Y43" i="44"/>
  <c r="AJ42" i="44"/>
  <c r="AK42" i="44" s="1"/>
  <c r="Z42" i="44"/>
  <c r="AA41" i="44"/>
  <c r="AB41" i="44" s="1"/>
  <c r="AE41" i="44"/>
  <c r="AF41" i="44" s="1"/>
  <c r="AG41" i="44" s="1"/>
  <c r="D761" i="66"/>
  <c r="P760" i="66"/>
  <c r="Y761" i="66" l="1"/>
  <c r="Z761" i="66" s="1"/>
  <c r="AB761" i="66"/>
  <c r="G762" i="66"/>
  <c r="F762" i="66"/>
  <c r="E763" i="66"/>
  <c r="H761" i="66"/>
  <c r="S760" i="66"/>
  <c r="AE42" i="44"/>
  <c r="AF42" i="44" s="1"/>
  <c r="AG42" i="44" s="1"/>
  <c r="AA42" i="44"/>
  <c r="AB42" i="44" s="1"/>
  <c r="AD43" i="44"/>
  <c r="AJ43" i="44"/>
  <c r="AK43" i="44" s="1"/>
  <c r="Z43" i="44"/>
  <c r="Y44" i="44"/>
  <c r="AM42" i="44"/>
  <c r="AN42" i="44" s="1"/>
  <c r="AL42" i="44"/>
  <c r="D762" i="66"/>
  <c r="P761" i="66"/>
  <c r="H762" i="66" l="1"/>
  <c r="Y762" i="66"/>
  <c r="Z762" i="66" s="1"/>
  <c r="AB762" i="66"/>
  <c r="G763" i="66"/>
  <c r="F763" i="66"/>
  <c r="E764" i="66"/>
  <c r="I761" i="66"/>
  <c r="S761" i="66"/>
  <c r="AD44" i="44"/>
  <c r="Y45" i="44"/>
  <c r="Z44" i="44"/>
  <c r="AJ44" i="44"/>
  <c r="AK44" i="44" s="1"/>
  <c r="AA43" i="44"/>
  <c r="AB43" i="44" s="1"/>
  <c r="AE43" i="44"/>
  <c r="AF43" i="44" s="1"/>
  <c r="AG43" i="44" s="1"/>
  <c r="AM43" i="44"/>
  <c r="AN43" i="44" s="1"/>
  <c r="AL43" i="44"/>
  <c r="D763" i="66"/>
  <c r="P762" i="66"/>
  <c r="I762" i="66" l="1"/>
  <c r="Y763" i="66"/>
  <c r="Z763" i="66" s="1"/>
  <c r="AB763" i="66"/>
  <c r="G764" i="66"/>
  <c r="E765" i="66"/>
  <c r="F764" i="66"/>
  <c r="H763" i="66"/>
  <c r="S762" i="66"/>
  <c r="AA44" i="44"/>
  <c r="AB44" i="44" s="1"/>
  <c r="AE44" i="44"/>
  <c r="AF44" i="44" s="1"/>
  <c r="AG44" i="44" s="1"/>
  <c r="AL44" i="44"/>
  <c r="AM44" i="44"/>
  <c r="AN44" i="44" s="1"/>
  <c r="AJ45" i="44"/>
  <c r="AK45" i="44" s="1"/>
  <c r="Y46" i="44"/>
  <c r="AD45" i="44"/>
  <c r="Z45" i="44"/>
  <c r="D764" i="66"/>
  <c r="P763" i="66"/>
  <c r="H764" i="66" l="1"/>
  <c r="Y764" i="66"/>
  <c r="Z764" i="66" s="1"/>
  <c r="AB764" i="66"/>
  <c r="G765" i="66"/>
  <c r="F765" i="66"/>
  <c r="E766" i="66"/>
  <c r="I763" i="66"/>
  <c r="S763" i="66"/>
  <c r="AJ46" i="44"/>
  <c r="AK46" i="44" s="1"/>
  <c r="Y47" i="44"/>
  <c r="AD46" i="44"/>
  <c r="Z46" i="44"/>
  <c r="D765" i="66"/>
  <c r="P764" i="66"/>
  <c r="AL45" i="44"/>
  <c r="AM45" i="44"/>
  <c r="AN45" i="44" s="1"/>
  <c r="AE45" i="44"/>
  <c r="AF45" i="44" s="1"/>
  <c r="AG45" i="44" s="1"/>
  <c r="AA45" i="44"/>
  <c r="AB45" i="44" s="1"/>
  <c r="I764" i="66" l="1"/>
  <c r="Y765" i="66"/>
  <c r="Z765" i="66" s="1"/>
  <c r="AB765" i="66"/>
  <c r="G766" i="66"/>
  <c r="E767" i="66"/>
  <c r="F766" i="66"/>
  <c r="H765" i="66"/>
  <c r="S764" i="66"/>
  <c r="D766" i="66"/>
  <c r="P765" i="66"/>
  <c r="AA46" i="44"/>
  <c r="AB46" i="44" s="1"/>
  <c r="AE46" i="44"/>
  <c r="AF46" i="44" s="1"/>
  <c r="AG46" i="44" s="1"/>
  <c r="AD47" i="44"/>
  <c r="AJ47" i="44"/>
  <c r="AK47" i="44" s="1"/>
  <c r="Y48" i="44"/>
  <c r="Z47" i="44"/>
  <c r="AL46" i="44"/>
  <c r="AM46" i="44"/>
  <c r="AN46" i="44" s="1"/>
  <c r="H766" i="66" l="1"/>
  <c r="Y766" i="66"/>
  <c r="Z766" i="66" s="1"/>
  <c r="AB766" i="66"/>
  <c r="I765" i="66"/>
  <c r="E768" i="66"/>
  <c r="F767" i="66"/>
  <c r="G767" i="66"/>
  <c r="S765" i="66"/>
  <c r="D767" i="66"/>
  <c r="P766" i="66"/>
  <c r="AE47" i="44"/>
  <c r="AF47" i="44" s="1"/>
  <c r="AG47" i="44" s="1"/>
  <c r="AA47" i="44"/>
  <c r="AB47" i="44" s="1"/>
  <c r="Y49" i="44"/>
  <c r="AJ48" i="44"/>
  <c r="AK48" i="44" s="1"/>
  <c r="AD48" i="44"/>
  <c r="Z48" i="44"/>
  <c r="AL47" i="44"/>
  <c r="AM47" i="44"/>
  <c r="AN47" i="44" s="1"/>
  <c r="I766" i="66" l="1"/>
  <c r="Y767" i="66"/>
  <c r="Z767" i="66" s="1"/>
  <c r="AB767" i="66"/>
  <c r="H767" i="66"/>
  <c r="G768" i="66"/>
  <c r="E769" i="66"/>
  <c r="F768" i="66"/>
  <c r="S766" i="66"/>
  <c r="AM48" i="44"/>
  <c r="AN48" i="44" s="1"/>
  <c r="AL48" i="44"/>
  <c r="AA48" i="44"/>
  <c r="AB48" i="44" s="1"/>
  <c r="AE48" i="44"/>
  <c r="AF48" i="44" s="1"/>
  <c r="AG48" i="44" s="1"/>
  <c r="AJ49" i="44"/>
  <c r="AK49" i="44" s="1"/>
  <c r="AD49" i="44"/>
  <c r="Z49" i="44"/>
  <c r="Y50" i="44"/>
  <c r="P767" i="66"/>
  <c r="D768" i="66"/>
  <c r="Y768" i="66" l="1"/>
  <c r="Z768" i="66" s="1"/>
  <c r="AB768" i="66"/>
  <c r="AB16" i="66" s="1"/>
  <c r="AC16" i="66" s="1"/>
  <c r="H768" i="66"/>
  <c r="F769" i="66"/>
  <c r="G769" i="66"/>
  <c r="E770" i="66"/>
  <c r="I767" i="66"/>
  <c r="S767" i="66"/>
  <c r="P768" i="66"/>
  <c r="D769" i="66"/>
  <c r="Y769" i="66" s="1"/>
  <c r="AE49" i="44"/>
  <c r="AF49" i="44" s="1"/>
  <c r="AG49" i="44" s="1"/>
  <c r="AA49" i="44"/>
  <c r="AB49" i="44" s="1"/>
  <c r="Z50" i="44"/>
  <c r="AD50" i="44"/>
  <c r="Y51" i="44"/>
  <c r="AJ50" i="44"/>
  <c r="AK50" i="44" s="1"/>
  <c r="AL49" i="44"/>
  <c r="AM49" i="44"/>
  <c r="AN49" i="44" s="1"/>
  <c r="Z769" i="66" l="1"/>
  <c r="G770" i="66"/>
  <c r="E771" i="66"/>
  <c r="F770" i="66"/>
  <c r="H769" i="66"/>
  <c r="I768" i="66"/>
  <c r="S768" i="66"/>
  <c r="AL50" i="44"/>
  <c r="AM50" i="44"/>
  <c r="AN50" i="44" s="1"/>
  <c r="AJ51" i="44"/>
  <c r="AK51" i="44" s="1"/>
  <c r="Y52" i="44"/>
  <c r="Z51" i="44"/>
  <c r="AD51" i="44"/>
  <c r="AE50" i="44"/>
  <c r="AF50" i="44" s="1"/>
  <c r="AG50" i="44" s="1"/>
  <c r="AA50" i="44"/>
  <c r="AB50" i="44" s="1"/>
  <c r="P769" i="66"/>
  <c r="D770" i="66"/>
  <c r="Y770" i="66" l="1"/>
  <c r="Z770" i="66" s="1"/>
  <c r="H770" i="66"/>
  <c r="I769" i="66"/>
  <c r="G771" i="66"/>
  <c r="F771" i="66"/>
  <c r="E772" i="66"/>
  <c r="S769" i="66"/>
  <c r="AA51" i="44"/>
  <c r="AB51" i="44" s="1"/>
  <c r="AE51" i="44"/>
  <c r="AF51" i="44" s="1"/>
  <c r="AG51" i="44" s="1"/>
  <c r="Z52" i="44"/>
  <c r="AD52" i="44"/>
  <c r="AJ52" i="44"/>
  <c r="AK52" i="44" s="1"/>
  <c r="Y53" i="44"/>
  <c r="AL51" i="44"/>
  <c r="AM51" i="44"/>
  <c r="AN51" i="44" s="1"/>
  <c r="P770" i="66"/>
  <c r="D771" i="66"/>
  <c r="Y771" i="66" l="1"/>
  <c r="Z771" i="66" s="1"/>
  <c r="I770" i="66"/>
  <c r="H771" i="66"/>
  <c r="F772" i="66"/>
  <c r="E773" i="66"/>
  <c r="G772" i="66"/>
  <c r="S770" i="66"/>
  <c r="AD53" i="44"/>
  <c r="Y54" i="44"/>
  <c r="Z53" i="44"/>
  <c r="AJ53" i="44"/>
  <c r="AK53" i="44" s="1"/>
  <c r="AM52" i="44"/>
  <c r="AN52" i="44" s="1"/>
  <c r="AL52" i="44"/>
  <c r="D772" i="66"/>
  <c r="P771" i="66"/>
  <c r="AA52" i="44"/>
  <c r="AB52" i="44" s="1"/>
  <c r="AE52" i="44"/>
  <c r="AF52" i="44" s="1"/>
  <c r="AG52" i="44" s="1"/>
  <c r="Y772" i="66" l="1"/>
  <c r="Z772" i="66" s="1"/>
  <c r="H772" i="66"/>
  <c r="I771" i="66"/>
  <c r="G773" i="66"/>
  <c r="E774" i="66"/>
  <c r="F773" i="66"/>
  <c r="S771" i="66"/>
  <c r="AL53" i="44"/>
  <c r="AM53" i="44"/>
  <c r="AN53" i="44" s="1"/>
  <c r="AA53" i="44"/>
  <c r="AB53" i="44" s="1"/>
  <c r="AE53" i="44"/>
  <c r="AF53" i="44" s="1"/>
  <c r="AG53" i="44" s="1"/>
  <c r="AD54" i="44"/>
  <c r="Y55" i="44"/>
  <c r="AJ54" i="44"/>
  <c r="AK54" i="44" s="1"/>
  <c r="Z54" i="44"/>
  <c r="P772" i="66"/>
  <c r="D773" i="66"/>
  <c r="Y773" i="66" l="1"/>
  <c r="Z773" i="66" s="1"/>
  <c r="H773" i="66"/>
  <c r="I772" i="66"/>
  <c r="F774" i="66"/>
  <c r="G774" i="66"/>
  <c r="E775" i="66"/>
  <c r="S772" i="66"/>
  <c r="P773" i="66"/>
  <c r="D774" i="66"/>
  <c r="AL54" i="44"/>
  <c r="AM54" i="44"/>
  <c r="AN54" i="44" s="1"/>
  <c r="Z55" i="44"/>
  <c r="AJ55" i="44"/>
  <c r="AK55" i="44" s="1"/>
  <c r="Y56" i="44"/>
  <c r="AD55" i="44"/>
  <c r="AE54" i="44"/>
  <c r="AF54" i="44" s="1"/>
  <c r="AG54" i="44" s="1"/>
  <c r="AA54" i="44"/>
  <c r="AB54" i="44" s="1"/>
  <c r="Y774" i="66" l="1"/>
  <c r="Z774" i="66" s="1"/>
  <c r="I773" i="66"/>
  <c r="H774" i="66"/>
  <c r="F775" i="66"/>
  <c r="G775" i="66"/>
  <c r="E776" i="66"/>
  <c r="S773" i="66"/>
  <c r="AD56" i="44"/>
  <c r="AJ56" i="44"/>
  <c r="AK56" i="44" s="1"/>
  <c r="Y57" i="44"/>
  <c r="Z56" i="44"/>
  <c r="AL55" i="44"/>
  <c r="AM55" i="44"/>
  <c r="AN55" i="44" s="1"/>
  <c r="AE55" i="44"/>
  <c r="AF55" i="44" s="1"/>
  <c r="AG55" i="44" s="1"/>
  <c r="AA55" i="44"/>
  <c r="AB55" i="44" s="1"/>
  <c r="D775" i="66"/>
  <c r="P774" i="66"/>
  <c r="I774" i="66" l="1"/>
  <c r="Y775" i="66"/>
  <c r="Z775" i="66" s="1"/>
  <c r="H775" i="66"/>
  <c r="G776" i="66"/>
  <c r="F776" i="66"/>
  <c r="E777" i="66"/>
  <c r="S774" i="66"/>
  <c r="AE56" i="44"/>
  <c r="AF56" i="44" s="1"/>
  <c r="AG56" i="44" s="1"/>
  <c r="AA56" i="44"/>
  <c r="AB56" i="44" s="1"/>
  <c r="AJ57" i="44"/>
  <c r="AK57" i="44" s="1"/>
  <c r="Z57" i="44"/>
  <c r="Y58" i="44"/>
  <c r="AD57" i="44"/>
  <c r="P775" i="66"/>
  <c r="D776" i="66"/>
  <c r="AM56" i="44"/>
  <c r="AN56" i="44" s="1"/>
  <c r="AL56" i="44"/>
  <c r="Y776" i="66" l="1"/>
  <c r="Z776" i="66" s="1"/>
  <c r="I775" i="66"/>
  <c r="E778" i="66"/>
  <c r="F777" i="66"/>
  <c r="G777" i="66"/>
  <c r="H776" i="66"/>
  <c r="S775" i="66"/>
  <c r="Y59" i="44"/>
  <c r="AJ58" i="44"/>
  <c r="AK58" i="44" s="1"/>
  <c r="AD58" i="44"/>
  <c r="Z58" i="44"/>
  <c r="P776" i="66"/>
  <c r="D777" i="66"/>
  <c r="AE57" i="44"/>
  <c r="AF57" i="44" s="1"/>
  <c r="AG57" i="44" s="1"/>
  <c r="AA57" i="44"/>
  <c r="AB57" i="44" s="1"/>
  <c r="AL57" i="44"/>
  <c r="AM57" i="44"/>
  <c r="AN57" i="44" s="1"/>
  <c r="Y777" i="66" l="1"/>
  <c r="Z777" i="66" s="1"/>
  <c r="H777" i="66"/>
  <c r="I776" i="66"/>
  <c r="F778" i="66"/>
  <c r="G778" i="66"/>
  <c r="E779" i="66"/>
  <c r="S776" i="66"/>
  <c r="AE58" i="44"/>
  <c r="AF58" i="44" s="1"/>
  <c r="AG58" i="44" s="1"/>
  <c r="AA58" i="44"/>
  <c r="AB58" i="44" s="1"/>
  <c r="AL58" i="44"/>
  <c r="AM58" i="44"/>
  <c r="AN58" i="44" s="1"/>
  <c r="P777" i="66"/>
  <c r="D778" i="66"/>
  <c r="AJ59" i="44"/>
  <c r="AK59" i="44" s="1"/>
  <c r="Y60" i="44"/>
  <c r="AD59" i="44"/>
  <c r="Z59" i="44"/>
  <c r="Y778" i="66" l="1"/>
  <c r="Z778" i="66" s="1"/>
  <c r="H778" i="66"/>
  <c r="F779" i="66"/>
  <c r="E780" i="66"/>
  <c r="G779" i="66"/>
  <c r="I777" i="66"/>
  <c r="S777" i="66"/>
  <c r="AD60" i="44"/>
  <c r="AJ60" i="44"/>
  <c r="AK60" i="44" s="1"/>
  <c r="Y61" i="44"/>
  <c r="Z60" i="44"/>
  <c r="AM59" i="44"/>
  <c r="AN59" i="44" s="1"/>
  <c r="AL59" i="44"/>
  <c r="D779" i="66"/>
  <c r="P778" i="66"/>
  <c r="AA59" i="44"/>
  <c r="AB59" i="44" s="1"/>
  <c r="AE59" i="44"/>
  <c r="AF59" i="44" s="1"/>
  <c r="AG59" i="44" s="1"/>
  <c r="Y779" i="66" l="1"/>
  <c r="Z779" i="66" s="1"/>
  <c r="I778" i="66"/>
  <c r="H779" i="66"/>
  <c r="E781" i="66"/>
  <c r="F780" i="66"/>
  <c r="G780" i="66"/>
  <c r="S778" i="66"/>
  <c r="AA60" i="44"/>
  <c r="AB60" i="44" s="1"/>
  <c r="AE60" i="44"/>
  <c r="AF60" i="44" s="1"/>
  <c r="AG60" i="44" s="1"/>
  <c r="Z61" i="44"/>
  <c r="Y62" i="44"/>
  <c r="AJ61" i="44"/>
  <c r="AK61" i="44" s="1"/>
  <c r="AD61" i="44"/>
  <c r="AL60" i="44"/>
  <c r="AM60" i="44"/>
  <c r="AN60" i="44" s="1"/>
  <c r="P779" i="66"/>
  <c r="D780" i="66"/>
  <c r="Y780" i="66" l="1"/>
  <c r="Z780" i="66" s="1"/>
  <c r="I779" i="66"/>
  <c r="H780" i="66"/>
  <c r="F781" i="66"/>
  <c r="E782" i="66"/>
  <c r="G781" i="66"/>
  <c r="S779" i="66"/>
  <c r="AM61" i="44"/>
  <c r="AN61" i="44" s="1"/>
  <c r="AL61" i="44"/>
  <c r="Z62" i="44"/>
  <c r="AJ62" i="44"/>
  <c r="AK62" i="44" s="1"/>
  <c r="Y63" i="44"/>
  <c r="AD62" i="44"/>
  <c r="AE61" i="44"/>
  <c r="AF61" i="44" s="1"/>
  <c r="AG61" i="44" s="1"/>
  <c r="AA61" i="44"/>
  <c r="AB61" i="44" s="1"/>
  <c r="P780" i="66"/>
  <c r="D781" i="66"/>
  <c r="N468" i="66" l="1"/>
  <c r="K468" i="66"/>
  <c r="N488" i="66"/>
  <c r="K488" i="66"/>
  <c r="N480" i="66"/>
  <c r="K480" i="66"/>
  <c r="K476" i="66"/>
  <c r="N476" i="66"/>
  <c r="K466" i="66"/>
  <c r="N466" i="66"/>
  <c r="N462" i="66"/>
  <c r="W462" i="66" s="1"/>
  <c r="K462" i="66"/>
  <c r="V462" i="66" s="1"/>
  <c r="K502" i="66"/>
  <c r="N502" i="66"/>
  <c r="K469" i="66"/>
  <c r="N469" i="66"/>
  <c r="K506" i="66"/>
  <c r="N506" i="66"/>
  <c r="K475" i="66"/>
  <c r="N475" i="66"/>
  <c r="K467" i="66"/>
  <c r="V467" i="66" s="1"/>
  <c r="N467" i="66"/>
  <c r="W467" i="66" s="1"/>
  <c r="K463" i="66"/>
  <c r="V463" i="66" s="1"/>
  <c r="N463" i="66"/>
  <c r="W463" i="66" s="1"/>
  <c r="K489" i="66"/>
  <c r="V489" i="66" s="1"/>
  <c r="N489" i="66"/>
  <c r="W489" i="66" s="1"/>
  <c r="N508" i="66"/>
  <c r="K508" i="66"/>
  <c r="K481" i="66"/>
  <c r="V481" i="66" s="1"/>
  <c r="N481" i="66"/>
  <c r="W481" i="66" s="1"/>
  <c r="K504" i="66"/>
  <c r="N504" i="66"/>
  <c r="N477" i="66"/>
  <c r="W477" i="66" s="1"/>
  <c r="K477" i="66"/>
  <c r="V477" i="66" s="1"/>
  <c r="N465" i="66"/>
  <c r="K465" i="66"/>
  <c r="N484" i="66"/>
  <c r="K484" i="66"/>
  <c r="K464" i="66"/>
  <c r="V464" i="66" s="1"/>
  <c r="N464" i="66"/>
  <c r="W464" i="66" s="1"/>
  <c r="K487" i="66"/>
  <c r="N487" i="66"/>
  <c r="N483" i="66"/>
  <c r="K483" i="66"/>
  <c r="K498" i="66"/>
  <c r="N498" i="66"/>
  <c r="K494" i="66"/>
  <c r="N494" i="66"/>
  <c r="N490" i="66"/>
  <c r="W490" i="66" s="1"/>
  <c r="K490" i="66"/>
  <c r="V490" i="66" s="1"/>
  <c r="N486" i="66"/>
  <c r="K486" i="66"/>
  <c r="K470" i="66"/>
  <c r="V470" i="66" s="1"/>
  <c r="N470" i="66"/>
  <c r="W470" i="66" s="1"/>
  <c r="K507" i="66"/>
  <c r="V507" i="66" s="1"/>
  <c r="N507" i="66"/>
  <c r="W507" i="66" s="1"/>
  <c r="K495" i="66"/>
  <c r="V495" i="66" s="1"/>
  <c r="N495" i="66"/>
  <c r="W495" i="66" s="1"/>
  <c r="N473" i="66"/>
  <c r="K473" i="66"/>
  <c r="K482" i="66"/>
  <c r="N482" i="66"/>
  <c r="N478" i="66"/>
  <c r="W478" i="66" s="1"/>
  <c r="K478" i="66"/>
  <c r="V478" i="66" s="1"/>
  <c r="N474" i="66"/>
  <c r="K474" i="66"/>
  <c r="K501" i="66"/>
  <c r="N501" i="66"/>
  <c r="K509" i="66"/>
  <c r="V509" i="66" s="1"/>
  <c r="N509" i="66"/>
  <c r="W509" i="66" s="1"/>
  <c r="N493" i="66"/>
  <c r="K493" i="66"/>
  <c r="K479" i="66"/>
  <c r="N479" i="66"/>
  <c r="Y781" i="66"/>
  <c r="Z781" i="66" s="1"/>
  <c r="I780" i="66"/>
  <c r="H781" i="66"/>
  <c r="G782" i="66"/>
  <c r="F782" i="66"/>
  <c r="E783" i="66"/>
  <c r="S780" i="66"/>
  <c r="AL62" i="44"/>
  <c r="AM62" i="44"/>
  <c r="AN62" i="44" s="1"/>
  <c r="AE62" i="44"/>
  <c r="AF62" i="44" s="1"/>
  <c r="AG62" i="44" s="1"/>
  <c r="AA62" i="44"/>
  <c r="AB62" i="44" s="1"/>
  <c r="P781" i="66"/>
  <c r="D782" i="66"/>
  <c r="Y64" i="44"/>
  <c r="Z63" i="44"/>
  <c r="AJ63" i="44"/>
  <c r="AK63" i="44" s="1"/>
  <c r="AD63" i="44"/>
  <c r="W469" i="66" l="1"/>
  <c r="V469" i="66"/>
  <c r="W482" i="66"/>
  <c r="W474" i="66"/>
  <c r="V482" i="66"/>
  <c r="W479" i="66"/>
  <c r="V479" i="66"/>
  <c r="V474" i="66"/>
  <c r="V487" i="66"/>
  <c r="W465" i="66"/>
  <c r="W487" i="66"/>
  <c r="V484" i="66"/>
  <c r="V508" i="66"/>
  <c r="W475" i="66"/>
  <c r="V480" i="66"/>
  <c r="V488" i="66"/>
  <c r="V468" i="66"/>
  <c r="W484" i="66"/>
  <c r="W508" i="66"/>
  <c r="V475" i="66"/>
  <c r="W480" i="66"/>
  <c r="W488" i="66"/>
  <c r="W468" i="66"/>
  <c r="V510" i="66"/>
  <c r="W494" i="66"/>
  <c r="V483" i="66"/>
  <c r="V465" i="66"/>
  <c r="W502" i="66"/>
  <c r="W466" i="66"/>
  <c r="W476" i="66"/>
  <c r="W510" i="66"/>
  <c r="V494" i="66"/>
  <c r="W483" i="66"/>
  <c r="V502" i="66"/>
  <c r="V466" i="66"/>
  <c r="V476" i="66"/>
  <c r="Y782" i="66"/>
  <c r="Z782" i="66" s="1"/>
  <c r="H782" i="66"/>
  <c r="I781" i="66"/>
  <c r="F783" i="66"/>
  <c r="G783" i="66"/>
  <c r="E784" i="66"/>
  <c r="S781" i="66"/>
  <c r="Z64" i="44"/>
  <c r="Y65" i="44"/>
  <c r="AJ64" i="44"/>
  <c r="AK64" i="44" s="1"/>
  <c r="AD64" i="44"/>
  <c r="AL63" i="44"/>
  <c r="AM63" i="44"/>
  <c r="AN63" i="44" s="1"/>
  <c r="D783" i="66"/>
  <c r="P782" i="66"/>
  <c r="AE63" i="44"/>
  <c r="AF63" i="44" s="1"/>
  <c r="AG63" i="44" s="1"/>
  <c r="AA63" i="44"/>
  <c r="AB63" i="44" s="1"/>
  <c r="I782" i="66" l="1"/>
  <c r="Y783" i="66"/>
  <c r="Z783" i="66" s="1"/>
  <c r="F784" i="66"/>
  <c r="E785" i="66"/>
  <c r="G784" i="66"/>
  <c r="H783" i="66"/>
  <c r="S782" i="66"/>
  <c r="AL64" i="44"/>
  <c r="AM64" i="44"/>
  <c r="AN64" i="44" s="1"/>
  <c r="P783" i="66"/>
  <c r="D784" i="66"/>
  <c r="AD65" i="44"/>
  <c r="AJ65" i="44"/>
  <c r="AK65" i="44" s="1"/>
  <c r="Z65" i="44"/>
  <c r="Y66" i="44"/>
  <c r="AE64" i="44"/>
  <c r="AF64" i="44" s="1"/>
  <c r="AG64" i="44" s="1"/>
  <c r="AA64" i="44"/>
  <c r="AB64" i="44" s="1"/>
  <c r="Y784" i="66" l="1"/>
  <c r="Z784" i="66" s="1"/>
  <c r="AC17" i="66" s="1" a="1"/>
  <c r="AC17" i="66" s="1"/>
  <c r="F785" i="66"/>
  <c r="G785" i="66"/>
  <c r="E786" i="66"/>
  <c r="I783" i="66"/>
  <c r="H784" i="66"/>
  <c r="S783" i="66"/>
  <c r="AE65" i="44"/>
  <c r="AF65" i="44" s="1"/>
  <c r="AG65" i="44" s="1"/>
  <c r="AA65" i="44"/>
  <c r="AB65" i="44" s="1"/>
  <c r="AM65" i="44"/>
  <c r="AN65" i="44" s="1"/>
  <c r="AL65" i="44"/>
  <c r="P784" i="66"/>
  <c r="D785" i="66"/>
  <c r="Z66" i="44"/>
  <c r="AD66" i="44"/>
  <c r="Y67" i="44"/>
  <c r="AJ66" i="44"/>
  <c r="AK66" i="44" s="1"/>
  <c r="AC784" i="66" l="1"/>
  <c r="T784" i="66" s="1"/>
  <c r="U784" i="66" s="1"/>
  <c r="AC250" i="66"/>
  <c r="T250" i="66" s="1"/>
  <c r="U250" i="66" s="1"/>
  <c r="AC23" i="66"/>
  <c r="T23" i="66" s="1"/>
  <c r="AC115" i="66"/>
  <c r="T115" i="66" s="1"/>
  <c r="U115" i="66" s="1"/>
  <c r="AC111" i="66"/>
  <c r="T111" i="66" s="1"/>
  <c r="U111" i="66" s="1"/>
  <c r="AC155" i="66"/>
  <c r="T155" i="66" s="1"/>
  <c r="U155" i="66" s="1"/>
  <c r="AC730" i="66"/>
  <c r="T730" i="66" s="1"/>
  <c r="U730" i="66" s="1"/>
  <c r="AC493" i="66"/>
  <c r="T493" i="66" s="1"/>
  <c r="U493" i="66" s="1"/>
  <c r="AC517" i="66"/>
  <c r="T517" i="66" s="1"/>
  <c r="U517" i="66" s="1"/>
  <c r="AC524" i="66"/>
  <c r="T524" i="66" s="1"/>
  <c r="U524" i="66" s="1"/>
  <c r="AC150" i="66"/>
  <c r="T150" i="66" s="1"/>
  <c r="AC242" i="66"/>
  <c r="T242" i="66" s="1"/>
  <c r="AC238" i="66"/>
  <c r="T238" i="66" s="1"/>
  <c r="AC346" i="66"/>
  <c r="T346" i="66" s="1"/>
  <c r="U346" i="66" s="1"/>
  <c r="AC55" i="66"/>
  <c r="T55" i="66" s="1"/>
  <c r="AC413" i="66"/>
  <c r="T413" i="66" s="1"/>
  <c r="U413" i="66" s="1"/>
  <c r="AC448" i="66"/>
  <c r="T448" i="66" s="1"/>
  <c r="U448" i="66" s="1"/>
  <c r="AC577" i="66"/>
  <c r="T577" i="66" s="1"/>
  <c r="U577" i="66" s="1"/>
  <c r="AC378" i="66"/>
  <c r="T378" i="66" s="1"/>
  <c r="U378" i="66" s="1"/>
  <c r="AC483" i="66"/>
  <c r="T483" i="66" s="1"/>
  <c r="U483" i="66" s="1"/>
  <c r="AC726" i="66"/>
  <c r="T726" i="66" s="1"/>
  <c r="U726" i="66" s="1"/>
  <c r="AC43" i="66"/>
  <c r="T43" i="66" s="1"/>
  <c r="AC151" i="66"/>
  <c r="T151" i="66" s="1"/>
  <c r="AC243" i="66"/>
  <c r="T243" i="66" s="1"/>
  <c r="AC239" i="66"/>
  <c r="T239" i="66" s="1"/>
  <c r="AC283" i="66"/>
  <c r="T283" i="66" s="1"/>
  <c r="U283" i="66" s="1"/>
  <c r="AC481" i="66"/>
  <c r="T481" i="66" s="1"/>
  <c r="U481" i="66" s="1"/>
  <c r="AC621" i="66"/>
  <c r="T621" i="66" s="1"/>
  <c r="U621" i="66" s="1"/>
  <c r="AC645" i="66"/>
  <c r="T645" i="66" s="1"/>
  <c r="U645" i="66" s="1"/>
  <c r="AC705" i="66"/>
  <c r="T705" i="66" s="1"/>
  <c r="U705" i="66" s="1"/>
  <c r="AC453" i="66"/>
  <c r="T453" i="66" s="1"/>
  <c r="AC200" i="66"/>
  <c r="T200" i="66" s="1"/>
  <c r="U200" i="66" s="1"/>
  <c r="AC292" i="66"/>
  <c r="T292" i="66" s="1"/>
  <c r="U292" i="66" s="1"/>
  <c r="AC288" i="66"/>
  <c r="T288" i="66" s="1"/>
  <c r="AC332" i="66"/>
  <c r="T332" i="66" s="1"/>
  <c r="AC367" i="66"/>
  <c r="T367" i="66" s="1"/>
  <c r="AC553" i="66"/>
  <c r="T553" i="66" s="1"/>
  <c r="U553" i="66" s="1"/>
  <c r="AC531" i="66"/>
  <c r="T531" i="66" s="1"/>
  <c r="U531" i="66" s="1"/>
  <c r="AC148" i="66"/>
  <c r="T148" i="66" s="1"/>
  <c r="U148" i="66" s="1"/>
  <c r="AC264" i="66"/>
  <c r="T264" i="66" s="1"/>
  <c r="U264" i="66" s="1"/>
  <c r="AC21" i="66"/>
  <c r="T21" i="66" s="1"/>
  <c r="U21" i="66" s="1"/>
  <c r="AC352" i="66"/>
  <c r="T352" i="66" s="1"/>
  <c r="AC61" i="66"/>
  <c r="T61" i="66" s="1"/>
  <c r="AC431" i="66"/>
  <c r="T431" i="66" s="1"/>
  <c r="U431" i="66" s="1"/>
  <c r="AC617" i="66"/>
  <c r="T617" i="66" s="1"/>
  <c r="U617" i="66" s="1"/>
  <c r="AC595" i="66"/>
  <c r="T595" i="66" s="1"/>
  <c r="U595" i="66" s="1"/>
  <c r="AC520" i="66"/>
  <c r="T520" i="66" s="1"/>
  <c r="AC358" i="66"/>
  <c r="T358" i="66" s="1"/>
  <c r="U358" i="66" s="1"/>
  <c r="AC53" i="66"/>
  <c r="T53" i="66" s="1"/>
  <c r="AC49" i="66"/>
  <c r="T49" i="66" s="1"/>
  <c r="AC157" i="66"/>
  <c r="T157" i="66" s="1"/>
  <c r="AC265" i="66"/>
  <c r="T265" i="66" s="1"/>
  <c r="AC293" i="66"/>
  <c r="T293" i="66" s="1"/>
  <c r="U293" i="66" s="1"/>
  <c r="AC289" i="66"/>
  <c r="T289" i="66" s="1"/>
  <c r="U289" i="66" s="1"/>
  <c r="AC499" i="66"/>
  <c r="T499" i="66" s="1"/>
  <c r="AC639" i="66"/>
  <c r="T639" i="66" s="1"/>
  <c r="U639" i="66" s="1"/>
  <c r="AC663" i="66"/>
  <c r="T663" i="66" s="1"/>
  <c r="U663" i="66" s="1"/>
  <c r="AC656" i="66"/>
  <c r="T656" i="66" s="1"/>
  <c r="U656" i="66" s="1"/>
  <c r="AC122" i="66"/>
  <c r="T122" i="66" s="1"/>
  <c r="AC230" i="66"/>
  <c r="T230" i="66" s="1"/>
  <c r="U230" i="66" s="1"/>
  <c r="AC322" i="66"/>
  <c r="T322" i="66" s="1"/>
  <c r="U322" i="66" s="1"/>
  <c r="AC318" i="66"/>
  <c r="T318" i="66" s="1"/>
  <c r="AC27" i="66"/>
  <c r="T27" i="66" s="1"/>
  <c r="U27" i="66" s="1"/>
  <c r="AC671" i="66"/>
  <c r="T671" i="66" s="1"/>
  <c r="U671" i="66" s="1"/>
  <c r="AC335" i="66"/>
  <c r="T335" i="66" s="1"/>
  <c r="U335" i="66" s="1"/>
  <c r="AC766" i="66"/>
  <c r="T766" i="66" s="1"/>
  <c r="U766" i="66" s="1"/>
  <c r="AC186" i="66"/>
  <c r="T186" i="66" s="1"/>
  <c r="U186" i="66" s="1"/>
  <c r="AC294" i="66"/>
  <c r="T294" i="66" s="1"/>
  <c r="U294" i="66" s="1"/>
  <c r="AC51" i="66"/>
  <c r="T51" i="66" s="1"/>
  <c r="AC47" i="66"/>
  <c r="T47" i="66" s="1"/>
  <c r="AC91" i="66"/>
  <c r="T91" i="66" s="1"/>
  <c r="U91" i="66" s="1"/>
  <c r="AC749" i="66"/>
  <c r="T749" i="66" s="1"/>
  <c r="AC429" i="66"/>
  <c r="T429" i="66" s="1"/>
  <c r="AC747" i="66"/>
  <c r="T747" i="66" s="1"/>
  <c r="AC396" i="66"/>
  <c r="T396" i="66" s="1"/>
  <c r="U396" i="66" s="1"/>
  <c r="AC574" i="66"/>
  <c r="T574" i="66" s="1"/>
  <c r="U574" i="66" s="1"/>
  <c r="AC391" i="66"/>
  <c r="T391" i="66" s="1"/>
  <c r="AC416" i="66"/>
  <c r="T416" i="66" s="1"/>
  <c r="AC547" i="66"/>
  <c r="T547" i="66" s="1"/>
  <c r="U547" i="66" s="1"/>
  <c r="AC739" i="66"/>
  <c r="T739" i="66" s="1"/>
  <c r="U739" i="66" s="1"/>
  <c r="AC552" i="66"/>
  <c r="T552" i="66" s="1"/>
  <c r="U552" i="66" s="1"/>
  <c r="AC474" i="66"/>
  <c r="T474" i="66" s="1"/>
  <c r="U474" i="66" s="1"/>
  <c r="AC628" i="66"/>
  <c r="T628" i="66" s="1"/>
  <c r="AC571" i="66"/>
  <c r="T571" i="66" s="1"/>
  <c r="U571" i="66" s="1"/>
  <c r="AC610" i="66"/>
  <c r="T610" i="66" s="1"/>
  <c r="U610" i="66" s="1"/>
  <c r="AC779" i="66"/>
  <c r="T779" i="66" s="1"/>
  <c r="U779" i="66" s="1"/>
  <c r="AC425" i="66"/>
  <c r="T425" i="66" s="1"/>
  <c r="U425" i="66" s="1"/>
  <c r="AC172" i="66"/>
  <c r="T172" i="66" s="1"/>
  <c r="AC280" i="66"/>
  <c r="T280" i="66" s="1"/>
  <c r="U280" i="66" s="1"/>
  <c r="AC308" i="66"/>
  <c r="T308" i="66" s="1"/>
  <c r="U308" i="66" s="1"/>
  <c r="AC304" i="66"/>
  <c r="T304" i="66" s="1"/>
  <c r="AC522" i="66"/>
  <c r="T522" i="66" s="1"/>
  <c r="AC662" i="66"/>
  <c r="T662" i="66" s="1"/>
  <c r="U662" i="66" s="1"/>
  <c r="AC686" i="66"/>
  <c r="T686" i="66" s="1"/>
  <c r="U686" i="66" s="1"/>
  <c r="AC670" i="66"/>
  <c r="T670" i="66" s="1"/>
  <c r="U670" i="66" s="1"/>
  <c r="AC327" i="66"/>
  <c r="T327" i="66" s="1"/>
  <c r="U327" i="66" s="1"/>
  <c r="AC417" i="66"/>
  <c r="T417" i="66" s="1"/>
  <c r="U417" i="66" s="1"/>
  <c r="AC164" i="66"/>
  <c r="T164" i="66" s="1"/>
  <c r="U164" i="66" s="1"/>
  <c r="AC156" i="66"/>
  <c r="T156" i="66" s="1"/>
  <c r="U156" i="66" s="1"/>
  <c r="AC204" i="66"/>
  <c r="T204" i="66" s="1"/>
  <c r="U204" i="66" s="1"/>
  <c r="AC582" i="66"/>
  <c r="T582" i="66" s="1"/>
  <c r="AC719" i="66"/>
  <c r="T719" i="66" s="1"/>
  <c r="U719" i="66" s="1"/>
  <c r="AC403" i="66"/>
  <c r="T403" i="66" s="1"/>
  <c r="U403" i="66" s="1"/>
  <c r="AC514" i="66"/>
  <c r="T514" i="66" s="1"/>
  <c r="AC661" i="66"/>
  <c r="T661" i="66" s="1"/>
  <c r="U661" i="66" s="1"/>
  <c r="AC196" i="66"/>
  <c r="T196" i="66" s="1"/>
  <c r="U196" i="66" s="1"/>
  <c r="AC192" i="66"/>
  <c r="T192" i="66" s="1"/>
  <c r="AC300" i="66"/>
  <c r="T300" i="66" s="1"/>
  <c r="U300" i="66" s="1"/>
  <c r="AC73" i="66"/>
  <c r="T73" i="66" s="1"/>
  <c r="AC101" i="66"/>
  <c r="T101" i="66" s="1"/>
  <c r="U101" i="66" s="1"/>
  <c r="AC97" i="66"/>
  <c r="T97" i="66" s="1"/>
  <c r="AC650" i="66"/>
  <c r="T650" i="66" s="1"/>
  <c r="AC447" i="66"/>
  <c r="T447" i="66" s="1"/>
  <c r="AC471" i="66"/>
  <c r="T471" i="66" s="1"/>
  <c r="AC583" i="66"/>
  <c r="T583" i="66" s="1"/>
  <c r="U583" i="66" s="1"/>
  <c r="AC269" i="66"/>
  <c r="T269" i="66" s="1"/>
  <c r="U269" i="66" s="1"/>
  <c r="AC38" i="66"/>
  <c r="T38" i="66" s="1"/>
  <c r="U38" i="66" s="1"/>
  <c r="AC130" i="66"/>
  <c r="T130" i="66" s="1"/>
  <c r="U130" i="66" s="1"/>
  <c r="AC126" i="66"/>
  <c r="T126" i="66" s="1"/>
  <c r="AC170" i="66"/>
  <c r="T170" i="66" s="1"/>
  <c r="AC568" i="66"/>
  <c r="T568" i="66" s="1"/>
  <c r="AC379" i="66"/>
  <c r="T379" i="66" s="1"/>
  <c r="U379" i="66" s="1"/>
  <c r="AC748" i="66"/>
  <c r="T748" i="66" s="1"/>
  <c r="AC333" i="66"/>
  <c r="T333" i="66" s="1"/>
  <c r="U333" i="66" s="1"/>
  <c r="AC102" i="66"/>
  <c r="T102" i="66" s="1"/>
  <c r="AC194" i="66"/>
  <c r="T194" i="66" s="1"/>
  <c r="AC190" i="66"/>
  <c r="T190" i="66" s="1"/>
  <c r="U190" i="66" s="1"/>
  <c r="AC234" i="66"/>
  <c r="T234" i="66" s="1"/>
  <c r="U234" i="66" s="1"/>
  <c r="AC632" i="66"/>
  <c r="T632" i="66" s="1"/>
  <c r="U632" i="66" s="1"/>
  <c r="AC443" i="66"/>
  <c r="T443" i="66" s="1"/>
  <c r="U443" i="66" s="1"/>
  <c r="AC721" i="66"/>
  <c r="T721" i="66" s="1"/>
  <c r="U721" i="66" s="1"/>
  <c r="AC666" i="66"/>
  <c r="T666" i="66" s="1"/>
  <c r="U666" i="66" s="1"/>
  <c r="AC537" i="66"/>
  <c r="T537" i="66" s="1"/>
  <c r="U537" i="66" s="1"/>
  <c r="AC226" i="66"/>
  <c r="T226" i="66" s="1"/>
  <c r="U226" i="66" s="1"/>
  <c r="AC222" i="66"/>
  <c r="T222" i="66" s="1"/>
  <c r="U222" i="66" s="1"/>
  <c r="AC330" i="66"/>
  <c r="T330" i="66" s="1"/>
  <c r="U330" i="66" s="1"/>
  <c r="AC103" i="66"/>
  <c r="T103" i="66" s="1"/>
  <c r="AC131" i="66"/>
  <c r="T131" i="66" s="1"/>
  <c r="AC127" i="66"/>
  <c r="T127" i="66" s="1"/>
  <c r="U127" i="66" s="1"/>
  <c r="AC716" i="66"/>
  <c r="T716" i="66" s="1"/>
  <c r="U716" i="66" s="1"/>
  <c r="AC486" i="66"/>
  <c r="T486" i="66" s="1"/>
  <c r="U486" i="66" s="1"/>
  <c r="AC706" i="66"/>
  <c r="T706" i="66" s="1"/>
  <c r="AC459" i="66"/>
  <c r="T459" i="66" s="1"/>
  <c r="U459" i="66" s="1"/>
  <c r="AC299" i="66"/>
  <c r="T299" i="66" s="1"/>
  <c r="U299" i="66" s="1"/>
  <c r="AC405" i="66"/>
  <c r="T405" i="66" s="1"/>
  <c r="AC140" i="66"/>
  <c r="T140" i="66" s="1"/>
  <c r="AC180" i="66"/>
  <c r="T180" i="66" s="1"/>
  <c r="U180" i="66" s="1"/>
  <c r="AC176" i="66"/>
  <c r="T176" i="66" s="1"/>
  <c r="AC394" i="66"/>
  <c r="T394" i="66" s="1"/>
  <c r="U394" i="66" s="1"/>
  <c r="AC534" i="66"/>
  <c r="T534" i="66" s="1"/>
  <c r="U534" i="66" s="1"/>
  <c r="AC558" i="66"/>
  <c r="T558" i="66" s="1"/>
  <c r="U558" i="66" s="1"/>
  <c r="AC361" i="66"/>
  <c r="T361" i="66" s="1"/>
  <c r="AC469" i="66"/>
  <c r="T469" i="66" s="1"/>
  <c r="U469" i="66" s="1"/>
  <c r="AC216" i="66"/>
  <c r="T216" i="66" s="1"/>
  <c r="AC244" i="66"/>
  <c r="T244" i="66" s="1"/>
  <c r="U244" i="66" s="1"/>
  <c r="AC240" i="66"/>
  <c r="T240" i="66" s="1"/>
  <c r="U240" i="66" s="1"/>
  <c r="AC458" i="66"/>
  <c r="T458" i="66" s="1"/>
  <c r="U458" i="66" s="1"/>
  <c r="AC598" i="66"/>
  <c r="T598" i="66" s="1"/>
  <c r="U598" i="66" s="1"/>
  <c r="AC622" i="66"/>
  <c r="T622" i="66" s="1"/>
  <c r="U622" i="66" s="1"/>
  <c r="AC542" i="66"/>
  <c r="T542" i="66" s="1"/>
  <c r="U542" i="66" s="1"/>
  <c r="AC450" i="66"/>
  <c r="T450" i="66" s="1"/>
  <c r="U450" i="66" s="1"/>
  <c r="AC569" i="66"/>
  <c r="T569" i="66" s="1"/>
  <c r="AC620" i="66"/>
  <c r="T620" i="66" s="1"/>
  <c r="AC603" i="66"/>
  <c r="T603" i="66" s="1"/>
  <c r="U603" i="66" s="1"/>
  <c r="AC718" i="66"/>
  <c r="T718" i="66" s="1"/>
  <c r="U718" i="66" s="1"/>
  <c r="AC428" i="66"/>
  <c r="T428" i="66" s="1"/>
  <c r="U428" i="66" s="1"/>
  <c r="AC672" i="66"/>
  <c r="T672" i="66" s="1"/>
  <c r="U672" i="66" s="1"/>
  <c r="AC775" i="66"/>
  <c r="T775" i="66" s="1"/>
  <c r="U775" i="66" s="1"/>
  <c r="AC723" i="66"/>
  <c r="T723" i="66" s="1"/>
  <c r="U723" i="66" s="1"/>
  <c r="AC596" i="66"/>
  <c r="T596" i="66" s="1"/>
  <c r="U596" i="66" s="1"/>
  <c r="AC245" i="66"/>
  <c r="T245" i="66" s="1"/>
  <c r="AC241" i="66"/>
  <c r="T241" i="66" s="1"/>
  <c r="U241" i="66" s="1"/>
  <c r="AC349" i="66"/>
  <c r="T349" i="66" s="1"/>
  <c r="AC118" i="66"/>
  <c r="T118" i="66" s="1"/>
  <c r="AC146" i="66"/>
  <c r="T146" i="66" s="1"/>
  <c r="AC142" i="66"/>
  <c r="T142" i="66" s="1"/>
  <c r="U142" i="66" s="1"/>
  <c r="AC380" i="66"/>
  <c r="T380" i="66" s="1"/>
  <c r="AC509" i="66"/>
  <c r="T509" i="66" s="1"/>
  <c r="U509" i="66" s="1"/>
  <c r="AC544" i="66"/>
  <c r="T544" i="66" s="1"/>
  <c r="U544" i="66" s="1"/>
  <c r="AC505" i="66"/>
  <c r="T505" i="66" s="1"/>
  <c r="AC141" i="66"/>
  <c r="T141" i="66" s="1"/>
  <c r="AC249" i="66"/>
  <c r="T249" i="66" s="1"/>
  <c r="U249" i="66" s="1"/>
  <c r="AC341" i="66"/>
  <c r="T341" i="66" s="1"/>
  <c r="AC337" i="66"/>
  <c r="T337" i="66" s="1"/>
  <c r="U337" i="66" s="1"/>
  <c r="AC42" i="66"/>
  <c r="T42" i="66" s="1"/>
  <c r="U42" i="66" s="1"/>
  <c r="AC440" i="66"/>
  <c r="T440" i="66" s="1"/>
  <c r="AC594" i="66"/>
  <c r="T594" i="66" s="1"/>
  <c r="U594" i="66" s="1"/>
  <c r="AC604" i="66"/>
  <c r="T604" i="66" s="1"/>
  <c r="U604" i="66" s="1"/>
  <c r="AC625" i="66"/>
  <c r="T625" i="66" s="1"/>
  <c r="AC704" i="66"/>
  <c r="T704" i="66" s="1"/>
  <c r="U704" i="66" s="1"/>
  <c r="AC34" i="66"/>
  <c r="T34" i="66" s="1"/>
  <c r="U34" i="66" s="1"/>
  <c r="AC30" i="66"/>
  <c r="T30" i="66" s="1"/>
  <c r="AC138" i="66"/>
  <c r="T138" i="66" s="1"/>
  <c r="U138" i="66" s="1"/>
  <c r="AC246" i="66"/>
  <c r="T246" i="66" s="1"/>
  <c r="U246" i="66" s="1"/>
  <c r="AC274" i="66"/>
  <c r="T274" i="66" s="1"/>
  <c r="U274" i="66" s="1"/>
  <c r="AC270" i="66"/>
  <c r="T270" i="66" s="1"/>
  <c r="U270" i="66" s="1"/>
  <c r="AC508" i="66"/>
  <c r="T508" i="66" s="1"/>
  <c r="U508" i="66" s="1"/>
  <c r="AC637" i="66"/>
  <c r="T637" i="66" s="1"/>
  <c r="U637" i="66" s="1"/>
  <c r="AC676" i="66"/>
  <c r="T676" i="66" s="1"/>
  <c r="U676" i="66" s="1"/>
  <c r="AC418" i="66"/>
  <c r="T418" i="66" s="1"/>
  <c r="U418" i="66" s="1"/>
  <c r="AC107" i="66"/>
  <c r="T107" i="66" s="1"/>
  <c r="U107" i="66" s="1"/>
  <c r="AC215" i="66"/>
  <c r="T215" i="66" s="1"/>
  <c r="U215" i="66" s="1"/>
  <c r="AC307" i="66"/>
  <c r="T307" i="66" s="1"/>
  <c r="U307" i="66" s="1"/>
  <c r="AC303" i="66"/>
  <c r="T303" i="66" s="1"/>
  <c r="U303" i="66" s="1"/>
  <c r="AC347" i="66"/>
  <c r="T347" i="66" s="1"/>
  <c r="U347" i="66" s="1"/>
  <c r="AC545" i="66"/>
  <c r="T545" i="66" s="1"/>
  <c r="U545" i="66" s="1"/>
  <c r="AC685" i="66"/>
  <c r="T685" i="66" s="1"/>
  <c r="AC366" i="66"/>
  <c r="T366" i="66" s="1"/>
  <c r="AC171" i="66"/>
  <c r="T171" i="66" s="1"/>
  <c r="U171" i="66" s="1"/>
  <c r="AC279" i="66"/>
  <c r="T279" i="66" s="1"/>
  <c r="U279" i="66" s="1"/>
  <c r="AC369" i="66"/>
  <c r="T369" i="66" s="1"/>
  <c r="U369" i="66" s="1"/>
  <c r="AC365" i="66"/>
  <c r="T365" i="66" s="1"/>
  <c r="U365" i="66" s="1"/>
  <c r="AC409" i="66"/>
  <c r="T409" i="66" s="1"/>
  <c r="AC609" i="66"/>
  <c r="T609" i="66" s="1"/>
  <c r="U609" i="66" s="1"/>
  <c r="AC406" i="66"/>
  <c r="T406" i="66" s="1"/>
  <c r="U406" i="66" s="1"/>
  <c r="AC430" i="66"/>
  <c r="T430" i="66" s="1"/>
  <c r="U430" i="66" s="1"/>
  <c r="AC501" i="66"/>
  <c r="T501" i="66" s="1"/>
  <c r="U501" i="66" s="1"/>
  <c r="AC388" i="66"/>
  <c r="T388" i="66" s="1"/>
  <c r="U388" i="66" s="1"/>
  <c r="AC401" i="66"/>
  <c r="T401" i="66" s="1"/>
  <c r="U401" i="66" s="1"/>
  <c r="AC132" i="66"/>
  <c r="T132" i="66" s="1"/>
  <c r="U132" i="66" s="1"/>
  <c r="AC116" i="66"/>
  <c r="T116" i="66" s="1"/>
  <c r="AC252" i="66"/>
  <c r="T252" i="66" s="1"/>
  <c r="U252" i="66" s="1"/>
  <c r="AC296" i="66"/>
  <c r="T296" i="66" s="1"/>
  <c r="U296" i="66" s="1"/>
  <c r="AC374" i="66"/>
  <c r="T374" i="66" s="1"/>
  <c r="AC677" i="66"/>
  <c r="T677" i="66" s="1"/>
  <c r="AC655" i="66"/>
  <c r="T655" i="66" s="1"/>
  <c r="U655" i="66" s="1"/>
  <c r="AC498" i="66"/>
  <c r="T498" i="66" s="1"/>
  <c r="U498" i="66" s="1"/>
  <c r="AC117" i="66"/>
  <c r="T117" i="66" s="1"/>
  <c r="AC113" i="66"/>
  <c r="T113" i="66" s="1"/>
  <c r="U113" i="66" s="1"/>
  <c r="AC221" i="66"/>
  <c r="T221" i="66" s="1"/>
  <c r="AC329" i="66"/>
  <c r="T329" i="66" s="1"/>
  <c r="U329" i="66" s="1"/>
  <c r="AC357" i="66"/>
  <c r="T357" i="66" s="1"/>
  <c r="AC353" i="66"/>
  <c r="T353" i="66" s="1"/>
  <c r="U353" i="66" s="1"/>
  <c r="AC563" i="66"/>
  <c r="T563" i="66" s="1"/>
  <c r="AC381" i="66"/>
  <c r="T381" i="66" s="1"/>
  <c r="U381" i="66" s="1"/>
  <c r="AC181" i="66"/>
  <c r="T181" i="66" s="1"/>
  <c r="U181" i="66" s="1"/>
  <c r="AC177" i="66"/>
  <c r="T177" i="66" s="1"/>
  <c r="AC285" i="66"/>
  <c r="T285" i="66" s="1"/>
  <c r="U285" i="66" s="1"/>
  <c r="AC54" i="66"/>
  <c r="T54" i="66" s="1"/>
  <c r="U54" i="66" s="1"/>
  <c r="AC82" i="66"/>
  <c r="T82" i="66" s="1"/>
  <c r="U82" i="66" s="1"/>
  <c r="AC78" i="66"/>
  <c r="T78" i="66" s="1"/>
  <c r="AC627" i="66"/>
  <c r="T627" i="66" s="1"/>
  <c r="AC445" i="66"/>
  <c r="T445" i="66" s="1"/>
  <c r="AC480" i="66"/>
  <c r="T480" i="66" s="1"/>
  <c r="U480" i="66" s="1"/>
  <c r="AC754" i="66"/>
  <c r="T754" i="66" s="1"/>
  <c r="U754" i="66" s="1"/>
  <c r="AC644" i="66"/>
  <c r="T644" i="66" s="1"/>
  <c r="U644" i="66" s="1"/>
  <c r="AC404" i="66"/>
  <c r="T404" i="66" s="1"/>
  <c r="U404" i="66" s="1"/>
  <c r="AC709" i="66"/>
  <c r="T709" i="66" s="1"/>
  <c r="U709" i="66" s="1"/>
  <c r="AC76" i="66"/>
  <c r="T76" i="66" s="1"/>
  <c r="AC539" i="66"/>
  <c r="T539" i="66" s="1"/>
  <c r="U539" i="66" s="1"/>
  <c r="AC83" i="66"/>
  <c r="T83" i="66" s="1"/>
  <c r="U83" i="66" s="1"/>
  <c r="AC79" i="66"/>
  <c r="T79" i="66" s="1"/>
  <c r="AC187" i="66"/>
  <c r="T187" i="66" s="1"/>
  <c r="U187" i="66" s="1"/>
  <c r="AC295" i="66"/>
  <c r="T295" i="66" s="1"/>
  <c r="AC323" i="66"/>
  <c r="T323" i="66" s="1"/>
  <c r="AC397" i="66"/>
  <c r="T397" i="66" s="1"/>
  <c r="U397" i="66" s="1"/>
  <c r="AC734" i="66"/>
  <c r="T734" i="66" s="1"/>
  <c r="U734" i="66" s="1"/>
  <c r="AC678" i="66"/>
  <c r="T678" i="66" s="1"/>
  <c r="U678" i="66" s="1"/>
  <c r="AC521" i="66"/>
  <c r="T521" i="66" s="1"/>
  <c r="U521" i="66" s="1"/>
  <c r="AC372" i="66"/>
  <c r="T372" i="66" s="1"/>
  <c r="U372" i="66" s="1"/>
  <c r="AC314" i="66"/>
  <c r="T314" i="66" s="1"/>
  <c r="U314" i="66" s="1"/>
  <c r="AC87" i="66"/>
  <c r="T87" i="66" s="1"/>
  <c r="AC179" i="66"/>
  <c r="T179" i="66" s="1"/>
  <c r="U179" i="66" s="1"/>
  <c r="AC175" i="66"/>
  <c r="T175" i="66" s="1"/>
  <c r="U175" i="66" s="1"/>
  <c r="AC219" i="66"/>
  <c r="T219" i="66" s="1"/>
  <c r="AC711" i="66"/>
  <c r="T711" i="66" s="1"/>
  <c r="AC557" i="66"/>
  <c r="T557" i="66" s="1"/>
  <c r="AC581" i="66"/>
  <c r="T581" i="66" s="1"/>
  <c r="U581" i="66" s="1"/>
  <c r="AC652" i="66"/>
  <c r="T652" i="66" s="1"/>
  <c r="U652" i="66" s="1"/>
  <c r="AC491" i="66"/>
  <c r="T491" i="66" s="1"/>
  <c r="AC211" i="66"/>
  <c r="T211" i="66" s="1"/>
  <c r="U211" i="66" s="1"/>
  <c r="AC207" i="66"/>
  <c r="T207" i="66" s="1"/>
  <c r="U207" i="66" s="1"/>
  <c r="AC315" i="66"/>
  <c r="T315" i="66" s="1"/>
  <c r="AC421" i="66"/>
  <c r="T421" i="66" s="1"/>
  <c r="AC449" i="66"/>
  <c r="T449" i="66" s="1"/>
  <c r="U449" i="66" s="1"/>
  <c r="AC525" i="66"/>
  <c r="T525" i="66" s="1"/>
  <c r="U525" i="66" s="1"/>
  <c r="AC485" i="66"/>
  <c r="T485" i="66" s="1"/>
  <c r="AC463" i="66"/>
  <c r="T463" i="66" s="1"/>
  <c r="U463" i="66" s="1"/>
  <c r="AC649" i="66"/>
  <c r="T649" i="66" s="1"/>
  <c r="U649" i="66" s="1"/>
  <c r="AC260" i="66"/>
  <c r="T260" i="66" s="1"/>
  <c r="U260" i="66" s="1"/>
  <c r="AC256" i="66"/>
  <c r="T256" i="66" s="1"/>
  <c r="AC29" i="66"/>
  <c r="T29" i="66" s="1"/>
  <c r="U29" i="66" s="1"/>
  <c r="AC137" i="66"/>
  <c r="T137" i="66" s="1"/>
  <c r="U137" i="66" s="1"/>
  <c r="AC165" i="66"/>
  <c r="T165" i="66" s="1"/>
  <c r="AC161" i="66"/>
  <c r="T161" i="66" s="1"/>
  <c r="U161" i="66" s="1"/>
  <c r="AC371" i="66"/>
  <c r="T371" i="66" s="1"/>
  <c r="U371" i="66" s="1"/>
  <c r="AC511" i="66"/>
  <c r="T511" i="66" s="1"/>
  <c r="AC324" i="66"/>
  <c r="T324" i="66" s="1"/>
  <c r="U324" i="66" s="1"/>
  <c r="AC320" i="66"/>
  <c r="T320" i="66" s="1"/>
  <c r="AC93" i="66"/>
  <c r="T93" i="66" s="1"/>
  <c r="AC201" i="66"/>
  <c r="T201" i="66" s="1"/>
  <c r="U201" i="66" s="1"/>
  <c r="AC229" i="66"/>
  <c r="T229" i="66" s="1"/>
  <c r="U229" i="66" s="1"/>
  <c r="AC225" i="66"/>
  <c r="T225" i="66" s="1"/>
  <c r="U225" i="66" s="1"/>
  <c r="AC435" i="66"/>
  <c r="T435" i="66" s="1"/>
  <c r="AC575" i="66"/>
  <c r="T575" i="66" s="1"/>
  <c r="U575" i="66" s="1"/>
  <c r="AC599" i="66"/>
  <c r="T599" i="66" s="1"/>
  <c r="U599" i="66" s="1"/>
  <c r="AC528" i="66"/>
  <c r="T528" i="66" s="1"/>
  <c r="U528" i="66" s="1"/>
  <c r="AC742" i="66"/>
  <c r="T742" i="66" s="1"/>
  <c r="U742" i="66" s="1"/>
  <c r="AC233" i="66"/>
  <c r="T233" i="66" s="1"/>
  <c r="U233" i="66" s="1"/>
  <c r="AC325" i="66"/>
  <c r="T325" i="66" s="1"/>
  <c r="AC321" i="66"/>
  <c r="T321" i="66" s="1"/>
  <c r="U321" i="66" s="1"/>
  <c r="AC90" i="66"/>
  <c r="T90" i="66" s="1"/>
  <c r="U90" i="66" s="1"/>
  <c r="AC134" i="66"/>
  <c r="T134" i="66" s="1"/>
  <c r="U134" i="66" s="1"/>
  <c r="AC543" i="66"/>
  <c r="T543" i="66" s="1"/>
  <c r="U543" i="66" s="1"/>
  <c r="AC503" i="66"/>
  <c r="T503" i="66" s="1"/>
  <c r="AC696" i="66"/>
  <c r="T696" i="66" s="1"/>
  <c r="U696" i="66" s="1"/>
  <c r="AC760" i="66"/>
  <c r="T760" i="66" s="1"/>
  <c r="U760" i="66" s="1"/>
  <c r="AC290" i="66"/>
  <c r="T290" i="66" s="1"/>
  <c r="AC286" i="66"/>
  <c r="T286" i="66" s="1"/>
  <c r="AC59" i="66"/>
  <c r="T59" i="66" s="1"/>
  <c r="U59" i="66" s="1"/>
  <c r="AC167" i="66"/>
  <c r="T167" i="66" s="1"/>
  <c r="AC195" i="66"/>
  <c r="T195" i="66" s="1"/>
  <c r="AC191" i="66"/>
  <c r="T191" i="66" s="1"/>
  <c r="AC679" i="66"/>
  <c r="T679" i="66" s="1"/>
  <c r="AC550" i="66"/>
  <c r="T550" i="66" s="1"/>
  <c r="U550" i="66" s="1"/>
  <c r="AC354" i="66"/>
  <c r="T354" i="66" s="1"/>
  <c r="U354" i="66" s="1"/>
  <c r="AC350" i="66"/>
  <c r="T350" i="66" s="1"/>
  <c r="AC123" i="66"/>
  <c r="T123" i="66" s="1"/>
  <c r="AC231" i="66"/>
  <c r="T231" i="66" s="1"/>
  <c r="U231" i="66" s="1"/>
  <c r="AC259" i="66"/>
  <c r="T259" i="66" s="1"/>
  <c r="AC255" i="66"/>
  <c r="T255" i="66" s="1"/>
  <c r="U255" i="66" s="1"/>
  <c r="AC753" i="66"/>
  <c r="T753" i="66" s="1"/>
  <c r="AC248" i="66"/>
  <c r="T248" i="66" s="1"/>
  <c r="U248" i="66" s="1"/>
  <c r="AC340" i="66"/>
  <c r="T340" i="66" s="1"/>
  <c r="U340" i="66" s="1"/>
  <c r="AC336" i="66"/>
  <c r="T336" i="66" s="1"/>
  <c r="U336" i="66" s="1"/>
  <c r="AC109" i="66"/>
  <c r="T109" i="66" s="1"/>
  <c r="U109" i="66" s="1"/>
  <c r="AC153" i="66"/>
  <c r="T153" i="66" s="1"/>
  <c r="U153" i="66" s="1"/>
  <c r="AC566" i="66"/>
  <c r="T566" i="66" s="1"/>
  <c r="U566" i="66" s="1"/>
  <c r="AC526" i="66"/>
  <c r="T526" i="66" s="1"/>
  <c r="U526" i="66" s="1"/>
  <c r="AC536" i="66"/>
  <c r="T536" i="66" s="1"/>
  <c r="U536" i="66" s="1"/>
  <c r="AC690" i="66"/>
  <c r="T690" i="66" s="1"/>
  <c r="U690" i="66" s="1"/>
  <c r="AC68" i="66"/>
  <c r="T68" i="66" s="1"/>
  <c r="U68" i="66" s="1"/>
  <c r="AC52" i="66"/>
  <c r="T52" i="66" s="1"/>
  <c r="AC236" i="66"/>
  <c r="T236" i="66" s="1"/>
  <c r="U236" i="66" s="1"/>
  <c r="AC344" i="66"/>
  <c r="T344" i="66" s="1"/>
  <c r="U344" i="66" s="1"/>
  <c r="AC37" i="66"/>
  <c r="T37" i="66" s="1"/>
  <c r="U37" i="66" s="1"/>
  <c r="AC33" i="66"/>
  <c r="T33" i="66" s="1"/>
  <c r="U33" i="66" s="1"/>
  <c r="AC586" i="66"/>
  <c r="T586" i="66" s="1"/>
  <c r="AC383" i="66"/>
  <c r="T383" i="66" s="1"/>
  <c r="U383" i="66" s="1"/>
  <c r="AC407" i="66"/>
  <c r="T407" i="66" s="1"/>
  <c r="AC455" i="66"/>
  <c r="T455" i="66" s="1"/>
  <c r="U455" i="66" s="1"/>
  <c r="AC724" i="66"/>
  <c r="T724" i="66" s="1"/>
  <c r="U724" i="66" s="1"/>
  <c r="AC41" i="66"/>
  <c r="T41" i="66" s="1"/>
  <c r="U41" i="66" s="1"/>
  <c r="AC133" i="66"/>
  <c r="T133" i="66" s="1"/>
  <c r="U133" i="66" s="1"/>
  <c r="AC129" i="66"/>
  <c r="T129" i="66" s="1"/>
  <c r="U129" i="66" s="1"/>
  <c r="AC237" i="66"/>
  <c r="T237" i="66" s="1"/>
  <c r="AC281" i="66"/>
  <c r="T281" i="66" s="1"/>
  <c r="U281" i="66" s="1"/>
  <c r="AC694" i="66"/>
  <c r="T694" i="66" s="1"/>
  <c r="U694" i="66" s="1"/>
  <c r="AC654" i="66"/>
  <c r="T654" i="66" s="1"/>
  <c r="U654" i="66" s="1"/>
  <c r="AC664" i="66"/>
  <c r="T664" i="66" s="1"/>
  <c r="AC475" i="66"/>
  <c r="T475" i="66" s="1"/>
  <c r="U475" i="66" s="1"/>
  <c r="AC98" i="66"/>
  <c r="T98" i="66" s="1"/>
  <c r="AC94" i="66"/>
  <c r="T94" i="66" s="1"/>
  <c r="U94" i="66" s="1"/>
  <c r="AC202" i="66"/>
  <c r="T202" i="66" s="1"/>
  <c r="U202" i="66" s="1"/>
  <c r="AC310" i="66"/>
  <c r="T310" i="66" s="1"/>
  <c r="U310" i="66" s="1"/>
  <c r="AC338" i="66"/>
  <c r="T338" i="66" s="1"/>
  <c r="U338" i="66" s="1"/>
  <c r="AC334" i="66"/>
  <c r="T334" i="66" s="1"/>
  <c r="AC572" i="66"/>
  <c r="T572" i="66" s="1"/>
  <c r="U572" i="66" s="1"/>
  <c r="AC356" i="66"/>
  <c r="T356" i="66" s="1"/>
  <c r="U356" i="66" s="1"/>
  <c r="AC162" i="66"/>
  <c r="T162" i="66" s="1"/>
  <c r="U162" i="66" s="1"/>
  <c r="AC158" i="66"/>
  <c r="T158" i="66" s="1"/>
  <c r="U158" i="66" s="1"/>
  <c r="AC266" i="66"/>
  <c r="T266" i="66" s="1"/>
  <c r="U266" i="66" s="1"/>
  <c r="AC39" i="66"/>
  <c r="T39" i="66" s="1"/>
  <c r="U39" i="66" s="1"/>
  <c r="AC67" i="66"/>
  <c r="T67" i="66" s="1"/>
  <c r="U67" i="66" s="1"/>
  <c r="AC63" i="66"/>
  <c r="T63" i="66" s="1"/>
  <c r="U63" i="66" s="1"/>
  <c r="AC636" i="66"/>
  <c r="T636" i="66" s="1"/>
  <c r="U636" i="66" s="1"/>
  <c r="AC422" i="66"/>
  <c r="T422" i="66" s="1"/>
  <c r="AC725" i="66"/>
  <c r="T725" i="66" s="1"/>
  <c r="U725" i="66" s="1"/>
  <c r="AC674" i="66"/>
  <c r="T674" i="66" s="1"/>
  <c r="U674" i="66" s="1"/>
  <c r="AC72" i="66"/>
  <c r="T72" i="66" s="1"/>
  <c r="U72" i="66" s="1"/>
  <c r="AC71" i="66"/>
  <c r="T71" i="66" s="1"/>
  <c r="AC163" i="66"/>
  <c r="T163" i="66" s="1"/>
  <c r="U163" i="66" s="1"/>
  <c r="AC159" i="66"/>
  <c r="T159" i="66" s="1"/>
  <c r="U159" i="66" s="1"/>
  <c r="AC267" i="66"/>
  <c r="T267" i="66" s="1"/>
  <c r="U267" i="66" s="1"/>
  <c r="AC311" i="66"/>
  <c r="T311" i="66" s="1"/>
  <c r="AC669" i="66"/>
  <c r="T669" i="66" s="1"/>
  <c r="U669" i="66" s="1"/>
  <c r="AC720" i="66"/>
  <c r="T720" i="66" s="1"/>
  <c r="U720" i="66" s="1"/>
  <c r="AC490" i="66"/>
  <c r="T490" i="66" s="1"/>
  <c r="U490" i="66" s="1"/>
  <c r="AC492" i="66"/>
  <c r="T492" i="66" s="1"/>
  <c r="AC465" i="66"/>
  <c r="T465" i="66" s="1"/>
  <c r="U465" i="66" s="1"/>
  <c r="AC212" i="66"/>
  <c r="T212" i="66" s="1"/>
  <c r="AC208" i="66"/>
  <c r="T208" i="66" s="1"/>
  <c r="U208" i="66" s="1"/>
  <c r="AC316" i="66"/>
  <c r="T316" i="66" s="1"/>
  <c r="AC25" i="66"/>
  <c r="T25" i="66" s="1"/>
  <c r="AC438" i="66"/>
  <c r="T438" i="66" s="1"/>
  <c r="U438" i="66" s="1"/>
  <c r="AC398" i="66"/>
  <c r="T398" i="66" s="1"/>
  <c r="AC408" i="66"/>
  <c r="T408" i="66" s="1"/>
  <c r="U408" i="66" s="1"/>
  <c r="AC184" i="66"/>
  <c r="T184" i="66" s="1"/>
  <c r="U184" i="66" s="1"/>
  <c r="AC276" i="66"/>
  <c r="T276" i="66" s="1"/>
  <c r="U276" i="66" s="1"/>
  <c r="AC272" i="66"/>
  <c r="T272" i="66" s="1"/>
  <c r="AC45" i="66"/>
  <c r="T45" i="66" s="1"/>
  <c r="AC89" i="66"/>
  <c r="T89" i="66" s="1"/>
  <c r="AC502" i="66"/>
  <c r="T502" i="66" s="1"/>
  <c r="U502" i="66" s="1"/>
  <c r="AC462" i="66"/>
  <c r="T462" i="66" s="1"/>
  <c r="U462" i="66" s="1"/>
  <c r="AC472" i="66"/>
  <c r="T472" i="66" s="1"/>
  <c r="AC626" i="66"/>
  <c r="T626" i="66" s="1"/>
  <c r="U626" i="66" s="1"/>
  <c r="AC419" i="66"/>
  <c r="T419" i="66" s="1"/>
  <c r="U419" i="66" s="1"/>
  <c r="AC427" i="66"/>
  <c r="T427" i="66" s="1"/>
  <c r="U427" i="66" s="1"/>
  <c r="AC634" i="66"/>
  <c r="T634" i="66" s="1"/>
  <c r="U634" i="66" s="1"/>
  <c r="AC611" i="66"/>
  <c r="T611" i="66" s="1"/>
  <c r="U611" i="66" s="1"/>
  <c r="AC732" i="66"/>
  <c r="T732" i="66" s="1"/>
  <c r="U732" i="66" s="1"/>
  <c r="AC774" i="66"/>
  <c r="T774" i="66" s="1"/>
  <c r="U774" i="66" s="1"/>
  <c r="AC761" i="66"/>
  <c r="T761" i="66" s="1"/>
  <c r="AC532" i="66"/>
  <c r="T532" i="66" s="1"/>
  <c r="U532" i="66" s="1"/>
  <c r="AC555" i="66"/>
  <c r="T555" i="66" s="1"/>
  <c r="AC456" i="66"/>
  <c r="T456" i="66" s="1"/>
  <c r="U456" i="66" s="1"/>
  <c r="AC86" i="66"/>
  <c r="T86" i="66" s="1"/>
  <c r="AC178" i="66"/>
  <c r="T178" i="66" s="1"/>
  <c r="U178" i="66" s="1"/>
  <c r="AC174" i="66"/>
  <c r="T174" i="66" s="1"/>
  <c r="AC282" i="66"/>
  <c r="T282" i="66" s="1"/>
  <c r="U282" i="66" s="1"/>
  <c r="AC326" i="66"/>
  <c r="T326" i="66" s="1"/>
  <c r="AC319" i="66"/>
  <c r="T319" i="66" s="1"/>
  <c r="U319" i="66" s="1"/>
  <c r="AC384" i="66"/>
  <c r="T384" i="66" s="1"/>
  <c r="AC513" i="66"/>
  <c r="T513" i="66" s="1"/>
  <c r="U513" i="66" s="1"/>
  <c r="AC593" i="66"/>
  <c r="T593" i="66" s="1"/>
  <c r="U593" i="66" s="1"/>
  <c r="AC309" i="66"/>
  <c r="T309" i="66" s="1"/>
  <c r="AC305" i="66"/>
  <c r="T305" i="66" s="1"/>
  <c r="U305" i="66" s="1"/>
  <c r="AC74" i="66"/>
  <c r="T74" i="66" s="1"/>
  <c r="AC182" i="66"/>
  <c r="T182" i="66" s="1"/>
  <c r="AC210" i="66"/>
  <c r="T210" i="66" s="1"/>
  <c r="AC206" i="66"/>
  <c r="T206" i="66" s="1"/>
  <c r="U206" i="66" s="1"/>
  <c r="AC444" i="66"/>
  <c r="T444" i="66" s="1"/>
  <c r="AC573" i="66"/>
  <c r="T573" i="66" s="1"/>
  <c r="U573" i="66" s="1"/>
  <c r="AC608" i="66"/>
  <c r="T608" i="66" s="1"/>
  <c r="AC633" i="66"/>
  <c r="T633" i="66" s="1"/>
  <c r="AC160" i="66"/>
  <c r="T160" i="66" s="1"/>
  <c r="U160" i="66" s="1"/>
  <c r="AC214" i="66"/>
  <c r="T214" i="66" s="1"/>
  <c r="AC306" i="66"/>
  <c r="T306" i="66" s="1"/>
  <c r="U306" i="66" s="1"/>
  <c r="AC302" i="66"/>
  <c r="T302" i="66" s="1"/>
  <c r="AC75" i="66"/>
  <c r="T75" i="66" s="1"/>
  <c r="AC119" i="66"/>
  <c r="T119" i="66" s="1"/>
  <c r="AC477" i="66"/>
  <c r="T477" i="66" s="1"/>
  <c r="U477" i="66" s="1"/>
  <c r="AC512" i="66"/>
  <c r="T512" i="66" s="1"/>
  <c r="U512" i="66" s="1"/>
  <c r="AC641" i="66"/>
  <c r="T641" i="66" s="1"/>
  <c r="U641" i="66" s="1"/>
  <c r="AC506" i="66"/>
  <c r="T506" i="66" s="1"/>
  <c r="U506" i="66" s="1"/>
  <c r="AC275" i="66"/>
  <c r="T275" i="66" s="1"/>
  <c r="U275" i="66" s="1"/>
  <c r="AC271" i="66"/>
  <c r="T271" i="66" s="1"/>
  <c r="AC377" i="66"/>
  <c r="T377" i="66" s="1"/>
  <c r="U377" i="66" s="1"/>
  <c r="AC36" i="66"/>
  <c r="T36" i="66" s="1"/>
  <c r="U36" i="66" s="1"/>
  <c r="AC168" i="66"/>
  <c r="T168" i="66" s="1"/>
  <c r="U168" i="66" s="1"/>
  <c r="AC589" i="66"/>
  <c r="T589" i="66" s="1"/>
  <c r="U589" i="66" s="1"/>
  <c r="AC549" i="66"/>
  <c r="T549" i="66" s="1"/>
  <c r="AC527" i="66"/>
  <c r="T527" i="66" s="1"/>
  <c r="U527" i="66" s="1"/>
  <c r="AC339" i="66"/>
  <c r="T339" i="66" s="1"/>
  <c r="U339" i="66" s="1"/>
  <c r="AC771" i="66"/>
  <c r="T771" i="66" s="1"/>
  <c r="U771" i="66" s="1"/>
  <c r="AC441" i="66"/>
  <c r="T441" i="66" s="1"/>
  <c r="U441" i="66" s="1"/>
  <c r="AC188" i="66"/>
  <c r="T188" i="66" s="1"/>
  <c r="AC232" i="66"/>
  <c r="T232" i="66" s="1"/>
  <c r="U232" i="66" s="1"/>
  <c r="AC653" i="66"/>
  <c r="T653" i="66" s="1"/>
  <c r="U653" i="66" s="1"/>
  <c r="AC613" i="66"/>
  <c r="T613" i="66" s="1"/>
  <c r="AC591" i="66"/>
  <c r="T591" i="66" s="1"/>
  <c r="U591" i="66" s="1"/>
  <c r="AC434" i="66"/>
  <c r="T434" i="66" s="1"/>
  <c r="U434" i="66" s="1"/>
  <c r="AC20" i="66"/>
  <c r="T20" i="66" s="1"/>
  <c r="U20" i="66" s="1"/>
  <c r="AC767" i="66"/>
  <c r="T767" i="66" s="1"/>
  <c r="U767" i="66" s="1"/>
  <c r="AC220" i="66"/>
  <c r="T220" i="66" s="1"/>
  <c r="AC328" i="66"/>
  <c r="T328" i="66" s="1"/>
  <c r="U328" i="66" s="1"/>
  <c r="AC85" i="66"/>
  <c r="T85" i="66" s="1"/>
  <c r="U85" i="66" s="1"/>
  <c r="AC81" i="66"/>
  <c r="T81" i="66" s="1"/>
  <c r="AC125" i="66"/>
  <c r="T125" i="66" s="1"/>
  <c r="AC495" i="66"/>
  <c r="T495" i="66" s="1"/>
  <c r="U495" i="66" s="1"/>
  <c r="AC681" i="66"/>
  <c r="T681" i="66" s="1"/>
  <c r="AC659" i="66"/>
  <c r="T659" i="66" s="1"/>
  <c r="U659" i="66" s="1"/>
  <c r="AC648" i="66"/>
  <c r="T648" i="66" s="1"/>
  <c r="AC297" i="66"/>
  <c r="T297" i="66" s="1"/>
  <c r="U297" i="66" s="1"/>
  <c r="AC50" i="66"/>
  <c r="T50" i="66" s="1"/>
  <c r="AC46" i="66"/>
  <c r="T46" i="66" s="1"/>
  <c r="AC154" i="66"/>
  <c r="T154" i="66" s="1"/>
  <c r="U154" i="66" s="1"/>
  <c r="AC198" i="66"/>
  <c r="T198" i="66" s="1"/>
  <c r="AC607" i="66"/>
  <c r="T607" i="66" s="1"/>
  <c r="U607" i="66" s="1"/>
  <c r="AC567" i="66"/>
  <c r="T567" i="66" s="1"/>
  <c r="U567" i="66" s="1"/>
  <c r="AC762" i="66"/>
  <c r="T762" i="66" s="1"/>
  <c r="U762" i="66" s="1"/>
  <c r="AC22" i="66"/>
  <c r="T22" i="66" s="1"/>
  <c r="U22" i="66" s="1"/>
  <c r="AC114" i="66"/>
  <c r="T114" i="66" s="1"/>
  <c r="AC110" i="66"/>
  <c r="T110" i="66" s="1"/>
  <c r="U110" i="66" s="1"/>
  <c r="AC218" i="66"/>
  <c r="T218" i="66" s="1"/>
  <c r="U218" i="66" s="1"/>
  <c r="AC262" i="66"/>
  <c r="T262" i="66" s="1"/>
  <c r="U262" i="66" s="1"/>
  <c r="AC263" i="66"/>
  <c r="T263" i="66" s="1"/>
  <c r="AC355" i="66"/>
  <c r="T355" i="66" s="1"/>
  <c r="AC351" i="66"/>
  <c r="T351" i="66" s="1"/>
  <c r="U351" i="66" s="1"/>
  <c r="AC457" i="66"/>
  <c r="T457" i="66" s="1"/>
  <c r="U457" i="66" s="1"/>
  <c r="AC100" i="66"/>
  <c r="T100" i="66" s="1"/>
  <c r="AC518" i="66"/>
  <c r="T518" i="66" s="1"/>
  <c r="AC738" i="66"/>
  <c r="T738" i="66" s="1"/>
  <c r="U738" i="66" s="1"/>
  <c r="AC682" i="66"/>
  <c r="T682" i="66" s="1"/>
  <c r="U682" i="66" s="1"/>
  <c r="AC423" i="66"/>
  <c r="T423" i="66" s="1"/>
  <c r="U423" i="66" s="1"/>
  <c r="AC147" i="66"/>
  <c r="T147" i="66" s="1"/>
  <c r="AC143" i="66"/>
  <c r="T143" i="66" s="1"/>
  <c r="AC251" i="66"/>
  <c r="T251" i="66" s="1"/>
  <c r="U251" i="66" s="1"/>
  <c r="AC359" i="66"/>
  <c r="T359" i="66" s="1"/>
  <c r="AC385" i="66"/>
  <c r="T385" i="66" s="1"/>
  <c r="U385" i="66" s="1"/>
  <c r="AC461" i="66"/>
  <c r="T461" i="66" s="1"/>
  <c r="U461" i="66" s="1"/>
  <c r="AC715" i="66"/>
  <c r="T715" i="66" s="1"/>
  <c r="U715" i="66" s="1"/>
  <c r="AC399" i="66"/>
  <c r="T399" i="66" s="1"/>
  <c r="U399" i="66" s="1"/>
  <c r="AC585" i="66"/>
  <c r="T585" i="66" s="1"/>
  <c r="U585" i="66" s="1"/>
  <c r="AC436" i="66"/>
  <c r="T436" i="66" s="1"/>
  <c r="AC551" i="66"/>
  <c r="T551" i="66" s="1"/>
  <c r="U551" i="66" s="1"/>
  <c r="AC389" i="66"/>
  <c r="T389" i="66" s="1"/>
  <c r="AC84" i="66"/>
  <c r="T84" i="66" s="1"/>
  <c r="U84" i="66" s="1"/>
  <c r="AC228" i="66"/>
  <c r="T228" i="66" s="1"/>
  <c r="U228" i="66" s="1"/>
  <c r="AC224" i="66"/>
  <c r="T224" i="66" s="1"/>
  <c r="U224" i="66" s="1"/>
  <c r="AC268" i="66"/>
  <c r="T268" i="66" s="1"/>
  <c r="U268" i="66" s="1"/>
  <c r="AC646" i="66"/>
  <c r="T646" i="66" s="1"/>
  <c r="AC489" i="66"/>
  <c r="T489" i="66" s="1"/>
  <c r="U489" i="66" s="1"/>
  <c r="AC467" i="66"/>
  <c r="T467" i="66" s="1"/>
  <c r="U467" i="66" s="1"/>
  <c r="AC112" i="66"/>
  <c r="T112" i="66" s="1"/>
  <c r="U112" i="66" s="1"/>
  <c r="AC105" i="66"/>
  <c r="T105" i="66" s="1"/>
  <c r="U105" i="66" s="1"/>
  <c r="AC197" i="66"/>
  <c r="T197" i="66" s="1"/>
  <c r="U197" i="66" s="1"/>
  <c r="AC193" i="66"/>
  <c r="T193" i="66" s="1"/>
  <c r="AC301" i="66"/>
  <c r="T301" i="66" s="1"/>
  <c r="AC345" i="66"/>
  <c r="T345" i="66" s="1"/>
  <c r="U345" i="66" s="1"/>
  <c r="AC415" i="66"/>
  <c r="T415" i="66" s="1"/>
  <c r="U415" i="66" s="1"/>
  <c r="AC375" i="66"/>
  <c r="T375" i="66" s="1"/>
  <c r="U375" i="66" s="1"/>
  <c r="AC744" i="66"/>
  <c r="T744" i="66" s="1"/>
  <c r="U744" i="66" s="1"/>
  <c r="AC169" i="66"/>
  <c r="T169" i="66" s="1"/>
  <c r="AC261" i="66"/>
  <c r="T261" i="66" s="1"/>
  <c r="AC257" i="66"/>
  <c r="T257" i="66" s="1"/>
  <c r="U257" i="66" s="1"/>
  <c r="AC26" i="66"/>
  <c r="T26" i="66" s="1"/>
  <c r="U26" i="66" s="1"/>
  <c r="AC70" i="66"/>
  <c r="T70" i="66" s="1"/>
  <c r="AC479" i="66"/>
  <c r="T479" i="66" s="1"/>
  <c r="U479" i="66" s="1"/>
  <c r="AC439" i="66"/>
  <c r="T439" i="66" s="1"/>
  <c r="U439" i="66" s="1"/>
  <c r="AC717" i="66"/>
  <c r="T717" i="66" s="1"/>
  <c r="U717" i="66" s="1"/>
  <c r="AC616" i="66"/>
  <c r="T616" i="66" s="1"/>
  <c r="AC529" i="66"/>
  <c r="T529" i="66" s="1"/>
  <c r="U529" i="66" s="1"/>
  <c r="AC683" i="66"/>
  <c r="T683" i="66" s="1"/>
  <c r="AC58" i="66"/>
  <c r="T58" i="66" s="1"/>
  <c r="U58" i="66" s="1"/>
  <c r="AC166" i="66"/>
  <c r="T166" i="66" s="1"/>
  <c r="U166" i="66" s="1"/>
  <c r="AC258" i="66"/>
  <c r="T258" i="66" s="1"/>
  <c r="U258" i="66" s="1"/>
  <c r="AC254" i="66"/>
  <c r="T254" i="66" s="1"/>
  <c r="U254" i="66" s="1"/>
  <c r="AC298" i="66"/>
  <c r="T298" i="66" s="1"/>
  <c r="U298" i="66" s="1"/>
  <c r="AC712" i="66"/>
  <c r="T712" i="66" s="1"/>
  <c r="U712" i="66" s="1"/>
  <c r="AC507" i="66"/>
  <c r="T507" i="66" s="1"/>
  <c r="U507" i="66" s="1"/>
  <c r="AC702" i="66"/>
  <c r="T702" i="66" s="1"/>
  <c r="U702" i="66" s="1"/>
  <c r="AC451" i="66"/>
  <c r="T451" i="66" s="1"/>
  <c r="U451" i="66" s="1"/>
  <c r="AC135" i="66"/>
  <c r="T135" i="66" s="1"/>
  <c r="U135" i="66" s="1"/>
  <c r="AC227" i="66"/>
  <c r="T227" i="66" s="1"/>
  <c r="AC223" i="66"/>
  <c r="T223" i="66" s="1"/>
  <c r="AC331" i="66"/>
  <c r="T331" i="66" s="1"/>
  <c r="AC373" i="66"/>
  <c r="T373" i="66" s="1"/>
  <c r="AC390" i="66"/>
  <c r="T390" i="66" s="1"/>
  <c r="U390" i="66" s="1"/>
  <c r="AC687" i="66"/>
  <c r="T687" i="66" s="1"/>
  <c r="U687" i="66" s="1"/>
  <c r="AC554" i="66"/>
  <c r="T554" i="66" s="1"/>
  <c r="U554" i="66" s="1"/>
  <c r="AC199" i="66"/>
  <c r="T199" i="66" s="1"/>
  <c r="U199" i="66" s="1"/>
  <c r="AC291" i="66"/>
  <c r="T291" i="66" s="1"/>
  <c r="U291" i="66" s="1"/>
  <c r="AC287" i="66"/>
  <c r="T287" i="66" s="1"/>
  <c r="U287" i="66" s="1"/>
  <c r="AC393" i="66"/>
  <c r="T393" i="66" s="1"/>
  <c r="U393" i="66" s="1"/>
  <c r="AC437" i="66"/>
  <c r="T437" i="66" s="1"/>
  <c r="U437" i="66" s="1"/>
  <c r="AC454" i="66"/>
  <c r="T454" i="66" s="1"/>
  <c r="U454" i="66" s="1"/>
  <c r="AC77" i="66"/>
  <c r="T77" i="66" s="1"/>
  <c r="U77" i="66" s="1"/>
  <c r="AC185" i="66"/>
  <c r="T185" i="66" s="1"/>
  <c r="AC277" i="66"/>
  <c r="T277" i="66" s="1"/>
  <c r="AC273" i="66"/>
  <c r="T273" i="66" s="1"/>
  <c r="U273" i="66" s="1"/>
  <c r="AC317" i="66"/>
  <c r="T317" i="66" s="1"/>
  <c r="U317" i="66" s="1"/>
  <c r="AC376" i="66"/>
  <c r="T376" i="66" s="1"/>
  <c r="U376" i="66" s="1"/>
  <c r="AC530" i="66"/>
  <c r="T530" i="66" s="1"/>
  <c r="U530" i="66" s="1"/>
  <c r="AC540" i="66"/>
  <c r="T540" i="66" s="1"/>
  <c r="U540" i="66" s="1"/>
  <c r="AC497" i="66"/>
  <c r="T497" i="66" s="1"/>
  <c r="AC312" i="66"/>
  <c r="T312" i="66" s="1"/>
  <c r="U312" i="66" s="1"/>
  <c r="AC69" i="66"/>
  <c r="T69" i="66" s="1"/>
  <c r="AC65" i="66"/>
  <c r="T65" i="66" s="1"/>
  <c r="U65" i="66" s="1"/>
  <c r="AC173" i="66"/>
  <c r="T173" i="66" s="1"/>
  <c r="AC217" i="66"/>
  <c r="T217" i="66" s="1"/>
  <c r="U217" i="66" s="1"/>
  <c r="AC630" i="66"/>
  <c r="T630" i="66" s="1"/>
  <c r="U630" i="66" s="1"/>
  <c r="AC590" i="66"/>
  <c r="T590" i="66" s="1"/>
  <c r="U590" i="66" s="1"/>
  <c r="AC600" i="66"/>
  <c r="T600" i="66" s="1"/>
  <c r="AC411" i="66"/>
  <c r="T411" i="66" s="1"/>
  <c r="U411" i="66" s="1"/>
  <c r="AC692" i="66"/>
  <c r="T692" i="66" s="1"/>
  <c r="AC548" i="66"/>
  <c r="T548" i="66" s="1"/>
  <c r="U548" i="66" s="1"/>
  <c r="AC205" i="66"/>
  <c r="T205" i="66" s="1"/>
  <c r="U205" i="66" s="1"/>
  <c r="AC313" i="66"/>
  <c r="T313" i="66" s="1"/>
  <c r="AC66" i="66"/>
  <c r="T66" i="66" s="1"/>
  <c r="U66" i="66" s="1"/>
  <c r="AC62" i="66"/>
  <c r="T62" i="66" s="1"/>
  <c r="U62" i="66" s="1"/>
  <c r="AC106" i="66"/>
  <c r="T106" i="66" s="1"/>
  <c r="AC504" i="66"/>
  <c r="T504" i="66" s="1"/>
  <c r="U504" i="66" s="1"/>
  <c r="AC658" i="66"/>
  <c r="T658" i="66" s="1"/>
  <c r="U658" i="66" s="1"/>
  <c r="AC668" i="66"/>
  <c r="T668" i="66" s="1"/>
  <c r="U668" i="66" s="1"/>
  <c r="AC410" i="66"/>
  <c r="T410" i="66" s="1"/>
  <c r="U410" i="66" s="1"/>
  <c r="AC278" i="66"/>
  <c r="T278" i="66" s="1"/>
  <c r="AC35" i="66"/>
  <c r="T35" i="66" s="1"/>
  <c r="AC31" i="66"/>
  <c r="T31" i="66" s="1"/>
  <c r="U31" i="66" s="1"/>
  <c r="AC139" i="66"/>
  <c r="T139" i="66" s="1"/>
  <c r="AC183" i="66"/>
  <c r="T183" i="66" s="1"/>
  <c r="AC541" i="66"/>
  <c r="T541" i="66" s="1"/>
  <c r="U541" i="66" s="1"/>
  <c r="AC576" i="66"/>
  <c r="T576" i="66" s="1"/>
  <c r="U576" i="66" s="1"/>
  <c r="AC362" i="66"/>
  <c r="T362" i="66" s="1"/>
  <c r="AC342" i="66"/>
  <c r="T342" i="66" s="1"/>
  <c r="AC99" i="66"/>
  <c r="T99" i="66" s="1"/>
  <c r="U99" i="66" s="1"/>
  <c r="AC95" i="66"/>
  <c r="T95" i="66" s="1"/>
  <c r="AC203" i="66"/>
  <c r="T203" i="66" s="1"/>
  <c r="U203" i="66" s="1"/>
  <c r="AC247" i="66"/>
  <c r="T247" i="66" s="1"/>
  <c r="AC605" i="66"/>
  <c r="T605" i="66" s="1"/>
  <c r="U605" i="66" s="1"/>
  <c r="AC640" i="66"/>
  <c r="T640" i="66" s="1"/>
  <c r="U640" i="66" s="1"/>
  <c r="AC426" i="66"/>
  <c r="T426" i="66" s="1"/>
  <c r="U426" i="66" s="1"/>
  <c r="AC364" i="66"/>
  <c r="T364" i="66" s="1"/>
  <c r="U364" i="66" s="1"/>
  <c r="AC556" i="66"/>
  <c r="T556" i="66" s="1"/>
  <c r="AC136" i="66"/>
  <c r="T136" i="66" s="1"/>
  <c r="U136" i="66" s="1"/>
  <c r="AC235" i="66"/>
  <c r="T235" i="66" s="1"/>
  <c r="AC343" i="66"/>
  <c r="T343" i="66" s="1"/>
  <c r="AC433" i="66"/>
  <c r="T433" i="66" s="1"/>
  <c r="AC24" i="66"/>
  <c r="T24" i="66" s="1"/>
  <c r="U24" i="66" s="1"/>
  <c r="AC473" i="66"/>
  <c r="T473" i="66" s="1"/>
  <c r="U473" i="66" s="1"/>
  <c r="AC673" i="66"/>
  <c r="T673" i="66" s="1"/>
  <c r="U673" i="66" s="1"/>
  <c r="AC470" i="66"/>
  <c r="T470" i="66" s="1"/>
  <c r="U470" i="66" s="1"/>
  <c r="AC494" i="66"/>
  <c r="T494" i="66" s="1"/>
  <c r="U494" i="66" s="1"/>
  <c r="AC629" i="66"/>
  <c r="T629" i="66" s="1"/>
  <c r="U629" i="66" s="1"/>
  <c r="AC284" i="66"/>
  <c r="T284" i="66" s="1"/>
  <c r="AC57" i="66"/>
  <c r="T57" i="66" s="1"/>
  <c r="U57" i="66" s="1"/>
  <c r="AC149" i="66"/>
  <c r="T149" i="66" s="1"/>
  <c r="AC145" i="66"/>
  <c r="T145" i="66" s="1"/>
  <c r="U145" i="66" s="1"/>
  <c r="AC189" i="66"/>
  <c r="T189" i="66" s="1"/>
  <c r="U189" i="66" s="1"/>
  <c r="AC559" i="66"/>
  <c r="T559" i="66" s="1"/>
  <c r="U559" i="66" s="1"/>
  <c r="AC402" i="66"/>
  <c r="T402" i="66" s="1"/>
  <c r="U402" i="66" s="1"/>
  <c r="AC412" i="66"/>
  <c r="T412" i="66" s="1"/>
  <c r="AC348" i="66"/>
  <c r="T348" i="66" s="1"/>
  <c r="U348" i="66" s="1"/>
  <c r="AC121" i="66"/>
  <c r="T121" i="66" s="1"/>
  <c r="AC213" i="66"/>
  <c r="T213" i="66" s="1"/>
  <c r="U213" i="66" s="1"/>
  <c r="AC209" i="66"/>
  <c r="T209" i="66" s="1"/>
  <c r="U209" i="66" s="1"/>
  <c r="AC253" i="66"/>
  <c r="T253" i="66" s="1"/>
  <c r="AC360" i="66"/>
  <c r="T360" i="66" s="1"/>
  <c r="U360" i="66" s="1"/>
  <c r="AC476" i="66"/>
  <c r="T476" i="66" s="1"/>
  <c r="U476" i="66" s="1"/>
  <c r="AC698" i="66"/>
  <c r="T698" i="66" s="1"/>
  <c r="U698" i="66" s="1"/>
  <c r="AC773" i="66"/>
  <c r="T773" i="66" s="1"/>
  <c r="U773" i="66" s="1"/>
  <c r="AC468" i="66"/>
  <c r="T468" i="66" s="1"/>
  <c r="U468" i="66" s="1"/>
  <c r="AC420" i="66"/>
  <c r="T420" i="66" s="1"/>
  <c r="U420" i="66" s="1"/>
  <c r="AC701" i="66"/>
  <c r="T701" i="66" s="1"/>
  <c r="U701" i="66" s="1"/>
  <c r="AC464" i="66"/>
  <c r="T464" i="66" s="1"/>
  <c r="U464" i="66" s="1"/>
  <c r="AC619" i="66"/>
  <c r="T619" i="66" s="1"/>
  <c r="AC584" i="66"/>
  <c r="T584" i="66" s="1"/>
  <c r="U584" i="66" s="1"/>
  <c r="AC612" i="66"/>
  <c r="T612" i="66" s="1"/>
  <c r="U612" i="66" s="1"/>
  <c r="AC699" i="66"/>
  <c r="T699" i="66" s="1"/>
  <c r="U699" i="66" s="1"/>
  <c r="AC693" i="66"/>
  <c r="T693" i="66" s="1"/>
  <c r="U693" i="66" s="1"/>
  <c r="AC778" i="66"/>
  <c r="T778" i="66" s="1"/>
  <c r="U778" i="66" s="1"/>
  <c r="AC703" i="66"/>
  <c r="T703" i="66" s="1"/>
  <c r="U703" i="66" s="1"/>
  <c r="AC680" i="66"/>
  <c r="T680" i="66" s="1"/>
  <c r="AC446" i="66"/>
  <c r="T446" i="66" s="1"/>
  <c r="U446" i="66" s="1"/>
  <c r="AC606" i="66"/>
  <c r="T606" i="66" s="1"/>
  <c r="U606" i="66" s="1"/>
  <c r="AC780" i="66"/>
  <c r="T780" i="66" s="1"/>
  <c r="U780" i="66" s="1"/>
  <c r="AC623" i="66"/>
  <c r="T623" i="66" s="1"/>
  <c r="U623" i="66" s="1"/>
  <c r="AC751" i="66"/>
  <c r="T751" i="66" s="1"/>
  <c r="U751" i="66" s="1"/>
  <c r="AC80" i="66"/>
  <c r="T80" i="66" s="1"/>
  <c r="U80" i="66" s="1"/>
  <c r="AC424" i="66"/>
  <c r="T424" i="66" s="1"/>
  <c r="AC88" i="66"/>
  <c r="T88" i="66" s="1"/>
  <c r="U88" i="66" s="1"/>
  <c r="AC108" i="66"/>
  <c r="T108" i="66" s="1"/>
  <c r="U108" i="66" s="1"/>
  <c r="AC733" i="66"/>
  <c r="T733" i="66" s="1"/>
  <c r="U733" i="66" s="1"/>
  <c r="AC56" i="66"/>
  <c r="T56" i="66" s="1"/>
  <c r="U56" i="66" s="1"/>
  <c r="AC691" i="66"/>
  <c r="T691" i="66" s="1"/>
  <c r="AC387" i="66"/>
  <c r="T387" i="66" s="1"/>
  <c r="U387" i="66" s="1"/>
  <c r="AC769" i="66"/>
  <c r="T769" i="66" s="1"/>
  <c r="U769" i="66" s="1"/>
  <c r="AC741" i="66"/>
  <c r="T741" i="66" s="1"/>
  <c r="AC736" i="66"/>
  <c r="T736" i="66" s="1"/>
  <c r="AC713" i="66"/>
  <c r="T713" i="66" s="1"/>
  <c r="U713" i="66" s="1"/>
  <c r="AC516" i="66"/>
  <c r="T516" i="66" s="1"/>
  <c r="U516" i="66" s="1"/>
  <c r="AC587" i="66"/>
  <c r="T587" i="66" s="1"/>
  <c r="U587" i="66" s="1"/>
  <c r="AC665" i="66"/>
  <c r="T665" i="66" s="1"/>
  <c r="U665" i="66" s="1"/>
  <c r="AC735" i="66"/>
  <c r="T735" i="66" s="1"/>
  <c r="U735" i="66" s="1"/>
  <c r="AC781" i="66"/>
  <c r="T781" i="66" s="1"/>
  <c r="U781" i="66" s="1"/>
  <c r="AC631" i="66"/>
  <c r="T631" i="66" s="1"/>
  <c r="U631" i="66" s="1"/>
  <c r="AC759" i="66"/>
  <c r="T759" i="66" s="1"/>
  <c r="U759" i="66" s="1"/>
  <c r="AC500" i="66"/>
  <c r="T500" i="66" s="1"/>
  <c r="AC487" i="66"/>
  <c r="T487" i="66" s="1"/>
  <c r="U487" i="66" s="1"/>
  <c r="AC752" i="66"/>
  <c r="T752" i="66" s="1"/>
  <c r="U752" i="66" s="1"/>
  <c r="AC647" i="66"/>
  <c r="T647" i="66" s="1"/>
  <c r="AC700" i="66"/>
  <c r="T700" i="66" s="1"/>
  <c r="U700" i="66" s="1"/>
  <c r="AC638" i="66"/>
  <c r="T638" i="66" s="1"/>
  <c r="U638" i="66" s="1"/>
  <c r="AC737" i="66"/>
  <c r="T737" i="66" s="1"/>
  <c r="U737" i="66" s="1"/>
  <c r="AC565" i="66"/>
  <c r="T565" i="66" s="1"/>
  <c r="U565" i="66" s="1"/>
  <c r="AC777" i="66"/>
  <c r="T777" i="66" s="1"/>
  <c r="U777" i="66" s="1"/>
  <c r="AC452" i="66"/>
  <c r="T452" i="66" s="1"/>
  <c r="U452" i="66" s="1"/>
  <c r="AC523" i="66"/>
  <c r="T523" i="66" s="1"/>
  <c r="U523" i="66" s="1"/>
  <c r="AC144" i="66"/>
  <c r="T144" i="66" s="1"/>
  <c r="U144" i="66" s="1"/>
  <c r="AC124" i="66"/>
  <c r="T124" i="66" s="1"/>
  <c r="U124" i="66" s="1"/>
  <c r="AC152" i="66"/>
  <c r="T152" i="66" s="1"/>
  <c r="U152" i="66" s="1"/>
  <c r="AC580" i="66"/>
  <c r="T580" i="66" s="1"/>
  <c r="U580" i="66" s="1"/>
  <c r="AC651" i="66"/>
  <c r="T651" i="66" s="1"/>
  <c r="U651" i="66" s="1"/>
  <c r="AC757" i="66"/>
  <c r="T757" i="66" s="1"/>
  <c r="U757" i="66" s="1"/>
  <c r="AC763" i="66"/>
  <c r="T763" i="66" s="1"/>
  <c r="U763" i="66" s="1"/>
  <c r="AC561" i="66"/>
  <c r="T561" i="66" s="1"/>
  <c r="AC578" i="66"/>
  <c r="T578" i="66" s="1"/>
  <c r="AC392" i="66"/>
  <c r="T392" i="66" s="1"/>
  <c r="U392" i="66" s="1"/>
  <c r="AC482" i="66"/>
  <c r="T482" i="66" s="1"/>
  <c r="U482" i="66" s="1"/>
  <c r="AC432" i="66"/>
  <c r="T432" i="66" s="1"/>
  <c r="U432" i="66" s="1"/>
  <c r="AC484" i="66"/>
  <c r="T484" i="66" s="1"/>
  <c r="U484" i="66" s="1"/>
  <c r="AC560" i="66"/>
  <c r="T560" i="66" s="1"/>
  <c r="U560" i="66" s="1"/>
  <c r="AC592" i="66"/>
  <c r="T592" i="66" s="1"/>
  <c r="AC722" i="66"/>
  <c r="T722" i="66" s="1"/>
  <c r="U722" i="66" s="1"/>
  <c r="AC120" i="66"/>
  <c r="T120" i="66" s="1"/>
  <c r="U120" i="66" s="1"/>
  <c r="AC740" i="66"/>
  <c r="T740" i="66" s="1"/>
  <c r="U740" i="66" s="1"/>
  <c r="AC488" i="66"/>
  <c r="T488" i="66" s="1"/>
  <c r="U488" i="66" s="1"/>
  <c r="AC768" i="66"/>
  <c r="T768" i="66" s="1"/>
  <c r="U768" i="66" s="1"/>
  <c r="AC710" i="66"/>
  <c r="T710" i="66" s="1"/>
  <c r="AC44" i="66"/>
  <c r="T44" i="66" s="1"/>
  <c r="U44" i="66" s="1"/>
  <c r="AC688" i="66"/>
  <c r="T688" i="66" s="1"/>
  <c r="AC466" i="66"/>
  <c r="T466" i="66" s="1"/>
  <c r="U466" i="66" s="1"/>
  <c r="AC746" i="66"/>
  <c r="T746" i="66" s="1"/>
  <c r="U746" i="66" s="1"/>
  <c r="AC588" i="66"/>
  <c r="T588" i="66" s="1"/>
  <c r="U588" i="66" s="1"/>
  <c r="AC695" i="66"/>
  <c r="T695" i="66" s="1"/>
  <c r="U695" i="66" s="1"/>
  <c r="AC546" i="66"/>
  <c r="T546" i="66" s="1"/>
  <c r="U546" i="66" s="1"/>
  <c r="AC128" i="66"/>
  <c r="T128" i="66" s="1"/>
  <c r="AC597" i="66"/>
  <c r="T597" i="66" s="1"/>
  <c r="U597" i="66" s="1"/>
  <c r="AC745" i="66"/>
  <c r="T745" i="66" s="1"/>
  <c r="U745" i="66" s="1"/>
  <c r="AC635" i="66"/>
  <c r="T635" i="66" s="1"/>
  <c r="U635" i="66" s="1"/>
  <c r="AC395" i="66"/>
  <c r="T395" i="66" s="1"/>
  <c r="U395" i="66" s="1"/>
  <c r="AC562" i="66"/>
  <c r="T562" i="66" s="1"/>
  <c r="U562" i="66" s="1"/>
  <c r="AC496" i="66"/>
  <c r="T496" i="66" s="1"/>
  <c r="AC96" i="66"/>
  <c r="T96" i="66" s="1"/>
  <c r="U96" i="66" s="1"/>
  <c r="AC750" i="66"/>
  <c r="T750" i="66" s="1"/>
  <c r="U750" i="66" s="1"/>
  <c r="AC32" i="66"/>
  <c r="T32" i="66" s="1"/>
  <c r="U32" i="66" s="1"/>
  <c r="AC714" i="66"/>
  <c r="T714" i="66" s="1"/>
  <c r="AC386" i="66"/>
  <c r="T386" i="66" s="1"/>
  <c r="AC92" i="66"/>
  <c r="T92" i="66" s="1"/>
  <c r="AC782" i="66"/>
  <c r="T782" i="66" s="1"/>
  <c r="U782" i="66" s="1"/>
  <c r="AC614" i="66"/>
  <c r="T614" i="66" s="1"/>
  <c r="U614" i="66" s="1"/>
  <c r="AC535" i="66"/>
  <c r="T535" i="66" s="1"/>
  <c r="U535" i="66" s="1"/>
  <c r="AC758" i="66"/>
  <c r="T758" i="66" s="1"/>
  <c r="U758" i="66" s="1"/>
  <c r="AC689" i="66"/>
  <c r="T689" i="66" s="1"/>
  <c r="AC615" i="66"/>
  <c r="T615" i="66" s="1"/>
  <c r="U615" i="66" s="1"/>
  <c r="AC382" i="66"/>
  <c r="T382" i="66" s="1"/>
  <c r="U382" i="66" s="1"/>
  <c r="AC684" i="66"/>
  <c r="T684" i="66" s="1"/>
  <c r="AC776" i="66"/>
  <c r="T776" i="66" s="1"/>
  <c r="U776" i="66" s="1"/>
  <c r="AC770" i="66"/>
  <c r="T770" i="66" s="1"/>
  <c r="U770" i="66" s="1"/>
  <c r="AC660" i="66"/>
  <c r="T660" i="66" s="1"/>
  <c r="U660" i="66" s="1"/>
  <c r="AC579" i="66"/>
  <c r="T579" i="66" s="1"/>
  <c r="U579" i="66" s="1"/>
  <c r="AC64" i="66"/>
  <c r="T64" i="66" s="1"/>
  <c r="AC624" i="66"/>
  <c r="T624" i="66" s="1"/>
  <c r="U624" i="66" s="1"/>
  <c r="AC708" i="66"/>
  <c r="T708" i="66" s="1"/>
  <c r="U708" i="66" s="1"/>
  <c r="AC765" i="66"/>
  <c r="T765" i="66" s="1"/>
  <c r="U765" i="66" s="1"/>
  <c r="AC414" i="66"/>
  <c r="T414" i="66" s="1"/>
  <c r="U414" i="66" s="1"/>
  <c r="AC28" i="66"/>
  <c r="T28" i="66" s="1"/>
  <c r="U28" i="66" s="1"/>
  <c r="AC601" i="66"/>
  <c r="T601" i="66" s="1"/>
  <c r="U601" i="66" s="1"/>
  <c r="AC743" i="66"/>
  <c r="T743" i="66" s="1"/>
  <c r="U743" i="66" s="1"/>
  <c r="AC400" i="66"/>
  <c r="T400" i="66" s="1"/>
  <c r="U400" i="66" s="1"/>
  <c r="AC642" i="66"/>
  <c r="T642" i="66" s="1"/>
  <c r="AC519" i="66"/>
  <c r="T519" i="66" s="1"/>
  <c r="U519" i="66" s="1"/>
  <c r="AC363" i="66"/>
  <c r="T363" i="66" s="1"/>
  <c r="AC667" i="66"/>
  <c r="T667" i="66" s="1"/>
  <c r="U667" i="66" s="1"/>
  <c r="AC602" i="66"/>
  <c r="T602" i="66" s="1"/>
  <c r="U602" i="66" s="1"/>
  <c r="AC370" i="66"/>
  <c r="T370" i="66" s="1"/>
  <c r="U370" i="66" s="1"/>
  <c r="AC510" i="66"/>
  <c r="T510" i="66" s="1"/>
  <c r="U510" i="66" s="1"/>
  <c r="AC60" i="66"/>
  <c r="T60" i="66" s="1"/>
  <c r="AC564" i="66"/>
  <c r="T564" i="66" s="1"/>
  <c r="AC728" i="66"/>
  <c r="T728" i="66" s="1"/>
  <c r="U728" i="66" s="1"/>
  <c r="AC756" i="66"/>
  <c r="T756" i="66" s="1"/>
  <c r="AC442" i="66"/>
  <c r="T442" i="66" s="1"/>
  <c r="U442" i="66" s="1"/>
  <c r="AC643" i="66"/>
  <c r="T643" i="66" s="1"/>
  <c r="U643" i="66" s="1"/>
  <c r="AC707" i="66"/>
  <c r="T707" i="66" s="1"/>
  <c r="U707" i="66" s="1"/>
  <c r="AC727" i="66"/>
  <c r="T727" i="66" s="1"/>
  <c r="U727" i="66" s="1"/>
  <c r="AC755" i="66"/>
  <c r="T755" i="66" s="1"/>
  <c r="AC618" i="66"/>
  <c r="T618" i="66" s="1"/>
  <c r="U618" i="66" s="1"/>
  <c r="AC40" i="66"/>
  <c r="T40" i="66" s="1"/>
  <c r="U40" i="66" s="1"/>
  <c r="AC104" i="66"/>
  <c r="T104" i="66" s="1"/>
  <c r="U104" i="66" s="1"/>
  <c r="AC697" i="66"/>
  <c r="T697" i="66" s="1"/>
  <c r="AC764" i="66"/>
  <c r="T764" i="66" s="1"/>
  <c r="U764" i="66" s="1"/>
  <c r="AC675" i="66"/>
  <c r="T675" i="66" s="1"/>
  <c r="U675" i="66" s="1"/>
  <c r="AC731" i="66"/>
  <c r="T731" i="66" s="1"/>
  <c r="U731" i="66" s="1"/>
  <c r="AC538" i="66"/>
  <c r="T538" i="66" s="1"/>
  <c r="U538" i="66" s="1"/>
  <c r="AC729" i="66"/>
  <c r="T729" i="66" s="1"/>
  <c r="U729" i="66" s="1"/>
  <c r="AC368" i="66"/>
  <c r="T368" i="66" s="1"/>
  <c r="U368" i="66" s="1"/>
  <c r="AC657" i="66"/>
  <c r="T657" i="66" s="1"/>
  <c r="U657" i="66" s="1"/>
  <c r="AC515" i="66"/>
  <c r="T515" i="66" s="1"/>
  <c r="U515" i="66" s="1"/>
  <c r="AC48" i="66"/>
  <c r="T48" i="66" s="1"/>
  <c r="U48" i="66" s="1"/>
  <c r="AC533" i="66"/>
  <c r="T533" i="66" s="1"/>
  <c r="U533" i="66" s="1"/>
  <c r="AC478" i="66"/>
  <c r="T478" i="66" s="1"/>
  <c r="U478" i="66" s="1"/>
  <c r="AC570" i="66"/>
  <c r="T570" i="66" s="1"/>
  <c r="U570" i="66" s="1"/>
  <c r="AC460" i="66"/>
  <c r="T460" i="66" s="1"/>
  <c r="AC772" i="66"/>
  <c r="T772" i="66" s="1"/>
  <c r="U772" i="66" s="1"/>
  <c r="AC783" i="66"/>
  <c r="T783" i="66" s="1"/>
  <c r="U783" i="66" s="1"/>
  <c r="Y785" i="66"/>
  <c r="Z785" i="66" s="1"/>
  <c r="AC785" i="66" s="1"/>
  <c r="T785" i="66" s="1"/>
  <c r="U785" i="66" s="1"/>
  <c r="F786" i="66"/>
  <c r="E787" i="66"/>
  <c r="G786" i="66"/>
  <c r="I784" i="66"/>
  <c r="N784" i="66"/>
  <c r="K784" i="66"/>
  <c r="H785" i="66"/>
  <c r="W785" i="66" s="1"/>
  <c r="S784" i="66"/>
  <c r="AA66" i="44"/>
  <c r="AB66" i="44" s="1"/>
  <c r="AE66" i="44"/>
  <c r="AF66" i="44" s="1"/>
  <c r="AG66" i="44" s="1"/>
  <c r="P785" i="66"/>
  <c r="D786" i="66"/>
  <c r="AL66" i="44"/>
  <c r="AM66" i="44"/>
  <c r="AN66" i="44" s="1"/>
  <c r="Y68" i="44"/>
  <c r="AJ67" i="44"/>
  <c r="AK67" i="44" s="1"/>
  <c r="AD67" i="44"/>
  <c r="Z67" i="44"/>
  <c r="K731" i="66" l="1"/>
  <c r="N731" i="66"/>
  <c r="N727" i="66"/>
  <c r="K727" i="66"/>
  <c r="N510" i="66"/>
  <c r="K510" i="66"/>
  <c r="N743" i="66"/>
  <c r="K743" i="66"/>
  <c r="K579" i="66"/>
  <c r="N579" i="66"/>
  <c r="K758" i="66"/>
  <c r="N758" i="66"/>
  <c r="N750" i="66"/>
  <c r="K750" i="66"/>
  <c r="K651" i="66"/>
  <c r="N651" i="66"/>
  <c r="K565" i="66"/>
  <c r="N565" i="66"/>
  <c r="N759" i="66"/>
  <c r="K759" i="66"/>
  <c r="N673" i="66"/>
  <c r="K673" i="66"/>
  <c r="N717" i="66"/>
  <c r="K717" i="66"/>
  <c r="N744" i="66"/>
  <c r="K744" i="66"/>
  <c r="N653" i="66"/>
  <c r="K653" i="66"/>
  <c r="K589" i="66"/>
  <c r="N589" i="66"/>
  <c r="K512" i="66"/>
  <c r="N512" i="66"/>
  <c r="N732" i="66"/>
  <c r="K732" i="66"/>
  <c r="V732" i="66" s="1"/>
  <c r="N720" i="66"/>
  <c r="K720" i="66"/>
  <c r="N674" i="66"/>
  <c r="W674" i="66" s="1"/>
  <c r="K674" i="66"/>
  <c r="V674" i="66" s="1"/>
  <c r="N526" i="66"/>
  <c r="K526" i="66"/>
  <c r="N528" i="66"/>
  <c r="K528" i="66"/>
  <c r="N734" i="66"/>
  <c r="K734" i="66"/>
  <c r="K723" i="66"/>
  <c r="N723" i="66"/>
  <c r="N632" i="66"/>
  <c r="K632" i="66"/>
  <c r="K661" i="66"/>
  <c r="N661" i="66"/>
  <c r="N552" i="66"/>
  <c r="K552" i="66"/>
  <c r="K663" i="66"/>
  <c r="N663" i="66"/>
  <c r="N517" i="66"/>
  <c r="K517" i="66"/>
  <c r="N533" i="66"/>
  <c r="K533" i="66"/>
  <c r="N675" i="66"/>
  <c r="K675" i="66"/>
  <c r="N707" i="66"/>
  <c r="K707" i="66"/>
  <c r="K601" i="66"/>
  <c r="N601" i="66"/>
  <c r="N660" i="66"/>
  <c r="K660" i="66"/>
  <c r="K535" i="66"/>
  <c r="N535" i="66"/>
  <c r="K546" i="66"/>
  <c r="N546" i="66"/>
  <c r="N768" i="66"/>
  <c r="K768" i="66"/>
  <c r="N580" i="66"/>
  <c r="K580" i="66"/>
  <c r="N737" i="66"/>
  <c r="K737" i="66"/>
  <c r="N631" i="66"/>
  <c r="K631" i="66"/>
  <c r="N703" i="66"/>
  <c r="K703" i="66"/>
  <c r="N701" i="66"/>
  <c r="K701" i="66"/>
  <c r="K551" i="66"/>
  <c r="N551" i="66"/>
  <c r="K611" i="66"/>
  <c r="N611" i="66"/>
  <c r="N669" i="66"/>
  <c r="K669" i="66"/>
  <c r="K725" i="66"/>
  <c r="N725" i="66"/>
  <c r="K566" i="66"/>
  <c r="N566" i="66"/>
  <c r="K543" i="66"/>
  <c r="N543" i="66"/>
  <c r="K599" i="66"/>
  <c r="N599" i="66"/>
  <c r="K709" i="66"/>
  <c r="N709" i="66"/>
  <c r="K775" i="66"/>
  <c r="N775" i="66"/>
  <c r="N542" i="66"/>
  <c r="K542" i="66"/>
  <c r="K739" i="66"/>
  <c r="N739" i="66"/>
  <c r="N671" i="66"/>
  <c r="K671" i="66"/>
  <c r="K639" i="66"/>
  <c r="N639" i="66"/>
  <c r="K764" i="66"/>
  <c r="N764" i="66"/>
  <c r="K643" i="66"/>
  <c r="N643" i="66"/>
  <c r="N602" i="66"/>
  <c r="K602" i="66"/>
  <c r="N770" i="66"/>
  <c r="K770" i="66"/>
  <c r="N614" i="66"/>
  <c r="K614" i="66"/>
  <c r="K695" i="66"/>
  <c r="N695" i="66"/>
  <c r="K638" i="66"/>
  <c r="N638" i="66"/>
  <c r="K781" i="66"/>
  <c r="N781" i="66"/>
  <c r="N769" i="66"/>
  <c r="K769" i="66"/>
  <c r="K778" i="66"/>
  <c r="N778" i="66"/>
  <c r="K640" i="66"/>
  <c r="N640" i="66"/>
  <c r="K576" i="66"/>
  <c r="N576" i="66"/>
  <c r="K668" i="66"/>
  <c r="N668" i="66"/>
  <c r="N548" i="66"/>
  <c r="K548" i="66"/>
  <c r="K762" i="66"/>
  <c r="N762" i="66"/>
  <c r="K573" i="66"/>
  <c r="N573" i="66"/>
  <c r="K593" i="66"/>
  <c r="N593" i="66"/>
  <c r="N634" i="66"/>
  <c r="K634" i="66"/>
  <c r="N575" i="66"/>
  <c r="K575" i="66"/>
  <c r="N649" i="66"/>
  <c r="K649" i="66"/>
  <c r="K676" i="66"/>
  <c r="V676" i="66" s="1"/>
  <c r="N676" i="66"/>
  <c r="W676" i="66" s="1"/>
  <c r="K672" i="66"/>
  <c r="V672" i="66" s="1"/>
  <c r="N672" i="66"/>
  <c r="W672" i="66" s="1"/>
  <c r="N622" i="66"/>
  <c r="K622" i="66"/>
  <c r="N558" i="66"/>
  <c r="K558" i="66"/>
  <c r="K670" i="66"/>
  <c r="N670" i="66"/>
  <c r="N547" i="66"/>
  <c r="K547" i="66"/>
  <c r="N730" i="66"/>
  <c r="K730" i="66"/>
  <c r="K515" i="66"/>
  <c r="N515" i="66"/>
  <c r="K667" i="66"/>
  <c r="N667" i="66"/>
  <c r="K776" i="66"/>
  <c r="V776" i="66" s="1"/>
  <c r="N776" i="66"/>
  <c r="W776" i="66" s="1"/>
  <c r="N782" i="66"/>
  <c r="W782" i="66" s="1"/>
  <c r="K782" i="66"/>
  <c r="K562" i="66"/>
  <c r="N562" i="66"/>
  <c r="N588" i="66"/>
  <c r="K588" i="66"/>
  <c r="N740" i="66"/>
  <c r="K740" i="66"/>
  <c r="K700" i="66"/>
  <c r="N700" i="66"/>
  <c r="N735" i="66"/>
  <c r="W735" i="66" s="1"/>
  <c r="K735" i="66"/>
  <c r="V735" i="66" s="1"/>
  <c r="K751" i="66"/>
  <c r="N751" i="66"/>
  <c r="W751" i="66" s="1"/>
  <c r="K693" i="66"/>
  <c r="N693" i="66"/>
  <c r="N605" i="66"/>
  <c r="K605" i="66"/>
  <c r="K541" i="66"/>
  <c r="N541" i="66"/>
  <c r="N658" i="66"/>
  <c r="K658" i="66"/>
  <c r="K585" i="66"/>
  <c r="N585" i="66"/>
  <c r="K567" i="66"/>
  <c r="V567" i="66" s="1"/>
  <c r="N567" i="66"/>
  <c r="N659" i="66"/>
  <c r="K659" i="66"/>
  <c r="K767" i="66"/>
  <c r="N767" i="66"/>
  <c r="N513" i="66"/>
  <c r="K513" i="66"/>
  <c r="K636" i="66"/>
  <c r="N636" i="66"/>
  <c r="N572" i="66"/>
  <c r="K572" i="66"/>
  <c r="N724" i="66"/>
  <c r="K724" i="66"/>
  <c r="V724" i="66" s="1"/>
  <c r="K644" i="66"/>
  <c r="V644" i="66" s="1"/>
  <c r="N644" i="66"/>
  <c r="W644" i="66" s="1"/>
  <c r="K609" i="66"/>
  <c r="N609" i="66"/>
  <c r="N545" i="66"/>
  <c r="K545" i="66"/>
  <c r="N637" i="66"/>
  <c r="K637" i="66"/>
  <c r="K704" i="66"/>
  <c r="N704" i="66"/>
  <c r="W704" i="66" s="1"/>
  <c r="K598" i="66"/>
  <c r="N598" i="66"/>
  <c r="N534" i="66"/>
  <c r="K534" i="66"/>
  <c r="K719" i="66"/>
  <c r="N719" i="66"/>
  <c r="N686" i="66"/>
  <c r="K686" i="66"/>
  <c r="K779" i="66"/>
  <c r="N779" i="66"/>
  <c r="K595" i="66"/>
  <c r="N595" i="66"/>
  <c r="K531" i="66"/>
  <c r="N531" i="66"/>
  <c r="N705" i="66"/>
  <c r="K705" i="66"/>
  <c r="N783" i="66"/>
  <c r="W783" i="66" s="1"/>
  <c r="K783" i="66"/>
  <c r="V783" i="66" s="1"/>
  <c r="K657" i="66"/>
  <c r="N657" i="66"/>
  <c r="N765" i="66"/>
  <c r="K765" i="66"/>
  <c r="V765" i="66" s="1"/>
  <c r="K746" i="66"/>
  <c r="N746" i="66"/>
  <c r="K665" i="66"/>
  <c r="N665" i="66"/>
  <c r="K623" i="66"/>
  <c r="V623" i="66" s="1"/>
  <c r="N623" i="66"/>
  <c r="W623" i="66" s="1"/>
  <c r="N699" i="66"/>
  <c r="K699" i="66"/>
  <c r="N773" i="66"/>
  <c r="K773" i="66"/>
  <c r="N554" i="66"/>
  <c r="K554" i="66"/>
  <c r="N607" i="66"/>
  <c r="K607" i="66"/>
  <c r="N771" i="66"/>
  <c r="W771" i="66" s="1"/>
  <c r="K771" i="66"/>
  <c r="V771" i="66" s="1"/>
  <c r="N654" i="66"/>
  <c r="W654" i="66" s="1"/>
  <c r="K654" i="66"/>
  <c r="V654" i="66" s="1"/>
  <c r="K652" i="66"/>
  <c r="N652" i="66"/>
  <c r="N754" i="66"/>
  <c r="K754" i="66"/>
  <c r="K718" i="66"/>
  <c r="N718" i="66"/>
  <c r="K537" i="66"/>
  <c r="N537" i="66"/>
  <c r="N662" i="66"/>
  <c r="W662" i="66" s="1"/>
  <c r="K662" i="66"/>
  <c r="V662" i="66" s="1"/>
  <c r="K610" i="66"/>
  <c r="V610" i="66" s="1"/>
  <c r="N610" i="66"/>
  <c r="W610" i="66" s="1"/>
  <c r="N617" i="66"/>
  <c r="K617" i="66"/>
  <c r="N553" i="66"/>
  <c r="W553" i="66" s="1"/>
  <c r="K553" i="66"/>
  <c r="K645" i="66"/>
  <c r="N645" i="66"/>
  <c r="N726" i="66"/>
  <c r="W726" i="66" s="1"/>
  <c r="K726" i="66"/>
  <c r="V726" i="66" s="1"/>
  <c r="K772" i="66"/>
  <c r="N772" i="66"/>
  <c r="N728" i="66"/>
  <c r="W728" i="66" s="1"/>
  <c r="K728" i="66"/>
  <c r="V728" i="66" s="1"/>
  <c r="N519" i="66"/>
  <c r="K519" i="66"/>
  <c r="N708" i="66"/>
  <c r="W708" i="66" s="1"/>
  <c r="K708" i="66"/>
  <c r="K635" i="66"/>
  <c r="N635" i="66"/>
  <c r="N722" i="66"/>
  <c r="K722" i="66"/>
  <c r="N523" i="66"/>
  <c r="K523" i="66"/>
  <c r="N752" i="66"/>
  <c r="K752" i="66"/>
  <c r="V752" i="66" s="1"/>
  <c r="K587" i="66"/>
  <c r="N587" i="66"/>
  <c r="N780" i="66"/>
  <c r="W780" i="66" s="1"/>
  <c r="K780" i="66"/>
  <c r="V780" i="66" s="1"/>
  <c r="K612" i="66"/>
  <c r="V612" i="66" s="1"/>
  <c r="N612" i="66"/>
  <c r="N698" i="66"/>
  <c r="K698" i="66"/>
  <c r="K629" i="66"/>
  <c r="N629" i="66"/>
  <c r="N687" i="66"/>
  <c r="W687" i="66" s="1"/>
  <c r="K687" i="66"/>
  <c r="V687" i="66" s="1"/>
  <c r="K702" i="66"/>
  <c r="V702" i="66" s="1"/>
  <c r="N702" i="66"/>
  <c r="W702" i="66" s="1"/>
  <c r="N715" i="66"/>
  <c r="K715" i="66"/>
  <c r="K682" i="66"/>
  <c r="N682" i="66"/>
  <c r="N532" i="66"/>
  <c r="K532" i="66"/>
  <c r="N626" i="66"/>
  <c r="K626" i="66"/>
  <c r="K694" i="66"/>
  <c r="N694" i="66"/>
  <c r="N525" i="66"/>
  <c r="K525" i="66"/>
  <c r="K581" i="66"/>
  <c r="N581" i="66"/>
  <c r="N604" i="66"/>
  <c r="K604" i="66"/>
  <c r="K603" i="66"/>
  <c r="V603" i="66" s="1"/>
  <c r="N603" i="66"/>
  <c r="W603" i="66" s="1"/>
  <c r="N716" i="66"/>
  <c r="K716" i="66"/>
  <c r="K666" i="66"/>
  <c r="V666" i="66" s="1"/>
  <c r="N666" i="66"/>
  <c r="W666" i="66" s="1"/>
  <c r="K571" i="66"/>
  <c r="N571" i="66"/>
  <c r="K574" i="66"/>
  <c r="V574" i="66" s="1"/>
  <c r="N574" i="66"/>
  <c r="W574" i="66" s="1"/>
  <c r="K621" i="66"/>
  <c r="N621" i="66"/>
  <c r="K729" i="66"/>
  <c r="N729" i="66"/>
  <c r="W729" i="66" s="1"/>
  <c r="N618" i="66"/>
  <c r="K618" i="66"/>
  <c r="N624" i="66"/>
  <c r="W624" i="66" s="1"/>
  <c r="K624" i="66"/>
  <c r="V624" i="66" s="1"/>
  <c r="K615" i="66"/>
  <c r="N615" i="66"/>
  <c r="W615" i="66" s="1"/>
  <c r="N745" i="66"/>
  <c r="W745" i="66" s="1"/>
  <c r="K745" i="66"/>
  <c r="V745" i="66" s="1"/>
  <c r="N763" i="66"/>
  <c r="W763" i="66" s="1"/>
  <c r="K763" i="66"/>
  <c r="V763" i="66" s="1"/>
  <c r="N516" i="66"/>
  <c r="K516" i="66"/>
  <c r="V516" i="66" s="1"/>
  <c r="K733" i="66"/>
  <c r="V733" i="66" s="1"/>
  <c r="N733" i="66"/>
  <c r="W733" i="66" s="1"/>
  <c r="N606" i="66"/>
  <c r="W606" i="66" s="1"/>
  <c r="K606" i="66"/>
  <c r="V606" i="66" s="1"/>
  <c r="K584" i="66"/>
  <c r="N584" i="66"/>
  <c r="N590" i="66"/>
  <c r="K590" i="66"/>
  <c r="N540" i="66"/>
  <c r="K540" i="66"/>
  <c r="N529" i="66"/>
  <c r="K529" i="66"/>
  <c r="K738" i="66"/>
  <c r="V738" i="66" s="1"/>
  <c r="N738" i="66"/>
  <c r="W738" i="66" s="1"/>
  <c r="K591" i="66"/>
  <c r="N591" i="66"/>
  <c r="N527" i="66"/>
  <c r="K527" i="66"/>
  <c r="K690" i="66"/>
  <c r="N690" i="66"/>
  <c r="N550" i="66"/>
  <c r="K550" i="66"/>
  <c r="K760" i="66"/>
  <c r="V760" i="66" s="1"/>
  <c r="N760" i="66"/>
  <c r="W760" i="66" s="1"/>
  <c r="N521" i="66"/>
  <c r="K521" i="66"/>
  <c r="N594" i="66"/>
  <c r="K594" i="66"/>
  <c r="V594" i="66" s="1"/>
  <c r="N544" i="66"/>
  <c r="K544" i="66"/>
  <c r="N721" i="66"/>
  <c r="W721" i="66" s="1"/>
  <c r="K721" i="66"/>
  <c r="V721" i="66" s="1"/>
  <c r="K583" i="66"/>
  <c r="N583" i="66"/>
  <c r="N570" i="66"/>
  <c r="K570" i="66"/>
  <c r="N538" i="66"/>
  <c r="K538" i="66"/>
  <c r="K597" i="66"/>
  <c r="N597" i="66"/>
  <c r="N560" i="66"/>
  <c r="K560" i="66"/>
  <c r="N757" i="66"/>
  <c r="K757" i="66"/>
  <c r="K777" i="66"/>
  <c r="N777" i="66"/>
  <c r="N713" i="66"/>
  <c r="K713" i="66"/>
  <c r="N559" i="66"/>
  <c r="W559" i="66" s="1"/>
  <c r="K559" i="66"/>
  <c r="N630" i="66"/>
  <c r="K630" i="66"/>
  <c r="N530" i="66"/>
  <c r="K530" i="66"/>
  <c r="N712" i="66"/>
  <c r="K712" i="66"/>
  <c r="K641" i="66"/>
  <c r="V641" i="66" s="1"/>
  <c r="N641" i="66"/>
  <c r="W641" i="66" s="1"/>
  <c r="N774" i="66"/>
  <c r="W774" i="66" s="1"/>
  <c r="K774" i="66"/>
  <c r="V774" i="66" s="1"/>
  <c r="N536" i="66"/>
  <c r="K536" i="66"/>
  <c r="V536" i="66" s="1"/>
  <c r="K696" i="66"/>
  <c r="N696" i="66"/>
  <c r="N742" i="66"/>
  <c r="K742" i="66"/>
  <c r="K678" i="66"/>
  <c r="N678" i="66"/>
  <c r="N539" i="66"/>
  <c r="W539" i="66" s="1"/>
  <c r="K539" i="66"/>
  <c r="V539" i="66" s="1"/>
  <c r="K655" i="66"/>
  <c r="N655" i="66"/>
  <c r="K596" i="66"/>
  <c r="V596" i="66" s="1"/>
  <c r="N596" i="66"/>
  <c r="W596" i="66" s="1"/>
  <c r="K766" i="66"/>
  <c r="N766" i="66"/>
  <c r="W766" i="66" s="1"/>
  <c r="K656" i="66"/>
  <c r="N656" i="66"/>
  <c r="K577" i="66"/>
  <c r="V577" i="66" s="1"/>
  <c r="N577" i="66"/>
  <c r="W577" i="66" s="1"/>
  <c r="K524" i="66"/>
  <c r="N524" i="66"/>
  <c r="Y786" i="66"/>
  <c r="Z786" i="66" s="1"/>
  <c r="AC786" i="66" s="1"/>
  <c r="T786" i="66" s="1"/>
  <c r="U786" i="66" s="1"/>
  <c r="H786" i="66"/>
  <c r="W786" i="66" s="1"/>
  <c r="N785" i="66"/>
  <c r="I785" i="66"/>
  <c r="K785" i="66"/>
  <c r="V785" i="66"/>
  <c r="F787" i="66"/>
  <c r="G787" i="66"/>
  <c r="E788" i="66"/>
  <c r="S785" i="66"/>
  <c r="P786" i="66"/>
  <c r="D787" i="66"/>
  <c r="AJ68" i="44"/>
  <c r="AK68" i="44" s="1"/>
  <c r="Y69" i="44"/>
  <c r="Z68" i="44"/>
  <c r="AD68" i="44"/>
  <c r="AA67" i="44"/>
  <c r="AB67" i="44" s="1"/>
  <c r="AE67" i="44"/>
  <c r="AF67" i="44" s="1"/>
  <c r="AG67" i="44" s="1"/>
  <c r="AL67" i="44"/>
  <c r="AM67" i="44"/>
  <c r="AN67" i="44" s="1"/>
  <c r="W524" i="66" l="1"/>
  <c r="W581" i="66"/>
  <c r="V553" i="66"/>
  <c r="W529" i="66"/>
  <c r="W534" i="66"/>
  <c r="V566" i="66"/>
  <c r="V513" i="66"/>
  <c r="V529" i="66"/>
  <c r="V581" i="66"/>
  <c r="V524" i="66"/>
  <c r="V534" i="66"/>
  <c r="W566" i="66"/>
  <c r="W580" i="66"/>
  <c r="V559" i="66"/>
  <c r="W516" i="66"/>
  <c r="W567" i="66"/>
  <c r="V580" i="66"/>
  <c r="W536" i="66"/>
  <c r="V547" i="66"/>
  <c r="V590" i="66"/>
  <c r="V544" i="66"/>
  <c r="V759" i="66"/>
  <c r="W732" i="66"/>
  <c r="V740" i="66"/>
  <c r="W618" i="66"/>
  <c r="W675" i="66"/>
  <c r="W635" i="66"/>
  <c r="W772" i="66"/>
  <c r="W718" i="66"/>
  <c r="W670" i="66"/>
  <c r="W527" i="66"/>
  <c r="W769" i="66"/>
  <c r="W655" i="66"/>
  <c r="V696" i="66"/>
  <c r="V694" i="66"/>
  <c r="V538" i="66"/>
  <c r="V602" i="66"/>
  <c r="W530" i="66"/>
  <c r="V777" i="66"/>
  <c r="V645" i="66"/>
  <c r="V652" i="66"/>
  <c r="V779" i="66"/>
  <c r="V716" i="66"/>
  <c r="W640" i="66"/>
  <c r="V640" i="66"/>
  <c r="V729" i="66"/>
  <c r="V704" i="66"/>
  <c r="W513" i="66"/>
  <c r="W740" i="66"/>
  <c r="V769" i="66"/>
  <c r="V635" i="66"/>
  <c r="V718" i="66"/>
  <c r="V670" i="66"/>
  <c r="V527" i="66"/>
  <c r="W696" i="66"/>
  <c r="W694" i="66"/>
  <c r="V655" i="66"/>
  <c r="W777" i="66"/>
  <c r="W645" i="66"/>
  <c r="W652" i="66"/>
  <c r="W779" i="66"/>
  <c r="W538" i="66"/>
  <c r="W602" i="66"/>
  <c r="W784" i="66"/>
  <c r="V784" i="66"/>
  <c r="W716" i="66"/>
  <c r="W705" i="66"/>
  <c r="W759" i="66"/>
  <c r="W637" i="66"/>
  <c r="V591" i="66"/>
  <c r="W656" i="66"/>
  <c r="V530" i="66"/>
  <c r="V637" i="66"/>
  <c r="V656" i="66"/>
  <c r="V630" i="66"/>
  <c r="V532" i="66"/>
  <c r="V705" i="66"/>
  <c r="V766" i="66"/>
  <c r="W630" i="66"/>
  <c r="W594" i="66"/>
  <c r="W532" i="66"/>
  <c r="W547" i="66"/>
  <c r="V772" i="66"/>
  <c r="W765" i="66"/>
  <c r="W724" i="66"/>
  <c r="V751" i="66"/>
  <c r="V615" i="66"/>
  <c r="W591" i="66"/>
  <c r="V708" i="66"/>
  <c r="V675" i="66"/>
  <c r="W590" i="66"/>
  <c r="W752" i="66"/>
  <c r="W659" i="66"/>
  <c r="W770" i="66"/>
  <c r="V618" i="66"/>
  <c r="W612" i="66"/>
  <c r="V744" i="66"/>
  <c r="W544" i="66"/>
  <c r="V722" i="66"/>
  <c r="W537" i="66"/>
  <c r="V773" i="66"/>
  <c r="W746" i="66"/>
  <c r="W585" i="66"/>
  <c r="V548" i="66"/>
  <c r="W778" i="66"/>
  <c r="W695" i="66"/>
  <c r="W739" i="66"/>
  <c r="W599" i="66"/>
  <c r="V669" i="66"/>
  <c r="V703" i="66"/>
  <c r="V768" i="66"/>
  <c r="V517" i="66"/>
  <c r="V632" i="66"/>
  <c r="V526" i="66"/>
  <c r="V717" i="66"/>
  <c r="V743" i="66"/>
  <c r="W722" i="66"/>
  <c r="V537" i="66"/>
  <c r="W773" i="66"/>
  <c r="V746" i="66"/>
  <c r="V585" i="66"/>
  <c r="W548" i="66"/>
  <c r="V778" i="66"/>
  <c r="V695" i="66"/>
  <c r="V739" i="66"/>
  <c r="V599" i="66"/>
  <c r="W669" i="66"/>
  <c r="W703" i="66"/>
  <c r="W768" i="66"/>
  <c r="W517" i="66"/>
  <c r="W632" i="66"/>
  <c r="W526" i="66"/>
  <c r="W717" i="66"/>
  <c r="W743" i="66"/>
  <c r="V560" i="66"/>
  <c r="V540" i="66"/>
  <c r="V525" i="66"/>
  <c r="V699" i="66"/>
  <c r="W531" i="66"/>
  <c r="W719" i="66"/>
  <c r="W767" i="66"/>
  <c r="V658" i="66"/>
  <c r="V588" i="66"/>
  <c r="W667" i="66"/>
  <c r="W668" i="66"/>
  <c r="W764" i="66"/>
  <c r="V542" i="66"/>
  <c r="W543" i="66"/>
  <c r="W611" i="66"/>
  <c r="V631" i="66"/>
  <c r="W546" i="66"/>
  <c r="W663" i="66"/>
  <c r="W723" i="66"/>
  <c r="W589" i="66"/>
  <c r="V673" i="66"/>
  <c r="W560" i="66"/>
  <c r="W540" i="66"/>
  <c r="W525" i="66"/>
  <c r="W699" i="66"/>
  <c r="V531" i="66"/>
  <c r="V719" i="66"/>
  <c r="V767" i="66"/>
  <c r="W658" i="66"/>
  <c r="W588" i="66"/>
  <c r="V667" i="66"/>
  <c r="V668" i="66"/>
  <c r="V764" i="66"/>
  <c r="W542" i="66"/>
  <c r="V543" i="66"/>
  <c r="V611" i="66"/>
  <c r="W631" i="66"/>
  <c r="V546" i="66"/>
  <c r="V663" i="66"/>
  <c r="V723" i="66"/>
  <c r="V589" i="66"/>
  <c r="W673" i="66"/>
  <c r="V713" i="66"/>
  <c r="W597" i="66"/>
  <c r="V607" i="66"/>
  <c r="W657" i="66"/>
  <c r="W595" i="66"/>
  <c r="V545" i="66"/>
  <c r="V572" i="66"/>
  <c r="V659" i="66"/>
  <c r="W541" i="66"/>
  <c r="W573" i="66"/>
  <c r="W576" i="66"/>
  <c r="W781" i="66"/>
  <c r="V770" i="66"/>
  <c r="W639" i="66"/>
  <c r="W775" i="66"/>
  <c r="W551" i="66"/>
  <c r="W535" i="66"/>
  <c r="V552" i="66"/>
  <c r="V734" i="66"/>
  <c r="V720" i="66"/>
  <c r="V653" i="66"/>
  <c r="W758" i="66"/>
  <c r="V727" i="66"/>
  <c r="W713" i="66"/>
  <c r="V597" i="66"/>
  <c r="W607" i="66"/>
  <c r="V657" i="66"/>
  <c r="V595" i="66"/>
  <c r="W545" i="66"/>
  <c r="W572" i="66"/>
  <c r="V541" i="66"/>
  <c r="V573" i="66"/>
  <c r="V576" i="66"/>
  <c r="V782" i="66"/>
  <c r="V781" i="66"/>
  <c r="V639" i="66"/>
  <c r="V775" i="66"/>
  <c r="V551" i="66"/>
  <c r="V535" i="66"/>
  <c r="W552" i="66"/>
  <c r="W734" i="66"/>
  <c r="W720" i="66"/>
  <c r="W653" i="66"/>
  <c r="V758" i="66"/>
  <c r="W727" i="66"/>
  <c r="W584" i="66"/>
  <c r="W571" i="66"/>
  <c r="V604" i="66"/>
  <c r="V554" i="66"/>
  <c r="W598" i="66"/>
  <c r="W636" i="66"/>
  <c r="V605" i="66"/>
  <c r="W700" i="66"/>
  <c r="V730" i="66"/>
  <c r="V622" i="66"/>
  <c r="V575" i="66"/>
  <c r="W638" i="66"/>
  <c r="V671" i="66"/>
  <c r="W709" i="66"/>
  <c r="W725" i="66"/>
  <c r="V701" i="66"/>
  <c r="V660" i="66"/>
  <c r="V533" i="66"/>
  <c r="W661" i="66"/>
  <c r="V528" i="66"/>
  <c r="W731" i="66"/>
  <c r="V584" i="66"/>
  <c r="V571" i="66"/>
  <c r="W604" i="66"/>
  <c r="W554" i="66"/>
  <c r="V598" i="66"/>
  <c r="V636" i="66"/>
  <c r="W605" i="66"/>
  <c r="V700" i="66"/>
  <c r="W730" i="66"/>
  <c r="W622" i="66"/>
  <c r="W575" i="66"/>
  <c r="V638" i="66"/>
  <c r="W671" i="66"/>
  <c r="V709" i="66"/>
  <c r="V725" i="66"/>
  <c r="W701" i="66"/>
  <c r="W660" i="66"/>
  <c r="W533" i="66"/>
  <c r="V661" i="66"/>
  <c r="W528" i="66"/>
  <c r="W744" i="66"/>
  <c r="V731" i="66"/>
  <c r="N786" i="66"/>
  <c r="I786" i="66"/>
  <c r="V786" i="66"/>
  <c r="Y787" i="66"/>
  <c r="Z787" i="66" s="1"/>
  <c r="AC787" i="66" s="1"/>
  <c r="T787" i="66" s="1"/>
  <c r="U787" i="66" s="1"/>
  <c r="K786" i="66"/>
  <c r="H787" i="66"/>
  <c r="V787" i="66" s="1"/>
  <c r="G788" i="66"/>
  <c r="E789" i="66"/>
  <c r="F788" i="66"/>
  <c r="S786" i="66"/>
  <c r="P787" i="66"/>
  <c r="D788" i="66"/>
  <c r="AE68" i="44"/>
  <c r="AF68" i="44" s="1"/>
  <c r="AG68" i="44" s="1"/>
  <c r="AA68" i="44"/>
  <c r="AB68" i="44" s="1"/>
  <c r="AD69" i="44"/>
  <c r="AJ69" i="44"/>
  <c r="AK69" i="44" s="1"/>
  <c r="Z69" i="44"/>
  <c r="Y70" i="44"/>
  <c r="AM68" i="44"/>
  <c r="AN68" i="44" s="1"/>
  <c r="AL68" i="44"/>
  <c r="K787" i="66" l="1"/>
  <c r="W787" i="66"/>
  <c r="Y788" i="66"/>
  <c r="Z788" i="66" s="1"/>
  <c r="AC788" i="66" s="1"/>
  <c r="T788" i="66" s="1"/>
  <c r="U788" i="66" s="1"/>
  <c r="I787" i="66"/>
  <c r="N787" i="66"/>
  <c r="H788" i="66"/>
  <c r="I788" i="66" s="1"/>
  <c r="G789" i="66"/>
  <c r="E790" i="66"/>
  <c r="F789" i="66"/>
  <c r="S787" i="66"/>
  <c r="Y71" i="44"/>
  <c r="AD70" i="44"/>
  <c r="AJ70" i="44"/>
  <c r="AK70" i="44" s="1"/>
  <c r="Z70" i="44"/>
  <c r="AA69" i="44"/>
  <c r="AB69" i="44" s="1"/>
  <c r="AE69" i="44"/>
  <c r="AF69" i="44" s="1"/>
  <c r="AG69" i="44" s="1"/>
  <c r="D789" i="66"/>
  <c r="P788" i="66"/>
  <c r="AL69" i="44"/>
  <c r="AM69" i="44"/>
  <c r="AN69" i="44" s="1"/>
  <c r="Y789" i="66" l="1"/>
  <c r="Z789" i="66" s="1"/>
  <c r="AC789" i="66" s="1"/>
  <c r="T789" i="66" s="1"/>
  <c r="U789" i="66" s="1"/>
  <c r="V788" i="66"/>
  <c r="N788" i="66"/>
  <c r="K788" i="66"/>
  <c r="W788" i="66"/>
  <c r="F790" i="66"/>
  <c r="G790" i="66"/>
  <c r="E791" i="66"/>
  <c r="H789" i="66"/>
  <c r="S788" i="66"/>
  <c r="Z71" i="44"/>
  <c r="Y72" i="44"/>
  <c r="AJ71" i="44"/>
  <c r="AK71" i="44" s="1"/>
  <c r="AD71" i="44"/>
  <c r="AE70" i="44"/>
  <c r="AF70" i="44" s="1"/>
  <c r="AG70" i="44" s="1"/>
  <c r="AA70" i="44"/>
  <c r="AB70" i="44" s="1"/>
  <c r="P789" i="66"/>
  <c r="D790" i="66"/>
  <c r="AM70" i="44"/>
  <c r="AN70" i="44" s="1"/>
  <c r="AL70" i="44"/>
  <c r="Y790" i="66" l="1"/>
  <c r="Z790" i="66" s="1"/>
  <c r="AC790" i="66" s="1"/>
  <c r="T790" i="66" s="1"/>
  <c r="U790" i="66" s="1"/>
  <c r="H790" i="66"/>
  <c r="K790" i="66" s="1"/>
  <c r="V789" i="66"/>
  <c r="I789" i="66"/>
  <c r="N789" i="66"/>
  <c r="K789" i="66"/>
  <c r="W789" i="66"/>
  <c r="W790" i="66"/>
  <c r="G791" i="66"/>
  <c r="F791" i="66"/>
  <c r="E792" i="66"/>
  <c r="N790" i="66"/>
  <c r="S789" i="66"/>
  <c r="AL71" i="44"/>
  <c r="AM71" i="44"/>
  <c r="AN71" i="44" s="1"/>
  <c r="P790" i="66"/>
  <c r="D791" i="66"/>
  <c r="Y73" i="44"/>
  <c r="Z72" i="44"/>
  <c r="AJ72" i="44"/>
  <c r="AK72" i="44" s="1"/>
  <c r="AD72" i="44"/>
  <c r="AE71" i="44"/>
  <c r="AF71" i="44" s="1"/>
  <c r="AG71" i="44" s="1"/>
  <c r="AA71" i="44"/>
  <c r="AB71" i="44" s="1"/>
  <c r="Y791" i="66" l="1"/>
  <c r="Z791" i="66" s="1"/>
  <c r="AC791" i="66" s="1"/>
  <c r="T791" i="66" s="1"/>
  <c r="U791" i="66" s="1"/>
  <c r="I790" i="66"/>
  <c r="V790" i="66"/>
  <c r="H791" i="66"/>
  <c r="V791" i="66" s="1"/>
  <c r="F792" i="66"/>
  <c r="G792" i="66"/>
  <c r="E793" i="66"/>
  <c r="S790" i="66"/>
  <c r="AM72" i="44"/>
  <c r="AN72" i="44" s="1"/>
  <c r="AL72" i="44"/>
  <c r="AJ73" i="44"/>
  <c r="AK73" i="44" s="1"/>
  <c r="Z73" i="44"/>
  <c r="Y74" i="44"/>
  <c r="AD73" i="44"/>
  <c r="AA72" i="44"/>
  <c r="AB72" i="44" s="1"/>
  <c r="AE72" i="44"/>
  <c r="AF72" i="44" s="1"/>
  <c r="AG72" i="44" s="1"/>
  <c r="P791" i="66"/>
  <c r="D792" i="66"/>
  <c r="Y792" i="66" l="1"/>
  <c r="Z792" i="66" s="1"/>
  <c r="AC792" i="66" s="1"/>
  <c r="T792" i="66" s="1"/>
  <c r="U792" i="66" s="1"/>
  <c r="I791" i="66"/>
  <c r="K791" i="66"/>
  <c r="W791" i="66"/>
  <c r="N791" i="66"/>
  <c r="H792" i="66"/>
  <c r="W792" i="66" s="1"/>
  <c r="F793" i="66"/>
  <c r="E794" i="66"/>
  <c r="G793" i="66"/>
  <c r="S791" i="66"/>
  <c r="AE73" i="44"/>
  <c r="AF73" i="44" s="1"/>
  <c r="AG73" i="44" s="1"/>
  <c r="AA73" i="44"/>
  <c r="AB73" i="44" s="1"/>
  <c r="AL73" i="44"/>
  <c r="AM73" i="44"/>
  <c r="AN73" i="44" s="1"/>
  <c r="P792" i="66"/>
  <c r="D793" i="66"/>
  <c r="AJ74" i="44"/>
  <c r="AK74" i="44" s="1"/>
  <c r="Z74" i="44"/>
  <c r="AD74" i="44"/>
  <c r="Y75" i="44"/>
  <c r="Y793" i="66" l="1"/>
  <c r="Z793" i="66" s="1"/>
  <c r="K792" i="66"/>
  <c r="N792" i="66"/>
  <c r="V792" i="66"/>
  <c r="I792" i="66"/>
  <c r="F794" i="66"/>
  <c r="E795" i="66"/>
  <c r="G794" i="66"/>
  <c r="H793" i="66"/>
  <c r="S792" i="66"/>
  <c r="AL74" i="44"/>
  <c r="AM74" i="44"/>
  <c r="AN74" i="44" s="1"/>
  <c r="P793" i="66"/>
  <c r="D794" i="66"/>
  <c r="AD75" i="44"/>
  <c r="Y76" i="44"/>
  <c r="Z75" i="44"/>
  <c r="AJ75" i="44"/>
  <c r="AK75" i="44" s="1"/>
  <c r="AA74" i="44"/>
  <c r="AB74" i="44" s="1"/>
  <c r="AE74" i="44"/>
  <c r="AF74" i="44" s="1"/>
  <c r="AG74" i="44" s="1"/>
  <c r="AC793" i="66" l="1"/>
  <c r="T793" i="66" s="1"/>
  <c r="U793" i="66" s="1"/>
  <c r="Y794" i="66"/>
  <c r="Z794" i="66" s="1"/>
  <c r="G795" i="66"/>
  <c r="F795" i="66"/>
  <c r="E796" i="66"/>
  <c r="V793" i="66"/>
  <c r="K793" i="66"/>
  <c r="I793" i="66"/>
  <c r="W793" i="66"/>
  <c r="N793" i="66"/>
  <c r="H794" i="66"/>
  <c r="W794" i="66" s="1"/>
  <c r="S793" i="66"/>
  <c r="AE75" i="44"/>
  <c r="AA75" i="44"/>
  <c r="AB75" i="44" s="1"/>
  <c r="Z76" i="44"/>
  <c r="AD76" i="44"/>
  <c r="AJ76" i="44"/>
  <c r="AK76" i="44" s="1"/>
  <c r="P794" i="66"/>
  <c r="D795" i="66"/>
  <c r="AL75" i="44"/>
  <c r="AM75" i="44"/>
  <c r="AN75" i="44" s="1"/>
  <c r="Y795" i="66" l="1"/>
  <c r="Z795" i="66" s="1"/>
  <c r="AC794" i="66"/>
  <c r="T794" i="66" s="1"/>
  <c r="U794" i="66" s="1"/>
  <c r="E797" i="66"/>
  <c r="G796" i="66"/>
  <c r="F796" i="66"/>
  <c r="V794" i="66"/>
  <c r="K794" i="66"/>
  <c r="I794" i="66"/>
  <c r="N794" i="66"/>
  <c r="H795" i="66"/>
  <c r="S794" i="66"/>
  <c r="AL76" i="44"/>
  <c r="AM76" i="44"/>
  <c r="AN76" i="44" s="1"/>
  <c r="AE76" i="44"/>
  <c r="AA76" i="44"/>
  <c r="AB76" i="44" s="1"/>
  <c r="P795" i="66"/>
  <c r="D796" i="66"/>
  <c r="AF75" i="44"/>
  <c r="AG75" i="44" s="1"/>
  <c r="H796" i="66" l="1"/>
  <c r="N796" i="66" s="1"/>
  <c r="AC795" i="66"/>
  <c r="T795" i="66" s="1"/>
  <c r="U795" i="66" s="1"/>
  <c r="Y796" i="66"/>
  <c r="Z796" i="66" s="1"/>
  <c r="AC796" i="66" s="1"/>
  <c r="T796" i="66" s="1"/>
  <c r="U796" i="66" s="1"/>
  <c r="N795" i="66"/>
  <c r="I795" i="66"/>
  <c r="K795" i="66"/>
  <c r="W796" i="66"/>
  <c r="W795" i="66"/>
  <c r="V796" i="66"/>
  <c r="V795" i="66"/>
  <c r="F797" i="66"/>
  <c r="G797" i="66"/>
  <c r="E798" i="66"/>
  <c r="S795" i="66"/>
  <c r="D797" i="66"/>
  <c r="P796" i="66"/>
  <c r="AF76" i="44"/>
  <c r="AG76" i="44" s="1"/>
  <c r="AG78" i="44" s="1"/>
  <c r="AF9" i="44" s="1"/>
  <c r="AP21" i="66" s="1"/>
  <c r="AP36" i="44"/>
  <c r="AQ36" i="44" s="1"/>
  <c r="AR36" i="44" s="1"/>
  <c r="AP51" i="44"/>
  <c r="AQ51" i="44" s="1"/>
  <c r="AR51" i="44" s="1"/>
  <c r="AP28" i="44"/>
  <c r="AQ28" i="44" s="1"/>
  <c r="AR28" i="44" s="1"/>
  <c r="AP49" i="44"/>
  <c r="AQ49" i="44" s="1"/>
  <c r="AR49" i="44" s="1"/>
  <c r="AP21" i="44"/>
  <c r="AQ21" i="44" s="1"/>
  <c r="AR21" i="44" s="1"/>
  <c r="AP56" i="44"/>
  <c r="AQ56" i="44" s="1"/>
  <c r="AR56" i="44" s="1"/>
  <c r="AP67" i="44"/>
  <c r="AQ67" i="44" s="1"/>
  <c r="AR67" i="44" s="1"/>
  <c r="AP19" i="44"/>
  <c r="AQ19" i="44" s="1"/>
  <c r="AR19" i="44" s="1"/>
  <c r="AP29" i="44"/>
  <c r="AQ29" i="44" s="1"/>
  <c r="AR29" i="44" s="1"/>
  <c r="AP63" i="44"/>
  <c r="AQ63" i="44" s="1"/>
  <c r="AR63" i="44" s="1"/>
  <c r="AP68" i="44"/>
  <c r="AQ68" i="44" s="1"/>
  <c r="AR68" i="44" s="1"/>
  <c r="AP34" i="44"/>
  <c r="AQ34" i="44" s="1"/>
  <c r="AR34" i="44" s="1"/>
  <c r="AP33" i="44"/>
  <c r="AQ33" i="44" s="1"/>
  <c r="AR33" i="44" s="1"/>
  <c r="AP26" i="44"/>
  <c r="AQ26" i="44" s="1"/>
  <c r="AR26" i="44" s="1"/>
  <c r="AP43" i="44"/>
  <c r="AQ43" i="44" s="1"/>
  <c r="AR43" i="44" s="1"/>
  <c r="AP66" i="44"/>
  <c r="AQ66" i="44" s="1"/>
  <c r="AR66" i="44" s="1"/>
  <c r="AP73" i="44"/>
  <c r="AQ73" i="44" s="1"/>
  <c r="AR73" i="44" s="1"/>
  <c r="AP22" i="44"/>
  <c r="AQ22" i="44" s="1"/>
  <c r="AR22" i="44" s="1"/>
  <c r="AP41" i="44"/>
  <c r="AQ41" i="44" s="1"/>
  <c r="AR41" i="44" s="1"/>
  <c r="AP72" i="44"/>
  <c r="AQ72" i="44" s="1"/>
  <c r="AR72" i="44" s="1"/>
  <c r="AP16" i="44"/>
  <c r="AQ16" i="44" s="1"/>
  <c r="AR16" i="44" s="1"/>
  <c r="AP47" i="44"/>
  <c r="AQ47" i="44" s="1"/>
  <c r="AR47" i="44" s="1"/>
  <c r="AP23" i="44"/>
  <c r="AQ23" i="44" s="1"/>
  <c r="AR23" i="44" s="1"/>
  <c r="AP58" i="44"/>
  <c r="AQ58" i="44" s="1"/>
  <c r="AR58" i="44" s="1"/>
  <c r="AP62" i="44"/>
  <c r="AQ62" i="44" s="1"/>
  <c r="AR62" i="44" s="1"/>
  <c r="AP38" i="44"/>
  <c r="AQ38" i="44" s="1"/>
  <c r="AR38" i="44" s="1"/>
  <c r="AP35" i="44"/>
  <c r="AQ35" i="44" s="1"/>
  <c r="AR35" i="44" s="1"/>
  <c r="AP31" i="44"/>
  <c r="AQ31" i="44" s="1"/>
  <c r="AR31" i="44" s="1"/>
  <c r="AP74" i="44"/>
  <c r="AQ74" i="44" s="1"/>
  <c r="AR74" i="44" s="1"/>
  <c r="AP25" i="44"/>
  <c r="AQ25" i="44" s="1"/>
  <c r="AR25" i="44" s="1"/>
  <c r="AP24" i="44"/>
  <c r="AQ24" i="44" s="1"/>
  <c r="AR24" i="44" s="1"/>
  <c r="AP40" i="44"/>
  <c r="AQ40" i="44" s="1"/>
  <c r="AR40" i="44" s="1"/>
  <c r="AP50" i="44"/>
  <c r="AQ50" i="44" s="1"/>
  <c r="AR50" i="44" s="1"/>
  <c r="AP70" i="44"/>
  <c r="AQ70" i="44" s="1"/>
  <c r="AR70" i="44" s="1"/>
  <c r="AP75" i="44"/>
  <c r="AQ75" i="44" s="1"/>
  <c r="AR75" i="44" s="1"/>
  <c r="AP61" i="44"/>
  <c r="AQ61" i="44" s="1"/>
  <c r="AR61" i="44" s="1"/>
  <c r="AP52" i="44"/>
  <c r="AQ52" i="44" s="1"/>
  <c r="AR52" i="44" s="1"/>
  <c r="AP60" i="44"/>
  <c r="AQ60" i="44" s="1"/>
  <c r="AR60" i="44" s="1"/>
  <c r="AP76" i="44"/>
  <c r="AQ76" i="44" s="1"/>
  <c r="AR76" i="44" s="1"/>
  <c r="AP45" i="44"/>
  <c r="AQ45" i="44" s="1"/>
  <c r="AR45" i="44" s="1"/>
  <c r="AP54" i="44"/>
  <c r="AQ54" i="44" s="1"/>
  <c r="AR54" i="44" s="1"/>
  <c r="AP57" i="44"/>
  <c r="AQ57" i="44" s="1"/>
  <c r="AR57" i="44" s="1"/>
  <c r="AP42" i="44"/>
  <c r="AQ42" i="44" s="1"/>
  <c r="AR42" i="44" s="1"/>
  <c r="AP32" i="44"/>
  <c r="AQ32" i="44" s="1"/>
  <c r="AR32" i="44" s="1"/>
  <c r="AP48" i="44"/>
  <c r="AQ48" i="44" s="1"/>
  <c r="AR48" i="44" s="1"/>
  <c r="AP27" i="44"/>
  <c r="AQ27" i="44" s="1"/>
  <c r="AR27" i="44" s="1"/>
  <c r="AP55" i="44"/>
  <c r="AQ55" i="44" s="1"/>
  <c r="AR55" i="44" s="1"/>
  <c r="AP20" i="44"/>
  <c r="AQ20" i="44" s="1"/>
  <c r="AR20" i="44" s="1"/>
  <c r="AP71" i="44"/>
  <c r="AQ71" i="44" s="1"/>
  <c r="AR71" i="44" s="1"/>
  <c r="AP65" i="44"/>
  <c r="AQ65" i="44" s="1"/>
  <c r="AR65" i="44" s="1"/>
  <c r="AP37" i="44"/>
  <c r="AQ37" i="44" s="1"/>
  <c r="AR37" i="44" s="1"/>
  <c r="AP64" i="44"/>
  <c r="AQ64" i="44" s="1"/>
  <c r="AR64" i="44" s="1"/>
  <c r="AP53" i="44"/>
  <c r="AQ53" i="44" s="1"/>
  <c r="AR53" i="44" s="1"/>
  <c r="AP18" i="44"/>
  <c r="AQ18" i="44" s="1"/>
  <c r="AR18" i="44" s="1"/>
  <c r="AP59" i="44"/>
  <c r="AQ59" i="44" s="1"/>
  <c r="AR59" i="44" s="1"/>
  <c r="AP46" i="44"/>
  <c r="AQ46" i="44" s="1"/>
  <c r="AR46" i="44" s="1"/>
  <c r="AP17" i="44"/>
  <c r="AQ17" i="44" s="1"/>
  <c r="AR17" i="44" s="1"/>
  <c r="AP30" i="44"/>
  <c r="AQ30" i="44" s="1"/>
  <c r="AR30" i="44" s="1"/>
  <c r="AP69" i="44"/>
  <c r="AQ69" i="44" s="1"/>
  <c r="AR69" i="44" s="1"/>
  <c r="AP39" i="44"/>
  <c r="AQ39" i="44" s="1"/>
  <c r="AR39" i="44" s="1"/>
  <c r="AP44" i="44"/>
  <c r="AQ44" i="44" s="1"/>
  <c r="AR44" i="44" s="1"/>
  <c r="AR14" i="44"/>
  <c r="AR15" i="44"/>
  <c r="I796" i="66" l="1"/>
  <c r="K796" i="66"/>
  <c r="Y797" i="66"/>
  <c r="Z797" i="66" s="1"/>
  <c r="AC797" i="66" s="1"/>
  <c r="T797" i="66" s="1"/>
  <c r="U797" i="66" s="1"/>
  <c r="H797" i="66"/>
  <c r="V797" i="66" s="1"/>
  <c r="E799" i="66"/>
  <c r="F798" i="66"/>
  <c r="G798" i="66"/>
  <c r="S796" i="66"/>
  <c r="AR11" i="44"/>
  <c r="P797" i="66"/>
  <c r="D798" i="66"/>
  <c r="W797" i="66" l="1"/>
  <c r="I797" i="66"/>
  <c r="Y798" i="66"/>
  <c r="Z798" i="66" s="1"/>
  <c r="AC798" i="66" s="1"/>
  <c r="T798" i="66" s="1"/>
  <c r="U798" i="66" s="1"/>
  <c r="K797" i="66"/>
  <c r="N797" i="66"/>
  <c r="H798" i="66"/>
  <c r="W798" i="66" s="1"/>
  <c r="F799" i="66"/>
  <c r="E800" i="66"/>
  <c r="G799" i="66"/>
  <c r="S797" i="66"/>
  <c r="D799" i="66"/>
  <c r="P798" i="66"/>
  <c r="I883" i="44"/>
  <c r="I884" i="44" s="1"/>
  <c r="AR12" i="44"/>
  <c r="Y799" i="66" l="1"/>
  <c r="Z799" i="66" s="1"/>
  <c r="AC799" i="66" s="1"/>
  <c r="T799" i="66" s="1"/>
  <c r="U799" i="66" s="1"/>
  <c r="H799" i="66"/>
  <c r="W799" i="66" s="1"/>
  <c r="K798" i="66"/>
  <c r="V798" i="66"/>
  <c r="N798" i="66"/>
  <c r="I798" i="66"/>
  <c r="F800" i="66"/>
  <c r="E801" i="66"/>
  <c r="G800" i="66"/>
  <c r="S798" i="66"/>
  <c r="P799" i="66"/>
  <c r="D800" i="66"/>
  <c r="N799" i="66" l="1"/>
  <c r="Y800" i="66"/>
  <c r="Z800" i="66" s="1"/>
  <c r="AC800" i="66" s="1"/>
  <c r="T800" i="66" s="1"/>
  <c r="U800" i="66" s="1"/>
  <c r="I799" i="66"/>
  <c r="K799" i="66"/>
  <c r="V799" i="66"/>
  <c r="H800" i="66"/>
  <c r="I800" i="66" s="1"/>
  <c r="F801" i="66"/>
  <c r="G801" i="66"/>
  <c r="E802" i="66"/>
  <c r="S799" i="66"/>
  <c r="P800" i="66"/>
  <c r="D801" i="66"/>
  <c r="V800" i="66" l="1"/>
  <c r="W800" i="66"/>
  <c r="Y801" i="66"/>
  <c r="Z801" i="66" s="1"/>
  <c r="AC801" i="66" s="1"/>
  <c r="T801" i="66" s="1"/>
  <c r="U801" i="66" s="1"/>
  <c r="N800" i="66"/>
  <c r="K800" i="66"/>
  <c r="H801" i="66"/>
  <c r="I801" i="66" s="1"/>
  <c r="E803" i="66"/>
  <c r="F802" i="66"/>
  <c r="G802" i="66"/>
  <c r="S800" i="66"/>
  <c r="P801" i="66"/>
  <c r="D802" i="66"/>
  <c r="Y802" i="66" l="1"/>
  <c r="Z802" i="66" s="1"/>
  <c r="AC802" i="66" s="1"/>
  <c r="T802" i="66" s="1"/>
  <c r="U802" i="66" s="1"/>
  <c r="N801" i="66"/>
  <c r="W801" i="66"/>
  <c r="V801" i="66"/>
  <c r="K801" i="66"/>
  <c r="H802" i="66"/>
  <c r="F803" i="66"/>
  <c r="G803" i="66"/>
  <c r="E804" i="66"/>
  <c r="S801" i="66"/>
  <c r="D803" i="66"/>
  <c r="P802" i="66"/>
  <c r="Y803" i="66" l="1"/>
  <c r="Z803" i="66" s="1"/>
  <c r="AC803" i="66" s="1"/>
  <c r="T803" i="66" s="1"/>
  <c r="U803" i="66" s="1"/>
  <c r="H803" i="66"/>
  <c r="W803" i="66" s="1"/>
  <c r="E805" i="66"/>
  <c r="F804" i="66"/>
  <c r="G804" i="66"/>
  <c r="V802" i="66"/>
  <c r="W802" i="66"/>
  <c r="K802" i="66"/>
  <c r="N802" i="66"/>
  <c r="I802" i="66"/>
  <c r="S802" i="66"/>
  <c r="D804" i="66"/>
  <c r="P803" i="66"/>
  <c r="Y804" i="66" l="1"/>
  <c r="Z804" i="66" s="1"/>
  <c r="V803" i="66"/>
  <c r="H804" i="66"/>
  <c r="W804" i="66" s="1"/>
  <c r="G805" i="66"/>
  <c r="E806" i="66"/>
  <c r="F805" i="66"/>
  <c r="I803" i="66"/>
  <c r="N803" i="66"/>
  <c r="K803" i="66"/>
  <c r="S803" i="66"/>
  <c r="P804" i="66"/>
  <c r="D805" i="66"/>
  <c r="V804" i="66" l="1"/>
  <c r="AC804" i="66"/>
  <c r="T804" i="66" s="1"/>
  <c r="U804" i="66" s="1"/>
  <c r="Y805" i="66"/>
  <c r="Z805" i="66" s="1"/>
  <c r="H805" i="66"/>
  <c r="V805" i="66" s="1"/>
  <c r="N804" i="66"/>
  <c r="I804" i="66"/>
  <c r="K804" i="66"/>
  <c r="G806" i="66"/>
  <c r="E807" i="66"/>
  <c r="F806" i="66"/>
  <c r="S804" i="66"/>
  <c r="P805" i="66"/>
  <c r="D806" i="66"/>
  <c r="AC805" i="66" l="1"/>
  <c r="T805" i="66" s="1"/>
  <c r="U805" i="66" s="1"/>
  <c r="Y806" i="66"/>
  <c r="Z806" i="66" s="1"/>
  <c r="H806" i="66"/>
  <c r="V806" i="66" s="1"/>
  <c r="F807" i="66"/>
  <c r="E808" i="66"/>
  <c r="G807" i="66"/>
  <c r="W805" i="66"/>
  <c r="K805" i="66"/>
  <c r="I805" i="66"/>
  <c r="N805" i="66"/>
  <c r="S805" i="66"/>
  <c r="D807" i="66"/>
  <c r="P806" i="66"/>
  <c r="AC806" i="66" l="1"/>
  <c r="T806" i="66" s="1"/>
  <c r="U806" i="66" s="1"/>
  <c r="Y807" i="66"/>
  <c r="Z807" i="66" s="1"/>
  <c r="W806" i="66"/>
  <c r="K806" i="66"/>
  <c r="N806" i="66"/>
  <c r="I806" i="66"/>
  <c r="F808" i="66"/>
  <c r="G808" i="66"/>
  <c r="E809" i="66"/>
  <c r="H807" i="66"/>
  <c r="S806" i="66"/>
  <c r="P807" i="66"/>
  <c r="D808" i="66"/>
  <c r="AC807" i="66" l="1"/>
  <c r="T807" i="66" s="1"/>
  <c r="U807" i="66" s="1"/>
  <c r="Y808" i="66"/>
  <c r="Z808" i="66" s="1"/>
  <c r="H808" i="66"/>
  <c r="W808" i="66" s="1"/>
  <c r="K807" i="66"/>
  <c r="I807" i="66"/>
  <c r="N807" i="66"/>
  <c r="W807" i="66"/>
  <c r="V807" i="66"/>
  <c r="G809" i="66"/>
  <c r="E810" i="66"/>
  <c r="F809" i="66"/>
  <c r="S807" i="66"/>
  <c r="D809" i="66"/>
  <c r="P808" i="66"/>
  <c r="AC808" i="66" l="1"/>
  <c r="T808" i="66" s="1"/>
  <c r="U808" i="66" s="1"/>
  <c r="Y809" i="66"/>
  <c r="Z809" i="66" s="1"/>
  <c r="V808" i="66"/>
  <c r="H809" i="66"/>
  <c r="I809" i="66" s="1"/>
  <c r="G810" i="66"/>
  <c r="E811" i="66"/>
  <c r="F810" i="66"/>
  <c r="N808" i="66"/>
  <c r="I808" i="66"/>
  <c r="K808" i="66"/>
  <c r="S808" i="66"/>
  <c r="D810" i="66"/>
  <c r="P809" i="66"/>
  <c r="AC809" i="66" l="1"/>
  <c r="T809" i="66" s="1"/>
  <c r="U809" i="66" s="1"/>
  <c r="Y810" i="66"/>
  <c r="Z810" i="66" s="1"/>
  <c r="W809" i="66"/>
  <c r="V809" i="66"/>
  <c r="H810" i="66"/>
  <c r="K810" i="66" s="1"/>
  <c r="K809" i="66"/>
  <c r="N809" i="66"/>
  <c r="E812" i="66"/>
  <c r="G811" i="66"/>
  <c r="F811" i="66"/>
  <c r="S809" i="66"/>
  <c r="D811" i="66"/>
  <c r="P810" i="66"/>
  <c r="N810" i="66" l="1"/>
  <c r="V810" i="66"/>
  <c r="AC810" i="66"/>
  <c r="T810" i="66" s="1"/>
  <c r="U810" i="66" s="1"/>
  <c r="Y811" i="66"/>
  <c r="Z811" i="66" s="1"/>
  <c r="I810" i="66"/>
  <c r="W810" i="66"/>
  <c r="E813" i="66"/>
  <c r="G812" i="66"/>
  <c r="F812" i="66"/>
  <c r="H811" i="66"/>
  <c r="S810" i="66"/>
  <c r="P811" i="66"/>
  <c r="D812" i="66"/>
  <c r="AC811" i="66" l="1"/>
  <c r="T811" i="66" s="1"/>
  <c r="U811" i="66" s="1"/>
  <c r="Y812" i="66"/>
  <c r="Z812" i="66" s="1"/>
  <c r="H812" i="66"/>
  <c r="I812" i="66" s="1"/>
  <c r="V811" i="66"/>
  <c r="N811" i="66"/>
  <c r="I811" i="66"/>
  <c r="K811" i="66"/>
  <c r="W811" i="66"/>
  <c r="E814" i="66"/>
  <c r="G813" i="66"/>
  <c r="F813" i="66"/>
  <c r="S811" i="66"/>
  <c r="D813" i="66"/>
  <c r="P812" i="66"/>
  <c r="V812" i="66" l="1"/>
  <c r="AC812" i="66"/>
  <c r="T812" i="66" s="1"/>
  <c r="U812" i="66" s="1"/>
  <c r="Y813" i="66"/>
  <c r="Z813" i="66" s="1"/>
  <c r="W812" i="66"/>
  <c r="K812" i="66"/>
  <c r="N812" i="66"/>
  <c r="H813" i="66"/>
  <c r="N813" i="66" s="1"/>
  <c r="G814" i="66"/>
  <c r="F814" i="66"/>
  <c r="E815" i="66"/>
  <c r="S812" i="66"/>
  <c r="P813" i="66"/>
  <c r="D814" i="66"/>
  <c r="AC813" i="66" l="1"/>
  <c r="T813" i="66" s="1"/>
  <c r="U813" i="66" s="1"/>
  <c r="Y814" i="66"/>
  <c r="Z814" i="66" s="1"/>
  <c r="V813" i="66"/>
  <c r="K813" i="66"/>
  <c r="I813" i="66"/>
  <c r="W813" i="66"/>
  <c r="H814" i="66"/>
  <c r="V814" i="66" s="1"/>
  <c r="G815" i="66"/>
  <c r="F815" i="66"/>
  <c r="S813" i="66"/>
  <c r="D815" i="66"/>
  <c r="P814" i="66"/>
  <c r="W814" i="66" l="1"/>
  <c r="N814" i="66"/>
  <c r="AC814" i="66"/>
  <c r="T814" i="66" s="1"/>
  <c r="U814" i="66" s="1"/>
  <c r="Y815" i="66"/>
  <c r="Z815" i="66" s="1"/>
  <c r="AC815" i="66" s="1"/>
  <c r="T815" i="66" s="1"/>
  <c r="U815" i="66" s="1"/>
  <c r="I814" i="66"/>
  <c r="K814" i="66"/>
  <c r="H815" i="66"/>
  <c r="W815" i="66" s="1"/>
  <c r="P815" i="66"/>
  <c r="R806" i="66" s="1"/>
  <c r="S814" i="66"/>
  <c r="S815" i="66"/>
  <c r="R20" i="66"/>
  <c r="R21" i="66"/>
  <c r="R22" i="66"/>
  <c r="R25" i="66"/>
  <c r="U25" i="66" s="1"/>
  <c r="R24" i="66"/>
  <c r="R26" i="66"/>
  <c r="R27" i="66"/>
  <c r="R28" i="66"/>
  <c r="R30" i="66"/>
  <c r="U30" i="66" s="1"/>
  <c r="R32" i="66"/>
  <c r="R29" i="66"/>
  <c r="R34" i="66"/>
  <c r="R31" i="66"/>
  <c r="R35" i="66"/>
  <c r="U35" i="66" s="1"/>
  <c r="R33" i="66"/>
  <c r="R37" i="66"/>
  <c r="R38" i="66"/>
  <c r="R36" i="66"/>
  <c r="R39" i="66"/>
  <c r="R40" i="66"/>
  <c r="R43" i="66"/>
  <c r="U43" i="66" s="1"/>
  <c r="R42" i="66"/>
  <c r="R41" i="66"/>
  <c r="R46" i="66"/>
  <c r="U46" i="66" s="1"/>
  <c r="R44" i="66"/>
  <c r="R45" i="66"/>
  <c r="U45" i="66" s="1"/>
  <c r="R47" i="66"/>
  <c r="U47" i="66" s="1"/>
  <c r="R49" i="66"/>
  <c r="U49" i="66" s="1"/>
  <c r="R48" i="66"/>
  <c r="R51" i="66"/>
  <c r="U51" i="66" s="1"/>
  <c r="R50" i="66"/>
  <c r="U50" i="66" s="1"/>
  <c r="R54" i="66"/>
  <c r="R53" i="66"/>
  <c r="U53" i="66" s="1"/>
  <c r="R52" i="66"/>
  <c r="U52" i="66" s="1"/>
  <c r="R55" i="66"/>
  <c r="U55" i="66" s="1"/>
  <c r="R56" i="66"/>
  <c r="R58" i="66"/>
  <c r="R57" i="66"/>
  <c r="R59" i="66"/>
  <c r="R61" i="66"/>
  <c r="U61" i="66" s="1"/>
  <c r="R60" i="66"/>
  <c r="U60" i="66" s="1"/>
  <c r="R62" i="66"/>
  <c r="R65" i="66"/>
  <c r="R63" i="66"/>
  <c r="R64" i="66"/>
  <c r="U64" i="66" s="1"/>
  <c r="R66" i="66"/>
  <c r="R67" i="66"/>
  <c r="R68" i="66"/>
  <c r="R69" i="66"/>
  <c r="U69" i="66" s="1"/>
  <c r="R71" i="66"/>
  <c r="U71" i="66" s="1"/>
  <c r="R72" i="66"/>
  <c r="R70" i="66"/>
  <c r="U70" i="66" s="1"/>
  <c r="R74" i="66"/>
  <c r="U74" i="66" s="1"/>
  <c r="R73" i="66"/>
  <c r="U73" i="66" s="1"/>
  <c r="R76" i="66"/>
  <c r="U76" i="66" s="1"/>
  <c r="R75" i="66"/>
  <c r="U75" i="66" s="1"/>
  <c r="R77" i="66"/>
  <c r="R78" i="66"/>
  <c r="U78" i="66" s="1"/>
  <c r="R79" i="66"/>
  <c r="U79" i="66" s="1"/>
  <c r="R80" i="66"/>
  <c r="R81" i="66"/>
  <c r="U81" i="66" s="1"/>
  <c r="R84" i="66"/>
  <c r="R82" i="66"/>
  <c r="R83" i="66"/>
  <c r="R85" i="66"/>
  <c r="R88" i="66"/>
  <c r="R86" i="66"/>
  <c r="U86" i="66" s="1"/>
  <c r="R87" i="66"/>
  <c r="U87" i="66" s="1"/>
  <c r="R89" i="66"/>
  <c r="U89" i="66" s="1"/>
  <c r="R90" i="66"/>
  <c r="R92" i="66"/>
  <c r="U92" i="66" s="1"/>
  <c r="R91" i="66"/>
  <c r="R94" i="66"/>
  <c r="R93" i="66"/>
  <c r="U93" i="66" s="1"/>
  <c r="R95" i="66"/>
  <c r="U95" i="66" s="1"/>
  <c r="R96" i="66"/>
  <c r="R97" i="66"/>
  <c r="U97" i="66" s="1"/>
  <c r="R100" i="66"/>
  <c r="U100" i="66" s="1"/>
  <c r="R99" i="66"/>
  <c r="R98" i="66"/>
  <c r="U98" i="66" s="1"/>
  <c r="R101" i="66"/>
  <c r="R102" i="66"/>
  <c r="U102" i="66" s="1"/>
  <c r="R103" i="66"/>
  <c r="U103" i="66" s="1"/>
  <c r="R105" i="66"/>
  <c r="R104" i="66"/>
  <c r="R106" i="66"/>
  <c r="U106" i="66" s="1"/>
  <c r="R107" i="66"/>
  <c r="R108" i="66"/>
  <c r="R109" i="66"/>
  <c r="R110" i="66"/>
  <c r="R111" i="66"/>
  <c r="R112" i="66"/>
  <c r="R115" i="66"/>
  <c r="R114" i="66"/>
  <c r="U114" i="66" s="1"/>
  <c r="R113" i="66"/>
  <c r="R117" i="66"/>
  <c r="U117" i="66" s="1"/>
  <c r="R116" i="66"/>
  <c r="U116" i="66" s="1"/>
  <c r="R118" i="66"/>
  <c r="U118" i="66" s="1"/>
  <c r="R121" i="66"/>
  <c r="U121" i="66" s="1"/>
  <c r="R119" i="66"/>
  <c r="U119" i="66" s="1"/>
  <c r="R120" i="66"/>
  <c r="R122" i="66"/>
  <c r="U122" i="66" s="1"/>
  <c r="R123" i="66"/>
  <c r="U123" i="66" s="1"/>
  <c r="R124" i="66"/>
  <c r="R128" i="66"/>
  <c r="U128" i="66" s="1"/>
  <c r="R125" i="66"/>
  <c r="U125" i="66" s="1"/>
  <c r="R126" i="66"/>
  <c r="U126" i="66" s="1"/>
  <c r="R127" i="66"/>
  <c r="R129" i="66"/>
  <c r="R130" i="66"/>
  <c r="R132" i="66"/>
  <c r="R131" i="66"/>
  <c r="U131" i="66" s="1"/>
  <c r="R133" i="66"/>
  <c r="R134" i="66"/>
  <c r="R136" i="66"/>
  <c r="R135" i="66"/>
  <c r="R139" i="66"/>
  <c r="U139" i="66" s="1"/>
  <c r="R137" i="66"/>
  <c r="R138" i="66"/>
  <c r="R141" i="66"/>
  <c r="U141" i="66" s="1"/>
  <c r="R140" i="66"/>
  <c r="U140" i="66" s="1"/>
  <c r="R142" i="66"/>
  <c r="R143" i="66"/>
  <c r="U143" i="66" s="1"/>
  <c r="R144" i="66"/>
  <c r="R146" i="66"/>
  <c r="U146" i="66" s="1"/>
  <c r="R145" i="66"/>
  <c r="R148" i="66"/>
  <c r="R149" i="66"/>
  <c r="U149" i="66" s="1"/>
  <c r="R147" i="66"/>
  <c r="U147" i="66" s="1"/>
  <c r="R150" i="66"/>
  <c r="U150" i="66" s="1"/>
  <c r="R151" i="66"/>
  <c r="U151" i="66" s="1"/>
  <c r="R153" i="66"/>
  <c r="R152" i="66"/>
  <c r="R154" i="66"/>
  <c r="R155" i="66"/>
  <c r="R156" i="66"/>
  <c r="R158" i="66"/>
  <c r="R157" i="66"/>
  <c r="U157" i="66" s="1"/>
  <c r="R159" i="66"/>
  <c r="R160" i="66"/>
  <c r="R161" i="66"/>
  <c r="R162" i="66"/>
  <c r="R163" i="66"/>
  <c r="R164" i="66"/>
  <c r="R165" i="66"/>
  <c r="U165" i="66" s="1"/>
  <c r="R168" i="66"/>
  <c r="R166" i="66"/>
  <c r="R167" i="66"/>
  <c r="U167" i="66" s="1"/>
  <c r="R169" i="66"/>
  <c r="U169" i="66" s="1"/>
  <c r="R172" i="66"/>
  <c r="U172" i="66" s="1"/>
  <c r="R170" i="66"/>
  <c r="U170" i="66" s="1"/>
  <c r="R173" i="66"/>
  <c r="U173" i="66" s="1"/>
  <c r="R174" i="66"/>
  <c r="U174" i="66" s="1"/>
  <c r="R171" i="66"/>
  <c r="R177" i="66"/>
  <c r="U177" i="66" s="1"/>
  <c r="R175" i="66"/>
  <c r="R176" i="66"/>
  <c r="U176" i="66" s="1"/>
  <c r="R178" i="66"/>
  <c r="R179" i="66"/>
  <c r="R181" i="66"/>
  <c r="R180" i="66"/>
  <c r="R182" i="66"/>
  <c r="U182" i="66" s="1"/>
  <c r="R185" i="66"/>
  <c r="U185" i="66" s="1"/>
  <c r="R183" i="66"/>
  <c r="U183" i="66" s="1"/>
  <c r="R186" i="66"/>
  <c r="R184" i="66"/>
  <c r="R187" i="66"/>
  <c r="R188" i="66"/>
  <c r="U188" i="66" s="1"/>
  <c r="R189" i="66"/>
  <c r="R190" i="66"/>
  <c r="R191" i="66"/>
  <c r="U191" i="66" s="1"/>
  <c r="R192" i="66"/>
  <c r="U192" i="66" s="1"/>
  <c r="R193" i="66"/>
  <c r="U193" i="66" s="1"/>
  <c r="R195" i="66"/>
  <c r="U195" i="66" s="1"/>
  <c r="R196" i="66"/>
  <c r="R194" i="66"/>
  <c r="U194" i="66" s="1"/>
  <c r="R197" i="66"/>
  <c r="R198" i="66"/>
  <c r="U198" i="66" s="1"/>
  <c r="R199" i="66"/>
  <c r="R200" i="66"/>
  <c r="R202" i="66"/>
  <c r="R201" i="66"/>
  <c r="R204" i="66"/>
  <c r="R203" i="66"/>
  <c r="R207" i="66"/>
  <c r="R205" i="66"/>
  <c r="R206" i="66"/>
  <c r="R209" i="66"/>
  <c r="R208" i="66"/>
  <c r="R210" i="66"/>
  <c r="U210" i="66" s="1"/>
  <c r="R211" i="66"/>
  <c r="R213" i="66"/>
  <c r="R214" i="66"/>
  <c r="U214" i="66" s="1"/>
  <c r="R212" i="66"/>
  <c r="U212" i="66" s="1"/>
  <c r="R216" i="66"/>
  <c r="U216" i="66" s="1"/>
  <c r="R217" i="66"/>
  <c r="R215" i="66"/>
  <c r="R219" i="66"/>
  <c r="U219" i="66" s="1"/>
  <c r="R218" i="66"/>
  <c r="R221" i="66"/>
  <c r="U221" i="66" s="1"/>
  <c r="R220" i="66"/>
  <c r="U220" i="66" s="1"/>
  <c r="R222" i="66"/>
  <c r="R223" i="66"/>
  <c r="U223" i="66" s="1"/>
  <c r="R224" i="66"/>
  <c r="R227" i="66"/>
  <c r="U227" i="66" s="1"/>
  <c r="R225" i="66"/>
  <c r="R226" i="66"/>
  <c r="R229" i="66"/>
  <c r="R228" i="66"/>
  <c r="R231" i="66"/>
  <c r="R232" i="66"/>
  <c r="R233" i="66"/>
  <c r="R230" i="66"/>
  <c r="R234" i="66"/>
  <c r="R235" i="66"/>
  <c r="U235" i="66" s="1"/>
  <c r="R237" i="66"/>
  <c r="U237" i="66" s="1"/>
  <c r="R236" i="66"/>
  <c r="R238" i="66"/>
  <c r="U238" i="66" s="1"/>
  <c r="R240" i="66"/>
  <c r="R239" i="66"/>
  <c r="U239" i="66" s="1"/>
  <c r="R242" i="66"/>
  <c r="U242" i="66" s="1"/>
  <c r="R243" i="66"/>
  <c r="U243" i="66" s="1"/>
  <c r="R241" i="66"/>
  <c r="R244" i="66"/>
  <c r="R245" i="66"/>
  <c r="U245" i="66" s="1"/>
  <c r="R246" i="66"/>
  <c r="R247" i="66"/>
  <c r="U247" i="66" s="1"/>
  <c r="R251" i="66"/>
  <c r="R249" i="66"/>
  <c r="R248" i="66"/>
  <c r="R250" i="66"/>
  <c r="R253" i="66"/>
  <c r="U253" i="66" s="1"/>
  <c r="R252" i="66"/>
  <c r="R254" i="66"/>
  <c r="R256" i="66"/>
  <c r="U256" i="66" s="1"/>
  <c r="R258" i="66"/>
  <c r="R255" i="66"/>
  <c r="R259" i="66"/>
  <c r="U259" i="66" s="1"/>
  <c r="R257" i="66"/>
  <c r="R260" i="66"/>
  <c r="R261" i="66"/>
  <c r="U261" i="66" s="1"/>
  <c r="R262" i="66"/>
  <c r="R263" i="66"/>
  <c r="U263" i="66" s="1"/>
  <c r="R266" i="66"/>
  <c r="R267" i="66"/>
  <c r="R268" i="66"/>
  <c r="R264" i="66"/>
  <c r="R265" i="66"/>
  <c r="U265" i="66" s="1"/>
  <c r="R269" i="66"/>
  <c r="R271" i="66"/>
  <c r="U271" i="66" s="1"/>
  <c r="R272" i="66"/>
  <c r="U272" i="66" s="1"/>
  <c r="R273" i="66"/>
  <c r="R270" i="66"/>
  <c r="R274" i="66"/>
  <c r="R275" i="66"/>
  <c r="R277" i="66"/>
  <c r="U277" i="66" s="1"/>
  <c r="R276" i="66"/>
  <c r="R279" i="66"/>
  <c r="R280" i="66"/>
  <c r="R278" i="66"/>
  <c r="U278" i="66" s="1"/>
  <c r="R281" i="66"/>
  <c r="R284" i="66"/>
  <c r="U284" i="66" s="1"/>
  <c r="R283" i="66"/>
  <c r="R282" i="66"/>
  <c r="R285" i="66"/>
  <c r="R289" i="66"/>
  <c r="R286" i="66"/>
  <c r="U286" i="66" s="1"/>
  <c r="R287" i="66"/>
  <c r="R288" i="66"/>
  <c r="U288" i="66" s="1"/>
  <c r="R291" i="66"/>
  <c r="R292" i="66"/>
  <c r="R290" i="66"/>
  <c r="U290" i="66" s="1"/>
  <c r="R293" i="66"/>
  <c r="R294" i="66"/>
  <c r="R295" i="66"/>
  <c r="U295" i="66" s="1"/>
  <c r="R296" i="66"/>
  <c r="R299" i="66"/>
  <c r="R297" i="66"/>
  <c r="R300" i="66"/>
  <c r="R301" i="66"/>
  <c r="U301" i="66" s="1"/>
  <c r="R298" i="66"/>
  <c r="R303" i="66"/>
  <c r="R302" i="66"/>
  <c r="U302" i="66" s="1"/>
  <c r="R305" i="66"/>
  <c r="R306" i="66"/>
  <c r="R304" i="66"/>
  <c r="U304" i="66" s="1"/>
  <c r="R308" i="66"/>
  <c r="R307" i="66"/>
  <c r="R309" i="66"/>
  <c r="U309" i="66" s="1"/>
  <c r="R311" i="66"/>
  <c r="U311" i="66" s="1"/>
  <c r="R310" i="66"/>
  <c r="R312" i="66"/>
  <c r="R313" i="66"/>
  <c r="U313" i="66" s="1"/>
  <c r="R315" i="66"/>
  <c r="U315" i="66" s="1"/>
  <c r="R314" i="66"/>
  <c r="R316" i="66"/>
  <c r="U316" i="66" s="1"/>
  <c r="R317" i="66"/>
  <c r="R320" i="66"/>
  <c r="U320" i="66" s="1"/>
  <c r="R319" i="66"/>
  <c r="R321" i="66"/>
  <c r="R318" i="66"/>
  <c r="U318" i="66" s="1"/>
  <c r="R324" i="66"/>
  <c r="R323" i="66"/>
  <c r="U323" i="66" s="1"/>
  <c r="R322" i="66"/>
  <c r="R325" i="66"/>
  <c r="U325" i="66" s="1"/>
  <c r="R326" i="66"/>
  <c r="U326" i="66" s="1"/>
  <c r="R328" i="66"/>
  <c r="R327" i="66"/>
  <c r="R330" i="66"/>
  <c r="R329" i="66"/>
  <c r="R331" i="66"/>
  <c r="U331" i="66" s="1"/>
  <c r="R332" i="66"/>
  <c r="U332" i="66" s="1"/>
  <c r="R334" i="66"/>
  <c r="U334" i="66" s="1"/>
  <c r="R337" i="66"/>
  <c r="R333" i="66"/>
  <c r="R335" i="66"/>
  <c r="R336" i="66"/>
  <c r="R338" i="66"/>
  <c r="R341" i="66"/>
  <c r="U341" i="66" s="1"/>
  <c r="R339" i="66"/>
  <c r="R340" i="66"/>
  <c r="R343" i="66"/>
  <c r="U343" i="66" s="1"/>
  <c r="R342" i="66"/>
  <c r="U342" i="66" s="1"/>
  <c r="R344" i="66"/>
  <c r="R345" i="66"/>
  <c r="R347" i="66"/>
  <c r="R346" i="66"/>
  <c r="R350" i="66"/>
  <c r="U350" i="66" s="1"/>
  <c r="R348" i="66"/>
  <c r="R349" i="66"/>
  <c r="U349" i="66" s="1"/>
  <c r="R351" i="66"/>
  <c r="R352" i="66"/>
  <c r="U352" i="66" s="1"/>
  <c r="R354" i="66"/>
  <c r="R353" i="66"/>
  <c r="R355" i="66"/>
  <c r="U355" i="66" s="1"/>
  <c r="R356" i="66"/>
  <c r="R357" i="66"/>
  <c r="U357" i="66" s="1"/>
  <c r="R359" i="66"/>
  <c r="U359" i="66" s="1"/>
  <c r="R360" i="66"/>
  <c r="R358" i="66"/>
  <c r="R361" i="66"/>
  <c r="U361" i="66" s="1"/>
  <c r="R362" i="66"/>
  <c r="U362" i="66" s="1"/>
  <c r="R366" i="66"/>
  <c r="U366" i="66" s="1"/>
  <c r="R364" i="66"/>
  <c r="R363" i="66"/>
  <c r="U363" i="66" s="1"/>
  <c r="R367" i="66"/>
  <c r="U367" i="66" s="1"/>
  <c r="R365" i="66"/>
  <c r="R369" i="66"/>
  <c r="R368" i="66"/>
  <c r="R371" i="66"/>
  <c r="R370" i="66"/>
  <c r="R372" i="66"/>
  <c r="R375" i="66"/>
  <c r="R373" i="66"/>
  <c r="U373" i="66" s="1"/>
  <c r="R377" i="66"/>
  <c r="R374" i="66"/>
  <c r="U374" i="66" s="1"/>
  <c r="R376" i="66"/>
  <c r="R379" i="66"/>
  <c r="R378" i="66"/>
  <c r="R380" i="66"/>
  <c r="U380" i="66" s="1"/>
  <c r="R381" i="66"/>
  <c r="R383" i="66"/>
  <c r="R385" i="66"/>
  <c r="R382" i="66"/>
  <c r="R384" i="66"/>
  <c r="U384" i="66" s="1"/>
  <c r="R387" i="66"/>
  <c r="R386" i="66"/>
  <c r="U386" i="66" s="1"/>
  <c r="R388" i="66"/>
  <c r="R390" i="66"/>
  <c r="R389" i="66"/>
  <c r="U389" i="66" s="1"/>
  <c r="R391" i="66"/>
  <c r="U391" i="66" s="1"/>
  <c r="R392" i="66"/>
  <c r="R393" i="66"/>
  <c r="R395" i="66"/>
  <c r="R394" i="66"/>
  <c r="R396" i="66"/>
  <c r="R398" i="66"/>
  <c r="U398" i="66" s="1"/>
  <c r="R400" i="66"/>
  <c r="R397" i="66"/>
  <c r="R399" i="66"/>
  <c r="R401" i="66"/>
  <c r="R402" i="66"/>
  <c r="R403" i="66"/>
  <c r="R404" i="66"/>
  <c r="R406" i="66"/>
  <c r="R405" i="66"/>
  <c r="U405" i="66" s="1"/>
  <c r="R407" i="66"/>
  <c r="U407" i="66" s="1"/>
  <c r="R408" i="66"/>
  <c r="R411" i="66"/>
  <c r="R409" i="66"/>
  <c r="U409" i="66" s="1"/>
  <c r="R412" i="66"/>
  <c r="U412" i="66" s="1"/>
  <c r="R410" i="66"/>
  <c r="R413" i="66"/>
  <c r="R414" i="66"/>
  <c r="R416" i="66"/>
  <c r="U416" i="66" s="1"/>
  <c r="R415" i="66"/>
  <c r="R419" i="66"/>
  <c r="R417" i="66"/>
  <c r="R418" i="66"/>
  <c r="R420" i="66"/>
  <c r="R421" i="66"/>
  <c r="U421" i="66" s="1"/>
  <c r="R422" i="66"/>
  <c r="U422" i="66" s="1"/>
  <c r="R423" i="66"/>
  <c r="R424" i="66"/>
  <c r="U424" i="66" s="1"/>
  <c r="R425" i="66"/>
  <c r="R428" i="66"/>
  <c r="R426" i="66"/>
  <c r="R429" i="66"/>
  <c r="U429" i="66" s="1"/>
  <c r="R427" i="66"/>
  <c r="R430" i="66"/>
  <c r="R433" i="66"/>
  <c r="U433" i="66" s="1"/>
  <c r="R431" i="66"/>
  <c r="R432" i="66"/>
  <c r="R434" i="66"/>
  <c r="R435" i="66"/>
  <c r="U435" i="66" s="1"/>
  <c r="R438" i="66"/>
  <c r="R437" i="66"/>
  <c r="R436" i="66"/>
  <c r="U436" i="66" s="1"/>
  <c r="R440" i="66"/>
  <c r="U440" i="66" s="1"/>
  <c r="R439" i="66"/>
  <c r="R443" i="66"/>
  <c r="R441" i="66"/>
  <c r="R442" i="66"/>
  <c r="R444" i="66"/>
  <c r="U444" i="66" s="1"/>
  <c r="R445" i="66"/>
  <c r="U445" i="66" s="1"/>
  <c r="R447" i="66"/>
  <c r="U447" i="66" s="1"/>
  <c r="R446" i="66"/>
  <c r="R448" i="66"/>
  <c r="R449" i="66"/>
  <c r="R450" i="66"/>
  <c r="R451" i="66"/>
  <c r="R455" i="66"/>
  <c r="R452" i="66"/>
  <c r="R453" i="66"/>
  <c r="U453" i="66" s="1"/>
  <c r="R454" i="66"/>
  <c r="R456" i="66"/>
  <c r="R457" i="66"/>
  <c r="R460" i="66"/>
  <c r="U460" i="66" s="1"/>
  <c r="R461" i="66"/>
  <c r="R458" i="66"/>
  <c r="R459" i="66"/>
  <c r="R462" i="66"/>
  <c r="R464" i="66"/>
  <c r="R463" i="66"/>
  <c r="R466" i="66"/>
  <c r="R468" i="66"/>
  <c r="R465" i="66"/>
  <c r="R467" i="66"/>
  <c r="R471" i="66"/>
  <c r="U471" i="66" s="1"/>
  <c r="R469" i="66"/>
  <c r="R470" i="66"/>
  <c r="R473" i="66"/>
  <c r="R474" i="66"/>
  <c r="R472" i="66"/>
  <c r="U472" i="66" s="1"/>
  <c r="R475" i="66"/>
  <c r="R477" i="66"/>
  <c r="R476" i="66"/>
  <c r="R481" i="66"/>
  <c r="R479" i="66"/>
  <c r="R478" i="66"/>
  <c r="R480" i="66"/>
  <c r="R483" i="66"/>
  <c r="R484" i="66"/>
  <c r="R485" i="66"/>
  <c r="U485" i="66" s="1"/>
  <c r="R482" i="66"/>
  <c r="R486" i="66"/>
  <c r="R487" i="66"/>
  <c r="R489" i="66"/>
  <c r="R488" i="66"/>
  <c r="R490" i="66"/>
  <c r="R491" i="66"/>
  <c r="U491" i="66" s="1"/>
  <c r="R492" i="66"/>
  <c r="U492" i="66" s="1"/>
  <c r="R494" i="66"/>
  <c r="R496" i="66"/>
  <c r="U496" i="66" s="1"/>
  <c r="R495" i="66"/>
  <c r="R493" i="66"/>
  <c r="R498" i="66"/>
  <c r="R497" i="66"/>
  <c r="U497" i="66" s="1"/>
  <c r="R499" i="66"/>
  <c r="U499" i="66" s="1"/>
  <c r="R500" i="66"/>
  <c r="U500" i="66" s="1"/>
  <c r="R501" i="66"/>
  <c r="R502" i="66"/>
  <c r="R504" i="66"/>
  <c r="R505" i="66"/>
  <c r="U505" i="66" s="1"/>
  <c r="R503" i="66"/>
  <c r="U503" i="66" s="1"/>
  <c r="R506" i="66"/>
  <c r="R507" i="66"/>
  <c r="R509" i="66"/>
  <c r="R508" i="66"/>
  <c r="R510" i="66"/>
  <c r="R512" i="66"/>
  <c r="R511" i="66"/>
  <c r="U511" i="66" s="1"/>
  <c r="R514" i="66"/>
  <c r="U514" i="66" s="1"/>
  <c r="R513" i="66"/>
  <c r="R516" i="66"/>
  <c r="R515" i="66"/>
  <c r="R517" i="66"/>
  <c r="R518" i="66"/>
  <c r="U518" i="66" s="1"/>
  <c r="R519" i="66"/>
  <c r="R522" i="66"/>
  <c r="U522" i="66" s="1"/>
  <c r="R520" i="66"/>
  <c r="U520" i="66" s="1"/>
  <c r="R521" i="66"/>
  <c r="R523" i="66"/>
  <c r="R525" i="66"/>
  <c r="R528" i="66"/>
  <c r="R524" i="66"/>
  <c r="R527" i="66"/>
  <c r="R526" i="66"/>
  <c r="R529" i="66"/>
  <c r="R530" i="66"/>
  <c r="R531" i="66"/>
  <c r="R532" i="66"/>
  <c r="R533" i="66"/>
  <c r="R534" i="66"/>
  <c r="R535" i="66"/>
  <c r="R537" i="66"/>
  <c r="R536" i="66"/>
  <c r="R538" i="66"/>
  <c r="R541" i="66"/>
  <c r="R539" i="66"/>
  <c r="R540" i="66"/>
  <c r="R542" i="66"/>
  <c r="R543" i="66"/>
  <c r="R545" i="66"/>
  <c r="R546" i="66"/>
  <c r="R547" i="66"/>
  <c r="R544" i="66"/>
  <c r="R548" i="66"/>
  <c r="R552" i="66"/>
  <c r="R549" i="66"/>
  <c r="U549" i="66" s="1"/>
  <c r="R550" i="66"/>
  <c r="R553" i="66"/>
  <c r="R551" i="66"/>
  <c r="R554" i="66"/>
  <c r="R556" i="66"/>
  <c r="U556" i="66" s="1"/>
  <c r="R555" i="66"/>
  <c r="U555" i="66" s="1"/>
  <c r="R559" i="66"/>
  <c r="R557" i="66"/>
  <c r="U557" i="66" s="1"/>
  <c r="R560" i="66"/>
  <c r="R558" i="66"/>
  <c r="R561" i="66"/>
  <c r="U561" i="66" s="1"/>
  <c r="R562" i="66"/>
  <c r="R564" i="66"/>
  <c r="U564" i="66" s="1"/>
  <c r="R563" i="66"/>
  <c r="U563" i="66" s="1"/>
  <c r="R566" i="66"/>
  <c r="R565" i="66"/>
  <c r="R567" i="66"/>
  <c r="R568" i="66"/>
  <c r="U568" i="66" s="1"/>
  <c r="R570" i="66"/>
  <c r="R569" i="66"/>
  <c r="U569" i="66" s="1"/>
  <c r="R572" i="66"/>
  <c r="R571" i="66"/>
  <c r="R574" i="66"/>
  <c r="R573" i="66"/>
  <c r="R575" i="66"/>
  <c r="R578" i="66"/>
  <c r="U578" i="66" s="1"/>
  <c r="R577" i="66"/>
  <c r="R576" i="66"/>
  <c r="R581" i="66"/>
  <c r="R579" i="66"/>
  <c r="R580" i="66"/>
  <c r="R585" i="66"/>
  <c r="R582" i="66"/>
  <c r="U582" i="66" s="1"/>
  <c r="R586" i="66"/>
  <c r="U586" i="66" s="1"/>
  <c r="R583" i="66"/>
  <c r="R584" i="66"/>
  <c r="R588" i="66"/>
  <c r="R587" i="66"/>
  <c r="R589" i="66"/>
  <c r="R590" i="66"/>
  <c r="R592" i="66"/>
  <c r="U592" i="66" s="1"/>
  <c r="R591" i="66"/>
  <c r="R593" i="66"/>
  <c r="R595" i="66"/>
  <c r="R594" i="66"/>
  <c r="R596" i="66"/>
  <c r="R597" i="66"/>
  <c r="R599" i="66"/>
  <c r="R600" i="66"/>
  <c r="U600" i="66" s="1"/>
  <c r="R601" i="66"/>
  <c r="R598" i="66"/>
  <c r="R603" i="66"/>
  <c r="R602" i="66"/>
  <c r="R604" i="66"/>
  <c r="R606" i="66"/>
  <c r="R605" i="66"/>
  <c r="R607" i="66"/>
  <c r="R608" i="66"/>
  <c r="U608" i="66" s="1"/>
  <c r="R609" i="66"/>
  <c r="R610" i="66"/>
  <c r="R611" i="66"/>
  <c r="R613" i="66"/>
  <c r="U613" i="66" s="1"/>
  <c r="R614" i="66"/>
  <c r="R612" i="66"/>
  <c r="R616" i="66"/>
  <c r="U616" i="66" s="1"/>
  <c r="R615" i="66"/>
  <c r="R618" i="66"/>
  <c r="R617" i="66"/>
  <c r="R619" i="66"/>
  <c r="U619" i="66" s="1"/>
  <c r="R620" i="66"/>
  <c r="U620" i="66" s="1"/>
  <c r="R622" i="66"/>
  <c r="R621" i="66"/>
  <c r="R623" i="66"/>
  <c r="R627" i="66"/>
  <c r="U627" i="66" s="1"/>
  <c r="R624" i="66"/>
  <c r="R625" i="66"/>
  <c r="U625" i="66" s="1"/>
  <c r="R626" i="66"/>
  <c r="R628" i="66"/>
  <c r="U628" i="66" s="1"/>
  <c r="R630" i="66"/>
  <c r="R629" i="66"/>
  <c r="R631" i="66"/>
  <c r="R635" i="66"/>
  <c r="R634" i="66"/>
  <c r="R632" i="66"/>
  <c r="R633" i="66"/>
  <c r="U633" i="66" s="1"/>
  <c r="R637" i="66"/>
  <c r="R636" i="66"/>
  <c r="R640" i="66"/>
  <c r="R638" i="66"/>
  <c r="R641" i="66"/>
  <c r="R639" i="66"/>
  <c r="R642" i="66"/>
  <c r="U642" i="66" s="1"/>
  <c r="R643" i="66"/>
  <c r="R644" i="66"/>
  <c r="N815" i="66" l="1"/>
  <c r="V815" i="66"/>
  <c r="I815" i="66"/>
  <c r="R814" i="66"/>
  <c r="R809" i="66"/>
  <c r="R23" i="66"/>
  <c r="U23" i="66" s="1"/>
  <c r="R815" i="66"/>
  <c r="K815" i="66"/>
  <c r="R647" i="66"/>
  <c r="U647" i="66" s="1"/>
  <c r="R649" i="66"/>
  <c r="R650" i="66"/>
  <c r="U650" i="66" s="1"/>
  <c r="R645" i="66"/>
  <c r="R651" i="66"/>
  <c r="R646" i="66"/>
  <c r="U646" i="66" s="1"/>
  <c r="R648" i="66"/>
  <c r="U648" i="66" s="1"/>
  <c r="R652" i="66"/>
  <c r="R654" i="66"/>
  <c r="R653" i="66"/>
  <c r="R657" i="66"/>
  <c r="R655" i="66"/>
  <c r="R656" i="66"/>
  <c r="R658" i="66"/>
  <c r="R659" i="66"/>
  <c r="R660" i="66"/>
  <c r="R663" i="66"/>
  <c r="R661" i="66"/>
  <c r="R664" i="66"/>
  <c r="U664" i="66" s="1"/>
  <c r="R662" i="66"/>
  <c r="R666" i="66"/>
  <c r="R665" i="66"/>
  <c r="R668" i="66"/>
  <c r="R667" i="66"/>
  <c r="R669" i="66"/>
  <c r="R671" i="66"/>
  <c r="R670" i="66"/>
  <c r="R672" i="66"/>
  <c r="R673" i="66"/>
  <c r="R674" i="66"/>
  <c r="R675" i="66"/>
  <c r="R676" i="66"/>
  <c r="R678" i="66"/>
  <c r="R679" i="66"/>
  <c r="U679" i="66" s="1"/>
  <c r="R677" i="66"/>
  <c r="U677" i="66" s="1"/>
  <c r="R680" i="66"/>
  <c r="U680" i="66" s="1"/>
  <c r="R682" i="66"/>
  <c r="R681" i="66"/>
  <c r="U681" i="66" s="1"/>
  <c r="R683" i="66"/>
  <c r="U683" i="66" s="1"/>
  <c r="R685" i="66"/>
  <c r="U685" i="66" s="1"/>
  <c r="R684" i="66"/>
  <c r="U684" i="66" s="1"/>
  <c r="R688" i="66"/>
  <c r="U688" i="66" s="1"/>
  <c r="R686" i="66"/>
  <c r="R687" i="66"/>
  <c r="R689" i="66"/>
  <c r="U689" i="66" s="1"/>
  <c r="R691" i="66"/>
  <c r="U691" i="66" s="1"/>
  <c r="R690" i="66"/>
  <c r="R693" i="66"/>
  <c r="R692" i="66"/>
  <c r="U692" i="66" s="1"/>
  <c r="R695" i="66"/>
  <c r="R694" i="66"/>
  <c r="R696" i="66"/>
  <c r="R697" i="66"/>
  <c r="U697" i="66" s="1"/>
  <c r="R699" i="66"/>
  <c r="R698" i="66"/>
  <c r="R701" i="66"/>
  <c r="R700" i="66"/>
  <c r="R703" i="66"/>
  <c r="R702" i="66"/>
  <c r="R705" i="66"/>
  <c r="R704" i="66"/>
  <c r="R707" i="66"/>
  <c r="R706" i="66"/>
  <c r="U706" i="66" s="1"/>
  <c r="R711" i="66"/>
  <c r="U711" i="66" s="1"/>
  <c r="R708" i="66"/>
  <c r="R710" i="66"/>
  <c r="U710" i="66" s="1"/>
  <c r="R709" i="66"/>
  <c r="R712" i="66"/>
  <c r="R713" i="66"/>
  <c r="R715" i="66"/>
  <c r="R716" i="66"/>
  <c r="R714" i="66"/>
  <c r="U714" i="66" s="1"/>
  <c r="R719" i="66"/>
  <c r="R717" i="66"/>
  <c r="R720" i="66"/>
  <c r="R722" i="66"/>
  <c r="R718" i="66"/>
  <c r="R721" i="66"/>
  <c r="R723" i="66"/>
  <c r="R724" i="66"/>
  <c r="R725" i="66"/>
  <c r="R726" i="66"/>
  <c r="R728" i="66"/>
  <c r="R727" i="66"/>
  <c r="R729" i="66"/>
  <c r="R730" i="66"/>
  <c r="R731" i="66"/>
  <c r="R732" i="66"/>
  <c r="R733" i="66"/>
  <c r="R736" i="66"/>
  <c r="U736" i="66" s="1"/>
  <c r="R737" i="66"/>
  <c r="R734" i="66"/>
  <c r="R735" i="66"/>
  <c r="R739" i="66"/>
  <c r="R738" i="66"/>
  <c r="R740" i="66"/>
  <c r="R742" i="66"/>
  <c r="R743" i="66"/>
  <c r="R741" i="66"/>
  <c r="U741" i="66" s="1"/>
  <c r="R744" i="66"/>
  <c r="R745" i="66"/>
  <c r="R747" i="66"/>
  <c r="U747" i="66" s="1"/>
  <c r="R749" i="66"/>
  <c r="U749" i="66" s="1"/>
  <c r="R746" i="66"/>
  <c r="R748" i="66"/>
  <c r="U748" i="66" s="1"/>
  <c r="R751" i="66"/>
  <c r="R750" i="66"/>
  <c r="R752" i="66"/>
  <c r="R753" i="66"/>
  <c r="U753" i="66" s="1"/>
  <c r="R754" i="66"/>
  <c r="R755" i="66"/>
  <c r="U755" i="66" s="1"/>
  <c r="R758" i="66"/>
  <c r="R756" i="66"/>
  <c r="U756" i="66" s="1"/>
  <c r="R757" i="66"/>
  <c r="R760" i="66"/>
  <c r="R759" i="66"/>
  <c r="R761" i="66"/>
  <c r="U761" i="66" s="1"/>
  <c r="R762" i="66"/>
  <c r="R765" i="66"/>
  <c r="R763" i="66"/>
  <c r="R766" i="66"/>
  <c r="R764" i="66"/>
  <c r="R768" i="66"/>
  <c r="R767" i="66"/>
  <c r="R769" i="66"/>
  <c r="R770" i="66"/>
  <c r="R771" i="66"/>
  <c r="R772" i="66"/>
  <c r="R775" i="66"/>
  <c r="R773" i="66"/>
  <c r="R774" i="66"/>
  <c r="R779" i="66"/>
  <c r="R776" i="66"/>
  <c r="R780" i="66"/>
  <c r="R777" i="66"/>
  <c r="R778" i="66"/>
  <c r="R781" i="66"/>
  <c r="R783" i="66"/>
  <c r="R782" i="66"/>
  <c r="R785" i="66"/>
  <c r="R788" i="66"/>
  <c r="R784" i="66"/>
  <c r="R787" i="66"/>
  <c r="R790" i="66"/>
  <c r="R786" i="66"/>
  <c r="R791" i="66"/>
  <c r="R789" i="66"/>
  <c r="R794" i="66"/>
  <c r="R792" i="66"/>
  <c r="R793" i="66"/>
  <c r="R795" i="66"/>
  <c r="R796" i="66"/>
  <c r="R797" i="66"/>
  <c r="R798" i="66"/>
  <c r="R799" i="66"/>
  <c r="R800" i="66"/>
  <c r="R802" i="66"/>
  <c r="R801" i="66"/>
  <c r="R805" i="66"/>
  <c r="R803" i="66"/>
  <c r="R804" i="66"/>
  <c r="R807" i="66"/>
  <c r="R808" i="66"/>
  <c r="R813" i="66"/>
  <c r="R812" i="66"/>
  <c r="R810" i="66"/>
  <c r="R811" i="66"/>
  <c r="N642" i="66"/>
  <c r="K642" i="66"/>
  <c r="K633" i="66"/>
  <c r="N633" i="66"/>
  <c r="N628" i="66"/>
  <c r="K628" i="66"/>
  <c r="K625" i="66"/>
  <c r="N625" i="66"/>
  <c r="K627" i="66"/>
  <c r="V627" i="66" s="1"/>
  <c r="N627" i="66"/>
  <c r="W627" i="66" s="1"/>
  <c r="N620" i="66"/>
  <c r="K620" i="66"/>
  <c r="N619" i="66"/>
  <c r="W619" i="66" s="1"/>
  <c r="K619" i="66"/>
  <c r="V619" i="66" s="1"/>
  <c r="N616" i="66"/>
  <c r="K616" i="66"/>
  <c r="K613" i="66"/>
  <c r="N613" i="66"/>
  <c r="K608" i="66"/>
  <c r="N608" i="66"/>
  <c r="K600" i="66"/>
  <c r="N600" i="66"/>
  <c r="N592" i="66"/>
  <c r="K592" i="66"/>
  <c r="N586" i="66"/>
  <c r="K586" i="66"/>
  <c r="N582" i="66"/>
  <c r="K582" i="66"/>
  <c r="K578" i="66"/>
  <c r="N578" i="66"/>
  <c r="N569" i="66"/>
  <c r="K569" i="66"/>
  <c r="K568" i="66"/>
  <c r="V568" i="66" s="1"/>
  <c r="N568" i="66"/>
  <c r="W568" i="66" s="1"/>
  <c r="N563" i="66"/>
  <c r="W563" i="66" s="1"/>
  <c r="K563" i="66"/>
  <c r="V563" i="66" s="1"/>
  <c r="N564" i="66"/>
  <c r="K564" i="66"/>
  <c r="K561" i="66"/>
  <c r="N561" i="66"/>
  <c r="N557" i="66"/>
  <c r="K557" i="66"/>
  <c r="K555" i="66"/>
  <c r="V555" i="66" s="1"/>
  <c r="N555" i="66"/>
  <c r="W555" i="66" s="1"/>
  <c r="K556" i="66"/>
  <c r="N556" i="66"/>
  <c r="K549" i="66"/>
  <c r="N549" i="66"/>
  <c r="N520" i="66"/>
  <c r="K520" i="66"/>
  <c r="K522" i="66"/>
  <c r="N522" i="66"/>
  <c r="N518" i="66"/>
  <c r="K518" i="66"/>
  <c r="K514" i="66"/>
  <c r="N514" i="66"/>
  <c r="N511" i="66"/>
  <c r="K511" i="66"/>
  <c r="N503" i="66"/>
  <c r="K503" i="66"/>
  <c r="K505" i="66"/>
  <c r="N505" i="66"/>
  <c r="N500" i="66"/>
  <c r="K500" i="66"/>
  <c r="N499" i="66"/>
  <c r="W499" i="66" s="1"/>
  <c r="K499" i="66"/>
  <c r="V499" i="66" s="1"/>
  <c r="N497" i="66"/>
  <c r="K497" i="66"/>
  <c r="N496" i="66"/>
  <c r="W496" i="66" s="1"/>
  <c r="K496" i="66"/>
  <c r="V496" i="66" s="1"/>
  <c r="K492" i="66"/>
  <c r="N492" i="66"/>
  <c r="N491" i="66"/>
  <c r="W491" i="66" s="1"/>
  <c r="K491" i="66"/>
  <c r="V491" i="66" s="1"/>
  <c r="K485" i="66"/>
  <c r="N485" i="66"/>
  <c r="K472" i="66"/>
  <c r="N472" i="66"/>
  <c r="N471" i="66"/>
  <c r="W471" i="66" s="1"/>
  <c r="K471" i="66"/>
  <c r="V471" i="66" s="1"/>
  <c r="N761" i="66" l="1"/>
  <c r="K761" i="66"/>
  <c r="K756" i="66"/>
  <c r="N756" i="66"/>
  <c r="N753" i="66"/>
  <c r="K753" i="66"/>
  <c r="N748" i="66"/>
  <c r="E14" i="66" s="1"/>
  <c r="AQ14" i="66" s="1"/>
  <c r="K748" i="66"/>
  <c r="K755" i="66"/>
  <c r="V755" i="66" s="1"/>
  <c r="N755" i="66"/>
  <c r="W755" i="66" s="1"/>
  <c r="K749" i="66"/>
  <c r="E13" i="66" s="1"/>
  <c r="AO14" i="66" s="1"/>
  <c r="N749" i="66"/>
  <c r="K741" i="66"/>
  <c r="N741" i="66"/>
  <c r="K747" i="66"/>
  <c r="V747" i="66" s="1"/>
  <c r="N747" i="66"/>
  <c r="W747" i="66" s="1"/>
  <c r="K736" i="66"/>
  <c r="N736" i="66"/>
  <c r="V556" i="66"/>
  <c r="K714" i="66"/>
  <c r="N714" i="66"/>
  <c r="K711" i="66"/>
  <c r="N711" i="66"/>
  <c r="K685" i="66"/>
  <c r="N685" i="66"/>
  <c r="N680" i="66"/>
  <c r="K680" i="66"/>
  <c r="W556" i="66"/>
  <c r="N706" i="66"/>
  <c r="K706" i="66"/>
  <c r="K683" i="66"/>
  <c r="V683" i="66" s="1"/>
  <c r="N683" i="66"/>
  <c r="W683" i="66" s="1"/>
  <c r="N677" i="66"/>
  <c r="K677" i="66"/>
  <c r="K664" i="66"/>
  <c r="N664" i="66"/>
  <c r="K648" i="66"/>
  <c r="N648" i="66"/>
  <c r="N650" i="66"/>
  <c r="K650" i="66"/>
  <c r="N710" i="66"/>
  <c r="W710" i="66" s="1"/>
  <c r="K710" i="66"/>
  <c r="V710" i="66" s="1"/>
  <c r="K691" i="66"/>
  <c r="V691" i="66" s="1"/>
  <c r="N691" i="66"/>
  <c r="W691" i="66" s="1"/>
  <c r="N688" i="66"/>
  <c r="W688" i="66" s="1"/>
  <c r="K688" i="66"/>
  <c r="V688" i="66" s="1"/>
  <c r="K681" i="66"/>
  <c r="N681" i="66"/>
  <c r="N679" i="66"/>
  <c r="W679" i="66" s="1"/>
  <c r="K679" i="66"/>
  <c r="V679" i="66" s="1"/>
  <c r="N646" i="66"/>
  <c r="W646" i="66" s="1"/>
  <c r="K646" i="66"/>
  <c r="V646" i="66" s="1"/>
  <c r="N697" i="66"/>
  <c r="K697" i="66"/>
  <c r="K692" i="66"/>
  <c r="N692" i="66"/>
  <c r="K689" i="66"/>
  <c r="N689" i="66"/>
  <c r="N684" i="66"/>
  <c r="K684" i="66"/>
  <c r="K647" i="66"/>
  <c r="N647" i="66"/>
  <c r="W472" i="66"/>
  <c r="W473" i="66"/>
  <c r="V472" i="66"/>
  <c r="V473" i="66"/>
  <c r="W485" i="66"/>
  <c r="W486" i="66"/>
  <c r="V485" i="66"/>
  <c r="V486" i="66"/>
  <c r="W492" i="66"/>
  <c r="W493" i="66"/>
  <c r="V492" i="66"/>
  <c r="V493" i="66"/>
  <c r="V497" i="66"/>
  <c r="V498" i="66"/>
  <c r="W497" i="66"/>
  <c r="W498" i="66"/>
  <c r="V500" i="66"/>
  <c r="V501" i="66"/>
  <c r="W500" i="66"/>
  <c r="W501" i="66"/>
  <c r="W505" i="66"/>
  <c r="W506" i="66"/>
  <c r="V505" i="66"/>
  <c r="V506" i="66"/>
  <c r="V503" i="66"/>
  <c r="V504" i="66"/>
  <c r="W503" i="66"/>
  <c r="W504" i="66"/>
  <c r="V511" i="66"/>
  <c r="V512" i="66"/>
  <c r="W511" i="66"/>
  <c r="W512" i="66"/>
  <c r="W514" i="66"/>
  <c r="W515" i="66"/>
  <c r="V514" i="66"/>
  <c r="V515" i="66"/>
  <c r="V518" i="66"/>
  <c r="V519" i="66"/>
  <c r="W518" i="66"/>
  <c r="W519" i="66"/>
  <c r="W522" i="66"/>
  <c r="W523" i="66"/>
  <c r="V522" i="66"/>
  <c r="V523" i="66"/>
  <c r="V520" i="66"/>
  <c r="V521" i="66"/>
  <c r="W520" i="66"/>
  <c r="W521" i="66"/>
  <c r="W549" i="66"/>
  <c r="W550" i="66"/>
  <c r="V549" i="66"/>
  <c r="V550" i="66"/>
  <c r="V557" i="66"/>
  <c r="V558" i="66"/>
  <c r="W557" i="66"/>
  <c r="W558" i="66"/>
  <c r="W561" i="66"/>
  <c r="W562" i="66"/>
  <c r="V561" i="66"/>
  <c r="V562" i="66"/>
  <c r="V564" i="66"/>
  <c r="V565" i="66"/>
  <c r="W564" i="66"/>
  <c r="W565" i="66"/>
  <c r="V569" i="66"/>
  <c r="V570" i="66"/>
  <c r="W569" i="66"/>
  <c r="W570" i="66"/>
  <c r="W578" i="66"/>
  <c r="W579" i="66"/>
  <c r="V578" i="66"/>
  <c r="V579" i="66"/>
  <c r="V582" i="66"/>
  <c r="V583" i="66"/>
  <c r="W582" i="66"/>
  <c r="W583" i="66"/>
  <c r="V586" i="66"/>
  <c r="V587" i="66"/>
  <c r="W586" i="66"/>
  <c r="W587" i="66"/>
  <c r="V592" i="66"/>
  <c r="V593" i="66"/>
  <c r="W592" i="66"/>
  <c r="W593" i="66"/>
  <c r="W600" i="66"/>
  <c r="W601" i="66"/>
  <c r="V600" i="66"/>
  <c r="V601" i="66"/>
  <c r="W608" i="66"/>
  <c r="W609" i="66"/>
  <c r="V608" i="66"/>
  <c r="V609" i="66"/>
  <c r="W613" i="66"/>
  <c r="W614" i="66"/>
  <c r="V613" i="66"/>
  <c r="V614" i="66"/>
  <c r="V616" i="66"/>
  <c r="V617" i="66"/>
  <c r="W616" i="66"/>
  <c r="W617" i="66"/>
  <c r="V620" i="66"/>
  <c r="V621" i="66"/>
  <c r="W620" i="66"/>
  <c r="W621" i="66"/>
  <c r="W625" i="66"/>
  <c r="W626" i="66"/>
  <c r="V625" i="66"/>
  <c r="V626" i="66"/>
  <c r="V628" i="66"/>
  <c r="V629" i="66"/>
  <c r="W628" i="66"/>
  <c r="W629" i="66"/>
  <c r="W633" i="66"/>
  <c r="W634" i="66"/>
  <c r="V633" i="66"/>
  <c r="V634" i="66"/>
  <c r="V642" i="66"/>
  <c r="V643" i="66"/>
  <c r="W642" i="66"/>
  <c r="W643" i="66"/>
  <c r="W684" i="66" l="1"/>
  <c r="V647" i="66"/>
  <c r="W749" i="66"/>
  <c r="W750" i="66"/>
  <c r="V748" i="66"/>
  <c r="W756" i="66"/>
  <c r="W757" i="66"/>
  <c r="V749" i="66"/>
  <c r="V750" i="66"/>
  <c r="W748" i="66"/>
  <c r="V756" i="66"/>
  <c r="V757" i="66"/>
  <c r="W736" i="66"/>
  <c r="W737" i="66"/>
  <c r="W741" i="66"/>
  <c r="W742" i="66"/>
  <c r="V753" i="66"/>
  <c r="V754" i="66"/>
  <c r="V761" i="66"/>
  <c r="V762" i="66"/>
  <c r="V736" i="66"/>
  <c r="V737" i="66"/>
  <c r="V741" i="66"/>
  <c r="V742" i="66"/>
  <c r="W753" i="66"/>
  <c r="W754" i="66"/>
  <c r="W761" i="66"/>
  <c r="W762" i="66"/>
  <c r="W647" i="66"/>
  <c r="V689" i="66"/>
  <c r="V690" i="66"/>
  <c r="W697" i="66"/>
  <c r="W698" i="66"/>
  <c r="V648" i="66"/>
  <c r="V649" i="66"/>
  <c r="W677" i="66"/>
  <c r="W678" i="66"/>
  <c r="W706" i="66"/>
  <c r="W707" i="66"/>
  <c r="W685" i="66"/>
  <c r="W686" i="66"/>
  <c r="W714" i="66"/>
  <c r="W715" i="66"/>
  <c r="V684" i="66"/>
  <c r="W692" i="66"/>
  <c r="W693" i="66"/>
  <c r="W681" i="66"/>
  <c r="W682" i="66"/>
  <c r="V650" i="66"/>
  <c r="V651" i="66"/>
  <c r="W664" i="66"/>
  <c r="W665" i="66"/>
  <c r="V685" i="66"/>
  <c r="V686" i="66"/>
  <c r="V714" i="66"/>
  <c r="V715" i="66"/>
  <c r="V692" i="66"/>
  <c r="V693" i="66"/>
  <c r="V681" i="66"/>
  <c r="V682" i="66"/>
  <c r="W650" i="66"/>
  <c r="W651" i="66"/>
  <c r="V664" i="66"/>
  <c r="V665" i="66"/>
  <c r="V680" i="66"/>
  <c r="W711" i="66"/>
  <c r="W712" i="66"/>
  <c r="W689" i="66"/>
  <c r="W690" i="66"/>
  <c r="V697" i="66"/>
  <c r="V698" i="66"/>
  <c r="W648" i="66"/>
  <c r="W649" i="66"/>
  <c r="V677" i="66"/>
  <c r="V678" i="66"/>
  <c r="V706" i="66"/>
  <c r="V707" i="66"/>
  <c r="W680" i="66"/>
  <c r="V711" i="66"/>
  <c r="V712" i="66"/>
  <c r="W17" i="66" l="1"/>
  <c r="AG14" i="66" s="1"/>
  <c r="V17" i="66"/>
  <c r="W14"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Monika Lewinski</author>
  </authors>
  <commentList>
    <comment ref="B3" authorId="0" shapeId="0" xr:uid="{00000000-0006-0000-0000-000001000000}">
      <text>
        <r>
          <rPr>
            <b/>
            <sz val="9"/>
            <color indexed="81"/>
            <rFont val="Tahoma"/>
            <family val="2"/>
          </rPr>
          <t>Monika Lewinski:</t>
        </r>
        <r>
          <rPr>
            <sz val="9"/>
            <color indexed="81"/>
            <rFont val="Tahoma"/>
            <family val="2"/>
          </rPr>
          <t xml:space="preserve">
I added in a set of macros that create added short-cuts and also to create table of contents and to make cell colours according to the tab colours of the sheets.
To put generic macros into your sheets:
DOWNLOAD file named GENERIC.BAS from the website www.edbodmer.com
Go to the VBA tab (press F11)
Select the IMPORT FILE Option
Import the file names GENERIC.BAS
Then go to the VBA file and find the AUTO_OPEN macro.  This is the macro that runs when the file is being opened.
You should see a menu on the ADD-IN's tab
You can then run the short-cut keys etc.
To see detailed instructions go to the website: www.edbodmer.com and find the file in the excel secton named IMPORTING VBA CODE WTIH SHORT-CUT KEYS ETC.WPD
To Make this table of contents:
1. Select the whole sheet (CNTL A) twice
2. Delecte the current contents (CNTL -)
3. Go to Add-in and Run Table of Contents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Hazel Macadangdang</author>
  </authors>
  <commentList>
    <comment ref="BS68" authorId="0" shapeId="0" xr:uid="{0F50C226-E3AF-4825-8738-2F4D8EF122D1}">
      <text>
        <r>
          <rPr>
            <b/>
            <sz val="9"/>
            <color indexed="81"/>
            <rFont val="Tahoma"/>
            <family val="2"/>
          </rPr>
          <t>Commodities Team:</t>
        </r>
        <r>
          <rPr>
            <sz val="9"/>
            <color indexed="81"/>
            <rFont val="Tahoma"/>
            <family val="2"/>
          </rPr>
          <t xml:space="preserve">
MUV is still an estimate and may be revised.</t>
        </r>
      </text>
    </comment>
    <comment ref="BS69" authorId="0" shapeId="0" xr:uid="{B506400A-6BFB-4E9A-8B1C-3BD03F9F843F}">
      <text>
        <r>
          <rPr>
            <b/>
            <sz val="9"/>
            <color indexed="81"/>
            <rFont val="Tahoma"/>
            <family val="2"/>
          </rPr>
          <t>Commodities Team:</t>
        </r>
        <r>
          <rPr>
            <sz val="9"/>
            <color indexed="81"/>
            <rFont val="Tahoma"/>
            <family val="2"/>
          </rPr>
          <t xml:space="preserve">
MUV is still an estimate and may be revised.</t>
        </r>
      </text>
    </comment>
    <comment ref="BS70" authorId="0" shapeId="0" xr:uid="{ABFFB85B-C2B7-47E1-BFD7-D129FB5A7FA7}">
      <text>
        <r>
          <rPr>
            <b/>
            <sz val="9"/>
            <color indexed="81"/>
            <rFont val="Tahoma"/>
            <family val="2"/>
          </rPr>
          <t>Commodities Team:</t>
        </r>
        <r>
          <rPr>
            <sz val="9"/>
            <color indexed="81"/>
            <rFont val="Tahoma"/>
            <family val="2"/>
          </rPr>
          <t xml:space="preserve">
MUV is still an estimate and may be revised.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<sst xmlns="http://schemas.openxmlformats.org/spreadsheetml/2006/main" count="9862" uniqueCount="1603">
  <si>
    <t>DAP</t>
  </si>
  <si>
    <t>TSP</t>
  </si>
  <si>
    <t>($/mt)</t>
  </si>
  <si>
    <t>(cents/sheet)</t>
  </si>
  <si>
    <t>($/bbl)</t>
  </si>
  <si>
    <t>($/mmbtu)</t>
  </si>
  <si>
    <t>Cocoa</t>
  </si>
  <si>
    <t>Barley</t>
  </si>
  <si>
    <t>Orange</t>
  </si>
  <si>
    <t>Beef</t>
  </si>
  <si>
    <t>Maize</t>
  </si>
  <si>
    <t>Sorghum</t>
  </si>
  <si>
    <t>Soybeans</t>
  </si>
  <si>
    <t>($/cubic meter)</t>
  </si>
  <si>
    <t>Plywood</t>
  </si>
  <si>
    <t>Copper</t>
  </si>
  <si>
    <t>Lead</t>
  </si>
  <si>
    <t>Tin</t>
  </si>
  <si>
    <t>Zinc</t>
  </si>
  <si>
    <t xml:space="preserve">Urea </t>
  </si>
  <si>
    <t>Aluminum</t>
  </si>
  <si>
    <t>Nickel</t>
  </si>
  <si>
    <t>Silver</t>
  </si>
  <si>
    <t>Gold</t>
  </si>
  <si>
    <t>Meat, chicken</t>
  </si>
  <si>
    <t>Coal, Australian</t>
  </si>
  <si>
    <t>Natural gas, US</t>
  </si>
  <si>
    <t>Natural gas, Europe</t>
  </si>
  <si>
    <t>Liquefied natural gas, Japan</t>
  </si>
  <si>
    <t>Tea, avg 3 auctions</t>
  </si>
  <si>
    <t>Tea, Colombo</t>
  </si>
  <si>
    <t>Tea, Kolkata</t>
  </si>
  <si>
    <t>Tea, Mombasa</t>
  </si>
  <si>
    <t>Coconut oil</t>
  </si>
  <si>
    <t>Groundnut oil</t>
  </si>
  <si>
    <t>Palm oil</t>
  </si>
  <si>
    <t>Palm kernel oil</t>
  </si>
  <si>
    <t>Soybean oil</t>
  </si>
  <si>
    <t>Soybean meal</t>
  </si>
  <si>
    <t xml:space="preserve">Rice, Thai 5% </t>
  </si>
  <si>
    <t xml:space="preserve">Rice, Thai 25% </t>
  </si>
  <si>
    <t>Rice, Thai A.1</t>
  </si>
  <si>
    <t>Rice, Viet Namese 5%</t>
  </si>
  <si>
    <t>Wheat, US SRW</t>
  </si>
  <si>
    <t>Wheat, US HRW</t>
  </si>
  <si>
    <t>Banana, US</t>
  </si>
  <si>
    <t>Fish meal</t>
  </si>
  <si>
    <t>Sugar, US</t>
  </si>
  <si>
    <t>Sugar, world</t>
  </si>
  <si>
    <t>Tobacco, US import u.v.</t>
  </si>
  <si>
    <t>Logs, Cameroon</t>
  </si>
  <si>
    <t>Logs, Malaysian</t>
  </si>
  <si>
    <t>Sawnwood, Cameroon</t>
  </si>
  <si>
    <t>Sawnwood, Malaysian</t>
  </si>
  <si>
    <t>Cotton, A Index</t>
  </si>
  <si>
    <t>Rubber, SGP/MYS</t>
  </si>
  <si>
    <t>Rubber, TSR20</t>
  </si>
  <si>
    <t>Phosphate rock</t>
  </si>
  <si>
    <t>CRUDE_PETRO</t>
  </si>
  <si>
    <t>COAL_AUS</t>
  </si>
  <si>
    <t>NGAS_US</t>
  </si>
  <si>
    <t>NGAS_EUR</t>
  </si>
  <si>
    <t>NGAS_JP</t>
  </si>
  <si>
    <t>COCOA</t>
  </si>
  <si>
    <t>COFFEE_ARABIC</t>
  </si>
  <si>
    <t>COFFEE_ROBUS</t>
  </si>
  <si>
    <t>TEA_AVG</t>
  </si>
  <si>
    <t>TEA_COLOMBO</t>
  </si>
  <si>
    <t>TEA_KOLKATA</t>
  </si>
  <si>
    <t>TEA_MOMBASA</t>
  </si>
  <si>
    <t>COCONUT_OIL</t>
  </si>
  <si>
    <t>GRNUT_OIL</t>
  </si>
  <si>
    <t>PALM_OIL</t>
  </si>
  <si>
    <t>PLMKRNL_OIL</t>
  </si>
  <si>
    <t>SOYBEANS</t>
  </si>
  <si>
    <t>SOYBEAN_OIL</t>
  </si>
  <si>
    <t>SOYBEAN_MEAL</t>
  </si>
  <si>
    <t>BARLEY</t>
  </si>
  <si>
    <t>MAIZE</t>
  </si>
  <si>
    <t>SORGHUM</t>
  </si>
  <si>
    <t>RICE_05</t>
  </si>
  <si>
    <t>RICE_25</t>
  </si>
  <si>
    <t>RICE_A1</t>
  </si>
  <si>
    <t>RICE_05_VNM</t>
  </si>
  <si>
    <t>WHEAT_US_SRW</t>
  </si>
  <si>
    <t>WHEAT_US_HRW</t>
  </si>
  <si>
    <t>BANANA_US</t>
  </si>
  <si>
    <t>ORANGE</t>
  </si>
  <si>
    <t>BEEF</t>
  </si>
  <si>
    <t>CHICKEN</t>
  </si>
  <si>
    <t>FISH_MEAL</t>
  </si>
  <si>
    <t>SHRIMP_MEX</t>
  </si>
  <si>
    <t>SUGAR_EU</t>
  </si>
  <si>
    <t>SUGAR_US</t>
  </si>
  <si>
    <t>SUGAR_WLD</t>
  </si>
  <si>
    <t>TOBAC_US</t>
  </si>
  <si>
    <t>LOGS_CMR</t>
  </si>
  <si>
    <t>LOGS_MYS</t>
  </si>
  <si>
    <t>SAWNWD_CMR</t>
  </si>
  <si>
    <t>SAWNWD_MYS</t>
  </si>
  <si>
    <t>PLYWOOD</t>
  </si>
  <si>
    <t>COTTON_A_INDX</t>
  </si>
  <si>
    <t>RUBBER1_MYSG</t>
  </si>
  <si>
    <t>RUBBER_TSR20</t>
  </si>
  <si>
    <t>PHOSROCK</t>
  </si>
  <si>
    <t>UREA_EE_BULK</t>
  </si>
  <si>
    <t>POTASH</t>
  </si>
  <si>
    <t>ALUMINUM</t>
  </si>
  <si>
    <t>COPPER</t>
  </si>
  <si>
    <t>LEAD</t>
  </si>
  <si>
    <t>NICKEL</t>
  </si>
  <si>
    <t>GOLD</t>
  </si>
  <si>
    <t>SILVER</t>
  </si>
  <si>
    <t>IRON_ORE</t>
  </si>
  <si>
    <t>Sugar, EU</t>
  </si>
  <si>
    <t>monthly prices in nominal US dollars, 1960 to present</t>
  </si>
  <si>
    <t>(monthly series are available only in nominal US dollars)</t>
  </si>
  <si>
    <t>Crude oil, Brent</t>
  </si>
  <si>
    <t>Crude oil, Dubai</t>
  </si>
  <si>
    <t>Crude oil, WTI</t>
  </si>
  <si>
    <t>CRUDE_BRENT</t>
  </si>
  <si>
    <t>CRUDE_DUBAI</t>
  </si>
  <si>
    <t>CRUDE_WTI</t>
  </si>
  <si>
    <t>Crude oil, average</t>
  </si>
  <si>
    <t>Platinum</t>
  </si>
  <si>
    <t>($/troy oz)</t>
  </si>
  <si>
    <t>PLATINUM</t>
  </si>
  <si>
    <t>Groundnuts</t>
  </si>
  <si>
    <t>GRNUT</t>
  </si>
  <si>
    <t>Coal, South Afican</t>
  </si>
  <si>
    <t>Banana, Europe</t>
  </si>
  <si>
    <t>BANANA_EU</t>
  </si>
  <si>
    <t>COAL_SAFRICA</t>
  </si>
  <si>
    <t>Meat, sheep</t>
  </si>
  <si>
    <t>LAMB</t>
  </si>
  <si>
    <t>World Bank Commodity Price Data (The Pink Sheet)</t>
  </si>
  <si>
    <t>1960M01</t>
  </si>
  <si>
    <t>..</t>
  </si>
  <si>
    <t>1960M02</t>
  </si>
  <si>
    <t>1960M03</t>
  </si>
  <si>
    <t>1960M04</t>
  </si>
  <si>
    <t>1960M05</t>
  </si>
  <si>
    <t>1960M06</t>
  </si>
  <si>
    <t>1960M07</t>
  </si>
  <si>
    <t>1960M08</t>
  </si>
  <si>
    <t>1960M09</t>
  </si>
  <si>
    <t>1960M10</t>
  </si>
  <si>
    <t>1960M11</t>
  </si>
  <si>
    <t>1960M12</t>
  </si>
  <si>
    <t>1961M01</t>
  </si>
  <si>
    <t>1961M02</t>
  </si>
  <si>
    <t>1961M03</t>
  </si>
  <si>
    <t>1961M04</t>
  </si>
  <si>
    <t>1961M05</t>
  </si>
  <si>
    <t>1961M06</t>
  </si>
  <si>
    <t>1961M07</t>
  </si>
  <si>
    <t>1961M08</t>
  </si>
  <si>
    <t>1961M09</t>
  </si>
  <si>
    <t>1961M10</t>
  </si>
  <si>
    <t>1961M11</t>
  </si>
  <si>
    <t>1961M12</t>
  </si>
  <si>
    <t>1962M01</t>
  </si>
  <si>
    <t>1962M02</t>
  </si>
  <si>
    <t>1962M03</t>
  </si>
  <si>
    <t>1962M04</t>
  </si>
  <si>
    <t>1962M05</t>
  </si>
  <si>
    <t>1962M06</t>
  </si>
  <si>
    <t>1962M07</t>
  </si>
  <si>
    <t>1962M08</t>
  </si>
  <si>
    <t>1962M09</t>
  </si>
  <si>
    <t>1962M10</t>
  </si>
  <si>
    <t>1962M11</t>
  </si>
  <si>
    <t>1962M12</t>
  </si>
  <si>
    <t>1963M01</t>
  </si>
  <si>
    <t>1963M02</t>
  </si>
  <si>
    <t>1963M03</t>
  </si>
  <si>
    <t>1963M04</t>
  </si>
  <si>
    <t>1963M05</t>
  </si>
  <si>
    <t>1963M06</t>
  </si>
  <si>
    <t>1963M07</t>
  </si>
  <si>
    <t>1963M08</t>
  </si>
  <si>
    <t>1963M09</t>
  </si>
  <si>
    <t>1963M10</t>
  </si>
  <si>
    <t>1963M11</t>
  </si>
  <si>
    <t>1963M12</t>
  </si>
  <si>
    <t>1964M01</t>
  </si>
  <si>
    <t>1964M02</t>
  </si>
  <si>
    <t>1964M03</t>
  </si>
  <si>
    <t>1964M04</t>
  </si>
  <si>
    <t>1964M05</t>
  </si>
  <si>
    <t>1964M06</t>
  </si>
  <si>
    <t>1964M07</t>
  </si>
  <si>
    <t>1964M08</t>
  </si>
  <si>
    <t>1964M09</t>
  </si>
  <si>
    <t>1964M10</t>
  </si>
  <si>
    <t>1964M11</t>
  </si>
  <si>
    <t>1964M12</t>
  </si>
  <si>
    <t>1965M01</t>
  </si>
  <si>
    <t>1965M02</t>
  </si>
  <si>
    <t>1965M03</t>
  </si>
  <si>
    <t>1965M04</t>
  </si>
  <si>
    <t>1965M05</t>
  </si>
  <si>
    <t>1965M06</t>
  </si>
  <si>
    <t>1965M07</t>
  </si>
  <si>
    <t>1965M08</t>
  </si>
  <si>
    <t>1965M09</t>
  </si>
  <si>
    <t>1965M10</t>
  </si>
  <si>
    <t>1965M11</t>
  </si>
  <si>
    <t>1965M12</t>
  </si>
  <si>
    <t>1966M01</t>
  </si>
  <si>
    <t>1966M02</t>
  </si>
  <si>
    <t>1966M03</t>
  </si>
  <si>
    <t>1966M04</t>
  </si>
  <si>
    <t>1966M05</t>
  </si>
  <si>
    <t>1966M06</t>
  </si>
  <si>
    <t>1966M07</t>
  </si>
  <si>
    <t>1966M08</t>
  </si>
  <si>
    <t>1966M09</t>
  </si>
  <si>
    <t>1966M10</t>
  </si>
  <si>
    <t>1966M11</t>
  </si>
  <si>
    <t>1966M12</t>
  </si>
  <si>
    <t>1967M01</t>
  </si>
  <si>
    <t>1967M02</t>
  </si>
  <si>
    <t>1967M03</t>
  </si>
  <si>
    <t>1967M04</t>
  </si>
  <si>
    <t>1967M05</t>
  </si>
  <si>
    <t>1967M06</t>
  </si>
  <si>
    <t>1967M07</t>
  </si>
  <si>
    <t>1967M08</t>
  </si>
  <si>
    <t>1967M09</t>
  </si>
  <si>
    <t>1967M10</t>
  </si>
  <si>
    <t>1967M11</t>
  </si>
  <si>
    <t>1967M12</t>
  </si>
  <si>
    <t>1968M01</t>
  </si>
  <si>
    <t>1968M02</t>
  </si>
  <si>
    <t>1968M03</t>
  </si>
  <si>
    <t>1968M04</t>
  </si>
  <si>
    <t>1968M05</t>
  </si>
  <si>
    <t>1968M06</t>
  </si>
  <si>
    <t>1968M07</t>
  </si>
  <si>
    <t>1968M08</t>
  </si>
  <si>
    <t>1968M09</t>
  </si>
  <si>
    <t>1968M10</t>
  </si>
  <si>
    <t>1968M11</t>
  </si>
  <si>
    <t>1968M12</t>
  </si>
  <si>
    <t>1969M01</t>
  </si>
  <si>
    <t>1969M02</t>
  </si>
  <si>
    <t>1969M03</t>
  </si>
  <si>
    <t>1969M04</t>
  </si>
  <si>
    <t>1969M05</t>
  </si>
  <si>
    <t>1969M06</t>
  </si>
  <si>
    <t>1969M07</t>
  </si>
  <si>
    <t>1969M08</t>
  </si>
  <si>
    <t>1969M09</t>
  </si>
  <si>
    <t>1969M10</t>
  </si>
  <si>
    <t>1969M11</t>
  </si>
  <si>
    <t>1969M12</t>
  </si>
  <si>
    <t>1970M01</t>
  </si>
  <si>
    <t>1970M02</t>
  </si>
  <si>
    <t>1970M03</t>
  </si>
  <si>
    <t>1970M04</t>
  </si>
  <si>
    <t>1970M05</t>
  </si>
  <si>
    <t>1970M06</t>
  </si>
  <si>
    <t>1970M07</t>
  </si>
  <si>
    <t>1970M08</t>
  </si>
  <si>
    <t>1970M09</t>
  </si>
  <si>
    <t>1970M10</t>
  </si>
  <si>
    <t>1970M11</t>
  </si>
  <si>
    <t>1970M12</t>
  </si>
  <si>
    <t>1971M01</t>
  </si>
  <si>
    <t>1971M02</t>
  </si>
  <si>
    <t>1971M03</t>
  </si>
  <si>
    <t>1971M04</t>
  </si>
  <si>
    <t>1971M05</t>
  </si>
  <si>
    <t>1971M06</t>
  </si>
  <si>
    <t>1971M07</t>
  </si>
  <si>
    <t>1971M08</t>
  </si>
  <si>
    <t>1971M09</t>
  </si>
  <si>
    <t>1971M10</t>
  </si>
  <si>
    <t>1971M11</t>
  </si>
  <si>
    <t>1971M12</t>
  </si>
  <si>
    <t>1972M01</t>
  </si>
  <si>
    <t>1972M02</t>
  </si>
  <si>
    <t>1972M03</t>
  </si>
  <si>
    <t>1972M04</t>
  </si>
  <si>
    <t>1972M05</t>
  </si>
  <si>
    <t>1972M06</t>
  </si>
  <si>
    <t>1972M07</t>
  </si>
  <si>
    <t>1972M08</t>
  </si>
  <si>
    <t>1972M09</t>
  </si>
  <si>
    <t>1972M10</t>
  </si>
  <si>
    <t>1972M11</t>
  </si>
  <si>
    <t>1972M12</t>
  </si>
  <si>
    <t>1973M01</t>
  </si>
  <si>
    <t>1973M02</t>
  </si>
  <si>
    <t>1973M03</t>
  </si>
  <si>
    <t>1973M04</t>
  </si>
  <si>
    <t>1973M05</t>
  </si>
  <si>
    <t>1973M06</t>
  </si>
  <si>
    <t>1973M07</t>
  </si>
  <si>
    <t>1973M08</t>
  </si>
  <si>
    <t>1973M09</t>
  </si>
  <si>
    <t>1973M10</t>
  </si>
  <si>
    <t>1973M11</t>
  </si>
  <si>
    <t>1973M12</t>
  </si>
  <si>
    <t>1974M01</t>
  </si>
  <si>
    <t>1974M02</t>
  </si>
  <si>
    <t>1974M03</t>
  </si>
  <si>
    <t>1974M04</t>
  </si>
  <si>
    <t>1974M05</t>
  </si>
  <si>
    <t>1974M06</t>
  </si>
  <si>
    <t>1974M07</t>
  </si>
  <si>
    <t>1974M08</t>
  </si>
  <si>
    <t>1974M09</t>
  </si>
  <si>
    <t>1974M10</t>
  </si>
  <si>
    <t>1974M11</t>
  </si>
  <si>
    <t>1974M12</t>
  </si>
  <si>
    <t>1975M01</t>
  </si>
  <si>
    <t>1975M02</t>
  </si>
  <si>
    <t>1975M03</t>
  </si>
  <si>
    <t>1975M04</t>
  </si>
  <si>
    <t>1975M05</t>
  </si>
  <si>
    <t>1975M06</t>
  </si>
  <si>
    <t>1975M07</t>
  </si>
  <si>
    <t>1975M08</t>
  </si>
  <si>
    <t>1975M09</t>
  </si>
  <si>
    <t>1975M10</t>
  </si>
  <si>
    <t>1975M11</t>
  </si>
  <si>
    <t>1975M12</t>
  </si>
  <si>
    <t>1976M01</t>
  </si>
  <si>
    <t>1976M02</t>
  </si>
  <si>
    <t>1976M03</t>
  </si>
  <si>
    <t>1976M04</t>
  </si>
  <si>
    <t>1976M05</t>
  </si>
  <si>
    <t>1976M06</t>
  </si>
  <si>
    <t>1976M07</t>
  </si>
  <si>
    <t>1976M08</t>
  </si>
  <si>
    <t>1976M09</t>
  </si>
  <si>
    <t>1976M10</t>
  </si>
  <si>
    <t>1976M11</t>
  </si>
  <si>
    <t>1976M12</t>
  </si>
  <si>
    <t>1977M01</t>
  </si>
  <si>
    <t>1977M02</t>
  </si>
  <si>
    <t>1977M03</t>
  </si>
  <si>
    <t>1977M04</t>
  </si>
  <si>
    <t>1977M05</t>
  </si>
  <si>
    <t>1977M06</t>
  </si>
  <si>
    <t>1977M07</t>
  </si>
  <si>
    <t>1977M08</t>
  </si>
  <si>
    <t>1977M09</t>
  </si>
  <si>
    <t>1977M10</t>
  </si>
  <si>
    <t>1977M11</t>
  </si>
  <si>
    <t>1977M12</t>
  </si>
  <si>
    <t>1978M01</t>
  </si>
  <si>
    <t>1978M02</t>
  </si>
  <si>
    <t>1978M03</t>
  </si>
  <si>
    <t>1978M04</t>
  </si>
  <si>
    <t>1978M05</t>
  </si>
  <si>
    <t>1978M06</t>
  </si>
  <si>
    <t>1978M07</t>
  </si>
  <si>
    <t>1978M08</t>
  </si>
  <si>
    <t>1978M09</t>
  </si>
  <si>
    <t>1978M10</t>
  </si>
  <si>
    <t>1978M11</t>
  </si>
  <si>
    <t>1978M12</t>
  </si>
  <si>
    <t>1979M01</t>
  </si>
  <si>
    <t>1979M02</t>
  </si>
  <si>
    <t>1979M03</t>
  </si>
  <si>
    <t>1979M04</t>
  </si>
  <si>
    <t>1979M05</t>
  </si>
  <si>
    <t>1979M06</t>
  </si>
  <si>
    <t>1979M07</t>
  </si>
  <si>
    <t>1979M08</t>
  </si>
  <si>
    <t>1979M09</t>
  </si>
  <si>
    <t>1979M10</t>
  </si>
  <si>
    <t>1979M11</t>
  </si>
  <si>
    <t>1979M12</t>
  </si>
  <si>
    <t>1980M01</t>
  </si>
  <si>
    <t>1980M02</t>
  </si>
  <si>
    <t>1980M03</t>
  </si>
  <si>
    <t>1980M04</t>
  </si>
  <si>
    <t>1980M05</t>
  </si>
  <si>
    <t>1980M06</t>
  </si>
  <si>
    <t>1980M07</t>
  </si>
  <si>
    <t>1980M08</t>
  </si>
  <si>
    <t>1980M09</t>
  </si>
  <si>
    <t>1980M10</t>
  </si>
  <si>
    <t>1980M11</t>
  </si>
  <si>
    <t>1980M12</t>
  </si>
  <si>
    <t>1981M01</t>
  </si>
  <si>
    <t>1981M02</t>
  </si>
  <si>
    <t>1981M03</t>
  </si>
  <si>
    <t>1981M04</t>
  </si>
  <si>
    <t>1981M05</t>
  </si>
  <si>
    <t>1981M06</t>
  </si>
  <si>
    <t>1981M07</t>
  </si>
  <si>
    <t>1981M08</t>
  </si>
  <si>
    <t>1981M09</t>
  </si>
  <si>
    <t>1981M10</t>
  </si>
  <si>
    <t>1981M11</t>
  </si>
  <si>
    <t>1981M12</t>
  </si>
  <si>
    <t>1982M01</t>
  </si>
  <si>
    <t>1982M02</t>
  </si>
  <si>
    <t>1982M03</t>
  </si>
  <si>
    <t>1982M04</t>
  </si>
  <si>
    <t>1982M05</t>
  </si>
  <si>
    <t>1982M06</t>
  </si>
  <si>
    <t>1982M07</t>
  </si>
  <si>
    <t>1982M08</t>
  </si>
  <si>
    <t>1982M09</t>
  </si>
  <si>
    <t>1982M10</t>
  </si>
  <si>
    <t>1982M11</t>
  </si>
  <si>
    <t>1982M12</t>
  </si>
  <si>
    <t>1983M01</t>
  </si>
  <si>
    <t>1983M02</t>
  </si>
  <si>
    <t>1983M03</t>
  </si>
  <si>
    <t>1983M04</t>
  </si>
  <si>
    <t>1983M05</t>
  </si>
  <si>
    <t>1983M06</t>
  </si>
  <si>
    <t>1983M07</t>
  </si>
  <si>
    <t>1983M08</t>
  </si>
  <si>
    <t>1983M09</t>
  </si>
  <si>
    <t>1983M10</t>
  </si>
  <si>
    <t>1983M11</t>
  </si>
  <si>
    <t>1983M12</t>
  </si>
  <si>
    <t>1984M01</t>
  </si>
  <si>
    <t>1984M02</t>
  </si>
  <si>
    <t>1984M03</t>
  </si>
  <si>
    <t>1984M04</t>
  </si>
  <si>
    <t>1984M05</t>
  </si>
  <si>
    <t>1984M06</t>
  </si>
  <si>
    <t>1984M07</t>
  </si>
  <si>
    <t>1984M08</t>
  </si>
  <si>
    <t>1984M09</t>
  </si>
  <si>
    <t>1984M10</t>
  </si>
  <si>
    <t>1984M11</t>
  </si>
  <si>
    <t>1984M12</t>
  </si>
  <si>
    <t>1985M01</t>
  </si>
  <si>
    <t>1985M02</t>
  </si>
  <si>
    <t>1985M03</t>
  </si>
  <si>
    <t>1985M04</t>
  </si>
  <si>
    <t>1985M05</t>
  </si>
  <si>
    <t>1985M06</t>
  </si>
  <si>
    <t>1985M07</t>
  </si>
  <si>
    <t>1985M08</t>
  </si>
  <si>
    <t>1985M09</t>
  </si>
  <si>
    <t>1985M10</t>
  </si>
  <si>
    <t>1985M11</t>
  </si>
  <si>
    <t>1985M12</t>
  </si>
  <si>
    <t>1986M01</t>
  </si>
  <si>
    <t>1986M02</t>
  </si>
  <si>
    <t>1986M03</t>
  </si>
  <si>
    <t>1986M04</t>
  </si>
  <si>
    <t>1986M05</t>
  </si>
  <si>
    <t>1986M06</t>
  </si>
  <si>
    <t>1986M07</t>
  </si>
  <si>
    <t>1986M08</t>
  </si>
  <si>
    <t>1986M09</t>
  </si>
  <si>
    <t>1986M10</t>
  </si>
  <si>
    <t>1986M11</t>
  </si>
  <si>
    <t>1986M12</t>
  </si>
  <si>
    <t>1987M01</t>
  </si>
  <si>
    <t>1987M02</t>
  </si>
  <si>
    <t>1987M03</t>
  </si>
  <si>
    <t>1987M04</t>
  </si>
  <si>
    <t>1987M05</t>
  </si>
  <si>
    <t>1987M06</t>
  </si>
  <si>
    <t>1987M07</t>
  </si>
  <si>
    <t>1987M08</t>
  </si>
  <si>
    <t>1987M09</t>
  </si>
  <si>
    <t>1987M10</t>
  </si>
  <si>
    <t>1987M11</t>
  </si>
  <si>
    <t>1987M12</t>
  </si>
  <si>
    <t>1988M01</t>
  </si>
  <si>
    <t>1988M02</t>
  </si>
  <si>
    <t>1988M03</t>
  </si>
  <si>
    <t>1988M04</t>
  </si>
  <si>
    <t>1988M05</t>
  </si>
  <si>
    <t>1988M06</t>
  </si>
  <si>
    <t>1988M07</t>
  </si>
  <si>
    <t>1988M08</t>
  </si>
  <si>
    <t>1988M09</t>
  </si>
  <si>
    <t>1988M10</t>
  </si>
  <si>
    <t>1988M11</t>
  </si>
  <si>
    <t>1988M12</t>
  </si>
  <si>
    <t>1989M01</t>
  </si>
  <si>
    <t>1989M02</t>
  </si>
  <si>
    <t>1989M03</t>
  </si>
  <si>
    <t>1989M04</t>
  </si>
  <si>
    <t>1989M05</t>
  </si>
  <si>
    <t>1989M06</t>
  </si>
  <si>
    <t>1989M07</t>
  </si>
  <si>
    <t>1989M08</t>
  </si>
  <si>
    <t>1989M09</t>
  </si>
  <si>
    <t>1989M10</t>
  </si>
  <si>
    <t>1989M11</t>
  </si>
  <si>
    <t>1989M12</t>
  </si>
  <si>
    <t>1990M01</t>
  </si>
  <si>
    <t>1990M02</t>
  </si>
  <si>
    <t>1990M03</t>
  </si>
  <si>
    <t>1990M04</t>
  </si>
  <si>
    <t>1990M05</t>
  </si>
  <si>
    <t>1990M06</t>
  </si>
  <si>
    <t>1990M07</t>
  </si>
  <si>
    <t>1990M08</t>
  </si>
  <si>
    <t>1990M09</t>
  </si>
  <si>
    <t>1990M10</t>
  </si>
  <si>
    <t>1990M11</t>
  </si>
  <si>
    <t>1990M12</t>
  </si>
  <si>
    <t>1991M01</t>
  </si>
  <si>
    <t>1991M02</t>
  </si>
  <si>
    <t>1991M03</t>
  </si>
  <si>
    <t>1991M04</t>
  </si>
  <si>
    <t>1991M05</t>
  </si>
  <si>
    <t>1991M06</t>
  </si>
  <si>
    <t>1991M07</t>
  </si>
  <si>
    <t>1991M08</t>
  </si>
  <si>
    <t>1991M09</t>
  </si>
  <si>
    <t>1991M10</t>
  </si>
  <si>
    <t>1991M11</t>
  </si>
  <si>
    <t>1991M12</t>
  </si>
  <si>
    <t>1992M01</t>
  </si>
  <si>
    <t>1992M02</t>
  </si>
  <si>
    <t>1992M03</t>
  </si>
  <si>
    <t>1992M04</t>
  </si>
  <si>
    <t>1992M05</t>
  </si>
  <si>
    <t>1992M06</t>
  </si>
  <si>
    <t>1992M07</t>
  </si>
  <si>
    <t>1992M08</t>
  </si>
  <si>
    <t>1992M09</t>
  </si>
  <si>
    <t>1992M10</t>
  </si>
  <si>
    <t>1992M11</t>
  </si>
  <si>
    <t>1992M12</t>
  </si>
  <si>
    <t>1993M01</t>
  </si>
  <si>
    <t>1993M02</t>
  </si>
  <si>
    <t>1993M03</t>
  </si>
  <si>
    <t>1993M04</t>
  </si>
  <si>
    <t>1993M05</t>
  </si>
  <si>
    <t>1993M06</t>
  </si>
  <si>
    <t>1993M07</t>
  </si>
  <si>
    <t>1993M08</t>
  </si>
  <si>
    <t>1993M09</t>
  </si>
  <si>
    <t>1993M10</t>
  </si>
  <si>
    <t>1993M11</t>
  </si>
  <si>
    <t>1993M12</t>
  </si>
  <si>
    <t>1994M01</t>
  </si>
  <si>
    <t>1994M02</t>
  </si>
  <si>
    <t>1994M03</t>
  </si>
  <si>
    <t>1994M04</t>
  </si>
  <si>
    <t>1994M05</t>
  </si>
  <si>
    <t>1994M06</t>
  </si>
  <si>
    <t>1994M07</t>
  </si>
  <si>
    <t>1994M08</t>
  </si>
  <si>
    <t>1994M09</t>
  </si>
  <si>
    <t>1994M10</t>
  </si>
  <si>
    <t>1994M11</t>
  </si>
  <si>
    <t>1994M12</t>
  </si>
  <si>
    <t>1995M01</t>
  </si>
  <si>
    <t>1995M02</t>
  </si>
  <si>
    <t>1995M03</t>
  </si>
  <si>
    <t>1995M04</t>
  </si>
  <si>
    <t>1995M05</t>
  </si>
  <si>
    <t>1995M06</t>
  </si>
  <si>
    <t>1995M07</t>
  </si>
  <si>
    <t>1995M08</t>
  </si>
  <si>
    <t>1995M09</t>
  </si>
  <si>
    <t>1995M10</t>
  </si>
  <si>
    <t>1995M11</t>
  </si>
  <si>
    <t>1995M12</t>
  </si>
  <si>
    <t>1996M01</t>
  </si>
  <si>
    <t>1996M02</t>
  </si>
  <si>
    <t>1996M03</t>
  </si>
  <si>
    <t>1996M04</t>
  </si>
  <si>
    <t>1996M05</t>
  </si>
  <si>
    <t>1996M06</t>
  </si>
  <si>
    <t>1996M07</t>
  </si>
  <si>
    <t>1996M08</t>
  </si>
  <si>
    <t>1996M09</t>
  </si>
  <si>
    <t>1996M10</t>
  </si>
  <si>
    <t>1996M11</t>
  </si>
  <si>
    <t>1996M12</t>
  </si>
  <si>
    <t>1997M01</t>
  </si>
  <si>
    <t>1997M02</t>
  </si>
  <si>
    <t>1997M03</t>
  </si>
  <si>
    <t>1997M04</t>
  </si>
  <si>
    <t>1997M05</t>
  </si>
  <si>
    <t>1997M06</t>
  </si>
  <si>
    <t>1997M07</t>
  </si>
  <si>
    <t>1997M08</t>
  </si>
  <si>
    <t>1997M09</t>
  </si>
  <si>
    <t>1997M10</t>
  </si>
  <si>
    <t>1997M11</t>
  </si>
  <si>
    <t>1997M12</t>
  </si>
  <si>
    <t>1998M01</t>
  </si>
  <si>
    <t>1998M02</t>
  </si>
  <si>
    <t>1998M03</t>
  </si>
  <si>
    <t>1998M04</t>
  </si>
  <si>
    <t>1998M05</t>
  </si>
  <si>
    <t>1998M06</t>
  </si>
  <si>
    <t>1998M07</t>
  </si>
  <si>
    <t>1998M08</t>
  </si>
  <si>
    <t>1998M09</t>
  </si>
  <si>
    <t>1998M10</t>
  </si>
  <si>
    <t>1998M11</t>
  </si>
  <si>
    <t>1998M12</t>
  </si>
  <si>
    <t>1999M01</t>
  </si>
  <si>
    <t>1999M02</t>
  </si>
  <si>
    <t>1999M03</t>
  </si>
  <si>
    <t>1999M04</t>
  </si>
  <si>
    <t>1999M05</t>
  </si>
  <si>
    <t>1999M06</t>
  </si>
  <si>
    <t>1999M07</t>
  </si>
  <si>
    <t>1999M08</t>
  </si>
  <si>
    <t>1999M09</t>
  </si>
  <si>
    <t>1999M10</t>
  </si>
  <si>
    <t>1999M11</t>
  </si>
  <si>
    <t>1999M12</t>
  </si>
  <si>
    <t>2000M01</t>
  </si>
  <si>
    <t>2000M02</t>
  </si>
  <si>
    <t>2000M03</t>
  </si>
  <si>
    <t>2000M04</t>
  </si>
  <si>
    <t>2000M05</t>
  </si>
  <si>
    <t>2000M06</t>
  </si>
  <si>
    <t>2000M07</t>
  </si>
  <si>
    <t>2000M08</t>
  </si>
  <si>
    <t>2000M09</t>
  </si>
  <si>
    <t>2000M10</t>
  </si>
  <si>
    <t>2000M11</t>
  </si>
  <si>
    <t>2000M12</t>
  </si>
  <si>
    <t>2001M01</t>
  </si>
  <si>
    <t>2001M02</t>
  </si>
  <si>
    <t>2001M03</t>
  </si>
  <si>
    <t>2001M04</t>
  </si>
  <si>
    <t>2001M05</t>
  </si>
  <si>
    <t>2001M06</t>
  </si>
  <si>
    <t>2001M07</t>
  </si>
  <si>
    <t>2001M08</t>
  </si>
  <si>
    <t>2001M09</t>
  </si>
  <si>
    <t>2001M10</t>
  </si>
  <si>
    <t>2001M11</t>
  </si>
  <si>
    <t>2001M12</t>
  </si>
  <si>
    <t>2002M01</t>
  </si>
  <si>
    <t>2002M02</t>
  </si>
  <si>
    <t>2002M03</t>
  </si>
  <si>
    <t>2002M04</t>
  </si>
  <si>
    <t>2002M05</t>
  </si>
  <si>
    <t>2002M06</t>
  </si>
  <si>
    <t>2002M07</t>
  </si>
  <si>
    <t>2002M08</t>
  </si>
  <si>
    <t>2002M09</t>
  </si>
  <si>
    <t>2002M10</t>
  </si>
  <si>
    <t>2002M11</t>
  </si>
  <si>
    <t>2002M12</t>
  </si>
  <si>
    <t>2003M01</t>
  </si>
  <si>
    <t>2003M02</t>
  </si>
  <si>
    <t>2003M03</t>
  </si>
  <si>
    <t>2003M04</t>
  </si>
  <si>
    <t>2003M05</t>
  </si>
  <si>
    <t>2003M06</t>
  </si>
  <si>
    <t>2003M07</t>
  </si>
  <si>
    <t>2003M08</t>
  </si>
  <si>
    <t>2003M09</t>
  </si>
  <si>
    <t>2003M10</t>
  </si>
  <si>
    <t>2003M11</t>
  </si>
  <si>
    <t>2003M12</t>
  </si>
  <si>
    <t>2004M01</t>
  </si>
  <si>
    <t>2004M02</t>
  </si>
  <si>
    <t>2004M03</t>
  </si>
  <si>
    <t>2004M04</t>
  </si>
  <si>
    <t>2004M05</t>
  </si>
  <si>
    <t>2004M06</t>
  </si>
  <si>
    <t>2004M07</t>
  </si>
  <si>
    <t>2004M08</t>
  </si>
  <si>
    <t>2004M09</t>
  </si>
  <si>
    <t>2004M10</t>
  </si>
  <si>
    <t>2004M11</t>
  </si>
  <si>
    <t>2004M12</t>
  </si>
  <si>
    <t>2005M01</t>
  </si>
  <si>
    <t>2005M02</t>
  </si>
  <si>
    <t>2005M03</t>
  </si>
  <si>
    <t>2005M04</t>
  </si>
  <si>
    <t>2005M05</t>
  </si>
  <si>
    <t>2005M06</t>
  </si>
  <si>
    <t>2005M07</t>
  </si>
  <si>
    <t>2005M08</t>
  </si>
  <si>
    <t>2005M09</t>
  </si>
  <si>
    <t>2005M10</t>
  </si>
  <si>
    <t>2005M11</t>
  </si>
  <si>
    <t>2005M12</t>
  </si>
  <si>
    <t>2006M01</t>
  </si>
  <si>
    <t>2006M02</t>
  </si>
  <si>
    <t>2006M03</t>
  </si>
  <si>
    <t>2006M04</t>
  </si>
  <si>
    <t>2006M05</t>
  </si>
  <si>
    <t>2006M06</t>
  </si>
  <si>
    <t>2006M07</t>
  </si>
  <si>
    <t>2006M08</t>
  </si>
  <si>
    <t>2006M09</t>
  </si>
  <si>
    <t>2006M10</t>
  </si>
  <si>
    <t>2006M11</t>
  </si>
  <si>
    <t>2006M12</t>
  </si>
  <si>
    <t>2007M01</t>
  </si>
  <si>
    <t>2007M02</t>
  </si>
  <si>
    <t>2007M03</t>
  </si>
  <si>
    <t>2007M04</t>
  </si>
  <si>
    <t>2007M05</t>
  </si>
  <si>
    <t>2007M06</t>
  </si>
  <si>
    <t>2007M07</t>
  </si>
  <si>
    <t>2007M08</t>
  </si>
  <si>
    <t>2007M09</t>
  </si>
  <si>
    <t>2007M10</t>
  </si>
  <si>
    <t>2007M11</t>
  </si>
  <si>
    <t>2007M12</t>
  </si>
  <si>
    <t>2008M01</t>
  </si>
  <si>
    <t>2008M02</t>
  </si>
  <si>
    <t>2008M03</t>
  </si>
  <si>
    <t>2008M04</t>
  </si>
  <si>
    <t>2008M05</t>
  </si>
  <si>
    <t>2008M06</t>
  </si>
  <si>
    <t>2008M07</t>
  </si>
  <si>
    <t>2008M08</t>
  </si>
  <si>
    <t>2008M09</t>
  </si>
  <si>
    <t>2008M10</t>
  </si>
  <si>
    <t>2008M11</t>
  </si>
  <si>
    <t>2008M12</t>
  </si>
  <si>
    <t>2009M01</t>
  </si>
  <si>
    <t>2009M02</t>
  </si>
  <si>
    <t>2009M03</t>
  </si>
  <si>
    <t>2009M04</t>
  </si>
  <si>
    <t>2009M05</t>
  </si>
  <si>
    <t>2009M06</t>
  </si>
  <si>
    <t>2009M07</t>
  </si>
  <si>
    <t>2009M08</t>
  </si>
  <si>
    <t>2009M09</t>
  </si>
  <si>
    <t>2009M10</t>
  </si>
  <si>
    <t>2009M11</t>
  </si>
  <si>
    <t>2009M12</t>
  </si>
  <si>
    <t>2010M01</t>
  </si>
  <si>
    <t>2010M02</t>
  </si>
  <si>
    <t>2010M03</t>
  </si>
  <si>
    <t>2010M04</t>
  </si>
  <si>
    <t>2010M05</t>
  </si>
  <si>
    <t>2010M06</t>
  </si>
  <si>
    <t>2010M07</t>
  </si>
  <si>
    <t>2010M08</t>
  </si>
  <si>
    <t>2010M09</t>
  </si>
  <si>
    <t>2010M10</t>
  </si>
  <si>
    <t>2010M11</t>
  </si>
  <si>
    <t>2010M12</t>
  </si>
  <si>
    <t>2011M01</t>
  </si>
  <si>
    <t>2011M02</t>
  </si>
  <si>
    <t>2011M03</t>
  </si>
  <si>
    <t>2011M04</t>
  </si>
  <si>
    <t>2011M05</t>
  </si>
  <si>
    <t>2011M06</t>
  </si>
  <si>
    <t>2011M07</t>
  </si>
  <si>
    <t>2011M08</t>
  </si>
  <si>
    <t>2011M09</t>
  </si>
  <si>
    <t>2011M10</t>
  </si>
  <si>
    <t>2011M11</t>
  </si>
  <si>
    <t>2011M12</t>
  </si>
  <si>
    <t>2012M01</t>
  </si>
  <si>
    <t>2012M02</t>
  </si>
  <si>
    <t>2012M03</t>
  </si>
  <si>
    <t>2012M04</t>
  </si>
  <si>
    <t>2012M05</t>
  </si>
  <si>
    <t>2012M06</t>
  </si>
  <si>
    <t>2012M07</t>
  </si>
  <si>
    <t>2012M08</t>
  </si>
  <si>
    <t>2012M09</t>
  </si>
  <si>
    <t>2012M10</t>
  </si>
  <si>
    <t>2012M11</t>
  </si>
  <si>
    <t>2012M12</t>
  </si>
  <si>
    <t>2013M01</t>
  </si>
  <si>
    <t>2013M02</t>
  </si>
  <si>
    <t>2013M03</t>
  </si>
  <si>
    <t>2013M04</t>
  </si>
  <si>
    <t>2013M05</t>
  </si>
  <si>
    <t>2013M06</t>
  </si>
  <si>
    <t>2013M07</t>
  </si>
  <si>
    <t>2013M08</t>
  </si>
  <si>
    <t>2013M09</t>
  </si>
  <si>
    <t>NA</t>
  </si>
  <si>
    <t>Rownum</t>
  </si>
  <si>
    <t>Colnum</t>
  </si>
  <si>
    <t>Width</t>
  </si>
  <si>
    <t>h</t>
  </si>
  <si>
    <t>Date</t>
  </si>
  <si>
    <t>First</t>
  </si>
  <si>
    <t>Second</t>
  </si>
  <si>
    <t>Correlation</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</si>
  <si>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</si>
  <si>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</si>
  <si>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</si>
  <si>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</si>
  <si>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</si>
  <si>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</si>
  <si>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</si>
  <si>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</si>
  <si>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</si>
  <si>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</si>
  <si>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</si>
  <si>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</si>
  <si>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</si>
  <si>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</si>
  <si>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</si>
  <si>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</si>
  <si>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</si>
  <si>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</si>
  <si>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</si>
  <si>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</si>
  <si>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</si>
  <si>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</si>
  <si>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</si>
  <si>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</si>
  <si>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</si>
  <si>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coeff</t>
  </si>
  <si>
    <t>stdev</t>
  </si>
  <si>
    <t>rsq</t>
  </si>
  <si>
    <t>=</t>
  </si>
  <si>
    <t>+</t>
  </si>
  <si>
    <t>*</t>
  </si>
  <si>
    <t>second</t>
  </si>
  <si>
    <t>avg+4*stdev</t>
  </si>
  <si>
    <t>avg-4*stdev</t>
  </si>
  <si>
    <t>bins</t>
  </si>
  <si>
    <t>increment</t>
  </si>
  <si>
    <t>Frequency</t>
  </si>
  <si>
    <t>Probability</t>
  </si>
  <si>
    <t>normdist</t>
  </si>
  <si>
    <t>Row</t>
  </si>
  <si>
    <t>Column</t>
  </si>
  <si>
    <t>Height</t>
  </si>
  <si>
    <t>First Series</t>
  </si>
  <si>
    <t>Second Series</t>
  </si>
  <si>
    <t>Index Num</t>
  </si>
  <si>
    <t>Offset Parameters</t>
  </si>
  <si>
    <t>Number</t>
  </si>
  <si>
    <t>Number Analysed</t>
  </si>
  <si>
    <t>Date NA</t>
  </si>
  <si>
    <t>a</t>
  </si>
  <si>
    <t>Mean</t>
  </si>
  <si>
    <t>Std Dev</t>
  </si>
  <si>
    <t>Low Range</t>
  </si>
  <si>
    <t>High Range</t>
  </si>
  <si>
    <t>Natural gas index</t>
  </si>
  <si>
    <t>Iron ore, cfr spot</t>
  </si>
  <si>
    <t>(2010=100)</t>
  </si>
  <si>
    <t>($/kg)</t>
  </si>
  <si>
    <t>($/dmtu)</t>
  </si>
  <si>
    <t>iNATGAS</t>
  </si>
  <si>
    <t>2013M10</t>
  </si>
  <si>
    <t>2013M11</t>
  </si>
  <si>
    <t>2013M12</t>
  </si>
  <si>
    <t>2014M01</t>
  </si>
  <si>
    <t>2014M02</t>
  </si>
  <si>
    <t>Year</t>
  </si>
  <si>
    <t>X-Range</t>
  </si>
  <si>
    <t>Lagged</t>
  </si>
  <si>
    <t>Pct Change</t>
  </si>
  <si>
    <t>Number Test</t>
  </si>
  <si>
    <t>Isnumber</t>
  </si>
  <si>
    <t>Vol</t>
  </si>
  <si>
    <t>First Data Period</t>
  </si>
  <si>
    <t>First Year</t>
  </si>
  <si>
    <t>Last Year</t>
  </si>
  <si>
    <t>Start Period</t>
  </si>
  <si>
    <t>Volatility for Period</t>
  </si>
  <si>
    <t>Annual Vol</t>
  </si>
  <si>
    <t>Graph Titles</t>
  </si>
  <si>
    <t>Volatility</t>
  </si>
  <si>
    <t>12 Month Rolling Vol</t>
  </si>
  <si>
    <t>Vol NA</t>
  </si>
  <si>
    <t>12 Month Rolling Volatility</t>
  </si>
  <si>
    <t>Volatility over Period</t>
  </si>
  <si>
    <t>Value</t>
  </si>
  <si>
    <t>Test</t>
  </si>
  <si>
    <t>LN</t>
  </si>
  <si>
    <t>Annual Volatility</t>
  </si>
  <si>
    <t>Annual Volatilty</t>
  </si>
  <si>
    <t xml:space="preserve"> 
</t>
  </si>
  <si>
    <t>Distribution Analysis</t>
  </si>
  <si>
    <t>Standard Deviation</t>
  </si>
  <si>
    <t>Monthly</t>
  </si>
  <si>
    <t>Annual</t>
  </si>
  <si>
    <t>Three Year</t>
  </si>
  <si>
    <t>Table of Contents</t>
  </si>
  <si>
    <t>Monthly Prices</t>
  </si>
  <si>
    <t>Base Sheet</t>
  </si>
  <si>
    <t>Offset Chart</t>
  </si>
  <si>
    <t>Scatter</t>
  </si>
  <si>
    <t>Distribution Chart</t>
  </si>
  <si>
    <t>Distribution Chart 1</t>
  </si>
  <si>
    <t>12 Month Moving Volatility</t>
  </si>
  <si>
    <t>Chart6</t>
  </si>
  <si>
    <t>Distributions</t>
  </si>
  <si>
    <t>regression</t>
  </si>
  <si>
    <t>Offset</t>
  </si>
  <si>
    <t>Misc</t>
  </si>
  <si>
    <t>Chart with NA Method</t>
  </si>
  <si>
    <t>Sheet Tab</t>
  </si>
  <si>
    <t>Description</t>
  </si>
  <si>
    <t>Author</t>
  </si>
  <si>
    <t xml:space="preserve"> File Name: </t>
  </si>
  <si>
    <t>C:\Users\Monika\Documents\Courses\Chapter 1. Models and Analysis\8. Data Retrivial\Commodity Price Analysis.xlsm</t>
  </si>
  <si>
    <t xml:space="preserve"> Colour Codes </t>
  </si>
  <si>
    <t xml:space="preserve"> Last Save Date </t>
  </si>
  <si>
    <t xml:space="preserve"> Last Save By</t>
  </si>
  <si>
    <t>Rapeseed oil</t>
  </si>
  <si>
    <t>Sunflower oil</t>
  </si>
  <si>
    <t>RAPESEED_OIL</t>
  </si>
  <si>
    <t>SUNFLOWER_OIL</t>
  </si>
  <si>
    <t>2014M03</t>
  </si>
  <si>
    <t>2014M04</t>
  </si>
  <si>
    <t>2014M05</t>
  </si>
  <si>
    <t>2014M06</t>
  </si>
  <si>
    <t>2014M07</t>
  </si>
  <si>
    <t>Begin</t>
  </si>
  <si>
    <t>End</t>
  </si>
  <si>
    <t>2014M08</t>
  </si>
  <si>
    <t>2014M09</t>
  </si>
  <si>
    <t>2014M10</t>
  </si>
  <si>
    <t>2014M11</t>
  </si>
  <si>
    <t>2014M12</t>
  </si>
  <si>
    <t>2015M01</t>
  </si>
  <si>
    <t>2015M02</t>
  </si>
  <si>
    <t>2015M03</t>
  </si>
  <si>
    <t>2015M04</t>
  </si>
  <si>
    <t>2015M05</t>
  </si>
  <si>
    <t>2015M06</t>
  </si>
  <si>
    <t>2015M07</t>
  </si>
  <si>
    <t>2015M08</t>
  </si>
  <si>
    <t>Forecast Achive</t>
  </si>
  <si>
    <t>Supplements</t>
  </si>
  <si>
    <t>Pink Data Sheet</t>
  </si>
  <si>
    <t>2015M09</t>
  </si>
  <si>
    <t>2015M10</t>
  </si>
  <si>
    <t>2015M11</t>
  </si>
  <si>
    <t>2015M12</t>
  </si>
  <si>
    <t>2016M01</t>
  </si>
  <si>
    <t>2016M02</t>
  </si>
  <si>
    <t>http://www.worldbank.org/en/research/commodity-markets</t>
  </si>
  <si>
    <t>General Page</t>
  </si>
  <si>
    <t>2016M03</t>
  </si>
  <si>
    <t>2016M04</t>
  </si>
  <si>
    <t>2016M05</t>
  </si>
  <si>
    <t>Last Row</t>
  </si>
  <si>
    <t>Website</t>
  </si>
  <si>
    <t>http://pubdocs.worldbank.org/en/224591469470606338/CMO-2016-Jan-Forecasts.xlsx</t>
  </si>
  <si>
    <t>http://www.worldbank.org/en/research/commodity-markets#3</t>
  </si>
  <si>
    <t>Forecast</t>
  </si>
  <si>
    <t>http://pubdocs.worldbank.org/en/590041469470605429/CMO-2015-Oct-Forecasts.xlsx</t>
  </si>
  <si>
    <t>http://pubdocs.worldbank.org/en/406591469470604511/CMO-2015-July-Forecasts.xlsx</t>
  </si>
  <si>
    <t>annual prices, 1960 to present, nominal US dollars</t>
  </si>
  <si>
    <t>(annual series are available in nominal and real dollars)</t>
  </si>
  <si>
    <t>(¢/sheet)</t>
  </si>
  <si>
    <t>annual prices, 1960 to present, real 2010 US dollars</t>
  </si>
  <si>
    <t>MUV Index</t>
  </si>
  <si>
    <t>Series Description</t>
  </si>
  <si>
    <t>Sources</t>
  </si>
  <si>
    <t>Energy</t>
  </si>
  <si>
    <t xml:space="preserve">   *</t>
  </si>
  <si>
    <t>Coal (Colombia), thermal GAR, f.o.b. Bolivar,  6,450 kcal/kg, (11,200 btu/lb), less than 1.0%, sulfur 16% ash from August 2005 onwards; during years 2002-July 2005 11,600 btu/lb, less than .8% sulfur, 9% ash , 180 days forward delivery</t>
  </si>
  <si>
    <t>Crude oil, average spot price of Brent, Dubai and West Texas  Intermediate, equally weighed</t>
  </si>
  <si>
    <t>World Bank.</t>
  </si>
  <si>
    <t>Crude oil, UK Brent 38` API.</t>
  </si>
  <si>
    <t>Bloomberg; Energy Intelligence Group (EIG); Organization of Petroleum Exporting Countries (OPEC); World Bank.</t>
  </si>
  <si>
    <t>Crude oil, Dubai Fateh 32` API for years 1985-present; 1960-84 refer to Saudi Arabian Light, 34` API.</t>
  </si>
  <si>
    <t>Crude oil, US, West Texas Intermediate (WTI) 40` API.</t>
  </si>
  <si>
    <t>Natural gas index (Laspeyres), average of Europe, US and Japan (LNG), weights based on 5-year average consumption volumes, updated every 5 years, except the 11-year period 1960-70.</t>
  </si>
  <si>
    <t>Beverages</t>
  </si>
  <si>
    <t>Cocoa (ICCO), International Cocoa Organization daily price, average of  the first three positions on the terminal markets of New York and London, nearest three future trading months.</t>
  </si>
  <si>
    <t>Coffee (ICO), International Coffee Organization indicator price, other mild Arabicas, average New York and Bremen/Hamburg markets, ex-dock</t>
  </si>
  <si>
    <t>Coffee (ICO), International Coffee Organization indicator price, Robustas, average New York and Le Havre/Marseilles markets, ex-dock</t>
  </si>
  <si>
    <t>Tea , average three auctions, arithmetic average of quotations at Kolkata, Colombo and Mombasa/Nairobi.</t>
  </si>
  <si>
    <t>Tea (Colombo auctions), Sri Lankan origin, all tea, arithmetic average of weekly quotes.</t>
  </si>
  <si>
    <t>Tea (Kolkata auctions), leaf, include excise duty, arithmetic average of weekly quotes.</t>
  </si>
  <si>
    <t>Tea (Mombasa/Nairobi auctions), African origin, all tea, arithmetic average of weekly quotes.</t>
  </si>
  <si>
    <t>Fats and Oils</t>
  </si>
  <si>
    <t>Grains</t>
  </si>
  <si>
    <t>US Department of Agriculture; World Bank.</t>
  </si>
  <si>
    <t>Rice (Thailand), 5% broken, white rice (WR), milled, indicative price based on  weekly surveys of export transactions, government standard, f.o.b. Bangkok</t>
  </si>
  <si>
    <t>Rice (Thailand), 25% broken, WR, milled indicative survey price, government standard, f.o.b. Bangkok</t>
  </si>
  <si>
    <t>Rice (Thailand), 100% broken, A.1 Super from 2006 onwards, government standard, f.o.b. Bangkok; prior to 2006, A1 Special, a slightly lower grade than A1 Super.</t>
  </si>
  <si>
    <t>Rice (Vietnam), 5% broken, WR, milled, weekly indicative survey price, Minimum Export Price, f.o.b. Hanoi</t>
  </si>
  <si>
    <t>Wheat (Canada), no. 1, Western Red Spring (CWRS), in store, St. Lawrence, export price</t>
  </si>
  <si>
    <t>Canadian Grain Commission; Thomson Reuters Datastream; World Bank.</t>
  </si>
  <si>
    <t>Bloomberg; US Department of Agriculture; World Bank.</t>
  </si>
  <si>
    <t>Other food</t>
  </si>
  <si>
    <t>Meat, sheep (New Zealand), frozen whole carcasses Prime Medium (PM) wholesale, Smithfield, London  beginning January 2006; previously Prime Light (PL)</t>
  </si>
  <si>
    <t>Meat Trade Journal; World Bank.</t>
  </si>
  <si>
    <t>Oranges (Mediterranean exporters) navel, European Union indicative import price, c.i.f. Paris</t>
  </si>
  <si>
    <t>Sugar (EU), European Union negotiated import price for raw unpackaged sugar from African, Caribbean and Pacific (ACP) under Lome Conventions, c.I.f. European ports</t>
  </si>
  <si>
    <t>International Monetary Fund; World Bank.</t>
  </si>
  <si>
    <t>Bloomberg, World Bank.</t>
  </si>
  <si>
    <t>Raw Materials</t>
  </si>
  <si>
    <t>Timber</t>
  </si>
  <si>
    <t>International Tropical Timber Organization; Marches Tropicaux et Mediterraneens; World Bank.</t>
  </si>
  <si>
    <t>International Tropical Timber Organization; Mokuzai Shikyo Geppo; World Bank.</t>
  </si>
  <si>
    <t>Plywood (Africa and Southeast Asia), Lauan, 3-ply, extra, 91 cm x 182 cm x 4 mm,  wholesale price, spot Tokyo</t>
  </si>
  <si>
    <t>Woodpulp (Sweden), softwood, sulphate, bleached, air-dry weight, c.i.f.  North Sea ports</t>
  </si>
  <si>
    <t>Statistisches Bundesamt, Germany; Allman Manadsstatistik, Sweden; World Bank.</t>
  </si>
  <si>
    <t>Other Raw Materials</t>
  </si>
  <si>
    <t>Cotton (Cotton Outlook "CotlookA index"), middling 1-3/32 inch, traded in Far East, C/F beginning 2006; previously Northern Europe, c.i.f.</t>
  </si>
  <si>
    <t>Cotton Outlook; International Cotton Advisory Committee; Liverpool Cotton Services Ltd.; World Bank.</t>
  </si>
  <si>
    <t>Cotton (US), Memphis/Eastern, middling 1-3/32 inch, Far East , C/F beginning October 2008; previously c.i.f. Northern Europe</t>
  </si>
  <si>
    <t>Rubber (Asia), RSS3 grade, Singapore Commodity Exchange Ltd (SICOM) nearby contract beginning 2004; during 2000 to 2003, Singapore RSS1; previously Malaysia RSS1</t>
  </si>
  <si>
    <t>Rubber (any origin), Ribbed Smoked Sheet (RSS) no. 1, in bales, Rubber Traders Association (RTA), spot, New York</t>
  </si>
  <si>
    <t>International Rubber Study Group; The Wall Street Journal; World Bank.</t>
  </si>
  <si>
    <t>Rubber (Asia), TSR 20, Technically Specified Rubber, SGX/SICOM nearby futures contract</t>
  </si>
  <si>
    <t>Tobacco (any origin), unmanufactured, general import , cif, US</t>
  </si>
  <si>
    <t>US Department of Agriculture, World Bank.</t>
  </si>
  <si>
    <t>Fertilizers</t>
  </si>
  <si>
    <t>Metals and Minerals</t>
  </si>
  <si>
    <t>Aluminum (LME) London Metal Exchange, unalloyed primary ingots, high grade, minimum 99.7% purity, settlement price beginning 2005; previously cash price</t>
  </si>
  <si>
    <t>Copper (LME), grade A, minimum 99.9935% purity, cathodes and wire bar shapes, settlement price</t>
  </si>
  <si>
    <t xml:space="preserve">Iron ore, spot in US dollar/dry ton and contract in US cents/dmtu. For years 2008 (December) to present, spot, (any origin) fines, 62% Fe, c.f.r. China; during 2006 to 2008 (November) spot, 63.5%Fe.  Earlier data refer to annual contract prices (Brazil for Europe,) VALE Carajas mines sinter feed, f.o.b. Ponta da Madeira during years 1987-2009; Itabira mines f.o.b. Tubarão for years 1960-86.  Unit dmtu denotes dry metric ton unit , i.e. 1% Fe-unit. </t>
  </si>
  <si>
    <t>VALE; CVRD; UNCTAD; World Bank.</t>
  </si>
  <si>
    <t>Iron ore (any origin) fines, spot price, c.f.r. China, 62% Fe beginning December 2008; previously 63.5%</t>
  </si>
  <si>
    <t>Lead (LME), refined, 99.97% purity, settlement price</t>
  </si>
  <si>
    <t>Nickel (LME), cathodes, minimum 99.8% purity, settlement price beginning 2005; previously cash price</t>
  </si>
  <si>
    <t>Steel products index</t>
  </si>
  <si>
    <t>Steel, Cold-rolled coil/sheet (Japan) producers' export contracts (3 to 12 months terms) fob mainly to Asia</t>
  </si>
  <si>
    <t>Japan Metal Bulletin, World Bank.</t>
  </si>
  <si>
    <t>Steel, Hot-rolled coil/sheet (Japan) producers' export contracts (3 to 12 months terms) fob mainly to Asia</t>
  </si>
  <si>
    <t>Steel, Rebar (concrete Reinforcing bars) (Japan) producers' export contracts (3 to 12 months terms) fob mainly to Asia</t>
  </si>
  <si>
    <t>Steel, Wire ord (Japan) producers' export contracts (3 to 12 months terms) fob mainly to Asia</t>
  </si>
  <si>
    <t>Tin (LME), refined, 99.85% purity, settlement price</t>
  </si>
  <si>
    <t xml:space="preserve">Zinc (LME), high grade, minimum 99.95% purity, settlement price beginning April 1990; previously special high grade, minimum 99.995%, cash prices </t>
  </si>
  <si>
    <t>Precious Metals</t>
  </si>
  <si>
    <t>Gold (UK), 99.5% fine, London afternoon fixing, average of daily rates</t>
  </si>
  <si>
    <t>Platinum (UK), 99.9% refined, London afternoon fixing</t>
  </si>
  <si>
    <t>Silver (UK), 99.9% refined, London afternoon fixing; prior to July 1976 Handy &amp; Harman.  Grade prior to 1962 unrefined silver.</t>
  </si>
  <si>
    <t>denotes forecast series</t>
  </si>
  <si>
    <t>World Bank Commodities Price Forecast (nominal US dollars)</t>
  </si>
  <si>
    <t>Commodity</t>
  </si>
  <si>
    <t>Unit</t>
  </si>
  <si>
    <t/>
  </si>
  <si>
    <t>FCOAL_AUS</t>
  </si>
  <si>
    <t>Coal, Australia</t>
  </si>
  <si>
    <t>$/mt</t>
  </si>
  <si>
    <t>FCRUDE_PETRO</t>
  </si>
  <si>
    <t>Crude oil, avg, spot</t>
  </si>
  <si>
    <t>$/bbl</t>
  </si>
  <si>
    <t>FNGAS_EUR</t>
  </si>
  <si>
    <t>$/mmbtu</t>
  </si>
  <si>
    <t>FNGAS_US</t>
  </si>
  <si>
    <t>FNGAS_JP</t>
  </si>
  <si>
    <t>Natural gas LNG, Japan</t>
  </si>
  <si>
    <t>Non Energy Commodities</t>
  </si>
  <si>
    <t>Agriculture</t>
  </si>
  <si>
    <t>FCOCOA</t>
  </si>
  <si>
    <t>$/kg</t>
  </si>
  <si>
    <t>FCOFFEE_ARABIC</t>
  </si>
  <si>
    <t>Coffee, Arabica</t>
  </si>
  <si>
    <t>FCOFFEE_ROBUS</t>
  </si>
  <si>
    <t>FTEA_AVG</t>
  </si>
  <si>
    <t>Tea, auctions (3), average</t>
  </si>
  <si>
    <t>Food</t>
  </si>
  <si>
    <t>Oils and Meals</t>
  </si>
  <si>
    <t>FCOCONUT_OIL</t>
  </si>
  <si>
    <t>FGRNUT_OIL</t>
  </si>
  <si>
    <t>FPALM_OIL</t>
  </si>
  <si>
    <t>FSOYBEAN_MEAL</t>
  </si>
  <si>
    <t>FSOYBEAN_OIL</t>
  </si>
  <si>
    <t>FSOYBEANS</t>
  </si>
  <si>
    <t>FBARLEY</t>
  </si>
  <si>
    <t>FMAIZE</t>
  </si>
  <si>
    <t>FRICE_05</t>
  </si>
  <si>
    <t>Rice, Thailand, 5%</t>
  </si>
  <si>
    <t>FWHEAT_US_HRW</t>
  </si>
  <si>
    <t>Wheat, US, HRW</t>
  </si>
  <si>
    <t>Other Food</t>
  </si>
  <si>
    <t>FBANANA_US</t>
  </si>
  <si>
    <t>FBEEF</t>
  </si>
  <si>
    <t>Meat, beef</t>
  </si>
  <si>
    <t>FCHICKEN</t>
  </si>
  <si>
    <t>FORANGE</t>
  </si>
  <si>
    <t>Oranges</t>
  </si>
  <si>
    <t>FSHRIMP_MEX</t>
  </si>
  <si>
    <t>Shrimp, Mexico</t>
  </si>
  <si>
    <t>FSUGAR_WLD</t>
  </si>
  <si>
    <t>Sugar, World</t>
  </si>
  <si>
    <t>FLOGS_CMR</t>
  </si>
  <si>
    <t>$/cum</t>
  </si>
  <si>
    <t>FLOGS_MYS</t>
  </si>
  <si>
    <t>Logs, Malaysia</t>
  </si>
  <si>
    <t>FSAWNWD_MYS</t>
  </si>
  <si>
    <t>Sawnwood, Malaysia</t>
  </si>
  <si>
    <t>FCOTTON_A_INDX</t>
  </si>
  <si>
    <t>Cotton A Index</t>
  </si>
  <si>
    <t>FRUBBER1_MYSG</t>
  </si>
  <si>
    <t>Rubber, Malaysian</t>
  </si>
  <si>
    <t>FTOBAC_US</t>
  </si>
  <si>
    <t>Tobacco</t>
  </si>
  <si>
    <t>FDAP</t>
  </si>
  <si>
    <t>FPHOSROCK</t>
  </si>
  <si>
    <t>FPOTASH</t>
  </si>
  <si>
    <t>Potassium chloride</t>
  </si>
  <si>
    <t>FTSP</t>
  </si>
  <si>
    <t>FUREA_EE_BULK</t>
  </si>
  <si>
    <t>Urea, E. Europe, bulk</t>
  </si>
  <si>
    <t>FALUMINUM</t>
  </si>
  <si>
    <t xml:space="preserve">Aluminum </t>
  </si>
  <si>
    <t>FCOPPER</t>
  </si>
  <si>
    <t>FIRON_ORE</t>
  </si>
  <si>
    <t>Iron ore</t>
  </si>
  <si>
    <t>$/dmt</t>
  </si>
  <si>
    <t>FLEAD</t>
  </si>
  <si>
    <t>FNICKEL</t>
  </si>
  <si>
    <t>FTIN</t>
  </si>
  <si>
    <t>FZINC</t>
  </si>
  <si>
    <t>FGOLD</t>
  </si>
  <si>
    <t>$/toz</t>
  </si>
  <si>
    <t>FSILVER</t>
  </si>
  <si>
    <t>FPLATINUM</t>
  </si>
  <si>
    <t>World Bank Commodities Price Forecast (constant US dollars)</t>
  </si>
  <si>
    <t>KFCOAL_AUS</t>
  </si>
  <si>
    <t>KFCRUDE_PETRO</t>
  </si>
  <si>
    <t>KFNGAS_EUR</t>
  </si>
  <si>
    <t>KFNGAS_US</t>
  </si>
  <si>
    <t>KFNGAS_JP</t>
  </si>
  <si>
    <t>KFCOCOA</t>
  </si>
  <si>
    <t>KFCOFFEE_ARABIC</t>
  </si>
  <si>
    <t>KFCOFFEE_ROBUS</t>
  </si>
  <si>
    <t>KFTEA_AVG</t>
  </si>
  <si>
    <t>KFCOCONUT_OIL</t>
  </si>
  <si>
    <t>KFGRNUT_OIL</t>
  </si>
  <si>
    <t>KFPALM_OIL</t>
  </si>
  <si>
    <t>KFSOYBEAN_MEAL</t>
  </si>
  <si>
    <t>KFSOYBEAN_OIL</t>
  </si>
  <si>
    <t>KFSOYBEANS</t>
  </si>
  <si>
    <t>KFBARLEY</t>
  </si>
  <si>
    <t>KFMAIZE</t>
  </si>
  <si>
    <t>KFRICE_05</t>
  </si>
  <si>
    <t>KFWHEAT_US_HRW</t>
  </si>
  <si>
    <t>KFBANANA_US</t>
  </si>
  <si>
    <t>KFBEEF</t>
  </si>
  <si>
    <t>KFCHICKEN</t>
  </si>
  <si>
    <t>KFORANGE</t>
  </si>
  <si>
    <t>KFSHRIMP_MEX</t>
  </si>
  <si>
    <t>KFSUGAR_WLD</t>
  </si>
  <si>
    <t>KFLOGS_CMR</t>
  </si>
  <si>
    <t>KFLOGS_MYS</t>
  </si>
  <si>
    <t>KFSAWNWD_MYS</t>
  </si>
  <si>
    <t>KFCOTTON_A_INDX</t>
  </si>
  <si>
    <t>KFRUBBER1_MYSG</t>
  </si>
  <si>
    <t>KFTOBAC_US</t>
  </si>
  <si>
    <t>KFDAP</t>
  </si>
  <si>
    <t>KFPHOSROCK</t>
  </si>
  <si>
    <t>KFPOTASH</t>
  </si>
  <si>
    <t>KFTSP</t>
  </si>
  <si>
    <t>KFUREA_EE_BULK</t>
  </si>
  <si>
    <t>KFALUMINUM</t>
  </si>
  <si>
    <t>KFCOPPER</t>
  </si>
  <si>
    <t>KFIRON_ORE</t>
  </si>
  <si>
    <t>KFLEAD</t>
  </si>
  <si>
    <t>KFNICKEL</t>
  </si>
  <si>
    <t>KFTIN</t>
  </si>
  <si>
    <t>KFZINC</t>
  </si>
  <si>
    <t>KFGOLD</t>
  </si>
  <si>
    <t>KFSILVER</t>
  </si>
  <si>
    <t>KFPLATINUM</t>
  </si>
  <si>
    <t>Price indices in nominal US dollars (2010=100)</t>
  </si>
  <si>
    <t>FiENERGY</t>
  </si>
  <si>
    <t>FiNONFUEL</t>
  </si>
  <si>
    <t>Non-energy commodities</t>
  </si>
  <si>
    <t>FiAGRICULTURE</t>
  </si>
  <si>
    <t>FiBEVERAGES</t>
  </si>
  <si>
    <t>FiFOOD</t>
  </si>
  <si>
    <t>FiFATS_OILS</t>
  </si>
  <si>
    <t>FiGRAINS</t>
  </si>
  <si>
    <t>FiOTHERFOOD</t>
  </si>
  <si>
    <t>FiRAW_MATERIAL</t>
  </si>
  <si>
    <t>Raw materials</t>
  </si>
  <si>
    <t>FiTIMBER</t>
  </si>
  <si>
    <t>FiOTHERRAWMAT</t>
  </si>
  <si>
    <t>FiFERTILIZERS</t>
  </si>
  <si>
    <t>FiMETMIN</t>
  </si>
  <si>
    <t>Metals and minerals a/</t>
  </si>
  <si>
    <t>FiBASEMET</t>
  </si>
  <si>
    <t>Base Metals b/</t>
  </si>
  <si>
    <t>FiPRECIOUSMET</t>
  </si>
  <si>
    <t>Price indices in real 2010 US dollars (2010=100) c/</t>
  </si>
  <si>
    <t>KFiENERGY</t>
  </si>
  <si>
    <t>KFiNONFUEL</t>
  </si>
  <si>
    <t>KFiAGRICULTURE</t>
  </si>
  <si>
    <t>KFiBEVERAGES</t>
  </si>
  <si>
    <t>KFiFOOD</t>
  </si>
  <si>
    <t>KFiFATS_OILS</t>
  </si>
  <si>
    <t>KFiGRAINS</t>
  </si>
  <si>
    <t>KFiOTHERFOOD</t>
  </si>
  <si>
    <t>KFiRAW_MATERIAL</t>
  </si>
  <si>
    <t>KFiTIMBER</t>
  </si>
  <si>
    <t>KFiOTHERRAWMAT</t>
  </si>
  <si>
    <t>KFiFERTILIZERS</t>
  </si>
  <si>
    <t>KFiMETMIN</t>
  </si>
  <si>
    <t>KFiBASEMET</t>
  </si>
  <si>
    <t>KFiPRECIOUSMET</t>
  </si>
  <si>
    <t>Inflation indices, 2010=100 d/</t>
  </si>
  <si>
    <t>MUV</t>
  </si>
  <si>
    <t>MUV index e/</t>
  </si>
  <si>
    <t>MUVPC</t>
  </si>
  <si>
    <t>% change per annum</t>
  </si>
  <si>
    <t>USANYMKTPXD</t>
  </si>
  <si>
    <t>US GDP deflator</t>
  </si>
  <si>
    <t>USANYMKTPXDPC</t>
  </si>
  <si>
    <t>2016M06</t>
  </si>
  <si>
    <t>2016M07</t>
  </si>
  <si>
    <t>Review of Existing File and Offset</t>
  </si>
  <si>
    <t>Reading Forecast and Annual Trends</t>
  </si>
  <si>
    <t>Creating History and Forecast with Lookup</t>
  </si>
  <si>
    <t xml:space="preserve">Making Flexible Range Name with Offset </t>
  </si>
  <si>
    <t>Creating Flexible Graph with Multiple Series</t>
  </si>
  <si>
    <t>x_range</t>
  </si>
  <si>
    <t>first</t>
  </si>
  <si>
    <t>lag_first</t>
  </si>
  <si>
    <t>ln_first</t>
  </si>
  <si>
    <t xml:space="preserve">Data for Distribution Analysis </t>
  </si>
  <si>
    <t>lag_second</t>
  </si>
  <si>
    <t>ln_second</t>
  </si>
  <si>
    <t>Annual Summary for</t>
  </si>
  <si>
    <t>Combined Date Switch</t>
  </si>
  <si>
    <t>First Date Switch</t>
  </si>
  <si>
    <t>Last Date Switch</t>
  </si>
  <si>
    <t>Average</t>
  </si>
  <si>
    <t>Basic Code</t>
  </si>
  <si>
    <t>Forecast Code</t>
  </si>
  <si>
    <t>Real Annual Code</t>
  </si>
  <si>
    <t>Real Forecast Code</t>
  </si>
  <si>
    <t>Fcst</t>
  </si>
  <si>
    <t>Rfcst</t>
  </si>
  <si>
    <t>Rhist</t>
  </si>
  <si>
    <t>Last Historic Year</t>
  </si>
  <si>
    <t>Historic</t>
  </si>
  <si>
    <t>History</t>
  </si>
  <si>
    <t>Start Historic</t>
  </si>
  <si>
    <t>Last Forecast Year</t>
  </si>
  <si>
    <t>Index Year</t>
  </si>
  <si>
    <t>Match</t>
  </si>
  <si>
    <t>List Box vs Combo Box</t>
  </si>
  <si>
    <t>Copying List Box</t>
  </si>
  <si>
    <t>Defining Range Name</t>
  </si>
  <si>
    <t>Clearing the List Box</t>
  </si>
  <si>
    <t>Values</t>
  </si>
  <si>
    <t>Percent Change</t>
  </si>
  <si>
    <t>Index Value</t>
  </si>
  <si>
    <t>Index Code</t>
  </si>
  <si>
    <t>Choose and IF for Index Numbers</t>
  </si>
  <si>
    <t>Raw Value</t>
  </si>
  <si>
    <t>Use NA Method for X-scale</t>
  </si>
  <si>
    <t>simple</t>
  </si>
  <si>
    <t>Final Graph Data</t>
  </si>
  <si>
    <t>Max</t>
  </si>
  <si>
    <t>Use Alternative Methods</t>
  </si>
  <si>
    <t>Historic Real Numbers</t>
  </si>
  <si>
    <t>Nominal Forecast</t>
  </si>
  <si>
    <t xml:space="preserve">Real Forecast  </t>
  </si>
  <si>
    <t>List Output</t>
  </si>
  <si>
    <t>2016M08</t>
  </si>
  <si>
    <t>Prices in Constant USD</t>
  </si>
  <si>
    <t>2016M09</t>
  </si>
  <si>
    <t>http://pubdocs.worldbank.org/en/991591476804663190/CMO-October-2016-Forecasts.xlsx</t>
  </si>
  <si>
    <t>Series 1</t>
  </si>
  <si>
    <t>Series 2</t>
  </si>
  <si>
    <t>Start</t>
  </si>
  <si>
    <t>1 Year</t>
  </si>
  <si>
    <t>5 Year</t>
  </si>
  <si>
    <t>Graph Start</t>
  </si>
  <si>
    <t>Computed Max</t>
  </si>
  <si>
    <t>Input Max</t>
  </si>
  <si>
    <t>Apply Input</t>
  </si>
  <si>
    <t>Applied Max</t>
  </si>
  <si>
    <t>Auto</t>
  </si>
  <si>
    <t>Input</t>
  </si>
  <si>
    <t>End Year</t>
  </si>
  <si>
    <t>Index =100 Year</t>
  </si>
  <si>
    <t>http://pubdocs.worldbank.org/en/975201485188874357/CMO-January-2017-Forecasts.xlsx</t>
  </si>
  <si>
    <t>Forecasts</t>
  </si>
  <si>
    <t>Bananas, US</t>
  </si>
  <si>
    <t>2016M10</t>
  </si>
  <si>
    <t>2016M11</t>
  </si>
  <si>
    <t>2016M12</t>
  </si>
  <si>
    <t>2017M01</t>
  </si>
  <si>
    <t>2017M02</t>
  </si>
  <si>
    <t>Selected</t>
  </si>
  <si>
    <t>2017M03</t>
  </si>
  <si>
    <t>2017M04</t>
  </si>
  <si>
    <t>Crude oil, avg</t>
  </si>
  <si>
    <t>Coffee, Robusta</t>
  </si>
  <si>
    <t>http://pubdocs.worldbank.org/en/524241493046966255/CMO-April-2017-Forecasts.xlsx</t>
  </si>
  <si>
    <t>Shrimps, Mexican</t>
  </si>
  <si>
    <t>2017M05</t>
  </si>
  <si>
    <t>2017M06</t>
  </si>
  <si>
    <t>2017M07</t>
  </si>
  <si>
    <t>2017M08</t>
  </si>
  <si>
    <t>2017M09</t>
  </si>
  <si>
    <t>2017M10</t>
  </si>
  <si>
    <t>2017M11</t>
  </si>
  <si>
    <t>2017M12</t>
  </si>
  <si>
    <t>2018M01</t>
  </si>
  <si>
    <t>2018M02</t>
  </si>
  <si>
    <t>Sorghum (US), no. 2 milo yellow, Texas export bids for grain delivered to export elevators, rail-truck, f.o.b. Gulf ports</t>
  </si>
  <si>
    <t>Meat, chicken (US), Urner Barry North East weighted average for broiler/fryer, whole birds, 2.5 to 3.5 pounds, USDA grade "A" from 2013 onwards; 1980-2012, Georgia Dock weighted average, 2.5 to 3 pounds,wholesale; previously World Bank estimates.</t>
  </si>
  <si>
    <t>2018M03</t>
  </si>
  <si>
    <t>2018M04</t>
  </si>
  <si>
    <t>2018M05</t>
  </si>
  <si>
    <t>2018M06</t>
  </si>
  <si>
    <t>2018M07</t>
  </si>
  <si>
    <t>2018M08</t>
  </si>
  <si>
    <t>Official Statistics of Japan; World Gas Intelligence; World Bank.</t>
  </si>
  <si>
    <t>Bloomberg; ISTA Mielke GmbH, Oil World; US Department of Agriculture; World Bank.</t>
  </si>
  <si>
    <t>DAP (diammonium phosphate), spot, f.o.b. US Gulf</t>
  </si>
  <si>
    <t>Phosphate rock , f.o.b. North Africa</t>
  </si>
  <si>
    <t>TSP (triple superphosphate), spot, import US Gulf</t>
  </si>
  <si>
    <t>Urea, (Ukraine), f.o.b. Black Sea</t>
  </si>
  <si>
    <t>2018M09</t>
  </si>
  <si>
    <t>2018M10</t>
  </si>
  <si>
    <t>2018M11</t>
  </si>
  <si>
    <t>Coal (Australia), from January 2015, port thermal, fo.b. Newcastle, 6000 kcal/kg spot price. 2002-2014, thermal GAR, f.o.b. piers, Newcastle/Port Kembla , 6,300 kcal/kg (11,340 btu/lb), less than 0.8%, sulfur 13% ash; previously 6,667 kcal/kg (12,000 btu/lb), less than 1.0% sulfur, 14%  ash</t>
  </si>
  <si>
    <t>Bloomberg; Coal Week International; Coal Week; IHS McCloskey Coal Report; International Coal Report World Bank.</t>
  </si>
  <si>
    <t>Coal Week; Coal Week International; International Coal Report; World Bank.</t>
  </si>
  <si>
    <t>Coal (South Africa), from January 2015, f.o.b. Richards Bay, NAR, 6,000 kcal/kg, sulfur less than 1%, forward month 1;  from February 13, 2017 to December 2017, thermal NAR netback assessment f.o.b. Richards Bay 6,000 kcal/kg; during 2006-February 10, 2017 thermal NAR; during 2002-2005 6,200 kcal/kg (11,200 btu/lb), less than 1.0%, sulfur 16% ash; years 1990-2001 6390 kcal/kg (11,500 btu/lb)</t>
  </si>
  <si>
    <t>Bloomberg; Coal Week; Coal Week International; International Coal Report; World Bank.</t>
  </si>
  <si>
    <t xml:space="preserve">Natural Gas (Europe), from April 2015, Netherlands Title Transfer Facility (TTF); April 2010 to March 2015, average import border price and a spot price component, including UK; during June 2000 - March 2010 prices excludes UK.  </t>
  </si>
  <si>
    <t>Bloomberg; World Gas Intelligence; World Bank.</t>
  </si>
  <si>
    <t>Natural Gas (U.S.), spot price at Henry Hub, Louisiana</t>
  </si>
  <si>
    <t>Bloomberg; Thomson Reuters Datastream; The Wall Street Journal; World Bank.</t>
  </si>
  <si>
    <t>Bloomberg; International Cocoa Organization Secretariat; World Bank.</t>
  </si>
  <si>
    <t>Bloomberg; Complete Coffee Coverage; International Coffee Organization; Thomson Reuters Datastream; World Bank.</t>
  </si>
  <si>
    <t>International Tea Committee; Tea Broker's Association of London; Tea Exporters Association Sri Lanka; World Bank.</t>
  </si>
  <si>
    <t>International Tea Committee; Tea Board India; Tea Broker's Association of London; World Bank.</t>
  </si>
  <si>
    <t>African Tea Brokers Limited; International Tea Committee; Tea Broker's Association of London; World Bank.</t>
  </si>
  <si>
    <t>Copra (Philippines/Indonesia), bulk, c.i.f. N.W. Europe</t>
  </si>
  <si>
    <t>Bloomberg; US Department of Agricuture; World Bank.</t>
  </si>
  <si>
    <t>Meat, beef (Australia/New Zealand), mixed trimmings 85%, East Coast, 7-45 day deferred delivery, FOB port of entry, beginning January 1995; previously cow forequarters</t>
  </si>
  <si>
    <t>Meat &amp; Livestock Australia, Meat and Livestock Weekly; The National Provisioner; Urner Barry; US Department of Agriculture; World Bank.</t>
  </si>
  <si>
    <t>Bloomberg; INTERFEL, Fel Actualite hebdo; FRuiTrop; Marche Europeens Des Fruits et Legumes; World Bank.</t>
  </si>
  <si>
    <t>Fishery Market News; Urner Barry; US Bureau of Labor Statistics; US Nationational Ocearnic and Atmospheric Administration (NOAA); World Bank.</t>
  </si>
  <si>
    <t>Bloomberg; International Sugar Organization; Thomson Reuters Datastream; World Bank.</t>
  </si>
  <si>
    <t>International Tropical Timber Organization; Japan Lumber Journal; Nikkei Newsletter on Commodities; World Bank.</t>
  </si>
  <si>
    <t>International Tropical Timber Organization; Tropical Timbers; World Bank.</t>
  </si>
  <si>
    <t>Bloomberg; Cotton Outlook; International Cotton Advisory Committee; Liverpool Cotton Services Ltd.; World Bank.</t>
  </si>
  <si>
    <t>Asian Wall Street Journal; Bloomberg; International Rubber Study Group; Rubber Association of Singapore Commodity Exchange (RASCE); Singapore Exchange Ltd (SGX previously SICOM); World Bank.</t>
  </si>
  <si>
    <t>Potassium chloride (muriate of potash), f.o.b. Vancouver</t>
  </si>
  <si>
    <t>Bloomberg; Engineering and Mining Journal; Platts Metals Week; Thomson Reuters Datastream; World Bank.</t>
  </si>
  <si>
    <t>Bloomberg; Thomson Reuters Datastream, World Bank.</t>
  </si>
  <si>
    <t>Bloomberg; Platts Metals Week, Thomson Reuters Datastream; World Bank.</t>
  </si>
  <si>
    <t>Bloomberg; Kitco.com; International Monetary Fund, International Financial Statistics; London Bullion Market; Metals Week; Platts Metals Week; Shearson Lehman Brothers, Metal Market Weekly Review; Thomson Reuters Datastream; World Bank.</t>
  </si>
  <si>
    <t>Bloomberg; London Platinum &amp; Palladium Market; Platts Metals Week, CRB Commodity Yearbook; Thomson Reuters Datastream; World Bank.</t>
  </si>
  <si>
    <t>American Metal Market; Australian Mineral Economics Pty. Ltd.; Bloomberg; London Bullion Market; Metals Week; Metals Statistics; Platts Metasl Week; The Silver Institute, Silver World Supply &amp; Demand; Thomson Reuters Datastream; World Bank.</t>
  </si>
  <si>
    <t>2018M12</t>
  </si>
  <si>
    <t>2019M01</t>
  </si>
  <si>
    <t>World Bank Commodities Price Indices</t>
  </si>
  <si>
    <t>2019M02</t>
  </si>
  <si>
    <t>2019M03</t>
  </si>
  <si>
    <t>2019M04</t>
  </si>
  <si>
    <t>2019M05</t>
  </si>
  <si>
    <t>2019M06</t>
  </si>
  <si>
    <t>2019M07</t>
  </si>
  <si>
    <t>Forecast URL</t>
  </si>
  <si>
    <t>http://pubdocs.worldbank.org/en/497071555972921166/CMO-April-2019-forecasts.xlsx</t>
  </si>
  <si>
    <t>Released: April 23, 2019</t>
  </si>
  <si>
    <t>Next update:  October 2019</t>
  </si>
  <si>
    <t>2019M08</t>
  </si>
  <si>
    <t>2019M09</t>
  </si>
  <si>
    <t>2019M10</t>
  </si>
  <si>
    <t>2019M11</t>
  </si>
  <si>
    <t>2019M12</t>
  </si>
  <si>
    <t xml:space="preserve">Bananas (Central &amp; South America), major brands, free on truck (f.o.t.) Southern Europe, including duties; prior to October 2006, f.o.t. Hamburg. </t>
  </si>
  <si>
    <t>Food and Agricultural Organization;  Nova Media Publishing, Inc.; Union of Banana-Exporting Countries (UPEB); US Bureau of Labor Statistics; World Bank.</t>
  </si>
  <si>
    <t xml:space="preserve">Bananas (Central &amp; South America), major brands, US import price, free on truck (f.o.t.) US Gulf ports. </t>
  </si>
  <si>
    <t>Bloomberg; Bloomberg L.P. - Green Markets (formerly Kennedy Information LLC)</t>
  </si>
  <si>
    <t>2020M01</t>
  </si>
  <si>
    <t>2020M02</t>
  </si>
  <si>
    <t>2020M03</t>
  </si>
  <si>
    <t>Liquefied natural gas (Japan), LNG, import price, cif; recent two months' averages are estimates.</t>
  </si>
  <si>
    <t>Groundnuts (U.S.), Runners 40/50, CFR N.W. Europe. Europe beginning January 1999; previously (US), Runners 40/50 shelled basis, c.i.f. Rotterdam</t>
  </si>
  <si>
    <t>Groundnut oil, U.S. crude, FOB South-East beginning January 1999; previously any origin, c.i.f. Rotterdam.</t>
  </si>
  <si>
    <t>Barley (U.S.) feed, No. 2, spot, 20 days To-Arrive, delivered Minneapolis from May 2012 onwards; during 1980 - 2012 April Canadian, feed, Western No. 1, Winnipeg Commodity Exchange, spot, wholesale farmers' price</t>
  </si>
  <si>
    <t>Maize (U.S.), no. 2, yellow, f.o.b. US Gulf ports</t>
  </si>
  <si>
    <t>Wheat (U.S.), no. 2, soft red winter, export price delivered at the US Gulf port for prompt or 30 days shipment</t>
  </si>
  <si>
    <t>Bloomberg; Urner Barry; US Department of Agriculture; World Bank.</t>
  </si>
  <si>
    <t>Shrimp , (U.S.), brown, shell-on, headless, in frozen blocks, source Gulf of Mexico, 26 to 30 count per pound, wholesale US beginning 2004; previously New York.</t>
  </si>
  <si>
    <t xml:space="preserve">Sugar (U.S.), nearby futures contract, c.i.f. </t>
  </si>
  <si>
    <t>Sugar (World), International Sugar Agreement (ISA) daily price, raw,  f.o.b. and stowed at greater Caribbean ports</t>
  </si>
  <si>
    <t>Logs (Africa), sapele, high quality (loyal and marchand), 80 centimeter or more, f.o.b. Douala, Cameroon beginning January 1996; previously of unspecified dimension</t>
  </si>
  <si>
    <t>Logs (Southeast Asia), meranti, Sarawak, sale price charged by importers, Tokyo beginning February 1993; previously average of Sabah and Sarawak weighted by Japanese import volumes</t>
  </si>
  <si>
    <t>Sawnwood (Africa), sapele, width 6 inches or more, length 6 feet or more, f.a.s. Cameroonian ports</t>
  </si>
  <si>
    <t>Sawnwood (Southeast Asia),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t>
  </si>
  <si>
    <t>2020M04</t>
  </si>
  <si>
    <t>2020M05</t>
  </si>
  <si>
    <t>2020M06</t>
  </si>
  <si>
    <t>2020M07</t>
  </si>
  <si>
    <t>2020M08</t>
  </si>
  <si>
    <t>2020M09</t>
  </si>
  <si>
    <t>2020M10</t>
  </si>
  <si>
    <t>2020M11</t>
  </si>
  <si>
    <t>2020M12</t>
  </si>
  <si>
    <t>2021M01</t>
  </si>
  <si>
    <t>2021M02</t>
  </si>
  <si>
    <t>Coconut oil (Philippines/Indonesia), from January 2021, crude, CIF Rotterdam; January 1999 to December 2020, crude, CIF NW Europe; previously, bulk, c.i.f. Rotterdam</t>
  </si>
  <si>
    <t>Markit Group Limited (formerly IHS Markit Agribusiness UK Ltd); Bloomberg; ISTA Mielke GmbH, Oil World; US Department of Agriculture; World Bank.</t>
  </si>
  <si>
    <t>Fishmeal, from January 2021, German Fishmeal, Danish 64% Pro, FOB Bremen; January 1999 to December 2020, German, 64% protein, EXW Hamburg</t>
  </si>
  <si>
    <t>Palm oil (Malaysia), from January 2021, RBD, FOB Malaysia Ports; December 2001 to December 2020, RBD, CIF Rotterdam; previously Malaysia 5%,  c.i.f. N.W. Europe, bulk, nearest forward .</t>
  </si>
  <si>
    <t>Palmkernel oil (Malaysia/Indonesia), from January 2021, crude CIF Rotterdam; August 2001 to December 2020, crude, CIF NW Europe; previously Malaysian, nearest forward.</t>
  </si>
  <si>
    <t>Soybean meal, from January 2021, Soybean Pellets 48% Pro, Brazil, CIF Rotterdam; January 1999 to December 2020, Brazilian pellets 48% protein, CIF Rotterdam; during 1990 - 1998, 45/46% c.i.f. Rotterdam, nearest forward; previously US origin 44%.</t>
  </si>
  <si>
    <t>Soybean oil, from January 2021, Dutch Soyoil Crude Degummed, EXW Dutch Mills; January 1999 to December 2020, Dutch crude degummed, FOB NW Europe; previously crude, f.o.b. ex-mill Netherlands, nearest forward.</t>
  </si>
  <si>
    <t>Soybeans, from January 2021, U.S Gulf Yellow Soybean #2, CIF Rotterdam; December 2007 to December 2020, U.S. No. 2 yellow meal, CIF Rotterdam; previously US origin, nearest forward.</t>
  </si>
  <si>
    <t>Updated as of : February 2, 2021</t>
  </si>
  <si>
    <t>https://thedocs.worldbank.org/en/doc/5d903e848db1d1b83e0ec8f744e55570-0350012021/related/CMO-Historical-Data-Monthly.xlsx</t>
  </si>
  <si>
    <t>2021M03</t>
  </si>
  <si>
    <t>2021M04</t>
  </si>
  <si>
    <t>Current Download</t>
  </si>
  <si>
    <t>2021M05</t>
  </si>
  <si>
    <t>2021M06</t>
  </si>
  <si>
    <t>2021M07</t>
  </si>
  <si>
    <t>2021M08</t>
  </si>
  <si>
    <t>2021M09</t>
  </si>
  <si>
    <t>2021M10</t>
  </si>
  <si>
    <t>2021M11</t>
  </si>
  <si>
    <t>2021M12</t>
  </si>
  <si>
    <t>Updated on March 02, 2022</t>
  </si>
  <si>
    <t>2022M01</t>
  </si>
  <si>
    <t>2022M02</t>
  </si>
  <si>
    <t>https://thedocs.worldbank.org/en/doc/5d903e848db1d1b83e0ec8f744e55570-0350012021/related/CMO-Historical-Data-Annual.xlsx</t>
  </si>
  <si>
    <t>Wheat (U.S.), no. 2 hard red winter Gulf export price; June 2020 backwards, no. 1, hard red winter, ordinary protein, export price delivered at the US Gulf port for prompt or 30 days shipment</t>
  </si>
  <si>
    <t>Nominal Oil Price</t>
  </si>
  <si>
    <t>Real Oil Price</t>
  </si>
  <si>
    <t>Nominal Annual</t>
  </si>
  <si>
    <t>Inflation Index</t>
  </si>
  <si>
    <t>Apply Real</t>
  </si>
  <si>
    <t>Inflation Rate Applied</t>
  </si>
  <si>
    <t>The monthly link is the primary page</t>
  </si>
  <si>
    <t>h+C42ttp://www.worldbank.org/en/research/commodity-markets</t>
  </si>
  <si>
    <t>To Find Forecasts in PDF, Go to Website and get PDF</t>
  </si>
  <si>
    <t>Use PDF to Excel to Convert</t>
  </si>
  <si>
    <t>2022M03</t>
  </si>
  <si>
    <t>2022M04</t>
  </si>
  <si>
    <t>2022M05</t>
  </si>
  <si>
    <t>US Implicit Deflator</t>
  </si>
  <si>
    <t>code</t>
  </si>
  <si>
    <t>https://research.stlouisfed.org/fred2/data/CPALTT01USM659N.txt</t>
  </si>
  <si>
    <t>https://research.stlouisfed.org/fred2/data/PRS85006141.txt</t>
  </si>
  <si>
    <t>Title:</t>
  </si>
  <si>
    <t>Consumer</t>
  </si>
  <si>
    <t>Price</t>
  </si>
  <si>
    <t>Index:</t>
  </si>
  <si>
    <t>All</t>
  </si>
  <si>
    <t>Items</t>
  </si>
  <si>
    <t>for</t>
  </si>
  <si>
    <t>the</t>
  </si>
  <si>
    <t>United</t>
  </si>
  <si>
    <t>States</t>
  </si>
  <si>
    <t>Series</t>
  </si>
  <si>
    <t>ID:</t>
  </si>
  <si>
    <t>CPALTT01USM659N</t>
  </si>
  <si>
    <t>Source:</t>
  </si>
  <si>
    <t>Organization</t>
  </si>
  <si>
    <t>Economic</t>
  </si>
  <si>
    <t>Co-operation</t>
  </si>
  <si>
    <t>and</t>
  </si>
  <si>
    <t>Development</t>
  </si>
  <si>
    <t>Release:</t>
  </si>
  <si>
    <t>Main</t>
  </si>
  <si>
    <t>Indicators</t>
  </si>
  <si>
    <t>(Not</t>
  </si>
  <si>
    <t>Press</t>
  </si>
  <si>
    <t>Release)</t>
  </si>
  <si>
    <t>Seasonal</t>
  </si>
  <si>
    <t>Adjustment:</t>
  </si>
  <si>
    <t>Not</t>
  </si>
  <si>
    <t>Seasonally</t>
  </si>
  <si>
    <t>Adjusted</t>
  </si>
  <si>
    <t>Frequency:</t>
  </si>
  <si>
    <t>Units:</t>
  </si>
  <si>
    <t>Growth</t>
  </si>
  <si>
    <t>Rate</t>
  </si>
  <si>
    <t>Same</t>
  </si>
  <si>
    <t>Period</t>
  </si>
  <si>
    <t>Previous</t>
  </si>
  <si>
    <t>Range:</t>
  </si>
  <si>
    <t>to</t>
  </si>
  <si>
    <t>Last</t>
  </si>
  <si>
    <t>Updated:</t>
  </si>
  <si>
    <t>PM</t>
  </si>
  <si>
    <t>CDT</t>
  </si>
  <si>
    <t>Notes:</t>
  </si>
  <si>
    <t>OECD</t>
  </si>
  <si>
    <t>descriptor</t>
  </si>
  <si>
    <t>CPALTT01</t>
  </si>
  <si>
    <t>unit</t>
  </si>
  <si>
    <t>GY</t>
  </si>
  <si>
    <t>country</t>
  </si>
  <si>
    <t>USA</t>
  </si>
  <si>
    <t>data</t>
  </si>
  <si>
    <t>should</t>
  </si>
  <si>
    <t>be</t>
  </si>
  <si>
    <t>cited</t>
  </si>
  <si>
    <t>as</t>
  </si>
  <si>
    <t>follows:</t>
  </si>
  <si>
    <t>OECD,</t>
  </si>
  <si>
    <t>Main Economic</t>
  </si>
  <si>
    <t>-</t>
  </si>
  <si>
    <t>complete</t>
  </si>
  <si>
    <t>database",</t>
  </si>
  <si>
    <t>(database),http://dx.doi.org/10.1787/data-00052-en</t>
  </si>
  <si>
    <t>(Accessed</t>
  </si>
  <si>
    <t>on</t>
  </si>
  <si>
    <t>date)</t>
  </si>
  <si>
    <t>Copyright,</t>
  </si>
  <si>
    <t>2016,</t>
  </si>
  <si>
    <t>OECD.</t>
  </si>
  <si>
    <t>Reprinted</t>
  </si>
  <si>
    <t>with</t>
  </si>
  <si>
    <t>permission.</t>
  </si>
  <si>
    <t>DATE</t>
  </si>
  <si>
    <t>VALUE</t>
  </si>
  <si>
    <t>total to read</t>
  </si>
  <si>
    <t>Nonfarm</t>
  </si>
  <si>
    <t>Business</t>
  </si>
  <si>
    <t>Sector:</t>
  </si>
  <si>
    <t>Implicit</t>
  </si>
  <si>
    <t>Deflator</t>
  </si>
  <si>
    <t>Employed</t>
  </si>
  <si>
    <t>Persons</t>
  </si>
  <si>
    <t>PRS85006141</t>
  </si>
  <si>
    <t>U.S.</t>
  </si>
  <si>
    <t>Bureau</t>
  </si>
  <si>
    <t>of</t>
  </si>
  <si>
    <t>Labor</t>
  </si>
  <si>
    <t>Statistics</t>
  </si>
  <si>
    <t>Productivity</t>
  </si>
  <si>
    <t>Costs</t>
  </si>
  <si>
    <t>Quarterly</t>
  </si>
  <si>
    <t>Percent</t>
  </si>
  <si>
    <t>Change</t>
  </si>
  <si>
    <t>from</t>
  </si>
  <si>
    <t>Quarter</t>
  </si>
  <si>
    <t>One</t>
  </si>
  <si>
    <t>Ago</t>
  </si>
  <si>
    <t>AM</t>
  </si>
  <si>
    <t>is</t>
  </si>
  <si>
    <t>current</t>
  </si>
  <si>
    <t>dollar</t>
  </si>
  <si>
    <t>output</t>
  </si>
  <si>
    <t>divided</t>
  </si>
  <si>
    <t>by</t>
  </si>
  <si>
    <t>index.</t>
  </si>
  <si>
    <t>For</t>
  </si>
  <si>
    <t>more</t>
  </si>
  <si>
    <t>information,</t>
  </si>
  <si>
    <t>please</t>
  </si>
  <si>
    <t>go</t>
  </si>
  <si>
    <t>https://www.bls.gov/news.release/pdf/prod2.pdf</t>
  </si>
  <si>
    <t>Source</t>
  </si>
  <si>
    <t>Indicator</t>
  </si>
  <si>
    <t>US Implicit Price Deflator Annual</t>
  </si>
  <si>
    <t>Deflator Index</t>
  </si>
  <si>
    <t>Date Text Length</t>
  </si>
  <si>
    <t>Date without Blanks</t>
  </si>
  <si>
    <t>Last infl</t>
  </si>
  <si>
    <t>Inflation Recripricoal</t>
  </si>
  <si>
    <t>2022M06</t>
  </si>
  <si>
    <t>2022M07</t>
  </si>
  <si>
    <t>US Implicit Price Deflator Monthly</t>
  </si>
  <si>
    <t>2022M08</t>
  </si>
  <si>
    <t>Coal, South African **</t>
  </si>
  <si>
    <t>Groundnut oil **</t>
  </si>
  <si>
    <t>Chicken</t>
  </si>
  <si>
    <t>Lamb **</t>
  </si>
  <si>
    <t>Rubber, TSR20 **</t>
  </si>
  <si>
    <t>Rubber, RSS3</t>
  </si>
  <si>
    <t>Potassium chloride **</t>
  </si>
  <si>
    <t>…</t>
  </si>
  <si>
    <t>2022M09</t>
  </si>
  <si>
    <t>2022M10</t>
  </si>
  <si>
    <t>2022M11</t>
  </si>
  <si>
    <t>2022M12</t>
  </si>
  <si>
    <t>2023M01</t>
  </si>
  <si>
    <t>2023M02</t>
  </si>
  <si>
    <t>2023M03</t>
  </si>
  <si>
    <t>US Implicit Deflator1</t>
  </si>
  <si>
    <t>US CPI Rate1</t>
  </si>
  <si>
    <t>rate</t>
  </si>
  <si>
    <t>same</t>
  </si>
  <si>
    <t>period</t>
  </si>
  <si>
    <t>previous</t>
  </si>
  <si>
    <t>year</t>
  </si>
  <si>
    <t>Value-Added</t>
  </si>
  <si>
    <t>Output</t>
  </si>
  <si>
    <t>Workers</t>
  </si>
  <si>
    <t>CST</t>
  </si>
  <si>
    <t>CPIAUCSL</t>
  </si>
  <si>
    <t>US CPI Month</t>
  </si>
  <si>
    <t>2023M04</t>
  </si>
  <si>
    <t>2023M05</t>
  </si>
  <si>
    <t>2023M06</t>
  </si>
  <si>
    <t>2023M07</t>
  </si>
  <si>
    <t>...</t>
  </si>
  <si>
    <t>2023M08</t>
  </si>
  <si>
    <t>Updated on October 03, 2023</t>
  </si>
  <si>
    <t>2023M09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</si>
</sst>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00_-;\-* #,##0.00_-;_-* &quot;-&quot;??_-;_-@_-"/>
    <numFmt numFmtId="165" formatCode="0.0%"/>
    <numFmt numFmtId="166" formatCode="0.000%"/>
    <numFmt numFmtId="167" formatCode="#,##0.0000"/>
    <numFmt numFmtId="168" formatCode="dd\-mmmm\-yyyy\ hh:mm"/>
    <numFmt numFmtId="169" formatCode="[$-409]d\-mmm\-yyyy;@"/>
    <numFmt numFmtId="170" formatCode="_(* #,##0.0_);_(* \(#,##0.0\);_(* &quot;-&quot;??_);_(@_)"/>
    <numFmt numFmtId="171" formatCode="_(* #,##0_);_(* \(#,##0\);_(* &quot;-&quot;??_);_(@_)"/>
    <numFmt numFmtId="172" formatCode="#,##0.0_);\(#,##0.0\)"/>
    <numFmt numFmtId="173" formatCode="0.0"/>
    <numFmt numFmtId="174" formatCode="_-* #,##0.00_-;[Red]_(* \(#,##0.00\);_-* &quot;-&quot;??_-;_-@_-"/>
  </numFmts>
  <fonts count="54">
    <font>
      <sz val="10"/>
      <name val="Arial"/>
    </font>
    <font>
      <sz val="11"/>
      <color theme="1"/>
      <name val="Calibri"/>
      <family val="2"/>
      <scheme val="minor"/>
    </font>
    <font>
      <sz val="11"/>
      <color theme="1"/>
      <name val="Calibri"/>
      <family val="2"/>
      <scheme val="minor"/>
    </font>
    <font>
      <sz val="10"/>
      <name val="Arial"/>
      <family val="2"/>
    </font>
    <font>
      <b/>
      <sz val="10"/>
      <name val="Estrangelo Edessa"/>
      <family val="4"/>
    </font>
    <font>
      <sz val="10"/>
      <name val="Estrangelo Edessa"/>
      <family val="4"/>
    </font>
    <font>
      <sz val="12"/>
      <color theme="4" tint="-0.499984740745262"/>
      <name val="Estrangelo Edessa"/>
      <family val="4"/>
    </font>
    <font>
      <i/>
      <sz val="10"/>
      <name val="Arial"/>
      <family val="2"/>
    </font>
    <font>
      <sz val="10"/>
      <name val="Arial"/>
      <family val="2"/>
    </font>
    <font>
      <u/>
      <sz val="11"/>
      <color theme="10"/>
      <name val="Calibri"/>
      <family val="2"/>
    </font>
    <font>
      <sz val="9"/>
      <color indexed="81"/>
      <name val="Tahoma"/>
      <family val="2"/>
    </font>
    <font>
      <b/>
      <sz val="9"/>
      <color indexed="81"/>
      <name val="Tahoma"/>
      <family val="2"/>
    </font>
    <font>
      <b/>
      <sz val="10"/>
      <name val="Arial"/>
      <family val="2"/>
    </font>
    <font>
      <sz val="12"/>
      <name val="Estrangelo Edessa"/>
      <family val="4"/>
    </font>
    <font>
      <sz val="11"/>
      <name val="Estrangelo Edessa"/>
      <family val="4"/>
    </font>
    <font>
      <b/>
      <sz val="11"/>
      <name val="Estrangelo Edessa"/>
      <family val="4"/>
    </font>
    <font>
      <sz val="11"/>
      <color indexed="8"/>
      <name val="Estrangelo Edessa"/>
      <family val="4"/>
    </font>
    <font>
      <b/>
      <sz val="14"/>
      <name val="Arial"/>
      <family val="2"/>
    </font>
    <font>
      <sz val="10"/>
      <color rgb="FF000000"/>
      <name val="Arial"/>
      <family val="2"/>
    </font>
    <font>
      <sz val="8"/>
      <color rgb="FF000000"/>
      <name val="Segoe UI"/>
      <family val="2"/>
    </font>
    <font>
      <b/>
      <sz val="18"/>
      <name val="Arial"/>
      <family val="2"/>
    </font>
    <font>
      <b/>
      <sz val="24"/>
      <name val="Arial"/>
      <family val="2"/>
    </font>
    <font>
      <b/>
      <sz val="12"/>
      <name val="Arial"/>
      <family val="2"/>
    </font>
    <font>
      <b/>
      <sz val="11"/>
      <name val="Arial"/>
      <family val="2"/>
    </font>
    <font>
      <sz val="12"/>
      <name val="Arial"/>
      <family val="2"/>
    </font>
    <font>
      <b/>
      <sz val="24"/>
      <name val="Estrangelo Edessa"/>
      <family val="4"/>
    </font>
    <font>
      <sz val="10"/>
      <name val="AngsanaUPC"/>
      <family val="1"/>
    </font>
    <font>
      <sz val="14"/>
      <name val="Arial"/>
      <family val="2"/>
    </font>
    <font>
      <b/>
      <sz val="13"/>
      <name val="Arial"/>
      <family val="2"/>
    </font>
    <font>
      <b/>
      <vertAlign val="subscript"/>
      <sz val="10"/>
      <name val="Arial"/>
      <family val="2"/>
    </font>
    <font>
      <sz val="8"/>
      <name val="Arial"/>
      <family val="2"/>
    </font>
    <font>
      <sz val="10"/>
      <color rgb="FF0000FF"/>
      <name val="Arial"/>
      <family val="2"/>
    </font>
    <font>
      <sz val="8"/>
      <color rgb="FF0000FF"/>
      <name val="Arial"/>
      <family val="2"/>
    </font>
    <font>
      <sz val="9"/>
      <name val="Arial"/>
      <family val="2"/>
    </font>
    <font>
      <b/>
      <sz val="24"/>
      <color theme="4" tint="-0.499984740745262"/>
      <name val="Arial"/>
      <family val="2"/>
    </font>
    <font>
      <b/>
      <sz val="20"/>
      <color theme="4" tint="-0.499984740745262"/>
      <name val="Arial"/>
      <family val="2"/>
    </font>
    <font>
      <b/>
      <sz val="16"/>
      <color theme="4" tint="-0.499984740745262"/>
      <name val="Arial"/>
      <family val="2"/>
    </font>
    <font>
      <sz val="16"/>
      <color theme="4" tint="-0.499984740745262"/>
      <name val="Arial"/>
      <family val="2"/>
    </font>
    <font>
      <b/>
      <sz val="14"/>
      <color theme="4" tint="-0.499984740745262"/>
      <name val="Arial"/>
      <family val="2"/>
    </font>
    <font>
      <sz val="14"/>
      <color theme="4" tint="-0.499984740745262"/>
      <name val="Arial"/>
      <family val="2"/>
    </font>
    <font>
      <sz val="6.5"/>
      <name val="Arial"/>
      <family val="2"/>
    </font>
    <font>
      <sz val="6.5"/>
      <color indexed="8"/>
      <name val="Arial"/>
      <family val="2"/>
    </font>
    <font>
      <sz val="6"/>
      <color indexed="8"/>
      <name val="Arial"/>
      <family val="2"/>
    </font>
    <font>
      <sz val="7.5"/>
      <name val="Arial"/>
      <family val="2"/>
    </font>
    <font>
      <b/>
      <sz val="18"/>
      <color theme="4" tint="-0.499984740745262"/>
      <name val="Arial"/>
      <family val="2"/>
    </font>
    <font>
      <sz val="18"/>
      <name val="Arial"/>
      <family val="2"/>
    </font>
    <font>
      <sz val="11"/>
      <name val="Arial"/>
      <family val="2"/>
    </font>
    <font>
      <sz val="7"/>
      <name val="Arial"/>
      <family val="2"/>
    </font>
    <font>
      <b/>
      <sz val="16"/>
      <name val="Arial"/>
      <family val="2"/>
    </font>
    <font>
      <b/>
      <sz val="6"/>
      <name val="Arial"/>
      <family val="2"/>
    </font>
    <font>
      <sz val="6"/>
      <name val="Arial"/>
      <family val="2"/>
    </font>
    <font>
      <sz val="11"/>
      <color indexed="8"/>
      <name val="Arial"/>
      <family val="2"/>
    </font>
    <font>
      <sz val="10"/>
      <name val="Arial"/>
      <family val="2"/>
    </font>
    <font>
      <sz val="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indexed="9"/>
        <bgColor indexed="64"/>
      </patternFill>
    </fill>
    <fill>
      <patternFill patternType="solid">
        <fgColor theme="6" tint="0.79998168889431442"/>
        <bgColor indexed="64"/>
      </patternFill>
    </fill>
    <fill>
      <patternFill patternType="solid">
        <fgColor theme="0"/>
        <bgColor indexed="64"/>
      </patternFill>
    </fill>
    <fill>
      <patternFill patternType="solid">
        <fgColor rgb="FFFEE9D3"/>
        <bgColor indexed="64"/>
      </patternFill>
    </fill>
    <fill>
      <patternFill patternType="solid">
        <fgColor rgb="FFFFFFCC"/>
        <bgColor indexed="64"/>
      </patternFill>
    </fill>
  </fills>
  <borders count="10">
    <border>
      <left/>
      <right/>
      <top/>
      <bottom/>
      <diagonal/>
    </border>
    <border>
      <left/>
      <right/>
      <top/>
      <bottom style="thick">
        <color theme="9" tint="-0.24994659260841701"/>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ck">
        <color rgb="FFE26B0A"/>
      </bottom>
      <diagonal/>
    </border>
    <border>
      <left/>
      <right/>
      <top/>
      <bottom style="medium">
        <color theme="4" tint="-0.499984740745262"/>
      </bottom>
      <diagonal/>
    </border>
    <border>
      <left/>
      <right/>
      <top/>
      <bottom style="thick">
        <color theme="4" tint="-0.499984740745262"/>
      </bottom>
      <diagonal/>
    </border>
    <border>
      <left/>
      <right style="thick">
        <color theme="4"/>
      </right>
      <top/>
      <bottom/>
      <diagonal/>
    </border>
    <border>
      <left/>
      <right/>
      <top style="thick">
        <color rgb="FFE26B0A"/>
      </top>
      <bottom style="thin">
        <color indexed="64"/>
      </bottom>
      <diagonal/>
    </border>
  </borders>
  <cellStyleXfs count="9">
    <xf numFmtId="0" fontId="0" fillId="0" borderId="0"/>
    <xf numFmtId="0" fontId="3" fillId="0" borderId="0"/>
    <xf numFmtId="9" fontId="8" fillId="0" borderId="0" applyFont="0" applyFill="0" applyBorder="0" applyAlignment="0" applyProtection="0"/>
    <xf numFmtId="0" fontId="9" fillId="0" borderId="0" applyNumberFormat="0" applyFill="0" applyBorder="0" applyAlignment="0" applyProtection="0">
      <alignment vertical="top"/>
      <protection locked="0"/>
    </xf>
    <xf numFmtId="164" fontId="3" fillId="0" borderId="0" applyFont="0" applyFill="0" applyBorder="0" applyAlignment="0" applyProtection="0"/>
    <xf numFmtId="9" fontId="3" fillId="0" borderId="0" applyFont="0" applyFill="0" applyBorder="0" applyAlignment="0" applyProtection="0"/>
    <xf numFmtId="43" fontId="52" fillId="0" borderId="0" applyFont="0" applyFill="0" applyBorder="0" applyAlignment="0" applyProtection="0"/>
    <xf numFmtId="0" fontId="2" fillId="0" borderId="0"/>
    <xf numFmtId="0" fontId="1" fillId="0" borderId="0"/>
  </cellStyleXfs>
  <cellXfs count="171">
    <xf numFmtId="0" fontId="0" fillId="0" borderId="0" xfId="0"/>
    <xf numFmtId="0" fontId="6" fillId="0" borderId="0" xfId="0" applyFont="1"/>
    <xf numFmtId="0" fontId="6" fillId="2" borderId="0" xfId="0" applyFont="1" applyFill="1" applyAlignment="1">
      <alignment wrapText="1"/>
    </xf>
    <xf numFmtId="0" fontId="0" fillId="3" borderId="0" xfId="0" applyFill="1"/>
    <xf numFmtId="0" fontId="0" fillId="0" borderId="2" xfId="0" applyBorder="1"/>
    <xf numFmtId="0" fontId="7" fillId="0" borderId="3" xfId="0" applyFont="1" applyBorder="1" applyAlignment="1">
      <alignment horizontal="center"/>
    </xf>
    <xf numFmtId="0" fontId="7" fillId="0" borderId="3" xfId="0" applyFont="1" applyBorder="1" applyAlignment="1">
      <alignment horizontal="centerContinuous"/>
    </xf>
    <xf numFmtId="0" fontId="3" fillId="0" borderId="0" xfId="0" applyFont="1"/>
    <xf numFmtId="0" fontId="3" fillId="0" borderId="0" xfId="0" quotePrefix="1" applyFont="1"/>
    <xf numFmtId="9" fontId="0" fillId="0" borderId="0" xfId="0" applyNumberFormat="1"/>
    <xf numFmtId="0" fontId="6" fillId="0" borderId="0" xfId="0" applyFont="1" applyAlignment="1">
      <alignment wrapText="1"/>
    </xf>
    <xf numFmtId="15" fontId="3" fillId="0" borderId="0" xfId="0" applyNumberFormat="1" applyFont="1"/>
    <xf numFmtId="4" fontId="3" fillId="0" borderId="0" xfId="0" applyNumberFormat="1" applyFont="1"/>
    <xf numFmtId="165" fontId="0" fillId="0" borderId="0" xfId="0" applyNumberFormat="1"/>
    <xf numFmtId="10" fontId="0" fillId="0" borderId="0" xfId="0" applyNumberFormat="1"/>
    <xf numFmtId="166" fontId="0" fillId="0" borderId="0" xfId="0" applyNumberFormat="1"/>
    <xf numFmtId="10" fontId="0" fillId="0" borderId="0" xfId="2" applyNumberFormat="1" applyFont="1"/>
    <xf numFmtId="4" fontId="0" fillId="0" borderId="0" xfId="0" applyNumberFormat="1"/>
    <xf numFmtId="0" fontId="9" fillId="0" borderId="0" xfId="3" applyAlignment="1" applyProtection="1"/>
    <xf numFmtId="0" fontId="3" fillId="0" borderId="0" xfId="0" applyFont="1" applyAlignment="1">
      <alignment wrapText="1"/>
    </xf>
    <xf numFmtId="0" fontId="3" fillId="0" borderId="0" xfId="0" applyFont="1" applyAlignment="1">
      <alignment horizontal="center" wrapText="1"/>
    </xf>
    <xf numFmtId="0" fontId="0" fillId="0" borderId="0" xfId="0" applyAlignment="1">
      <alignment horizontal="center" wrapText="1"/>
    </xf>
    <xf numFmtId="15" fontId="0" fillId="0" borderId="0" xfId="0" applyNumberFormat="1"/>
    <xf numFmtId="167" fontId="0" fillId="0" borderId="0" xfId="0" applyNumberFormat="1"/>
    <xf numFmtId="167" fontId="3" fillId="0" borderId="0" xfId="0" applyNumberFormat="1" applyFont="1"/>
    <xf numFmtId="0" fontId="0" fillId="4" borderId="0" xfId="0" applyFill="1"/>
    <xf numFmtId="0" fontId="0" fillId="4" borderId="4" xfId="0" applyFill="1" applyBorder="1"/>
    <xf numFmtId="0" fontId="12" fillId="4" borderId="4" xfId="0" applyFont="1" applyFill="1" applyBorder="1" applyAlignment="1">
      <alignment horizontal="center"/>
    </xf>
    <xf numFmtId="0" fontId="9" fillId="4" borderId="4" xfId="3" applyFill="1" applyBorder="1" applyAlignment="1" applyProtection="1"/>
    <xf numFmtId="168" fontId="0" fillId="4" borderId="0" xfId="0" applyNumberFormat="1" applyFill="1" applyAlignment="1">
      <alignment horizontal="left"/>
    </xf>
    <xf numFmtId="0" fontId="3" fillId="4" borderId="0" xfId="0" applyFont="1" applyFill="1"/>
    <xf numFmtId="0" fontId="5" fillId="0" borderId="0" xfId="1" applyFont="1"/>
    <xf numFmtId="0" fontId="4" fillId="0" borderId="0" xfId="1" applyFont="1"/>
    <xf numFmtId="0" fontId="13" fillId="0" borderId="0" xfId="1" applyFont="1"/>
    <xf numFmtId="0" fontId="14" fillId="0" borderId="0" xfId="0" applyFont="1"/>
    <xf numFmtId="0" fontId="15" fillId="0" borderId="0" xfId="0" applyFont="1"/>
    <xf numFmtId="0" fontId="14" fillId="0" borderId="0" xfId="0" applyFont="1" applyAlignment="1">
      <alignment horizontal="left" vertical="center"/>
    </xf>
    <xf numFmtId="0" fontId="16" fillId="0" borderId="0" xfId="0" applyFont="1"/>
    <xf numFmtId="0" fontId="17" fillId="0" borderId="0" xfId="0" applyFont="1"/>
    <xf numFmtId="0" fontId="3" fillId="0" borderId="0" xfId="0" applyFont="1" applyAlignment="1">
      <alignment horizontal="center"/>
    </xf>
    <xf numFmtId="0" fontId="9" fillId="0" borderId="0" xfId="3" applyAlignment="1" applyProtection="1">
      <alignment horizontal="right"/>
    </xf>
    <xf numFmtId="0" fontId="3" fillId="0" borderId="0" xfId="0" applyFont="1" applyAlignment="1">
      <alignment horizontal="right"/>
    </xf>
    <xf numFmtId="0" fontId="20" fillId="0" borderId="1" xfId="1" applyFont="1" applyBorder="1" applyAlignment="1">
      <alignment vertical="center"/>
    </xf>
    <xf numFmtId="0" fontId="21" fillId="0" borderId="1" xfId="1" applyFont="1" applyBorder="1" applyAlignment="1">
      <alignment vertical="center"/>
    </xf>
    <xf numFmtId="0" fontId="22" fillId="0" borderId="0" xfId="0" applyFont="1"/>
    <xf numFmtId="0" fontId="23" fillId="0" borderId="0" xfId="0" applyFont="1"/>
    <xf numFmtId="0" fontId="12" fillId="0" borderId="0" xfId="0" applyFont="1"/>
    <xf numFmtId="0" fontId="24" fillId="0" borderId="0" xfId="0" applyFont="1"/>
    <xf numFmtId="0" fontId="3" fillId="7" borderId="0" xfId="0" applyFont="1" applyFill="1" applyAlignment="1">
      <alignment horizontal="right"/>
    </xf>
    <xf numFmtId="2" fontId="3" fillId="7" borderId="0" xfId="0" applyNumberFormat="1" applyFont="1" applyFill="1" applyAlignment="1">
      <alignment horizontal="right"/>
    </xf>
    <xf numFmtId="0" fontId="24" fillId="0" borderId="0" xfId="0" applyFont="1" applyAlignment="1">
      <alignment horizontal="right"/>
    </xf>
    <xf numFmtId="2" fontId="3" fillId="0" borderId="0" xfId="0" applyNumberFormat="1" applyFont="1" applyAlignment="1">
      <alignment horizontal="right"/>
    </xf>
    <xf numFmtId="0" fontId="25" fillId="0" borderId="1" xfId="1" applyFont="1" applyBorder="1" applyAlignment="1">
      <alignment vertical="center"/>
    </xf>
    <xf numFmtId="0" fontId="22" fillId="0" borderId="0" xfId="1" applyFont="1"/>
    <xf numFmtId="0" fontId="23" fillId="0" borderId="0" xfId="1" applyFont="1"/>
    <xf numFmtId="0" fontId="3" fillId="0" borderId="0" xfId="1"/>
    <xf numFmtId="0" fontId="12" fillId="0" borderId="0" xfId="1" applyFont="1"/>
    <xf numFmtId="0" fontId="3" fillId="0" borderId="0" xfId="1" applyAlignment="1">
      <alignment wrapText="1"/>
    </xf>
    <xf numFmtId="0" fontId="24" fillId="0" borderId="0" xfId="1" applyFont="1"/>
    <xf numFmtId="0" fontId="3" fillId="7" borderId="0" xfId="1" applyFill="1"/>
    <xf numFmtId="2" fontId="3" fillId="7" borderId="0" xfId="1" applyNumberFormat="1" applyFill="1" applyAlignment="1">
      <alignment horizontal="right"/>
    </xf>
    <xf numFmtId="2" fontId="3" fillId="0" borderId="0" xfId="1" applyNumberFormat="1" applyAlignment="1">
      <alignment horizontal="right"/>
    </xf>
    <xf numFmtId="2" fontId="3" fillId="0" borderId="0" xfId="1" applyNumberFormat="1"/>
    <xf numFmtId="0" fontId="26" fillId="0" borderId="0" xfId="1" applyFont="1"/>
    <xf numFmtId="0" fontId="17" fillId="0" borderId="0" xfId="1" applyFont="1"/>
    <xf numFmtId="0" fontId="3" fillId="7" borderId="0" xfId="1" applyFill="1" applyAlignment="1">
      <alignment horizontal="right"/>
    </xf>
    <xf numFmtId="0" fontId="3" fillId="0" borderId="0" xfId="1" applyAlignment="1">
      <alignment horizontal="right"/>
    </xf>
    <xf numFmtId="0" fontId="28" fillId="0" borderId="1" xfId="1" applyFont="1" applyBorder="1"/>
    <xf numFmtId="0" fontId="17" fillId="0" borderId="1" xfId="1" applyFont="1" applyBorder="1"/>
    <xf numFmtId="0" fontId="3" fillId="0" borderId="0" xfId="1" applyAlignment="1">
      <alignment vertical="center"/>
    </xf>
    <xf numFmtId="0" fontId="30" fillId="0" borderId="0" xfId="0" applyFont="1"/>
    <xf numFmtId="0" fontId="31" fillId="8" borderId="0" xfId="0" applyFont="1" applyFill="1"/>
    <xf numFmtId="0" fontId="32" fillId="8" borderId="0" xfId="0" applyFont="1" applyFill="1"/>
    <xf numFmtId="0" fontId="33" fillId="0" borderId="0" xfId="0" applyFont="1"/>
    <xf numFmtId="169" fontId="35" fillId="4" borderId="5" xfId="1" applyNumberFormat="1" applyFont="1" applyFill="1" applyBorder="1"/>
    <xf numFmtId="169" fontId="36" fillId="4" borderId="5" xfId="1" applyNumberFormat="1" applyFont="1" applyFill="1" applyBorder="1" applyAlignment="1">
      <alignment horizontal="right"/>
    </xf>
    <xf numFmtId="0" fontId="36" fillId="4" borderId="0" xfId="1" applyFont="1" applyFill="1"/>
    <xf numFmtId="0" fontId="37" fillId="4" borderId="6" xfId="1" applyFont="1" applyFill="1" applyBorder="1"/>
    <xf numFmtId="0" fontId="37" fillId="4" borderId="0" xfId="1" applyFont="1" applyFill="1" applyAlignment="1">
      <alignment horizontal="center"/>
    </xf>
    <xf numFmtId="0" fontId="38" fillId="4" borderId="0" xfId="1" applyFont="1" applyFill="1"/>
    <xf numFmtId="0" fontId="39" fillId="5" borderId="0" xfId="1" applyFont="1" applyFill="1"/>
    <xf numFmtId="0" fontId="39" fillId="0" borderId="0" xfId="1" applyFont="1"/>
    <xf numFmtId="0" fontId="39" fillId="4" borderId="0" xfId="1" applyFont="1" applyFill="1"/>
    <xf numFmtId="170" fontId="39" fillId="6" borderId="0" xfId="5" applyNumberFormat="1" applyFont="1" applyFill="1"/>
    <xf numFmtId="0" fontId="39" fillId="4" borderId="7" xfId="1" applyFont="1" applyFill="1" applyBorder="1"/>
    <xf numFmtId="0" fontId="34" fillId="4" borderId="0" xfId="1" applyFont="1" applyFill="1" applyAlignment="1">
      <alignment vertical="center"/>
    </xf>
    <xf numFmtId="0" fontId="34" fillId="4" borderId="0" xfId="1" applyFont="1" applyFill="1"/>
    <xf numFmtId="0" fontId="44" fillId="4" borderId="5" xfId="1" applyFont="1" applyFill="1" applyBorder="1"/>
    <xf numFmtId="169" fontId="44" fillId="4" borderId="5" xfId="1" applyNumberFormat="1" applyFont="1" applyFill="1" applyBorder="1"/>
    <xf numFmtId="169" fontId="36" fillId="4" borderId="5" xfId="1" applyNumberFormat="1" applyFont="1" applyFill="1" applyBorder="1"/>
    <xf numFmtId="0" fontId="36" fillId="4" borderId="0" xfId="1" applyFont="1" applyFill="1" applyAlignment="1">
      <alignment horizontal="center"/>
    </xf>
    <xf numFmtId="0" fontId="37" fillId="4" borderId="6" xfId="1" applyFont="1" applyFill="1" applyBorder="1" applyAlignment="1">
      <alignment horizontal="right"/>
    </xf>
    <xf numFmtId="0" fontId="36" fillId="4" borderId="0" xfId="1" applyFont="1" applyFill="1" applyAlignment="1">
      <alignment vertical="center"/>
    </xf>
    <xf numFmtId="0" fontId="35" fillId="4" borderId="5" xfId="1" applyFont="1" applyFill="1" applyBorder="1" applyAlignment="1">
      <alignment vertical="center"/>
    </xf>
    <xf numFmtId="0" fontId="46" fillId="0" borderId="0" xfId="0" applyFont="1"/>
    <xf numFmtId="0" fontId="45" fillId="0" borderId="5" xfId="0" applyFont="1" applyBorder="1"/>
    <xf numFmtId="0" fontId="47" fillId="0" borderId="0" xfId="0" applyFont="1"/>
    <xf numFmtId="0" fontId="23" fillId="0" borderId="0" xfId="0" applyFont="1" applyAlignment="1">
      <alignment horizontal="center"/>
    </xf>
    <xf numFmtId="0" fontId="48" fillId="0" borderId="0" xfId="0" applyFont="1" applyAlignment="1">
      <alignment horizontal="center"/>
    </xf>
    <xf numFmtId="0" fontId="27" fillId="0" borderId="0" xfId="0" applyFont="1"/>
    <xf numFmtId="0" fontId="17" fillId="0" borderId="0" xfId="0" applyFont="1" applyAlignment="1">
      <alignment horizontal="left"/>
    </xf>
    <xf numFmtId="0" fontId="49" fillId="0" borderId="0" xfId="0" applyFont="1"/>
    <xf numFmtId="0" fontId="27" fillId="5" borderId="0" xfId="0" applyFont="1" applyFill="1"/>
    <xf numFmtId="0" fontId="50" fillId="0" borderId="0" xfId="0" applyFont="1"/>
    <xf numFmtId="0" fontId="27" fillId="0" borderId="0" xfId="0" applyFont="1" applyAlignment="1">
      <alignment horizontal="left"/>
    </xf>
    <xf numFmtId="0" fontId="46" fillId="0" borderId="0" xfId="0" applyFont="1" applyAlignment="1">
      <alignment horizontal="left" vertical="center"/>
    </xf>
    <xf numFmtId="0" fontId="27" fillId="0" borderId="0" xfId="0" applyFont="1" applyAlignment="1">
      <alignment horizontal="left" vertical="center"/>
    </xf>
    <xf numFmtId="0" fontId="50" fillId="0" borderId="0" xfId="0" applyFont="1" applyAlignment="1">
      <alignment horizontal="left" vertical="center"/>
    </xf>
    <xf numFmtId="0" fontId="27" fillId="0" borderId="0" xfId="0" applyFont="1" applyAlignment="1">
      <alignment horizontal="right"/>
    </xf>
    <xf numFmtId="0" fontId="50" fillId="0" borderId="8" xfId="0" applyFont="1" applyBorder="1"/>
    <xf numFmtId="173" fontId="27" fillId="0" borderId="0" xfId="0" applyNumberFormat="1" applyFont="1"/>
    <xf numFmtId="0" fontId="50" fillId="0" borderId="0" xfId="0" applyFont="1" applyAlignment="1">
      <alignment horizontal="center"/>
    </xf>
    <xf numFmtId="173" fontId="39" fillId="0" borderId="0" xfId="0" applyNumberFormat="1" applyFont="1" applyAlignment="1">
      <alignment horizontal="right"/>
    </xf>
    <xf numFmtId="173" fontId="39" fillId="0" borderId="0" xfId="0" applyNumberFormat="1" applyFont="1"/>
    <xf numFmtId="173" fontId="36" fillId="0" borderId="0" xfId="0" applyNumberFormat="1" applyFont="1" applyAlignment="1">
      <alignment horizontal="right" vertical="center"/>
    </xf>
    <xf numFmtId="0" fontId="46" fillId="6" borderId="0" xfId="0" applyFont="1" applyFill="1"/>
    <xf numFmtId="0" fontId="50" fillId="6" borderId="0" xfId="0" applyFont="1" applyFill="1"/>
    <xf numFmtId="0" fontId="46" fillId="0" borderId="0" xfId="0" applyFont="1" applyAlignment="1">
      <alignment horizontal="left"/>
    </xf>
    <xf numFmtId="0" fontId="39" fillId="5" borderId="0" xfId="0" applyFont="1" applyFill="1"/>
    <xf numFmtId="0" fontId="39" fillId="0" borderId="0" xfId="0" applyFont="1"/>
    <xf numFmtId="173" fontId="36" fillId="0" borderId="0" xfId="0" applyNumberFormat="1" applyFont="1" applyAlignment="1">
      <alignment horizontal="right"/>
    </xf>
    <xf numFmtId="0" fontId="50" fillId="0" borderId="0" xfId="0" applyFont="1" applyAlignment="1">
      <alignment horizontal="left"/>
    </xf>
    <xf numFmtId="0" fontId="40" fillId="0" borderId="0" xfId="0" applyFont="1"/>
    <xf numFmtId="0" fontId="40" fillId="0" borderId="0" xfId="0" applyFont="1" applyAlignment="1">
      <alignment horizontal="center"/>
    </xf>
    <xf numFmtId="0" fontId="40" fillId="0" borderId="0" xfId="0" applyFont="1" applyAlignment="1">
      <alignment horizontal="left"/>
    </xf>
    <xf numFmtId="0" fontId="41" fillId="0" borderId="0" xfId="0" applyFont="1"/>
    <xf numFmtId="0" fontId="51" fillId="0" borderId="0" xfId="0" applyFont="1"/>
    <xf numFmtId="0" fontId="41" fillId="0" borderId="0" xfId="0" applyFont="1" applyAlignment="1">
      <alignment horizontal="center"/>
    </xf>
    <xf numFmtId="0" fontId="42" fillId="0" borderId="0" xfId="0" applyFont="1"/>
    <xf numFmtId="0" fontId="41" fillId="0" borderId="0" xfId="0" applyFont="1" applyAlignment="1">
      <alignment horizontal="left"/>
    </xf>
    <xf numFmtId="49" fontId="40" fillId="0" borderId="0" xfId="0" quotePrefix="1" applyNumberFormat="1" applyFont="1"/>
    <xf numFmtId="0" fontId="43" fillId="0" borderId="0" xfId="0" applyFont="1"/>
    <xf numFmtId="170" fontId="39" fillId="5" borderId="0" xfId="6" applyNumberFormat="1" applyFont="1" applyFill="1" applyAlignment="1">
      <alignment horizontal="right"/>
    </xf>
    <xf numFmtId="170" fontId="27" fillId="0" borderId="0" xfId="6" applyNumberFormat="1" applyFont="1" applyAlignment="1">
      <alignment horizontal="right"/>
    </xf>
    <xf numFmtId="170" fontId="39" fillId="6" borderId="0" xfId="6" applyNumberFormat="1" applyFont="1" applyFill="1" applyAlignment="1">
      <alignment horizontal="right"/>
    </xf>
    <xf numFmtId="171" fontId="39" fillId="5" borderId="0" xfId="6" applyNumberFormat="1" applyFont="1" applyFill="1" applyAlignment="1">
      <alignment horizontal="right"/>
    </xf>
    <xf numFmtId="171" fontId="39" fillId="6" borderId="0" xfId="6" applyNumberFormat="1" applyFont="1" applyFill="1" applyAlignment="1">
      <alignment horizontal="right"/>
    </xf>
    <xf numFmtId="1" fontId="39" fillId="5" borderId="0" xfId="6" applyNumberFormat="1" applyFont="1" applyFill="1" applyAlignment="1">
      <alignment horizontal="right"/>
    </xf>
    <xf numFmtId="1" fontId="39" fillId="6" borderId="0" xfId="6" applyNumberFormat="1" applyFont="1" applyFill="1" applyAlignment="1">
      <alignment horizontal="right"/>
    </xf>
    <xf numFmtId="170" fontId="27" fillId="0" borderId="0" xfId="6" applyNumberFormat="1" applyFont="1"/>
    <xf numFmtId="37" fontId="39" fillId="5" borderId="0" xfId="6" applyNumberFormat="1" applyFont="1" applyFill="1" applyAlignment="1">
      <alignment horizontal="right"/>
    </xf>
    <xf numFmtId="37" fontId="39" fillId="6" borderId="0" xfId="6" applyNumberFormat="1" applyFont="1" applyFill="1" applyAlignment="1">
      <alignment horizontal="right"/>
    </xf>
    <xf numFmtId="172" fontId="39" fillId="5" borderId="0" xfId="6" applyNumberFormat="1" applyFont="1" applyFill="1" applyAlignment="1">
      <alignment horizontal="right"/>
    </xf>
    <xf numFmtId="0" fontId="3" fillId="0" borderId="0" xfId="0" applyFont="1" applyAlignment="1">
      <alignment vertical="center"/>
    </xf>
    <xf numFmtId="0" fontId="20" fillId="0" borderId="0" xfId="0" applyFont="1"/>
    <xf numFmtId="0" fontId="29" fillId="0" borderId="0" xfId="0" applyFont="1"/>
    <xf numFmtId="0" fontId="24" fillId="0" borderId="0" xfId="0" applyFont="1" applyAlignment="1">
      <alignment vertical="center"/>
    </xf>
    <xf numFmtId="43" fontId="39" fillId="5" borderId="0" xfId="6" applyFont="1" applyFill="1" applyAlignment="1">
      <alignment horizontal="right"/>
    </xf>
    <xf numFmtId="43" fontId="39" fillId="6" borderId="0" xfId="6" applyFont="1" applyFill="1" applyAlignment="1">
      <alignment horizontal="right"/>
    </xf>
    <xf numFmtId="170" fontId="39" fillId="0" borderId="0" xfId="6" applyNumberFormat="1" applyFont="1" applyFill="1" applyAlignment="1">
      <alignment horizontal="right"/>
    </xf>
    <xf numFmtId="2" fontId="3" fillId="7" borderId="0" xfId="1" applyNumberFormat="1" applyFill="1"/>
    <xf numFmtId="0" fontId="9" fillId="0" borderId="0" xfId="3" applyAlignment="1" applyProtection="1">
      <alignment horizontal="left"/>
    </xf>
    <xf numFmtId="0" fontId="53" fillId="0" borderId="0" xfId="0" applyFont="1"/>
    <xf numFmtId="15" fontId="53" fillId="0" borderId="0" xfId="0" applyNumberFormat="1" applyFont="1"/>
    <xf numFmtId="10" fontId="53" fillId="0" borderId="0" xfId="0" applyNumberFormat="1" applyFont="1"/>
    <xf numFmtId="4" fontId="53" fillId="0" borderId="0" xfId="0" applyNumberFormat="1" applyFont="1"/>
    <xf numFmtId="0" fontId="53" fillId="0" borderId="0" xfId="0" applyFont="1" applyAlignment="1">
      <alignment wrapText="1"/>
    </xf>
    <xf numFmtId="0" fontId="53" fillId="0" borderId="0" xfId="0" applyFont="1" applyAlignment="1">
      <alignment horizontal="center" wrapText="1"/>
    </xf>
    <xf numFmtId="4" fontId="53" fillId="0" borderId="0" xfId="0" quotePrefix="1" applyNumberFormat="1" applyFont="1"/>
    <xf numFmtId="2" fontId="53" fillId="0" borderId="0" xfId="0" applyNumberFormat="1" applyFont="1"/>
    <xf numFmtId="165" fontId="53" fillId="0" borderId="0" xfId="0" applyNumberFormat="1" applyFont="1"/>
    <xf numFmtId="0" fontId="2" fillId="0" borderId="0" xfId="7"/>
    <xf numFmtId="14" fontId="2" fillId="0" borderId="0" xfId="7" applyNumberFormat="1"/>
    <xf numFmtId="20" fontId="2" fillId="0" borderId="0" xfId="7" applyNumberFormat="1"/>
    <xf numFmtId="19" fontId="0" fillId="0" borderId="0" xfId="0" applyNumberFormat="1"/>
    <xf numFmtId="174" fontId="53" fillId="0" borderId="0" xfId="6" applyNumberFormat="1" applyFont="1"/>
    <xf numFmtId="0" fontId="53" fillId="0" borderId="0" xfId="0" quotePrefix="1" applyFont="1"/>
    <xf numFmtId="0" fontId="1" fillId="0" borderId="0" xfId="8"/>
    <xf numFmtId="14" fontId="1" fillId="0" borderId="0" xfId="8" applyNumberFormat="1"/>
    <xf numFmtId="20" fontId="1" fillId="0" borderId="0" xfId="8" applyNumberFormat="1"/>
    <xf numFmtId="0" fontId="37" fillId="4" borderId="9" xfId="1" applyFont="1" applyFill="1" applyBorder="1" applyAlignment="1">
      <alignment horizontal="center" vertical="top"/>
    </xf>
  </cellXfs>
  <cellStyles count="9">
    <cellStyle name="Comma" xfId="6" builtinId="3"/>
    <cellStyle name="Comma 2" xfId="4" xr:uid="{00000000-0005-0000-0000-000000000000}"/>
    <cellStyle name="Hyperlink" xfId="3" builtinId="8"/>
    <cellStyle name="Normal" xfId="0" builtinId="0"/>
    <cellStyle name="Normal 2" xfId="1" xr:uid="{00000000-0005-0000-0000-000003000000}"/>
    <cellStyle name="Normal 3" xfId="7" xr:uid="{762EBFFB-6860-4457-B35A-72E2A6C99D03}"/>
    <cellStyle name="Normal 4" xfId="8" xr:uid="{07E6F38B-8288-41F4-A499-587478E1A86F}"/>
    <cellStyle name="Percent" xfId="2" builtinId="5"/>
    <cellStyle name="Percent 2" xfId="5" xr:uid="{00000000-0005-0000-0000-000005000000}"/>
  </cellStyles>
  <dxfs count="5">
    <dxf>
      <fill>
        <patternFill>
          <bgColor theme="8" tint="0.79998168889431442"/>
        </patternFill>
      </fill>
    </dxf>
    <dxf>
      <font>
        <color rgb="FF3333FF"/>
      </font>
    </dxf>
    <dxf>
      <font>
        <color rgb="FFFF0000"/>
      </font>
    </dxf>
    <dxf>
      <font>
        <color rgb="FF3333CC"/>
      </font>
    </dxf>
    <dxf>
      <font>
        <color rgb="FFFF0000"/>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chartsheet" Target="chartsheets/sheet7.xml"/><Relationship Id="rId26" Type="http://schemas.openxmlformats.org/officeDocument/2006/relationships/worksheet" Target="worksheets/sheet18.xml"/><Relationship Id="rId21" Type="http://schemas.openxmlformats.org/officeDocument/2006/relationships/worksheet" Target="worksheets/sheet13.xml"/><Relationship Id="rId34"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10.xml"/><Relationship Id="rId17" Type="http://schemas.openxmlformats.org/officeDocument/2006/relationships/chartsheet" Target="chartsheets/sheet6.xml"/><Relationship Id="rId25" Type="http://schemas.openxmlformats.org/officeDocument/2006/relationships/worksheet" Target="worksheets/sheet17.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5.xml"/><Relationship Id="rId20" Type="http://schemas.openxmlformats.org/officeDocument/2006/relationships/worksheet" Target="worksheets/sheet12.xml"/><Relationship Id="rId29" Type="http://schemas.openxmlformats.org/officeDocument/2006/relationships/worksheet" Target="worksheets/sheet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9.xml"/><Relationship Id="rId24" Type="http://schemas.openxmlformats.org/officeDocument/2006/relationships/worksheet" Target="worksheets/sheet16.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4.xml"/><Relationship Id="rId23" Type="http://schemas.openxmlformats.org/officeDocument/2006/relationships/worksheet" Target="worksheets/sheet15.xml"/><Relationship Id="rId28" Type="http://schemas.openxmlformats.org/officeDocument/2006/relationships/worksheet" Target="worksheets/sheet20.xml"/><Relationship Id="rId36" Type="http://schemas.microsoft.com/office/2017/10/relationships/person" Target="persons/person.xml"/><Relationship Id="rId10" Type="http://schemas.openxmlformats.org/officeDocument/2006/relationships/worksheet" Target="worksheets/sheet8.xml"/><Relationship Id="rId19" Type="http://schemas.openxmlformats.org/officeDocument/2006/relationships/chartsheet" Target="chartsheets/sheet8.xml"/><Relationship Id="rId31" Type="http://schemas.openxmlformats.org/officeDocument/2006/relationships/worksheet" Target="worksheets/sheet23.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chartsheet" Target="chartsheets/sheet3.xml"/><Relationship Id="rId22" Type="http://schemas.openxmlformats.org/officeDocument/2006/relationships/worksheet" Target="worksheets/sheet14.xml"/><Relationship Id="rId27" Type="http://schemas.openxmlformats.org/officeDocument/2006/relationships/worksheet" Target="worksheets/sheet19.xml"/><Relationship Id="rId30" Type="http://schemas.openxmlformats.org/officeDocument/2006/relationships/worksheet" Target="worksheets/sheet22.xml"/><Relationship Id="rId35" Type="http://schemas.openxmlformats.org/officeDocument/2006/relationships/sheetMetadata" Target="metadata.xml"/><Relationship Id="rId8" Type="http://schemas.openxmlformats.org/officeDocument/2006/relationships/chartsheet" Target="chartsheets/sheet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Graph'!$T$14:$AQ$14</c:f>
          <c:strCache>
            <c:ptCount val="24"/>
            <c:pt idx="0">
              <c:v>Maize ($/mt)</c:v>
            </c:pt>
            <c:pt idx="2">
              <c:v>Volatility</c:v>
            </c:pt>
            <c:pt idx="3">
              <c:v>18.67%</c:v>
            </c:pt>
            <c:pt idx="6">
              <c:v>_x000d_</c:v>
            </c:pt>
            <c:pt idx="10">
              <c:v>Barley ($/mt)</c:v>
            </c:pt>
            <c:pt idx="12">
              <c:v>Volatility</c:v>
            </c:pt>
            <c:pt idx="13">
              <c:v>17.84%</c:v>
            </c:pt>
            <c:pt idx="14">
              <c:v> 
</c:v>
            </c:pt>
            <c:pt idx="15">
              <c:v>Correlation</c:v>
            </c:pt>
            <c:pt idx="17">
              <c:v>87.75%</c:v>
            </c:pt>
            <c:pt idx="18">
              <c:v>_x000d_</c:v>
            </c:pt>
            <c:pt idx="19">
              <c:v>Last Value of Maize</c:v>
            </c:pt>
            <c:pt idx="21">
              <c:v>208.19</c:v>
            </c:pt>
            <c:pt idx="22">
              <c:v>Last Value of Barley</c:v>
            </c:pt>
            <c:pt idx="23">
              <c:v>261.91</c:v>
            </c:pt>
          </c:strCache>
        </c:strRef>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'Prices for Graph'!$K$18</c:f>
              <c:strCache>
                <c:ptCount val="1"/>
                <c:pt idx="0">
                  <c:v>Maize ($/mt) N/A</c:v>
                </c:pt>
              </c:strCache>
            </c:strRef>
          </c:tx>
          <c:spPr>
            <a:ln w="12700" cap="rnd">
              <a:solidFill>
                <a:schemeClr val="accent1"/>
              </a:solidFill>
              <a:round/>
            </a:ln>
            <a:effectLst/>
          </c:spPr>
          <c:marker>
            <c:symbol val="none"/>
          </c:marker>
          <c:cat>
            <c:numRef>
              <c:f>'Prices for Graph'!$I$20:$I$815</c:f>
              <c:numCache>
                <c:formatCode>d\-mmm\-yy</c:formatCode>
                <c:ptCount val="7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36831</c:v>
                </c:pt>
                <c:pt idx="491">
                  <c:v>36861</c:v>
                </c:pt>
                <c:pt idx="492">
                  <c:v>36892</c:v>
                </c:pt>
                <c:pt idx="493">
                  <c:v>36923</c:v>
                </c:pt>
                <c:pt idx="494">
                  <c:v>36951</c:v>
                </c:pt>
                <c:pt idx="495">
                  <c:v>36982</c:v>
                </c:pt>
                <c:pt idx="496">
                  <c:v>37012</c:v>
                </c:pt>
                <c:pt idx="497">
                  <c:v>37043</c:v>
                </c:pt>
                <c:pt idx="498">
                  <c:v>37073</c:v>
                </c:pt>
                <c:pt idx="499">
                  <c:v>37104</c:v>
                </c:pt>
                <c:pt idx="500">
                  <c:v>37135</c:v>
                </c:pt>
                <c:pt idx="501">
                  <c:v>37165</c:v>
                </c:pt>
                <c:pt idx="502">
                  <c:v>37196</c:v>
                </c:pt>
                <c:pt idx="503">
                  <c:v>37226</c:v>
                </c:pt>
                <c:pt idx="504">
                  <c:v>37257</c:v>
                </c:pt>
                <c:pt idx="505">
                  <c:v>37288</c:v>
                </c:pt>
                <c:pt idx="506">
                  <c:v>37316</c:v>
                </c:pt>
                <c:pt idx="507">
                  <c:v>37347</c:v>
                </c:pt>
                <c:pt idx="508">
                  <c:v>37377</c:v>
                </c:pt>
                <c:pt idx="509">
                  <c:v>37408</c:v>
                </c:pt>
                <c:pt idx="510">
                  <c:v>37438</c:v>
                </c:pt>
                <c:pt idx="511">
                  <c:v>37469</c:v>
                </c:pt>
                <c:pt idx="512">
                  <c:v>37500</c:v>
                </c:pt>
                <c:pt idx="513">
                  <c:v>37530</c:v>
                </c:pt>
                <c:pt idx="514">
                  <c:v>37561</c:v>
                </c:pt>
                <c:pt idx="515">
                  <c:v>37591</c:v>
                </c:pt>
                <c:pt idx="516">
                  <c:v>37622</c:v>
                </c:pt>
                <c:pt idx="517">
                  <c:v>37653</c:v>
                </c:pt>
                <c:pt idx="518">
                  <c:v>37681</c:v>
                </c:pt>
                <c:pt idx="519">
                  <c:v>37712</c:v>
                </c:pt>
                <c:pt idx="520">
                  <c:v>37742</c:v>
                </c:pt>
                <c:pt idx="521">
                  <c:v>37773</c:v>
                </c:pt>
                <c:pt idx="522">
                  <c:v>37803</c:v>
                </c:pt>
                <c:pt idx="523">
                  <c:v>37834</c:v>
                </c:pt>
                <c:pt idx="524">
                  <c:v>37865</c:v>
                </c:pt>
                <c:pt idx="525">
                  <c:v>37895</c:v>
                </c:pt>
                <c:pt idx="526">
                  <c:v>37926</c:v>
                </c:pt>
                <c:pt idx="527">
                  <c:v>37956</c:v>
                </c:pt>
                <c:pt idx="528">
                  <c:v>37987</c:v>
                </c:pt>
                <c:pt idx="529">
                  <c:v>38018</c:v>
                </c:pt>
                <c:pt idx="530">
                  <c:v>38047</c:v>
                </c:pt>
                <c:pt idx="531">
                  <c:v>38078</c:v>
                </c:pt>
                <c:pt idx="532">
                  <c:v>38108</c:v>
                </c:pt>
                <c:pt idx="533">
                  <c:v>38139</c:v>
                </c:pt>
                <c:pt idx="534">
                  <c:v>38169</c:v>
                </c:pt>
                <c:pt idx="535">
                  <c:v>38200</c:v>
                </c:pt>
                <c:pt idx="536">
                  <c:v>38231</c:v>
                </c:pt>
                <c:pt idx="537">
                  <c:v>38261</c:v>
                </c:pt>
                <c:pt idx="538">
                  <c:v>38292</c:v>
                </c:pt>
                <c:pt idx="539">
                  <c:v>38322</c:v>
                </c:pt>
                <c:pt idx="540">
                  <c:v>38353</c:v>
                </c:pt>
                <c:pt idx="541">
                  <c:v>38384</c:v>
                </c:pt>
                <c:pt idx="542">
                  <c:v>38412</c:v>
                </c:pt>
                <c:pt idx="543">
                  <c:v>38443</c:v>
                </c:pt>
                <c:pt idx="544">
                  <c:v>38473</c:v>
                </c:pt>
                <c:pt idx="545">
                  <c:v>38504</c:v>
                </c:pt>
                <c:pt idx="546">
                  <c:v>38534</c:v>
                </c:pt>
                <c:pt idx="547">
                  <c:v>38565</c:v>
                </c:pt>
                <c:pt idx="548">
                  <c:v>38596</c:v>
                </c:pt>
                <c:pt idx="549">
                  <c:v>38626</c:v>
                </c:pt>
                <c:pt idx="550">
                  <c:v>38657</c:v>
                </c:pt>
                <c:pt idx="551">
                  <c:v>38687</c:v>
                </c:pt>
                <c:pt idx="552">
                  <c:v>38718</c:v>
                </c:pt>
                <c:pt idx="553">
                  <c:v>38749</c:v>
                </c:pt>
                <c:pt idx="554">
                  <c:v>38777</c:v>
                </c:pt>
                <c:pt idx="555">
                  <c:v>38808</c:v>
                </c:pt>
                <c:pt idx="556">
                  <c:v>38838</c:v>
                </c:pt>
                <c:pt idx="557">
                  <c:v>38869</c:v>
                </c:pt>
                <c:pt idx="558">
                  <c:v>38899</c:v>
                </c:pt>
                <c:pt idx="559">
                  <c:v>38930</c:v>
                </c:pt>
                <c:pt idx="560">
                  <c:v>38961</c:v>
                </c:pt>
                <c:pt idx="561">
                  <c:v>38991</c:v>
                </c:pt>
                <c:pt idx="562">
                  <c:v>39022</c:v>
                </c:pt>
                <c:pt idx="563">
                  <c:v>39052</c:v>
                </c:pt>
                <c:pt idx="564">
                  <c:v>39083</c:v>
                </c:pt>
                <c:pt idx="565">
                  <c:v>39114</c:v>
                </c:pt>
                <c:pt idx="566">
                  <c:v>39142</c:v>
                </c:pt>
                <c:pt idx="567">
                  <c:v>39173</c:v>
                </c:pt>
                <c:pt idx="568">
                  <c:v>39203</c:v>
                </c:pt>
                <c:pt idx="569">
                  <c:v>39234</c:v>
                </c:pt>
                <c:pt idx="570">
                  <c:v>39264</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numCache>
            </c:numRef>
          </c:cat>
          <c:val>
            <c:numRef>
              <c:f>'Prices for Graph'!$K$20:$K$815</c:f>
              <c:numCache>
                <c:formatCode>#,##0.00</c:formatCode>
                <c:ptCount val="7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144.9214988205936</c:v>
                </c:pt>
                <c:pt idx="491">
                  <c:v>158.29571578655256</c:v>
                </c:pt>
                <c:pt idx="492">
                  <c:v>154.13081718822727</c:v>
                </c:pt>
                <c:pt idx="493">
                  <c:v>148.73397809175944</c:v>
                </c:pt>
                <c:pt idx="494">
                  <c:v>145.71173755086951</c:v>
                </c:pt>
                <c:pt idx="495">
                  <c:v>141.84024152997893</c:v>
                </c:pt>
                <c:pt idx="496">
                  <c:v>135.34097938627585</c:v>
                </c:pt>
                <c:pt idx="497">
                  <c:v>133.87544113489955</c:v>
                </c:pt>
                <c:pt idx="498">
                  <c:v>147.2353221830854</c:v>
                </c:pt>
                <c:pt idx="499">
                  <c:v>149.32540048650304</c:v>
                </c:pt>
                <c:pt idx="500">
                  <c:v>144.25227435169441</c:v>
                </c:pt>
                <c:pt idx="501">
                  <c:v>138.47769630283244</c:v>
                </c:pt>
                <c:pt idx="502">
                  <c:v>143.10274450042297</c:v>
                </c:pt>
                <c:pt idx="503">
                  <c:v>146.69663438329962</c:v>
                </c:pt>
                <c:pt idx="504">
                  <c:v>146.77095257508293</c:v>
                </c:pt>
                <c:pt idx="505">
                  <c:v>144.83574225546909</c:v>
                </c:pt>
                <c:pt idx="506">
                  <c:v>142.82304013221878</c:v>
                </c:pt>
                <c:pt idx="507">
                  <c:v>138.78964153212956</c:v>
                </c:pt>
                <c:pt idx="508">
                  <c:v>143.70779527454098</c:v>
                </c:pt>
                <c:pt idx="509">
                  <c:v>149.7021014460563</c:v>
                </c:pt>
                <c:pt idx="510">
                  <c:v>156.90374640169927</c:v>
                </c:pt>
                <c:pt idx="511">
                  <c:v>173.05470214536251</c:v>
                </c:pt>
                <c:pt idx="512">
                  <c:v>181.1963749818585</c:v>
                </c:pt>
                <c:pt idx="513">
                  <c:v>173.98921739369931</c:v>
                </c:pt>
                <c:pt idx="514">
                  <c:v>172.61052802124524</c:v>
                </c:pt>
                <c:pt idx="515">
                  <c:v>169.33441902680258</c:v>
                </c:pt>
                <c:pt idx="516">
                  <c:v>167.82170779930843</c:v>
                </c:pt>
                <c:pt idx="517">
                  <c:v>167.16290449161343</c:v>
                </c:pt>
                <c:pt idx="518">
                  <c:v>166.56762155008715</c:v>
                </c:pt>
                <c:pt idx="519">
                  <c:v>166.15571973500246</c:v>
                </c:pt>
                <c:pt idx="520">
                  <c:v>169.1834456171342</c:v>
                </c:pt>
                <c:pt idx="521">
                  <c:v>168.73841527195651</c:v>
                </c:pt>
                <c:pt idx="522">
                  <c:v>152.03353511429788</c:v>
                </c:pt>
                <c:pt idx="523">
                  <c:v>157.9149006330002</c:v>
                </c:pt>
                <c:pt idx="524">
                  <c:v>163.10457489854107</c:v>
                </c:pt>
                <c:pt idx="525">
                  <c:v>164.97826638018054</c:v>
                </c:pt>
                <c:pt idx="526">
                  <c:v>169.64106686615355</c:v>
                </c:pt>
                <c:pt idx="527">
                  <c:v>173.63257653367879</c:v>
                </c:pt>
                <c:pt idx="528">
                  <c:v>180.1828993914618</c:v>
                </c:pt>
                <c:pt idx="529">
                  <c:v>192.40774407291815</c:v>
                </c:pt>
                <c:pt idx="530">
                  <c:v>198.81805483587365</c:v>
                </c:pt>
                <c:pt idx="531">
                  <c:v>207.24416195187521</c:v>
                </c:pt>
                <c:pt idx="532">
                  <c:v>198.70255931681876</c:v>
                </c:pt>
                <c:pt idx="533">
                  <c:v>190.78371660332886</c:v>
                </c:pt>
                <c:pt idx="534">
                  <c:v>161.88396434692234</c:v>
                </c:pt>
                <c:pt idx="535">
                  <c:v>160.34346643241065</c:v>
                </c:pt>
                <c:pt idx="536">
                  <c:v>150.51381383690318</c:v>
                </c:pt>
                <c:pt idx="537">
                  <c:v>143.89257240651</c:v>
                </c:pt>
                <c:pt idx="538">
                  <c:v>143.46325877887796</c:v>
                </c:pt>
                <c:pt idx="539">
                  <c:v>145.61943579457693</c:v>
                </c:pt>
                <c:pt idx="540">
                  <c:v>146.58010370958456</c:v>
                </c:pt>
                <c:pt idx="541">
                  <c:v>143.00505043330975</c:v>
                </c:pt>
                <c:pt idx="542">
                  <c:v>151.34814101094858</c:v>
                </c:pt>
                <c:pt idx="543">
                  <c:v>145.50283731434718</c:v>
                </c:pt>
                <c:pt idx="544">
                  <c:v>143.8117569920696</c:v>
                </c:pt>
                <c:pt idx="545">
                  <c:v>145.95287800422511</c:v>
                </c:pt>
                <c:pt idx="546">
                  <c:v>161.14358380169369</c:v>
                </c:pt>
                <c:pt idx="547">
                  <c:v>151.91893748429291</c:v>
                </c:pt>
                <c:pt idx="548">
                  <c:v>143.55367168574151</c:v>
                </c:pt>
                <c:pt idx="549">
                  <c:v>151.42813567498567</c:v>
                </c:pt>
                <c:pt idx="550">
                  <c:v>141.25226840124711</c:v>
                </c:pt>
                <c:pt idx="551">
                  <c:v>150.83611592630209</c:v>
                </c:pt>
                <c:pt idx="552">
                  <c:v>151.18230270918542</c:v>
                </c:pt>
                <c:pt idx="553">
                  <c:v>157.35119811563933</c:v>
                </c:pt>
                <c:pt idx="554">
                  <c:v>154.17244990506575</c:v>
                </c:pt>
                <c:pt idx="555">
                  <c:v>157.35201725186622</c:v>
                </c:pt>
                <c:pt idx="556">
                  <c:v>161.17935012955951</c:v>
                </c:pt>
                <c:pt idx="557">
                  <c:v>158.9223569384263</c:v>
                </c:pt>
                <c:pt idx="558">
                  <c:v>165.19212973698521</c:v>
                </c:pt>
                <c:pt idx="559">
                  <c:v>168.55395927978572</c:v>
                </c:pt>
                <c:pt idx="560">
                  <c:v>175.59102547503534</c:v>
                </c:pt>
                <c:pt idx="561">
                  <c:v>204.69065539283716</c:v>
                </c:pt>
                <c:pt idx="562">
                  <c:v>236.48992638636017</c:v>
                </c:pt>
                <c:pt idx="563">
                  <c:v>230.1073785440168</c:v>
                </c:pt>
                <c:pt idx="564">
                  <c:v>235.99127299596012</c:v>
                </c:pt>
                <c:pt idx="565">
                  <c:v>253.53981960378016</c:v>
                </c:pt>
                <c:pt idx="566">
                  <c:v>243.31655484812592</c:v>
                </c:pt>
                <c:pt idx="567">
                  <c:v>217.61483186215264</c:v>
                </c:pt>
                <c:pt idx="568">
                  <c:v>227.89484140889849</c:v>
                </c:pt>
                <c:pt idx="569">
                  <c:v>234.64651547369945</c:v>
                </c:pt>
                <c:pt idx="570">
                  <c:v>208.18577630916059</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numCache>
            </c:numRef>
          </c:val>
          <c:smooth val="0"/>
          <c:extLst>
            <c:ext xmlns:c16="http://schemas.microsoft.com/office/drawing/2014/chart" uri="{C3380CC4-5D6E-409C-BE32-E72D297353CC}">
              <c16:uniqueId val="{00000001-B2EF-46D1-8236-CEF008B7DF55}"/>
            </c:ext>
          </c:extLst>
        </c:ser>
        <c:ser>
          <c:idx val="1"/>
          <c:order val="1"/>
          <c:tx>
            <c:strRef>
              <c:f>'Prices for Graph'!$N$18</c:f>
              <c:strCache>
                <c:ptCount val="1"/>
                <c:pt idx="0">
                  <c:v>Barley ($/mt)</c:v>
                </c:pt>
              </c:strCache>
            </c:strRef>
          </c:tx>
          <c:spPr>
            <a:ln w="12700" cap="rnd">
              <a:solidFill>
                <a:schemeClr val="accent2"/>
              </a:solidFill>
              <a:round/>
            </a:ln>
            <a:effectLst/>
          </c:spPr>
          <c:marker>
            <c:symbol val="none"/>
          </c:marker>
          <c:cat>
            <c:numRef>
              <c:f>[0]!x_range</c:f>
              <c:numCache>
                <c:formatCode>d\-mmm\-yy</c:formatCode>
                <c:ptCount val="81"/>
                <c:pt idx="0">
                  <c:v>36831</c:v>
                </c:pt>
                <c:pt idx="1">
                  <c:v>36861</c:v>
                </c:pt>
                <c:pt idx="2">
                  <c:v>36892</c:v>
                </c:pt>
                <c:pt idx="3">
                  <c:v>36923</c:v>
                </c:pt>
                <c:pt idx="4">
                  <c:v>36951</c:v>
                </c:pt>
                <c:pt idx="5">
                  <c:v>36982</c:v>
                </c:pt>
                <c:pt idx="6">
                  <c:v>37012</c:v>
                </c:pt>
                <c:pt idx="7">
                  <c:v>37043</c:v>
                </c:pt>
                <c:pt idx="8">
                  <c:v>37073</c:v>
                </c:pt>
                <c:pt idx="9">
                  <c:v>37104</c:v>
                </c:pt>
                <c:pt idx="10">
                  <c:v>37135</c:v>
                </c:pt>
                <c:pt idx="11">
                  <c:v>37165</c:v>
                </c:pt>
                <c:pt idx="12">
                  <c:v>37196</c:v>
                </c:pt>
                <c:pt idx="13">
                  <c:v>37226</c:v>
                </c:pt>
                <c:pt idx="14">
                  <c:v>37257</c:v>
                </c:pt>
                <c:pt idx="15">
                  <c:v>37288</c:v>
                </c:pt>
                <c:pt idx="16">
                  <c:v>37316</c:v>
                </c:pt>
                <c:pt idx="17">
                  <c:v>37347</c:v>
                </c:pt>
                <c:pt idx="18">
                  <c:v>37377</c:v>
                </c:pt>
                <c:pt idx="19">
                  <c:v>37408</c:v>
                </c:pt>
                <c:pt idx="20">
                  <c:v>37438</c:v>
                </c:pt>
                <c:pt idx="21">
                  <c:v>37469</c:v>
                </c:pt>
                <c:pt idx="22">
                  <c:v>37500</c:v>
                </c:pt>
                <c:pt idx="23">
                  <c:v>37530</c:v>
                </c:pt>
                <c:pt idx="24">
                  <c:v>37561</c:v>
                </c:pt>
                <c:pt idx="25">
                  <c:v>37591</c:v>
                </c:pt>
                <c:pt idx="26">
                  <c:v>37622</c:v>
                </c:pt>
                <c:pt idx="27">
                  <c:v>37653</c:v>
                </c:pt>
                <c:pt idx="28">
                  <c:v>37681</c:v>
                </c:pt>
                <c:pt idx="29">
                  <c:v>37712</c:v>
                </c:pt>
                <c:pt idx="30">
                  <c:v>37742</c:v>
                </c:pt>
                <c:pt idx="31">
                  <c:v>37773</c:v>
                </c:pt>
                <c:pt idx="32">
                  <c:v>37803</c:v>
                </c:pt>
                <c:pt idx="33">
                  <c:v>37834</c:v>
                </c:pt>
                <c:pt idx="34">
                  <c:v>37865</c:v>
                </c:pt>
                <c:pt idx="35">
                  <c:v>37895</c:v>
                </c:pt>
                <c:pt idx="36">
                  <c:v>37926</c:v>
                </c:pt>
                <c:pt idx="37">
                  <c:v>37956</c:v>
                </c:pt>
                <c:pt idx="38">
                  <c:v>37987</c:v>
                </c:pt>
                <c:pt idx="39">
                  <c:v>38018</c:v>
                </c:pt>
                <c:pt idx="40">
                  <c:v>38047</c:v>
                </c:pt>
                <c:pt idx="41">
                  <c:v>38078</c:v>
                </c:pt>
                <c:pt idx="42">
                  <c:v>38108</c:v>
                </c:pt>
                <c:pt idx="43">
                  <c:v>38139</c:v>
                </c:pt>
                <c:pt idx="44">
                  <c:v>38169</c:v>
                </c:pt>
                <c:pt idx="45">
                  <c:v>38200</c:v>
                </c:pt>
                <c:pt idx="46">
                  <c:v>38231</c:v>
                </c:pt>
                <c:pt idx="47">
                  <c:v>38261</c:v>
                </c:pt>
                <c:pt idx="48">
                  <c:v>38292</c:v>
                </c:pt>
                <c:pt idx="49">
                  <c:v>38322</c:v>
                </c:pt>
                <c:pt idx="50">
                  <c:v>38353</c:v>
                </c:pt>
                <c:pt idx="51">
                  <c:v>38384</c:v>
                </c:pt>
                <c:pt idx="52">
                  <c:v>38412</c:v>
                </c:pt>
                <c:pt idx="53">
                  <c:v>38443</c:v>
                </c:pt>
                <c:pt idx="54">
                  <c:v>38473</c:v>
                </c:pt>
                <c:pt idx="55">
                  <c:v>38504</c:v>
                </c:pt>
                <c:pt idx="56">
                  <c:v>38534</c:v>
                </c:pt>
                <c:pt idx="57">
                  <c:v>38565</c:v>
                </c:pt>
                <c:pt idx="58">
                  <c:v>38596</c:v>
                </c:pt>
                <c:pt idx="59">
                  <c:v>38626</c:v>
                </c:pt>
                <c:pt idx="60">
                  <c:v>38657</c:v>
                </c:pt>
                <c:pt idx="61">
                  <c:v>38687</c:v>
                </c:pt>
                <c:pt idx="62">
                  <c:v>38718</c:v>
                </c:pt>
                <c:pt idx="63">
                  <c:v>38749</c:v>
                </c:pt>
                <c:pt idx="64">
                  <c:v>38777</c:v>
                </c:pt>
                <c:pt idx="65">
                  <c:v>38808</c:v>
                </c:pt>
                <c:pt idx="66">
                  <c:v>38838</c:v>
                </c:pt>
                <c:pt idx="67">
                  <c:v>38869</c:v>
                </c:pt>
                <c:pt idx="68">
                  <c:v>38899</c:v>
                </c:pt>
                <c:pt idx="69">
                  <c:v>38930</c:v>
                </c:pt>
                <c:pt idx="70">
                  <c:v>38961</c:v>
                </c:pt>
                <c:pt idx="71">
                  <c:v>38991</c:v>
                </c:pt>
                <c:pt idx="72">
                  <c:v>39022</c:v>
                </c:pt>
                <c:pt idx="73">
                  <c:v>39052</c:v>
                </c:pt>
                <c:pt idx="74">
                  <c:v>39083</c:v>
                </c:pt>
                <c:pt idx="75">
                  <c:v>39114</c:v>
                </c:pt>
                <c:pt idx="76">
                  <c:v>39142</c:v>
                </c:pt>
                <c:pt idx="77">
                  <c:v>39173</c:v>
                </c:pt>
                <c:pt idx="78">
                  <c:v>39203</c:v>
                </c:pt>
                <c:pt idx="79">
                  <c:v>39234</c:v>
                </c:pt>
                <c:pt idx="80">
                  <c:v>39264</c:v>
                </c:pt>
              </c:numCache>
            </c:numRef>
          </c:cat>
          <c:val>
            <c:numRef>
              <c:f>'Prices for Graph'!$N$20:$N$815</c:f>
              <c:numCache>
                <c:formatCode>#,##0.00</c:formatCode>
                <c:ptCount val="7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134.01622510649486</c:v>
                </c:pt>
                <c:pt idx="491">
                  <c:v>140.51259724390582</c:v>
                </c:pt>
                <c:pt idx="492">
                  <c:v>138.90402074503928</c:v>
                </c:pt>
                <c:pt idx="493">
                  <c:v>133.11181620890204</c:v>
                </c:pt>
                <c:pt idx="494">
                  <c:v>134.11937992632386</c:v>
                </c:pt>
                <c:pt idx="495">
                  <c:v>136.56898809432681</c:v>
                </c:pt>
                <c:pt idx="496">
                  <c:v>144.41843358699646</c:v>
                </c:pt>
                <c:pt idx="497">
                  <c:v>152.75716521766358</c:v>
                </c:pt>
                <c:pt idx="498">
                  <c:v>163.68754122131307</c:v>
                </c:pt>
                <c:pt idx="499">
                  <c:v>159.34562544936159</c:v>
                </c:pt>
                <c:pt idx="500">
                  <c:v>159.51342193796935</c:v>
                </c:pt>
                <c:pt idx="501">
                  <c:v>162.84247581637379</c:v>
                </c:pt>
                <c:pt idx="502">
                  <c:v>161.37015984149772</c:v>
                </c:pt>
                <c:pt idx="503">
                  <c:v>164.22742503990204</c:v>
                </c:pt>
                <c:pt idx="504">
                  <c:v>158.40348404140553</c:v>
                </c:pt>
                <c:pt idx="505">
                  <c:v>157.89679410607792</c:v>
                </c:pt>
                <c:pt idx="506">
                  <c:v>157.70940543558811</c:v>
                </c:pt>
                <c:pt idx="507">
                  <c:v>152.63196891551308</c:v>
                </c:pt>
                <c:pt idx="508">
                  <c:v>155.29739037367312</c:v>
                </c:pt>
                <c:pt idx="509">
                  <c:v>165.6444444845246</c:v>
                </c:pt>
                <c:pt idx="510">
                  <c:v>181.61024370722575</c:v>
                </c:pt>
                <c:pt idx="511">
                  <c:v>192.21415966737729</c:v>
                </c:pt>
                <c:pt idx="512">
                  <c:v>190.1022069745712</c:v>
                </c:pt>
                <c:pt idx="513">
                  <c:v>191.29297638882471</c:v>
                </c:pt>
                <c:pt idx="514">
                  <c:v>190.35805316434582</c:v>
                </c:pt>
                <c:pt idx="515">
                  <c:v>185.53011000141169</c:v>
                </c:pt>
                <c:pt idx="516">
                  <c:v>179.78169705483211</c:v>
                </c:pt>
                <c:pt idx="517">
                  <c:v>180.26943182914871</c:v>
                </c:pt>
                <c:pt idx="518">
                  <c:v>179.25726969696811</c:v>
                </c:pt>
                <c:pt idx="519">
                  <c:v>180.54547279397227</c:v>
                </c:pt>
                <c:pt idx="520">
                  <c:v>181.78348032201706</c:v>
                </c:pt>
                <c:pt idx="521">
                  <c:v>175.26771953485809</c:v>
                </c:pt>
                <c:pt idx="522">
                  <c:v>151.74156374072061</c:v>
                </c:pt>
                <c:pt idx="523">
                  <c:v>138.16500742355464</c:v>
                </c:pt>
                <c:pt idx="524">
                  <c:v>142.02820377054354</c:v>
                </c:pt>
                <c:pt idx="525">
                  <c:v>149.81660150507633</c:v>
                </c:pt>
                <c:pt idx="526">
                  <c:v>158.94453827574662</c:v>
                </c:pt>
                <c:pt idx="527">
                  <c:v>158.00329373158871</c:v>
                </c:pt>
                <c:pt idx="528">
                  <c:v>153.71058716770366</c:v>
                </c:pt>
                <c:pt idx="529">
                  <c:v>148.8396435883499</c:v>
                </c:pt>
                <c:pt idx="530">
                  <c:v>160.22296891386449</c:v>
                </c:pt>
                <c:pt idx="531">
                  <c:v>174.69635246296423</c:v>
                </c:pt>
                <c:pt idx="532">
                  <c:v>172.88831784265062</c:v>
                </c:pt>
                <c:pt idx="533">
                  <c:v>176.43906156015353</c:v>
                </c:pt>
                <c:pt idx="534">
                  <c:v>160.5291381288574</c:v>
                </c:pt>
                <c:pt idx="535">
                  <c:v>135.25323235799914</c:v>
                </c:pt>
                <c:pt idx="536">
                  <c:v>131.29392678098475</c:v>
                </c:pt>
                <c:pt idx="537">
                  <c:v>134.83219252141748</c:v>
                </c:pt>
                <c:pt idx="538">
                  <c:v>146.1999748242672</c:v>
                </c:pt>
                <c:pt idx="539">
                  <c:v>140.51332754734014</c:v>
                </c:pt>
                <c:pt idx="540">
                  <c:v>138.14366359470324</c:v>
                </c:pt>
                <c:pt idx="541">
                  <c:v>132.73130933963625</c:v>
                </c:pt>
                <c:pt idx="542">
                  <c:v>142.6985562386152</c:v>
                </c:pt>
                <c:pt idx="543">
                  <c:v>141.04141486844128</c:v>
                </c:pt>
                <c:pt idx="544">
                  <c:v>133.97992757944687</c:v>
                </c:pt>
                <c:pt idx="545">
                  <c:v>140.45506952646591</c:v>
                </c:pt>
                <c:pt idx="546">
                  <c:v>145.07999116143401</c:v>
                </c:pt>
                <c:pt idx="547">
                  <c:v>146.44410406173958</c:v>
                </c:pt>
                <c:pt idx="548">
                  <c:v>145.84668744822358</c:v>
                </c:pt>
                <c:pt idx="549">
                  <c:v>146.35828427648789</c:v>
                </c:pt>
                <c:pt idx="550">
                  <c:v>146.27448395623048</c:v>
                </c:pt>
                <c:pt idx="551">
                  <c:v>152.12625624074721</c:v>
                </c:pt>
                <c:pt idx="552">
                  <c:v>152.58146382289613</c:v>
                </c:pt>
                <c:pt idx="553">
                  <c:v>148.54416976766146</c:v>
                </c:pt>
                <c:pt idx="554">
                  <c:v>147.03219687871635</c:v>
                </c:pt>
                <c:pt idx="555">
                  <c:v>149.17752392964505</c:v>
                </c:pt>
                <c:pt idx="556">
                  <c:v>156.55714499601342</c:v>
                </c:pt>
                <c:pt idx="557">
                  <c:v>155.25987664163119</c:v>
                </c:pt>
                <c:pt idx="558">
                  <c:v>162.44944669267633</c:v>
                </c:pt>
                <c:pt idx="559">
                  <c:v>165.57915156778267</c:v>
                </c:pt>
                <c:pt idx="560">
                  <c:v>166.50329597501863</c:v>
                </c:pt>
                <c:pt idx="561">
                  <c:v>196.67073757496198</c:v>
                </c:pt>
                <c:pt idx="562">
                  <c:v>212.93173494812754</c:v>
                </c:pt>
                <c:pt idx="563">
                  <c:v>216.60900578196282</c:v>
                </c:pt>
                <c:pt idx="564">
                  <c:v>217.88522349595311</c:v>
                </c:pt>
                <c:pt idx="565">
                  <c:v>215.91678479147831</c:v>
                </c:pt>
                <c:pt idx="566">
                  <c:v>224.12462337514694</c:v>
                </c:pt>
                <c:pt idx="567">
                  <c:v>223.83943591517047</c:v>
                </c:pt>
                <c:pt idx="568">
                  <c:v>229.97380706379175</c:v>
                </c:pt>
                <c:pt idx="569">
                  <c:v>261.91224260480311</c:v>
                </c:pt>
                <c:pt idx="570">
                  <c:v>252.22819297761103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numCache>
            </c:numRef>
          </c:val>
          <c:smooth val="0"/>
          <c:extLst>
            <c:ext xmlns:c16="http://schemas.microsoft.com/office/drawing/2014/chart" uri="{C3380CC4-5D6E-409C-BE32-E72D297353CC}">
              <c16:uniqueId val="{00000000-B2EF-46D1-8236-CEF008B7DF55}"/>
            </c:ext>
          </c:extLst>
        </c:ser>
        <c:dLbls>
          <c:showLegendKey val="0"/>
          <c:showVal val="0"/>
          <c:showCatName val="0"/>
          <c:showSerName val="0"/>
          <c:showPercent val="0"/>
          <c:showBubbleSize val="0"/>
        </c:dLbls>
        <c:smooth val="0"/>
        <c:axId val="1670659296"/>
        <c:axId val="1670655488"/>
      </c:lineChart>
      <c:dateAx>
        <c:axId val="16706592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70655488"/>
        <c:crosses val="autoZero"/>
        <c:auto val="1"/>
        <c:lblOffset val="100"/>
        <c:baseTimeUnit val="months"/>
      </c:dateAx>
      <c:valAx>
        <c:axId val="1670655488"/>
        <c:scaling>
          <c:orientation val="minMax"/>
        </c:scaling>
        <c:delete val="0"/>
        <c:axPos val="l"/>
        <c:majorGridlines>
          <c:spPr>
            <a:ln w="9525" cap="flat" cmpd="sng" algn="ctr">
              <a:solidFill>
                <a:schemeClr val="tx1">
                  <a:lumMod val="15000"/>
                  <a:lumOff val="85000"/>
                </a:schemeClr>
              </a:solidFill>
              <a:round/>
            </a:ln>
            <a:effectLst/>
          </c:spPr>
        </c:majorGridlines>
        <c:title>
          <c:tx>
            <c:strRef>
              <c:f>'Prices for Graph'!$I$4</c:f>
              <c:strCache>
                <c:ptCount val="1"/>
                <c:pt idx="0">
                  <c:v>Maize ($/mt)</c:v>
                </c:pt>
              </c:strCache>
            </c:strRef>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Graph'!$AE$27:$AI$27</c:f>
          <c:strCache>
            <c:ptCount val="5"/>
            <c:pt idx="0">
              <c:v>Distribution Analysis</c:v>
            </c:pt>
            <c:pt idx="3">
              <c:v>Barley ($/mt)</c:v>
            </c:pt>
          </c:strCache>
        </c:strRef>
      </c:tx>
      <c:overlay val="0"/>
      <c:txPr>
        <a:bodyPr/>
        <a:lstStyle/>
        <a:p>
          <a:pPr>
            <a:defRPr sz="1000"/>
          </a:pPr>
          <a:endParaRPr lang="en-US"/>
        </a:p>
      </c:txPr>
    </c:title>
    <c:autoTitleDeleted val="0"/>
    <c:plotArea>
      <c:layout>
        <c:manualLayout>
          <c:layoutTarget val="inner"/>
          <c:xMode val="edge"/>
          <c:yMode val="edge"/>
          <c:x val="0.15236243699626045"/>
          <c:y val="0.13773591128334087"/>
          <c:w val="0.81527814554154177"/>
          <c:h val="0.71463783650080392"/>
        </c:manualLayout>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Distributions!$Z$22:$Z$61</c:f>
              <c:numCache>
                <c:formatCode>#,##0.0000</c:formatCode>
                <c:ptCount val="40"/>
                <c:pt idx="0">
                  <c:v>1.2500000000000001E-2</c:v>
                </c:pt>
                <c:pt idx="1">
                  <c:v>1.2500000000000001E-2</c:v>
                </c:pt>
                <c:pt idx="2">
                  <c:v>0</c:v>
                </c:pt>
                <c:pt idx="3">
                  <c:v>0</c:v>
                </c:pt>
                <c:pt idx="4">
                  <c:v>0</c:v>
                </c:pt>
                <c:pt idx="5">
                  <c:v>0</c:v>
                </c:pt>
                <c:pt idx="6">
                  <c:v>0</c:v>
                </c:pt>
                <c:pt idx="7">
                  <c:v>2.5000000000000001E-2</c:v>
                </c:pt>
                <c:pt idx="8">
                  <c:v>0</c:v>
                </c:pt>
                <c:pt idx="9">
                  <c:v>0</c:v>
                </c:pt>
                <c:pt idx="10">
                  <c:v>0</c:v>
                </c:pt>
                <c:pt idx="11">
                  <c:v>0</c:v>
                </c:pt>
                <c:pt idx="12">
                  <c:v>0</c:v>
                </c:pt>
                <c:pt idx="13">
                  <c:v>1.2500000000000001E-2</c:v>
                </c:pt>
                <c:pt idx="14">
                  <c:v>3.7499999999999999E-2</c:v>
                </c:pt>
                <c:pt idx="15">
                  <c:v>7.4999999999999997E-2</c:v>
                </c:pt>
                <c:pt idx="16">
                  <c:v>6.25E-2</c:v>
                </c:pt>
                <c:pt idx="17">
                  <c:v>1.2500000000000001E-2</c:v>
                </c:pt>
                <c:pt idx="18">
                  <c:v>0.1</c:v>
                </c:pt>
                <c:pt idx="19">
                  <c:v>0.1125</c:v>
                </c:pt>
                <c:pt idx="20">
                  <c:v>0.1125</c:v>
                </c:pt>
                <c:pt idx="21">
                  <c:v>3.7499999999999999E-2</c:v>
                </c:pt>
                <c:pt idx="22">
                  <c:v>7.4999999999999997E-2</c:v>
                </c:pt>
                <c:pt idx="23">
                  <c:v>3.7499999999999999E-2</c:v>
                </c:pt>
                <c:pt idx="24">
                  <c:v>2.5000000000000001E-2</c:v>
                </c:pt>
                <c:pt idx="25">
                  <c:v>3.7499999999999999E-2</c:v>
                </c:pt>
                <c:pt idx="26">
                  <c:v>3.7499999999999999E-2</c:v>
                </c:pt>
                <c:pt idx="27">
                  <c:v>0.05</c:v>
                </c:pt>
                <c:pt idx="28">
                  <c:v>2.5000000000000001E-2</c:v>
                </c:pt>
                <c:pt idx="29">
                  <c:v>3.7499999999999999E-2</c:v>
                </c:pt>
                <c:pt idx="30">
                  <c:v>2.5000000000000001E-2</c:v>
                </c:pt>
                <c:pt idx="31">
                  <c:v>2.5000000000000001E-2</c:v>
                </c:pt>
                <c:pt idx="32">
                  <c:v>0</c:v>
                </c:pt>
                <c:pt idx="33">
                  <c:v>0</c:v>
                </c:pt>
                <c:pt idx="34">
                  <c:v>0</c:v>
                </c:pt>
                <c:pt idx="35">
                  <c:v>0</c:v>
                </c:pt>
                <c:pt idx="36">
                  <c:v>1.2500000000000001E-2</c:v>
                </c:pt>
                <c:pt idx="37">
                  <c:v>0</c:v>
                </c:pt>
                <c:pt idx="38">
                  <c:v>0</c:v>
                </c:pt>
                <c:pt idx="39">
                  <c:v>0</c:v>
                </c:pt>
              </c:numCache>
            </c:numRef>
          </c:val>
          <c:extLst>
            <c:ext xmlns:c16="http://schemas.microsoft.com/office/drawing/2014/chart" uri="{C3380CC4-5D6E-409C-BE32-E72D297353CC}">
              <c16:uniqueId val="{00000000-C54E-47DB-98FB-A539D5D3A8CC}"/>
            </c:ext>
          </c:extLst>
        </c:ser>
        <c:dLbls>
          <c:showLegendKey val="0"/>
          <c:showVal val="0"/>
          <c:showCatName val="0"/>
          <c:showSerName val="0"/>
          <c:showPercent val="0"/>
          <c:showBubbleSize val="0"/>
        </c:dLbls>
        <c:gapWidth val="150"/>
        <c:axId val="1970749136"/>
        <c:axId val="1970755664"/>
      </c:barChart>
      <c:lineChart>
        <c:grouping val="standard"/>
        <c:varyColors val="0"/>
        <c:ser>
          <c:idx val="1"/>
          <c:order val="1"/>
          <c:tx>
            <c:strRef>
              <c:f>Distributions!$AA$21</c:f>
              <c:strCache>
                <c:ptCount val="1"/>
                <c:pt idx="0">
                  <c:v>normdist</c:v>
                </c:pt>
              </c:strCache>
            </c:strRef>
          </c:tx>
          <c:spPr>
            <a:ln w="12700"/>
          </c:spPr>
          <c:marker>
            <c:symbol val="none"/>
          </c:marker>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Distributions!$AA$22:$AA$61</c:f>
              <c:numCache>
                <c:formatCode>General</c:formatCode>
                <c:ptCount val="40"/>
                <c:pt idx="0">
                  <c:v>6.6477726179070117E-4</c:v>
                </c:pt>
                <c:pt idx="1">
                  <c:v>1.0309150035920957E-3</c:v>
                </c:pt>
                <c:pt idx="2">
                  <c:v>1.5631402221633886E-3</c:v>
                </c:pt>
                <c:pt idx="3">
                  <c:v>2.3174020701592739E-3</c:v>
                </c:pt>
                <c:pt idx="4">
                  <c:v>3.3591795442264351E-3</c:v>
                </c:pt>
                <c:pt idx="5">
                  <c:v>4.7609477753501129E-3</c:v>
                </c:pt>
                <c:pt idx="6">
                  <c:v>6.597539397064079E-3</c:v>
                </c:pt>
                <c:pt idx="7">
                  <c:v>8.9392059103224047E-3</c:v>
                </c:pt>
                <c:pt idx="8">
                  <c:v>1.1842523745134117E-2</c:v>
                </c:pt>
                <c:pt idx="9">
                  <c:v>1.5339738684596696E-2</c:v>
                </c:pt>
                <c:pt idx="10">
                  <c:v>1.9427639349883747E-2</c:v>
                </c:pt>
                <c:pt idx="11">
                  <c:v>2.4057499101287926E-2</c:v>
                </c:pt>
                <c:pt idx="12">
                  <c:v>2.9127908247481928E-2</c:v>
                </c:pt>
                <c:pt idx="13">
                  <c:v>3.4482321102634932E-2</c:v>
                </c:pt>
                <c:pt idx="14">
                  <c:v>3.9912787484813216E-2</c:v>
                </c:pt>
                <c:pt idx="15">
                  <c:v>4.5170614823220656E-2</c:v>
                </c:pt>
                <c:pt idx="16">
                  <c:v>4.9983690433769934E-2</c:v>
                </c:pt>
                <c:pt idx="17">
                  <c:v>5.4079044369247181E-2</c:v>
                </c:pt>
                <c:pt idx="18">
                  <c:v>5.7208172319078605E-2</c:v>
                </c:pt>
                <c:pt idx="19">
                  <c:v>5.9171899636183328E-2</c:v>
                </c:pt>
                <c:pt idx="20">
                  <c:v>5.9841342060214908E-2</c:v>
                </c:pt>
                <c:pt idx="21">
                  <c:v>5.9171899636183342E-2</c:v>
                </c:pt>
                <c:pt idx="22">
                  <c:v>5.7208172319078626E-2</c:v>
                </c:pt>
                <c:pt idx="23">
                  <c:v>5.4079044369247216E-2</c:v>
                </c:pt>
                <c:pt idx="24">
                  <c:v>4.9983690433769969E-2</c:v>
                </c:pt>
                <c:pt idx="25">
                  <c:v>4.5170614823220684E-2</c:v>
                </c:pt>
                <c:pt idx="26">
                  <c:v>3.9912787484813229E-2</c:v>
                </c:pt>
                <c:pt idx="27">
                  <c:v>3.4482321102634966E-2</c:v>
                </c:pt>
                <c:pt idx="28">
                  <c:v>2.9127908247481956E-2</c:v>
                </c:pt>
                <c:pt idx="29">
                  <c:v>2.4057499101287953E-2</c:v>
                </c:pt>
                <c:pt idx="30">
                  <c:v>1.9427639349883775E-2</c:v>
                </c:pt>
                <c:pt idx="31">
                  <c:v>1.5339738684596715E-2</c:v>
                </c:pt>
                <c:pt idx="32">
                  <c:v>1.1842523745134139E-2</c:v>
                </c:pt>
                <c:pt idx="33">
                  <c:v>8.9392059103224238E-3</c:v>
                </c:pt>
                <c:pt idx="34">
                  <c:v>6.5975393970640912E-3</c:v>
                </c:pt>
                <c:pt idx="35">
                  <c:v>4.7609477753501207E-3</c:v>
                </c:pt>
                <c:pt idx="36">
                  <c:v>3.3591795442264429E-3</c:v>
                </c:pt>
                <c:pt idx="37">
                  <c:v>2.3174020701592847E-3</c:v>
                </c:pt>
                <c:pt idx="38">
                  <c:v>1.5631402221633962E-3</c:v>
                </c:pt>
                <c:pt idx="39">
                  <c:v>1.0309150035921013E-3</c:v>
                </c:pt>
              </c:numCache>
            </c:numRef>
          </c:val>
          <c:smooth val="0"/>
          <c:extLst>
            <c:ext xmlns:c16="http://schemas.microsoft.com/office/drawing/2014/chart" uri="{C3380CC4-5D6E-409C-BE32-E72D297353CC}">
              <c16:uniqueId val="{00000001-C54E-47DB-98FB-A539D5D3A8CC}"/>
            </c:ext>
          </c:extLst>
        </c:ser>
        <c:dLbls>
          <c:showLegendKey val="0"/>
          <c:showVal val="0"/>
          <c:showCatName val="0"/>
          <c:showSerName val="0"/>
          <c:showPercent val="0"/>
          <c:showBubbleSize val="0"/>
        </c:dLbls>
        <c:marker val="1"/>
        <c:smooth val="0"/>
        <c:axId val="1970749136"/>
        <c:axId val="1970755664"/>
      </c:lineChart>
      <c:catAx>
        <c:axId val="1970749136"/>
        <c:scaling>
          <c:orientation val="minMax"/>
        </c:scaling>
        <c:delete val="0"/>
        <c:axPos val="b"/>
        <c:numFmt formatCode="0%" sourceLinked="1"/>
        <c:majorTickMark val="out"/>
        <c:minorTickMark val="none"/>
        <c:tickLblPos val="nextTo"/>
        <c:crossAx val="1970755664"/>
        <c:crosses val="autoZero"/>
        <c:auto val="1"/>
        <c:lblAlgn val="ctr"/>
        <c:lblOffset val="100"/>
        <c:noMultiLvlLbl val="0"/>
      </c:catAx>
      <c:valAx>
        <c:axId val="1970755664"/>
        <c:scaling>
          <c:orientation val="minMax"/>
        </c:scaling>
        <c:delete val="0"/>
        <c:axPos val="l"/>
        <c:majorGridlines/>
        <c:numFmt formatCode="#,##0.0000" sourceLinked="1"/>
        <c:majorTickMark val="out"/>
        <c:minorTickMark val="none"/>
        <c:tickLblPos val="nextTo"/>
        <c:txPr>
          <a:bodyPr/>
          <a:lstStyle/>
          <a:p>
            <a:pPr>
              <a:defRPr sz="600"/>
            </a:pPr>
            <a:endParaRPr lang="en-US"/>
          </a:p>
        </c:txPr>
        <c:crossAx val="1970749136"/>
        <c:crosses val="autoZero"/>
        <c:crossBetween val="between"/>
      </c:valAx>
    </c:plotArea>
    <c:legend>
      <c:legendPos val="r"/>
      <c:layout>
        <c:manualLayout>
          <c:xMode val="edge"/>
          <c:yMode val="edge"/>
          <c:x val="0.68105182201062087"/>
          <c:y val="0.21542660712187095"/>
          <c:w val="0.29104120124519317"/>
          <c:h val="0.2848196027735339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Graph'!$T$14:$AK$14</c:f>
          <c:strCache>
            <c:ptCount val="18"/>
            <c:pt idx="0">
              <c:v>Maize ($/mt)</c:v>
            </c:pt>
            <c:pt idx="2">
              <c:v>Volatility</c:v>
            </c:pt>
            <c:pt idx="3">
              <c:v>18.67%</c:v>
            </c:pt>
            <c:pt idx="6">
              <c:v>_x000d_</c:v>
            </c:pt>
            <c:pt idx="10">
              <c:v>Barley ($/mt)</c:v>
            </c:pt>
            <c:pt idx="12">
              <c:v>Volatility</c:v>
            </c:pt>
            <c:pt idx="13">
              <c:v>17.84%</c:v>
            </c:pt>
            <c:pt idx="14">
              <c:v> 
</c:v>
            </c:pt>
            <c:pt idx="15">
              <c:v>Correlation</c:v>
            </c:pt>
            <c:pt idx="17">
              <c:v>87.75%</c:v>
            </c:pt>
          </c:strCache>
        </c:strRef>
      </c:tx>
      <c:overlay val="0"/>
      <c:txPr>
        <a:bodyPr/>
        <a:lstStyle/>
        <a:p>
          <a:pPr>
            <a:defRPr sz="700"/>
          </a:pPr>
          <a:endParaRPr lang="en-US"/>
        </a:p>
      </c:txPr>
    </c:title>
    <c:autoTitleDeleted val="0"/>
    <c:plotArea>
      <c:layout>
        <c:manualLayout>
          <c:layoutTarget val="inner"/>
          <c:xMode val="edge"/>
          <c:yMode val="edge"/>
          <c:x val="0.11943932837385178"/>
          <c:y val="0.26605364359156586"/>
          <c:w val="0.76551453585433404"/>
          <c:h val="0.60155250424622553"/>
        </c:manualLayout>
      </c:layout>
      <c:scatterChart>
        <c:scatterStyle val="lineMarker"/>
        <c:varyColors val="0"/>
        <c:ser>
          <c:idx val="0"/>
          <c:order val="0"/>
          <c:tx>
            <c:strRef>
              <c:f>'Prices for Graph'!$I$5</c:f>
              <c:strCache>
                <c:ptCount val="1"/>
                <c:pt idx="0">
                  <c:v>Barley ($/mt)</c:v>
                </c:pt>
              </c:strCache>
            </c:strRef>
          </c:tx>
          <c:spPr>
            <a:ln w="28575">
              <a:noFill/>
            </a:ln>
          </c:spPr>
          <c:marker>
            <c:symbol val="diamond"/>
            <c:size val="2"/>
            <c:spPr>
              <a:ln w="3175">
                <a:solidFill>
                  <a:schemeClr val="accent1">
                    <a:shade val="95000"/>
                    <a:satMod val="105000"/>
                    <a:alpha val="93000"/>
                  </a:schemeClr>
                </a:solidFill>
              </a:ln>
            </c:spPr>
          </c:marker>
          <c:trendline>
            <c:trendlineType val="linear"/>
            <c:dispRSqr val="0"/>
            <c:dispEq val="0"/>
          </c:trendline>
          <c:xVal>
            <c:numRef>
              <c:f>'Prices for Graph'!$K$20:$K$664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144.9214988205936</c:v>
                </c:pt>
                <c:pt idx="491">
                  <c:v>158.29571578655256</c:v>
                </c:pt>
                <c:pt idx="492">
                  <c:v>154.13081718822727</c:v>
                </c:pt>
                <c:pt idx="493">
                  <c:v>148.73397809175944</c:v>
                </c:pt>
                <c:pt idx="494">
                  <c:v>145.71173755086951</c:v>
                </c:pt>
                <c:pt idx="495">
                  <c:v>141.84024152997893</c:v>
                </c:pt>
                <c:pt idx="496">
                  <c:v>135.34097938627585</c:v>
                </c:pt>
                <c:pt idx="497">
                  <c:v>133.87544113489955</c:v>
                </c:pt>
                <c:pt idx="498">
                  <c:v>147.2353221830854</c:v>
                </c:pt>
                <c:pt idx="499">
                  <c:v>149.32540048650304</c:v>
                </c:pt>
                <c:pt idx="500">
                  <c:v>144.25227435169441</c:v>
                </c:pt>
                <c:pt idx="501">
                  <c:v>138.47769630283244</c:v>
                </c:pt>
                <c:pt idx="502">
                  <c:v>143.10274450042297</c:v>
                </c:pt>
                <c:pt idx="503">
                  <c:v>146.69663438329962</c:v>
                </c:pt>
                <c:pt idx="504">
                  <c:v>146.77095257508293</c:v>
                </c:pt>
                <c:pt idx="505">
                  <c:v>144.83574225546909</c:v>
                </c:pt>
                <c:pt idx="506">
                  <c:v>142.82304013221878</c:v>
                </c:pt>
                <c:pt idx="507">
                  <c:v>138.78964153212956</c:v>
                </c:pt>
                <c:pt idx="508">
                  <c:v>143.70779527454098</c:v>
                </c:pt>
                <c:pt idx="509">
                  <c:v>149.7021014460563</c:v>
                </c:pt>
                <c:pt idx="510">
                  <c:v>156.90374640169927</c:v>
                </c:pt>
                <c:pt idx="511">
                  <c:v>173.05470214536251</c:v>
                </c:pt>
                <c:pt idx="512">
                  <c:v>181.1963749818585</c:v>
                </c:pt>
                <c:pt idx="513">
                  <c:v>173.98921739369931</c:v>
                </c:pt>
                <c:pt idx="514">
                  <c:v>172.61052802124524</c:v>
                </c:pt>
                <c:pt idx="515">
                  <c:v>169.33441902680258</c:v>
                </c:pt>
                <c:pt idx="516">
                  <c:v>167.82170779930843</c:v>
                </c:pt>
                <c:pt idx="517">
                  <c:v>167.16290449161343</c:v>
                </c:pt>
                <c:pt idx="518">
                  <c:v>166.56762155008715</c:v>
                </c:pt>
                <c:pt idx="519">
                  <c:v>166.15571973500246</c:v>
                </c:pt>
                <c:pt idx="520">
                  <c:v>169.1834456171342</c:v>
                </c:pt>
                <c:pt idx="521">
                  <c:v>168.73841527195651</c:v>
                </c:pt>
                <c:pt idx="522">
                  <c:v>152.03353511429788</c:v>
                </c:pt>
                <c:pt idx="523">
                  <c:v>157.9149006330002</c:v>
                </c:pt>
                <c:pt idx="524">
                  <c:v>163.10457489854107</c:v>
                </c:pt>
                <c:pt idx="525">
                  <c:v>164.97826638018054</c:v>
                </c:pt>
                <c:pt idx="526">
                  <c:v>169.64106686615355</c:v>
                </c:pt>
                <c:pt idx="527">
                  <c:v>173.63257653367879</c:v>
                </c:pt>
                <c:pt idx="528">
                  <c:v>180.1828993914618</c:v>
                </c:pt>
                <c:pt idx="529">
                  <c:v>192.40774407291815</c:v>
                </c:pt>
                <c:pt idx="530">
                  <c:v>198.81805483587365</c:v>
                </c:pt>
                <c:pt idx="531">
                  <c:v>207.24416195187521</c:v>
                </c:pt>
                <c:pt idx="532">
                  <c:v>198.70255931681876</c:v>
                </c:pt>
                <c:pt idx="533">
                  <c:v>190.78371660332886</c:v>
                </c:pt>
                <c:pt idx="534">
                  <c:v>161.88396434692234</c:v>
                </c:pt>
                <c:pt idx="535">
                  <c:v>160.34346643241065</c:v>
                </c:pt>
                <c:pt idx="536">
                  <c:v>150.51381383690318</c:v>
                </c:pt>
                <c:pt idx="537">
                  <c:v>143.89257240651</c:v>
                </c:pt>
                <c:pt idx="538">
                  <c:v>143.46325877887796</c:v>
                </c:pt>
                <c:pt idx="539">
                  <c:v>145.61943579457693</c:v>
                </c:pt>
                <c:pt idx="540">
                  <c:v>146.58010370958456</c:v>
                </c:pt>
                <c:pt idx="541">
                  <c:v>143.00505043330975</c:v>
                </c:pt>
                <c:pt idx="542">
                  <c:v>151.34814101094858</c:v>
                </c:pt>
                <c:pt idx="543">
                  <c:v>145.50283731434718</c:v>
                </c:pt>
                <c:pt idx="544">
                  <c:v>143.8117569920696</c:v>
                </c:pt>
                <c:pt idx="545">
                  <c:v>145.95287800422511</c:v>
                </c:pt>
                <c:pt idx="546">
                  <c:v>161.14358380169369</c:v>
                </c:pt>
                <c:pt idx="547">
                  <c:v>151.91893748429291</c:v>
                </c:pt>
                <c:pt idx="548">
                  <c:v>143.55367168574151</c:v>
                </c:pt>
                <c:pt idx="549">
                  <c:v>151.42813567498567</c:v>
                </c:pt>
                <c:pt idx="550">
                  <c:v>141.25226840124711</c:v>
                </c:pt>
                <c:pt idx="551">
                  <c:v>150.83611592630209</c:v>
                </c:pt>
                <c:pt idx="552">
                  <c:v>151.18230270918542</c:v>
                </c:pt>
                <c:pt idx="553">
                  <c:v>157.35119811563933</c:v>
                </c:pt>
                <c:pt idx="554">
                  <c:v>154.17244990506575</c:v>
                </c:pt>
                <c:pt idx="555">
                  <c:v>157.35201725186622</c:v>
                </c:pt>
                <c:pt idx="556">
                  <c:v>161.17935012955951</c:v>
                </c:pt>
                <c:pt idx="557">
                  <c:v>158.9223569384263</c:v>
                </c:pt>
                <c:pt idx="558">
                  <c:v>165.19212973698521</c:v>
                </c:pt>
                <c:pt idx="559">
                  <c:v>168.55395927978572</c:v>
                </c:pt>
                <c:pt idx="560">
                  <c:v>175.59102547503534</c:v>
                </c:pt>
                <c:pt idx="561">
                  <c:v>204.69065539283716</c:v>
                </c:pt>
                <c:pt idx="562">
                  <c:v>236.48992638636017</c:v>
                </c:pt>
                <c:pt idx="563">
                  <c:v>230.1073785440168</c:v>
                </c:pt>
                <c:pt idx="564">
                  <c:v>235.99127299596012</c:v>
                </c:pt>
                <c:pt idx="565">
                  <c:v>253.53981960378016</c:v>
                </c:pt>
                <c:pt idx="566">
                  <c:v>243.31655484812592</c:v>
                </c:pt>
                <c:pt idx="567">
                  <c:v>217.61483186215264</c:v>
                </c:pt>
                <c:pt idx="568">
                  <c:v>227.89484140889849</c:v>
                </c:pt>
                <c:pt idx="569">
                  <c:v>234.64651547369945</c:v>
                </c:pt>
                <c:pt idx="570">
                  <c:v>208.18577630916059</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xVal>
          <c:yVal>
            <c:numRef>
              <c:f>'Prices for Graph'!$N$20:$N$664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134.01622510649486</c:v>
                </c:pt>
                <c:pt idx="491">
                  <c:v>140.51259724390582</c:v>
                </c:pt>
                <c:pt idx="492">
                  <c:v>138.90402074503928</c:v>
                </c:pt>
                <c:pt idx="493">
                  <c:v>133.11181620890204</c:v>
                </c:pt>
                <c:pt idx="494">
                  <c:v>134.11937992632386</c:v>
                </c:pt>
                <c:pt idx="495">
                  <c:v>136.56898809432681</c:v>
                </c:pt>
                <c:pt idx="496">
                  <c:v>144.41843358699646</c:v>
                </c:pt>
                <c:pt idx="497">
                  <c:v>152.75716521766358</c:v>
                </c:pt>
                <c:pt idx="498">
                  <c:v>163.68754122131307</c:v>
                </c:pt>
                <c:pt idx="499">
                  <c:v>159.34562544936159</c:v>
                </c:pt>
                <c:pt idx="500">
                  <c:v>159.51342193796935</c:v>
                </c:pt>
                <c:pt idx="501">
                  <c:v>162.84247581637379</c:v>
                </c:pt>
                <c:pt idx="502">
                  <c:v>161.37015984149772</c:v>
                </c:pt>
                <c:pt idx="503">
                  <c:v>164.22742503990204</c:v>
                </c:pt>
                <c:pt idx="504">
                  <c:v>158.40348404140553</c:v>
                </c:pt>
                <c:pt idx="505">
                  <c:v>157.89679410607792</c:v>
                </c:pt>
                <c:pt idx="506">
                  <c:v>157.70940543558811</c:v>
                </c:pt>
                <c:pt idx="507">
                  <c:v>152.63196891551308</c:v>
                </c:pt>
                <c:pt idx="508">
                  <c:v>155.29739037367312</c:v>
                </c:pt>
                <c:pt idx="509">
                  <c:v>165.6444444845246</c:v>
                </c:pt>
                <c:pt idx="510">
                  <c:v>181.61024370722575</c:v>
                </c:pt>
                <c:pt idx="511">
                  <c:v>192.21415966737729</c:v>
                </c:pt>
                <c:pt idx="512">
                  <c:v>190.1022069745712</c:v>
                </c:pt>
                <c:pt idx="513">
                  <c:v>191.29297638882471</c:v>
                </c:pt>
                <c:pt idx="514">
                  <c:v>190.35805316434582</c:v>
                </c:pt>
                <c:pt idx="515">
                  <c:v>185.53011000141169</c:v>
                </c:pt>
                <c:pt idx="516">
                  <c:v>179.78169705483211</c:v>
                </c:pt>
                <c:pt idx="517">
                  <c:v>180.26943182914871</c:v>
                </c:pt>
                <c:pt idx="518">
                  <c:v>179.25726969696811</c:v>
                </c:pt>
                <c:pt idx="519">
                  <c:v>180.54547279397227</c:v>
                </c:pt>
                <c:pt idx="520">
                  <c:v>181.78348032201706</c:v>
                </c:pt>
                <c:pt idx="521">
                  <c:v>175.26771953485809</c:v>
                </c:pt>
                <c:pt idx="522">
                  <c:v>151.74156374072061</c:v>
                </c:pt>
                <c:pt idx="523">
                  <c:v>138.16500742355464</c:v>
                </c:pt>
                <c:pt idx="524">
                  <c:v>142.02820377054354</c:v>
                </c:pt>
                <c:pt idx="525">
                  <c:v>149.81660150507633</c:v>
                </c:pt>
                <c:pt idx="526">
                  <c:v>158.94453827574662</c:v>
                </c:pt>
                <c:pt idx="527">
                  <c:v>158.00329373158871</c:v>
                </c:pt>
                <c:pt idx="528">
                  <c:v>153.71058716770366</c:v>
                </c:pt>
                <c:pt idx="529">
                  <c:v>148.8396435883499</c:v>
                </c:pt>
                <c:pt idx="530">
                  <c:v>160.22296891386449</c:v>
                </c:pt>
                <c:pt idx="531">
                  <c:v>174.69635246296423</c:v>
                </c:pt>
                <c:pt idx="532">
                  <c:v>172.88831784265062</c:v>
                </c:pt>
                <c:pt idx="533">
                  <c:v>176.43906156015353</c:v>
                </c:pt>
                <c:pt idx="534">
                  <c:v>160.5291381288574</c:v>
                </c:pt>
                <c:pt idx="535">
                  <c:v>135.25323235799914</c:v>
                </c:pt>
                <c:pt idx="536">
                  <c:v>131.29392678098475</c:v>
                </c:pt>
                <c:pt idx="537">
                  <c:v>134.83219252141748</c:v>
                </c:pt>
                <c:pt idx="538">
                  <c:v>146.1999748242672</c:v>
                </c:pt>
                <c:pt idx="539">
                  <c:v>140.51332754734014</c:v>
                </c:pt>
                <c:pt idx="540">
                  <c:v>138.14366359470324</c:v>
                </c:pt>
                <c:pt idx="541">
                  <c:v>132.73130933963625</c:v>
                </c:pt>
                <c:pt idx="542">
                  <c:v>142.6985562386152</c:v>
                </c:pt>
                <c:pt idx="543">
                  <c:v>141.04141486844128</c:v>
                </c:pt>
                <c:pt idx="544">
                  <c:v>133.97992757944687</c:v>
                </c:pt>
                <c:pt idx="545">
                  <c:v>140.45506952646591</c:v>
                </c:pt>
                <c:pt idx="546">
                  <c:v>145.07999116143401</c:v>
                </c:pt>
                <c:pt idx="547">
                  <c:v>146.44410406173958</c:v>
                </c:pt>
                <c:pt idx="548">
                  <c:v>145.84668744822358</c:v>
                </c:pt>
                <c:pt idx="549">
                  <c:v>146.35828427648789</c:v>
                </c:pt>
                <c:pt idx="550">
                  <c:v>146.27448395623048</c:v>
                </c:pt>
                <c:pt idx="551">
                  <c:v>152.12625624074721</c:v>
                </c:pt>
                <c:pt idx="552">
                  <c:v>152.58146382289613</c:v>
                </c:pt>
                <c:pt idx="553">
                  <c:v>148.54416976766146</c:v>
                </c:pt>
                <c:pt idx="554">
                  <c:v>147.03219687871635</c:v>
                </c:pt>
                <c:pt idx="555">
                  <c:v>149.17752392964505</c:v>
                </c:pt>
                <c:pt idx="556">
                  <c:v>156.55714499601342</c:v>
                </c:pt>
                <c:pt idx="557">
                  <c:v>155.25987664163119</c:v>
                </c:pt>
                <c:pt idx="558">
                  <c:v>162.44944669267633</c:v>
                </c:pt>
                <c:pt idx="559">
                  <c:v>165.57915156778267</c:v>
                </c:pt>
                <c:pt idx="560">
                  <c:v>166.50329597501863</c:v>
                </c:pt>
                <c:pt idx="561">
                  <c:v>196.67073757496198</c:v>
                </c:pt>
                <c:pt idx="562">
                  <c:v>212.93173494812754</c:v>
                </c:pt>
                <c:pt idx="563">
                  <c:v>216.60900578196282</c:v>
                </c:pt>
                <c:pt idx="564">
                  <c:v>217.88522349595311</c:v>
                </c:pt>
                <c:pt idx="565">
                  <c:v>215.91678479147831</c:v>
                </c:pt>
                <c:pt idx="566">
                  <c:v>224.12462337514694</c:v>
                </c:pt>
                <c:pt idx="567">
                  <c:v>223.83943591517047</c:v>
                </c:pt>
                <c:pt idx="568">
                  <c:v>229.97380706379175</c:v>
                </c:pt>
                <c:pt idx="569">
                  <c:v>261.91224260480311</c:v>
                </c:pt>
                <c:pt idx="570">
                  <c:v>252.22819297761103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yVal>
          <c:smooth val="1"/>
          <c:extLst>
            <c:ext xmlns:c16="http://schemas.microsoft.com/office/drawing/2014/chart" uri="{C3380CC4-5D6E-409C-BE32-E72D297353CC}">
              <c16:uniqueId val="{00000001-B747-42A8-BF5B-F9E5B6120125}"/>
            </c:ext>
          </c:extLst>
        </c:ser>
        <c:dLbls>
          <c:showLegendKey val="0"/>
          <c:showVal val="0"/>
          <c:showCatName val="0"/>
          <c:showSerName val="0"/>
          <c:showPercent val="0"/>
          <c:showBubbleSize val="0"/>
        </c:dLbls>
        <c:axId val="1970761648"/>
        <c:axId val="1970763280"/>
      </c:scatterChart>
      <c:valAx>
        <c:axId val="1970761648"/>
        <c:scaling>
          <c:orientation val="minMax"/>
        </c:scaling>
        <c:delete val="0"/>
        <c:axPos val="b"/>
        <c:numFmt formatCode="#,##0.00" sourceLinked="1"/>
        <c:majorTickMark val="out"/>
        <c:minorTickMark val="none"/>
        <c:tickLblPos val="nextTo"/>
        <c:txPr>
          <a:bodyPr/>
          <a:lstStyle/>
          <a:p>
            <a:pPr>
              <a:defRPr sz="600"/>
            </a:pPr>
            <a:endParaRPr lang="en-US"/>
          </a:p>
        </c:txPr>
        <c:crossAx val="1970763280"/>
        <c:crosses val="autoZero"/>
        <c:crossBetween val="midCat"/>
      </c:valAx>
      <c:valAx>
        <c:axId val="1970763280"/>
        <c:scaling>
          <c:orientation val="minMax"/>
        </c:scaling>
        <c:delete val="0"/>
        <c:axPos val="l"/>
        <c:majorGridlines/>
        <c:numFmt formatCode="#,##0.00" sourceLinked="1"/>
        <c:majorTickMark val="out"/>
        <c:minorTickMark val="none"/>
        <c:tickLblPos val="nextTo"/>
        <c:txPr>
          <a:bodyPr/>
          <a:lstStyle/>
          <a:p>
            <a:pPr>
              <a:defRPr sz="600"/>
            </a:pPr>
            <a:endParaRPr lang="en-US"/>
          </a:p>
        </c:txPr>
        <c:crossAx val="1970761648"/>
        <c:crosses val="autoZero"/>
        <c:crossBetween val="midCat"/>
      </c:valAx>
      <c:spPr>
        <a:ln>
          <a:solidFill>
            <a:schemeClr val="accent3">
              <a:lumMod val="20000"/>
              <a:lumOff val="80000"/>
            </a:schemeClr>
          </a:solidFill>
        </a:ln>
      </c:spPr>
    </c:plotArea>
    <c:legend>
      <c:legendPos val="r"/>
      <c:layout>
        <c:manualLayout>
          <c:xMode val="edge"/>
          <c:yMode val="edge"/>
          <c:x val="0.12211211278387984"/>
          <c:y val="0.32488628642044892"/>
          <c:w val="0.40965350738744022"/>
          <c:h val="0.25973850425766304"/>
        </c:manualLayout>
      </c:layout>
      <c:overlay val="0"/>
      <c:txPr>
        <a:bodyPr/>
        <a:lstStyle/>
        <a:p>
          <a:pPr>
            <a:defRPr sz="600"/>
          </a:pPr>
          <a:endParaRPr lang="en-US"/>
        </a:p>
      </c:txPr>
    </c:legend>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Graph'!$T$14:$AQ$14</c:f>
          <c:strCache>
            <c:ptCount val="24"/>
            <c:pt idx="0">
              <c:v>Maize ($/mt)</c:v>
            </c:pt>
            <c:pt idx="2">
              <c:v>Volatility</c:v>
            </c:pt>
            <c:pt idx="3">
              <c:v>18.67%</c:v>
            </c:pt>
            <c:pt idx="6">
              <c:v>_x000d_</c:v>
            </c:pt>
            <c:pt idx="10">
              <c:v>Barley ($/mt)</c:v>
            </c:pt>
            <c:pt idx="12">
              <c:v>Volatility</c:v>
            </c:pt>
            <c:pt idx="13">
              <c:v>17.84%</c:v>
            </c:pt>
            <c:pt idx="14">
              <c:v> 
</c:v>
            </c:pt>
            <c:pt idx="15">
              <c:v>Correlation</c:v>
            </c:pt>
            <c:pt idx="17">
              <c:v>87.75%</c:v>
            </c:pt>
            <c:pt idx="18">
              <c:v>_x000d_</c:v>
            </c:pt>
            <c:pt idx="19">
              <c:v>Last Value of Maize</c:v>
            </c:pt>
            <c:pt idx="21">
              <c:v>208.19</c:v>
            </c:pt>
            <c:pt idx="22">
              <c:v>Last Value of Barley</c:v>
            </c:pt>
            <c:pt idx="23">
              <c:v>261.91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'Prices for Graph'!$N$18</c:f>
              <c:strCache>
                <c:ptCount val="1"/>
                <c:pt idx="0">
                  <c:v>Barley ($/mt)</c:v>
                </c:pt>
              </c:strCache>
            </c:strRef>
          </c:tx>
          <c:spPr>
            <a:ln w="28575" cap="rnd">
              <a:solidFill>
                <a:schemeClr val="accent2"/>
              </a:solidFill>
              <a:round/>
            </a:ln>
            <a:effectLst/>
          </c:spPr>
          <c:marker>
            <c:symbol val="none"/>
          </c:marker>
          <c:cat>
            <c:numRef>
              <c:f>[0]!x_range</c:f>
              <c:numCache>
                <c:formatCode>d\-mmm\-yy</c:formatCode>
                <c:ptCount val="81"/>
                <c:pt idx="0">
                  <c:v>36831</c:v>
                </c:pt>
                <c:pt idx="1">
                  <c:v>36861</c:v>
                </c:pt>
                <c:pt idx="2">
                  <c:v>36892</c:v>
                </c:pt>
                <c:pt idx="3">
                  <c:v>36923</c:v>
                </c:pt>
                <c:pt idx="4">
                  <c:v>36951</c:v>
                </c:pt>
                <c:pt idx="5">
                  <c:v>36982</c:v>
                </c:pt>
                <c:pt idx="6">
                  <c:v>37012</c:v>
                </c:pt>
                <c:pt idx="7">
                  <c:v>37043</c:v>
                </c:pt>
                <c:pt idx="8">
                  <c:v>37073</c:v>
                </c:pt>
                <c:pt idx="9">
                  <c:v>37104</c:v>
                </c:pt>
                <c:pt idx="10">
                  <c:v>37135</c:v>
                </c:pt>
                <c:pt idx="11">
                  <c:v>37165</c:v>
                </c:pt>
                <c:pt idx="12">
                  <c:v>37196</c:v>
                </c:pt>
                <c:pt idx="13">
                  <c:v>37226</c:v>
                </c:pt>
                <c:pt idx="14">
                  <c:v>37257</c:v>
                </c:pt>
                <c:pt idx="15">
                  <c:v>37288</c:v>
                </c:pt>
                <c:pt idx="16">
                  <c:v>37316</c:v>
                </c:pt>
                <c:pt idx="17">
                  <c:v>37347</c:v>
                </c:pt>
                <c:pt idx="18">
                  <c:v>37377</c:v>
                </c:pt>
                <c:pt idx="19">
                  <c:v>37408</c:v>
                </c:pt>
                <c:pt idx="20">
                  <c:v>37438</c:v>
                </c:pt>
                <c:pt idx="21">
                  <c:v>37469</c:v>
                </c:pt>
                <c:pt idx="22">
                  <c:v>37500</c:v>
                </c:pt>
                <c:pt idx="23">
                  <c:v>37530</c:v>
                </c:pt>
                <c:pt idx="24">
                  <c:v>37561</c:v>
                </c:pt>
                <c:pt idx="25">
                  <c:v>37591</c:v>
                </c:pt>
                <c:pt idx="26">
                  <c:v>37622</c:v>
                </c:pt>
                <c:pt idx="27">
                  <c:v>37653</c:v>
                </c:pt>
                <c:pt idx="28">
                  <c:v>37681</c:v>
                </c:pt>
                <c:pt idx="29">
                  <c:v>37712</c:v>
                </c:pt>
                <c:pt idx="30">
                  <c:v>37742</c:v>
                </c:pt>
                <c:pt idx="31">
                  <c:v>37773</c:v>
                </c:pt>
                <c:pt idx="32">
                  <c:v>37803</c:v>
                </c:pt>
                <c:pt idx="33">
                  <c:v>37834</c:v>
                </c:pt>
                <c:pt idx="34">
                  <c:v>37865</c:v>
                </c:pt>
                <c:pt idx="35">
                  <c:v>37895</c:v>
                </c:pt>
                <c:pt idx="36">
                  <c:v>37926</c:v>
                </c:pt>
                <c:pt idx="37">
                  <c:v>37956</c:v>
                </c:pt>
                <c:pt idx="38">
                  <c:v>37987</c:v>
                </c:pt>
                <c:pt idx="39">
                  <c:v>38018</c:v>
                </c:pt>
                <c:pt idx="40">
                  <c:v>38047</c:v>
                </c:pt>
                <c:pt idx="41">
                  <c:v>38078</c:v>
                </c:pt>
                <c:pt idx="42">
                  <c:v>38108</c:v>
                </c:pt>
                <c:pt idx="43">
                  <c:v>38139</c:v>
                </c:pt>
                <c:pt idx="44">
                  <c:v>38169</c:v>
                </c:pt>
                <c:pt idx="45">
                  <c:v>38200</c:v>
                </c:pt>
                <c:pt idx="46">
                  <c:v>38231</c:v>
                </c:pt>
                <c:pt idx="47">
                  <c:v>38261</c:v>
                </c:pt>
                <c:pt idx="48">
                  <c:v>38292</c:v>
                </c:pt>
                <c:pt idx="49">
                  <c:v>38322</c:v>
                </c:pt>
                <c:pt idx="50">
                  <c:v>38353</c:v>
                </c:pt>
                <c:pt idx="51">
                  <c:v>38384</c:v>
                </c:pt>
                <c:pt idx="52">
                  <c:v>38412</c:v>
                </c:pt>
                <c:pt idx="53">
                  <c:v>38443</c:v>
                </c:pt>
                <c:pt idx="54">
                  <c:v>38473</c:v>
                </c:pt>
                <c:pt idx="55">
                  <c:v>38504</c:v>
                </c:pt>
                <c:pt idx="56">
                  <c:v>38534</c:v>
                </c:pt>
                <c:pt idx="57">
                  <c:v>38565</c:v>
                </c:pt>
                <c:pt idx="58">
                  <c:v>38596</c:v>
                </c:pt>
                <c:pt idx="59">
                  <c:v>38626</c:v>
                </c:pt>
                <c:pt idx="60">
                  <c:v>38657</c:v>
                </c:pt>
                <c:pt idx="61">
                  <c:v>38687</c:v>
                </c:pt>
                <c:pt idx="62">
                  <c:v>38718</c:v>
                </c:pt>
                <c:pt idx="63">
                  <c:v>38749</c:v>
                </c:pt>
                <c:pt idx="64">
                  <c:v>38777</c:v>
                </c:pt>
                <c:pt idx="65">
                  <c:v>38808</c:v>
                </c:pt>
                <c:pt idx="66">
                  <c:v>38838</c:v>
                </c:pt>
                <c:pt idx="67">
                  <c:v>38869</c:v>
                </c:pt>
                <c:pt idx="68">
                  <c:v>38899</c:v>
                </c:pt>
                <c:pt idx="69">
                  <c:v>38930</c:v>
                </c:pt>
                <c:pt idx="70">
                  <c:v>38961</c:v>
                </c:pt>
                <c:pt idx="71">
                  <c:v>38991</c:v>
                </c:pt>
                <c:pt idx="72">
                  <c:v>39022</c:v>
                </c:pt>
                <c:pt idx="73">
                  <c:v>39052</c:v>
                </c:pt>
                <c:pt idx="74">
                  <c:v>39083</c:v>
                </c:pt>
                <c:pt idx="75">
                  <c:v>39114</c:v>
                </c:pt>
                <c:pt idx="76">
                  <c:v>39142</c:v>
                </c:pt>
                <c:pt idx="77">
                  <c:v>39173</c:v>
                </c:pt>
                <c:pt idx="78">
                  <c:v>39203</c:v>
                </c:pt>
                <c:pt idx="79">
                  <c:v>39234</c:v>
                </c:pt>
                <c:pt idx="80">
                  <c:v>39264</c:v>
                </c:pt>
              </c:numCache>
            </c:numRef>
          </c:cat>
          <c:val>
            <c:numRef>
              <c:f>[0]!Second</c:f>
              <c:numCache>
                <c:formatCode>0.00</c:formatCode>
                <c:ptCount val="81"/>
                <c:pt idx="0">
                  <c:v>82.46</c:v>
                </c:pt>
                <c:pt idx="1">
                  <c:v>86.6</c:v>
                </c:pt>
                <c:pt idx="2">
                  <c:v>85.75</c:v>
                </c:pt>
                <c:pt idx="3">
                  <c:v>82.31</c:v>
                </c:pt>
                <c:pt idx="4">
                  <c:v>83.07</c:v>
                </c:pt>
                <c:pt idx="5">
                  <c:v>84.72</c:v>
                </c:pt>
                <c:pt idx="6">
                  <c:v>89.73</c:v>
                </c:pt>
                <c:pt idx="7">
                  <c:v>95.06</c:v>
                </c:pt>
                <c:pt idx="8">
                  <c:v>101.98</c:v>
                </c:pt>
                <c:pt idx="9">
                  <c:v>99.39</c:v>
                </c:pt>
                <c:pt idx="10">
                  <c:v>99.61</c:v>
                </c:pt>
                <c:pt idx="11">
                  <c:v>101.79</c:v>
                </c:pt>
                <c:pt idx="12">
                  <c:v>100.97</c:v>
                </c:pt>
                <c:pt idx="13">
                  <c:v>102.86</c:v>
                </c:pt>
                <c:pt idx="14">
                  <c:v>99.27</c:v>
                </c:pt>
                <c:pt idx="15">
                  <c:v>99.01</c:v>
                </c:pt>
                <c:pt idx="16">
                  <c:v>98.95</c:v>
                </c:pt>
                <c:pt idx="17">
                  <c:v>95.82</c:v>
                </c:pt>
                <c:pt idx="18">
                  <c:v>97.55</c:v>
                </c:pt>
                <c:pt idx="19">
                  <c:v>104.11</c:v>
                </c:pt>
                <c:pt idx="20">
                  <c:v>114.23</c:v>
                </c:pt>
                <c:pt idx="21">
                  <c:v>120.99</c:v>
                </c:pt>
                <c:pt idx="22">
                  <c:v>119.75</c:v>
                </c:pt>
                <c:pt idx="23">
                  <c:v>120.61</c:v>
                </c:pt>
                <c:pt idx="24">
                  <c:v>120.13</c:v>
                </c:pt>
                <c:pt idx="25">
                  <c:v>117.19</c:v>
                </c:pt>
                <c:pt idx="26">
                  <c:v>113.7</c:v>
                </c:pt>
                <c:pt idx="27">
                  <c:v>114.15</c:v>
                </c:pt>
                <c:pt idx="28">
                  <c:v>113.65</c:v>
                </c:pt>
                <c:pt idx="29">
                  <c:v>114.59</c:v>
                </c:pt>
                <c:pt idx="30">
                  <c:v>115.5</c:v>
                </c:pt>
                <c:pt idx="31">
                  <c:v>111.48</c:v>
                </c:pt>
                <c:pt idx="32">
                  <c:v>96.62</c:v>
                </c:pt>
                <c:pt idx="33">
                  <c:v>88.07</c:v>
                </c:pt>
                <c:pt idx="34">
                  <c:v>90.63</c:v>
                </c:pt>
                <c:pt idx="35">
                  <c:v>95.702830000000006</c:v>
                </c:pt>
                <c:pt idx="36">
                  <c:v>101.6431</c:v>
                </c:pt>
                <c:pt idx="37">
                  <c:v>101.15</c:v>
                </c:pt>
                <c:pt idx="38">
                  <c:v>98.548308980000002</c:v>
                </c:pt>
                <c:pt idx="39">
                  <c:v>95.567376609999997</c:v>
                </c:pt>
                <c:pt idx="40">
                  <c:v>103.0294701</c:v>
                </c:pt>
                <c:pt idx="41">
                  <c:v>112.5311284</c:v>
                </c:pt>
                <c:pt idx="42">
                  <c:v>111.55951829999999</c:v>
                </c:pt>
                <c:pt idx="43">
                  <c:v>114.0480505</c:v>
                </c:pt>
                <c:pt idx="44">
                  <c:v>103.9693504</c:v>
                </c:pt>
                <c:pt idx="45">
                  <c:v>87.772291980000006</c:v>
                </c:pt>
                <c:pt idx="46">
                  <c:v>85.371468809999996</c:v>
                </c:pt>
                <c:pt idx="47">
                  <c:v>87.888384439999996</c:v>
                </c:pt>
                <c:pt idx="48">
                  <c:v>95.533337709999998</c:v>
                </c:pt>
                <c:pt idx="49">
                  <c:v>92.043884910000003</c:v>
                </c:pt>
                <c:pt idx="50">
                  <c:v>90.714802680000005</c:v>
                </c:pt>
                <c:pt idx="51">
                  <c:v>87.375633620000002</c:v>
                </c:pt>
                <c:pt idx="52">
                  <c:v>94.168641980000004</c:v>
                </c:pt>
                <c:pt idx="53">
                  <c:v>93.327237550000007</c:v>
                </c:pt>
                <c:pt idx="54">
                  <c:v>88.894833449999993</c:v>
                </c:pt>
                <c:pt idx="55">
                  <c:v>93.443528150000006</c:v>
                </c:pt>
                <c:pt idx="56">
                  <c:v>96.805338689999999</c:v>
                </c:pt>
                <c:pt idx="57">
                  <c:v>98.003967880000005</c:v>
                </c:pt>
                <c:pt idx="58">
                  <c:v>97.892251470000005</c:v>
                </c:pt>
                <c:pt idx="59">
                  <c:v>98.525588330000005</c:v>
                </c:pt>
                <c:pt idx="60">
                  <c:v>98.759818109999998</c:v>
                </c:pt>
                <c:pt idx="61">
                  <c:v>103.0139082</c:v>
                </c:pt>
                <c:pt idx="62">
                  <c:v>103.60208369999999</c:v>
                </c:pt>
                <c:pt idx="63">
                  <c:v>101.1340387</c:v>
                </c:pt>
                <c:pt idx="64">
                  <c:v>100.3758447</c:v>
                </c:pt>
                <c:pt idx="65">
                  <c:v>102.1245618</c:v>
                </c:pt>
                <c:pt idx="66">
                  <c:v>107.4755681</c:v>
                </c:pt>
                <c:pt idx="67">
                  <c:v>106.8823855</c:v>
                </c:pt>
                <c:pt idx="68">
                  <c:v>112.0984874</c:v>
                </c:pt>
                <c:pt idx="69">
                  <c:v>114.5306653</c:v>
                </c:pt>
                <c:pt idx="70">
                  <c:v>115.44458849999999</c:v>
                </c:pt>
                <c:pt idx="71">
                  <c:v>136.5974641</c:v>
                </c:pt>
                <c:pt idx="72">
                  <c:v>148.14787559999999</c:v>
                </c:pt>
                <c:pt idx="73">
                  <c:v>150.96757869999999</c:v>
                </c:pt>
                <c:pt idx="74">
                  <c:v>152.13268619999999</c:v>
                </c:pt>
                <c:pt idx="75">
                  <c:v>151.0319169</c:v>
                </c:pt>
                <c:pt idx="76">
                  <c:v>157.0577883</c:v>
                </c:pt>
                <c:pt idx="77">
                  <c:v>157.1170037</c:v>
                </c:pt>
                <c:pt idx="78">
                  <c:v>161.68943419999999</c:v>
                </c:pt>
                <c:pt idx="79">
                  <c:v>184.44876289999999</c:v>
                </c:pt>
                <c:pt idx="80">
                  <c:v>177.9077053</c:v>
                </c:pt>
              </c:numCache>
            </c:numRef>
          </c:val>
          <c:smooth val="0"/>
          <c:extLst>
            <c:ext xmlns:c16="http://schemas.microsoft.com/office/drawing/2014/chart" uri="{C3380CC4-5D6E-409C-BE32-E72D297353CC}">
              <c16:uniqueId val="{00000000-8B47-4D8C-A2FD-8EE944A2C6EA}"/>
            </c:ext>
          </c:extLst>
        </c:ser>
        <c:dLbls>
          <c:showLegendKey val="0"/>
          <c:showVal val="0"/>
          <c:showCatName val="0"/>
          <c:showSerName val="0"/>
          <c:showPercent val="0"/>
          <c:showBubbleSize val="0"/>
        </c:dLbls>
        <c:marker val="1"/>
        <c:smooth val="0"/>
        <c:axId val="1670659296"/>
        <c:axId val="1670655488"/>
      </c:lineChart>
      <c:lineChart>
        <c:grouping val="standard"/>
        <c:varyColors val="0"/>
        <c:ser>
          <c:idx val="0"/>
          <c:order val="0"/>
          <c:tx>
            <c:strRef>
              <c:f>'Prices for Graph'!$K$18</c:f>
              <c:strCache>
                <c:ptCount val="1"/>
                <c:pt idx="0">
                  <c:v>Maize ($/mt) N/A</c:v>
                </c:pt>
              </c:strCache>
            </c:strRef>
          </c:tx>
          <c:spPr>
            <a:ln w="28575" cap="rnd">
              <a:solidFill>
                <a:schemeClr val="accent1"/>
              </a:solidFill>
              <a:round/>
            </a:ln>
            <a:effectLst/>
          </c:spPr>
          <c:marker>
            <c:symbol val="none"/>
          </c:marker>
          <c:cat>
            <c:numRef>
              <c:f>[0]!x_range</c:f>
              <c:numCache>
                <c:formatCode>d\-mmm\-yy</c:formatCode>
                <c:ptCount val="81"/>
                <c:pt idx="0">
                  <c:v>36831</c:v>
                </c:pt>
                <c:pt idx="1">
                  <c:v>36861</c:v>
                </c:pt>
                <c:pt idx="2">
                  <c:v>36892</c:v>
                </c:pt>
                <c:pt idx="3">
                  <c:v>36923</c:v>
                </c:pt>
                <c:pt idx="4">
                  <c:v>36951</c:v>
                </c:pt>
                <c:pt idx="5">
                  <c:v>36982</c:v>
                </c:pt>
                <c:pt idx="6">
                  <c:v>37012</c:v>
                </c:pt>
                <c:pt idx="7">
                  <c:v>37043</c:v>
                </c:pt>
                <c:pt idx="8">
                  <c:v>37073</c:v>
                </c:pt>
                <c:pt idx="9">
                  <c:v>37104</c:v>
                </c:pt>
                <c:pt idx="10">
                  <c:v>37135</c:v>
                </c:pt>
                <c:pt idx="11">
                  <c:v>37165</c:v>
                </c:pt>
                <c:pt idx="12">
                  <c:v>37196</c:v>
                </c:pt>
                <c:pt idx="13">
                  <c:v>37226</c:v>
                </c:pt>
                <c:pt idx="14">
                  <c:v>37257</c:v>
                </c:pt>
                <c:pt idx="15">
                  <c:v>37288</c:v>
                </c:pt>
                <c:pt idx="16">
                  <c:v>37316</c:v>
                </c:pt>
                <c:pt idx="17">
                  <c:v>37347</c:v>
                </c:pt>
                <c:pt idx="18">
                  <c:v>37377</c:v>
                </c:pt>
                <c:pt idx="19">
                  <c:v>37408</c:v>
                </c:pt>
                <c:pt idx="20">
                  <c:v>37438</c:v>
                </c:pt>
                <c:pt idx="21">
                  <c:v>37469</c:v>
                </c:pt>
                <c:pt idx="22">
                  <c:v>37500</c:v>
                </c:pt>
                <c:pt idx="23">
                  <c:v>37530</c:v>
                </c:pt>
                <c:pt idx="24">
                  <c:v>37561</c:v>
                </c:pt>
                <c:pt idx="25">
                  <c:v>37591</c:v>
                </c:pt>
                <c:pt idx="26">
                  <c:v>37622</c:v>
                </c:pt>
                <c:pt idx="27">
                  <c:v>37653</c:v>
                </c:pt>
                <c:pt idx="28">
                  <c:v>37681</c:v>
                </c:pt>
                <c:pt idx="29">
                  <c:v>37712</c:v>
                </c:pt>
                <c:pt idx="30">
                  <c:v>37742</c:v>
                </c:pt>
                <c:pt idx="31">
                  <c:v>37773</c:v>
                </c:pt>
                <c:pt idx="32">
                  <c:v>37803</c:v>
                </c:pt>
                <c:pt idx="33">
                  <c:v>37834</c:v>
                </c:pt>
                <c:pt idx="34">
                  <c:v>37865</c:v>
                </c:pt>
                <c:pt idx="35">
                  <c:v>37895</c:v>
                </c:pt>
                <c:pt idx="36">
                  <c:v>37926</c:v>
                </c:pt>
                <c:pt idx="37">
                  <c:v>37956</c:v>
                </c:pt>
                <c:pt idx="38">
                  <c:v>37987</c:v>
                </c:pt>
                <c:pt idx="39">
                  <c:v>38018</c:v>
                </c:pt>
                <c:pt idx="40">
                  <c:v>38047</c:v>
                </c:pt>
                <c:pt idx="41">
                  <c:v>38078</c:v>
                </c:pt>
                <c:pt idx="42">
                  <c:v>38108</c:v>
                </c:pt>
                <c:pt idx="43">
                  <c:v>38139</c:v>
                </c:pt>
                <c:pt idx="44">
                  <c:v>38169</c:v>
                </c:pt>
                <c:pt idx="45">
                  <c:v>38200</c:v>
                </c:pt>
                <c:pt idx="46">
                  <c:v>38231</c:v>
                </c:pt>
                <c:pt idx="47">
                  <c:v>38261</c:v>
                </c:pt>
                <c:pt idx="48">
                  <c:v>38292</c:v>
                </c:pt>
                <c:pt idx="49">
                  <c:v>38322</c:v>
                </c:pt>
                <c:pt idx="50">
                  <c:v>38353</c:v>
                </c:pt>
                <c:pt idx="51">
                  <c:v>38384</c:v>
                </c:pt>
                <c:pt idx="52">
                  <c:v>38412</c:v>
                </c:pt>
                <c:pt idx="53">
                  <c:v>38443</c:v>
                </c:pt>
                <c:pt idx="54">
                  <c:v>38473</c:v>
                </c:pt>
                <c:pt idx="55">
                  <c:v>38504</c:v>
                </c:pt>
                <c:pt idx="56">
                  <c:v>38534</c:v>
                </c:pt>
                <c:pt idx="57">
                  <c:v>38565</c:v>
                </c:pt>
                <c:pt idx="58">
                  <c:v>38596</c:v>
                </c:pt>
                <c:pt idx="59">
                  <c:v>38626</c:v>
                </c:pt>
                <c:pt idx="60">
                  <c:v>38657</c:v>
                </c:pt>
                <c:pt idx="61">
                  <c:v>38687</c:v>
                </c:pt>
                <c:pt idx="62">
                  <c:v>38718</c:v>
                </c:pt>
                <c:pt idx="63">
                  <c:v>38749</c:v>
                </c:pt>
                <c:pt idx="64">
                  <c:v>38777</c:v>
                </c:pt>
                <c:pt idx="65">
                  <c:v>38808</c:v>
                </c:pt>
                <c:pt idx="66">
                  <c:v>38838</c:v>
                </c:pt>
                <c:pt idx="67">
                  <c:v>38869</c:v>
                </c:pt>
                <c:pt idx="68">
                  <c:v>38899</c:v>
                </c:pt>
                <c:pt idx="69">
                  <c:v>38930</c:v>
                </c:pt>
                <c:pt idx="70">
                  <c:v>38961</c:v>
                </c:pt>
                <c:pt idx="71">
                  <c:v>38991</c:v>
                </c:pt>
                <c:pt idx="72">
                  <c:v>39022</c:v>
                </c:pt>
                <c:pt idx="73">
                  <c:v>39052</c:v>
                </c:pt>
                <c:pt idx="74">
                  <c:v>39083</c:v>
                </c:pt>
                <c:pt idx="75">
                  <c:v>39114</c:v>
                </c:pt>
                <c:pt idx="76">
                  <c:v>39142</c:v>
                </c:pt>
                <c:pt idx="77">
                  <c:v>39173</c:v>
                </c:pt>
                <c:pt idx="78">
                  <c:v>39203</c:v>
                </c:pt>
                <c:pt idx="79">
                  <c:v>39234</c:v>
                </c:pt>
                <c:pt idx="80">
                  <c:v>39264</c:v>
                </c:pt>
              </c:numCache>
            </c:numRef>
          </c:cat>
          <c:val>
            <c:numRef>
              <c:f>[0]!First</c:f>
              <c:numCache>
                <c:formatCode>0.00</c:formatCode>
                <c:ptCount val="81"/>
                <c:pt idx="0">
                  <c:v>89.17</c:v>
                </c:pt>
                <c:pt idx="1">
                  <c:v>97.56</c:v>
                </c:pt>
                <c:pt idx="2">
                  <c:v>95.15</c:v>
                </c:pt>
                <c:pt idx="3">
                  <c:v>91.97</c:v>
                </c:pt>
                <c:pt idx="4">
                  <c:v>90.25</c:v>
                </c:pt>
                <c:pt idx="5">
                  <c:v>87.99</c:v>
                </c:pt>
                <c:pt idx="6">
                  <c:v>84.09</c:v>
                </c:pt>
                <c:pt idx="7">
                  <c:v>83.31</c:v>
                </c:pt>
                <c:pt idx="8">
                  <c:v>91.73</c:v>
                </c:pt>
                <c:pt idx="9">
                  <c:v>93.14</c:v>
                </c:pt>
                <c:pt idx="10">
                  <c:v>90.08</c:v>
                </c:pt>
                <c:pt idx="11">
                  <c:v>86.56</c:v>
                </c:pt>
                <c:pt idx="12">
                  <c:v>89.54</c:v>
                </c:pt>
                <c:pt idx="13">
                  <c:v>91.88</c:v>
                </c:pt>
                <c:pt idx="14">
                  <c:v>91.98</c:v>
                </c:pt>
                <c:pt idx="15">
                  <c:v>90.82</c:v>
                </c:pt>
                <c:pt idx="16">
                  <c:v>89.61</c:v>
                </c:pt>
                <c:pt idx="17">
                  <c:v>87.13</c:v>
                </c:pt>
                <c:pt idx="18">
                  <c:v>90.27</c:v>
                </c:pt>
                <c:pt idx="19">
                  <c:v>94.09</c:v>
                </c:pt>
                <c:pt idx="20">
                  <c:v>98.69</c:v>
                </c:pt>
                <c:pt idx="21">
                  <c:v>108.93</c:v>
                </c:pt>
                <c:pt idx="22">
                  <c:v>114.14</c:v>
                </c:pt>
                <c:pt idx="23">
                  <c:v>109.7</c:v>
                </c:pt>
                <c:pt idx="24">
                  <c:v>108.93</c:v>
                </c:pt>
                <c:pt idx="25">
                  <c:v>106.96</c:v>
                </c:pt>
                <c:pt idx="26">
                  <c:v>106.1361</c:v>
                </c:pt>
                <c:pt idx="27">
                  <c:v>105.8507</c:v>
                </c:pt>
                <c:pt idx="28">
                  <c:v>105.60469999999999</c:v>
                </c:pt>
                <c:pt idx="29">
                  <c:v>105.45699999999999</c:v>
                </c:pt>
                <c:pt idx="30">
                  <c:v>107.4943</c:v>
                </c:pt>
                <c:pt idx="31">
                  <c:v>107.327</c:v>
                </c:pt>
                <c:pt idx="32">
                  <c:v>96.805909999999997</c:v>
                </c:pt>
                <c:pt idx="33">
                  <c:v>100.6591</c:v>
                </c:pt>
                <c:pt idx="34">
                  <c:v>104.0791</c:v>
                </c:pt>
                <c:pt idx="35">
                  <c:v>105.38809999999999</c:v>
                </c:pt>
                <c:pt idx="36">
                  <c:v>108.4834</c:v>
                </c:pt>
                <c:pt idx="37">
                  <c:v>111.1555</c:v>
                </c:pt>
                <c:pt idx="38">
                  <c:v>115.520475</c:v>
                </c:pt>
                <c:pt idx="39">
                  <c:v>123.54170499999999</c:v>
                </c:pt>
                <c:pt idx="40">
                  <c:v>127.84757999999999</c:v>
                </c:pt>
                <c:pt idx="41">
                  <c:v>133.49688800000001</c:v>
                </c:pt>
                <c:pt idx="42">
                  <c:v>128.216655</c:v>
                </c:pt>
                <c:pt idx="43">
                  <c:v>123.32026</c:v>
                </c:pt>
                <c:pt idx="44">
                  <c:v>104.84682599999999</c:v>
                </c:pt>
                <c:pt idx="45">
                  <c:v>104.054545</c:v>
                </c:pt>
                <c:pt idx="46">
                  <c:v>97.868848</c:v>
                </c:pt>
                <c:pt idx="47">
                  <c:v>93.794259999999994</c:v>
                </c:pt>
                <c:pt idx="48">
                  <c:v>93.745050000000006</c:v>
                </c:pt>
                <c:pt idx="49">
                  <c:v>95.388664000000006</c:v>
                </c:pt>
                <c:pt idx="50">
                  <c:v>96.254760000000005</c:v>
                </c:pt>
                <c:pt idx="51">
                  <c:v>94.138729999999995</c:v>
                </c:pt>
                <c:pt idx="52">
                  <c:v>99.876615999999999</c:v>
                </c:pt>
                <c:pt idx="53">
                  <c:v>96.279364999999999</c:v>
                </c:pt>
                <c:pt idx="54">
                  <c:v>95.418189999999996</c:v>
                </c:pt>
                <c:pt idx="55">
                  <c:v>97.101172000000005</c:v>
                </c:pt>
                <c:pt idx="56">
                  <c:v>107.52385</c:v>
                </c:pt>
                <c:pt idx="57">
                  <c:v>101.66786</c:v>
                </c:pt>
                <c:pt idx="58">
                  <c:v>96.353179999999995</c:v>
                </c:pt>
                <c:pt idx="59">
                  <c:v>101.938515</c:v>
                </c:pt>
                <c:pt idx="60">
                  <c:v>95.368979999999993</c:v>
                </c:pt>
                <c:pt idx="61">
                  <c:v>102.140276</c:v>
                </c:pt>
                <c:pt idx="62">
                  <c:v>102.65206000000001</c:v>
                </c:pt>
                <c:pt idx="63">
                  <c:v>107.13017000000001</c:v>
                </c:pt>
                <c:pt idx="64">
                  <c:v>105.250348</c:v>
                </c:pt>
                <c:pt idx="65">
                  <c:v>107.72069</c:v>
                </c:pt>
                <c:pt idx="66">
                  <c:v>110.648685</c:v>
                </c:pt>
                <c:pt idx="67">
                  <c:v>109.403672</c:v>
                </c:pt>
                <c:pt idx="68">
                  <c:v>113.99108</c:v>
                </c:pt>
                <c:pt idx="69">
                  <c:v>116.58833199999999</c:v>
                </c:pt>
                <c:pt idx="70">
                  <c:v>121.74554000000001</c:v>
                </c:pt>
                <c:pt idx="71">
                  <c:v>142.16768999999999</c:v>
                </c:pt>
                <c:pt idx="72">
                  <c:v>164.538556</c:v>
                </c:pt>
                <c:pt idx="73">
                  <c:v>160.37539000000001</c:v>
                </c:pt>
                <c:pt idx="74">
                  <c:v>164.774764</c:v>
                </c:pt>
                <c:pt idx="75">
                  <c:v>177.3489032</c:v>
                </c:pt>
                <c:pt idx="76">
                  <c:v>170.50674480000001</c:v>
                </c:pt>
                <c:pt idx="77">
                  <c:v>152.74784</c:v>
                </c:pt>
                <c:pt idx="78">
                  <c:v>160.22775999999999</c:v>
                </c:pt>
                <c:pt idx="79">
                  <c:v>165.24717999999999</c:v>
                </c:pt>
                <c:pt idx="80">
                  <c:v>146.84263999999999</c:v>
                </c:pt>
              </c:numCache>
            </c:numRef>
          </c:val>
          <c:smooth val="0"/>
          <c:extLst>
            <c:ext xmlns:c16="http://schemas.microsoft.com/office/drawing/2014/chart" uri="{C3380CC4-5D6E-409C-BE32-E72D297353CC}">
              <c16:uniqueId val="{00000001-8B47-4D8C-A2FD-8EE944A2C6EA}"/>
            </c:ext>
          </c:extLst>
        </c:ser>
        <c:dLbls>
          <c:showLegendKey val="0"/>
          <c:showVal val="0"/>
          <c:showCatName val="0"/>
          <c:showSerName val="0"/>
          <c:showPercent val="0"/>
          <c:showBubbleSize val="0"/>
        </c:dLbls>
        <c:marker val="1"/>
        <c:smooth val="0"/>
        <c:axId val="1970755120"/>
        <c:axId val="1970760016"/>
      </c:lineChart>
      <c:dateAx>
        <c:axId val="16706592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5488"/>
        <c:crosses val="autoZero"/>
        <c:auto val="1"/>
        <c:lblOffset val="100"/>
        <c:baseTimeUnit val="months"/>
      </c:dateAx>
      <c:valAx>
        <c:axId val="1670655488"/>
        <c:scaling>
          <c:orientation val="minMax"/>
        </c:scaling>
        <c:delete val="0"/>
        <c:axPos val="l"/>
        <c:majorGridlines>
          <c:spPr>
            <a:ln w="9525" cap="flat" cmpd="sng" algn="ctr">
              <a:solidFill>
                <a:schemeClr val="tx1">
                  <a:lumMod val="15000"/>
                  <a:lumOff val="85000"/>
                </a:schemeClr>
              </a:solidFill>
              <a:round/>
            </a:ln>
            <a:effectLst/>
          </c:spPr>
        </c:majorGridlines>
        <c:title>
          <c:tx>
            <c:strRef>
              <c:f>'Prices for Graph'!$I$5</c:f>
              <c:strCache>
                <c:ptCount val="1"/>
                <c:pt idx="0">
                  <c:v>Barley ($/mt)</c:v>
                </c:pt>
              </c:strCache>
            </c:strRef>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9296"/>
        <c:crosses val="autoZero"/>
        <c:crossBetween val="between"/>
      </c:valAx>
      <c:valAx>
        <c:axId val="1970760016"/>
        <c:scaling>
          <c:orientation val="minMax"/>
        </c:scaling>
        <c:delete val="0"/>
        <c:axPos val="r"/>
        <c:title>
          <c:tx>
            <c:strRef>
              <c:f>'Prices for Graph'!$I$4</c:f>
              <c:strCache>
                <c:ptCount val="1"/>
                <c:pt idx="0">
                  <c:v>Maize ($/mt)</c:v>
                </c:pt>
              </c:strCache>
            </c:strRef>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55120"/>
        <c:crosses val="max"/>
        <c:crossBetween val="between"/>
      </c:valAx>
      <c:dateAx>
        <c:axId val="1970755120"/>
        <c:scaling>
          <c:orientation val="minMax"/>
        </c:scaling>
        <c:delete val="1"/>
        <c:axPos val="b"/>
        <c:numFmt formatCode="d\-mmm\-yy" sourceLinked="1"/>
        <c:majorTickMark val="out"/>
        <c:minorTickMark val="none"/>
        <c:tickLblPos val="nextTo"/>
        <c:crossAx val="19707600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'History and Forecast'!$I$59:$J$59</c:f>
          <c:strCache>
            <c:ptCount val="2"/>
            <c:pt idx="0">
              <c:v>Crude oil, avg</c:v>
            </c:pt>
            <c:pt idx="1">
              <c:v>$/bbl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'History and Forecast'!$I$114:$J$114</c:f>
              <c:strCache>
                <c:ptCount val="2"/>
                <c:pt idx="0">
                  <c:v>History Crude oil, avg</c:v>
                </c:pt>
                <c:pt idx="1">
                  <c:v>$/bbl</c:v>
                </c:pt>
              </c:strCache>
            </c:strRef>
          </c:tx>
          <c:spPr>
            <a:solidFill>
              <a:schemeClr val="accent1"/>
            </a:solidFill>
            <a:ln>
              <a:noFill/>
            </a:ln>
            <a:effectLst/>
          </c:spPr>
          <c:invertIfNegative val="0"/>
          <c:cat>
            <c:numRef>
              <c:f>'History and Forecast'!$K$113:$CI$113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Forecast'!$K$114:$CI$114</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0-E153-4476-899D-595AF7957987}"/>
            </c:ext>
          </c:extLst>
        </c:ser>
        <c:ser>
          <c:idx val="1"/>
          <c:order val="1"/>
          <c:tx>
            <c:strRef>
              <c:f>'History and Forecast'!$I$115:$J$115</c:f>
              <c:strCache>
                <c:ptCount val="2"/>
                <c:pt idx="0">
                  <c:v>Projected Crude oil, avg</c:v>
                </c:pt>
                <c:pt idx="1">
                  <c:v>$/bbl</c:v>
                </c:pt>
              </c:strCache>
            </c:strRef>
          </c:tx>
          <c:spPr>
            <a:solidFill>
              <a:schemeClr val="accent2"/>
            </a:solidFill>
            <a:ln>
              <a:noFill/>
            </a:ln>
            <a:effectLst/>
          </c:spPr>
          <c:invertIfNegative val="0"/>
          <c:cat>
            <c:numRef>
              <c:f>'History and Forecast'!$K$113:$CI$113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Forecast'!$K$115:$CI$115</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45.5289728675681</c:v>
                </c:pt>
                <c:pt idx="57">
                  <c:v>54.278585167156798</c:v>
                </c:pt>
                <c:pt idx="58">
                  <c:v>67.100566918588896</c:v>
                </c:pt>
                <c:pt idx="59">
                  <c:v>63.535438870449099</c:v>
                </c:pt>
                <c:pt idx="60">
                  <c:v>61.526371135298</c:v>
                </c:pt>
                <c:pt idx="61">
                  <c:v>60.962426218009902</c:v>
                </c:pt>
                <c:pt idx="62">
                  <c:v>60.355229218052102</c:v>
                </c:pt>
                <c:pt idx="63">
                  <c:v>59.759353581257201</c:v>
                </c:pt>
                <c:pt idx="64">
                  <c:v>59.169341288935499</c:v>
                </c:pt>
                <c:pt idx="65">
                  <c:v>58.581775439389901</c:v>
                </c:pt>
                <c:pt idx="66">
                  <c:v>#N/A</c:v>
                </c:pt>
                <c:pt idx="67">
                  <c:v>#N/A</c:v>
                </c:pt>
                <c:pt idx="68">
                  <c:v>#N/A</c:v>
                </c:pt>
                <c:pt idx="69">
                  <c:v>#N/A</c:v>
                </c:pt>
                <c:pt idx="70">
                  <c:v>55.645183483951598</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1-E153-4476-899D-595AF7957987}"/>
            </c:ext>
          </c:extLst>
        </c:ser>
        <c:ser>
          <c:idx val="2"/>
          <c:order val="2"/>
          <c:tx>
            <c:strRef>
              <c:f>'History and Forecast'!$I$116:$J$116</c:f>
              <c:strCache>
                <c:ptCount val="2"/>
                <c:pt idx="0">
                  <c:v>History Palm oil</c:v>
                </c:pt>
              </c:strCache>
            </c:strRef>
          </c:tx>
          <c:spPr>
            <a:solidFill>
              <a:schemeClr val="accent3"/>
            </a:solidFill>
            <a:ln>
              <a:noFill/>
            </a:ln>
            <a:effectLst/>
          </c:spPr>
          <c:invertIfNegative val="0"/>
          <c:cat>
            <c:numRef>
              <c:f>'History and Forecast'!$K$113:$CI$113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Forecast'!$K$116:$CI$116</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2-E153-4476-899D-595AF7957987}"/>
            </c:ext>
          </c:extLst>
        </c:ser>
        <c:ser>
          <c:idx val="3"/>
          <c:order val="3"/>
          <c:tx>
            <c:strRef>
              <c:f>'History and Forecast'!$I$117:$J$117</c:f>
              <c:strCache>
                <c:ptCount val="2"/>
                <c:pt idx="0">
                  <c:v>Projected Palm oil</c:v>
                </c:pt>
              </c:strCache>
            </c:strRef>
          </c:tx>
          <c:spPr>
            <a:solidFill>
              <a:schemeClr val="accent4"/>
            </a:solidFill>
            <a:ln>
              <a:noFill/>
            </a:ln>
            <a:effectLst/>
          </c:spPr>
          <c:invertIfNegative val="0"/>
          <c:cat>
            <c:numRef>
              <c:f>'History and Forecast'!$K$113:$CI$113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Forecast'!$K$117:$CI$117</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782.39420181858497</c:v>
                </c:pt>
                <c:pt idx="57">
                  <c:v>771.85388447805599</c:v>
                </c:pt>
                <c:pt idx="58">
                  <c:v>627.00500237272104</c:v>
                </c:pt>
                <c:pt idx="59">
                  <c:v>577.59489882226399</c:v>
                </c:pt>
                <c:pt idx="60">
                  <c:v>589.26071839597205</c:v>
                </c:pt>
                <c:pt idx="61">
                  <c:v>601.30977093809599</c:v>
                </c:pt>
                <c:pt idx="62">
                  <c:v>613.11331742325694</c:v>
                </c:pt>
                <c:pt idx="63">
                  <c:v>625.20373650248598</c:v>
                </c:pt>
                <c:pt idx="64">
                  <c:v>637.532363765794</c:v>
                </c:pt>
                <c:pt idx="65">
                  <c:v>650.06660987449698</c:v>
                </c:pt>
                <c:pt idx="66">
                  <c:v>#N/A</c:v>
                </c:pt>
                <c:pt idx="67">
                  <c:v>#N/A</c:v>
                </c:pt>
                <c:pt idx="68">
                  <c:v>#N/A</c:v>
                </c:pt>
                <c:pt idx="69">
                  <c:v>#N/A</c:v>
                </c:pt>
                <c:pt idx="70">
                  <c:v>715.43807336509201</c:v>
                </c:pt>
                <c:pt idx="71">
                  <c:v>#N/A</c:v>
                </c:pt>
                <c:pt idx="72">
                  <c:v>#N/A</c:v>
                </c:pt>
                <c:pt idx="73">
                  <c:v>#N/A</c:v>
                </c:pt>
                <c:pt idx="74">
                  <c:v>#N/A</c:v>
                </c:pt>
                <c:pt idx="75">
                  <c:v>#N/A</c:v>
                </c:pt>
                <c:pt idx="76">
                  <c:v>#N/A</c:v>
                </c:pt>
              </c:numCache>
            </c:numRef>
          </c:val>
          <c:extLst>
            <c:ext xmlns:c16="http://schemas.microsoft.com/office/drawing/2014/chart" uri="{C3380CC4-5D6E-409C-BE32-E72D297353CC}">
              <c16:uniqueId val="{00000003-E153-4476-899D-595AF7957987}"/>
            </c:ext>
          </c:extLst>
        </c:ser>
        <c:dLbls>
          <c:showLegendKey val="0"/>
          <c:showVal val="0"/>
          <c:showCatName val="0"/>
          <c:showSerName val="0"/>
          <c:showPercent val="0"/>
          <c:showBubbleSize val="0"/>
        </c:dLbls>
        <c:gapWidth val="219"/>
        <c:overlap val="-27"/>
        <c:axId val="1970761104"/>
        <c:axId val="1970752400"/>
      </c:barChart>
      <c:dateAx>
        <c:axId val="197076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52400"/>
        <c:crosses val="autoZero"/>
        <c:auto val="0"/>
        <c:lblOffset val="100"/>
        <c:baseTimeUnit val="days"/>
      </c:dateAx>
      <c:valAx>
        <c:axId val="197075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6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'History and Forecast'!$E$62:$E$91</c:f>
          <c:strCache>
            <c:ptCount val="30"/>
            <c:pt idx="0">
              <c:v>Crude oil, avg</c:v>
            </c:pt>
            <c:pt idx="1">
              <c:v>Palm oil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0"/>
          <c:tx>
            <c:strRef>
              <c:f>'History and Forecast'!$I$108:$J$108</c:f>
              <c:strCache>
                <c:ptCount val="2"/>
                <c:pt idx="0">
                  <c:v>History</c:v>
                </c:pt>
              </c:strCache>
            </c:strRef>
          </c:tx>
          <c:spPr>
            <a:solidFill>
              <a:schemeClr val="accent3">
                <a:lumMod val="40000"/>
                <a:lumOff val="60000"/>
              </a:schemeClr>
            </a:solidFill>
            <a:ln>
              <a:solidFill>
                <a:schemeClr val="accent3">
                  <a:lumMod val="20000"/>
                  <a:lumOff val="80000"/>
                </a:schemeClr>
              </a:solidFill>
            </a:ln>
            <a:effectLst/>
          </c:spPr>
          <c:invertIfNegative val="0"/>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Forecast'!$K$108:$CI$108</c:f>
              <c:numCache>
                <c:formatCode>General</c:formatCode>
                <c:ptCount val="77"/>
                <c:pt idx="0">
                  <c:v>783</c:v>
                </c:pt>
                <c:pt idx="1">
                  <c:v>783</c:v>
                </c:pt>
                <c:pt idx="2">
                  <c:v>783</c:v>
                </c:pt>
                <c:pt idx="3">
                  <c:v>783</c:v>
                </c:pt>
                <c:pt idx="4">
                  <c:v>783</c:v>
                </c:pt>
                <c:pt idx="5">
                  <c:v>783</c:v>
                </c:pt>
                <c:pt idx="6">
                  <c:v>783</c:v>
                </c:pt>
                <c:pt idx="7">
                  <c:v>783</c:v>
                </c:pt>
                <c:pt idx="8">
                  <c:v>783</c:v>
                </c:pt>
                <c:pt idx="9">
                  <c:v>783</c:v>
                </c:pt>
                <c:pt idx="10">
                  <c:v>783</c:v>
                </c:pt>
                <c:pt idx="11">
                  <c:v>783</c:v>
                </c:pt>
                <c:pt idx="12">
                  <c:v>783</c:v>
                </c:pt>
                <c:pt idx="13">
                  <c:v>783</c:v>
                </c:pt>
                <c:pt idx="14">
                  <c:v>783</c:v>
                </c:pt>
                <c:pt idx="15">
                  <c:v>783</c:v>
                </c:pt>
                <c:pt idx="16">
                  <c:v>783</c:v>
                </c:pt>
                <c:pt idx="17">
                  <c:v>783</c:v>
                </c:pt>
                <c:pt idx="18">
                  <c:v>783</c:v>
                </c:pt>
                <c:pt idx="19">
                  <c:v>783</c:v>
                </c:pt>
                <c:pt idx="20">
                  <c:v>783</c:v>
                </c:pt>
                <c:pt idx="21">
                  <c:v>783</c:v>
                </c:pt>
                <c:pt idx="22">
                  <c:v>783</c:v>
                </c:pt>
                <c:pt idx="23">
                  <c:v>783</c:v>
                </c:pt>
                <c:pt idx="24">
                  <c:v>783</c:v>
                </c:pt>
                <c:pt idx="25">
                  <c:v>783</c:v>
                </c:pt>
                <c:pt idx="26">
                  <c:v>783</c:v>
                </c:pt>
                <c:pt idx="27">
                  <c:v>783</c:v>
                </c:pt>
                <c:pt idx="28">
                  <c:v>783</c:v>
                </c:pt>
                <c:pt idx="29">
                  <c:v>783</c:v>
                </c:pt>
                <c:pt idx="30">
                  <c:v>783</c:v>
                </c:pt>
                <c:pt idx="31">
                  <c:v>783</c:v>
                </c:pt>
                <c:pt idx="32">
                  <c:v>783</c:v>
                </c:pt>
                <c:pt idx="33">
                  <c:v>783</c:v>
                </c:pt>
                <c:pt idx="34">
                  <c:v>783</c:v>
                </c:pt>
                <c:pt idx="35">
                  <c:v>783</c:v>
                </c:pt>
                <c:pt idx="36">
                  <c:v>783</c:v>
                </c:pt>
                <c:pt idx="37">
                  <c:v>783</c:v>
                </c:pt>
                <c:pt idx="38">
                  <c:v>783</c:v>
                </c:pt>
                <c:pt idx="39">
                  <c:v>783</c:v>
                </c:pt>
                <c:pt idx="40">
                  <c:v>783</c:v>
                </c:pt>
                <c:pt idx="41">
                  <c:v>783</c:v>
                </c:pt>
                <c:pt idx="42">
                  <c:v>783</c:v>
                </c:pt>
                <c:pt idx="43">
                  <c:v>783</c:v>
                </c:pt>
                <c:pt idx="44">
                  <c:v>783</c:v>
                </c:pt>
                <c:pt idx="45">
                  <c:v>783</c:v>
                </c:pt>
                <c:pt idx="46">
                  <c:v>783</c:v>
                </c:pt>
                <c:pt idx="47">
                  <c:v>783</c:v>
                </c:pt>
                <c:pt idx="48">
                  <c:v>783</c:v>
                </c:pt>
                <c:pt idx="49">
                  <c:v>783</c:v>
                </c:pt>
                <c:pt idx="50">
                  <c:v>783</c:v>
                </c:pt>
                <c:pt idx="51">
                  <c:v>783</c:v>
                </c:pt>
                <c:pt idx="52">
                  <c:v>783</c:v>
                </c:pt>
                <c:pt idx="53">
                  <c:v>783</c:v>
                </c:pt>
                <c:pt idx="54">
                  <c:v>783</c:v>
                </c:pt>
                <c:pt idx="55">
                  <c:v>783</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0-5258-4D8B-AB2B-803CB7800BFB}"/>
            </c:ext>
          </c:extLst>
        </c:ser>
        <c:ser>
          <c:idx val="11"/>
          <c:order val="11"/>
          <c:tx>
            <c:strRef>
              <c:f>'History and Forecast'!$I$109:$J$109</c:f>
              <c:strCache>
                <c:ptCount val="2"/>
                <c:pt idx="0">
                  <c:v>Forecast</c:v>
                </c:pt>
              </c:strCache>
            </c:strRef>
          </c:tx>
          <c:spPr>
            <a:solidFill>
              <a:schemeClr val="accent1">
                <a:lumMod val="40000"/>
                <a:lumOff val="60000"/>
              </a:schemeClr>
            </a:solidFill>
            <a:ln>
              <a:noFill/>
            </a:ln>
            <a:effectLst/>
          </c:spPr>
          <c:invertIfNegative val="0"/>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Forecast'!$K$109:$CI$109</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783</c:v>
                </c:pt>
                <c:pt idx="57">
                  <c:v>783</c:v>
                </c:pt>
                <c:pt idx="58">
                  <c:v>783</c:v>
                </c:pt>
                <c:pt idx="59">
                  <c:v>783</c:v>
                </c:pt>
                <c:pt idx="60">
                  <c:v>783</c:v>
                </c:pt>
                <c:pt idx="61">
                  <c:v>783</c:v>
                </c:pt>
                <c:pt idx="62">
                  <c:v>783</c:v>
                </c:pt>
                <c:pt idx="63">
                  <c:v>783</c:v>
                </c:pt>
                <c:pt idx="64">
                  <c:v>783</c:v>
                </c:pt>
                <c:pt idx="65">
                  <c:v>783</c:v>
                </c:pt>
                <c:pt idx="66">
                  <c:v>783</c:v>
                </c:pt>
                <c:pt idx="67">
                  <c:v>783</c:v>
                </c:pt>
                <c:pt idx="68">
                  <c:v>783</c:v>
                </c:pt>
                <c:pt idx="69">
                  <c:v>783</c:v>
                </c:pt>
                <c:pt idx="70">
                  <c:v>783</c:v>
                </c:pt>
                <c:pt idx="71">
                  <c:v>783</c:v>
                </c:pt>
                <c:pt idx="72">
                  <c:v>783</c:v>
                </c:pt>
                <c:pt idx="73">
                  <c:v>783</c:v>
                </c:pt>
                <c:pt idx="74">
                  <c:v>783</c:v>
                </c:pt>
                <c:pt idx="75">
                  <c:v>783</c:v>
                </c:pt>
                <c:pt idx="76">
                  <c:v>783</c:v>
                </c:pt>
              </c:numCache>
            </c:numRef>
          </c:val>
          <c:extLst>
            <c:ext xmlns:c16="http://schemas.microsoft.com/office/drawing/2014/chart" uri="{C3380CC4-5D6E-409C-BE32-E72D297353CC}">
              <c16:uniqueId val="{00000001-5258-4D8B-AB2B-803CB7800BFB}"/>
            </c:ext>
          </c:extLst>
        </c:ser>
        <c:dLbls>
          <c:showLegendKey val="0"/>
          <c:showVal val="0"/>
          <c:showCatName val="0"/>
          <c:showSerName val="0"/>
          <c:showPercent val="0"/>
          <c:showBubbleSize val="0"/>
        </c:dLbls>
        <c:gapWidth val="0"/>
        <c:overlap val="100"/>
        <c:axId val="1970751856"/>
        <c:axId val="1970762736"/>
      </c:barChart>
      <c:lineChart>
        <c:grouping val="standard"/>
        <c:varyColors val="0"/>
        <c:ser>
          <c:idx val="0"/>
          <c:order val="0"/>
          <c:tx>
            <c:strRef>
              <c:f>'History and Forecast'!$I$98:$J$98</c:f>
              <c:strCache>
                <c:ptCount val="2"/>
                <c:pt idx="0">
                  <c:v>Crude oil, avg</c:v>
                </c:pt>
                <c:pt idx="1">
                  <c:v>$/bbl</c:v>
                </c:pt>
              </c:strCache>
            </c:strRef>
          </c:tx>
          <c:spPr>
            <a:ln w="19050" cap="rnd">
              <a:solidFill>
                <a:schemeClr val="accent1"/>
              </a:solidFill>
              <a:round/>
            </a:ln>
            <a:effectLst/>
          </c:spPr>
          <c:marker>
            <c:symbol val="none"/>
          </c:marker>
          <c:dLbls>
            <c:dLbl>
              <c:idx val="64"/>
              <c:tx>
                <c:strRef>
                  <c:f>'History and Forecast'!$D$62</c:f>
                  <c:strCache>
                    <c:ptCount val="1"/>
                    <c:pt idx="0">
                      <c:v>Crude oil, avg</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{B92D16E8-583D-4DF2-8EF8-97913C4F15F8}</c15:txfldGUID>
                      <c15:f>'History and Forecast'!$D$62</c15:f>
                      <c15:dlblFieldTableCache>
                        <c:ptCount val="1"/>
                        <c:pt idx="0">
                          <c:v>Crude oil, avg</c:v>
                        </c:pt>
                      </c15:dlblFieldTableCache>
                    </c15:dlblFTEntry>
                  </c15:dlblFieldTable>
                  <c15:showDataLabelsRange val="0"/>
                </c:ext>
                <c:ext xmlns:c16="http://schemas.microsoft.com/office/drawing/2014/chart" uri="{C3380CC4-5D6E-409C-BE32-E72D297353CC}">
                  <c16:uniqueId val="{00000002-5258-4D8B-AB2B-803CB7800B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Forecast'!$K$98:$CI$98</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45.5289728675681</c:v>
                </c:pt>
                <c:pt idx="57">
                  <c:v>54.278585167156798</c:v>
                </c:pt>
                <c:pt idx="58">
                  <c:v>67.100566918588896</c:v>
                </c:pt>
                <c:pt idx="59">
                  <c:v>63.535438870449099</c:v>
                </c:pt>
                <c:pt idx="60">
                  <c:v>61.526371135298</c:v>
                </c:pt>
                <c:pt idx="61">
                  <c:v>60.962426218009902</c:v>
                </c:pt>
                <c:pt idx="62">
                  <c:v>60.355229218052102</c:v>
                </c:pt>
                <c:pt idx="63">
                  <c:v>59.759353581257201</c:v>
                </c:pt>
                <c:pt idx="64">
                  <c:v>59.169341288935499</c:v>
                </c:pt>
                <c:pt idx="65">
                  <c:v>58.581775439389901</c:v>
                </c:pt>
                <c:pt idx="66">
                  <c:v>#N/A</c:v>
                </c:pt>
                <c:pt idx="67">
                  <c:v>#N/A</c:v>
                </c:pt>
                <c:pt idx="68">
                  <c:v>#N/A</c:v>
                </c:pt>
                <c:pt idx="69">
                  <c:v>#N/A</c:v>
                </c:pt>
                <c:pt idx="70">
                  <c:v>55.645183483951598</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3-5258-4D8B-AB2B-803CB7800BFB}"/>
            </c:ext>
          </c:extLst>
        </c:ser>
        <c:ser>
          <c:idx val="1"/>
          <c:order val="1"/>
          <c:tx>
            <c:strRef>
              <c:f>'History and Forecast'!$I$99:$J$99</c:f>
              <c:strCache>
                <c:ptCount val="2"/>
                <c:pt idx="0">
                  <c:v>Palm oil</c:v>
                </c:pt>
                <c:pt idx="1">
                  <c:v>$/mt</c:v>
                </c:pt>
              </c:strCache>
            </c:strRef>
          </c:tx>
          <c:spPr>
            <a:ln w="19050" cap="rnd">
              <a:solidFill>
                <a:schemeClr val="accent2"/>
              </a:solidFill>
              <a:round/>
            </a:ln>
            <a:effectLst/>
          </c:spPr>
          <c:marker>
            <c:symbol val="none"/>
          </c:marker>
          <c:dLbls>
            <c:dLbl>
              <c:idx val="64"/>
              <c:tx>
                <c:strRef>
                  <c:f>'History and Forecast'!$D$63</c:f>
                  <c:strCache>
                    <c:ptCount val="1"/>
                    <c:pt idx="0">
                      <c:v>Palm oil</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{F11993B0-2E58-4E31-86FA-2DE8265893BA}</c15:txfldGUID>
                      <c15:f>'History and Forecast'!$D$63</c15:f>
                      <c15:dlblFieldTableCache>
                        <c:ptCount val="1"/>
                        <c:pt idx="0">
                          <c:v>Palm oil</c:v>
                        </c:pt>
                      </c15:dlblFieldTableCache>
                    </c15:dlblFTEntry>
                  </c15:dlblFieldTable>
                  <c15:showDataLabelsRange val="0"/>
                </c:ext>
                <c:ext xmlns:c16="http://schemas.microsoft.com/office/drawing/2014/chart" uri="{C3380CC4-5D6E-409C-BE32-E72D297353CC}">
                  <c16:uniqueId val="{00000004-5258-4D8B-AB2B-803CB7800B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Forecast'!$K$99:$CI$99</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782.39420181858497</c:v>
                </c:pt>
                <c:pt idx="57">
                  <c:v>771.85388447805599</c:v>
                </c:pt>
                <c:pt idx="58">
                  <c:v>627.00500237272104</c:v>
                </c:pt>
                <c:pt idx="59">
                  <c:v>577.59489882226399</c:v>
                </c:pt>
                <c:pt idx="60">
                  <c:v>589.26071839597205</c:v>
                </c:pt>
                <c:pt idx="61">
                  <c:v>601.30977093809599</c:v>
                </c:pt>
                <c:pt idx="62">
                  <c:v>613.11331742325694</c:v>
                </c:pt>
                <c:pt idx="63">
                  <c:v>625.20373650248598</c:v>
                </c:pt>
                <c:pt idx="64">
                  <c:v>637.532363765794</c:v>
                </c:pt>
                <c:pt idx="65">
                  <c:v>650.06660987449698</c:v>
                </c:pt>
                <c:pt idx="66">
                  <c:v>#N/A</c:v>
                </c:pt>
                <c:pt idx="67">
                  <c:v>#N/A</c:v>
                </c:pt>
                <c:pt idx="68">
                  <c:v>#N/A</c:v>
                </c:pt>
                <c:pt idx="69">
                  <c:v>#N/A</c:v>
                </c:pt>
                <c:pt idx="70">
                  <c:v>715.43807336509201</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5-5258-4D8B-AB2B-803CB7800BFB}"/>
            </c:ext>
          </c:extLst>
        </c:ser>
        <c:ser>
          <c:idx val="2"/>
          <c:order val="2"/>
          <c:tx>
            <c:strRef>
              <c:f>'History and Forecast'!$I$100:$J$100</c:f>
              <c:strCache>
                <c:ptCount val="2"/>
                <c:pt idx="0">
                  <c:v>#N/A</c:v>
                </c:pt>
                <c:pt idx="1">
                  <c:v>#N/A</c:v>
                </c:pt>
              </c:strCache>
            </c:strRef>
          </c:tx>
          <c:spPr>
            <a:ln w="19050" cap="rnd">
              <a:solidFill>
                <a:schemeClr val="accent3"/>
              </a:solidFill>
              <a:round/>
            </a:ln>
            <a:effectLst/>
          </c:spPr>
          <c:marker>
            <c:symbol val="none"/>
          </c:marker>
          <c:dLbls>
            <c:dLbl>
              <c:idx val="64"/>
              <c:tx>
                <c:strRef>
                  <c:f>'History and Forecast'!$D$64</c:f>
                  <c:strCache>
                    <c:ptCount val="1"/>
                    <c:pt idx="0">
                      <c:v>#N/A</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{3653F978-62FD-4B7D-875F-7C067E254EAE}</c15:txfldGUID>
                      <c15:f>'History and Forecast'!$D$64</c15:f>
                      <c15:dlblFieldTableCache>
                        <c:ptCount val="1"/>
                        <c:pt idx="0">
                          <c:v>#N/A</c:v>
                        </c:pt>
                      </c15:dlblFieldTableCache>
                    </c15:dlblFTEntry>
                  </c15:dlblFieldTable>
                  <c15:showDataLabelsRange val="0"/>
                </c:ext>
                <c:ext xmlns:c16="http://schemas.microsoft.com/office/drawing/2014/chart" uri="{C3380CC4-5D6E-409C-BE32-E72D297353CC}">
                  <c16:uniqueId val="{00000006-5258-4D8B-AB2B-803CB7800B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Forecast'!$K$100:$CI$100</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7-5258-4D8B-AB2B-803CB7800BFB}"/>
            </c:ext>
          </c:extLst>
        </c:ser>
        <c:ser>
          <c:idx val="3"/>
          <c:order val="3"/>
          <c:tx>
            <c:strRef>
              <c:f>'History and Forecast'!$I$101:$J$101</c:f>
              <c:strCache>
                <c:ptCount val="2"/>
                <c:pt idx="0">
                  <c:v>#N/A</c:v>
                </c:pt>
                <c:pt idx="1">
                  <c:v>#N/A</c:v>
                </c:pt>
              </c:strCache>
            </c:strRef>
          </c:tx>
          <c:spPr>
            <a:ln w="19050" cap="rnd">
              <a:solidFill>
                <a:schemeClr val="accent4"/>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Forecast'!$K$101:$CI$101</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8-5258-4D8B-AB2B-803CB7800BFB}"/>
            </c:ext>
          </c:extLst>
        </c:ser>
        <c:ser>
          <c:idx val="4"/>
          <c:order val="4"/>
          <c:tx>
            <c:strRef>
              <c:f>'History and Forecast'!$I$102:$J$102</c:f>
              <c:strCache>
                <c:ptCount val="2"/>
                <c:pt idx="0">
                  <c:v>#N/A</c:v>
                </c:pt>
                <c:pt idx="1">
                  <c:v>#N/A</c:v>
                </c:pt>
              </c:strCache>
            </c:strRef>
          </c:tx>
          <c:spPr>
            <a:ln w="19050" cap="rnd">
              <a:solidFill>
                <a:schemeClr val="accent5"/>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Forecast'!$K$102:$CI$102</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9-5258-4D8B-AB2B-803CB7800BFB}"/>
            </c:ext>
          </c:extLst>
        </c:ser>
        <c:ser>
          <c:idx val="5"/>
          <c:order val="5"/>
          <c:tx>
            <c:strRef>
              <c:f>'History and Forecast'!$I$103:$J$103</c:f>
              <c:strCache>
                <c:ptCount val="2"/>
                <c:pt idx="0">
                  <c:v>#N/A</c:v>
                </c:pt>
                <c:pt idx="1">
                  <c:v>#N/A</c:v>
                </c:pt>
              </c:strCache>
            </c:strRef>
          </c:tx>
          <c:spPr>
            <a:ln w="19050" cap="rnd">
              <a:solidFill>
                <a:schemeClr val="accent6"/>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Forecast'!$K$103:$CI$103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A-5258-4D8B-AB2B-803CB7800BFB}"/>
            </c:ext>
          </c:extLst>
        </c:ser>
        <c:ser>
          <c:idx val="6"/>
          <c:order val="6"/>
          <c:tx>
            <c:strRef>
              <c:f>'History and Forecast'!$I$104:$J$104</c:f>
              <c:strCache>
                <c:ptCount val="2"/>
                <c:pt idx="0">
                  <c:v>#N/A</c:v>
                </c:pt>
                <c:pt idx="1">
                  <c:v>#N/A</c:v>
                </c:pt>
              </c:strCache>
            </c:strRef>
          </c:tx>
          <c:spPr>
            <a:ln w="19050" cap="rnd">
              <a:solidFill>
                <a:schemeClr val="accent1">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Forecast'!$K$104:$CI$104</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B-5258-4D8B-AB2B-803CB7800BFB}"/>
            </c:ext>
          </c:extLst>
        </c:ser>
        <c:ser>
          <c:idx val="7"/>
          <c:order val="7"/>
          <c:tx>
            <c:strRef>
              <c:f>'History and Forecast'!$I$105:$J$105</c:f>
              <c:strCache>
                <c:ptCount val="2"/>
                <c:pt idx="0">
                  <c:v>#N/A</c:v>
                </c:pt>
                <c:pt idx="1">
                  <c:v>#N/A</c:v>
                </c:pt>
              </c:strCache>
            </c:strRef>
          </c:tx>
          <c:spPr>
            <a:ln w="19050" cap="rnd">
              <a:solidFill>
                <a:schemeClr val="accent2">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Forecast'!$K$105:$CI$105</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C-5258-4D8B-AB2B-803CB7800BFB}"/>
            </c:ext>
          </c:extLst>
        </c:ser>
        <c:ser>
          <c:idx val="8"/>
          <c:order val="8"/>
          <c:tx>
            <c:strRef>
              <c:f>'History and Forecast'!$I$106:$J$106</c:f>
              <c:strCache>
                <c:ptCount val="2"/>
                <c:pt idx="0">
                  <c:v>#N/A</c:v>
                </c:pt>
                <c:pt idx="1">
                  <c:v>#N/A</c:v>
                </c:pt>
              </c:strCache>
            </c:strRef>
          </c:tx>
          <c:spPr>
            <a:ln w="28575" cap="rnd">
              <a:solidFill>
                <a:schemeClr val="accent3">
                  <a:lumMod val="60000"/>
                </a:schemeClr>
              </a:solidFill>
              <a:round/>
            </a:ln>
            <a:effectLst/>
          </c:spPr>
          <c:marker>
            <c:symbol val="none"/>
          </c:marker>
          <c:dLbls>
            <c:dLbl>
              <c:idx val="8"/>
              <c:tx>
                <c:strRef>
                  <c:f>'History and Forecast'!$D$70</c:f>
                  <c:strCache>
                    <c:ptCount val="1"/>
                    <c:pt idx="0">
                      <c:v>#N/A</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{C1245CAE-488F-4BAD-8206-2F053AAB6FE1}</c15:txfldGUID>
                      <c15:f>'History and Forecast'!$D$70</c15:f>
                      <c15:dlblFieldTableCache>
                        <c:ptCount val="1"/>
                        <c:pt idx="0">
                          <c:v>#N/A</c:v>
                        </c:pt>
                      </c15:dlblFieldTableCache>
                    </c15:dlblFTEntry>
                  </c15:dlblFieldTable>
                  <c15:showDataLabelsRange val="0"/>
                </c:ext>
                <c:ext xmlns:c16="http://schemas.microsoft.com/office/drawing/2014/chart" uri="{C3380CC4-5D6E-409C-BE32-E72D297353CC}">
                  <c16:uniqueId val="{0000000D-5258-4D8B-AB2B-803CB7800B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Forecast'!$K$106:$CI$106</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E-5258-4D8B-AB2B-803CB7800BFB}"/>
            </c:ext>
          </c:extLst>
        </c:ser>
        <c:ser>
          <c:idx val="9"/>
          <c:order val="9"/>
          <c:tx>
            <c:strRef>
              <c:f>'History and Forecast'!$I$107:$J$107</c:f>
              <c:strCache>
                <c:ptCount val="2"/>
                <c:pt idx="0">
                  <c:v>#N/A</c:v>
                </c:pt>
                <c:pt idx="1">
                  <c:v>#N/A</c:v>
                </c:pt>
              </c:strCache>
            </c:strRef>
          </c:tx>
          <c:spPr>
            <a:ln w="28575" cap="rnd">
              <a:solidFill>
                <a:schemeClr val="accent4">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Forecast'!$K$107:$CI$107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F-5258-4D8B-AB2B-803CB7800BFB}"/>
            </c:ext>
          </c:extLst>
        </c:ser>
        <c:dLbls>
          <c:showLegendKey val="0"/>
          <c:showVal val="0"/>
          <c:showCatName val="0"/>
          <c:showSerName val="0"/>
          <c:showPercent val="0"/>
          <c:showBubbleSize val="0"/>
        </c:dLbls>
        <c:marker val="1"/>
        <c:smooth val="0"/>
        <c:axId val="1970751856"/>
        <c:axId val="1970762736"/>
      </c:lineChart>
      <c:dateAx>
        <c:axId val="197075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62736"/>
        <c:crosses val="autoZero"/>
        <c:auto val="0"/>
        <c:lblOffset val="100"/>
        <c:baseTimeUnit val="days"/>
      </c:dateAx>
      <c:valAx>
        <c:axId val="1970762736"/>
        <c:scaling>
          <c:orientation val="minMax"/>
          <c:max val="1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5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Graph'!$T$14:$AK$14</c:f>
          <c:strCache>
            <c:ptCount val="18"/>
            <c:pt idx="0">
              <c:v>Maize ($/mt)</c:v>
            </c:pt>
            <c:pt idx="2">
              <c:v>Volatility</c:v>
            </c:pt>
            <c:pt idx="3">
              <c:v>18.67%</c:v>
            </c:pt>
            <c:pt idx="6">
              <c:v>_x000d_</c:v>
            </c:pt>
            <c:pt idx="10">
              <c:v>Barley ($/mt)</c:v>
            </c:pt>
            <c:pt idx="12">
              <c:v>Volatility</c:v>
            </c:pt>
            <c:pt idx="13">
              <c:v>17.84%</c:v>
            </c:pt>
            <c:pt idx="14">
              <c:v> 
</c:v>
            </c:pt>
            <c:pt idx="15">
              <c:v>Correlation</c:v>
            </c:pt>
            <c:pt idx="17">
              <c:v>87.75%</c:v>
            </c:pt>
          </c:strCache>
        </c:strRef>
      </c:tx>
      <c:overlay val="0"/>
    </c:title>
    <c:autoTitleDeleted val="0"/>
    <c:plotArea>
      <c:layout/>
      <c:scatterChart>
        <c:scatterStyle val="lineMarker"/>
        <c:varyColors val="0"/>
        <c:ser>
          <c:idx val="0"/>
          <c:order val="0"/>
          <c:tx>
            <c:strRef>
              <c:f>'Prices for Graph'!$I$5</c:f>
              <c:strCache>
                <c:ptCount val="1"/>
                <c:pt idx="0">
                  <c:v>Barley ($/mt)</c:v>
                </c:pt>
              </c:strCache>
            </c:strRef>
          </c:tx>
          <c:spPr>
            <a:ln w="28575">
              <a:noFill/>
            </a:ln>
          </c:spPr>
          <c:trendline>
            <c:trendlineType val="linear"/>
            <c:dispRSqr val="0"/>
            <c:dispEq val="0"/>
          </c:trendline>
          <c:xVal>
            <c:numRef>
              <c:f>'Prices for Graph'!$K$20:$K$664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144.9214988205936</c:v>
                </c:pt>
                <c:pt idx="491">
                  <c:v>158.29571578655256</c:v>
                </c:pt>
                <c:pt idx="492">
                  <c:v>154.13081718822727</c:v>
                </c:pt>
                <c:pt idx="493">
                  <c:v>148.73397809175944</c:v>
                </c:pt>
                <c:pt idx="494">
                  <c:v>145.71173755086951</c:v>
                </c:pt>
                <c:pt idx="495">
                  <c:v>141.84024152997893</c:v>
                </c:pt>
                <c:pt idx="496">
                  <c:v>135.34097938627585</c:v>
                </c:pt>
                <c:pt idx="497">
                  <c:v>133.87544113489955</c:v>
                </c:pt>
                <c:pt idx="498">
                  <c:v>147.2353221830854</c:v>
                </c:pt>
                <c:pt idx="499">
                  <c:v>149.32540048650304</c:v>
                </c:pt>
                <c:pt idx="500">
                  <c:v>144.25227435169441</c:v>
                </c:pt>
                <c:pt idx="501">
                  <c:v>138.47769630283244</c:v>
                </c:pt>
                <c:pt idx="502">
                  <c:v>143.10274450042297</c:v>
                </c:pt>
                <c:pt idx="503">
                  <c:v>146.69663438329962</c:v>
                </c:pt>
                <c:pt idx="504">
                  <c:v>146.77095257508293</c:v>
                </c:pt>
                <c:pt idx="505">
                  <c:v>144.83574225546909</c:v>
                </c:pt>
                <c:pt idx="506">
                  <c:v>142.82304013221878</c:v>
                </c:pt>
                <c:pt idx="507">
                  <c:v>138.78964153212956</c:v>
                </c:pt>
                <c:pt idx="508">
                  <c:v>143.70779527454098</c:v>
                </c:pt>
                <c:pt idx="509">
                  <c:v>149.7021014460563</c:v>
                </c:pt>
                <c:pt idx="510">
                  <c:v>156.90374640169927</c:v>
                </c:pt>
                <c:pt idx="511">
                  <c:v>173.05470214536251</c:v>
                </c:pt>
                <c:pt idx="512">
                  <c:v>181.1963749818585</c:v>
                </c:pt>
                <c:pt idx="513">
                  <c:v>173.98921739369931</c:v>
                </c:pt>
                <c:pt idx="514">
                  <c:v>172.61052802124524</c:v>
                </c:pt>
                <c:pt idx="515">
                  <c:v>169.33441902680258</c:v>
                </c:pt>
                <c:pt idx="516">
                  <c:v>167.82170779930843</c:v>
                </c:pt>
                <c:pt idx="517">
                  <c:v>167.16290449161343</c:v>
                </c:pt>
                <c:pt idx="518">
                  <c:v>166.56762155008715</c:v>
                </c:pt>
                <c:pt idx="519">
                  <c:v>166.15571973500246</c:v>
                </c:pt>
                <c:pt idx="520">
                  <c:v>169.1834456171342</c:v>
                </c:pt>
                <c:pt idx="521">
                  <c:v>168.73841527195651</c:v>
                </c:pt>
                <c:pt idx="522">
                  <c:v>152.03353511429788</c:v>
                </c:pt>
                <c:pt idx="523">
                  <c:v>157.9149006330002</c:v>
                </c:pt>
                <c:pt idx="524">
                  <c:v>163.10457489854107</c:v>
                </c:pt>
                <c:pt idx="525">
                  <c:v>164.97826638018054</c:v>
                </c:pt>
                <c:pt idx="526">
                  <c:v>169.64106686615355</c:v>
                </c:pt>
                <c:pt idx="527">
                  <c:v>173.63257653367879</c:v>
                </c:pt>
                <c:pt idx="528">
                  <c:v>180.1828993914618</c:v>
                </c:pt>
                <c:pt idx="529">
                  <c:v>192.40774407291815</c:v>
                </c:pt>
                <c:pt idx="530">
                  <c:v>198.81805483587365</c:v>
                </c:pt>
                <c:pt idx="531">
                  <c:v>207.24416195187521</c:v>
                </c:pt>
                <c:pt idx="532">
                  <c:v>198.70255931681876</c:v>
                </c:pt>
                <c:pt idx="533">
                  <c:v>190.78371660332886</c:v>
                </c:pt>
                <c:pt idx="534">
                  <c:v>161.88396434692234</c:v>
                </c:pt>
                <c:pt idx="535">
                  <c:v>160.34346643241065</c:v>
                </c:pt>
                <c:pt idx="536">
                  <c:v>150.51381383690318</c:v>
                </c:pt>
                <c:pt idx="537">
                  <c:v>143.89257240651</c:v>
                </c:pt>
                <c:pt idx="538">
                  <c:v>143.46325877887796</c:v>
                </c:pt>
                <c:pt idx="539">
                  <c:v>145.61943579457693</c:v>
                </c:pt>
                <c:pt idx="540">
                  <c:v>146.58010370958456</c:v>
                </c:pt>
                <c:pt idx="541">
                  <c:v>143.00505043330975</c:v>
                </c:pt>
                <c:pt idx="542">
                  <c:v>151.34814101094858</c:v>
                </c:pt>
                <c:pt idx="543">
                  <c:v>145.50283731434718</c:v>
                </c:pt>
                <c:pt idx="544">
                  <c:v>143.8117569920696</c:v>
                </c:pt>
                <c:pt idx="545">
                  <c:v>145.95287800422511</c:v>
                </c:pt>
                <c:pt idx="546">
                  <c:v>161.14358380169369</c:v>
                </c:pt>
                <c:pt idx="547">
                  <c:v>151.91893748429291</c:v>
                </c:pt>
                <c:pt idx="548">
                  <c:v>143.55367168574151</c:v>
                </c:pt>
                <c:pt idx="549">
                  <c:v>151.42813567498567</c:v>
                </c:pt>
                <c:pt idx="550">
                  <c:v>141.25226840124711</c:v>
                </c:pt>
                <c:pt idx="551">
                  <c:v>150.83611592630209</c:v>
                </c:pt>
                <c:pt idx="552">
                  <c:v>151.18230270918542</c:v>
                </c:pt>
                <c:pt idx="553">
                  <c:v>157.35119811563933</c:v>
                </c:pt>
                <c:pt idx="554">
                  <c:v>154.17244990506575</c:v>
                </c:pt>
                <c:pt idx="555">
                  <c:v>157.35201725186622</c:v>
                </c:pt>
                <c:pt idx="556">
                  <c:v>161.17935012955951</c:v>
                </c:pt>
                <c:pt idx="557">
                  <c:v>158.9223569384263</c:v>
                </c:pt>
                <c:pt idx="558">
                  <c:v>165.19212973698521</c:v>
                </c:pt>
                <c:pt idx="559">
                  <c:v>168.55395927978572</c:v>
                </c:pt>
                <c:pt idx="560">
                  <c:v>175.59102547503534</c:v>
                </c:pt>
                <c:pt idx="561">
                  <c:v>204.69065539283716</c:v>
                </c:pt>
                <c:pt idx="562">
                  <c:v>236.48992638636017</c:v>
                </c:pt>
                <c:pt idx="563">
                  <c:v>230.1073785440168</c:v>
                </c:pt>
                <c:pt idx="564">
                  <c:v>235.99127299596012</c:v>
                </c:pt>
                <c:pt idx="565">
                  <c:v>253.53981960378016</c:v>
                </c:pt>
                <c:pt idx="566">
                  <c:v>243.31655484812592</c:v>
                </c:pt>
                <c:pt idx="567">
                  <c:v>217.61483186215264</c:v>
                </c:pt>
                <c:pt idx="568">
                  <c:v>227.89484140889849</c:v>
                </c:pt>
                <c:pt idx="569">
                  <c:v>234.64651547369945</c:v>
                </c:pt>
                <c:pt idx="570">
                  <c:v>208.18577630916059</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xVal>
          <c:yVal>
            <c:numRef>
              <c:f>'Prices for Graph'!$N$20:$N$664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134.01622510649486</c:v>
                </c:pt>
                <c:pt idx="491">
                  <c:v>140.51259724390582</c:v>
                </c:pt>
                <c:pt idx="492">
                  <c:v>138.90402074503928</c:v>
                </c:pt>
                <c:pt idx="493">
                  <c:v>133.11181620890204</c:v>
                </c:pt>
                <c:pt idx="494">
                  <c:v>134.11937992632386</c:v>
                </c:pt>
                <c:pt idx="495">
                  <c:v>136.56898809432681</c:v>
                </c:pt>
                <c:pt idx="496">
                  <c:v>144.41843358699646</c:v>
                </c:pt>
                <c:pt idx="497">
                  <c:v>152.75716521766358</c:v>
                </c:pt>
                <c:pt idx="498">
                  <c:v>163.68754122131307</c:v>
                </c:pt>
                <c:pt idx="499">
                  <c:v>159.34562544936159</c:v>
                </c:pt>
                <c:pt idx="500">
                  <c:v>159.51342193796935</c:v>
                </c:pt>
                <c:pt idx="501">
                  <c:v>162.84247581637379</c:v>
                </c:pt>
                <c:pt idx="502">
                  <c:v>161.37015984149772</c:v>
                </c:pt>
                <c:pt idx="503">
                  <c:v>164.22742503990204</c:v>
                </c:pt>
                <c:pt idx="504">
                  <c:v>158.40348404140553</c:v>
                </c:pt>
                <c:pt idx="505">
                  <c:v>157.89679410607792</c:v>
                </c:pt>
                <c:pt idx="506">
                  <c:v>157.70940543558811</c:v>
                </c:pt>
                <c:pt idx="507">
                  <c:v>152.63196891551308</c:v>
                </c:pt>
                <c:pt idx="508">
                  <c:v>155.29739037367312</c:v>
                </c:pt>
                <c:pt idx="509">
                  <c:v>165.6444444845246</c:v>
                </c:pt>
                <c:pt idx="510">
                  <c:v>181.61024370722575</c:v>
                </c:pt>
                <c:pt idx="511">
                  <c:v>192.21415966737729</c:v>
                </c:pt>
                <c:pt idx="512">
                  <c:v>190.1022069745712</c:v>
                </c:pt>
                <c:pt idx="513">
                  <c:v>191.29297638882471</c:v>
                </c:pt>
                <c:pt idx="514">
                  <c:v>190.35805316434582</c:v>
                </c:pt>
                <c:pt idx="515">
                  <c:v>185.53011000141169</c:v>
                </c:pt>
                <c:pt idx="516">
                  <c:v>179.78169705483211</c:v>
                </c:pt>
                <c:pt idx="517">
                  <c:v>180.26943182914871</c:v>
                </c:pt>
                <c:pt idx="518">
                  <c:v>179.25726969696811</c:v>
                </c:pt>
                <c:pt idx="519">
                  <c:v>180.54547279397227</c:v>
                </c:pt>
                <c:pt idx="520">
                  <c:v>181.78348032201706</c:v>
                </c:pt>
                <c:pt idx="521">
                  <c:v>175.26771953485809</c:v>
                </c:pt>
                <c:pt idx="522">
                  <c:v>151.74156374072061</c:v>
                </c:pt>
                <c:pt idx="523">
                  <c:v>138.16500742355464</c:v>
                </c:pt>
                <c:pt idx="524">
                  <c:v>142.02820377054354</c:v>
                </c:pt>
                <c:pt idx="525">
                  <c:v>149.81660150507633</c:v>
                </c:pt>
                <c:pt idx="526">
                  <c:v>158.94453827574662</c:v>
                </c:pt>
                <c:pt idx="527">
                  <c:v>158.00329373158871</c:v>
                </c:pt>
                <c:pt idx="528">
                  <c:v>153.71058716770366</c:v>
                </c:pt>
                <c:pt idx="529">
                  <c:v>148.8396435883499</c:v>
                </c:pt>
                <c:pt idx="530">
                  <c:v>160.22296891386449</c:v>
                </c:pt>
                <c:pt idx="531">
                  <c:v>174.69635246296423</c:v>
                </c:pt>
                <c:pt idx="532">
                  <c:v>172.88831784265062</c:v>
                </c:pt>
                <c:pt idx="533">
                  <c:v>176.43906156015353</c:v>
                </c:pt>
                <c:pt idx="534">
                  <c:v>160.5291381288574</c:v>
                </c:pt>
                <c:pt idx="535">
                  <c:v>135.25323235799914</c:v>
                </c:pt>
                <c:pt idx="536">
                  <c:v>131.29392678098475</c:v>
                </c:pt>
                <c:pt idx="537">
                  <c:v>134.83219252141748</c:v>
                </c:pt>
                <c:pt idx="538">
                  <c:v>146.1999748242672</c:v>
                </c:pt>
                <c:pt idx="539">
                  <c:v>140.51332754734014</c:v>
                </c:pt>
                <c:pt idx="540">
                  <c:v>138.14366359470324</c:v>
                </c:pt>
                <c:pt idx="541">
                  <c:v>132.73130933963625</c:v>
                </c:pt>
                <c:pt idx="542">
                  <c:v>142.6985562386152</c:v>
                </c:pt>
                <c:pt idx="543">
                  <c:v>141.04141486844128</c:v>
                </c:pt>
                <c:pt idx="544">
                  <c:v>133.97992757944687</c:v>
                </c:pt>
                <c:pt idx="545">
                  <c:v>140.45506952646591</c:v>
                </c:pt>
                <c:pt idx="546">
                  <c:v>145.07999116143401</c:v>
                </c:pt>
                <c:pt idx="547">
                  <c:v>146.44410406173958</c:v>
                </c:pt>
                <c:pt idx="548">
                  <c:v>145.84668744822358</c:v>
                </c:pt>
                <c:pt idx="549">
                  <c:v>146.35828427648789</c:v>
                </c:pt>
                <c:pt idx="550">
                  <c:v>146.27448395623048</c:v>
                </c:pt>
                <c:pt idx="551">
                  <c:v>152.12625624074721</c:v>
                </c:pt>
                <c:pt idx="552">
                  <c:v>152.58146382289613</c:v>
                </c:pt>
                <c:pt idx="553">
                  <c:v>148.54416976766146</c:v>
                </c:pt>
                <c:pt idx="554">
                  <c:v>147.03219687871635</c:v>
                </c:pt>
                <c:pt idx="555">
                  <c:v>149.17752392964505</c:v>
                </c:pt>
                <c:pt idx="556">
                  <c:v>156.55714499601342</c:v>
                </c:pt>
                <c:pt idx="557">
                  <c:v>155.25987664163119</c:v>
                </c:pt>
                <c:pt idx="558">
                  <c:v>162.44944669267633</c:v>
                </c:pt>
                <c:pt idx="559">
                  <c:v>165.57915156778267</c:v>
                </c:pt>
                <c:pt idx="560">
                  <c:v>166.50329597501863</c:v>
                </c:pt>
                <c:pt idx="561">
                  <c:v>196.67073757496198</c:v>
                </c:pt>
                <c:pt idx="562">
                  <c:v>212.93173494812754</c:v>
                </c:pt>
                <c:pt idx="563">
                  <c:v>216.60900578196282</c:v>
                </c:pt>
                <c:pt idx="564">
                  <c:v>217.88522349595311</c:v>
                </c:pt>
                <c:pt idx="565">
                  <c:v>215.91678479147831</c:v>
                </c:pt>
                <c:pt idx="566">
                  <c:v>224.12462337514694</c:v>
                </c:pt>
                <c:pt idx="567">
                  <c:v>223.83943591517047</c:v>
                </c:pt>
                <c:pt idx="568">
                  <c:v>229.97380706379175</c:v>
                </c:pt>
                <c:pt idx="569">
                  <c:v>261.91224260480311</c:v>
                </c:pt>
                <c:pt idx="570">
                  <c:v>252.22819297761103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yVal>
          <c:smooth val="0"/>
          <c:extLst>
            <c:ext xmlns:c16="http://schemas.microsoft.com/office/drawing/2014/chart" uri="{C3380CC4-5D6E-409C-BE32-E72D297353CC}">
              <c16:uniqueId val="{00000001-4F64-46A9-A1D4-71CC4F39E539}"/>
            </c:ext>
          </c:extLst>
        </c:ser>
        <c:dLbls>
          <c:showLegendKey val="0"/>
          <c:showVal val="0"/>
          <c:showCatName val="0"/>
          <c:showSerName val="0"/>
          <c:showPercent val="0"/>
          <c:showBubbleSize val="0"/>
        </c:dLbls>
        <c:axId val="1970761648"/>
        <c:axId val="1970763280"/>
      </c:scatterChart>
      <c:valAx>
        <c:axId val="1970761648"/>
        <c:scaling>
          <c:orientation val="minMax"/>
        </c:scaling>
        <c:delete val="0"/>
        <c:axPos val="b"/>
        <c:numFmt formatCode="#,##0.00" sourceLinked="1"/>
        <c:majorTickMark val="out"/>
        <c:minorTickMark val="none"/>
        <c:tickLblPos val="nextTo"/>
        <c:crossAx val="1970763280"/>
        <c:crosses val="autoZero"/>
        <c:crossBetween val="midCat"/>
      </c:valAx>
      <c:valAx>
        <c:axId val="1970763280"/>
        <c:scaling>
          <c:orientation val="minMax"/>
        </c:scaling>
        <c:delete val="0"/>
        <c:axPos val="l"/>
        <c:majorGridlines/>
        <c:numFmt formatCode="#,##0.00" sourceLinked="1"/>
        <c:majorTickMark val="out"/>
        <c:minorTickMark val="none"/>
        <c:tickLblPos val="nextTo"/>
        <c:crossAx val="1970761648"/>
        <c:crosses val="autoZero"/>
        <c:crossBetween val="midCat"/>
      </c:valAx>
    </c:plotArea>
    <c:legend>
      <c:legendPos val="r"/>
      <c:overlay val="0"/>
    </c:legend>
    <c:plotVisOnly val="1"/>
    <c:dispBlanksAs val="gap"/>
    <c:showDLblsOverMax val="0"/>
  </c:chart>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Graph'!$AE$23:$AI$23</c:f>
          <c:strCache>
            <c:ptCount val="5"/>
            <c:pt idx="0">
              <c:v>Distribution Analysis</c:v>
            </c:pt>
            <c:pt idx="3">
              <c:v>Maize ($/mt)</c:v>
            </c:pt>
          </c:strCache>
        </c:strRef>
      </c:tx>
      <c:overlay val="0"/>
      <c:txPr>
        <a:bodyPr/>
        <a:lstStyle/>
        <a:p>
          <a:pPr>
            <a:defRPr/>
          </a:pPr>
          <a:endParaRPr lang="en-US"/>
        </a:p>
      </c:txPr>
    </c:title>
    <c:autoTitleDeleted val="0"/>
    <c:plotArea>
      <c:layout/>
      <c:barChart>
        <c:barDir val="col"/>
        <c:grouping val="clustered"/>
        <c:varyColors val="0"/>
        <c:ser>
          <c:idx val="0"/>
          <c:order val="0"/>
          <c:tx>
            <c:strRef>
              <c:f>Distributions!$O$21</c:f>
              <c:strCache>
                <c:ptCount val="1"/>
                <c:pt idx="0">
                  <c:v>Probability</c:v>
                </c:pt>
              </c:strCache>
            </c:strRef>
          </c:tx>
          <c:invertIfNegative val="0"/>
          <c:cat>
            <c:numRef>
              <c:f>Distributions!$M$22:$M$61</c:f>
              <c:numCache>
                <c:formatCode>0%</c:formatCode>
                <c:ptCount val="40"/>
                <c:pt idx="0">
                  <c:v>-0.15439247270273157</c:v>
                </c:pt>
                <c:pt idx="1">
                  <c:v>-0.1463355914121495</c:v>
                </c:pt>
                <c:pt idx="2">
                  <c:v>-0.13827871012156742</c:v>
                </c:pt>
                <c:pt idx="3">
                  <c:v>-0.13022182883098535</c:v>
                </c:pt>
                <c:pt idx="4">
                  <c:v>-0.12216494754040327</c:v>
                </c:pt>
                <c:pt idx="5">
                  <c:v>-0.1141080662498212</c:v>
                </c:pt>
                <c:pt idx="6">
                  <c:v>-0.10605118495923913</c:v>
                </c:pt>
                <c:pt idx="7">
                  <c:v>-9.7994303668657051E-2</c:v>
                </c:pt>
                <c:pt idx="8">
                  <c:v>-8.9937422378074977E-2</c:v>
                </c:pt>
                <c:pt idx="9">
                  <c:v>-8.1880541087492903E-2</c:v>
                </c:pt>
                <c:pt idx="10">
                  <c:v>-7.3823659796910829E-2</c:v>
                </c:pt>
                <c:pt idx="11">
                  <c:v>-6.5766778506328755E-2</c:v>
                </c:pt>
                <c:pt idx="12">
                  <c:v>-5.7709897215746681E-2</c:v>
                </c:pt>
                <c:pt idx="13">
                  <c:v>-4.9653015925164606E-2</c:v>
                </c:pt>
                <c:pt idx="14">
                  <c:v>-4.1596134634582532E-2</c:v>
                </c:pt>
                <c:pt idx="15">
                  <c:v>-3.3539253344000458E-2</c:v>
                </c:pt>
                <c:pt idx="16">
                  <c:v>-2.5482372053418384E-2</c:v>
                </c:pt>
                <c:pt idx="17">
                  <c:v>-1.742549076283631E-2</c:v>
                </c:pt>
                <c:pt idx="18">
                  <c:v>-9.3686094722542374E-3</c:v>
                </c:pt>
                <c:pt idx="19">
                  <c:v>-1.311728181672165E-3</c:v>
                </c:pt>
                <c:pt idx="20">
                  <c:v>6.7451531089099074E-3</c:v>
                </c:pt>
                <c:pt idx="21">
                  <c:v>1.480203439949198E-2</c:v>
                </c:pt>
                <c:pt idx="22">
                  <c:v>2.2858915690074054E-2</c:v>
                </c:pt>
                <c:pt idx="23">
                  <c:v>3.0915796980656128E-2</c:v>
                </c:pt>
                <c:pt idx="24">
                  <c:v>3.8972678271238202E-2</c:v>
                </c:pt>
                <c:pt idx="25">
                  <c:v>4.7029559561820276E-2</c:v>
                </c:pt>
                <c:pt idx="26">
                  <c:v>5.508644085240235E-2</c:v>
                </c:pt>
                <c:pt idx="27">
                  <c:v>6.3143322142984418E-2</c:v>
                </c:pt>
                <c:pt idx="28">
                  <c:v>7.1200203433566492E-2</c:v>
                </c:pt>
                <c:pt idx="29">
                  <c:v>7.9257084724148566E-2</c:v>
                </c:pt>
                <c:pt idx="30">
                  <c:v>8.731396601473064E-2</c:v>
                </c:pt>
                <c:pt idx="31">
                  <c:v>9.5370847305312714E-2</c:v>
                </c:pt>
                <c:pt idx="32">
                  <c:v>0.10342772859589479</c:v>
                </c:pt>
                <c:pt idx="33">
                  <c:v>0.11148460988647686</c:v>
                </c:pt>
                <c:pt idx="34">
                  <c:v>0.11954149117705894</c:v>
                </c:pt>
                <c:pt idx="35">
                  <c:v>0.127598372467641</c:v>
                </c:pt>
                <c:pt idx="36">
                  <c:v>0.13565525375822307</c:v>
                </c:pt>
                <c:pt idx="37">
                  <c:v>0.14371213504880515</c:v>
                </c:pt>
                <c:pt idx="38">
                  <c:v>0.15176901633938722</c:v>
                </c:pt>
                <c:pt idx="39">
                  <c:v>0.15982589762996929</c:v>
                </c:pt>
              </c:numCache>
            </c:numRef>
          </c:cat>
          <c:val>
            <c:numRef>
              <c:f>Distributions!$O$22:$O$61</c:f>
              <c:numCache>
                <c:formatCode>0.000%</c:formatCode>
                <c:ptCount val="40"/>
                <c:pt idx="0">
                  <c:v>1.2345679012345678E-2</c:v>
                </c:pt>
                <c:pt idx="1">
                  <c:v>0</c:v>
                </c:pt>
                <c:pt idx="2">
                  <c:v>0</c:v>
                </c:pt>
                <c:pt idx="3">
                  <c:v>0</c:v>
                </c:pt>
                <c:pt idx="4">
                  <c:v>0</c:v>
                </c:pt>
                <c:pt idx="5">
                  <c:v>1.2345679012345678E-2</c:v>
                </c:pt>
                <c:pt idx="6">
                  <c:v>1.2345679012345678E-2</c:v>
                </c:pt>
                <c:pt idx="7">
                  <c:v>1.2345679012345678E-2</c:v>
                </c:pt>
                <c:pt idx="8">
                  <c:v>0</c:v>
                </c:pt>
                <c:pt idx="9">
                  <c:v>0</c:v>
                </c:pt>
                <c:pt idx="10">
                  <c:v>0</c:v>
                </c:pt>
                <c:pt idx="11">
                  <c:v>1.2345679012345678E-2</c:v>
                </c:pt>
                <c:pt idx="12">
                  <c:v>1.2345679012345678E-2</c:v>
                </c:pt>
                <c:pt idx="13">
                  <c:v>2.4691358024691357E-2</c:v>
                </c:pt>
                <c:pt idx="14">
                  <c:v>2.4691358024691357E-2</c:v>
                </c:pt>
                <c:pt idx="15">
                  <c:v>8.6419753086419748E-2</c:v>
                </c:pt>
                <c:pt idx="16">
                  <c:v>3.7037037037037035E-2</c:v>
                </c:pt>
                <c:pt idx="17">
                  <c:v>7.407407407407407E-2</c:v>
                </c:pt>
                <c:pt idx="18">
                  <c:v>3.7037037037037035E-2</c:v>
                </c:pt>
                <c:pt idx="19">
                  <c:v>0.1111111111111111</c:v>
                </c:pt>
                <c:pt idx="20">
                  <c:v>3.7037037037037035E-2</c:v>
                </c:pt>
                <c:pt idx="21">
                  <c:v>2.4691358024691357E-2</c:v>
                </c:pt>
                <c:pt idx="22">
                  <c:v>6.1728395061728392E-2</c:v>
                </c:pt>
                <c:pt idx="23">
                  <c:v>8.6419753086419748E-2</c:v>
                </c:pt>
                <c:pt idx="24">
                  <c:v>6.1728395061728392E-2</c:v>
                </c:pt>
                <c:pt idx="25">
                  <c:v>8.6419753086419748E-2</c:v>
                </c:pt>
                <c:pt idx="26">
                  <c:v>3.7037037037037035E-2</c:v>
                </c:pt>
                <c:pt idx="27">
                  <c:v>2.4691358024691357E-2</c:v>
                </c:pt>
                <c:pt idx="28">
                  <c:v>2.4691358024691357E-2</c:v>
                </c:pt>
                <c:pt idx="29">
                  <c:v>1.2345679012345678E-2</c:v>
                </c:pt>
                <c:pt idx="30">
                  <c:v>0</c:v>
                </c:pt>
                <c:pt idx="31">
                  <c:v>1.2345679012345678E-2</c:v>
                </c:pt>
                <c:pt idx="32">
                  <c:v>3.7037037037037035E-2</c:v>
                </c:pt>
                <c:pt idx="33">
                  <c:v>0</c:v>
                </c:pt>
                <c:pt idx="34">
                  <c:v>0</c:v>
                </c:pt>
                <c:pt idx="35">
                  <c:v>0</c:v>
                </c:pt>
                <c:pt idx="36">
                  <c:v>0</c:v>
                </c:pt>
                <c:pt idx="37">
                  <c:v>0</c:v>
                </c:pt>
                <c:pt idx="38">
                  <c:v>1.2345679012345678E-2</c:v>
                </c:pt>
                <c:pt idx="39">
                  <c:v>1.2345679012345678E-2</c:v>
                </c:pt>
              </c:numCache>
            </c:numRef>
          </c:val>
          <c:extLst>
            <c:ext xmlns:c16="http://schemas.microsoft.com/office/drawing/2014/chart" uri="{C3380CC4-5D6E-409C-BE32-E72D297353CC}">
              <c16:uniqueId val="{00000000-1A4D-48F9-9C2D-87BB964DE338}"/>
            </c:ext>
          </c:extLst>
        </c:ser>
        <c:ser>
          <c:idx val="1"/>
          <c:order val="1"/>
          <c:tx>
            <c:strRef>
              <c:f>Distributions!$P$21</c:f>
              <c:strCache>
                <c:ptCount val="1"/>
                <c:pt idx="0">
                  <c:v>normdist</c:v>
                </c:pt>
              </c:strCache>
            </c:strRef>
          </c:tx>
          <c:invertIfNegative val="0"/>
          <c:cat>
            <c:numRef>
              <c:f>Distributions!$M$22:$M$61</c:f>
              <c:numCache>
                <c:formatCode>0%</c:formatCode>
                <c:ptCount val="40"/>
                <c:pt idx="0">
                  <c:v>-0.15439247270273157</c:v>
                </c:pt>
                <c:pt idx="1">
                  <c:v>-0.1463355914121495</c:v>
                </c:pt>
                <c:pt idx="2">
                  <c:v>-0.13827871012156742</c:v>
                </c:pt>
                <c:pt idx="3">
                  <c:v>-0.13022182883098535</c:v>
                </c:pt>
                <c:pt idx="4">
                  <c:v>-0.12216494754040327</c:v>
                </c:pt>
                <c:pt idx="5">
                  <c:v>-0.1141080662498212</c:v>
                </c:pt>
                <c:pt idx="6">
                  <c:v>-0.10605118495923913</c:v>
                </c:pt>
                <c:pt idx="7">
                  <c:v>-9.7994303668657051E-2</c:v>
                </c:pt>
                <c:pt idx="8">
                  <c:v>-8.9937422378074977E-2</c:v>
                </c:pt>
                <c:pt idx="9">
                  <c:v>-8.1880541087492903E-2</c:v>
                </c:pt>
                <c:pt idx="10">
                  <c:v>-7.3823659796910829E-2</c:v>
                </c:pt>
                <c:pt idx="11">
                  <c:v>-6.5766778506328755E-2</c:v>
                </c:pt>
                <c:pt idx="12">
                  <c:v>-5.7709897215746681E-2</c:v>
                </c:pt>
                <c:pt idx="13">
                  <c:v>-4.9653015925164606E-2</c:v>
                </c:pt>
                <c:pt idx="14">
                  <c:v>-4.1596134634582532E-2</c:v>
                </c:pt>
                <c:pt idx="15">
                  <c:v>-3.3539253344000458E-2</c:v>
                </c:pt>
                <c:pt idx="16">
                  <c:v>-2.5482372053418384E-2</c:v>
                </c:pt>
                <c:pt idx="17">
                  <c:v>-1.742549076283631E-2</c:v>
                </c:pt>
                <c:pt idx="18">
                  <c:v>-9.3686094722542374E-3</c:v>
                </c:pt>
                <c:pt idx="19">
                  <c:v>-1.311728181672165E-3</c:v>
                </c:pt>
                <c:pt idx="20">
                  <c:v>6.7451531089099074E-3</c:v>
                </c:pt>
                <c:pt idx="21">
                  <c:v>1.480203439949198E-2</c:v>
                </c:pt>
                <c:pt idx="22">
                  <c:v>2.2858915690074054E-2</c:v>
                </c:pt>
                <c:pt idx="23">
                  <c:v>3.0915796980656128E-2</c:v>
                </c:pt>
                <c:pt idx="24">
                  <c:v>3.8972678271238202E-2</c:v>
                </c:pt>
                <c:pt idx="25">
                  <c:v>4.7029559561820276E-2</c:v>
                </c:pt>
                <c:pt idx="26">
                  <c:v>5.508644085240235E-2</c:v>
                </c:pt>
                <c:pt idx="27">
                  <c:v>6.3143322142984418E-2</c:v>
                </c:pt>
                <c:pt idx="28">
                  <c:v>7.1200203433566492E-2</c:v>
                </c:pt>
                <c:pt idx="29">
                  <c:v>7.9257084724148566E-2</c:v>
                </c:pt>
                <c:pt idx="30">
                  <c:v>8.731396601473064E-2</c:v>
                </c:pt>
                <c:pt idx="31">
                  <c:v>9.5370847305312714E-2</c:v>
                </c:pt>
                <c:pt idx="32">
                  <c:v>0.10342772859589479</c:v>
                </c:pt>
                <c:pt idx="33">
                  <c:v>0.11148460988647686</c:v>
                </c:pt>
                <c:pt idx="34">
                  <c:v>0.11954149117705894</c:v>
                </c:pt>
                <c:pt idx="35">
                  <c:v>0.127598372467641</c:v>
                </c:pt>
                <c:pt idx="36">
                  <c:v>0.13565525375822307</c:v>
                </c:pt>
                <c:pt idx="37">
                  <c:v>0.14371213504880515</c:v>
                </c:pt>
                <c:pt idx="38">
                  <c:v>0.15176901633938722</c:v>
                </c:pt>
                <c:pt idx="39">
                  <c:v>0.15982589762996929</c:v>
                </c:pt>
              </c:numCache>
            </c:numRef>
          </c:cat>
          <c:val>
            <c:numRef>
              <c:f>Distributions!$P$22:$P$61</c:f>
              <c:numCache>
                <c:formatCode>0.000%</c:formatCode>
                <c:ptCount val="40"/>
                <c:pt idx="0">
                  <c:v>6.6477726179070106E-4</c:v>
                </c:pt>
                <c:pt idx="1">
                  <c:v>1.0309150035920957E-3</c:v>
                </c:pt>
                <c:pt idx="2">
                  <c:v>1.5631402221633886E-3</c:v>
                </c:pt>
                <c:pt idx="3">
                  <c:v>2.317402070159276E-3</c:v>
                </c:pt>
                <c:pt idx="4">
                  <c:v>3.3591795442264351E-3</c:v>
                </c:pt>
                <c:pt idx="5">
                  <c:v>4.7609477753501172E-3</c:v>
                </c:pt>
                <c:pt idx="6">
                  <c:v>6.5975393970640842E-3</c:v>
                </c:pt>
                <c:pt idx="7">
                  <c:v>8.9392059103224168E-3</c:v>
                </c:pt>
                <c:pt idx="8">
                  <c:v>1.1842523745134132E-2</c:v>
                </c:pt>
                <c:pt idx="9">
                  <c:v>1.5339738684596711E-2</c:v>
                </c:pt>
                <c:pt idx="10">
                  <c:v>1.9427639349883771E-2</c:v>
                </c:pt>
                <c:pt idx="11">
                  <c:v>2.4057499101287957E-2</c:v>
                </c:pt>
                <c:pt idx="12">
                  <c:v>2.912790824748196E-2</c:v>
                </c:pt>
                <c:pt idx="13">
                  <c:v>3.448232110263498E-2</c:v>
                </c:pt>
                <c:pt idx="14">
                  <c:v>3.9912787484813243E-2</c:v>
                </c:pt>
                <c:pt idx="15">
                  <c:v>4.5170614823220684E-2</c:v>
                </c:pt>
                <c:pt idx="16">
                  <c:v>4.9983690433769969E-2</c:v>
                </c:pt>
                <c:pt idx="17">
                  <c:v>5.4079044369247216E-2</c:v>
                </c:pt>
                <c:pt idx="18">
                  <c:v>5.7208172319078626E-2</c:v>
                </c:pt>
                <c:pt idx="19">
                  <c:v>5.9171899636183335E-2</c:v>
                </c:pt>
                <c:pt idx="20">
                  <c:v>5.9841342060214908E-2</c:v>
                </c:pt>
                <c:pt idx="21">
                  <c:v>5.9171899636183335E-2</c:v>
                </c:pt>
                <c:pt idx="22">
                  <c:v>5.7208172319078605E-2</c:v>
                </c:pt>
                <c:pt idx="23">
                  <c:v>5.4079044369247167E-2</c:v>
                </c:pt>
                <c:pt idx="24">
                  <c:v>4.9983690433769927E-2</c:v>
                </c:pt>
                <c:pt idx="25">
                  <c:v>4.5170614823220642E-2</c:v>
                </c:pt>
                <c:pt idx="26">
                  <c:v>3.9912787484813202E-2</c:v>
                </c:pt>
                <c:pt idx="27">
                  <c:v>3.4482321102634932E-2</c:v>
                </c:pt>
                <c:pt idx="28">
                  <c:v>2.9127908247481914E-2</c:v>
                </c:pt>
                <c:pt idx="29">
                  <c:v>2.4057499101287915E-2</c:v>
                </c:pt>
                <c:pt idx="30">
                  <c:v>1.9427639349883733E-2</c:v>
                </c:pt>
                <c:pt idx="31">
                  <c:v>1.5339738684596682E-2</c:v>
                </c:pt>
                <c:pt idx="32">
                  <c:v>1.1842523745134103E-2</c:v>
                </c:pt>
                <c:pt idx="33">
                  <c:v>8.939205910322396E-3</c:v>
                </c:pt>
                <c:pt idx="34">
                  <c:v>6.5975393970640677E-3</c:v>
                </c:pt>
                <c:pt idx="35">
                  <c:v>4.7609477753501033E-3</c:v>
                </c:pt>
                <c:pt idx="36">
                  <c:v>3.359179544226432E-3</c:v>
                </c:pt>
                <c:pt idx="37">
                  <c:v>2.3174020701592713E-3</c:v>
                </c:pt>
                <c:pt idx="38">
                  <c:v>1.5631402221633866E-3</c:v>
                </c:pt>
                <c:pt idx="39">
                  <c:v>1.0309150035920948E-3</c:v>
                </c:pt>
              </c:numCache>
            </c:numRef>
          </c:val>
          <c:extLst>
            <c:ext xmlns:c16="http://schemas.microsoft.com/office/drawing/2014/chart" uri="{C3380CC4-5D6E-409C-BE32-E72D297353CC}">
              <c16:uniqueId val="{00000001-1A4D-48F9-9C2D-87BB964DE338}"/>
            </c:ext>
          </c:extLst>
        </c:ser>
        <c:dLbls>
          <c:showLegendKey val="0"/>
          <c:showVal val="0"/>
          <c:showCatName val="0"/>
          <c:showSerName val="0"/>
          <c:showPercent val="0"/>
          <c:showBubbleSize val="0"/>
        </c:dLbls>
        <c:gapWidth val="150"/>
        <c:axId val="1970752944"/>
        <c:axId val="1970753488"/>
      </c:barChart>
      <c:catAx>
        <c:axId val="1970752944"/>
        <c:scaling>
          <c:orientation val="minMax"/>
        </c:scaling>
        <c:delete val="0"/>
        <c:axPos val="b"/>
        <c:numFmt formatCode="0%" sourceLinked="1"/>
        <c:majorTickMark val="out"/>
        <c:minorTickMark val="none"/>
        <c:tickLblPos val="nextTo"/>
        <c:crossAx val="1970753488"/>
        <c:crosses val="autoZero"/>
        <c:auto val="1"/>
        <c:lblAlgn val="ctr"/>
        <c:lblOffset val="100"/>
        <c:noMultiLvlLbl val="0"/>
      </c:catAx>
      <c:valAx>
        <c:axId val="1970753488"/>
        <c:scaling>
          <c:orientation val="minMax"/>
        </c:scaling>
        <c:delete val="0"/>
        <c:axPos val="l"/>
        <c:majorGridlines/>
        <c:numFmt formatCode="0.00%" sourceLinked="0"/>
        <c:majorTickMark val="out"/>
        <c:minorTickMark val="none"/>
        <c:tickLblPos val="nextTo"/>
        <c:crossAx val="1970752944"/>
        <c:crosses val="autoZero"/>
        <c:crossBetween val="between"/>
      </c:valAx>
    </c:plotArea>
    <c:legend>
      <c:legendPos val="r"/>
      <c:overlay val="0"/>
    </c:legend>
    <c:plotVisOnly val="1"/>
    <c:dispBlanksAs val="gap"/>
    <c:showDLblsOverMax val="0"/>
  </c:chart>
  <c:txPr>
    <a:bodyPr/>
    <a:lstStyle/>
    <a:p>
      <a:pPr>
        <a:defRPr b="1"/>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'History and Forecast'!$D$61:$D$71</c:f>
          <c:strCache>
            <c:ptCount val="11"/>
            <c:pt idx="0">
              <c:v>List Output</c:v>
            </c:pt>
            <c:pt idx="1">
              <c:v>Crude oil, avg</c:v>
            </c:pt>
            <c:pt idx="2">
              <c:v>Palm oil</c:v>
            </c:pt>
            <c:pt idx="3">
              <c:v>#N/A</c:v>
            </c:pt>
            <c:pt idx="4">
              <c:v>#N/A</c:v>
            </c:pt>
            <c:pt idx="5">
              <c:v>#N/A</c:v>
            </c:pt>
            <c:pt idx="6">
              <c:v>#N/A</c:v>
            </c:pt>
            <c:pt idx="7">
              <c:v>#N/A</c:v>
            </c:pt>
            <c:pt idx="8">
              <c:v>#N/A</c:v>
            </c:pt>
            <c:pt idx="9">
              <c:v>#N/A</c:v>
            </c:pt>
            <c:pt idx="10">
              <c:v>#N/A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0"/>
          <c:tx>
            <c:strRef>
              <c:f>'History and Forecast'!$I$108:$J$108</c:f>
              <c:strCache>
                <c:ptCount val="2"/>
                <c:pt idx="0">
                  <c:v>History</c:v>
                </c:pt>
              </c:strCache>
            </c:strRef>
          </c:tx>
          <c:spPr>
            <a:solidFill>
              <a:schemeClr val="accent3">
                <a:lumMod val="40000"/>
                <a:lumOff val="60000"/>
              </a:schemeClr>
            </a:solidFill>
            <a:ln>
              <a:solidFill>
                <a:schemeClr val="accent3">
                  <a:lumMod val="20000"/>
                  <a:lumOff val="80000"/>
                </a:schemeClr>
              </a:solidFill>
            </a:ln>
            <a:effectLst/>
          </c:spPr>
          <c:invertIfNegative val="0"/>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Forecast'!$K$108:$CI$108</c:f>
              <c:numCache>
                <c:formatCode>General</c:formatCode>
                <c:ptCount val="77"/>
                <c:pt idx="0">
                  <c:v>783</c:v>
                </c:pt>
                <c:pt idx="1">
                  <c:v>783</c:v>
                </c:pt>
                <c:pt idx="2">
                  <c:v>783</c:v>
                </c:pt>
                <c:pt idx="3">
                  <c:v>783</c:v>
                </c:pt>
                <c:pt idx="4">
                  <c:v>783</c:v>
                </c:pt>
                <c:pt idx="5">
                  <c:v>783</c:v>
                </c:pt>
                <c:pt idx="6">
                  <c:v>783</c:v>
                </c:pt>
                <c:pt idx="7">
                  <c:v>783</c:v>
                </c:pt>
                <c:pt idx="8">
                  <c:v>783</c:v>
                </c:pt>
                <c:pt idx="9">
                  <c:v>783</c:v>
                </c:pt>
                <c:pt idx="10">
                  <c:v>783</c:v>
                </c:pt>
                <c:pt idx="11">
                  <c:v>783</c:v>
                </c:pt>
                <c:pt idx="12">
                  <c:v>783</c:v>
                </c:pt>
                <c:pt idx="13">
                  <c:v>783</c:v>
                </c:pt>
                <c:pt idx="14">
                  <c:v>783</c:v>
                </c:pt>
                <c:pt idx="15">
                  <c:v>783</c:v>
                </c:pt>
                <c:pt idx="16">
                  <c:v>783</c:v>
                </c:pt>
                <c:pt idx="17">
                  <c:v>783</c:v>
                </c:pt>
                <c:pt idx="18">
                  <c:v>783</c:v>
                </c:pt>
                <c:pt idx="19">
                  <c:v>783</c:v>
                </c:pt>
                <c:pt idx="20">
                  <c:v>783</c:v>
                </c:pt>
                <c:pt idx="21">
                  <c:v>783</c:v>
                </c:pt>
                <c:pt idx="22">
                  <c:v>783</c:v>
                </c:pt>
                <c:pt idx="23">
                  <c:v>783</c:v>
                </c:pt>
                <c:pt idx="24">
                  <c:v>783</c:v>
                </c:pt>
                <c:pt idx="25">
                  <c:v>783</c:v>
                </c:pt>
                <c:pt idx="26">
                  <c:v>783</c:v>
                </c:pt>
                <c:pt idx="27">
                  <c:v>783</c:v>
                </c:pt>
                <c:pt idx="28">
                  <c:v>783</c:v>
                </c:pt>
                <c:pt idx="29">
                  <c:v>783</c:v>
                </c:pt>
                <c:pt idx="30">
                  <c:v>783</c:v>
                </c:pt>
                <c:pt idx="31">
                  <c:v>783</c:v>
                </c:pt>
                <c:pt idx="32">
                  <c:v>783</c:v>
                </c:pt>
                <c:pt idx="33">
                  <c:v>783</c:v>
                </c:pt>
                <c:pt idx="34">
                  <c:v>783</c:v>
                </c:pt>
                <c:pt idx="35">
                  <c:v>783</c:v>
                </c:pt>
                <c:pt idx="36">
                  <c:v>783</c:v>
                </c:pt>
                <c:pt idx="37">
                  <c:v>783</c:v>
                </c:pt>
                <c:pt idx="38">
                  <c:v>783</c:v>
                </c:pt>
                <c:pt idx="39">
                  <c:v>783</c:v>
                </c:pt>
                <c:pt idx="40">
                  <c:v>783</c:v>
                </c:pt>
                <c:pt idx="41">
                  <c:v>783</c:v>
                </c:pt>
                <c:pt idx="42">
                  <c:v>783</c:v>
                </c:pt>
                <c:pt idx="43">
                  <c:v>783</c:v>
                </c:pt>
                <c:pt idx="44">
                  <c:v>783</c:v>
                </c:pt>
                <c:pt idx="45">
                  <c:v>783</c:v>
                </c:pt>
                <c:pt idx="46">
                  <c:v>783</c:v>
                </c:pt>
                <c:pt idx="47">
                  <c:v>783</c:v>
                </c:pt>
                <c:pt idx="48">
                  <c:v>783</c:v>
                </c:pt>
                <c:pt idx="49">
                  <c:v>783</c:v>
                </c:pt>
                <c:pt idx="50">
                  <c:v>783</c:v>
                </c:pt>
                <c:pt idx="51">
                  <c:v>783</c:v>
                </c:pt>
                <c:pt idx="52">
                  <c:v>783</c:v>
                </c:pt>
                <c:pt idx="53">
                  <c:v>783</c:v>
                </c:pt>
                <c:pt idx="54">
                  <c:v>783</c:v>
                </c:pt>
                <c:pt idx="55">
                  <c:v>783</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c:ext xmlns:c16="http://schemas.microsoft.com/office/drawing/2014/chart" uri="{C3380CC4-5D6E-409C-BE32-E72D297353CC}">
              <c16:uniqueId val="{00000000-F25F-4CC5-BFEF-3D34503536D2}"/>
            </c:ext>
          </c:extLst>
        </c:ser>
        <c:ser>
          <c:idx val="11"/>
          <c:order val="11"/>
          <c:tx>
            <c:strRef>
              <c:f>'History and Forecast'!$I$109:$J$109</c:f>
              <c:strCache>
                <c:ptCount val="2"/>
                <c:pt idx="0">
                  <c:v>Forecast</c:v>
                </c:pt>
              </c:strCache>
            </c:strRef>
          </c:tx>
          <c:spPr>
            <a:solidFill>
              <a:schemeClr val="accent1">
                <a:lumMod val="40000"/>
                <a:lumOff val="60000"/>
              </a:schemeClr>
            </a:solidFill>
            <a:ln>
              <a:noFill/>
            </a:ln>
            <a:effectLst/>
          </c:spPr>
          <c:invertIfNegative val="0"/>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Forecast'!$K$109:$CI$109</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783</c:v>
                </c:pt>
                <c:pt idx="57">
                  <c:v>783</c:v>
                </c:pt>
                <c:pt idx="58">
                  <c:v>783</c:v>
                </c:pt>
                <c:pt idx="59">
                  <c:v>783</c:v>
                </c:pt>
                <c:pt idx="60">
                  <c:v>783</c:v>
                </c:pt>
                <c:pt idx="61">
                  <c:v>783</c:v>
                </c:pt>
                <c:pt idx="62">
                  <c:v>783</c:v>
                </c:pt>
                <c:pt idx="63">
                  <c:v>783</c:v>
                </c:pt>
                <c:pt idx="64">
                  <c:v>783</c:v>
                </c:pt>
                <c:pt idx="65">
                  <c:v>783</c:v>
                </c:pt>
                <c:pt idx="66">
                  <c:v>783</c:v>
                </c:pt>
                <c:pt idx="67">
                  <c:v>783</c:v>
                </c:pt>
                <c:pt idx="68">
                  <c:v>783</c:v>
                </c:pt>
                <c:pt idx="69">
                  <c:v>783</c:v>
                </c:pt>
                <c:pt idx="70">
                  <c:v>783</c:v>
                </c:pt>
                <c:pt idx="71">
                  <c:v>783</c:v>
                </c:pt>
                <c:pt idx="72">
                  <c:v>783</c:v>
                </c:pt>
                <c:pt idx="73">
                  <c:v>783</c:v>
                </c:pt>
                <c:pt idx="74">
                  <c:v>783</c:v>
                </c:pt>
                <c:pt idx="75">
                  <c:v>783</c:v>
                </c:pt>
                <c:pt idx="76">
                  <c:v>783</c:v>
                </c:pt>
              </c:numCache>
            </c:numRef>
          </c:val>
          <c:extLst>
            <c:ext xmlns:c16="http://schemas.microsoft.com/office/drawing/2014/chart" uri="{C3380CC4-5D6E-409C-BE32-E72D297353CC}">
              <c16:uniqueId val="{00000001-F25F-4CC5-BFEF-3D34503536D2}"/>
            </c:ext>
          </c:extLst>
        </c:ser>
        <c:dLbls>
          <c:showLegendKey val="0"/>
          <c:showVal val="0"/>
          <c:showCatName val="0"/>
          <c:showSerName val="0"/>
          <c:showPercent val="0"/>
          <c:showBubbleSize val="0"/>
        </c:dLbls>
        <c:gapWidth val="0"/>
        <c:overlap val="100"/>
        <c:axId val="1970751856"/>
        <c:axId val="1970762736"/>
      </c:barChart>
      <c:lineChart>
        <c:grouping val="standard"/>
        <c:varyColors val="0"/>
        <c:ser>
          <c:idx val="0"/>
          <c:order val="0"/>
          <c:tx>
            <c:strRef>
              <c:f>'History and Forecast'!$I$98:$J$98</c:f>
              <c:strCache>
                <c:ptCount val="2"/>
                <c:pt idx="0">
                  <c:v>Crude oil, avg</c:v>
                </c:pt>
                <c:pt idx="1">
                  <c:v>$/bbl</c:v>
                </c:pt>
              </c:strCache>
            </c:strRef>
          </c:tx>
          <c:spPr>
            <a:ln w="28575" cap="rnd">
              <a:solidFill>
                <a:schemeClr val="accent1"/>
              </a:solidFill>
              <a:round/>
            </a:ln>
            <a:effectLst/>
          </c:spPr>
          <c:marker>
            <c:symbol val="none"/>
          </c:marker>
          <c:dLbls>
            <c:dLbl>
              <c:idx val="64"/>
              <c:tx>
                <c:strRef>
                  <c:f>'History and Forecast'!$D$62</c:f>
                  <c:strCache>
                    <c:ptCount val="1"/>
                    <c:pt idx="0">
                      <c:v>Crude oil, avg</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{1B967889-6A4C-41BF-9E3C-2FAF66381AC5}</c15:txfldGUID>
                      <c15:f>'History and Forecast'!$D$62</c15:f>
                      <c15:dlblFieldTableCache>
                        <c:ptCount val="1"/>
                        <c:pt idx="0">
                          <c:v>Crude oil, avg</c:v>
                        </c:pt>
                      </c15:dlblFieldTableCache>
                    </c15:dlblFTEntry>
                  </c15:dlblFieldTable>
                  <c15:showDataLabelsRange val="0"/>
                </c:ext>
                <c:ext xmlns:c16="http://schemas.microsoft.com/office/drawing/2014/chart" uri="{C3380CC4-5D6E-409C-BE32-E72D297353CC}">
                  <c16:uniqueId val="{00000002-F25F-4CC5-BFEF-3D34503536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Forecast'!$K$98:$CI$98</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45.5289728675681</c:v>
                </c:pt>
                <c:pt idx="57">
                  <c:v>54.278585167156798</c:v>
                </c:pt>
                <c:pt idx="58">
                  <c:v>67.100566918588896</c:v>
                </c:pt>
                <c:pt idx="59">
                  <c:v>63.535438870449099</c:v>
                </c:pt>
                <c:pt idx="60">
                  <c:v>61.526371135298</c:v>
                </c:pt>
                <c:pt idx="61">
                  <c:v>60.962426218009902</c:v>
                </c:pt>
                <c:pt idx="62">
                  <c:v>60.355229218052102</c:v>
                </c:pt>
                <c:pt idx="63">
                  <c:v>59.759353581257201</c:v>
                </c:pt>
                <c:pt idx="64">
                  <c:v>59.169341288935499</c:v>
                </c:pt>
                <c:pt idx="65">
                  <c:v>58.581775439389901</c:v>
                </c:pt>
                <c:pt idx="66">
                  <c:v>#N/A</c:v>
                </c:pt>
                <c:pt idx="67">
                  <c:v>#N/A</c:v>
                </c:pt>
                <c:pt idx="68">
                  <c:v>#N/A</c:v>
                </c:pt>
                <c:pt idx="69">
                  <c:v>#N/A</c:v>
                </c:pt>
                <c:pt idx="70">
                  <c:v>55.645183483951598</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3-F25F-4CC5-BFEF-3D34503536D2}"/>
            </c:ext>
          </c:extLst>
        </c:ser>
        <c:ser>
          <c:idx val="1"/>
          <c:order val="1"/>
          <c:tx>
            <c:strRef>
              <c:f>'History and Forecast'!$I$99:$J$99</c:f>
              <c:strCache>
                <c:ptCount val="2"/>
                <c:pt idx="0">
                  <c:v>Palm oil</c:v>
                </c:pt>
                <c:pt idx="1">
                  <c:v>$/mt</c:v>
                </c:pt>
              </c:strCache>
            </c:strRef>
          </c:tx>
          <c:spPr>
            <a:ln w="28575" cap="rnd">
              <a:solidFill>
                <a:schemeClr val="accent2"/>
              </a:solidFill>
              <a:round/>
            </a:ln>
            <a:effectLst/>
          </c:spPr>
          <c:marker>
            <c:symbol val="none"/>
          </c:marker>
          <c:dLbls>
            <c:dLbl>
              <c:idx val="64"/>
              <c:tx>
                <c:strRef>
                  <c:f>'History and Forecast'!$D$63</c:f>
                  <c:strCache>
                    <c:ptCount val="1"/>
                    <c:pt idx="0">
                      <c:v>Palm oil</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{589BDD9F-22E7-4C8E-8DE6-265FFE7EA0D1}</c15:txfldGUID>
                      <c15:f>'History and Forecast'!$D$63</c15:f>
                      <c15:dlblFieldTableCache>
                        <c:ptCount val="1"/>
                        <c:pt idx="0">
                          <c:v>Palm oil</c:v>
                        </c:pt>
                      </c15:dlblFieldTableCache>
                    </c15:dlblFTEntry>
                  </c15:dlblFieldTable>
                  <c15:showDataLabelsRange val="0"/>
                </c:ext>
                <c:ext xmlns:c16="http://schemas.microsoft.com/office/drawing/2014/chart" uri="{C3380CC4-5D6E-409C-BE32-E72D297353CC}">
                  <c16:uniqueId val="{00000004-F25F-4CC5-BFEF-3D34503536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Forecast'!$K$99:$CI$99</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782.39420181858497</c:v>
                </c:pt>
                <c:pt idx="57">
                  <c:v>771.85388447805599</c:v>
                </c:pt>
                <c:pt idx="58">
                  <c:v>627.00500237272104</c:v>
                </c:pt>
                <c:pt idx="59">
                  <c:v>577.59489882226399</c:v>
                </c:pt>
                <c:pt idx="60">
                  <c:v>589.26071839597205</c:v>
                </c:pt>
                <c:pt idx="61">
                  <c:v>601.30977093809599</c:v>
                </c:pt>
                <c:pt idx="62">
                  <c:v>613.11331742325694</c:v>
                </c:pt>
                <c:pt idx="63">
                  <c:v>625.20373650248598</c:v>
                </c:pt>
                <c:pt idx="64">
                  <c:v>637.532363765794</c:v>
                </c:pt>
                <c:pt idx="65">
                  <c:v>650.06660987449698</c:v>
                </c:pt>
                <c:pt idx="66">
                  <c:v>#N/A</c:v>
                </c:pt>
                <c:pt idx="67">
                  <c:v>#N/A</c:v>
                </c:pt>
                <c:pt idx="68">
                  <c:v>#N/A</c:v>
                </c:pt>
                <c:pt idx="69">
                  <c:v>#N/A</c:v>
                </c:pt>
                <c:pt idx="70">
                  <c:v>715.43807336509201</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5-F25F-4CC5-BFEF-3D34503536D2}"/>
            </c:ext>
          </c:extLst>
        </c:ser>
        <c:ser>
          <c:idx val="2"/>
          <c:order val="2"/>
          <c:tx>
            <c:strRef>
              <c:f>'History and Forecast'!$I$100:$J$100</c:f>
              <c:strCache>
                <c:ptCount val="2"/>
                <c:pt idx="0">
                  <c:v>#N/A</c:v>
                </c:pt>
                <c:pt idx="1">
                  <c:v>#N/A</c:v>
                </c:pt>
              </c:strCache>
            </c:strRef>
          </c:tx>
          <c:spPr>
            <a:ln w="28575" cap="rnd">
              <a:solidFill>
                <a:schemeClr val="accent3"/>
              </a:solidFill>
              <a:round/>
            </a:ln>
            <a:effectLst/>
          </c:spPr>
          <c:marker>
            <c:symbol val="none"/>
          </c:marker>
          <c:dLbls>
            <c:dLbl>
              <c:idx val="64"/>
              <c:tx>
                <c:strRef>
                  <c:f>'History and Forecast'!$D$64</c:f>
                  <c:strCache>
                    <c:ptCount val="1"/>
                    <c:pt idx="0">
                      <c:v>#N/A</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dlblFTEntry>
                      <c15:txfldGUID>{A36CFB8B-3C78-4BF7-B06F-BC216521CE6C}</c15:txfldGUID>
                      <c15:f>'History and Forecast'!$D$64</c15:f>
                      <c15:dlblFieldTableCache>
                        <c:ptCount val="1"/>
                        <c:pt idx="0">
                          <c:v>#N/A</c:v>
                        </c:pt>
                      </c15:dlblFieldTableCache>
                    </c15:dlblFTEntry>
                  </c15:dlblFieldTable>
                  <c15:showDataLabelsRange val="0"/>
                </c:ext>
                <c:ext xmlns:c16="http://schemas.microsoft.com/office/drawing/2014/chart" uri="{C3380CC4-5D6E-409C-BE32-E72D297353CC}">
                  <c16:uniqueId val="{00000006-F25F-4CC5-BFEF-3D34503536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Forecast'!$K$100:$CI$100</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7-F25F-4CC5-BFEF-3D34503536D2}"/>
            </c:ext>
          </c:extLst>
        </c:ser>
        <c:ser>
          <c:idx val="3"/>
          <c:order val="3"/>
          <c:tx>
            <c:strRef>
              <c:f>'History and Forecast'!$I$101:$J$101</c:f>
              <c:strCache>
                <c:ptCount val="2"/>
                <c:pt idx="0">
                  <c:v>#N/A</c:v>
                </c:pt>
                <c:pt idx="1">
                  <c:v>#N/A</c:v>
                </c:pt>
              </c:strCache>
            </c:strRef>
          </c:tx>
          <c:spPr>
            <a:ln w="28575" cap="rnd">
              <a:solidFill>
                <a:schemeClr val="accent4"/>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Forecast'!$K$101:$CI$101</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8-F25F-4CC5-BFEF-3D34503536D2}"/>
            </c:ext>
          </c:extLst>
        </c:ser>
        <c:ser>
          <c:idx val="4"/>
          <c:order val="4"/>
          <c:tx>
            <c:strRef>
              <c:f>'History and Forecast'!$I$102:$J$102</c:f>
              <c:strCache>
                <c:ptCount val="2"/>
                <c:pt idx="0">
                  <c:v>#N/A</c:v>
                </c:pt>
                <c:pt idx="1">
                  <c:v>#N/A</c:v>
                </c:pt>
              </c:strCache>
            </c:strRef>
          </c:tx>
          <c:spPr>
            <a:ln w="28575" cap="rnd">
              <a:solidFill>
                <a:schemeClr val="accent5"/>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Forecast'!$K$102:$CI$102</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9-F25F-4CC5-BFEF-3D34503536D2}"/>
            </c:ext>
          </c:extLst>
        </c:ser>
        <c:ser>
          <c:idx val="5"/>
          <c:order val="5"/>
          <c:tx>
            <c:strRef>
              <c:f>'History and Forecast'!$I$103:$J$103</c:f>
              <c:strCache>
                <c:ptCount val="2"/>
                <c:pt idx="0">
                  <c:v>#N/A</c:v>
                </c:pt>
                <c:pt idx="1">
                  <c:v>#N/A</c:v>
                </c:pt>
              </c:strCache>
            </c:strRef>
          </c:tx>
          <c:spPr>
            <a:ln w="28575" cap="rnd">
              <a:solidFill>
                <a:schemeClr val="accent6"/>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Forecast'!$K$103:$CI$103</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A-F25F-4CC5-BFEF-3D34503536D2}"/>
            </c:ext>
          </c:extLst>
        </c:ser>
        <c:ser>
          <c:idx val="6"/>
          <c:order val="6"/>
          <c:tx>
            <c:strRef>
              <c:f>'History and Forecast'!$I$104:$J$104</c:f>
              <c:strCache>
                <c:ptCount val="2"/>
                <c:pt idx="0">
                  <c:v>#N/A</c:v>
                </c:pt>
                <c:pt idx="1">
                  <c:v>#N/A</c:v>
                </c:pt>
              </c:strCache>
            </c:strRef>
          </c:tx>
          <c:spPr>
            <a:ln w="28575" cap="rnd">
              <a:solidFill>
                <a:schemeClr val="accent1">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Forecast'!$K$104:$CI$104</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B-F25F-4CC5-BFEF-3D34503536D2}"/>
            </c:ext>
          </c:extLst>
        </c:ser>
        <c:ser>
          <c:idx val="7"/>
          <c:order val="7"/>
          <c:tx>
            <c:strRef>
              <c:f>'History and Forecast'!$I$105:$J$105</c:f>
              <c:strCache>
                <c:ptCount val="2"/>
                <c:pt idx="0">
                  <c:v>#N/A</c:v>
                </c:pt>
                <c:pt idx="1">
                  <c:v>#N/A</c:v>
                </c:pt>
              </c:strCache>
            </c:strRef>
          </c:tx>
          <c:spPr>
            <a:ln w="28575" cap="rnd">
              <a:solidFill>
                <a:schemeClr val="accent2">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Forecast'!$K$105:$CI$105</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C-F25F-4CC5-BFEF-3D34503536D2}"/>
            </c:ext>
          </c:extLst>
        </c:ser>
        <c:ser>
          <c:idx val="8"/>
          <c:order val="8"/>
          <c:tx>
            <c:strRef>
              <c:f>'History and Forecast'!$I$106:$J$106</c:f>
              <c:strCache>
                <c:ptCount val="2"/>
                <c:pt idx="0">
                  <c:v>#N/A</c:v>
                </c:pt>
                <c:pt idx="1">
                  <c:v>#N/A</c:v>
                </c:pt>
              </c:strCache>
            </c:strRef>
          </c:tx>
          <c:spPr>
            <a:ln w="28575" cap="rnd">
              <a:solidFill>
                <a:schemeClr val="accent3">
                  <a:lumMod val="60000"/>
                </a:schemeClr>
              </a:solidFill>
              <a:round/>
            </a:ln>
            <a:effectLst/>
          </c:spPr>
          <c:marker>
            <c:symbol val="none"/>
          </c:marker>
          <c:dLbls>
            <c:dLbl>
              <c:idx val="8"/>
              <c:tx>
                <c:strRef>
                  <c:f>'History and Forecast'!$D$70</c:f>
                  <c:strCache>
                    <c:ptCount val="1"/>
                    <c:pt idx="0">
                      <c:v>#N/A</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{9C8CF42D-C7F8-4F77-B1E8-AD98455BCD1E}</c15:txfldGUID>
                      <c15:f>'History and Forecast'!$D$70</c15:f>
                      <c15:dlblFieldTableCache>
                        <c:ptCount val="1"/>
                        <c:pt idx="0">
                          <c:v>#N/A</c:v>
                        </c:pt>
                      </c15:dlblFieldTableCache>
                    </c15:dlblFTEntry>
                  </c15:dlblFieldTable>
                  <c15:showDataLabelsRange val="0"/>
                </c:ext>
                <c:ext xmlns:c16="http://schemas.microsoft.com/office/drawing/2014/chart" uri="{C3380CC4-5D6E-409C-BE32-E72D297353CC}">
                  <c16:uniqueId val="{0000000D-F25F-4CC5-BFEF-3D34503536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Forecast'!$K$106:$CI$106</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E-F25F-4CC5-BFEF-3D34503536D2}"/>
            </c:ext>
          </c:extLst>
        </c:ser>
        <c:ser>
          <c:idx val="9"/>
          <c:order val="9"/>
          <c:tx>
            <c:strRef>
              <c:f>'History and Forecast'!$I$107:$J$107</c:f>
              <c:strCache>
                <c:ptCount val="2"/>
                <c:pt idx="0">
                  <c:v>#N/A</c:v>
                </c:pt>
                <c:pt idx="1">
                  <c:v>#N/A</c:v>
                </c:pt>
              </c:strCache>
            </c:strRef>
          </c:tx>
          <c:spPr>
            <a:ln w="28575" cap="rnd">
              <a:solidFill>
                <a:schemeClr val="accent4">
                  <a:lumMod val="60000"/>
                </a:schemeClr>
              </a:solidFill>
              <a:round/>
            </a:ln>
            <a:effectLst/>
          </c:spPr>
          <c:marker>
            <c:symbol val="none"/>
          </c:marker>
          <c:cat>
            <c:numRef>
              <c:f>'History and Forecast'!$K$97:$CI$97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#N/A</c:v>
                </c:pt>
                <c:pt idx="69">
                  <c:v>#N/A</c:v>
                </c:pt>
                <c:pt idx="70">
                  <c:v>#N/A</c:v>
                </c:pt>
                <c:pt idx="71">
                  <c:v>#N/A</c:v>
                </c:pt>
                <c:pt idx="72">
                  <c:v>#N/A</c:v>
                </c:pt>
                <c:pt idx="73">
                  <c:v>#N/A</c:v>
                </c:pt>
                <c:pt idx="74">
                  <c:v>#N/A</c:v>
                </c:pt>
                <c:pt idx="75">
                  <c:v>#N/A</c:v>
                </c:pt>
                <c:pt idx="76">
                  <c:v>#N/A</c:v>
                </c:pt>
              </c:numCache>
            </c:numRef>
          </c:cat>
          <c:val>
            <c:numRef>
              <c:f>'History and Forecast'!$K$107:$CI$107</c:f>
              <c:numCache>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numCache>
            </c:numRef>
          </c:val>
          <c:smooth val="0"/>
          <c:extLst>
            <c:ext xmlns:c16="http://schemas.microsoft.com/office/drawing/2014/chart" uri="{C3380CC4-5D6E-409C-BE32-E72D297353CC}">
              <c16:uniqueId val="{0000000F-F25F-4CC5-BFEF-3D34503536D2}"/>
            </c:ext>
          </c:extLst>
        </c:ser>
        <c:dLbls>
          <c:showLegendKey val="0"/>
          <c:showVal val="0"/>
          <c:showCatName val="0"/>
          <c:showSerName val="0"/>
          <c:showPercent val="0"/>
          <c:showBubbleSize val="0"/>
        </c:dLbls>
        <c:marker val="1"/>
        <c:smooth val="0"/>
        <c:axId val="1970751856"/>
        <c:axId val="1970762736"/>
      </c:lineChart>
      <c:dateAx>
        <c:axId val="197075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62736"/>
        <c:crosses val="autoZero"/>
        <c:auto val="0"/>
        <c:lblOffset val="100"/>
        <c:baseTimeUnit val="days"/>
      </c:dateAx>
      <c:valAx>
        <c:axId val="1970762736"/>
        <c:scaling>
          <c:orientation val="minMax"/>
          <c:max val="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5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Graph'!$AE$27:$AI$27</c:f>
          <c:strCache>
            <c:ptCount val="5"/>
            <c:pt idx="0">
              <c:v>Distribution Analysis</c:v>
            </c:pt>
            <c:pt idx="3">
              <c:v>Barley ($/mt)</c:v>
            </c:pt>
          </c:strCache>
        </c:strRef>
      </c:tx>
      <c:overlay val="0"/>
      <c:txPr>
        <a:bodyPr/>
        <a:lstStyle/>
        <a:p>
          <a:pPr>
            <a:defRPr/>
          </a:pPr>
          <a:endParaRPr lang="en-US"/>
        </a:p>
      </c:txPr>
    </c:title>
    <c:autoTitleDeleted val="0"/>
    <c:plotArea>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Distributions!$Z$22:$Z$61</c:f>
              <c:numCache>
                <c:formatCode>#,##0.0000</c:formatCode>
                <c:ptCount val="40"/>
                <c:pt idx="0">
                  <c:v>1.2500000000000001E-2</c:v>
                </c:pt>
                <c:pt idx="1">
                  <c:v>1.2500000000000001E-2</c:v>
                </c:pt>
                <c:pt idx="2">
                  <c:v>0</c:v>
                </c:pt>
                <c:pt idx="3">
                  <c:v>0</c:v>
                </c:pt>
                <c:pt idx="4">
                  <c:v>0</c:v>
                </c:pt>
                <c:pt idx="5">
                  <c:v>0</c:v>
                </c:pt>
                <c:pt idx="6">
                  <c:v>0</c:v>
                </c:pt>
                <c:pt idx="7">
                  <c:v>2.5000000000000001E-2</c:v>
                </c:pt>
                <c:pt idx="8">
                  <c:v>0</c:v>
                </c:pt>
                <c:pt idx="9">
                  <c:v>0</c:v>
                </c:pt>
                <c:pt idx="10">
                  <c:v>0</c:v>
                </c:pt>
                <c:pt idx="11">
                  <c:v>0</c:v>
                </c:pt>
                <c:pt idx="12">
                  <c:v>0</c:v>
                </c:pt>
                <c:pt idx="13">
                  <c:v>1.2500000000000001E-2</c:v>
                </c:pt>
                <c:pt idx="14">
                  <c:v>3.7499999999999999E-2</c:v>
                </c:pt>
                <c:pt idx="15">
                  <c:v>7.4999999999999997E-2</c:v>
                </c:pt>
                <c:pt idx="16">
                  <c:v>6.25E-2</c:v>
                </c:pt>
                <c:pt idx="17">
                  <c:v>1.2500000000000001E-2</c:v>
                </c:pt>
                <c:pt idx="18">
                  <c:v>0.1</c:v>
                </c:pt>
                <c:pt idx="19">
                  <c:v>0.1125</c:v>
                </c:pt>
                <c:pt idx="20">
                  <c:v>0.1125</c:v>
                </c:pt>
                <c:pt idx="21">
                  <c:v>3.7499999999999999E-2</c:v>
                </c:pt>
                <c:pt idx="22">
                  <c:v>7.4999999999999997E-2</c:v>
                </c:pt>
                <c:pt idx="23">
                  <c:v>3.7499999999999999E-2</c:v>
                </c:pt>
                <c:pt idx="24">
                  <c:v>2.5000000000000001E-2</c:v>
                </c:pt>
                <c:pt idx="25">
                  <c:v>3.7499999999999999E-2</c:v>
                </c:pt>
                <c:pt idx="26">
                  <c:v>3.7499999999999999E-2</c:v>
                </c:pt>
                <c:pt idx="27">
                  <c:v>0.05</c:v>
                </c:pt>
                <c:pt idx="28">
                  <c:v>2.5000000000000001E-2</c:v>
                </c:pt>
                <c:pt idx="29">
                  <c:v>3.7499999999999999E-2</c:v>
                </c:pt>
                <c:pt idx="30">
                  <c:v>2.5000000000000001E-2</c:v>
                </c:pt>
                <c:pt idx="31">
                  <c:v>2.5000000000000001E-2</c:v>
                </c:pt>
                <c:pt idx="32">
                  <c:v>0</c:v>
                </c:pt>
                <c:pt idx="33">
                  <c:v>0</c:v>
                </c:pt>
                <c:pt idx="34">
                  <c:v>0</c:v>
                </c:pt>
                <c:pt idx="35">
                  <c:v>0</c:v>
                </c:pt>
                <c:pt idx="36">
                  <c:v>1.2500000000000001E-2</c:v>
                </c:pt>
                <c:pt idx="37">
                  <c:v>0</c:v>
                </c:pt>
                <c:pt idx="38">
                  <c:v>0</c:v>
                </c:pt>
                <c:pt idx="39">
                  <c:v>0</c:v>
                </c:pt>
              </c:numCache>
            </c:numRef>
          </c:val>
          <c:extLst>
            <c:ext xmlns:c16="http://schemas.microsoft.com/office/drawing/2014/chart" uri="{C3380CC4-5D6E-409C-BE32-E72D297353CC}">
              <c16:uniqueId val="{00000000-5391-423B-9891-7EFD101B9A7F}"/>
            </c:ext>
          </c:extLst>
        </c:ser>
        <c:ser>
          <c:idx val="1"/>
          <c:order val="1"/>
          <c:tx>
            <c:strRef>
              <c:f>Distributions!$AA$21</c:f>
              <c:strCache>
                <c:ptCount val="1"/>
                <c:pt idx="0">
                  <c:v>normdist</c:v>
                </c:pt>
              </c:strCache>
            </c:strRef>
          </c:tx>
          <c:invertIfNegative val="0"/>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Distributions!$AA$22:$AA$61</c:f>
              <c:numCache>
                <c:formatCode>General</c:formatCode>
                <c:ptCount val="40"/>
                <c:pt idx="0">
                  <c:v>6.6477726179070117E-4</c:v>
                </c:pt>
                <c:pt idx="1">
                  <c:v>1.0309150035920957E-3</c:v>
                </c:pt>
                <c:pt idx="2">
                  <c:v>1.5631402221633886E-3</c:v>
                </c:pt>
                <c:pt idx="3">
                  <c:v>2.3174020701592739E-3</c:v>
                </c:pt>
                <c:pt idx="4">
                  <c:v>3.3591795442264351E-3</c:v>
                </c:pt>
                <c:pt idx="5">
                  <c:v>4.7609477753501129E-3</c:v>
                </c:pt>
                <c:pt idx="6">
                  <c:v>6.597539397064079E-3</c:v>
                </c:pt>
                <c:pt idx="7">
                  <c:v>8.9392059103224047E-3</c:v>
                </c:pt>
                <c:pt idx="8">
                  <c:v>1.1842523745134117E-2</c:v>
                </c:pt>
                <c:pt idx="9">
                  <c:v>1.5339738684596696E-2</c:v>
                </c:pt>
                <c:pt idx="10">
                  <c:v>1.9427639349883747E-2</c:v>
                </c:pt>
                <c:pt idx="11">
                  <c:v>2.4057499101287926E-2</c:v>
                </c:pt>
                <c:pt idx="12">
                  <c:v>2.9127908247481928E-2</c:v>
                </c:pt>
                <c:pt idx="13">
                  <c:v>3.4482321102634932E-2</c:v>
                </c:pt>
                <c:pt idx="14">
                  <c:v>3.9912787484813216E-2</c:v>
                </c:pt>
                <c:pt idx="15">
                  <c:v>4.5170614823220656E-2</c:v>
                </c:pt>
                <c:pt idx="16">
                  <c:v>4.9983690433769934E-2</c:v>
                </c:pt>
                <c:pt idx="17">
                  <c:v>5.4079044369247181E-2</c:v>
                </c:pt>
                <c:pt idx="18">
                  <c:v>5.7208172319078605E-2</c:v>
                </c:pt>
                <c:pt idx="19">
                  <c:v>5.9171899636183328E-2</c:v>
                </c:pt>
                <c:pt idx="20">
                  <c:v>5.9841342060214908E-2</c:v>
                </c:pt>
                <c:pt idx="21">
                  <c:v>5.9171899636183342E-2</c:v>
                </c:pt>
                <c:pt idx="22">
                  <c:v>5.7208172319078626E-2</c:v>
                </c:pt>
                <c:pt idx="23">
                  <c:v>5.4079044369247216E-2</c:v>
                </c:pt>
                <c:pt idx="24">
                  <c:v>4.9983690433769969E-2</c:v>
                </c:pt>
                <c:pt idx="25">
                  <c:v>4.5170614823220684E-2</c:v>
                </c:pt>
                <c:pt idx="26">
                  <c:v>3.9912787484813229E-2</c:v>
                </c:pt>
                <c:pt idx="27">
                  <c:v>3.4482321102634966E-2</c:v>
                </c:pt>
                <c:pt idx="28">
                  <c:v>2.9127908247481956E-2</c:v>
                </c:pt>
                <c:pt idx="29">
                  <c:v>2.4057499101287953E-2</c:v>
                </c:pt>
                <c:pt idx="30">
                  <c:v>1.9427639349883775E-2</c:v>
                </c:pt>
                <c:pt idx="31">
                  <c:v>1.5339738684596715E-2</c:v>
                </c:pt>
                <c:pt idx="32">
                  <c:v>1.1842523745134139E-2</c:v>
                </c:pt>
                <c:pt idx="33">
                  <c:v>8.9392059103224238E-3</c:v>
                </c:pt>
                <c:pt idx="34">
                  <c:v>6.5975393970640912E-3</c:v>
                </c:pt>
                <c:pt idx="35">
                  <c:v>4.7609477753501207E-3</c:v>
                </c:pt>
                <c:pt idx="36">
                  <c:v>3.3591795442264429E-3</c:v>
                </c:pt>
                <c:pt idx="37">
                  <c:v>2.3174020701592847E-3</c:v>
                </c:pt>
                <c:pt idx="38">
                  <c:v>1.5631402221633962E-3</c:v>
                </c:pt>
                <c:pt idx="39">
                  <c:v>1.0309150035921013E-3</c:v>
                </c:pt>
              </c:numCache>
            </c:numRef>
          </c:val>
          <c:extLst>
            <c:ext xmlns:c16="http://schemas.microsoft.com/office/drawing/2014/chart" uri="{C3380CC4-5D6E-409C-BE32-E72D297353CC}">
              <c16:uniqueId val="{00000001-5391-423B-9891-7EFD101B9A7F}"/>
            </c:ext>
          </c:extLst>
        </c:ser>
        <c:dLbls>
          <c:showLegendKey val="0"/>
          <c:showVal val="0"/>
          <c:showCatName val="0"/>
          <c:showSerName val="0"/>
          <c:showPercent val="0"/>
          <c:showBubbleSize val="0"/>
        </c:dLbls>
        <c:gapWidth val="150"/>
        <c:axId val="1970749136"/>
        <c:axId val="1970755664"/>
      </c:barChart>
      <c:catAx>
        <c:axId val="1970749136"/>
        <c:scaling>
          <c:orientation val="minMax"/>
        </c:scaling>
        <c:delete val="0"/>
        <c:axPos val="b"/>
        <c:numFmt formatCode="0%" sourceLinked="1"/>
        <c:majorTickMark val="out"/>
        <c:minorTickMark val="none"/>
        <c:tickLblPos val="nextTo"/>
        <c:crossAx val="1970755664"/>
        <c:crosses val="autoZero"/>
        <c:auto val="1"/>
        <c:lblAlgn val="ctr"/>
        <c:lblOffset val="100"/>
        <c:noMultiLvlLbl val="0"/>
      </c:catAx>
      <c:valAx>
        <c:axId val="1970755664"/>
        <c:scaling>
          <c:orientation val="minMax"/>
        </c:scaling>
        <c:delete val="0"/>
        <c:axPos val="l"/>
        <c:majorGridlines/>
        <c:numFmt formatCode="#,##0.0000" sourceLinked="1"/>
        <c:majorTickMark val="out"/>
        <c:minorTickMark val="none"/>
        <c:tickLblPos val="nextTo"/>
        <c:crossAx val="1970749136"/>
        <c:crosses val="autoZero"/>
        <c:crossBetween val="between"/>
      </c:valAx>
    </c:plotArea>
    <c:legend>
      <c:legendPos val="r"/>
      <c:overlay val="0"/>
    </c:legend>
    <c:plotVisOnly val="1"/>
    <c:dispBlanksAs val="gap"/>
    <c:showDLblsOverMax val="0"/>
  </c:char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Graph'!$AE$20:$AP$20</c:f>
          <c:strCache>
            <c:ptCount val="12"/>
            <c:pt idx="0">
              <c:v>12 Month Rolling Volatility</c:v>
            </c:pt>
            <c:pt idx="3">
              <c:v>Maize ($/mt)</c:v>
            </c:pt>
            <c:pt idx="5">
              <c:v> 
</c:v>
            </c:pt>
            <c:pt idx="6">
              <c:v>Volatility over Period</c:v>
            </c:pt>
            <c:pt idx="8">
              <c:v>18.43%</c:v>
            </c:pt>
            <c:pt idx="9">
              <c:v>Annual Volatilty</c:v>
            </c:pt>
            <c:pt idx="11">
              <c:v>14.0%</c:v>
            </c:pt>
          </c:strCache>
        </c:strRef>
      </c:tx>
      <c:overlay val="0"/>
    </c:title>
    <c:autoTitleDeleted val="0"/>
    <c:plotArea>
      <c:layout/>
      <c:lineChart>
        <c:grouping val="standard"/>
        <c:varyColors val="0"/>
        <c:ser>
          <c:idx val="0"/>
          <c:order val="0"/>
          <c:tx>
            <c:strRef>
              <c:f>'Monthly Historic Data'!$J$10</c:f>
              <c:strCache>
                <c:ptCount val="1"/>
                <c:pt idx="0">
                  <c:v>Vol NA</c:v>
                </c:pt>
              </c:strCache>
            </c:strRef>
          </c:tx>
          <c:marker>
            <c:symbol val="none"/>
          </c:marker>
          <c:cat>
            <c:numRef>
              <c:f>'Monthly Historic Data'!$I$11:$I$871</c:f>
              <c:numCache>
                <c:formatCode>d\-mmm\-yy</c:formatCode>
                <c:ptCount val="861"/>
                <c:pt idx="0">
                  <c:v>#N/A</c:v>
                </c:pt>
                <c:pt idx="1">
                  <c:v>#N/A</c:v>
                </c:pt>
                <c:pt idx="2">
                  <c:v>#N/A</c:v>
                </c:pt>
                <c:pt idx="3">
                  <c:v>#N/A</c:v>
                </c:pt>
                <c:pt idx="4">
                  <c:v>#N/A</c:v>
                </c:pt>
                <c:pt idx="5">
                  <c:v>#N/A</c:v>
                </c:pt>
                <c:pt idx="6">
                  <c:v>#N/A</c:v>
                </c:pt>
                <c:pt idx="7">
                  <c:v>#N/A</c:v>
                </c:pt>
                <c:pt idx="8">
                  <c:v>#N/A</c:v>
                </c:pt>
                <c:pt idx="9">
                  <c:v>#N/A</c:v>
                </c:pt>
                <c:pt idx="10">
                  <c:v>#N/A</c:v>
                </c:pt>
                <c:pt idx="11">
                  <c:v>37165</c:v>
                </c:pt>
                <c:pt idx="12">
                  <c:v>37196</c:v>
                </c:pt>
                <c:pt idx="13">
                  <c:v>37226</c:v>
                </c:pt>
                <c:pt idx="14">
                  <c:v>37257</c:v>
                </c:pt>
                <c:pt idx="15">
                  <c:v>37288</c:v>
                </c:pt>
                <c:pt idx="16">
                  <c:v>37316</c:v>
                </c:pt>
                <c:pt idx="17">
                  <c:v>37347</c:v>
                </c:pt>
                <c:pt idx="18">
                  <c:v>37377</c:v>
                </c:pt>
                <c:pt idx="19">
                  <c:v>37408</c:v>
                </c:pt>
                <c:pt idx="20">
                  <c:v>37438</c:v>
                </c:pt>
                <c:pt idx="21">
                  <c:v>37469</c:v>
                </c:pt>
                <c:pt idx="22">
                  <c:v>37500</c:v>
                </c:pt>
                <c:pt idx="23">
                  <c:v>37530</c:v>
                </c:pt>
                <c:pt idx="24">
                  <c:v>37561</c:v>
                </c:pt>
                <c:pt idx="25">
                  <c:v>37591</c:v>
                </c:pt>
                <c:pt idx="26">
                  <c:v>37622</c:v>
                </c:pt>
                <c:pt idx="27">
                  <c:v>37653</c:v>
                </c:pt>
                <c:pt idx="28">
                  <c:v>37681</c:v>
                </c:pt>
                <c:pt idx="29">
                  <c:v>37712</c:v>
                </c:pt>
                <c:pt idx="30">
                  <c:v>37742</c:v>
                </c:pt>
                <c:pt idx="31">
                  <c:v>37773</c:v>
                </c:pt>
                <c:pt idx="32">
                  <c:v>37803</c:v>
                </c:pt>
                <c:pt idx="33">
                  <c:v>37834</c:v>
                </c:pt>
                <c:pt idx="34">
                  <c:v>37865</c:v>
                </c:pt>
                <c:pt idx="35">
                  <c:v>37895</c:v>
                </c:pt>
                <c:pt idx="36">
                  <c:v>37926</c:v>
                </c:pt>
                <c:pt idx="37">
                  <c:v>37956</c:v>
                </c:pt>
                <c:pt idx="38">
                  <c:v>37987</c:v>
                </c:pt>
                <c:pt idx="39">
                  <c:v>38018</c:v>
                </c:pt>
                <c:pt idx="40">
                  <c:v>38047</c:v>
                </c:pt>
                <c:pt idx="41">
                  <c:v>38078</c:v>
                </c:pt>
                <c:pt idx="42">
                  <c:v>38108</c:v>
                </c:pt>
                <c:pt idx="43">
                  <c:v>38139</c:v>
                </c:pt>
                <c:pt idx="44">
                  <c:v>38169</c:v>
                </c:pt>
                <c:pt idx="45">
                  <c:v>38200</c:v>
                </c:pt>
                <c:pt idx="46">
                  <c:v>38231</c:v>
                </c:pt>
                <c:pt idx="47">
                  <c:v>38261</c:v>
                </c:pt>
                <c:pt idx="48">
                  <c:v>38292</c:v>
                </c:pt>
                <c:pt idx="49">
                  <c:v>38322</c:v>
                </c:pt>
                <c:pt idx="50">
                  <c:v>38353</c:v>
                </c:pt>
                <c:pt idx="51">
                  <c:v>38384</c:v>
                </c:pt>
                <c:pt idx="52">
                  <c:v>38412</c:v>
                </c:pt>
                <c:pt idx="53">
                  <c:v>38443</c:v>
                </c:pt>
                <c:pt idx="54">
                  <c:v>38473</c:v>
                </c:pt>
                <c:pt idx="55">
                  <c:v>38504</c:v>
                </c:pt>
                <c:pt idx="56">
                  <c:v>38534</c:v>
                </c:pt>
                <c:pt idx="57">
                  <c:v>38565</c:v>
                </c:pt>
                <c:pt idx="58">
                  <c:v>38596</c:v>
                </c:pt>
                <c:pt idx="59">
                  <c:v>38626</c:v>
                </c:pt>
                <c:pt idx="60">
                  <c:v>38657</c:v>
                </c:pt>
                <c:pt idx="61">
                  <c:v>38687</c:v>
                </c:pt>
                <c:pt idx="62">
                  <c:v>38718</c:v>
                </c:pt>
                <c:pt idx="63">
                  <c:v>38749</c:v>
                </c:pt>
                <c:pt idx="64">
                  <c:v>38777</c:v>
                </c:pt>
                <c:pt idx="65">
                  <c:v>38808</c:v>
                </c:pt>
                <c:pt idx="66">
                  <c:v>38838</c:v>
                </c:pt>
                <c:pt idx="67">
                  <c:v>38869</c:v>
                </c:pt>
                <c:pt idx="68">
                  <c:v>38899</c:v>
                </c:pt>
                <c:pt idx="69">
                  <c:v>38930</c:v>
                </c:pt>
                <c:pt idx="70">
                  <c:v>38961</c:v>
                </c:pt>
                <c:pt idx="71">
                  <c:v>38991</c:v>
                </c:pt>
                <c:pt idx="72">
                  <c:v>39022</c:v>
                </c:pt>
                <c:pt idx="73">
                  <c:v>39052</c:v>
                </c:pt>
                <c:pt idx="74">
                  <c:v>39083</c:v>
                </c:pt>
                <c:pt idx="75">
                  <c:v>39114</c:v>
                </c:pt>
                <c:pt idx="76">
                  <c:v>39142</c:v>
                </c:pt>
                <c:pt idx="77">
                  <c:v>39173</c:v>
                </c:pt>
                <c:pt idx="78">
                  <c:v>39203</c:v>
                </c:pt>
                <c:pt idx="79">
                  <c:v>39234</c:v>
                </c:pt>
                <c:pt idx="80">
                  <c:v>39264</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numCache>
            </c:numRef>
          </c:cat>
          <c:val>
            <c:numRef>
              <c:f>'Monthly Historic Data'!$J$11:$J$871</c:f>
              <c:numCache>
                <c:formatCode>General</c:formatCode>
                <c:ptCount val="861"/>
                <c:pt idx="0">
                  <c:v>#N/A</c:v>
                </c:pt>
                <c:pt idx="1">
                  <c:v>#N/A</c:v>
                </c:pt>
                <c:pt idx="2">
                  <c:v>#N/A</c:v>
                </c:pt>
                <c:pt idx="3">
                  <c:v>#N/A</c:v>
                </c:pt>
                <c:pt idx="4">
                  <c:v>#N/A</c:v>
                </c:pt>
                <c:pt idx="5">
                  <c:v>#N/A</c:v>
                </c:pt>
                <c:pt idx="6">
                  <c:v>#N/A</c:v>
                </c:pt>
                <c:pt idx="7">
                  <c:v>#N/A</c:v>
                </c:pt>
                <c:pt idx="8">
                  <c:v>#N/A</c:v>
                </c:pt>
                <c:pt idx="9">
                  <c:v>#N/A</c:v>
                </c:pt>
                <c:pt idx="10">
                  <c:v>#N/A</c:v>
                </c:pt>
                <c:pt idx="11">
                  <c:v>0.15858297155727627</c:v>
                </c:pt>
                <c:pt idx="12">
                  <c:v>0.13307866696504828</c:v>
                </c:pt>
                <c:pt idx="13">
                  <c:v>0.13498808696133394</c:v>
                </c:pt>
                <c:pt idx="14">
                  <c:v>0.13100219512261371</c:v>
                </c:pt>
                <c:pt idx="15">
                  <c:v>0.13024282685083208</c:v>
                </c:pt>
                <c:pt idx="16">
                  <c:v>0.1283642754104222</c:v>
                </c:pt>
                <c:pt idx="17">
                  <c:v>0.12303798492457418</c:v>
                </c:pt>
                <c:pt idx="18">
                  <c:v>0.12612189040782926</c:v>
                </c:pt>
                <c:pt idx="19">
                  <c:v>9.3809003517865114E-2</c:v>
                </c:pt>
                <c:pt idx="20">
                  <c:v>0.10313924912483448</c:v>
                </c:pt>
                <c:pt idx="21">
                  <c:v>0.12941536771248949</c:v>
                </c:pt>
                <c:pt idx="22">
                  <c:v>0.11930938038020809</c:v>
                </c:pt>
                <c:pt idx="23">
                  <c:v>0.13181823436678353</c:v>
                </c:pt>
                <c:pt idx="24">
                  <c:v>0.13305322422069649</c:v>
                </c:pt>
                <c:pt idx="25">
                  <c:v>0.13606147453558115</c:v>
                </c:pt>
                <c:pt idx="26">
                  <c:v>0.13525693701416161</c:v>
                </c:pt>
                <c:pt idx="27">
                  <c:v>0.13362608737160986</c:v>
                </c:pt>
                <c:pt idx="28">
                  <c:v>0.1279184956449885</c:v>
                </c:pt>
                <c:pt idx="29">
                  <c:v>0.12687118441507114</c:v>
                </c:pt>
                <c:pt idx="30">
                  <c:v>0.12345071877397092</c:v>
                </c:pt>
                <c:pt idx="31">
                  <c:v>0.11741909500330594</c:v>
                </c:pt>
                <c:pt idx="32">
                  <c:v>0.11897961430837813</c:v>
                </c:pt>
                <c:pt idx="33">
                  <c:v>0.11555386857663391</c:v>
                </c:pt>
                <c:pt idx="34">
                  <c:v>0.11788621350412148</c:v>
                </c:pt>
                <c:pt idx="35">
                  <c:v>0.11888026282964397</c:v>
                </c:pt>
                <c:pt idx="36">
                  <c:v>0.12126853072346346</c:v>
                </c:pt>
                <c:pt idx="37">
                  <c:v>0.12283930843611729</c:v>
                </c:pt>
                <c:pt idx="38">
                  <c:v>0.12705218793634648</c:v>
                </c:pt>
                <c:pt idx="39">
                  <c:v>0.13906177432239333</c:v>
                </c:pt>
                <c:pt idx="40">
                  <c:v>0.13982672761779677</c:v>
                </c:pt>
                <c:pt idx="41">
                  <c:v>0.14246517630132069</c:v>
                </c:pt>
                <c:pt idx="42">
                  <c:v>0.15198656121085932</c:v>
                </c:pt>
                <c:pt idx="43">
                  <c:v>0.10907147449691339</c:v>
                </c:pt>
                <c:pt idx="44">
                  <c:v>0.20270488635514511</c:v>
                </c:pt>
                <c:pt idx="45">
                  <c:v>0.20039528451333063</c:v>
                </c:pt>
                <c:pt idx="46">
                  <c:v>0.20817462561590461</c:v>
                </c:pt>
                <c:pt idx="47">
                  <c:v>0.20760588757489384</c:v>
                </c:pt>
                <c:pt idx="48">
                  <c:v>0.20470576319765399</c:v>
                </c:pt>
                <c:pt idx="49">
                  <c:v>0.20033626030364277</c:v>
                </c:pt>
                <c:pt idx="50">
                  <c:v>0.18368115587921033</c:v>
                </c:pt>
                <c:pt idx="51">
                  <c:v>0.17505622286231276</c:v>
                </c:pt>
                <c:pt idx="52">
                  <c:v>0.18167578672104845</c:v>
                </c:pt>
                <c:pt idx="53">
                  <c:v>0.18134490355376412</c:v>
                </c:pt>
                <c:pt idx="54">
                  <c:v>0.18083600710518444</c:v>
                </c:pt>
                <c:pt idx="55">
                  <c:v>0.10620573124578092</c:v>
                </c:pt>
                <c:pt idx="56">
                  <c:v>0.14828401220763995</c:v>
                </c:pt>
                <c:pt idx="57">
                  <c:v>0.14608013108095996</c:v>
                </c:pt>
                <c:pt idx="58">
                  <c:v>0.14989861831979329</c:v>
                </c:pt>
                <c:pt idx="59">
                  <c:v>0.15861979636123955</c:v>
                </c:pt>
                <c:pt idx="60">
                  <c:v>0.17273090796997476</c:v>
                </c:pt>
                <c:pt idx="61">
                  <c:v>0.18490114036853686</c:v>
                </c:pt>
                <c:pt idx="62">
                  <c:v>0.18279405904231563</c:v>
                </c:pt>
                <c:pt idx="63">
                  <c:v>0.17870298090108097</c:v>
                </c:pt>
                <c:pt idx="64">
                  <c:v>0.17512908888292048</c:v>
                </c:pt>
                <c:pt idx="65">
                  <c:v>0.17494830186776586</c:v>
                </c:pt>
                <c:pt idx="66">
                  <c:v>0.17561203838671458</c:v>
                </c:pt>
                <c:pt idx="67">
                  <c:v>0.14785467164523886</c:v>
                </c:pt>
                <c:pt idx="68">
                  <c:v>0.1393853879630525</c:v>
                </c:pt>
                <c:pt idx="69">
                  <c:v>0.12355031890105987</c:v>
                </c:pt>
                <c:pt idx="70">
                  <c:v>0.11972037458594209</c:v>
                </c:pt>
                <c:pt idx="71">
                  <c:v>0.1552632302158998</c:v>
                </c:pt>
                <c:pt idx="72">
                  <c:v>0.18849988654393918</c:v>
                </c:pt>
                <c:pt idx="73">
                  <c:v>0.19580184295085426</c:v>
                </c:pt>
                <c:pt idx="74">
                  <c:v>0.19570907455019093</c:v>
                </c:pt>
                <c:pt idx="75">
                  <c:v>0.19160577276746732</c:v>
                </c:pt>
                <c:pt idx="76">
                  <c:v>0.20601509175136271</c:v>
                </c:pt>
                <c:pt idx="77">
                  <c:v>0.24908988594843409</c:v>
                </c:pt>
                <c:pt idx="78">
                  <c:v>0.24698509494513468</c:v>
                </c:pt>
                <c:pt idx="79">
                  <c:v>0.24669482297515047</c:v>
                </c:pt>
                <c:pt idx="80">
                  <c:v>0.28426319876248596</c:v>
                </c:pt>
                <c:pt idx="81">
                  <c:v>0.28341538630489155</c:v>
                </c:pt>
                <c:pt idx="82">
                  <c:v>0.24268916111763178</c:v>
                </c:pt>
                <c:pt idx="83">
                  <c:v>0.19138035679395829</c:v>
                </c:pt>
                <c:pt idx="84">
                  <c:v>0.19070332448679247</c:v>
                </c:pt>
                <c:pt idx="85">
                  <c:v>0.18764868607919222</c:v>
                </c:pt>
                <c:pt idx="86">
                  <c:v>0.16758404846565036</c:v>
                </c:pt>
                <c:pt idx="87">
                  <c:v>0.1660117955657234</c:v>
                </c:pt>
                <c:pt idx="88">
                  <c:v>0.13061619559162041</c:v>
                </c:pt>
                <c:pt idx="89">
                  <c:v>0.11962106277560679</c:v>
                </c:pt>
                <c:pt idx="90">
                  <c:v>0.11344843677892472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numCache>
            </c:numRef>
          </c:val>
          <c:smooth val="0"/>
          <c:extLst>
            <c:ext xmlns:c16="http://schemas.microsoft.com/office/drawing/2014/chart" uri="{C3380CC4-5D6E-409C-BE32-E72D297353CC}">
              <c16:uniqueId val="{00000000-23F9-4C33-A35F-3F4860EE7835}"/>
            </c:ext>
          </c:extLst>
        </c:ser>
        <c:dLbls>
          <c:showLegendKey val="0"/>
          <c:showVal val="0"/>
          <c:showCatName val="0"/>
          <c:showSerName val="0"/>
          <c:showPercent val="0"/>
          <c:showBubbleSize val="0"/>
        </c:dLbls>
        <c:smooth val="0"/>
        <c:axId val="1970758384"/>
        <c:axId val="1970756208"/>
      </c:lineChart>
      <c:dateAx>
        <c:axId val="1970758384"/>
        <c:scaling>
          <c:orientation val="minMax"/>
        </c:scaling>
        <c:delete val="0"/>
        <c:axPos val="b"/>
        <c:numFmt formatCode="m/d/yyyy" sourceLinked="0"/>
        <c:majorTickMark val="out"/>
        <c:minorTickMark val="none"/>
        <c:tickLblPos val="nextTo"/>
        <c:crossAx val="1970756208"/>
        <c:crosses val="autoZero"/>
        <c:auto val="0"/>
        <c:lblOffset val="100"/>
        <c:baseTimeUnit val="months"/>
      </c:dateAx>
      <c:valAx>
        <c:axId val="1970756208"/>
        <c:scaling>
          <c:orientation val="minMax"/>
        </c:scaling>
        <c:delete val="0"/>
        <c:axPos val="l"/>
        <c:majorGridlines/>
        <c:numFmt formatCode="General" sourceLinked="1"/>
        <c:majorTickMark val="out"/>
        <c:minorTickMark val="none"/>
        <c:tickLblPos val="nextTo"/>
        <c:crossAx val="1970758384"/>
        <c:crosses val="autoZero"/>
        <c:crossBetween val="between"/>
      </c:valAx>
    </c:plotArea>
    <c:plotVisOnly val="1"/>
    <c:dispBlanksAs val="gap"/>
    <c:showDLblsOverMax val="0"/>
  </c:char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Graph'!$AE$21:$AP$21</c:f>
          <c:strCache>
            <c:ptCount val="12"/>
            <c:pt idx="0">
              <c:v>12 Month Rolling Volatility</c:v>
            </c:pt>
            <c:pt idx="3">
              <c:v>Barley ($/mt)</c:v>
            </c:pt>
            <c:pt idx="5">
              <c:v> 
</c:v>
            </c:pt>
            <c:pt idx="6">
              <c:v>Volatility over Period</c:v>
            </c:pt>
            <c:pt idx="8">
              <c:v>17.63%</c:v>
            </c:pt>
            <c:pt idx="9">
              <c:v>Annual Volatilty</c:v>
            </c:pt>
            <c:pt idx="11">
              <c:v>14.8%</c:v>
            </c:pt>
          </c:strCache>
        </c:strRef>
      </c:tx>
      <c:overlay val="0"/>
    </c:title>
    <c:autoTitleDeleted val="0"/>
    <c:plotArea>
      <c:layout/>
      <c:lineChart>
        <c:grouping val="standard"/>
        <c:varyColors val="0"/>
        <c:ser>
          <c:idx val="0"/>
          <c:order val="0"/>
          <c:tx>
            <c:strRef>
              <c:f>'Monthly Historic Data'!$V$10</c:f>
              <c:strCache>
                <c:ptCount val="1"/>
                <c:pt idx="0">
                  <c:v>Vol</c:v>
                </c:pt>
              </c:strCache>
            </c:strRef>
          </c:tx>
          <c:marker>
            <c:symbol val="none"/>
          </c:marker>
          <c:cat>
            <c:numRef>
              <c:f>'Monthly Historic Data'!$U$11:$U$871</c:f>
              <c:numCache>
                <c:formatCode>d\-mmm\-yy</c:formatCode>
                <c:ptCount val="861"/>
                <c:pt idx="0">
                  <c:v>#N/A</c:v>
                </c:pt>
                <c:pt idx="1">
                  <c:v>#N/A</c:v>
                </c:pt>
                <c:pt idx="2">
                  <c:v>#N/A</c:v>
                </c:pt>
                <c:pt idx="3">
                  <c:v>#N/A</c:v>
                </c:pt>
                <c:pt idx="4">
                  <c:v>#N/A</c:v>
                </c:pt>
                <c:pt idx="5">
                  <c:v>#N/A</c:v>
                </c:pt>
                <c:pt idx="6">
                  <c:v>#N/A</c:v>
                </c:pt>
                <c:pt idx="7">
                  <c:v>#N/A</c:v>
                </c:pt>
                <c:pt idx="8">
                  <c:v>#N/A</c:v>
                </c:pt>
                <c:pt idx="9">
                  <c:v>#N/A</c:v>
                </c:pt>
                <c:pt idx="10">
                  <c:v>#N/A</c:v>
                </c:pt>
                <c:pt idx="11">
                  <c:v>37165</c:v>
                </c:pt>
                <c:pt idx="12">
                  <c:v>37196</c:v>
                </c:pt>
                <c:pt idx="13">
                  <c:v>37226</c:v>
                </c:pt>
                <c:pt idx="14">
                  <c:v>37257</c:v>
                </c:pt>
                <c:pt idx="15">
                  <c:v>37288</c:v>
                </c:pt>
                <c:pt idx="16">
                  <c:v>37316</c:v>
                </c:pt>
                <c:pt idx="17">
                  <c:v>37347</c:v>
                </c:pt>
                <c:pt idx="18">
                  <c:v>37377</c:v>
                </c:pt>
                <c:pt idx="19">
                  <c:v>37408</c:v>
                </c:pt>
                <c:pt idx="20">
                  <c:v>37438</c:v>
                </c:pt>
                <c:pt idx="21">
                  <c:v>37469</c:v>
                </c:pt>
                <c:pt idx="22">
                  <c:v>37500</c:v>
                </c:pt>
                <c:pt idx="23">
                  <c:v>37530</c:v>
                </c:pt>
                <c:pt idx="24">
                  <c:v>37561</c:v>
                </c:pt>
                <c:pt idx="25">
                  <c:v>37591</c:v>
                </c:pt>
                <c:pt idx="26">
                  <c:v>37622</c:v>
                </c:pt>
                <c:pt idx="27">
                  <c:v>37653</c:v>
                </c:pt>
                <c:pt idx="28">
                  <c:v>37681</c:v>
                </c:pt>
                <c:pt idx="29">
                  <c:v>37712</c:v>
                </c:pt>
                <c:pt idx="30">
                  <c:v>37742</c:v>
                </c:pt>
                <c:pt idx="31">
                  <c:v>37773</c:v>
                </c:pt>
                <c:pt idx="32">
                  <c:v>37803</c:v>
                </c:pt>
                <c:pt idx="33">
                  <c:v>37834</c:v>
                </c:pt>
                <c:pt idx="34">
                  <c:v>37865</c:v>
                </c:pt>
                <c:pt idx="35">
                  <c:v>37895</c:v>
                </c:pt>
                <c:pt idx="36">
                  <c:v>37926</c:v>
                </c:pt>
                <c:pt idx="37">
                  <c:v>37956</c:v>
                </c:pt>
                <c:pt idx="38">
                  <c:v>37987</c:v>
                </c:pt>
                <c:pt idx="39">
                  <c:v>38018</c:v>
                </c:pt>
                <c:pt idx="40">
                  <c:v>38047</c:v>
                </c:pt>
                <c:pt idx="41">
                  <c:v>38078</c:v>
                </c:pt>
                <c:pt idx="42">
                  <c:v>38108</c:v>
                </c:pt>
                <c:pt idx="43">
                  <c:v>38139</c:v>
                </c:pt>
                <c:pt idx="44">
                  <c:v>38169</c:v>
                </c:pt>
                <c:pt idx="45">
                  <c:v>38200</c:v>
                </c:pt>
                <c:pt idx="46">
                  <c:v>38231</c:v>
                </c:pt>
                <c:pt idx="47">
                  <c:v>38261</c:v>
                </c:pt>
                <c:pt idx="48">
                  <c:v>38292</c:v>
                </c:pt>
                <c:pt idx="49">
                  <c:v>38322</c:v>
                </c:pt>
                <c:pt idx="50">
                  <c:v>38353</c:v>
                </c:pt>
                <c:pt idx="51">
                  <c:v>38384</c:v>
                </c:pt>
                <c:pt idx="52">
                  <c:v>38412</c:v>
                </c:pt>
                <c:pt idx="53">
                  <c:v>38443</c:v>
                </c:pt>
                <c:pt idx="54">
                  <c:v>38473</c:v>
                </c:pt>
                <c:pt idx="55">
                  <c:v>38504</c:v>
                </c:pt>
                <c:pt idx="56">
                  <c:v>38534</c:v>
                </c:pt>
                <c:pt idx="57">
                  <c:v>38565</c:v>
                </c:pt>
                <c:pt idx="58">
                  <c:v>38596</c:v>
                </c:pt>
                <c:pt idx="59">
                  <c:v>38626</c:v>
                </c:pt>
                <c:pt idx="60">
                  <c:v>38657</c:v>
                </c:pt>
                <c:pt idx="61">
                  <c:v>38687</c:v>
                </c:pt>
                <c:pt idx="62">
                  <c:v>38718</c:v>
                </c:pt>
                <c:pt idx="63">
                  <c:v>38749</c:v>
                </c:pt>
                <c:pt idx="64">
                  <c:v>38777</c:v>
                </c:pt>
                <c:pt idx="65">
                  <c:v>38808</c:v>
                </c:pt>
                <c:pt idx="66">
                  <c:v>38838</c:v>
                </c:pt>
                <c:pt idx="67">
                  <c:v>38869</c:v>
                </c:pt>
                <c:pt idx="68">
                  <c:v>38899</c:v>
                </c:pt>
                <c:pt idx="69">
                  <c:v>38930</c:v>
                </c:pt>
                <c:pt idx="70">
                  <c:v>38961</c:v>
                </c:pt>
                <c:pt idx="71">
                  <c:v>38991</c:v>
                </c:pt>
                <c:pt idx="72">
                  <c:v>39022</c:v>
                </c:pt>
                <c:pt idx="73">
                  <c:v>39052</c:v>
                </c:pt>
                <c:pt idx="74">
                  <c:v>39083</c:v>
                </c:pt>
                <c:pt idx="75">
                  <c:v>39114</c:v>
                </c:pt>
                <c:pt idx="76">
                  <c:v>39142</c:v>
                </c:pt>
                <c:pt idx="77">
                  <c:v>39173</c:v>
                </c:pt>
                <c:pt idx="78">
                  <c:v>39203</c:v>
                </c:pt>
                <c:pt idx="79">
                  <c:v>39234</c:v>
                </c:pt>
                <c:pt idx="80">
                  <c:v>39264</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numCache>
            </c:numRef>
          </c:cat>
          <c:val>
            <c:numRef>
              <c:f>'Monthly Historic Data'!$V$11:$V$871</c:f>
              <c:numCache>
                <c:formatCode>General</c:formatCode>
                <c:ptCount val="861"/>
                <c:pt idx="0">
                  <c:v>#N/A</c:v>
                </c:pt>
                <c:pt idx="1">
                  <c:v>#N/A</c:v>
                </c:pt>
                <c:pt idx="2">
                  <c:v>#N/A</c:v>
                </c:pt>
                <c:pt idx="3">
                  <c:v>#N/A</c:v>
                </c:pt>
                <c:pt idx="4">
                  <c:v>#N/A</c:v>
                </c:pt>
                <c:pt idx="5">
                  <c:v>#N/A</c:v>
                </c:pt>
                <c:pt idx="6">
                  <c:v>#N/A</c:v>
                </c:pt>
                <c:pt idx="7">
                  <c:v>#N/A</c:v>
                </c:pt>
                <c:pt idx="8">
                  <c:v>#N/A</c:v>
                </c:pt>
                <c:pt idx="9">
                  <c:v>#N/A</c:v>
                </c:pt>
                <c:pt idx="10">
                  <c:v>#N/A</c:v>
                </c:pt>
                <c:pt idx="11">
                  <c:v>0.11805313993044961</c:v>
                </c:pt>
                <c:pt idx="12">
                  <c:v>0.11489527616050811</c:v>
                </c:pt>
                <c:pt idx="13">
                  <c:v>0.11275852237548716</c:v>
                </c:pt>
                <c:pt idx="14">
                  <c:v>0.11021009409113457</c:v>
                </c:pt>
                <c:pt idx="15">
                  <c:v>0.11134827078803772</c:v>
                </c:pt>
                <c:pt idx="16">
                  <c:v>0.11192798526360391</c:v>
                </c:pt>
                <c:pt idx="17">
                  <c:v>0.10854868849394601</c:v>
                </c:pt>
                <c:pt idx="18">
                  <c:v>9.5150507076978877E-2</c:v>
                </c:pt>
                <c:pt idx="19">
                  <c:v>9.1489434214908391E-2</c:v>
                </c:pt>
                <c:pt idx="20">
                  <c:v>0.12189015561270507</c:v>
                </c:pt>
                <c:pt idx="21">
                  <c:v>0.12938004900207767</c:v>
                </c:pt>
                <c:pt idx="22">
                  <c:v>0.1313541144732191</c:v>
                </c:pt>
                <c:pt idx="23">
                  <c:v>0.12977178364899797</c:v>
                </c:pt>
                <c:pt idx="24">
                  <c:v>0.13072789968850362</c:v>
                </c:pt>
                <c:pt idx="25">
                  <c:v>0.12718554261903031</c:v>
                </c:pt>
                <c:pt idx="26">
                  <c:v>0.13315261479663254</c:v>
                </c:pt>
                <c:pt idx="27">
                  <c:v>0.13283932417567984</c:v>
                </c:pt>
                <c:pt idx="28">
                  <c:v>0.12634467131649532</c:v>
                </c:pt>
                <c:pt idx="29">
                  <c:v>0.12632100333467017</c:v>
                </c:pt>
                <c:pt idx="30">
                  <c:v>0.11379112356333623</c:v>
                </c:pt>
                <c:pt idx="31">
                  <c:v>7.9883283819951675E-2</c:v>
                </c:pt>
                <c:pt idx="32">
                  <c:v>0.14034220820554036</c:v>
                </c:pt>
                <c:pt idx="33">
                  <c:v>0.15749028901653392</c:v>
                </c:pt>
                <c:pt idx="34">
                  <c:v>0.1629530364150934</c:v>
                </c:pt>
                <c:pt idx="35">
                  <c:v>0.17835629390887653</c:v>
                </c:pt>
                <c:pt idx="36">
                  <c:v>0.19297760946306217</c:v>
                </c:pt>
                <c:pt idx="37">
                  <c:v>0.19197910104471802</c:v>
                </c:pt>
                <c:pt idx="38">
                  <c:v>0.19212017614873128</c:v>
                </c:pt>
                <c:pt idx="39">
                  <c:v>0.19283616918421251</c:v>
                </c:pt>
                <c:pt idx="40">
                  <c:v>0.21026308865853988</c:v>
                </c:pt>
                <c:pt idx="41">
                  <c:v>0.22966854391109326</c:v>
                </c:pt>
                <c:pt idx="42">
                  <c:v>0.22720036772949945</c:v>
                </c:pt>
                <c:pt idx="43">
                  <c:v>0.17182926917892716</c:v>
                </c:pt>
                <c:pt idx="44">
                  <c:v>0.1717494883755889</c:v>
                </c:pt>
                <c:pt idx="45">
                  <c:v>0.24371336811064737</c:v>
                </c:pt>
                <c:pt idx="46">
                  <c:v>0.23722211486088349</c:v>
                </c:pt>
                <c:pt idx="47">
                  <c:v>0.22993419340902324</c:v>
                </c:pt>
                <c:pt idx="48">
                  <c:v>0.24734206973809061</c:v>
                </c:pt>
                <c:pt idx="49">
                  <c:v>0.24854794553512818</c:v>
                </c:pt>
                <c:pt idx="50">
                  <c:v>0.24737412210256499</c:v>
                </c:pt>
                <c:pt idx="51">
                  <c:v>0.23466510861507345</c:v>
                </c:pt>
                <c:pt idx="52">
                  <c:v>0.22921491611037242</c:v>
                </c:pt>
                <c:pt idx="53">
                  <c:v>0.22920843705655849</c:v>
                </c:pt>
                <c:pt idx="54">
                  <c:v>0.22823495664873533</c:v>
                </c:pt>
                <c:pt idx="55">
                  <c:v>0.22342819153996454</c:v>
                </c:pt>
                <c:pt idx="56">
                  <c:v>0.15042668538357332</c:v>
                </c:pt>
                <c:pt idx="57">
                  <c:v>0.14588941929360585</c:v>
                </c:pt>
                <c:pt idx="58">
                  <c:v>0.14495420644482387</c:v>
                </c:pt>
                <c:pt idx="59">
                  <c:v>0.12213606849006006</c:v>
                </c:pt>
                <c:pt idx="60">
                  <c:v>0.11502146625464035</c:v>
                </c:pt>
                <c:pt idx="61">
                  <c:v>0.11804652218261803</c:v>
                </c:pt>
                <c:pt idx="62">
                  <c:v>0.10757477500764968</c:v>
                </c:pt>
                <c:pt idx="63">
                  <c:v>9.1587775940478927E-2</c:v>
                </c:pt>
                <c:pt idx="64">
                  <c:v>9.1369101545618364E-2</c:v>
                </c:pt>
                <c:pt idx="65">
                  <c:v>7.2153672836225702E-2</c:v>
                </c:pt>
                <c:pt idx="66">
                  <c:v>7.2794075586776197E-2</c:v>
                </c:pt>
                <c:pt idx="67">
                  <c:v>6.9510360557495571E-2</c:v>
                </c:pt>
                <c:pt idx="68">
                  <c:v>7.9474096567702324E-2</c:v>
                </c:pt>
                <c:pt idx="69">
                  <c:v>7.917673673501828E-2</c:v>
                </c:pt>
                <c:pt idx="70">
                  <c:v>7.9083255688797913E-2</c:v>
                </c:pt>
                <c:pt idx="71">
                  <c:v>0.16850893705039402</c:v>
                </c:pt>
                <c:pt idx="72">
                  <c:v>0.17647270928916475</c:v>
                </c:pt>
                <c:pt idx="73">
                  <c:v>0.17526174498902222</c:v>
                </c:pt>
                <c:pt idx="74">
                  <c:v>0.16815101517685235</c:v>
                </c:pt>
                <c:pt idx="75">
                  <c:v>0.16809023647619986</c:v>
                </c:pt>
                <c:pt idx="76">
                  <c:v>0.16756009849974524</c:v>
                </c:pt>
                <c:pt idx="77">
                  <c:v>0.1691966757462538</c:v>
                </c:pt>
                <c:pt idx="78">
                  <c:v>0.16531950371975609</c:v>
                </c:pt>
                <c:pt idx="79">
                  <c:v>0.1910700847592324</c:v>
                </c:pt>
                <c:pt idx="80">
                  <c:v>0.20373167797158356</c:v>
                </c:pt>
                <c:pt idx="81">
                  <c:v>0.20488314775760613</c:v>
                </c:pt>
                <c:pt idx="82">
                  <c:v>0.15062072899096313</c:v>
                </c:pt>
                <c:pt idx="83">
                  <c:v>0.13744256895043477</c:v>
                </c:pt>
                <c:pt idx="84">
                  <c:v>0.13798046754807977</c:v>
                </c:pt>
                <c:pt idx="85">
                  <c:v>0.13845276363612005</c:v>
                </c:pt>
                <c:pt idx="86">
                  <c:v>0.13761365826705058</c:v>
                </c:pt>
                <c:pt idx="87">
                  <c:v>0.13518481417326522</c:v>
                </c:pt>
                <c:pt idx="88">
                  <c:v>0.13521098298282719</c:v>
                </c:pt>
                <c:pt idx="89">
                  <c:v>0.13395613892462671</c:v>
                </c:pt>
                <c:pt idx="90">
                  <c:v>3.4690300925294203E-2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numCache>
            </c:numRef>
          </c:val>
          <c:smooth val="0"/>
          <c:extLst>
            <c:ext xmlns:c16="http://schemas.microsoft.com/office/drawing/2014/chart" uri="{C3380CC4-5D6E-409C-BE32-E72D297353CC}">
              <c16:uniqueId val="{00000000-ADBA-49A3-945A-5A1076AEA989}"/>
            </c:ext>
          </c:extLst>
        </c:ser>
        <c:dLbls>
          <c:showLegendKey val="0"/>
          <c:showVal val="0"/>
          <c:showCatName val="0"/>
          <c:showSerName val="0"/>
          <c:showPercent val="0"/>
          <c:showBubbleSize val="0"/>
        </c:dLbls>
        <c:smooth val="0"/>
        <c:axId val="1970758928"/>
        <c:axId val="1979528608"/>
      </c:lineChart>
      <c:dateAx>
        <c:axId val="1970758928"/>
        <c:scaling>
          <c:orientation val="minMax"/>
        </c:scaling>
        <c:delete val="0"/>
        <c:axPos val="b"/>
        <c:numFmt formatCode="d\-mmm\-yy" sourceLinked="1"/>
        <c:majorTickMark val="out"/>
        <c:minorTickMark val="none"/>
        <c:tickLblPos val="nextTo"/>
        <c:crossAx val="1979528608"/>
        <c:crosses val="autoZero"/>
        <c:auto val="1"/>
        <c:lblOffset val="100"/>
        <c:baseTimeUnit val="months"/>
      </c:dateAx>
      <c:valAx>
        <c:axId val="1979528608"/>
        <c:scaling>
          <c:orientation val="minMax"/>
        </c:scaling>
        <c:delete val="0"/>
        <c:axPos val="l"/>
        <c:majorGridlines/>
        <c:numFmt formatCode="General" sourceLinked="1"/>
        <c:majorTickMark val="out"/>
        <c:minorTickMark val="none"/>
        <c:tickLblPos val="nextTo"/>
        <c:crossAx val="1970758928"/>
        <c:crosses val="autoZero"/>
        <c:crossBetween val="between"/>
      </c:valAx>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66044244469441"/>
          <c:y val="8.3634799887302227E-2"/>
          <c:w val="0.83722834645669286"/>
          <c:h val="0.76531696249833181"/>
        </c:manualLayout>
      </c:layout>
      <c:barChart>
        <c:barDir val="col"/>
        <c:grouping val="clustered"/>
        <c:varyColors val="0"/>
        <c:ser>
          <c:idx val="0"/>
          <c:order val="0"/>
          <c:tx>
            <c:strRef>
              <c:f>Distributions!$E$21</c:f>
              <c:strCache>
                <c:ptCount val="1"/>
                <c:pt idx="0">
                  <c:v>Probability</c:v>
                </c:pt>
              </c:strCache>
            </c:strRef>
          </c:tx>
          <c:invertIfNegative val="0"/>
          <c:val>
            <c:numRef>
              <c:f>Distributions!$E$22:$E$61</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2.4691358024691357E-2</c:v>
                </c:pt>
                <c:pt idx="18">
                  <c:v>3.7037037037037035E-2</c:v>
                </c:pt>
                <c:pt idx="19">
                  <c:v>0.18518518518518517</c:v>
                </c:pt>
                <c:pt idx="20">
                  <c:v>0.16049382716049382</c:v>
                </c:pt>
                <c:pt idx="21">
                  <c:v>7.407407407407407E-2</c:v>
                </c:pt>
                <c:pt idx="22">
                  <c:v>0.22222222222222221</c:v>
                </c:pt>
                <c:pt idx="23">
                  <c:v>4.9382716049382713E-2</c:v>
                </c:pt>
                <c:pt idx="24">
                  <c:v>4.9382716049382713E-2</c:v>
                </c:pt>
                <c:pt idx="25">
                  <c:v>3.7037037037037035E-2</c:v>
                </c:pt>
                <c:pt idx="26">
                  <c:v>2.4691358024691357E-2</c:v>
                </c:pt>
                <c:pt idx="27">
                  <c:v>1.2345679012345678E-2</c:v>
                </c:pt>
                <c:pt idx="28">
                  <c:v>0</c:v>
                </c:pt>
                <c:pt idx="29">
                  <c:v>1.2345679012345678E-2</c:v>
                </c:pt>
                <c:pt idx="30">
                  <c:v>1.2345679012345678E-2</c:v>
                </c:pt>
                <c:pt idx="31">
                  <c:v>1.2345679012345678E-2</c:v>
                </c:pt>
                <c:pt idx="32">
                  <c:v>0</c:v>
                </c:pt>
                <c:pt idx="33">
                  <c:v>2.4691358024691357E-2</c:v>
                </c:pt>
                <c:pt idx="34">
                  <c:v>3.7037037037037035E-2</c:v>
                </c:pt>
                <c:pt idx="35">
                  <c:v>1.2345679012345678E-2</c:v>
                </c:pt>
                <c:pt idx="36">
                  <c:v>1.2345679012345678E-2</c:v>
                </c:pt>
                <c:pt idx="37">
                  <c:v>0</c:v>
                </c:pt>
                <c:pt idx="38">
                  <c:v>0</c:v>
                </c:pt>
                <c:pt idx="39">
                  <c:v>0</c:v>
                </c:pt>
              </c:numCache>
            </c:numRef>
          </c:val>
          <c:extLst>
            <c:ext xmlns:c16="http://schemas.microsoft.com/office/drawing/2014/chart" uri="{C3380CC4-5D6E-409C-BE32-E72D297353CC}">
              <c16:uniqueId val="{00000000-F3E6-4B66-B947-E5C5E6D8F998}"/>
            </c:ext>
          </c:extLst>
        </c:ser>
        <c:ser>
          <c:idx val="1"/>
          <c:order val="1"/>
          <c:tx>
            <c:strRef>
              <c:f>Distributions!$F$21</c:f>
              <c:strCache>
                <c:ptCount val="1"/>
                <c:pt idx="0">
                  <c:v>normdist</c:v>
                </c:pt>
              </c:strCache>
            </c:strRef>
          </c:tx>
          <c:invertIfNegative val="0"/>
          <c:val>
            <c:numRef>
              <c:f>Distributions!$F$22:$F$61</c:f>
              <c:numCache>
                <c:formatCode>General</c:formatCode>
                <c:ptCount val="40"/>
                <c:pt idx="0">
                  <c:v>5.138079465942982E-7</c:v>
                </c:pt>
                <c:pt idx="1">
                  <c:v>1.4970017492824704E-6</c:v>
                </c:pt>
                <c:pt idx="2">
                  <c:v>4.1503850329240164E-6</c:v>
                </c:pt>
                <c:pt idx="3">
                  <c:v>1.094962026730162E-5</c:v>
                </c:pt>
                <c:pt idx="4">
                  <c:v>2.7488707328061311E-5</c:v>
                </c:pt>
                <c:pt idx="5">
                  <c:v>6.5668056937861092E-5</c:v>
                </c:pt>
                <c:pt idx="6">
                  <c:v>1.4927896117640158E-4</c:v>
                </c:pt>
                <c:pt idx="7">
                  <c:v>3.2291456312971429E-4</c:v>
                </c:pt>
                <c:pt idx="8">
                  <c:v>6.6469321962543476E-4</c:v>
                </c:pt>
                <c:pt idx="9">
                  <c:v>1.3019654363172798E-3</c:v>
                </c:pt>
                <c:pt idx="10">
                  <c:v>2.4267344242178061E-3</c:v>
                </c:pt>
                <c:pt idx="11">
                  <c:v>4.3041721792626397E-3</c:v>
                </c:pt>
                <c:pt idx="12">
                  <c:v>7.264431127393672E-3</c:v>
                </c:pt>
                <c:pt idx="13">
                  <c:v>1.1666972513745537E-2</c:v>
                </c:pt>
                <c:pt idx="14">
                  <c:v>1.7830327828190929E-2</c:v>
                </c:pt>
                <c:pt idx="15">
                  <c:v>2.5930152507648775E-2</c:v>
                </c:pt>
                <c:pt idx="16">
                  <c:v>3.5883550135501131E-2</c:v>
                </c:pt>
                <c:pt idx="17">
                  <c:v>4.7253102154629315E-2</c:v>
                </c:pt>
                <c:pt idx="18">
                  <c:v>5.9212014423366204E-2</c:v>
                </c:pt>
                <c:pt idx="19">
                  <c:v>7.0604752800476789E-2</c:v>
                </c:pt>
                <c:pt idx="20">
                  <c:v>8.0112932060796033E-2</c:v>
                </c:pt>
                <c:pt idx="21">
                  <c:v>8.6499959917349184E-2</c:v>
                </c:pt>
                <c:pt idx="22">
                  <c:v>8.8873805165297665E-2</c:v>
                </c:pt>
                <c:pt idx="23">
                  <c:v>8.6891287684852367E-2</c:v>
                </c:pt>
                <c:pt idx="24">
                  <c:v>8.0839437133701605E-2</c:v>
                </c:pt>
                <c:pt idx="25">
                  <c:v>7.1567346970886528E-2</c:v>
                </c:pt>
                <c:pt idx="26">
                  <c:v>6.0290813603201168E-2</c:v>
                </c:pt>
                <c:pt idx="27">
                  <c:v>4.8331687688533478E-2</c:v>
                </c:pt>
                <c:pt idx="28">
                  <c:v>3.6868661058508057E-2</c:v>
                </c:pt>
                <c:pt idx="29">
                  <c:v>2.6762541921590621E-2</c:v>
                </c:pt>
                <c:pt idx="30">
                  <c:v>1.8485957267571334E-2</c:v>
                </c:pt>
                <c:pt idx="31">
                  <c:v>1.2150694966491354E-2</c:v>
                </c:pt>
                <c:pt idx="32">
                  <c:v>7.5998475643818059E-3</c:v>
                </c:pt>
                <c:pt idx="33">
                  <c:v>4.5232775168885225E-3</c:v>
                </c:pt>
                <c:pt idx="34">
                  <c:v>2.5618056298179108E-3</c:v>
                </c:pt>
                <c:pt idx="35">
                  <c:v>1.3806503489641791E-3</c:v>
                </c:pt>
                <c:pt idx="36">
                  <c:v>7.0805309862372176E-4</c:v>
                </c:pt>
                <c:pt idx="37">
                  <c:v>3.4553539244425369E-4</c:v>
                </c:pt>
                <c:pt idx="38">
                  <c:v>1.6045890987877883E-4</c:v>
                </c:pt>
                <c:pt idx="39">
                  <c:v>7.0905467752610082E-5</c:v>
                </c:pt>
              </c:numCache>
            </c:numRef>
          </c:val>
          <c:extLst>
            <c:ext xmlns:c16="http://schemas.microsoft.com/office/drawing/2014/chart" uri="{C3380CC4-5D6E-409C-BE32-E72D297353CC}">
              <c16:uniqueId val="{00000001-F3E6-4B66-B947-E5C5E6D8F998}"/>
            </c:ext>
          </c:extLst>
        </c:ser>
        <c:dLbls>
          <c:showLegendKey val="0"/>
          <c:showVal val="0"/>
          <c:showCatName val="0"/>
          <c:showSerName val="0"/>
          <c:showPercent val="0"/>
          <c:showBubbleSize val="0"/>
        </c:dLbls>
        <c:gapWidth val="150"/>
        <c:axId val="1979524256"/>
        <c:axId val="1979532960"/>
      </c:barChart>
      <c:catAx>
        <c:axId val="1979524256"/>
        <c:scaling>
          <c:orientation val="minMax"/>
        </c:scaling>
        <c:delete val="0"/>
        <c:axPos val="b"/>
        <c:majorTickMark val="out"/>
        <c:minorTickMark val="none"/>
        <c:tickLblPos val="nextTo"/>
        <c:crossAx val="1979532960"/>
        <c:crosses val="autoZero"/>
        <c:auto val="1"/>
        <c:lblAlgn val="ctr"/>
        <c:lblOffset val="100"/>
        <c:noMultiLvlLbl val="0"/>
      </c:catAx>
      <c:valAx>
        <c:axId val="1979532960"/>
        <c:scaling>
          <c:orientation val="minMax"/>
        </c:scaling>
        <c:delete val="0"/>
        <c:axPos val="l"/>
        <c:majorGridlines/>
        <c:numFmt formatCode="General" sourceLinked="1"/>
        <c:majorTickMark val="out"/>
        <c:minorTickMark val="none"/>
        <c:tickLblPos val="nextTo"/>
        <c:crossAx val="1979524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Distributions!$O$21</c:f>
              <c:strCache>
                <c:ptCount val="1"/>
                <c:pt idx="0">
                  <c:v>Probability</c:v>
                </c:pt>
              </c:strCache>
            </c:strRef>
          </c:tx>
          <c:invertIfNegative val="0"/>
          <c:cat>
            <c:numRef>
              <c:f>Distributions!$M$22:$M$61</c:f>
              <c:numCache>
                <c:formatCode>0%</c:formatCode>
                <c:ptCount val="40"/>
                <c:pt idx="0">
                  <c:v>-0.15439247270273157</c:v>
                </c:pt>
                <c:pt idx="1">
                  <c:v>-0.1463355914121495</c:v>
                </c:pt>
                <c:pt idx="2">
                  <c:v>-0.13827871012156742</c:v>
                </c:pt>
                <c:pt idx="3">
                  <c:v>-0.13022182883098535</c:v>
                </c:pt>
                <c:pt idx="4">
                  <c:v>-0.12216494754040327</c:v>
                </c:pt>
                <c:pt idx="5">
                  <c:v>-0.1141080662498212</c:v>
                </c:pt>
                <c:pt idx="6">
                  <c:v>-0.10605118495923913</c:v>
                </c:pt>
                <c:pt idx="7">
                  <c:v>-9.7994303668657051E-2</c:v>
                </c:pt>
                <c:pt idx="8">
                  <c:v>-8.9937422378074977E-2</c:v>
                </c:pt>
                <c:pt idx="9">
                  <c:v>-8.1880541087492903E-2</c:v>
                </c:pt>
                <c:pt idx="10">
                  <c:v>-7.3823659796910829E-2</c:v>
                </c:pt>
                <c:pt idx="11">
                  <c:v>-6.5766778506328755E-2</c:v>
                </c:pt>
                <c:pt idx="12">
                  <c:v>-5.7709897215746681E-2</c:v>
                </c:pt>
                <c:pt idx="13">
                  <c:v>-4.9653015925164606E-2</c:v>
                </c:pt>
                <c:pt idx="14">
                  <c:v>-4.1596134634582532E-2</c:v>
                </c:pt>
                <c:pt idx="15">
                  <c:v>-3.3539253344000458E-2</c:v>
                </c:pt>
                <c:pt idx="16">
                  <c:v>-2.5482372053418384E-2</c:v>
                </c:pt>
                <c:pt idx="17">
                  <c:v>-1.742549076283631E-2</c:v>
                </c:pt>
                <c:pt idx="18">
                  <c:v>-9.3686094722542374E-3</c:v>
                </c:pt>
                <c:pt idx="19">
                  <c:v>-1.311728181672165E-3</c:v>
                </c:pt>
                <c:pt idx="20">
                  <c:v>6.7451531089099074E-3</c:v>
                </c:pt>
                <c:pt idx="21">
                  <c:v>1.480203439949198E-2</c:v>
                </c:pt>
                <c:pt idx="22">
                  <c:v>2.2858915690074054E-2</c:v>
                </c:pt>
                <c:pt idx="23">
                  <c:v>3.0915796980656128E-2</c:v>
                </c:pt>
                <c:pt idx="24">
                  <c:v>3.8972678271238202E-2</c:v>
                </c:pt>
                <c:pt idx="25">
                  <c:v>4.7029559561820276E-2</c:v>
                </c:pt>
                <c:pt idx="26">
                  <c:v>5.508644085240235E-2</c:v>
                </c:pt>
                <c:pt idx="27">
                  <c:v>6.3143322142984418E-2</c:v>
                </c:pt>
                <c:pt idx="28">
                  <c:v>7.1200203433566492E-2</c:v>
                </c:pt>
                <c:pt idx="29">
                  <c:v>7.9257084724148566E-2</c:v>
                </c:pt>
                <c:pt idx="30">
                  <c:v>8.731396601473064E-2</c:v>
                </c:pt>
                <c:pt idx="31">
                  <c:v>9.5370847305312714E-2</c:v>
                </c:pt>
                <c:pt idx="32">
                  <c:v>0.10342772859589479</c:v>
                </c:pt>
                <c:pt idx="33">
                  <c:v>0.11148460988647686</c:v>
                </c:pt>
                <c:pt idx="34">
                  <c:v>0.11954149117705894</c:v>
                </c:pt>
                <c:pt idx="35">
                  <c:v>0.127598372467641</c:v>
                </c:pt>
                <c:pt idx="36">
                  <c:v>0.13565525375822307</c:v>
                </c:pt>
                <c:pt idx="37">
                  <c:v>0.14371213504880515</c:v>
                </c:pt>
                <c:pt idx="38">
                  <c:v>0.15176901633938722</c:v>
                </c:pt>
                <c:pt idx="39">
                  <c:v>0.15982589762996929</c:v>
                </c:pt>
              </c:numCache>
            </c:numRef>
          </c:cat>
          <c:val>
            <c:numRef>
              <c:f>Distributions!$O$22:$O$61</c:f>
              <c:numCache>
                <c:formatCode>0.000%</c:formatCode>
                <c:ptCount val="40"/>
                <c:pt idx="0">
                  <c:v>1.2345679012345678E-2</c:v>
                </c:pt>
                <c:pt idx="1">
                  <c:v>0</c:v>
                </c:pt>
                <c:pt idx="2">
                  <c:v>0</c:v>
                </c:pt>
                <c:pt idx="3">
                  <c:v>0</c:v>
                </c:pt>
                <c:pt idx="4">
                  <c:v>0</c:v>
                </c:pt>
                <c:pt idx="5">
                  <c:v>1.2345679012345678E-2</c:v>
                </c:pt>
                <c:pt idx="6">
                  <c:v>1.2345679012345678E-2</c:v>
                </c:pt>
                <c:pt idx="7">
                  <c:v>1.2345679012345678E-2</c:v>
                </c:pt>
                <c:pt idx="8">
                  <c:v>0</c:v>
                </c:pt>
                <c:pt idx="9">
                  <c:v>0</c:v>
                </c:pt>
                <c:pt idx="10">
                  <c:v>0</c:v>
                </c:pt>
                <c:pt idx="11">
                  <c:v>1.2345679012345678E-2</c:v>
                </c:pt>
                <c:pt idx="12">
                  <c:v>1.2345679012345678E-2</c:v>
                </c:pt>
                <c:pt idx="13">
                  <c:v>2.4691358024691357E-2</c:v>
                </c:pt>
                <c:pt idx="14">
                  <c:v>2.4691358024691357E-2</c:v>
                </c:pt>
                <c:pt idx="15">
                  <c:v>8.6419753086419748E-2</c:v>
                </c:pt>
                <c:pt idx="16">
                  <c:v>3.7037037037037035E-2</c:v>
                </c:pt>
                <c:pt idx="17">
                  <c:v>7.407407407407407E-2</c:v>
                </c:pt>
                <c:pt idx="18">
                  <c:v>3.7037037037037035E-2</c:v>
                </c:pt>
                <c:pt idx="19">
                  <c:v>0.1111111111111111</c:v>
                </c:pt>
                <c:pt idx="20">
                  <c:v>3.7037037037037035E-2</c:v>
                </c:pt>
                <c:pt idx="21">
                  <c:v>2.4691358024691357E-2</c:v>
                </c:pt>
                <c:pt idx="22">
                  <c:v>6.1728395061728392E-2</c:v>
                </c:pt>
                <c:pt idx="23">
                  <c:v>8.6419753086419748E-2</c:v>
                </c:pt>
                <c:pt idx="24">
                  <c:v>6.1728395061728392E-2</c:v>
                </c:pt>
                <c:pt idx="25">
                  <c:v>8.6419753086419748E-2</c:v>
                </c:pt>
                <c:pt idx="26">
                  <c:v>3.7037037037037035E-2</c:v>
                </c:pt>
                <c:pt idx="27">
                  <c:v>2.4691358024691357E-2</c:v>
                </c:pt>
                <c:pt idx="28">
                  <c:v>2.4691358024691357E-2</c:v>
                </c:pt>
                <c:pt idx="29">
                  <c:v>1.2345679012345678E-2</c:v>
                </c:pt>
                <c:pt idx="30">
                  <c:v>0</c:v>
                </c:pt>
                <c:pt idx="31">
                  <c:v>1.2345679012345678E-2</c:v>
                </c:pt>
                <c:pt idx="32">
                  <c:v>3.7037037037037035E-2</c:v>
                </c:pt>
                <c:pt idx="33">
                  <c:v>0</c:v>
                </c:pt>
                <c:pt idx="34">
                  <c:v>0</c:v>
                </c:pt>
                <c:pt idx="35">
                  <c:v>0</c:v>
                </c:pt>
                <c:pt idx="36">
                  <c:v>0</c:v>
                </c:pt>
                <c:pt idx="37">
                  <c:v>0</c:v>
                </c:pt>
                <c:pt idx="38">
                  <c:v>1.2345679012345678E-2</c:v>
                </c:pt>
                <c:pt idx="39">
                  <c:v>1.2345679012345678E-2</c:v>
                </c:pt>
              </c:numCache>
            </c:numRef>
          </c:val>
          <c:extLst>
            <c:ext xmlns:c16="http://schemas.microsoft.com/office/drawing/2014/chart" uri="{C3380CC4-5D6E-409C-BE32-E72D297353CC}">
              <c16:uniqueId val="{00000000-762E-4033-A619-7EBC0E47F90C}"/>
            </c:ext>
          </c:extLst>
        </c:ser>
        <c:ser>
          <c:idx val="1"/>
          <c:order val="1"/>
          <c:tx>
            <c:strRef>
              <c:f>Distributions!$P$21</c:f>
              <c:strCache>
                <c:ptCount val="1"/>
                <c:pt idx="0">
                  <c:v>normdist</c:v>
                </c:pt>
              </c:strCache>
            </c:strRef>
          </c:tx>
          <c:invertIfNegative val="0"/>
          <c:cat>
            <c:numRef>
              <c:f>Distributions!$M$22:$M$61</c:f>
              <c:numCache>
                <c:formatCode>0%</c:formatCode>
                <c:ptCount val="40"/>
                <c:pt idx="0">
                  <c:v>-0.15439247270273157</c:v>
                </c:pt>
                <c:pt idx="1">
                  <c:v>-0.1463355914121495</c:v>
                </c:pt>
                <c:pt idx="2">
                  <c:v>-0.13827871012156742</c:v>
                </c:pt>
                <c:pt idx="3">
                  <c:v>-0.13022182883098535</c:v>
                </c:pt>
                <c:pt idx="4">
                  <c:v>-0.12216494754040327</c:v>
                </c:pt>
                <c:pt idx="5">
                  <c:v>-0.1141080662498212</c:v>
                </c:pt>
                <c:pt idx="6">
                  <c:v>-0.10605118495923913</c:v>
                </c:pt>
                <c:pt idx="7">
                  <c:v>-9.7994303668657051E-2</c:v>
                </c:pt>
                <c:pt idx="8">
                  <c:v>-8.9937422378074977E-2</c:v>
                </c:pt>
                <c:pt idx="9">
                  <c:v>-8.1880541087492903E-2</c:v>
                </c:pt>
                <c:pt idx="10">
                  <c:v>-7.3823659796910829E-2</c:v>
                </c:pt>
                <c:pt idx="11">
                  <c:v>-6.5766778506328755E-2</c:v>
                </c:pt>
                <c:pt idx="12">
                  <c:v>-5.7709897215746681E-2</c:v>
                </c:pt>
                <c:pt idx="13">
                  <c:v>-4.9653015925164606E-2</c:v>
                </c:pt>
                <c:pt idx="14">
                  <c:v>-4.1596134634582532E-2</c:v>
                </c:pt>
                <c:pt idx="15">
                  <c:v>-3.3539253344000458E-2</c:v>
                </c:pt>
                <c:pt idx="16">
                  <c:v>-2.5482372053418384E-2</c:v>
                </c:pt>
                <c:pt idx="17">
                  <c:v>-1.742549076283631E-2</c:v>
                </c:pt>
                <c:pt idx="18">
                  <c:v>-9.3686094722542374E-3</c:v>
                </c:pt>
                <c:pt idx="19">
                  <c:v>-1.311728181672165E-3</c:v>
                </c:pt>
                <c:pt idx="20">
                  <c:v>6.7451531089099074E-3</c:v>
                </c:pt>
                <c:pt idx="21">
                  <c:v>1.480203439949198E-2</c:v>
                </c:pt>
                <c:pt idx="22">
                  <c:v>2.2858915690074054E-2</c:v>
                </c:pt>
                <c:pt idx="23">
                  <c:v>3.0915796980656128E-2</c:v>
                </c:pt>
                <c:pt idx="24">
                  <c:v>3.8972678271238202E-2</c:v>
                </c:pt>
                <c:pt idx="25">
                  <c:v>4.7029559561820276E-2</c:v>
                </c:pt>
                <c:pt idx="26">
                  <c:v>5.508644085240235E-2</c:v>
                </c:pt>
                <c:pt idx="27">
                  <c:v>6.3143322142984418E-2</c:v>
                </c:pt>
                <c:pt idx="28">
                  <c:v>7.1200203433566492E-2</c:v>
                </c:pt>
                <c:pt idx="29">
                  <c:v>7.9257084724148566E-2</c:v>
                </c:pt>
                <c:pt idx="30">
                  <c:v>8.731396601473064E-2</c:v>
                </c:pt>
                <c:pt idx="31">
                  <c:v>9.5370847305312714E-2</c:v>
                </c:pt>
                <c:pt idx="32">
                  <c:v>0.10342772859589479</c:v>
                </c:pt>
                <c:pt idx="33">
                  <c:v>0.11148460988647686</c:v>
                </c:pt>
                <c:pt idx="34">
                  <c:v>0.11954149117705894</c:v>
                </c:pt>
                <c:pt idx="35">
                  <c:v>0.127598372467641</c:v>
                </c:pt>
                <c:pt idx="36">
                  <c:v>0.13565525375822307</c:v>
                </c:pt>
                <c:pt idx="37">
                  <c:v>0.14371213504880515</c:v>
                </c:pt>
                <c:pt idx="38">
                  <c:v>0.15176901633938722</c:v>
                </c:pt>
                <c:pt idx="39">
                  <c:v>0.15982589762996929</c:v>
                </c:pt>
              </c:numCache>
            </c:numRef>
          </c:cat>
          <c:val>
            <c:numRef>
              <c:f>Distributions!$P$22:$P$61</c:f>
              <c:numCache>
                <c:formatCode>0.000%</c:formatCode>
                <c:ptCount val="40"/>
                <c:pt idx="0">
                  <c:v>6.6477726179070106E-4</c:v>
                </c:pt>
                <c:pt idx="1">
                  <c:v>1.0309150035920957E-3</c:v>
                </c:pt>
                <c:pt idx="2">
                  <c:v>1.5631402221633886E-3</c:v>
                </c:pt>
                <c:pt idx="3">
                  <c:v>2.317402070159276E-3</c:v>
                </c:pt>
                <c:pt idx="4">
                  <c:v>3.3591795442264351E-3</c:v>
                </c:pt>
                <c:pt idx="5">
                  <c:v>4.7609477753501172E-3</c:v>
                </c:pt>
                <c:pt idx="6">
                  <c:v>6.5975393970640842E-3</c:v>
                </c:pt>
                <c:pt idx="7">
                  <c:v>8.9392059103224168E-3</c:v>
                </c:pt>
                <c:pt idx="8">
                  <c:v>1.1842523745134132E-2</c:v>
                </c:pt>
                <c:pt idx="9">
                  <c:v>1.5339738684596711E-2</c:v>
                </c:pt>
                <c:pt idx="10">
                  <c:v>1.9427639349883771E-2</c:v>
                </c:pt>
                <c:pt idx="11">
                  <c:v>2.4057499101287957E-2</c:v>
                </c:pt>
                <c:pt idx="12">
                  <c:v>2.912790824748196E-2</c:v>
                </c:pt>
                <c:pt idx="13">
                  <c:v>3.448232110263498E-2</c:v>
                </c:pt>
                <c:pt idx="14">
                  <c:v>3.9912787484813243E-2</c:v>
                </c:pt>
                <c:pt idx="15">
                  <c:v>4.5170614823220684E-2</c:v>
                </c:pt>
                <c:pt idx="16">
                  <c:v>4.9983690433769969E-2</c:v>
                </c:pt>
                <c:pt idx="17">
                  <c:v>5.4079044369247216E-2</c:v>
                </c:pt>
                <c:pt idx="18">
                  <c:v>5.7208172319078626E-2</c:v>
                </c:pt>
                <c:pt idx="19">
                  <c:v>5.9171899636183335E-2</c:v>
                </c:pt>
                <c:pt idx="20">
                  <c:v>5.9841342060214908E-2</c:v>
                </c:pt>
                <c:pt idx="21">
                  <c:v>5.9171899636183335E-2</c:v>
                </c:pt>
                <c:pt idx="22">
                  <c:v>5.7208172319078605E-2</c:v>
                </c:pt>
                <c:pt idx="23">
                  <c:v>5.4079044369247167E-2</c:v>
                </c:pt>
                <c:pt idx="24">
                  <c:v>4.9983690433769927E-2</c:v>
                </c:pt>
                <c:pt idx="25">
                  <c:v>4.5170614823220642E-2</c:v>
                </c:pt>
                <c:pt idx="26">
                  <c:v>3.9912787484813202E-2</c:v>
                </c:pt>
                <c:pt idx="27">
                  <c:v>3.4482321102634932E-2</c:v>
                </c:pt>
                <c:pt idx="28">
                  <c:v>2.9127908247481914E-2</c:v>
                </c:pt>
                <c:pt idx="29">
                  <c:v>2.4057499101287915E-2</c:v>
                </c:pt>
                <c:pt idx="30">
                  <c:v>1.9427639349883733E-2</c:v>
                </c:pt>
                <c:pt idx="31">
                  <c:v>1.5339738684596682E-2</c:v>
                </c:pt>
                <c:pt idx="32">
                  <c:v>1.1842523745134103E-2</c:v>
                </c:pt>
                <c:pt idx="33">
                  <c:v>8.939205910322396E-3</c:v>
                </c:pt>
                <c:pt idx="34">
                  <c:v>6.5975393970640677E-3</c:v>
                </c:pt>
                <c:pt idx="35">
                  <c:v>4.7609477753501033E-3</c:v>
                </c:pt>
                <c:pt idx="36">
                  <c:v>3.359179544226432E-3</c:v>
                </c:pt>
                <c:pt idx="37">
                  <c:v>2.3174020701592713E-3</c:v>
                </c:pt>
                <c:pt idx="38">
                  <c:v>1.5631402221633866E-3</c:v>
                </c:pt>
                <c:pt idx="39">
                  <c:v>1.0309150035920948E-3</c:v>
                </c:pt>
              </c:numCache>
            </c:numRef>
          </c:val>
          <c:extLst>
            <c:ext xmlns:c16="http://schemas.microsoft.com/office/drawing/2014/chart" uri="{C3380CC4-5D6E-409C-BE32-E72D297353CC}">
              <c16:uniqueId val="{00000001-762E-4033-A619-7EBC0E47F90C}"/>
            </c:ext>
          </c:extLst>
        </c:ser>
        <c:dLbls>
          <c:showLegendKey val="0"/>
          <c:showVal val="0"/>
          <c:showCatName val="0"/>
          <c:showSerName val="0"/>
          <c:showPercent val="0"/>
          <c:showBubbleSize val="0"/>
        </c:dLbls>
        <c:gapWidth val="150"/>
        <c:axId val="1979533504"/>
        <c:axId val="1979523712"/>
      </c:barChart>
      <c:catAx>
        <c:axId val="1979533504"/>
        <c:scaling>
          <c:orientation val="minMax"/>
        </c:scaling>
        <c:delete val="0"/>
        <c:axPos val="b"/>
        <c:numFmt formatCode="0%" sourceLinked="1"/>
        <c:majorTickMark val="out"/>
        <c:minorTickMark val="none"/>
        <c:tickLblPos val="nextTo"/>
        <c:crossAx val="1979523712"/>
        <c:crosses val="autoZero"/>
        <c:auto val="1"/>
        <c:lblAlgn val="ctr"/>
        <c:lblOffset val="100"/>
        <c:noMultiLvlLbl val="0"/>
      </c:catAx>
      <c:valAx>
        <c:axId val="1979523712"/>
        <c:scaling>
          <c:orientation val="minMax"/>
        </c:scaling>
        <c:delete val="0"/>
        <c:axPos val="l"/>
        <c:majorGridlines/>
        <c:numFmt formatCode="0.000%" sourceLinked="1"/>
        <c:majorTickMark val="out"/>
        <c:minorTickMark val="none"/>
        <c:tickLblPos val="nextTo"/>
        <c:crossAx val="1979533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Distributions!$Z$22:$Z$61</c:f>
              <c:numCache>
                <c:formatCode>#,##0.0000</c:formatCode>
                <c:ptCount val="40"/>
                <c:pt idx="0">
                  <c:v>1.2500000000000001E-2</c:v>
                </c:pt>
                <c:pt idx="1">
                  <c:v>1.2500000000000001E-2</c:v>
                </c:pt>
                <c:pt idx="2">
                  <c:v>0</c:v>
                </c:pt>
                <c:pt idx="3">
                  <c:v>0</c:v>
                </c:pt>
                <c:pt idx="4">
                  <c:v>0</c:v>
                </c:pt>
                <c:pt idx="5">
                  <c:v>0</c:v>
                </c:pt>
                <c:pt idx="6">
                  <c:v>0</c:v>
                </c:pt>
                <c:pt idx="7">
                  <c:v>2.5000000000000001E-2</c:v>
                </c:pt>
                <c:pt idx="8">
                  <c:v>0</c:v>
                </c:pt>
                <c:pt idx="9">
                  <c:v>0</c:v>
                </c:pt>
                <c:pt idx="10">
                  <c:v>0</c:v>
                </c:pt>
                <c:pt idx="11">
                  <c:v>0</c:v>
                </c:pt>
                <c:pt idx="12">
                  <c:v>0</c:v>
                </c:pt>
                <c:pt idx="13">
                  <c:v>1.2500000000000001E-2</c:v>
                </c:pt>
                <c:pt idx="14">
                  <c:v>3.7499999999999999E-2</c:v>
                </c:pt>
                <c:pt idx="15">
                  <c:v>7.4999999999999997E-2</c:v>
                </c:pt>
                <c:pt idx="16">
                  <c:v>6.25E-2</c:v>
                </c:pt>
                <c:pt idx="17">
                  <c:v>1.2500000000000001E-2</c:v>
                </c:pt>
                <c:pt idx="18">
                  <c:v>0.1</c:v>
                </c:pt>
                <c:pt idx="19">
                  <c:v>0.1125</c:v>
                </c:pt>
                <c:pt idx="20">
                  <c:v>0.1125</c:v>
                </c:pt>
                <c:pt idx="21">
                  <c:v>3.7499999999999999E-2</c:v>
                </c:pt>
                <c:pt idx="22">
                  <c:v>7.4999999999999997E-2</c:v>
                </c:pt>
                <c:pt idx="23">
                  <c:v>3.7499999999999999E-2</c:v>
                </c:pt>
                <c:pt idx="24">
                  <c:v>2.5000000000000001E-2</c:v>
                </c:pt>
                <c:pt idx="25">
                  <c:v>3.7499999999999999E-2</c:v>
                </c:pt>
                <c:pt idx="26">
                  <c:v>3.7499999999999999E-2</c:v>
                </c:pt>
                <c:pt idx="27">
                  <c:v>0.05</c:v>
                </c:pt>
                <c:pt idx="28">
                  <c:v>2.5000000000000001E-2</c:v>
                </c:pt>
                <c:pt idx="29">
                  <c:v>3.7499999999999999E-2</c:v>
                </c:pt>
                <c:pt idx="30">
                  <c:v>2.5000000000000001E-2</c:v>
                </c:pt>
                <c:pt idx="31">
                  <c:v>2.5000000000000001E-2</c:v>
                </c:pt>
                <c:pt idx="32">
                  <c:v>0</c:v>
                </c:pt>
                <c:pt idx="33">
                  <c:v>0</c:v>
                </c:pt>
                <c:pt idx="34">
                  <c:v>0</c:v>
                </c:pt>
                <c:pt idx="35">
                  <c:v>0</c:v>
                </c:pt>
                <c:pt idx="36">
                  <c:v>1.2500000000000001E-2</c:v>
                </c:pt>
                <c:pt idx="37">
                  <c:v>0</c:v>
                </c:pt>
                <c:pt idx="38">
                  <c:v>0</c:v>
                </c:pt>
                <c:pt idx="39">
                  <c:v>0</c:v>
                </c:pt>
              </c:numCache>
            </c:numRef>
          </c:val>
          <c:extLst>
            <c:ext xmlns:c16="http://schemas.microsoft.com/office/drawing/2014/chart" uri="{C3380CC4-5D6E-409C-BE32-E72D297353CC}">
              <c16:uniqueId val="{00000000-F2D9-4254-B3A6-8DB5F9F1F1B5}"/>
            </c:ext>
          </c:extLst>
        </c:ser>
        <c:ser>
          <c:idx val="1"/>
          <c:order val="1"/>
          <c:tx>
            <c:strRef>
              <c:f>Distributions!$AA$21</c:f>
              <c:strCache>
                <c:ptCount val="1"/>
                <c:pt idx="0">
                  <c:v>normdist</c:v>
                </c:pt>
              </c:strCache>
            </c:strRef>
          </c:tx>
          <c:invertIfNegative val="0"/>
          <c:cat>
            <c:numRef>
              <c:f>Distributions!$X$22:$X$61</c:f>
              <c:numCache>
                <c:formatCode>0%</c:formatCode>
                <c:ptCount val="40"/>
                <c:pt idx="0">
                  <c:v>-0.14488600517809525</c:v>
                </c:pt>
                <c:pt idx="1">
                  <c:v>-0.13711790255688938</c:v>
                </c:pt>
                <c:pt idx="2">
                  <c:v>-0.12934979993568352</c:v>
                </c:pt>
                <c:pt idx="3">
                  <c:v>-0.12158169731447765</c:v>
                </c:pt>
                <c:pt idx="4">
                  <c:v>-0.11381359469327179</c:v>
                </c:pt>
                <c:pt idx="5">
                  <c:v>-0.10604549207206593</c:v>
                </c:pt>
                <c:pt idx="6">
                  <c:v>-9.8277389450860064E-2</c:v>
                </c:pt>
                <c:pt idx="7">
                  <c:v>-9.0509286829654201E-2</c:v>
                </c:pt>
                <c:pt idx="8">
                  <c:v>-8.2741184208448337E-2</c:v>
                </c:pt>
                <c:pt idx="9">
                  <c:v>-7.4973081587242474E-2</c:v>
                </c:pt>
                <c:pt idx="10">
                  <c:v>-6.720497896603661E-2</c:v>
                </c:pt>
                <c:pt idx="11">
                  <c:v>-5.943687634483074E-2</c:v>
                </c:pt>
                <c:pt idx="12">
                  <c:v>-5.166877372362487E-2</c:v>
                </c:pt>
                <c:pt idx="13">
                  <c:v>-4.3900671102418999E-2</c:v>
                </c:pt>
                <c:pt idx="14">
                  <c:v>-3.6132568481213129E-2</c:v>
                </c:pt>
                <c:pt idx="15">
                  <c:v>-2.8364465860007262E-2</c:v>
                </c:pt>
                <c:pt idx="16">
                  <c:v>-2.0596363238801395E-2</c:v>
                </c:pt>
                <c:pt idx="17">
                  <c:v>-1.2828260617595528E-2</c:v>
                </c:pt>
                <c:pt idx="18">
                  <c:v>-5.06015799638966E-3</c:v>
                </c:pt>
                <c:pt idx="19">
                  <c:v>2.7079446248162078E-3</c:v>
                </c:pt>
                <c:pt idx="20">
                  <c:v>1.0476047246022076E-2</c:v>
                </c:pt>
                <c:pt idx="21">
                  <c:v>1.8244149867227943E-2</c:v>
                </c:pt>
                <c:pt idx="22">
                  <c:v>2.601225248843381E-2</c:v>
                </c:pt>
                <c:pt idx="23">
                  <c:v>3.3780355109639677E-2</c:v>
                </c:pt>
                <c:pt idx="24">
                  <c:v>4.1548457730845548E-2</c:v>
                </c:pt>
                <c:pt idx="25">
                  <c:v>4.9316560352051418E-2</c:v>
                </c:pt>
                <c:pt idx="26">
                  <c:v>5.7084662973257289E-2</c:v>
                </c:pt>
                <c:pt idx="27">
                  <c:v>6.4852765594463152E-2</c:v>
                </c:pt>
                <c:pt idx="28">
                  <c:v>7.2620868215669016E-2</c:v>
                </c:pt>
                <c:pt idx="29">
                  <c:v>8.0388970836874879E-2</c:v>
                </c:pt>
                <c:pt idx="30">
                  <c:v>8.8157073458080742E-2</c:v>
                </c:pt>
                <c:pt idx="31">
                  <c:v>9.5925176079286606E-2</c:v>
                </c:pt>
                <c:pt idx="32">
                  <c:v>0.10369327870049247</c:v>
                </c:pt>
                <c:pt idx="33">
                  <c:v>0.11146138132169833</c:v>
                </c:pt>
                <c:pt idx="34">
                  <c:v>0.1192294839429042</c:v>
                </c:pt>
                <c:pt idx="35">
                  <c:v>0.12699758656411006</c:v>
                </c:pt>
                <c:pt idx="36">
                  <c:v>0.13476568918531592</c:v>
                </c:pt>
                <c:pt idx="37">
                  <c:v>0.14253379180652179</c:v>
                </c:pt>
                <c:pt idx="38">
                  <c:v>0.15030189442772765</c:v>
                </c:pt>
                <c:pt idx="39">
                  <c:v>0.15806999704893351</c:v>
                </c:pt>
              </c:numCache>
            </c:numRef>
          </c:cat>
          <c:val>
            <c:numRef>
              <c:f>Distributions!$AA$22:$AA$61</c:f>
              <c:numCache>
                <c:formatCode>General</c:formatCode>
                <c:ptCount val="40"/>
                <c:pt idx="0">
                  <c:v>6.6477726179070117E-4</c:v>
                </c:pt>
                <c:pt idx="1">
                  <c:v>1.0309150035920957E-3</c:v>
                </c:pt>
                <c:pt idx="2">
                  <c:v>1.5631402221633886E-3</c:v>
                </c:pt>
                <c:pt idx="3">
                  <c:v>2.3174020701592739E-3</c:v>
                </c:pt>
                <c:pt idx="4">
                  <c:v>3.3591795442264351E-3</c:v>
                </c:pt>
                <c:pt idx="5">
                  <c:v>4.7609477753501129E-3</c:v>
                </c:pt>
                <c:pt idx="6">
                  <c:v>6.597539397064079E-3</c:v>
                </c:pt>
                <c:pt idx="7">
                  <c:v>8.9392059103224047E-3</c:v>
                </c:pt>
                <c:pt idx="8">
                  <c:v>1.1842523745134117E-2</c:v>
                </c:pt>
                <c:pt idx="9">
                  <c:v>1.5339738684596696E-2</c:v>
                </c:pt>
                <c:pt idx="10">
                  <c:v>1.9427639349883747E-2</c:v>
                </c:pt>
                <c:pt idx="11">
                  <c:v>2.4057499101287926E-2</c:v>
                </c:pt>
                <c:pt idx="12">
                  <c:v>2.9127908247481928E-2</c:v>
                </c:pt>
                <c:pt idx="13">
                  <c:v>3.4482321102634932E-2</c:v>
                </c:pt>
                <c:pt idx="14">
                  <c:v>3.9912787484813216E-2</c:v>
                </c:pt>
                <c:pt idx="15">
                  <c:v>4.5170614823220656E-2</c:v>
                </c:pt>
                <c:pt idx="16">
                  <c:v>4.9983690433769934E-2</c:v>
                </c:pt>
                <c:pt idx="17">
                  <c:v>5.4079044369247181E-2</c:v>
                </c:pt>
                <c:pt idx="18">
                  <c:v>5.7208172319078605E-2</c:v>
                </c:pt>
                <c:pt idx="19">
                  <c:v>5.9171899636183328E-2</c:v>
                </c:pt>
                <c:pt idx="20">
                  <c:v>5.9841342060214908E-2</c:v>
                </c:pt>
                <c:pt idx="21">
                  <c:v>5.9171899636183342E-2</c:v>
                </c:pt>
                <c:pt idx="22">
                  <c:v>5.7208172319078626E-2</c:v>
                </c:pt>
                <c:pt idx="23">
                  <c:v>5.4079044369247216E-2</c:v>
                </c:pt>
                <c:pt idx="24">
                  <c:v>4.9983690433769969E-2</c:v>
                </c:pt>
                <c:pt idx="25">
                  <c:v>4.5170614823220684E-2</c:v>
                </c:pt>
                <c:pt idx="26">
                  <c:v>3.9912787484813229E-2</c:v>
                </c:pt>
                <c:pt idx="27">
                  <c:v>3.4482321102634966E-2</c:v>
                </c:pt>
                <c:pt idx="28">
                  <c:v>2.9127908247481956E-2</c:v>
                </c:pt>
                <c:pt idx="29">
                  <c:v>2.4057499101287953E-2</c:v>
                </c:pt>
                <c:pt idx="30">
                  <c:v>1.9427639349883775E-2</c:v>
                </c:pt>
                <c:pt idx="31">
                  <c:v>1.5339738684596715E-2</c:v>
                </c:pt>
                <c:pt idx="32">
                  <c:v>1.1842523745134139E-2</c:v>
                </c:pt>
                <c:pt idx="33">
                  <c:v>8.9392059103224238E-3</c:v>
                </c:pt>
                <c:pt idx="34">
                  <c:v>6.5975393970640912E-3</c:v>
                </c:pt>
                <c:pt idx="35">
                  <c:v>4.7609477753501207E-3</c:v>
                </c:pt>
                <c:pt idx="36">
                  <c:v>3.3591795442264429E-3</c:v>
                </c:pt>
                <c:pt idx="37">
                  <c:v>2.3174020701592847E-3</c:v>
                </c:pt>
                <c:pt idx="38">
                  <c:v>1.5631402221633962E-3</c:v>
                </c:pt>
                <c:pt idx="39">
                  <c:v>1.0309150035921013E-3</c:v>
                </c:pt>
              </c:numCache>
            </c:numRef>
          </c:val>
          <c:extLst>
            <c:ext xmlns:c16="http://schemas.microsoft.com/office/drawing/2014/chart" uri="{C3380CC4-5D6E-409C-BE32-E72D297353CC}">
              <c16:uniqueId val="{00000001-F2D9-4254-B3A6-8DB5F9F1F1B5}"/>
            </c:ext>
          </c:extLst>
        </c:ser>
        <c:dLbls>
          <c:showLegendKey val="0"/>
          <c:showVal val="0"/>
          <c:showCatName val="0"/>
          <c:showSerName val="0"/>
          <c:showPercent val="0"/>
          <c:showBubbleSize val="0"/>
        </c:dLbls>
        <c:gapWidth val="150"/>
        <c:axId val="1979538400"/>
        <c:axId val="1979525888"/>
      </c:barChart>
      <c:catAx>
        <c:axId val="1979538400"/>
        <c:scaling>
          <c:orientation val="minMax"/>
        </c:scaling>
        <c:delete val="0"/>
        <c:axPos val="b"/>
        <c:numFmt formatCode="0%" sourceLinked="1"/>
        <c:majorTickMark val="out"/>
        <c:minorTickMark val="none"/>
        <c:tickLblPos val="nextTo"/>
        <c:crossAx val="1979525888"/>
        <c:crosses val="autoZero"/>
        <c:auto val="1"/>
        <c:lblAlgn val="ctr"/>
        <c:lblOffset val="100"/>
        <c:noMultiLvlLbl val="0"/>
      </c:catAx>
      <c:valAx>
        <c:axId val="1979525888"/>
        <c:scaling>
          <c:orientation val="minMax"/>
        </c:scaling>
        <c:delete val="0"/>
        <c:axPos val="l"/>
        <c:majorGridlines/>
        <c:numFmt formatCode="#,##0.0000" sourceLinked="1"/>
        <c:majorTickMark val="out"/>
        <c:minorTickMark val="none"/>
        <c:tickLblPos val="nextTo"/>
        <c:crossAx val="1979538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Ref>
              <c:f>[0]!Erlend</c:f>
              <c:numCache>
                <c:formatCode>General</c:formatCode>
                <c:ptCount val="4"/>
                <c:pt idx="0">
                  <c:v>100</c:v>
                </c:pt>
                <c:pt idx="1">
                  <c:v>200</c:v>
                </c:pt>
                <c:pt idx="2">
                  <c:v>300</c:v>
                </c:pt>
                <c:pt idx="3">
                  <c:v>400</c:v>
                </c:pt>
              </c:numCache>
            </c:numRef>
          </c:val>
          <c:extLst>
            <c:ext xmlns:c16="http://schemas.microsoft.com/office/drawing/2014/chart" uri="{C3380CC4-5D6E-409C-BE32-E72D297353CC}">
              <c16:uniqueId val="{00000000-1951-4B17-8C6D-53A0B15F77A1}"/>
            </c:ext>
          </c:extLst>
        </c:ser>
        <c:dLbls>
          <c:showLegendKey val="0"/>
          <c:showVal val="0"/>
          <c:showCatName val="0"/>
          <c:showSerName val="0"/>
          <c:showPercent val="0"/>
          <c:showBubbleSize val="0"/>
        </c:dLbls>
        <c:gapWidth val="150"/>
        <c:axId val="1979531872"/>
        <c:axId val="1979532416"/>
      </c:barChart>
      <c:catAx>
        <c:axId val="1979531872"/>
        <c:scaling>
          <c:orientation val="minMax"/>
        </c:scaling>
        <c:delete val="0"/>
        <c:axPos val="b"/>
        <c:majorTickMark val="out"/>
        <c:minorTickMark val="none"/>
        <c:tickLblPos val="nextTo"/>
        <c:crossAx val="1979532416"/>
        <c:crosses val="autoZero"/>
        <c:auto val="1"/>
        <c:lblAlgn val="ctr"/>
        <c:lblOffset val="100"/>
        <c:noMultiLvlLbl val="0"/>
      </c:catAx>
      <c:valAx>
        <c:axId val="1979532416"/>
        <c:scaling>
          <c:orientation val="minMax"/>
        </c:scaling>
        <c:delete val="0"/>
        <c:axPos val="l"/>
        <c:majorGridlines/>
        <c:numFmt formatCode="General" sourceLinked="1"/>
        <c:majorTickMark val="out"/>
        <c:minorTickMark val="none"/>
        <c:tickLblPos val="nextTo"/>
        <c:crossAx val="1979531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4.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drawing" Target="../drawings/drawing16.xml"/></Relationships>
</file>

<file path=xl/chartsheets/_rels/sheet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4.bin"/></Relationships>
</file>

<file path=xl/chartsheets/_rels/sheet6.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drawing" Target="../drawings/drawing19.xml"/></Relationships>
</file>

<file path=xl/chartsheets/_rels/sheet7.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drawing" Target="../drawings/drawing20.xml"/></Relationships>
</file>

<file path=xl/chartsheets/_rels/sheet8.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drawing" Target="../drawings/drawing2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7"/>
  <sheetViews>
    <sheetView zoomScale="62" workbookViewId="0" zoomToFit="1"/>
  </sheetViews>
  <pageMargins left="0.7" right="0.7" top="0.75" bottom="0.75"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800-000000000000}">
  <sheetPr codeName="Chart5"/>
  <sheetViews>
    <sheetView zoomScale="75" workbookViewId="0" zoomToFit="1"/>
  </sheetViews>
  <pageMargins left="0.7" right="0.7" top="0.75" bottom="0.75" header="0.3" footer="0.3"/>
  <drawing r:id="rId1"/>
  <legacy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6"/>
  <sheetViews>
    <sheetView zoomScale="75"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D00-000000000000}">
  <sheetPr codeName="Chart8"/>
  <sheetViews>
    <sheetView zoomScale="75" workbookViewId="0" zoomToFit="1"/>
  </sheetViews>
  <pageMargins left="0.7" right="0.7" top="0.75" bottom="0.75" header="0.3" footer="0.3"/>
  <drawing r:id="rId1"/>
  <legacyDrawing r:id="rId2"/>
</chartsheet>
</file>

<file path=xl/chartsheets/sheet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E00-000000000000}">
  <sheetPr codeName="Chart3"/>
  <sheetViews>
    <sheetView zoomScale="75" workbookViewId="0" zoomToFit="1"/>
  </sheetViews>
  <pageMargins left="0.7" right="0.7" top="0.75" bottom="0.75" header="0.3" footer="0.3"/>
  <pageSetup orientation="landscape" r:id="rId1"/>
  <drawing r:id="rId2"/>
  <legacyDrawing r:id="rId3"/>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F00-000000000000}">
  <sheetPr codeName="Chart11"/>
  <sheetViews>
    <sheetView zoomScale="90" workbookViewId="0" zoomToFit="1"/>
  </sheetViews>
  <pageMargins left="0.7" right="0.7" top="0.75" bottom="0.75" header="0.3" footer="0.3"/>
  <drawing r:id="rId1"/>
  <legacy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0"/>
  <sheetViews>
    <sheetView zoomScale="75" workbookViewId="0" zoomToFit="1"/>
  </sheetViews>
  <pageMargins left="0.7" right="0.7" top="0.75" bottom="0.75" header="0.3" footer="0.3"/>
  <drawing r:id="rId1"/>
  <legacyDrawing r:id="rId2"/>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2"/>
  <sheetViews>
    <sheetView zoomScale="75" workbookViewId="0" zoomToFit="1"/>
  </sheetViews>
  <pageMargins left="0.7" right="0.7" top="0.75" bottom="0.75" header="0.3" footer="0.3"/>
  <drawing r:id="rId1"/>
  <legacyDrawing r:id="rId2"/>
</chartsheet>
</file>

<file path=xl/ctrlProps/ctrlProp1.xml><?xml version="1.0" encoding="utf-8"?>
<formControlPr xmlns="http://schemas.microsoft.com/office/spreadsheetml/2009/9/main" objectType="Drop" dropLines="30" dropStyle="combo" dx="31" fmlaLink="'Prices for Graph'!$M$4" fmlaRange="'Monthly Prices'!$A$8:$A$717" noThreeD="1" sel="491" val="489"/>
</file>

<file path=xl/ctrlProps/ctrlProp2.xml><?xml version="1.0" encoding="utf-8"?>
<formControlPr xmlns="http://schemas.microsoft.com/office/spreadsheetml/2009/9/main" objectType="Drop" dropLines="40" dropStyle="combo" dx="31" fmlaLink="'Prices for Graph'!$G$4" fmlaRange="Misc!$C$5:$C$83" noThreeD="1" sel="30" val="7"/>
</file>

<file path=xl/ctrlProps/ctrlProp3.xml><?xml version="1.0" encoding="utf-8"?>
<formControlPr xmlns="http://schemas.microsoft.com/office/spreadsheetml/2009/9/main" objectType="Drop" dropLines="40" dropStyle="combo" dx="31" fmlaLink="'Prices for Graph'!$G$5" fmlaRange="Misc!$C$5:$C$83" noThreeD="1" sel="29" val="6"/>
</file>

<file path=xl/ctrlProps/ctrlProp4.xml><?xml version="1.0" encoding="utf-8"?>
<formControlPr xmlns="http://schemas.microsoft.com/office/spreadsheetml/2009/9/main" objectType="Spin" dx="16" fmlaLink="'Prices for Graph'!$G$5" max="70" min="1" page="10" val="29"/>
</file>

<file path=xl/ctrlProps/ctrlProp5.xml><?xml version="1.0" encoding="utf-8"?>
<formControlPr xmlns="http://schemas.microsoft.com/office/spreadsheetml/2009/9/main" objectType="Drop" dropLines="30" dropStyle="combo" dx="31" fmlaLink="'Prices for Graph'!$M$5" fmlaRange="'Monthly Prices'!$A$8:$A$850" noThreeD="1" sel="571" val="570"/>
</file>

<file path=xl/ctrlProps/ctrlProp6.xml><?xml version="1.0" encoding="utf-8"?>
<formControlPr xmlns="http://schemas.microsoft.com/office/spreadsheetml/2009/9/main" objectType="Spin" dx="16" fmlaLink="'Prices for Graph'!$M$4" inc="12" max="5000" min="1" page="10" val="491"/>
</file>

<file path=xl/ctrlProps/ctrlProp7.xml><?xml version="1.0" encoding="utf-8"?>
<formControlPr xmlns="http://schemas.microsoft.com/office/spreadsheetml/2009/9/main" objectType="Spin" dx="16" fmlaLink="'Prices for Graph'!$M$4" inc="60" max="5000" min="1" page="10" val="49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Prices for Graph'!$E$17" lockText="1" noThreeD="1"/>
</file>

<file path=xl/ctrlProps/ctrlProp11.xml><?xml version="1.0" encoding="utf-8"?>
<formControlPr xmlns="http://schemas.microsoft.com/office/spreadsheetml/2009/9/main" objectType="Drop" dropLines="30" dropStyle="combo" dx="31" fmlaLink="'Prices for Graph'!$M$4" fmlaRange="'Monthly Prices'!$A$8:$A$717" noThreeD="1" sel="491" val="271"/>
</file>

<file path=xl/ctrlProps/ctrlProp12.xml><?xml version="1.0" encoding="utf-8"?>
<formControlPr xmlns="http://schemas.microsoft.com/office/spreadsheetml/2009/9/main" objectType="Drop" dropStyle="combo" dx="31" fmlaLink="'Prices for Graph'!$G$4" fmlaRange="Misc!$C$5:$C$83" noThreeD="1" sel="30" val="0"/>
</file>

<file path=xl/ctrlProps/ctrlProp13.xml><?xml version="1.0" encoding="utf-8"?>
<formControlPr xmlns="http://schemas.microsoft.com/office/spreadsheetml/2009/9/main" objectType="Drop" dropStyle="combo" dx="31" fmlaLink="'Prices for Graph'!$G$5" fmlaRange="Misc!$C$5:$C$83" noThreeD="1" sel="29" val="4"/>
</file>

<file path=xl/ctrlProps/ctrlProp14.xml><?xml version="1.0" encoding="utf-8"?>
<formControlPr xmlns="http://schemas.microsoft.com/office/spreadsheetml/2009/9/main" objectType="Spin" dx="16" fmlaLink="'Prices for Graph'!$G$5" max="50" min="1" page="10" val="29"/>
</file>

<file path=xl/ctrlProps/ctrlProp15.xml><?xml version="1.0" encoding="utf-8"?>
<formControlPr xmlns="http://schemas.microsoft.com/office/spreadsheetml/2009/9/main" objectType="Drop" dropLines="30" dropStyle="combo" dx="31" fmlaLink="'Prices for Graph'!$M$5" fmlaRange="'Monthly Prices'!$A$8:$A$717" noThreeD="1" sel="571" val="668"/>
</file>

<file path=xl/ctrlProps/ctrlProp16.xml><?xml version="1.0" encoding="utf-8"?>
<formControlPr xmlns="http://schemas.microsoft.com/office/spreadsheetml/2009/9/main" objectType="Spin" dx="16" fmlaLink="'Prices for Graph'!$M$4" inc="12" max="50" min="1" page="10" val="5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fmlaLink="Apply_Input" lockText="1" noThreeD="1"/>
</file>

<file path=xl/ctrlProps/ctrlProp20.xml><?xml version="1.0" encoding="utf-8"?>
<formControlPr xmlns="http://schemas.microsoft.com/office/spreadsheetml/2009/9/main" objectType="Spin" dx="22" fmlaLink="'History and Forecast'!$C$2" max="2017" min="1961" page="10" val="1996"/>
</file>

<file path=xl/ctrlProps/ctrlProp21.xml><?xml version="1.0" encoding="utf-8"?>
<formControlPr xmlns="http://schemas.microsoft.com/office/spreadsheetml/2009/9/main" objectType="Spin" dx="22" fmlaLink="'History and Forecast'!$C$3" max="2040" min="1961" page="10" val="2027"/>
</file>

<file path=xl/ctrlProps/ctrlProp22.xml><?xml version="1.0" encoding="utf-8"?>
<formControlPr xmlns="http://schemas.microsoft.com/office/spreadsheetml/2009/9/main" objectType="Spin" dx="22" fmlaLink="'History and Forecast'!$C$4" max="2040" min="1961" page="10" val="2019"/>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31" fmlaLink="'History and Forecast'!$B$68" fmlaRange="'History and Forecast'!$B$64:$B$66" noThreeD="1" sel="1" val="0"/>
</file>

<file path=xl/ctrlProps/ctrlProp25.xml><?xml version="1.0" encoding="utf-8"?>
<formControlPr xmlns="http://schemas.microsoft.com/office/spreadsheetml/2009/9/main" objectType="CheckBox" fmlaLink="'History and Forecast Chart'!$L$3" lockText="1" noThreeD="1"/>
</file>

<file path=xl/ctrlProps/ctrlProp26.xml><?xml version="1.0" encoding="utf-8"?>
<formControlPr xmlns="http://schemas.microsoft.com/office/spreadsheetml/2009/9/main" objectType="CheckBox" checked="Checked" fmlaLink="'History and Forecast Chart'!$L$4" lockText="1" noThreeD="1"/>
</file>

<file path=xl/ctrlProps/ctrlProp27.xml><?xml version="1.0" encoding="utf-8"?>
<formControlPr xmlns="http://schemas.microsoft.com/office/spreadsheetml/2009/9/main" objectType="CheckBox" fmlaLink="'History and Forecast Chart'!$L$5" lockText="1" noThreeD="1"/>
</file>

<file path=xl/ctrlProps/ctrlProp28.xml><?xml version="1.0" encoding="utf-8"?>
<formControlPr xmlns="http://schemas.microsoft.com/office/spreadsheetml/2009/9/main" objectType="CheckBox" fmlaLink="'History and Forecast Chart'!$L$6" lockText="1" noThreeD="1"/>
</file>

<file path=xl/ctrlProps/ctrlProp29.xml><?xml version="1.0" encoding="utf-8"?>
<formControlPr xmlns="http://schemas.microsoft.com/office/spreadsheetml/2009/9/main" objectType="CheckBox" fmlaLink="'History and Forecast Chart'!$L$7" lockText="1" noThreeD="1"/>
</file>

<file path=xl/ctrlProps/ctrlProp30.xml><?xml version="1.0" encoding="utf-8"?>
<formControlPr xmlns="http://schemas.microsoft.com/office/spreadsheetml/2009/9/main" objectType="CheckBox" fmlaLink="'History and Forecast Chart'!$L$8" lockText="1" noThreeD="1"/>
</file>

<file path=xl/ctrlProps/ctrlProp31.xml><?xml version="1.0" encoding="utf-8"?>
<formControlPr xmlns="http://schemas.microsoft.com/office/spreadsheetml/2009/9/main" objectType="CheckBox" fmlaLink="'History and Forecast Chart'!$L$9" lockText="1" noThreeD="1"/>
</file>

<file path=xl/ctrlProps/ctrlProp32.xml><?xml version="1.0" encoding="utf-8"?>
<formControlPr xmlns="http://schemas.microsoft.com/office/spreadsheetml/2009/9/main" objectType="CheckBox" fmlaLink="'History and Forecast Chart'!$L$10"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History and Forecast Chart'!$L$11" lockText="1" noThreeD="1"/>
</file>

<file path=xl/ctrlProps/ctrlProp35.xml><?xml version="1.0" encoding="utf-8"?>
<formControlPr xmlns="http://schemas.microsoft.com/office/spreadsheetml/2009/9/main" objectType="CheckBox" fmlaLink="'History and Forecast Chart'!$L$12" lockText="1" noThreeD="1"/>
</file>

<file path=xl/ctrlProps/ctrlProp36.xml><?xml version="1.0" encoding="utf-8"?>
<formControlPr xmlns="http://schemas.microsoft.com/office/spreadsheetml/2009/9/main" objectType="CheckBox" fmlaLink="'History and Forecast Chart'!$L$13" lockText="1" noThreeD="1"/>
</file>

<file path=xl/ctrlProps/ctrlProp37.xml><?xml version="1.0" encoding="utf-8"?>
<formControlPr xmlns="http://schemas.microsoft.com/office/spreadsheetml/2009/9/main" objectType="CheckBox" checked="Checked" fmlaLink="'History and Forecast Chart'!$L$14" lockText="1" noThreeD="1"/>
</file>

<file path=xl/ctrlProps/ctrlProp38.xml><?xml version="1.0" encoding="utf-8"?>
<formControlPr xmlns="http://schemas.microsoft.com/office/spreadsheetml/2009/9/main" objectType="CheckBox" fmlaLink="'History and Forecast Chart'!$L$15" lockText="1" noThreeD="1"/>
</file>

<file path=xl/ctrlProps/ctrlProp39.xml><?xml version="1.0" encoding="utf-8"?>
<formControlPr xmlns="http://schemas.microsoft.com/office/spreadsheetml/2009/9/main" objectType="CheckBox" fmlaLink="'History and Forecast Chart'!$L$16" lockText="1" noThreeD="1"/>
</file>

<file path=xl/ctrlProps/ctrlProp40.xml><?xml version="1.0" encoding="utf-8"?>
<formControlPr xmlns="http://schemas.microsoft.com/office/spreadsheetml/2009/9/main" objectType="CheckBox" fmlaLink="'History and Forecast Chart'!$L$17" lockText="1" noThreeD="1"/>
</file>

<file path=xl/ctrlProps/ctrlProp41.xml><?xml version="1.0" encoding="utf-8"?>
<formControlPr xmlns="http://schemas.microsoft.com/office/spreadsheetml/2009/9/main" objectType="CheckBox" fmlaLink="'History and Forecast Chart'!$L$18" lockText="1" noThreeD="1"/>
</file>

<file path=xl/ctrlProps/ctrlProp42.xml><?xml version="1.0" encoding="utf-8"?>
<formControlPr xmlns="http://schemas.microsoft.com/office/spreadsheetml/2009/9/main" objectType="Drop" dropStyle="combo" dx="31" fmlaLink="'History and Forecast'!$B$68" fmlaRange="'History and Forecast'!$B$64:$B$66" noThreeD="1" sel="1" val="0"/>
</file>

<file path=xl/ctrlProps/ctrlProp43.xml><?xml version="1.0" encoding="utf-8"?>
<formControlPr xmlns="http://schemas.microsoft.com/office/spreadsheetml/2009/9/main" objectType="CheckBox" fmlaLink="'History and Forecast Chart'!$L$19" lockText="1" noThreeD="1"/>
</file>

<file path=xl/ctrlProps/ctrlProp44.xml><?xml version="1.0" encoding="utf-8"?>
<formControlPr xmlns="http://schemas.microsoft.com/office/spreadsheetml/2009/9/main" objectType="CheckBox" fmlaLink="'History and Forecast Chart'!$L$20" lockText="1" noThreeD="1"/>
</file>

<file path=xl/ctrlProps/ctrlProp45.xml><?xml version="1.0" encoding="utf-8"?>
<formControlPr xmlns="http://schemas.microsoft.com/office/spreadsheetml/2009/9/main" objectType="CheckBox" fmlaLink="'History and Forecast Chart'!$L$21" lockText="1" noThreeD="1"/>
</file>

<file path=xl/ctrlProps/ctrlProp46.xml><?xml version="1.0" encoding="utf-8"?>
<formControlPr xmlns="http://schemas.microsoft.com/office/spreadsheetml/2009/9/main" objectType="CheckBox" fmlaLink="'History and Forecast Chart'!$L$22" lockText="1" noThreeD="1"/>
</file>

<file path=xl/ctrlProps/ctrlProp47.xml><?xml version="1.0" encoding="utf-8"?>
<formControlPr xmlns="http://schemas.microsoft.com/office/spreadsheetml/2009/9/main" objectType="CheckBox" fmlaLink="'History and Forecast Chart'!$L$23" lockText="1" noThreeD="1"/>
</file>

<file path=xl/ctrlProps/ctrlProp48.xml><?xml version="1.0" encoding="utf-8"?>
<formControlPr xmlns="http://schemas.microsoft.com/office/spreadsheetml/2009/9/main" objectType="CheckBox" fmlaLink="'History and Forecast Chart'!$L$24" lockText="1" noThreeD="1"/>
</file>

<file path=xl/ctrlProps/ctrlProp49.xml><?xml version="1.0" encoding="utf-8"?>
<formControlPr xmlns="http://schemas.microsoft.com/office/spreadsheetml/2009/9/main" objectType="CheckBox" fmlaLink="'History and Forecast Chart'!$L$25" lockText="1" noThreeD="1"/>
</file>

<file path=xl/ctrlProps/ctrlProp50.xml><?xml version="1.0" encoding="utf-8"?>
<formControlPr xmlns="http://schemas.microsoft.com/office/spreadsheetml/2009/9/main" objectType="CheckBox" fmlaLink="'History and Forecast Chart'!$L$26" lockText="1" noThreeD="1"/>
</file>

<file path=xl/ctrlProps/ctrlProp51.xml><?xml version="1.0" encoding="utf-8"?>
<formControlPr xmlns="http://schemas.microsoft.com/office/spreadsheetml/2009/9/main" objectType="CheckBox" fmlaLink="'History and Forecast Chart'!$L$27" lockText="1" noThreeD="1"/>
</file>

<file path=xl/ctrlProps/ctrlProp52.xml><?xml version="1.0" encoding="utf-8"?>
<formControlPr xmlns="http://schemas.microsoft.com/office/spreadsheetml/2009/9/main" objectType="CheckBox" fmlaLink="'History and Forecast Chart'!$L$28" lockText="1" noThreeD="1"/>
</file>

<file path=xl/ctrlProps/ctrlProp53.xml><?xml version="1.0" encoding="utf-8"?>
<formControlPr xmlns="http://schemas.microsoft.com/office/spreadsheetml/2009/9/main" objectType="CheckBox" fmlaLink="'History and Forecast Chart'!$L$29" lockText="1" noThreeD="1"/>
</file>

<file path=xl/ctrlProps/ctrlProp54.xml><?xml version="1.0" encoding="utf-8"?>
<formControlPr xmlns="http://schemas.microsoft.com/office/spreadsheetml/2009/9/main" objectType="CheckBox" fmlaLink="'History and Forecast Chart'!$L$30" lockText="1" noThreeD="1"/>
</file>

<file path=xl/ctrlProps/ctrlProp55.xml><?xml version="1.0" encoding="utf-8"?>
<formControlPr xmlns="http://schemas.microsoft.com/office/spreadsheetml/2009/9/main" objectType="CheckBox" fmlaLink="'History and Forecast Chart'!$L$31" lockText="1" noThreeD="1"/>
</file>

<file path=xl/ctrlProps/ctrlProp56.xml><?xml version="1.0" encoding="utf-8"?>
<formControlPr xmlns="http://schemas.microsoft.com/office/spreadsheetml/2009/9/main" objectType="CheckBox" fmlaLink="'History and Forecast Chart'!$L$32" lockText="1" noThreeD="1"/>
</file>

<file path=xl/ctrlProps/ctrlProp57.xml><?xml version="1.0" encoding="utf-8"?>
<formControlPr xmlns="http://schemas.microsoft.com/office/spreadsheetml/2009/9/main" objectType="CheckBox" fmlaLink="'History and Forecast Chart'!$L$33" lockText="1" noThreeD="1"/>
</file>

<file path=xl/ctrlProps/ctrlProp58.xml><?xml version="1.0" encoding="utf-8"?>
<formControlPr xmlns="http://schemas.microsoft.com/office/spreadsheetml/2009/9/main" objectType="CheckBox" fmlaLink="'History and Forecast Chart'!$L$34" lockText="1" noThreeD="1"/>
</file>

<file path=xl/ctrlProps/ctrlProp59.xml><?xml version="1.0" encoding="utf-8"?>
<formControlPr xmlns="http://schemas.microsoft.com/office/spreadsheetml/2009/9/main" objectType="CheckBox" fmlaLink="'History and Forecast Chart'!$L$35" lockText="1" noThreeD="1"/>
</file>

<file path=xl/ctrlProps/ctrlProp60.xml><?xml version="1.0" encoding="utf-8"?>
<formControlPr xmlns="http://schemas.microsoft.com/office/spreadsheetml/2009/9/main" objectType="CheckBox" fmlaLink="'History and Forecast Chart'!$L$36" lockText="1" noThreeD="1"/>
</file>

<file path=xl/ctrlProps/ctrlProp61.xml><?xml version="1.0" encoding="utf-8"?>
<formControlPr xmlns="http://schemas.microsoft.com/office/spreadsheetml/2009/9/main" objectType="CheckBox" fmlaLink="'History and Forecast Chart'!$L$37" lockText="1" noThreeD="1"/>
</file>

<file path=xl/ctrlProps/ctrlProp62.xml><?xml version="1.0" encoding="utf-8"?>
<formControlPr xmlns="http://schemas.microsoft.com/office/spreadsheetml/2009/9/main" objectType="CheckBox" fmlaLink="'History and Forecast Chart'!$L$38" lockText="1" noThreeD="1"/>
</file>

<file path=xl/ctrlProps/ctrlProp63.xml><?xml version="1.0" encoding="utf-8"?>
<formControlPr xmlns="http://schemas.microsoft.com/office/spreadsheetml/2009/9/main" objectType="CheckBox" fmlaLink="'History and Forecast Chart'!$L$39" lockText="1" noThreeD="1"/>
</file>

<file path=xl/ctrlProps/ctrlProp64.xml><?xml version="1.0" encoding="utf-8"?>
<formControlPr xmlns="http://schemas.microsoft.com/office/spreadsheetml/2009/9/main" objectType="CheckBox" fmlaLink="'History and Forecast Chart'!$L$40" lockText="1" noThreeD="1"/>
</file>

<file path=xl/ctrlProps/ctrlProp65.xml><?xml version="1.0" encoding="utf-8"?>
<formControlPr xmlns="http://schemas.microsoft.com/office/spreadsheetml/2009/9/main" objectType="CheckBox" fmlaLink="'History and Forecast Chart'!$L$41" lockText="1" noThreeD="1"/>
</file>

<file path=xl/ctrlProps/ctrlProp66.xml><?xml version="1.0" encoding="utf-8"?>
<formControlPr xmlns="http://schemas.microsoft.com/office/spreadsheetml/2009/9/main" objectType="CheckBox" fmlaLink="'History and Forecast Chart'!$L$42" lockText="1" noThreeD="1"/>
</file>

<file path=xl/ctrlProps/ctrlProp67.xml><?xml version="1.0" encoding="utf-8"?>
<formControlPr xmlns="http://schemas.microsoft.com/office/spreadsheetml/2009/9/main" objectType="CheckBox" fmlaLink="'History and Forecast Chart'!$L$43" lockText="1" noThreeD="1"/>
</file>

<file path=xl/ctrlProps/ctrlProp68.xml><?xml version="1.0" encoding="utf-8"?>
<formControlPr xmlns="http://schemas.microsoft.com/office/spreadsheetml/2009/9/main" objectType="CheckBox" fmlaLink="'History and Forecast Chart'!$L$44" lockText="1" noThreeD="1"/>
</file>

<file path=xl/ctrlProps/ctrlProp69.xml><?xml version="1.0" encoding="utf-8"?>
<formControlPr xmlns="http://schemas.microsoft.com/office/spreadsheetml/2009/9/main" objectType="CheckBox" fmlaLink="'History and Forecast Chart'!$L$45" lockText="1" noThreeD="1"/>
</file>

<file path=xl/ctrlProps/ctrlProp70.xml><?xml version="1.0" encoding="utf-8"?>
<formControlPr xmlns="http://schemas.microsoft.com/office/spreadsheetml/2009/9/main" objectType="CheckBox" fmlaLink="'History and Forecast Chart'!$L$46" lockText="1" noThreeD="1"/>
</file>

<file path=xl/ctrlProps/ctrlProp71.xml><?xml version="1.0" encoding="utf-8"?>
<formControlPr xmlns="http://schemas.microsoft.com/office/spreadsheetml/2009/9/main" objectType="CheckBox" fmlaLink="'History and Forecast Chart'!$L$47" lockText="1" noThreeD="1"/>
</file>

<file path=xl/ctrlProps/ctrlProp72.xml><?xml version="1.0" encoding="utf-8"?>
<formControlPr xmlns="http://schemas.microsoft.com/office/spreadsheetml/2009/9/main" objectType="CheckBox" fmlaLink="'History and Forecast Chart'!$L$48" lockText="1" noThreeD="1"/>
</file>

<file path=xl/ctrlProps/ctrlProp73.xml><?xml version="1.0" encoding="utf-8"?>
<formControlPr xmlns="http://schemas.microsoft.com/office/spreadsheetml/2009/9/main" objectType="Drop" dropStyle="combo" dx="31" fmlaLink="'Prices for Graph'!$M$4" fmlaRange="'Monthly Prices'!$A$8:$A$717" noThreeD="1" sel="491" val="258"/>
</file>

<file path=xl/ctrlProps/ctrlProp74.xml><?xml version="1.0" encoding="utf-8"?>
<formControlPr xmlns="http://schemas.microsoft.com/office/spreadsheetml/2009/9/main" objectType="Drop" dropStyle="combo" dx="31" fmlaLink="'Prices for Graph'!$G$4" fmlaRange="Misc!$C$5:$C$83" noThreeD="1" sel="30" val="0"/>
</file>

<file path=xl/ctrlProps/ctrlProp75.xml><?xml version="1.0" encoding="utf-8"?>
<formControlPr xmlns="http://schemas.microsoft.com/office/spreadsheetml/2009/9/main" objectType="Drop" dropStyle="combo" dx="31" fmlaLink="'Prices for Graph'!$G$5" fmlaRange="Misc!$C$5:$C$83" noThreeD="1" sel="29" val="2"/>
</file>

<file path=xl/ctrlProps/ctrlProp76.xml><?xml version="1.0" encoding="utf-8"?>
<formControlPr xmlns="http://schemas.microsoft.com/office/spreadsheetml/2009/9/main" objectType="Drop" dropStyle="combo" dx="31" fmlaLink="'Prices for Graph'!$M$5" fmlaRange="'Monthly Prices'!$A$8:$A$717" noThreeD="1" sel="571" val="646"/>
</file>

<file path=xl/ctrlProps/ctrlProp77.xml><?xml version="1.0" encoding="utf-8"?>
<formControlPr xmlns="http://schemas.microsoft.com/office/spreadsheetml/2009/9/main" objectType="Spin" dx="16" fmlaLink="'Monthly Historic Data'!$AJ$9" max="10" min="1" page="10" val="3"/>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31" fmlaLink="'History and Forecast'!$J$57" fmlaRange="'History and Forecast'!$I$10:$I$55" noThreeD="1" sel="4" val="27"/>
</file>

<file path=xl/ctrlProps/ctrlProp80.xml><?xml version="1.0" encoding="utf-8"?>
<formControlPr xmlns="http://schemas.microsoft.com/office/spreadsheetml/2009/9/main" objectType="Drop" dropStyle="combo" dx="31" fmlaLink="'History and Forecast'!$B$68" fmlaRange="'History and Forecast'!$B$64:$B$66" noThreeD="1" sel="1" val="0"/>
</file>

<file path=xl/ctrlProps/ctrlProp81.xml><?xml version="1.0" encoding="utf-8"?>
<formControlPr xmlns="http://schemas.microsoft.com/office/spreadsheetml/2009/9/main" objectType="Drop" dropStyle="combo" dx="31" fmlaLink="'Prices for Graph'!$M$4" fmlaRange="'Monthly Prices'!$A$8:$A$652" noThreeD="1" sel="491" val="0"/>
</file>

<file path=xl/ctrlProps/ctrlProp82.xml><?xml version="1.0" encoding="utf-8"?>
<formControlPr xmlns="http://schemas.microsoft.com/office/spreadsheetml/2009/9/main" objectType="Drop" dropStyle="combo" dx="31" fmlaLink="'Prices for Graph'!$M$5" fmlaRange="'Monthly Prices'!$A$8:$A$652" noThreeD="1" sel="571" val="637"/>
</file>

<file path=xl/ctrlProps/ctrlProp83.xml><?xml version="1.0" encoding="utf-8"?>
<formControlPr xmlns="http://schemas.microsoft.com/office/spreadsheetml/2009/9/main" objectType="Drop" dropStyle="combo" dx="31" fmlaLink="'Prices for Graph'!$G$4" fmlaRange="Misc!$C$5:$C$83" noThreeD="1" sel="30" val="7"/>
</file>

<file path=xl/ctrlProps/ctrlProp84.xml><?xml version="1.0" encoding="utf-8"?>
<formControlPr xmlns="http://schemas.microsoft.com/office/spreadsheetml/2009/9/main" objectType="Drop" dropStyle="combo" dx="31" fmlaLink="'Prices for Graph'!$G$5" fmlaRange="Misc!$C$5:$C$83" noThreeD="1" sel="29" val="0"/>
</file>

<file path=xl/ctrlProps/ctrlProp85.xml><?xml version="1.0" encoding="utf-8"?>
<formControlPr xmlns="http://schemas.microsoft.com/office/spreadsheetml/2009/9/main" objectType="Drop" dropLines="30" dropStyle="combo" dx="31" fmlaLink="'Prices for Graph'!$M$4" fmlaRange="'Monthly Prices'!$A$8:$A$652" noThreeD="1" sel="491" val="284"/>
</file>

<file path=xl/ctrlProps/ctrlProp86.xml><?xml version="1.0" encoding="utf-8"?>
<formControlPr xmlns="http://schemas.microsoft.com/office/spreadsheetml/2009/9/main" objectType="Drop" dropStyle="combo" dx="31" fmlaLink="'Prices for Graph'!$M$5" fmlaRange="'Monthly Prices'!$A$8:$A$652" noThreeD="1" sel="571" val="637"/>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541020</xdr:colOff>
      <xdr:row>6</xdr:row>
      <xdr:rowOff>28575</xdr:rowOff>
    </xdr:to>
    <xdr:sp macro="[0]!read_file" textlink="">
      <xdr:nvSpPr>
        <xdr:cNvPr id="3" name="Explosion 2 2">
          <a:extLst>
            <a:ext uri="{FF2B5EF4-FFF2-40B4-BE49-F238E27FC236}">
              <a16:creationId xmlns:a16="http://schemas.microsoft.com/office/drawing/2014/main" id="{00000000-0008-0000-0000-000003000000}"/>
            </a:ext>
          </a:extLst>
        </xdr:cNvPr>
        <xdr:cNvSpPr/>
      </xdr:nvSpPr>
      <xdr:spPr bwMode="auto">
        <a:xfrm>
          <a:off x="9464040" y="167640"/>
          <a:ext cx="1790700" cy="912495"/>
        </a:xfrm>
        <a:prstGeom prst="irregularSeal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Read Data</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75711" y="29307"/>
    <xdr:ext cx="6661639" cy="404739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oneCell">
        <xdr:from>
          <xdr:col>12</xdr:col>
          <xdr:colOff>525780</xdr:colOff>
          <xdr:row>3</xdr:row>
          <xdr:rowOff>7620</xdr:rowOff>
        </xdr:from>
        <xdr:to>
          <xdr:col>14</xdr:col>
          <xdr:colOff>312420</xdr:colOff>
          <xdr:row>4</xdr:row>
          <xdr:rowOff>0</xdr:rowOff>
        </xdr:to>
        <xdr:sp macro="" textlink="">
          <xdr:nvSpPr>
            <xdr:cNvPr id="89089" name="Drop Down 1" hidden="1">
              <a:extLst>
                <a:ext uri="{63B3BB69-23CF-44E3-9099-C40C66FF867C}">
                  <a14:compatExt spid="_x0000_s89089"/>
                </a:ext>
                <a:ext uri="{FF2B5EF4-FFF2-40B4-BE49-F238E27FC236}">
                  <a16:creationId xmlns:a16="http://schemas.microsoft.com/office/drawing/2014/main" id="{00000000-0008-0000-0100-00000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xdr:colOff>
          <xdr:row>0</xdr:row>
          <xdr:rowOff>0</xdr:rowOff>
        </xdr:from>
        <xdr:to>
          <xdr:col>16</xdr:col>
          <xdr:colOff>182880</xdr:colOff>
          <xdr:row>1</xdr:row>
          <xdr:rowOff>11430</xdr:rowOff>
        </xdr:to>
        <xdr:sp macro="" textlink="">
          <xdr:nvSpPr>
            <xdr:cNvPr id="89090" name="Drop Down 2" hidden="1">
              <a:extLst>
                <a:ext uri="{63B3BB69-23CF-44E3-9099-C40C66FF867C}">
                  <a14:compatExt spid="_x0000_s89090"/>
                </a:ext>
                <a:ext uri="{FF2B5EF4-FFF2-40B4-BE49-F238E27FC236}">
                  <a16:creationId xmlns:a16="http://schemas.microsoft.com/office/drawing/2014/main" id="{00000000-0008-0000-0100-00000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30480</xdr:rowOff>
        </xdr:from>
        <xdr:to>
          <xdr:col>16</xdr:col>
          <xdr:colOff>190500</xdr:colOff>
          <xdr:row>2</xdr:row>
          <xdr:rowOff>45720</xdr:rowOff>
        </xdr:to>
        <xdr:sp macro="" textlink="">
          <xdr:nvSpPr>
            <xdr:cNvPr id="89091" name="Drop Down 3" hidden="1">
              <a:extLst>
                <a:ext uri="{63B3BB69-23CF-44E3-9099-C40C66FF867C}">
                  <a14:compatExt spid="_x0000_s89091"/>
                </a:ext>
                <a:ext uri="{FF2B5EF4-FFF2-40B4-BE49-F238E27FC236}">
                  <a16:creationId xmlns:a16="http://schemas.microsoft.com/office/drawing/2014/main" id="{00000000-0008-0000-0100-00000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579120</xdr:colOff>
          <xdr:row>1</xdr:row>
          <xdr:rowOff>30480</xdr:rowOff>
        </xdr:from>
        <xdr:to>
          <xdr:col>13</xdr:col>
          <xdr:colOff>514350</xdr:colOff>
          <xdr:row>2</xdr:row>
          <xdr:rowOff>26670</xdr:rowOff>
        </xdr:to>
        <xdr:sp macro="" textlink="">
          <xdr:nvSpPr>
            <xdr:cNvPr id="89092" name="Spinner 4" hidden="1">
              <a:extLst>
                <a:ext uri="{63B3BB69-23CF-44E3-9099-C40C66FF867C}">
                  <a14:compatExt spid="_x0000_s89092"/>
                </a:ext>
                <a:ext uri="{FF2B5EF4-FFF2-40B4-BE49-F238E27FC236}">
                  <a16:creationId xmlns:a16="http://schemas.microsoft.com/office/drawing/2014/main" id="{00000000-0008-0000-0100-0000045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506730</xdr:colOff>
          <xdr:row>4</xdr:row>
          <xdr:rowOff>140970</xdr:rowOff>
        </xdr:from>
        <xdr:to>
          <xdr:col>14</xdr:col>
          <xdr:colOff>293370</xdr:colOff>
          <xdr:row>5</xdr:row>
          <xdr:rowOff>133350</xdr:rowOff>
        </xdr:to>
        <xdr:sp macro="" textlink="">
          <xdr:nvSpPr>
            <xdr:cNvPr id="89093" name="Drop Down 5" hidden="1">
              <a:extLst>
                <a:ext uri="{63B3BB69-23CF-44E3-9099-C40C66FF867C}">
                  <a14:compatExt spid="_x0000_s89093"/>
                </a:ext>
                <a:ext uri="{FF2B5EF4-FFF2-40B4-BE49-F238E27FC236}">
                  <a16:creationId xmlns:a16="http://schemas.microsoft.com/office/drawing/2014/main" id="{00000000-0008-0000-0100-00000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38100</xdr:colOff>
          <xdr:row>8</xdr:row>
          <xdr:rowOff>7620</xdr:rowOff>
        </xdr:from>
        <xdr:to>
          <xdr:col>12</xdr:col>
          <xdr:colOff>590550</xdr:colOff>
          <xdr:row>9</xdr:row>
          <xdr:rowOff>0</xdr:rowOff>
        </xdr:to>
        <xdr:sp macro="" textlink="">
          <xdr:nvSpPr>
            <xdr:cNvPr id="89094" name="Spinner 6" hidden="1">
              <a:extLst>
                <a:ext uri="{63B3BB69-23CF-44E3-9099-C40C66FF867C}">
                  <a14:compatExt spid="_x0000_s89094"/>
                </a:ext>
                <a:ext uri="{FF2B5EF4-FFF2-40B4-BE49-F238E27FC236}">
                  <a16:creationId xmlns:a16="http://schemas.microsoft.com/office/drawing/2014/main" id="{00000000-0008-0000-0100-0000065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49530</xdr:colOff>
          <xdr:row>10</xdr:row>
          <xdr:rowOff>0</xdr:rowOff>
        </xdr:from>
        <xdr:to>
          <xdr:col>12</xdr:col>
          <xdr:colOff>601980</xdr:colOff>
          <xdr:row>10</xdr:row>
          <xdr:rowOff>152400</xdr:rowOff>
        </xdr:to>
        <xdr:sp macro="" textlink="">
          <xdr:nvSpPr>
            <xdr:cNvPr id="89095" name="Spinner 7" hidden="1">
              <a:extLst>
                <a:ext uri="{63B3BB69-23CF-44E3-9099-C40C66FF867C}">
                  <a14:compatExt spid="_x0000_s89095"/>
                </a:ext>
                <a:ext uri="{FF2B5EF4-FFF2-40B4-BE49-F238E27FC236}">
                  <a16:creationId xmlns:a16="http://schemas.microsoft.com/office/drawing/2014/main" id="{00000000-0008-0000-0100-0000075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8547100" y="533400"/>
    <xdr:ext cx="2730500" cy="1701800"/>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8559800" y="2324101"/>
    <xdr:ext cx="2737812" cy="1676400"/>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mc:AlternateContent xmlns:mc="http://schemas.openxmlformats.org/markup-compatibility/2006">
    <mc:Choice xmlns:a14="http://schemas.microsoft.com/office/drawing/2010/main" Requires="a14">
      <xdr:twoCellAnchor>
        <xdr:from>
          <xdr:col>11</xdr:col>
          <xdr:colOff>68580</xdr:colOff>
          <xdr:row>12</xdr:row>
          <xdr:rowOff>140970</xdr:rowOff>
        </xdr:from>
        <xdr:to>
          <xdr:col>13</xdr:col>
          <xdr:colOff>304800</xdr:colOff>
          <xdr:row>15</xdr:row>
          <xdr:rowOff>7620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0100-0000085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Same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16</xdr:row>
          <xdr:rowOff>125730</xdr:rowOff>
        </xdr:from>
        <xdr:to>
          <xdr:col>13</xdr:col>
          <xdr:colOff>400050</xdr:colOff>
          <xdr:row>19</xdr:row>
          <xdr:rowOff>7620</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0100-0000095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Different Scales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20</xdr:row>
          <xdr:rowOff>125730</xdr:rowOff>
        </xdr:from>
        <xdr:to>
          <xdr:col>13</xdr:col>
          <xdr:colOff>259080</xdr:colOff>
          <xdr:row>22</xdr:row>
          <xdr:rowOff>57150</xdr:rowOff>
        </xdr:to>
        <xdr:sp macro="" textlink="">
          <xdr:nvSpPr>
            <xdr:cNvPr id="89098" name="Check Box 10" hidden="1">
              <a:extLst>
                <a:ext uri="{63B3BB69-23CF-44E3-9099-C40C66FF867C}">
                  <a14:compatExt spid="_x0000_s89098"/>
                </a:ext>
                <a:ext uri="{FF2B5EF4-FFF2-40B4-BE49-F238E27FC236}">
                  <a16:creationId xmlns:a16="http://schemas.microsoft.com/office/drawing/2014/main" id="{00000000-0008-0000-0100-00000A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Real</a:t>
              </a:r>
            </a:p>
          </xdr:txBody>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0.49215</cdr:x>
      <cdr:y>0.82071</cdr:y>
    </cdr:from>
    <cdr:to>
      <cdr:x>0.96525</cdr:x>
      <cdr:y>0.86708</cdr:y>
    </cdr:to>
    <cdr:sp macro="" textlink="regression!$M$18:$P$18">
      <cdr:nvSpPr>
        <cdr:cNvPr id="2" name="TextBox 1"/>
        <cdr:cNvSpPr txBox="1"/>
      </cdr:nvSpPr>
      <cdr:spPr>
        <a:xfrm xmlns:a="http://schemas.openxmlformats.org/drawingml/2006/main">
          <a:off x="4266811" y="5160995"/>
          <a:ext cx="4101582" cy="2915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85C1A08-5C8C-4DF1-A097-74C49A28693D}" type="TxLink">
            <a:rPr lang="en-US" sz="1000" b="0" i="0" u="none" strike="noStrike">
              <a:solidFill>
                <a:srgbClr val="000000"/>
              </a:solidFill>
              <a:latin typeface="Arial"/>
              <a:cs typeface="Arial"/>
            </a:rPr>
            <a:pPr/>
            <a:t> Maize = 14.031 + 0.859 * Barley</a:t>
          </a:fld>
          <a:endParaRPr lang="en-US" sz="11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495300</xdr:colOff>
          <xdr:row>3</xdr:row>
          <xdr:rowOff>11430</xdr:rowOff>
        </xdr:from>
        <xdr:to>
          <xdr:col>12</xdr:col>
          <xdr:colOff>95250</xdr:colOff>
          <xdr:row>3</xdr:row>
          <xdr:rowOff>160020</xdr:rowOff>
        </xdr:to>
        <xdr:sp macro="" textlink="">
          <xdr:nvSpPr>
            <xdr:cNvPr id="125953" name="Drop Down 1" hidden="1">
              <a:extLst>
                <a:ext uri="{63B3BB69-23CF-44E3-9099-C40C66FF867C}">
                  <a14:compatExt spid="_x0000_s125953"/>
                </a:ext>
                <a:ext uri="{FF2B5EF4-FFF2-40B4-BE49-F238E27FC236}">
                  <a16:creationId xmlns:a16="http://schemas.microsoft.com/office/drawing/2014/main" id="{00000000-0008-0000-0200-000001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430530</xdr:colOff>
          <xdr:row>3</xdr:row>
          <xdr:rowOff>0</xdr:rowOff>
        </xdr:from>
        <xdr:to>
          <xdr:col>5</xdr:col>
          <xdr:colOff>598170</xdr:colOff>
          <xdr:row>4</xdr:row>
          <xdr:rowOff>0</xdr:rowOff>
        </xdr:to>
        <xdr:sp macro="" textlink="">
          <xdr:nvSpPr>
            <xdr:cNvPr id="125954" name="Drop Down 2" hidden="1">
              <a:extLst>
                <a:ext uri="{63B3BB69-23CF-44E3-9099-C40C66FF867C}">
                  <a14:compatExt spid="_x0000_s125954"/>
                </a:ext>
                <a:ext uri="{FF2B5EF4-FFF2-40B4-BE49-F238E27FC236}">
                  <a16:creationId xmlns:a16="http://schemas.microsoft.com/office/drawing/2014/main" id="{00000000-0008-0000-0200-000002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xdr:row>
          <xdr:rowOff>19050</xdr:rowOff>
        </xdr:from>
        <xdr:to>
          <xdr:col>5</xdr:col>
          <xdr:colOff>582930</xdr:colOff>
          <xdr:row>5</xdr:row>
          <xdr:rowOff>19050</xdr:rowOff>
        </xdr:to>
        <xdr:sp macro="" textlink="">
          <xdr:nvSpPr>
            <xdr:cNvPr id="125955" name="Drop Down 3" hidden="1">
              <a:extLst>
                <a:ext uri="{63B3BB69-23CF-44E3-9099-C40C66FF867C}">
                  <a14:compatExt spid="_x0000_s125955"/>
                </a:ext>
                <a:ext uri="{FF2B5EF4-FFF2-40B4-BE49-F238E27FC236}">
                  <a16:creationId xmlns:a16="http://schemas.microsoft.com/office/drawing/2014/main" id="{00000000-0008-0000-0200-000003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19050</xdr:rowOff>
        </xdr:from>
        <xdr:to>
          <xdr:col>7</xdr:col>
          <xdr:colOff>571500</xdr:colOff>
          <xdr:row>5</xdr:row>
          <xdr:rowOff>0</xdr:rowOff>
        </xdr:to>
        <xdr:sp macro="" textlink="">
          <xdr:nvSpPr>
            <xdr:cNvPr id="125956" name="Spinner 4" hidden="1">
              <a:extLst>
                <a:ext uri="{63B3BB69-23CF-44E3-9099-C40C66FF867C}">
                  <a14:compatExt spid="_x0000_s125956"/>
                </a:ext>
                <a:ext uri="{FF2B5EF4-FFF2-40B4-BE49-F238E27FC236}">
                  <a16:creationId xmlns:a16="http://schemas.microsoft.com/office/drawing/2014/main" id="{00000000-0008-0000-0200-000004E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4</xdr:row>
          <xdr:rowOff>11430</xdr:rowOff>
        </xdr:from>
        <xdr:to>
          <xdr:col>12</xdr:col>
          <xdr:colOff>95250</xdr:colOff>
          <xdr:row>4</xdr:row>
          <xdr:rowOff>144780</xdr:rowOff>
        </xdr:to>
        <xdr:sp macro="" textlink="">
          <xdr:nvSpPr>
            <xdr:cNvPr id="125957" name="Drop Down 5" hidden="1">
              <a:extLst>
                <a:ext uri="{63B3BB69-23CF-44E3-9099-C40C66FF867C}">
                  <a14:compatExt spid="_x0000_s125957"/>
                </a:ext>
                <a:ext uri="{FF2B5EF4-FFF2-40B4-BE49-F238E27FC236}">
                  <a16:creationId xmlns:a16="http://schemas.microsoft.com/office/drawing/2014/main" id="{00000000-0008-0000-0200-000005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678180</xdr:colOff>
          <xdr:row>3</xdr:row>
          <xdr:rowOff>38100</xdr:rowOff>
        </xdr:from>
        <xdr:to>
          <xdr:col>12</xdr:col>
          <xdr:colOff>316230</xdr:colOff>
          <xdr:row>4</xdr:row>
          <xdr:rowOff>0</xdr:rowOff>
        </xdr:to>
        <xdr:sp macro="" textlink="">
          <xdr:nvSpPr>
            <xdr:cNvPr id="125958" name="Spinner 6" hidden="1">
              <a:extLst>
                <a:ext uri="{63B3BB69-23CF-44E3-9099-C40C66FF867C}">
                  <a14:compatExt spid="_x0000_s125958"/>
                </a:ext>
                <a:ext uri="{FF2B5EF4-FFF2-40B4-BE49-F238E27FC236}">
                  <a16:creationId xmlns:a16="http://schemas.microsoft.com/office/drawing/2014/main" id="{00000000-0008-0000-0200-000006E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49530</xdr:colOff>
          <xdr:row>2</xdr:row>
          <xdr:rowOff>121920</xdr:rowOff>
        </xdr:from>
        <xdr:to>
          <xdr:col>24</xdr:col>
          <xdr:colOff>392430</xdr:colOff>
          <xdr:row>4</xdr:row>
          <xdr:rowOff>68580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200-000007E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Button 7</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363856</xdr:colOff>
      <xdr:row>3</xdr:row>
      <xdr:rowOff>142875</xdr:rowOff>
    </xdr:from>
    <xdr:to>
      <xdr:col>14</xdr:col>
      <xdr:colOff>419101</xdr:colOff>
      <xdr:row>8</xdr:row>
      <xdr:rowOff>116205</xdr:rowOff>
    </xdr:to>
    <xdr:sp macro="[0]!read_all" textlink="">
      <xdr:nvSpPr>
        <xdr:cNvPr id="2" name="Explosion 2 1">
          <a:extLst>
            <a:ext uri="{FF2B5EF4-FFF2-40B4-BE49-F238E27FC236}">
              <a16:creationId xmlns:a16="http://schemas.microsoft.com/office/drawing/2014/main" id="{00000000-0008-0000-0300-000002000000}"/>
            </a:ext>
          </a:extLst>
        </xdr:cNvPr>
        <xdr:cNvSpPr/>
      </xdr:nvSpPr>
      <xdr:spPr bwMode="auto">
        <a:xfrm>
          <a:off x="8860156" y="523875"/>
          <a:ext cx="1569720" cy="925830"/>
        </a:xfrm>
        <a:prstGeom prst="irregularSeal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Read Data - Complete</a:t>
          </a:r>
        </a:p>
      </xdr:txBody>
    </xdr:sp>
    <xdr:clientData/>
  </xdr:twoCellAnchor>
  <xdr:twoCellAnchor editAs="oneCell">
    <xdr:from>
      <xdr:col>15</xdr:col>
      <xdr:colOff>71437</xdr:colOff>
      <xdr:row>37</xdr:row>
      <xdr:rowOff>142937</xdr:rowOff>
    </xdr:from>
    <xdr:to>
      <xdr:col>25</xdr:col>
      <xdr:colOff>236463</xdr:colOff>
      <xdr:row>58</xdr:row>
      <xdr:rowOff>57876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1041062" y="6596125"/>
          <a:ext cx="6276901" cy="3248690"/>
        </a:xfrm>
        <a:prstGeom prst="rect">
          <a:avLst/>
        </a:prstGeom>
      </xdr:spPr>
    </xdr:pic>
    <xdr:clientData/>
  </xdr:twoCellAnchor>
  <xdr:twoCellAnchor>
    <xdr:from>
      <xdr:col>26</xdr:col>
      <xdr:colOff>269875</xdr:colOff>
      <xdr:row>37</xdr:row>
      <xdr:rowOff>55562</xdr:rowOff>
    </xdr:from>
    <xdr:to>
      <xdr:col>31</xdr:col>
      <xdr:colOff>500063</xdr:colOff>
      <xdr:row>45</xdr:row>
      <xdr:rowOff>55562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7962563" y="6508750"/>
          <a:ext cx="3286125"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can be tricky to get the URL for the forecasts.</a:t>
          </a:r>
        </a:p>
        <a:p>
          <a:endParaRPr lang="en-US" sz="1100"/>
        </a:p>
        <a:p>
          <a:r>
            <a:rPr lang="en-US" sz="1100"/>
            <a:t>You</a:t>
          </a:r>
          <a:r>
            <a:rPr lang="en-US" sz="1100" baseline="0"/>
            <a:t> my have to go to the URL and then add the xlsx extension.</a:t>
          </a:r>
          <a:endParaRPr lang="en-US" sz="1100"/>
        </a:p>
      </xdr:txBody>
    </xdr:sp>
    <xdr:clientData/>
  </xdr:twoCellAnchor>
  <xdr:twoCellAnchor>
    <xdr:from>
      <xdr:col>12</xdr:col>
      <xdr:colOff>183445</xdr:colOff>
      <xdr:row>11</xdr:row>
      <xdr:rowOff>112890</xdr:rowOff>
    </xdr:from>
    <xdr:to>
      <xdr:col>15</xdr:col>
      <xdr:colOff>500944</xdr:colOff>
      <xdr:row>19</xdr:row>
      <xdr:rowOff>105833</xdr:rowOff>
    </xdr:to>
    <xdr:sp macro="[0]!read_file" textlink="">
      <xdr:nvSpPr>
        <xdr:cNvPr id="5" name="Explosion 2 1">
          <a:extLst>
            <a:ext uri="{FF2B5EF4-FFF2-40B4-BE49-F238E27FC236}">
              <a16:creationId xmlns:a16="http://schemas.microsoft.com/office/drawing/2014/main" id="{00000000-0008-0000-0300-000005000000}"/>
            </a:ext>
          </a:extLst>
        </xdr:cNvPr>
        <xdr:cNvSpPr/>
      </xdr:nvSpPr>
      <xdr:spPr bwMode="auto">
        <a:xfrm>
          <a:off x="8911167" y="2067279"/>
          <a:ext cx="2511777" cy="1375832"/>
        </a:xfrm>
        <a:prstGeom prst="irregularSeal2">
          <a:avLst/>
        </a:prstGeom>
        <a:solidFill>
          <a:srgbClr val="92D05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endParaRPr lang="en-US" sz="1100"/>
        </a:p>
        <a:p>
          <a:pPr algn="l"/>
          <a:r>
            <a:rPr lang="en-US" sz="1100"/>
            <a:t>Read Montly Only</a:t>
          </a:r>
        </a:p>
      </xdr:txBody>
    </xdr:sp>
    <xdr:clientData/>
  </xdr:twoCellAnchor>
  <xdr:twoCellAnchor editAs="oneCell">
    <xdr:from>
      <xdr:col>1</xdr:col>
      <xdr:colOff>0</xdr:colOff>
      <xdr:row>34</xdr:row>
      <xdr:rowOff>0</xdr:rowOff>
    </xdr:from>
    <xdr:to>
      <xdr:col>12</xdr:col>
      <xdr:colOff>344041</xdr:colOff>
      <xdr:row>68</xdr:row>
      <xdr:rowOff>70842</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606778" y="5771444"/>
          <a:ext cx="8464985" cy="55882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9297629" cy="6071419"/>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0.74984</cdr:x>
      <cdr:y>0.07862</cdr:y>
    </cdr:from>
    <cdr:to>
      <cdr:x>0.85827</cdr:x>
      <cdr:y>0.12633</cdr:y>
    </cdr:to>
    <cdr:sp macro="" textlink="">
      <cdr:nvSpPr>
        <cdr:cNvPr id="2" name="TextBox 1"/>
        <cdr:cNvSpPr txBox="1"/>
      </cdr:nvSpPr>
      <cdr:spPr>
        <a:xfrm xmlns:a="http://schemas.openxmlformats.org/drawingml/2006/main">
          <a:off x="6496485" y="494431"/>
          <a:ext cx="939452" cy="3001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Graph</a:t>
          </a:r>
          <a:r>
            <a:rPr lang="en-US" sz="1100" baseline="0"/>
            <a:t> Start</a:t>
          </a:r>
          <a:endParaRPr lang="en-US" sz="1100"/>
        </a:p>
      </cdr:txBody>
    </cdr:sp>
  </cdr:relSizeAnchor>
  <cdr:relSizeAnchor xmlns:cdr="http://schemas.openxmlformats.org/drawingml/2006/chartDrawing">
    <cdr:from>
      <cdr:x>0.74833</cdr:x>
      <cdr:y>0.0309</cdr:y>
    </cdr:from>
    <cdr:to>
      <cdr:x>0.85376</cdr:x>
      <cdr:y>0.05994</cdr:y>
    </cdr:to>
    <cdr:sp macro="" textlink="">
      <cdr:nvSpPr>
        <cdr:cNvPr id="3" name="TextBox 1"/>
        <cdr:cNvSpPr txBox="1"/>
      </cdr:nvSpPr>
      <cdr:spPr>
        <a:xfrm xmlns:a="http://schemas.openxmlformats.org/drawingml/2006/main">
          <a:off x="6483437" y="194327"/>
          <a:ext cx="913357" cy="1826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Index Year</a:t>
          </a:r>
        </a:p>
      </cdr:txBody>
    </cdr:sp>
  </cdr:relSizeAnchor>
  <cdr:relSizeAnchor xmlns:cdr="http://schemas.openxmlformats.org/drawingml/2006/chartDrawing">
    <cdr:from>
      <cdr:x>0.85526</cdr:x>
      <cdr:y>0.0309</cdr:y>
    </cdr:from>
    <cdr:to>
      <cdr:x>0.91701</cdr:x>
      <cdr:y>0.07032</cdr:y>
    </cdr:to>
    <cdr:sp macro="" textlink="">
      <cdr:nvSpPr>
        <cdr:cNvPr id="8" name="TextBox 1"/>
        <cdr:cNvSpPr txBox="1"/>
      </cdr:nvSpPr>
      <cdr:spPr>
        <a:xfrm xmlns:a="http://schemas.openxmlformats.org/drawingml/2006/main">
          <a:off x="7409841" y="194327"/>
          <a:ext cx="534966" cy="24791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44326B71-B7B6-4156-AFF6-DD44E3E6135D}" type="TxLink">
            <a:rPr lang="en-US" sz="1100" b="0" i="0" u="none" strike="noStrike">
              <a:solidFill>
                <a:srgbClr val="000000"/>
              </a:solidFill>
              <a:latin typeface="Estrangelo Edessa"/>
              <a:cs typeface="Estrangelo Edessa"/>
            </a:rPr>
            <a:pPr/>
            <a:t>2014</a:t>
          </a:fld>
          <a:endParaRPr lang="en-US" sz="1100"/>
        </a:p>
      </cdr:txBody>
    </cdr:sp>
  </cdr:relSizeAnchor>
  <cdr:relSizeAnchor xmlns:cdr="http://schemas.openxmlformats.org/drawingml/2006/chartDrawing">
    <cdr:from>
      <cdr:x>0.85225</cdr:x>
      <cdr:y>0.07862</cdr:y>
    </cdr:from>
    <cdr:to>
      <cdr:x>0.914</cdr:x>
      <cdr:y>0.11389</cdr:y>
    </cdr:to>
    <cdr:sp macro="" textlink="">
      <cdr:nvSpPr>
        <cdr:cNvPr id="9" name="TextBox 1"/>
        <cdr:cNvSpPr txBox="1"/>
      </cdr:nvSpPr>
      <cdr:spPr>
        <a:xfrm xmlns:a="http://schemas.openxmlformats.org/drawingml/2006/main">
          <a:off x="7383745" y="494430"/>
          <a:ext cx="534966" cy="2218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7A3E5A19-EED8-4FFA-92B4-A91A01CC2C5D}" type="TxLink">
            <a:rPr lang="en-US" sz="1100" b="0" i="0" u="none" strike="noStrike">
              <a:solidFill>
                <a:srgbClr val="000000"/>
              </a:solidFill>
              <a:latin typeface="Estrangelo Edessa"/>
              <a:cs typeface="Estrangelo Edessa"/>
            </a:rPr>
            <a:pPr/>
            <a:t>1961</a:t>
          </a:fld>
          <a:endParaRPr lang="en-US" sz="1100"/>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31750</xdr:colOff>
      <xdr:row>209</xdr:row>
      <xdr:rowOff>52917</xdr:rowOff>
    </xdr:from>
    <xdr:to>
      <xdr:col>20</xdr:col>
      <xdr:colOff>762000</xdr:colOff>
      <xdr:row>216</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1750" y="52602342"/>
          <a:ext cx="1259840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21167" y="57275940"/>
          <a:ext cx="13479990"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31750" y="52602342"/>
          <a:ext cx="1259840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21167" y="57275940"/>
          <a:ext cx="13479990"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31750" y="52602342"/>
          <a:ext cx="1259840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21167" y="57275940"/>
          <a:ext cx="13479990"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31750" y="52602342"/>
          <a:ext cx="1259840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21167" y="57275940"/>
          <a:ext cx="13479990"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31750" y="52602342"/>
          <a:ext cx="12665075"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21167" y="57275940"/>
          <a:ext cx="1354666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31750" y="52602342"/>
          <a:ext cx="12665075"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21167" y="57275940"/>
          <a:ext cx="1354666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31750" y="493670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21167" y="540406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31750" y="493670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21167" y="540406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31750" y="493670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21167" y="540406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31750" y="493670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21" name="TextBox 20">
          <a:extLst>
            <a:ext uri="{FF2B5EF4-FFF2-40B4-BE49-F238E27FC236}">
              <a16:creationId xmlns:a16="http://schemas.microsoft.com/office/drawing/2014/main" id="{00000000-0008-0000-0800-000015000000}"/>
            </a:ext>
          </a:extLst>
        </xdr:cNvPr>
        <xdr:cNvSpPr txBox="1"/>
      </xdr:nvSpPr>
      <xdr:spPr>
        <a:xfrm>
          <a:off x="21167" y="540406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31750" y="493670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accent1">
                  <a:lumMod val="50000"/>
                </a:schemeClr>
              </a:solidFill>
              <a:latin typeface="Estrangelo Edessa" pitchFamily="66" charset="0"/>
              <a:cs typeface="Estrangelo Edessa" pitchFamily="66" charset="0"/>
            </a:rPr>
            <a:t>Notes: </a:t>
          </a:r>
        </a:p>
        <a:p>
          <a:r>
            <a:rPr lang="en-US" sz="1500">
              <a:solidFill>
                <a:schemeClr val="accent1">
                  <a:lumMod val="50000"/>
                </a:schemeClr>
              </a:solidFill>
              <a:latin typeface="Estrangelo Edessa" pitchFamily="66" charset="0"/>
              <a:cs typeface="Estrangelo Edessa" pitchFamily="66" charset="0"/>
            </a:rPr>
            <a:t>a/  Base metals plus iron ore</a:t>
          </a:r>
        </a:p>
        <a:p>
          <a:r>
            <a:rPr lang="en-US" sz="1500">
              <a:solidFill>
                <a:schemeClr val="accent1">
                  <a:lumMod val="50000"/>
                </a:schemeClr>
              </a:solidFill>
              <a:latin typeface="Estrangelo Edessa" pitchFamily="66" charset="0"/>
              <a:cs typeface="Estrangelo Edessa" pitchFamily="66" charset="0"/>
            </a:rPr>
            <a:t>b/  Includes aluminum, copper, lead, nickel, tin and zinc</a:t>
          </a:r>
          <a:br>
            <a:rPr lang="en-US" sz="1500">
              <a:solidFill>
                <a:schemeClr val="accent1">
                  <a:lumMod val="50000"/>
                </a:schemeClr>
              </a:solidFill>
              <a:latin typeface="Estrangelo Edessa" pitchFamily="66" charset="0"/>
              <a:cs typeface="Estrangelo Edessa" pitchFamily="66" charset="0"/>
            </a:rPr>
          </a:br>
          <a:r>
            <a:rPr lang="en-US" sz="1500">
              <a:solidFill>
                <a:schemeClr val="accent1">
                  <a:lumMod val="50000"/>
                </a:schemeClr>
              </a:solidFill>
              <a:latin typeface="Estrangelo Edessa" pitchFamily="66" charset="0"/>
              <a:cs typeface="Estrangelo Edessa" pitchFamily="66" charset="0"/>
            </a:rPr>
            <a:t>c/  Real price indices are computed from unrounded data and deflated by the MUV index.</a:t>
          </a:r>
        </a:p>
        <a:p>
          <a:r>
            <a:rPr lang="en-US" sz="1500">
              <a:solidFill>
                <a:schemeClr val="accent1">
                  <a:lumMod val="50000"/>
                </a:schemeClr>
              </a:solidFill>
              <a:latin typeface="Estrangelo Edessa" pitchFamily="66" charset="0"/>
              <a:cs typeface="Estrangelo Edessa" pitchFamily="66" charset="0"/>
            </a:rPr>
            <a:t>d/  Inflation indices for 2013-2025 are projections</a:t>
          </a:r>
        </a:p>
        <a:p>
          <a:r>
            <a:rPr lang="en-US" sz="1500">
              <a:solidFill>
                <a:schemeClr val="accent1">
                  <a:lumMod val="50000"/>
                </a:schemeClr>
              </a:solidFill>
              <a:latin typeface="Estrangelo Edessa" pitchFamily="66" charset="0"/>
              <a:cs typeface="Estrangelo Edessa" pitchFamily="66" charset="0"/>
            </a:rPr>
            <a:t>e/  Unit value index of manufacture exports (MUV) in US dollar terms for fifteen countries (Brazil, Canada, China, Germany, France, India, Italy, Japan, Mexico, Republic of Korea, South Africa, Spain, Thailand, United Kingdom, and United States). </a:t>
          </a:r>
        </a:p>
        <a:p>
          <a:endParaRPr lang="en-US" sz="15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1167" y="540406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u="none">
              <a:solidFill>
                <a:schemeClr val="accent1">
                  <a:lumMod val="50000"/>
                </a:schemeClr>
              </a:solidFill>
              <a:latin typeface="Estrangelo Edessa" pitchFamily="66" charset="0"/>
              <a:cs typeface="Estrangelo Edessa" pitchFamily="66" charset="0"/>
            </a:rPr>
            <a:t>Description of Price Series</a:t>
          </a:r>
        </a:p>
        <a:p>
          <a:endParaRPr lang="en-US" sz="1300">
            <a:solidFill>
              <a:schemeClr val="accent1">
                <a:lumMod val="50000"/>
              </a:schemeClr>
            </a:solidFill>
            <a:latin typeface="Estrangelo Edessa" pitchFamily="66" charset="0"/>
            <a:cs typeface="Estrangelo Edessa" pitchFamily="66" charset="0"/>
          </a:endParaRPr>
        </a:p>
        <a:p>
          <a:endParaRPr lang="en-US" sz="13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Coal (Australia), thermal, f.o.b. piers, Newcastle/Port Kembla, 6,700 kcal/kg, 90 days forward delivery beginning year 2011; for period 2002-2010, 6,300 kc/kg (11,340 btu/lb); prior to year 2002, 6,667 kcal/kg (12,000 btu/lb).</a:t>
          </a:r>
        </a:p>
        <a:p>
          <a:r>
            <a:rPr lang="en-US" sz="1400">
              <a:solidFill>
                <a:schemeClr val="accent1">
                  <a:lumMod val="50000"/>
                </a:schemeClr>
              </a:solidFill>
              <a:latin typeface="Estrangelo Edessa" pitchFamily="66" charset="0"/>
              <a:cs typeface="Estrangelo Edessa" pitchFamily="66" charset="0"/>
            </a:rPr>
            <a:t>Crude oil, average price of Brent, Dubai and West Texas  Intermediate, equally weighed.</a:t>
          </a:r>
        </a:p>
        <a:p>
          <a:r>
            <a:rPr lang="en-US" sz="1400">
              <a:solidFill>
                <a:schemeClr val="accent1">
                  <a:lumMod val="50000"/>
                </a:schemeClr>
              </a:solidFill>
              <a:latin typeface="Estrangelo Edessa" pitchFamily="66" charset="0"/>
              <a:cs typeface="Estrangelo Edessa" pitchFamily="66" charset="0"/>
            </a:rPr>
            <a:t>Natural Gas (Europe), average import border price, including UK. As of April 2010 includes a spot price component. Between June 2000 - March 2010 excludes UK.</a:t>
          </a:r>
        </a:p>
        <a:p>
          <a:r>
            <a:rPr lang="en-US" sz="1400">
              <a:solidFill>
                <a:schemeClr val="accent1">
                  <a:lumMod val="50000"/>
                </a:schemeClr>
              </a:solidFill>
              <a:latin typeface="Estrangelo Edessa" pitchFamily="66" charset="0"/>
              <a:cs typeface="Estrangelo Edessa" pitchFamily="66" charset="0"/>
            </a:rPr>
            <a:t>Natural Gas (U.S.), spot price at Henry Hub, Louisiana.</a:t>
          </a:r>
        </a:p>
        <a:p>
          <a:r>
            <a:rPr lang="en-US" sz="1400">
              <a:solidFill>
                <a:schemeClr val="accent1">
                  <a:lumMod val="50000"/>
                </a:schemeClr>
              </a:solidFill>
              <a:latin typeface="Estrangelo Edessa" pitchFamily="66" charset="0"/>
              <a:cs typeface="Estrangelo Edessa" pitchFamily="66" charset="0"/>
            </a:rPr>
            <a:t>Natural gas LNG (Japan), import price, cif, recent two months' averages are estimates.</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Cocoa (ICCO), International Cocoa Organization daily price, average of  the first three positions on the terminal markets of New York and London, nearest three future trading months.</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other mild Arabicas, average New York and Bremen/Hamburg markets, ex-dock. </a:t>
          </a:r>
        </a:p>
        <a:p>
          <a:r>
            <a:rPr lang="en-US" sz="1400">
              <a:solidFill>
                <a:schemeClr val="accent1">
                  <a:lumMod val="50000"/>
                </a:schemeClr>
              </a:solidFill>
              <a:latin typeface="Estrangelo Edessa" pitchFamily="66" charset="0"/>
              <a:cs typeface="Estrangelo Edessa" pitchFamily="66" charset="0"/>
            </a:rPr>
            <a:t>Coffee (ICO), International Coffee Organization indicator price, Robustas, average New York and Le Havre/Marseilles markets, ex-dock. Tea, average three auctions, arithmetic average of quotations at Kolkata, Colombo and Mombasa/Nairobi.</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Coconut oil (Philippines/Indonesia), bulk, c.i.f. Rotterdam. Copra (Philippines/Indonesia), bulk, c.i.f. N.W. Europe. </a:t>
          </a:r>
        </a:p>
        <a:p>
          <a:r>
            <a:rPr lang="en-US" sz="1400">
              <a:solidFill>
                <a:schemeClr val="accent1">
                  <a:lumMod val="50000"/>
                </a:schemeClr>
              </a:solidFill>
              <a:latin typeface="Estrangelo Edessa" pitchFamily="66" charset="0"/>
              <a:cs typeface="Estrangelo Edessa" pitchFamily="66" charset="0"/>
            </a:rPr>
            <a:t>Groundnut oil (any origin), c.i.f. Rotterdam. </a:t>
          </a:r>
        </a:p>
        <a:p>
          <a:r>
            <a:rPr lang="en-US" sz="1400">
              <a:solidFill>
                <a:schemeClr val="accent1">
                  <a:lumMod val="50000"/>
                </a:schemeClr>
              </a:solidFill>
              <a:latin typeface="Estrangelo Edessa" pitchFamily="66" charset="0"/>
              <a:cs typeface="Estrangelo Edessa" pitchFamily="66" charset="0"/>
            </a:rPr>
            <a:t>Palm oil (Malaysia), 5% bulk, c.i.f. N. W. Europe. </a:t>
          </a:r>
        </a:p>
        <a:p>
          <a:r>
            <a:rPr lang="en-US" sz="1400">
              <a:solidFill>
                <a:schemeClr val="accent1">
                  <a:lumMod val="50000"/>
                </a:schemeClr>
              </a:solidFill>
              <a:latin typeface="Estrangelo Edessa" pitchFamily="66" charset="0"/>
              <a:cs typeface="Estrangelo Edessa" pitchFamily="66" charset="0"/>
            </a:rPr>
            <a:t>Soybean meal (any origin), Argentine 45/46% extraction, c.i.f. Rotterdam beginning 1990; previously US 44%. </a:t>
          </a:r>
        </a:p>
        <a:p>
          <a:r>
            <a:rPr lang="en-US" sz="1400">
              <a:solidFill>
                <a:schemeClr val="accent1">
                  <a:lumMod val="50000"/>
                </a:schemeClr>
              </a:solidFill>
              <a:latin typeface="Estrangelo Edessa" pitchFamily="66" charset="0"/>
              <a:cs typeface="Estrangelo Edessa" pitchFamily="66" charset="0"/>
            </a:rPr>
            <a:t>Soybean oil (Any origin), crude, f.o.b. ex-mill Netherlands. </a:t>
          </a:r>
        </a:p>
        <a:p>
          <a:r>
            <a:rPr lang="en-US" sz="1400">
              <a:solidFill>
                <a:schemeClr val="accent1">
                  <a:lumMod val="50000"/>
                </a:schemeClr>
              </a:solidFill>
              <a:latin typeface="Estrangelo Edessa" pitchFamily="66" charset="0"/>
              <a:cs typeface="Estrangelo Edessa" pitchFamily="66" charset="0"/>
            </a:rPr>
            <a:t>Soybeans (US), c.i.f. Rotterdam.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Barley (US) feed, No. 2, spot, 20 days To-Arrive, delivered Minneapolis from May 2012 onwards; during 1980 - 2012 April Canadian, feed, Western No. 1, Winnipeg Commodity Exchange, spot, wholesale farmers' price.</a:t>
          </a:r>
        </a:p>
        <a:p>
          <a:r>
            <a:rPr lang="en-US" sz="1400">
              <a:solidFill>
                <a:schemeClr val="accent1">
                  <a:lumMod val="50000"/>
                </a:schemeClr>
              </a:solidFill>
              <a:latin typeface="Estrangelo Edessa" pitchFamily="66" charset="0"/>
              <a:cs typeface="Estrangelo Edessa" pitchFamily="66" charset="0"/>
            </a:rPr>
            <a:t>Maize (US), no. 2, yellow, f.o.b. US Gulf ports.</a:t>
          </a:r>
        </a:p>
        <a:p>
          <a:r>
            <a:rPr lang="en-US" sz="1400">
              <a:solidFill>
                <a:schemeClr val="accent1">
                  <a:lumMod val="50000"/>
                </a:schemeClr>
              </a:solidFill>
              <a:latin typeface="Estrangelo Edessa" pitchFamily="66" charset="0"/>
              <a:cs typeface="Estrangelo Edessa" pitchFamily="66" charset="0"/>
            </a:rPr>
            <a:t>Rice (Thailand), 5% broken, white rice (WR), milled, indicative price based on weekly surveys of export transactions, government standard, f.o.b. Bangkok. </a:t>
          </a:r>
        </a:p>
        <a:p>
          <a:r>
            <a:rPr lang="en-US" sz="1400">
              <a:solidFill>
                <a:schemeClr val="accent1">
                  <a:lumMod val="50000"/>
                </a:schemeClr>
              </a:solidFill>
              <a:latin typeface="Estrangelo Edessa" pitchFamily="66" charset="0"/>
              <a:cs typeface="Estrangelo Edessa" pitchFamily="66" charset="0"/>
            </a:rPr>
            <a:t>Wheat (US), no. 1, hard red winter, ordinary protein, export price delivered at the US Gulf port for prompt or 30 days shipment.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Bananas (Central &amp; South America), major brands,  free on truck (f.o.t.) Southern Europe, including duties; prior to October 2006, f.o.t. Hamburg.</a:t>
          </a:r>
        </a:p>
        <a:p>
          <a:r>
            <a:rPr lang="en-US" sz="1400">
              <a:solidFill>
                <a:schemeClr val="accent1">
                  <a:lumMod val="50000"/>
                </a:schemeClr>
              </a:solidFill>
              <a:latin typeface="Estrangelo Edessa" pitchFamily="66" charset="0"/>
              <a:cs typeface="Estrangelo Edessa" pitchFamily="66" charset="0"/>
            </a:rPr>
            <a:t>Meat, beef (Australia/New Zealand), chucks and cow forequarters, frozen boneless, 85% chemical lean, c.i.f. U.S. port (East Coast), ex-dock, beginning November 2002; previously cow forequarters. </a:t>
          </a:r>
        </a:p>
        <a:p>
          <a:r>
            <a:rPr lang="en-US" sz="1400">
              <a:solidFill>
                <a:schemeClr val="accent1">
                  <a:lumMod val="50000"/>
                </a:schemeClr>
              </a:solidFill>
              <a:latin typeface="Estrangelo Edessa" pitchFamily="66" charset="0"/>
              <a:cs typeface="Estrangelo Edessa" pitchFamily="66" charset="0"/>
            </a:rPr>
            <a:t>Meat, chicken (US), broiler/fryer, whole birds, 2-1/2 to 3 pounds, USDA grade "A", ice-packed, Georgia Dock preliminary weighted average, wholesale. </a:t>
          </a:r>
        </a:p>
        <a:p>
          <a:r>
            <a:rPr lang="en-US" sz="1400">
              <a:solidFill>
                <a:schemeClr val="accent1">
                  <a:lumMod val="50000"/>
                </a:schemeClr>
              </a:solidFill>
              <a:latin typeface="Estrangelo Edessa" pitchFamily="66" charset="0"/>
              <a:cs typeface="Estrangelo Edessa" pitchFamily="66" charset="0"/>
            </a:rPr>
            <a:t>Meat, sheep (New Zealand), frozen whole carcasses Prime Medium (PM) wholesale, Smithfield, London  beginning January 2006; previously Prime Light (PL). </a:t>
          </a:r>
        </a:p>
        <a:p>
          <a:r>
            <a:rPr lang="en-US" sz="1400">
              <a:solidFill>
                <a:schemeClr val="accent1">
                  <a:lumMod val="50000"/>
                </a:schemeClr>
              </a:solidFill>
              <a:latin typeface="Estrangelo Edessa" pitchFamily="66" charset="0"/>
              <a:cs typeface="Estrangelo Edessa" pitchFamily="66" charset="0"/>
            </a:rPr>
            <a:t>Oranges (Mediterranean exporters) navel, EEC indicative import price, c.i.f. Paris. </a:t>
          </a:r>
        </a:p>
        <a:p>
          <a:r>
            <a:rPr lang="en-US" sz="1400">
              <a:solidFill>
                <a:schemeClr val="accent1">
                  <a:lumMod val="50000"/>
                </a:schemeClr>
              </a:solidFill>
              <a:latin typeface="Estrangelo Edessa" pitchFamily="66" charset="0"/>
              <a:cs typeface="Estrangelo Edessa" pitchFamily="66" charset="0"/>
            </a:rPr>
            <a:t>Shrimp , (Mexico), west coast, frozen, white, No. 1, shell-on, headless, 26 to 30 count per pound, wholesale price at New York. </a:t>
          </a:r>
        </a:p>
        <a:p>
          <a:r>
            <a:rPr lang="en-US" sz="1400">
              <a:solidFill>
                <a:schemeClr val="accent1">
                  <a:lumMod val="50000"/>
                </a:schemeClr>
              </a:solidFill>
              <a:latin typeface="Estrangelo Edessa" pitchFamily="66" charset="0"/>
              <a:cs typeface="Estrangelo Edessa" pitchFamily="66" charset="0"/>
            </a:rPr>
            <a:t>Sugar (world), International Sugar Agreement (ISA) daily price, raw,  f.o.b. and stowed at greater Caribbean ports.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Logs (West Africa), sapele, high quality (loyal and marchand), 80 centimeter or more, f.o.b. Douala, Cameroon beginning January 1996; previously of unspecified dimension. </a:t>
          </a:r>
        </a:p>
        <a:p>
          <a:r>
            <a:rPr lang="en-US" sz="1400">
              <a:solidFill>
                <a:schemeClr val="accent1">
                  <a:lumMod val="50000"/>
                </a:schemeClr>
              </a:solidFill>
              <a:latin typeface="Estrangelo Edessa" pitchFamily="66" charset="0"/>
              <a:cs typeface="Estrangelo Edessa" pitchFamily="66" charset="0"/>
            </a:rPr>
            <a:t>Logs (Malaysia), meranti, Sarawak, sale price charged by importers, Tokyo beginning February 1993; previously average of Sabah and Sarawak weighted by Japanese import volumes. </a:t>
          </a:r>
        </a:p>
        <a:p>
          <a:r>
            <a:rPr lang="en-US" sz="1400">
              <a:solidFill>
                <a:schemeClr val="accent1">
                  <a:lumMod val="50000"/>
                </a:schemeClr>
              </a:solidFill>
              <a:latin typeface="Estrangelo Edessa" pitchFamily="66" charset="0"/>
              <a:cs typeface="Estrangelo Edessa" pitchFamily="66"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Cotton (Cotton Outlook "Cotlook A index"), middling 1-3/32 inch, traded in Far East, C/F beginning 2006; previously Northern Europe, c.i.f. </a:t>
          </a:r>
        </a:p>
        <a:p>
          <a:r>
            <a:rPr lang="en-US" sz="1400">
              <a:solidFill>
                <a:schemeClr val="accent1">
                  <a:lumMod val="50000"/>
                </a:schemeClr>
              </a:solidFill>
              <a:latin typeface="Estrangelo Edessa" pitchFamily="66" charset="0"/>
              <a:cs typeface="Estrangelo Edessa" pitchFamily="66" charset="0"/>
            </a:rPr>
            <a:t>Rubber (Asia), RSS3 grade, Singapore Commodity Exchange Ltd (SICOM) nearby contract beginning 2004; during 2000 to 2003, Singapore RSS1; previously Malaysia RSS1.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DAP (diammonium phosphate), standard size, bulk, spot, f.o.b. US Gulf. </a:t>
          </a:r>
        </a:p>
        <a:p>
          <a:r>
            <a:rPr lang="en-US" sz="1400">
              <a:solidFill>
                <a:schemeClr val="accent1">
                  <a:lumMod val="50000"/>
                </a:schemeClr>
              </a:solidFill>
              <a:latin typeface="Estrangelo Edessa" pitchFamily="66" charset="0"/>
              <a:cs typeface="Estrangelo Edessa" pitchFamily="66" charset="0"/>
            </a:rPr>
            <a:t>Phosphate rock (Morocco), 70% BPL, contract, f.a.s. Casablanca. </a:t>
          </a:r>
        </a:p>
        <a:p>
          <a:r>
            <a:rPr lang="en-US" sz="1400">
              <a:solidFill>
                <a:schemeClr val="accent1">
                  <a:lumMod val="50000"/>
                </a:schemeClr>
              </a:solidFill>
              <a:latin typeface="Estrangelo Edessa" pitchFamily="66" charset="0"/>
              <a:cs typeface="Estrangelo Edessa" pitchFamily="66" charset="0"/>
            </a:rPr>
            <a:t>Potassium chloride (muriate of potash), standard grade, spot, f.o.b.  Vancouver. </a:t>
          </a:r>
        </a:p>
        <a:p>
          <a:r>
            <a:rPr lang="en-US" sz="1400">
              <a:solidFill>
                <a:schemeClr val="accent1">
                  <a:lumMod val="50000"/>
                </a:schemeClr>
              </a:solidFill>
              <a:latin typeface="Estrangelo Edessa" pitchFamily="66" charset="0"/>
              <a:cs typeface="Estrangelo Edessa" pitchFamily="66" charset="0"/>
            </a:rPr>
            <a:t>TSP (triple superphosphate), bulk, spot, beginning October 2006, Tunisian origin, granular, fob; previously US origin, f.o.b. US Gulf.</a:t>
          </a:r>
        </a:p>
        <a:p>
          <a:r>
            <a:rPr lang="en-US" sz="1400">
              <a:solidFill>
                <a:schemeClr val="accent1">
                  <a:lumMod val="50000"/>
                </a:schemeClr>
              </a:solidFill>
              <a:latin typeface="Estrangelo Edessa" pitchFamily="66" charset="0"/>
              <a:cs typeface="Estrangelo Edessa" pitchFamily="66" charset="0"/>
            </a:rPr>
            <a:t>Urea, (Black Sea), bulk, spot,  f.o.b. Black Sea (primarily Yuzhnyy) beginning July 1991; for 1985-91 (June) f.o.b. Eastern Europe.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Aluminum (LME) London Metal Exchange, unalloyed primary ingots, high grade, minimum 99.7%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Copper (LME), grade A, minimum 99.9935% purity, cathodes and wire bar shapes, settlement price. Iron ore (any origin) fines, spot price, c.f.r. China, 62% Fe beginning December 2008; previously 63.5%. </a:t>
          </a:r>
        </a:p>
        <a:p>
          <a:r>
            <a:rPr lang="en-US" sz="1400">
              <a:solidFill>
                <a:schemeClr val="accent1">
                  <a:lumMod val="50000"/>
                </a:schemeClr>
              </a:solidFill>
              <a:latin typeface="Estrangelo Edessa" pitchFamily="66" charset="0"/>
              <a:cs typeface="Estrangelo Edessa" pitchFamily="66" charset="0"/>
            </a:rPr>
            <a:t>Lead (LME), refined, 99.97% purity, settlement price. </a:t>
          </a:r>
        </a:p>
        <a:p>
          <a:r>
            <a:rPr lang="en-US" sz="1400">
              <a:solidFill>
                <a:schemeClr val="accent1">
                  <a:lumMod val="50000"/>
                </a:schemeClr>
              </a:solidFill>
              <a:latin typeface="Estrangelo Edessa" pitchFamily="66" charset="0"/>
              <a:cs typeface="Estrangelo Edessa" pitchFamily="66" charset="0"/>
            </a:rPr>
            <a:t>Nickel (LME), cathodes, minimum 99.8% purity, settlement price beginning 2005; previously cash price. </a:t>
          </a:r>
        </a:p>
        <a:p>
          <a:r>
            <a:rPr lang="en-US" sz="1400">
              <a:solidFill>
                <a:schemeClr val="accent1">
                  <a:lumMod val="50000"/>
                </a:schemeClr>
              </a:solidFill>
              <a:latin typeface="Estrangelo Edessa" pitchFamily="66" charset="0"/>
              <a:cs typeface="Estrangelo Edessa" pitchFamily="66" charset="0"/>
            </a:rPr>
            <a:t>Tin (LME), refined, 99.85% purity, settlement price. </a:t>
          </a:r>
        </a:p>
        <a:p>
          <a:r>
            <a:rPr lang="en-US" sz="1400">
              <a:solidFill>
                <a:schemeClr val="accent1">
                  <a:lumMod val="50000"/>
                </a:schemeClr>
              </a:solidFill>
              <a:latin typeface="Estrangelo Edessa" pitchFamily="66" charset="0"/>
              <a:cs typeface="Estrangelo Edessa" pitchFamily="66" charset="0"/>
            </a:rPr>
            <a:t>Zinc (LME), high grade, minimum 99.95% purity, settlement price beginning April 1990; previously special high grade, minimum 99.995%, cash prices . </a:t>
          </a:r>
        </a:p>
        <a:p>
          <a:endParaRPr lang="en-US" sz="1400">
            <a:solidFill>
              <a:schemeClr val="accent1">
                <a:lumMod val="50000"/>
              </a:schemeClr>
            </a:solidFill>
            <a:latin typeface="Estrangelo Edessa" pitchFamily="66" charset="0"/>
            <a:cs typeface="Estrangelo Edessa" pitchFamily="66" charset="0"/>
          </a:endParaRPr>
        </a:p>
        <a:p>
          <a:r>
            <a:rPr lang="en-US" sz="1400">
              <a:solidFill>
                <a:schemeClr val="accent1">
                  <a:lumMod val="50000"/>
                </a:schemeClr>
              </a:solidFill>
              <a:latin typeface="Estrangelo Edessa" pitchFamily="66" charset="0"/>
              <a:cs typeface="Estrangelo Edessa" pitchFamily="66" charset="0"/>
            </a:rPr>
            <a:t>Gold (UK), 99.5% fine, London afternoon fixing, average of daily rates. </a:t>
          </a:r>
        </a:p>
        <a:p>
          <a:r>
            <a:rPr lang="en-US" sz="1400">
              <a:solidFill>
                <a:schemeClr val="accent1">
                  <a:lumMod val="50000"/>
                </a:schemeClr>
              </a:solidFill>
              <a:latin typeface="Estrangelo Edessa" pitchFamily="66" charset="0"/>
              <a:cs typeface="Estrangelo Edessa" pitchFamily="66" charset="0"/>
            </a:rPr>
            <a:t>Platinum (UK), 99.9% refined, London afternoon fixing. </a:t>
          </a:r>
        </a:p>
        <a:p>
          <a:r>
            <a:rPr lang="en-US" sz="1400">
              <a:solidFill>
                <a:schemeClr val="accent1">
                  <a:lumMod val="50000"/>
                </a:schemeClr>
              </a:solidFill>
              <a:latin typeface="Estrangelo Edessa" pitchFamily="66" charset="0"/>
              <a:cs typeface="Estrangelo Edessa" pitchFamily="66"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24" name="TextBox 23">
          <a:extLst>
            <a:ext uri="{FF2B5EF4-FFF2-40B4-BE49-F238E27FC236}">
              <a16:creationId xmlns:a16="http://schemas.microsoft.com/office/drawing/2014/main" id="{00000000-0008-0000-0800-000018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26" name="TextBox 25">
          <a:extLst>
            <a:ext uri="{FF2B5EF4-FFF2-40B4-BE49-F238E27FC236}">
              <a16:creationId xmlns:a16="http://schemas.microsoft.com/office/drawing/2014/main" id="{00000000-0008-0000-0800-00001A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27" name="TextBox 26">
          <a:extLst>
            <a:ext uri="{FF2B5EF4-FFF2-40B4-BE49-F238E27FC236}">
              <a16:creationId xmlns:a16="http://schemas.microsoft.com/office/drawing/2014/main" id="{00000000-0008-0000-0800-00001B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29" name="TextBox 28">
          <a:extLst>
            <a:ext uri="{FF2B5EF4-FFF2-40B4-BE49-F238E27FC236}">
              <a16:creationId xmlns:a16="http://schemas.microsoft.com/office/drawing/2014/main" id="{00000000-0008-0000-0800-00001D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1" name="TextBox 30">
          <a:extLst>
            <a:ext uri="{FF2B5EF4-FFF2-40B4-BE49-F238E27FC236}">
              <a16:creationId xmlns:a16="http://schemas.microsoft.com/office/drawing/2014/main" id="{00000000-0008-0000-0800-00001F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34" name="TextBox 33">
          <a:extLst>
            <a:ext uri="{FF2B5EF4-FFF2-40B4-BE49-F238E27FC236}">
              <a16:creationId xmlns:a16="http://schemas.microsoft.com/office/drawing/2014/main" id="{00000000-0008-0000-0800-000022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5" name="TextBox 34">
          <a:extLst>
            <a:ext uri="{FF2B5EF4-FFF2-40B4-BE49-F238E27FC236}">
              <a16:creationId xmlns:a16="http://schemas.microsoft.com/office/drawing/2014/main" id="{00000000-0008-0000-0800-000023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36" name="TextBox 35">
          <a:extLst>
            <a:ext uri="{FF2B5EF4-FFF2-40B4-BE49-F238E27FC236}">
              <a16:creationId xmlns:a16="http://schemas.microsoft.com/office/drawing/2014/main" id="{00000000-0008-0000-0800-000024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39" name="TextBox 38">
          <a:extLst>
            <a:ext uri="{FF2B5EF4-FFF2-40B4-BE49-F238E27FC236}">
              <a16:creationId xmlns:a16="http://schemas.microsoft.com/office/drawing/2014/main" id="{00000000-0008-0000-0800-000027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Coal (Australia), thermal, f.o.b. piers, Newcastle/Port Kembla, 6,700 kcal/kg, 90 days forward delivery beginning year 2011; for period 2002-2010, 6,300 kc/kg (11,340 btu/lb); prior to year 2002, 6,667 kcal/kg (12,000 btu/lb).</a:t>
          </a:r>
        </a:p>
        <a:p>
          <a:r>
            <a:rPr lang="en-US" sz="1200">
              <a:solidFill>
                <a:schemeClr val="accent1">
                  <a:lumMod val="50000"/>
                </a:schemeClr>
              </a:solidFill>
              <a:latin typeface="Arial" panose="020B0604020202020204" pitchFamily="34" charset="0"/>
              <a:cs typeface="Arial" panose="020B0604020202020204" pitchFamily="34" charset="0"/>
            </a:rPr>
            <a:t>Crude oil, average price of Brent, Dubai and West Texas  Intermediate, equally weighed.</a:t>
          </a:r>
        </a:p>
        <a:p>
          <a:r>
            <a:rPr lang="en-US" sz="1200">
              <a:solidFill>
                <a:schemeClr val="accent1">
                  <a:lumMod val="50000"/>
                </a:schemeClr>
              </a:solidFill>
              <a:latin typeface="Arial" panose="020B0604020202020204" pitchFamily="34" charset="0"/>
              <a:cs typeface="Arial" panose="020B0604020202020204" pitchFamily="34" charset="0"/>
            </a:rPr>
            <a:t>Natural Gas (Europe), average import border price, including UK. As of April 2010 includes a spot price component. Between June 2000 - March 2010 excludes UK.</a:t>
          </a:r>
        </a:p>
        <a:p>
          <a:r>
            <a:rPr lang="en-US" sz="1200">
              <a:solidFill>
                <a:schemeClr val="accent1">
                  <a:lumMod val="50000"/>
                </a:schemeClr>
              </a:solidFill>
              <a:latin typeface="Arial" panose="020B0604020202020204" pitchFamily="34" charset="0"/>
              <a:cs typeface="Arial" panose="020B0604020202020204" pitchFamily="34" charset="0"/>
            </a:rPr>
            <a:t>Natural Gas (U.S.), spot price at Henry Hub, Louisiana.</a:t>
          </a:r>
        </a:p>
        <a:p>
          <a:r>
            <a:rPr lang="en-US" sz="1200">
              <a:solidFill>
                <a:schemeClr val="accent1">
                  <a:lumMod val="50000"/>
                </a:schemeClr>
              </a:solidFill>
              <a:latin typeface="Arial" panose="020B0604020202020204" pitchFamily="34" charset="0"/>
              <a:cs typeface="Arial" panose="020B0604020202020204" pitchFamily="34" charset="0"/>
            </a:rPr>
            <a:t>Natural gas LNG (Japan), import price, cif, recent two months' averages are estimates.</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Cocoa (ICCO), International Cocoa Organization daily price, average of  the first three positions on the terminal markets of New York and London, nearest three future trading months.</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other mild Arabicas, average New York and Bremen/Hamburg markets, ex-dock. </a:t>
          </a:r>
        </a:p>
        <a:p>
          <a:r>
            <a:rPr lang="en-US" sz="1200">
              <a:solidFill>
                <a:schemeClr val="accent1">
                  <a:lumMod val="50000"/>
                </a:schemeClr>
              </a:solidFill>
              <a:latin typeface="Arial" panose="020B0604020202020204" pitchFamily="34" charset="0"/>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Coconut oil (Philippines/Indonesia), bulk, c.i.f. Rotterdam. Copra (Philippines/Indonesia), bulk, c.i.f. N.W. Europe. </a:t>
          </a:r>
        </a:p>
        <a:p>
          <a:r>
            <a:rPr lang="en-US" sz="1200">
              <a:solidFill>
                <a:schemeClr val="accent1">
                  <a:lumMod val="50000"/>
                </a:schemeClr>
              </a:solidFill>
              <a:latin typeface="Arial" panose="020B0604020202020204" pitchFamily="34" charset="0"/>
              <a:cs typeface="Arial" panose="020B0604020202020204" pitchFamily="34" charset="0"/>
            </a:rPr>
            <a:t>Groundnut oil (any origin), c.i.f. Rotterdam. </a:t>
          </a:r>
        </a:p>
        <a:p>
          <a:r>
            <a:rPr lang="en-US" sz="1200">
              <a:solidFill>
                <a:schemeClr val="accent1">
                  <a:lumMod val="50000"/>
                </a:schemeClr>
              </a:solidFill>
              <a:latin typeface="Arial" panose="020B0604020202020204" pitchFamily="34" charset="0"/>
              <a:cs typeface="Arial" panose="020B0604020202020204" pitchFamily="34" charset="0"/>
            </a:rPr>
            <a:t>Palm oil (Malaysia), 5% bulk, c.i.f. N. W. Europe. </a:t>
          </a:r>
        </a:p>
        <a:p>
          <a:r>
            <a:rPr lang="en-US" sz="1200">
              <a:solidFill>
                <a:schemeClr val="accent1">
                  <a:lumMod val="50000"/>
                </a:schemeClr>
              </a:solidFill>
              <a:latin typeface="Arial" panose="020B0604020202020204" pitchFamily="34" charset="0"/>
              <a:cs typeface="Arial" panose="020B0604020202020204" pitchFamily="34" charset="0"/>
            </a:rPr>
            <a:t>Soybean meal (any origin), Argentine 45/46% extraction, c.i.f. Rotterdam beginning 1990; previously US 44%. </a:t>
          </a:r>
        </a:p>
        <a:p>
          <a:r>
            <a:rPr lang="en-US" sz="1200">
              <a:solidFill>
                <a:schemeClr val="accent1">
                  <a:lumMod val="50000"/>
                </a:schemeClr>
              </a:solidFill>
              <a:latin typeface="Arial" panose="020B0604020202020204" pitchFamily="34" charset="0"/>
              <a:cs typeface="Arial" panose="020B0604020202020204" pitchFamily="34" charset="0"/>
            </a:rPr>
            <a:t>Soybean oil (Any origin), crude, f.o.b. ex-mill Netherlands. </a:t>
          </a:r>
        </a:p>
        <a:p>
          <a:r>
            <a:rPr lang="en-US" sz="1200">
              <a:solidFill>
                <a:schemeClr val="accent1">
                  <a:lumMod val="50000"/>
                </a:schemeClr>
              </a:solidFill>
              <a:latin typeface="Arial" panose="020B0604020202020204" pitchFamily="34" charset="0"/>
              <a:cs typeface="Arial" panose="020B0604020202020204" pitchFamily="34" charset="0"/>
            </a:rPr>
            <a:t>Soybeans (US), c.i.f. Rotterdam.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Barley (US) feed, No. 2, spot, 20 days To-Arrive, delivered Minneapolis from May 2012 onwards; during 1980 - 2012 April Canadian, feed, Western No. 1, Winnipeg Commodity Exchange, spot, wholesale farmers' price.</a:t>
          </a:r>
        </a:p>
        <a:p>
          <a:r>
            <a:rPr lang="en-US" sz="1200">
              <a:solidFill>
                <a:schemeClr val="accent1">
                  <a:lumMod val="50000"/>
                </a:schemeClr>
              </a:solidFill>
              <a:latin typeface="Arial" panose="020B0604020202020204" pitchFamily="34" charset="0"/>
              <a:cs typeface="Arial" panose="020B0604020202020204" pitchFamily="34" charset="0"/>
            </a:rPr>
            <a:t>Maize (US), no. 2, yellow, f.o.b. US Gulf ports.</a:t>
          </a:r>
        </a:p>
        <a:p>
          <a:r>
            <a:rPr lang="en-US" sz="1200">
              <a:solidFill>
                <a:schemeClr val="accent1">
                  <a:lumMod val="50000"/>
                </a:schemeClr>
              </a:solidFill>
              <a:latin typeface="Arial" panose="020B0604020202020204" pitchFamily="34" charset="0"/>
              <a:cs typeface="Arial" panose="020B0604020202020204" pitchFamily="34" charset="0"/>
            </a:rPr>
            <a:t>Rice (Thailand), 5% broken, white rice (WR), milled, indicative price based on weekly surveys of export transactions, government standard, f.o.b. Bangkok. </a:t>
          </a:r>
        </a:p>
        <a:p>
          <a:r>
            <a:rPr lang="en-US" sz="1200">
              <a:solidFill>
                <a:schemeClr val="accent1">
                  <a:lumMod val="50000"/>
                </a:schemeClr>
              </a:solidFill>
              <a:latin typeface="Arial" panose="020B0604020202020204" pitchFamily="34" charset="0"/>
              <a:cs typeface="Arial" panose="020B0604020202020204" pitchFamily="34" charset="0"/>
            </a:rPr>
            <a:t>Wheat (US), no. 1, hard red winter, ordinary protein, export price delivered at the US Gulf port for prompt or 30 days shipment.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Bananas (Central &amp; South America), major brands,  free on truck (f.o.t.) Southern Europe, including duties; prior to October 2006, f.o.t. Hamburg.</a:t>
          </a:r>
        </a:p>
        <a:p>
          <a:r>
            <a:rPr lang="en-US" sz="1200">
              <a:solidFill>
                <a:schemeClr val="accent1">
                  <a:lumMod val="50000"/>
                </a:schemeClr>
              </a:solidFill>
              <a:latin typeface="Arial" panose="020B0604020202020204" pitchFamily="34" charset="0"/>
              <a:cs typeface="Arial" panose="020B0604020202020204" pitchFamily="34" charset="0"/>
            </a:rPr>
            <a:t>Meat, beef (Australia/New Zealand), chucks and cow forequarters, frozen boneless, 85% chemical lean, c.i.f. U.S. port (East Coast), ex-dock, beginning November 2002; previously cow forequarters. </a:t>
          </a:r>
        </a:p>
        <a:p>
          <a:r>
            <a:rPr lang="en-US" sz="1200">
              <a:solidFill>
                <a:schemeClr val="accent1">
                  <a:lumMod val="50000"/>
                </a:schemeClr>
              </a:solidFill>
              <a:latin typeface="Arial" panose="020B0604020202020204" pitchFamily="34" charset="0"/>
              <a:cs typeface="Arial" panose="020B0604020202020204" pitchFamily="34" charset="0"/>
            </a:rPr>
            <a:t>Meat, chicken (US), broiler/fryer, whole birds, 2-1/2 to 3 pounds, USDA grade "A", ice-packed, Georgia Dock preliminary weighted average, wholesale. </a:t>
          </a:r>
        </a:p>
        <a:p>
          <a:r>
            <a:rPr lang="en-US" sz="1200">
              <a:solidFill>
                <a:schemeClr val="accent1">
                  <a:lumMod val="50000"/>
                </a:schemeClr>
              </a:solidFill>
              <a:latin typeface="Arial" panose="020B0604020202020204" pitchFamily="34" charset="0"/>
              <a:cs typeface="Arial" panose="020B0604020202020204" pitchFamily="34" charset="0"/>
            </a:rPr>
            <a:t>Meat, sheep (New Zealand), frozen whole carcasses Prime Medium (PM) wholesale, Smithfield, London  beginning January 2006; previously Prime Light (PL). </a:t>
          </a:r>
        </a:p>
        <a:p>
          <a:r>
            <a:rPr lang="en-US" sz="1200">
              <a:solidFill>
                <a:schemeClr val="accent1">
                  <a:lumMod val="50000"/>
                </a:schemeClr>
              </a:solidFill>
              <a:latin typeface="Arial" panose="020B0604020202020204" pitchFamily="34" charset="0"/>
              <a:cs typeface="Arial" panose="020B0604020202020204" pitchFamily="34" charset="0"/>
            </a:rPr>
            <a:t>Oranges (Mediterranean exporters) navel, EEC indicative import price, c.i.f. Paris. </a:t>
          </a:r>
        </a:p>
        <a:p>
          <a:r>
            <a:rPr lang="en-US" sz="1200">
              <a:solidFill>
                <a:schemeClr val="accent1">
                  <a:lumMod val="50000"/>
                </a:schemeClr>
              </a:solidFill>
              <a:latin typeface="Arial" panose="020B0604020202020204" pitchFamily="34" charset="0"/>
              <a:cs typeface="Arial" panose="020B0604020202020204" pitchFamily="34" charset="0"/>
            </a:rPr>
            <a:t>Shrimp , (Mexico), west coast, frozen, white, No. 1, shell-on, headless, 26 to 30 count per pound, wholesale price at New York. </a:t>
          </a:r>
        </a:p>
        <a:p>
          <a:r>
            <a:rPr lang="en-US" sz="1200">
              <a:solidFill>
                <a:schemeClr val="accent1">
                  <a:lumMod val="50000"/>
                </a:schemeClr>
              </a:solidFill>
              <a:latin typeface="Arial" panose="020B0604020202020204" pitchFamily="34" charset="0"/>
              <a:cs typeface="Arial" panose="020B0604020202020204" pitchFamily="34" charset="0"/>
            </a:rPr>
            <a:t>Sugar (world), International Sugar Agreement (ISA) daily price, raw,  f.o.b. and stowed at greater Caribbean ports.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Logs (West Africa), sapele, high quality (loyal and marchand), 80 centimeter or more, f.o.b. Douala, Cameroon beginning January 1996; previously of unspecified dimension. </a:t>
          </a:r>
        </a:p>
        <a:p>
          <a:r>
            <a:rPr lang="en-US" sz="1200">
              <a:solidFill>
                <a:schemeClr val="accent1">
                  <a:lumMod val="50000"/>
                </a:schemeClr>
              </a:solidFill>
              <a:latin typeface="Arial" panose="020B0604020202020204" pitchFamily="34" charset="0"/>
              <a:cs typeface="Arial" panose="020B0604020202020204" pitchFamily="34" charset="0"/>
            </a:rPr>
            <a:t>Logs (Malaysia), meranti, Sarawak, sale price charged by importers, Tokyo beginning February 1993; previously average of Sabah and Sarawak weighted by Japanese import volumes. </a:t>
          </a:r>
        </a:p>
        <a:p>
          <a:r>
            <a:rPr lang="en-US" sz="1200">
              <a:solidFill>
                <a:schemeClr val="accent1">
                  <a:lumMod val="50000"/>
                </a:schemeClr>
              </a:solidFill>
              <a:latin typeface="Arial" panose="020B0604020202020204" pitchFamily="34" charset="0"/>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Cotton (Cotton Outlook "Cotlook A index"), middling 1-3/32 inch, traded in Far East, C/F beginning 2006; previously Northern Europe, c.i.f. </a:t>
          </a:r>
        </a:p>
        <a:p>
          <a:r>
            <a:rPr lang="en-US" sz="1200">
              <a:solidFill>
                <a:schemeClr val="accent1">
                  <a:lumMod val="50000"/>
                </a:schemeClr>
              </a:solidFill>
              <a:latin typeface="Arial" panose="020B0604020202020204" pitchFamily="34" charset="0"/>
              <a:cs typeface="Arial" panose="020B0604020202020204" pitchFamily="34" charset="0"/>
            </a:rPr>
            <a:t>Rubber (Asia), RSS3 grade, Singapore Commodity Exchange Ltd (SICOM) nearby contract beginning 2004; during 2000 to 2003, Singapore RSS1; previously Malaysia RSS1.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DAP (diammonium phosphate), standard size, bulk, spot, f.o.b. US Gulf. </a:t>
          </a:r>
        </a:p>
        <a:p>
          <a:r>
            <a:rPr lang="en-US" sz="1200">
              <a:solidFill>
                <a:schemeClr val="accent1">
                  <a:lumMod val="50000"/>
                </a:schemeClr>
              </a:solidFill>
              <a:latin typeface="Arial" panose="020B0604020202020204" pitchFamily="34" charset="0"/>
              <a:cs typeface="Arial" panose="020B0604020202020204" pitchFamily="34" charset="0"/>
            </a:rPr>
            <a:t>Phosphate rock (Morocco), 70% BPL, contract, f.a.s. Casablanca. </a:t>
          </a:r>
        </a:p>
        <a:p>
          <a:r>
            <a:rPr lang="en-US" sz="1200">
              <a:solidFill>
                <a:schemeClr val="accent1">
                  <a:lumMod val="50000"/>
                </a:schemeClr>
              </a:solidFill>
              <a:latin typeface="Arial" panose="020B0604020202020204" pitchFamily="34" charset="0"/>
              <a:cs typeface="Arial" panose="020B0604020202020204" pitchFamily="34" charset="0"/>
            </a:rPr>
            <a:t>Potassium chloride (muriate of potash), standard grade, spot, f.o.b.  Vancouver. </a:t>
          </a:r>
        </a:p>
        <a:p>
          <a:r>
            <a:rPr lang="en-US" sz="1200">
              <a:solidFill>
                <a:schemeClr val="accent1">
                  <a:lumMod val="50000"/>
                </a:schemeClr>
              </a:solidFill>
              <a:latin typeface="Arial" panose="020B0604020202020204" pitchFamily="34" charset="0"/>
              <a:cs typeface="Arial" panose="020B0604020202020204" pitchFamily="34" charset="0"/>
            </a:rPr>
            <a:t>TSP (triple superphosphate), bulk, spot, beginning October 2006, Tunisian origin, granular, fob; previously US origin, f.o.b. US Gulf.</a:t>
          </a:r>
        </a:p>
        <a:p>
          <a:r>
            <a:rPr lang="en-US" sz="1200">
              <a:solidFill>
                <a:schemeClr val="accent1">
                  <a:lumMod val="50000"/>
                </a:schemeClr>
              </a:solidFill>
              <a:latin typeface="Arial" panose="020B0604020202020204" pitchFamily="34" charset="0"/>
              <a:cs typeface="Arial" panose="020B0604020202020204" pitchFamily="34" charset="0"/>
            </a:rPr>
            <a:t>Urea, (Black Sea), bulk, spot,  f.o.b. Black Sea (primarily Yuzhnyy) beginning July 1991; for 1985-91 (June) f.o.b. Eastern Europe.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Aluminum (LME) London Metal Exchange, unalloyed primary ingots, high grade, minimum 99.7%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Copper (LME), grade A, minimum 99.9935% purity, cathodes and wire bar shapes, settlement price. Iron ore (any origin) fines, spot price, c.f.r. China, 62% Fe beginning December 2008; previously 63.5%. </a:t>
          </a:r>
        </a:p>
        <a:p>
          <a:r>
            <a:rPr lang="en-US" sz="1200">
              <a:solidFill>
                <a:schemeClr val="accent1">
                  <a:lumMod val="50000"/>
                </a:schemeClr>
              </a:solidFill>
              <a:latin typeface="Arial" panose="020B0604020202020204" pitchFamily="34" charset="0"/>
              <a:cs typeface="Arial" panose="020B0604020202020204" pitchFamily="34" charset="0"/>
            </a:rPr>
            <a:t>Lead (LME), refined, 99.97% purity, settlement price. </a:t>
          </a:r>
        </a:p>
        <a:p>
          <a:r>
            <a:rPr lang="en-US" sz="1200">
              <a:solidFill>
                <a:schemeClr val="accent1">
                  <a:lumMod val="50000"/>
                </a:schemeClr>
              </a:solidFill>
              <a:latin typeface="Arial" panose="020B0604020202020204" pitchFamily="34" charset="0"/>
              <a:cs typeface="Arial" panose="020B0604020202020204" pitchFamily="34" charset="0"/>
            </a:rPr>
            <a:t>Nickel (LME), cathodes, minimum 99.8% purity, settlement price beginning 2005; previously cash price. </a:t>
          </a:r>
        </a:p>
        <a:p>
          <a:r>
            <a:rPr lang="en-US" sz="1200">
              <a:solidFill>
                <a:schemeClr val="accent1">
                  <a:lumMod val="50000"/>
                </a:schemeClr>
              </a:solidFill>
              <a:latin typeface="Arial" panose="020B0604020202020204" pitchFamily="34" charset="0"/>
              <a:cs typeface="Arial" panose="020B0604020202020204" pitchFamily="34" charset="0"/>
            </a:rPr>
            <a:t>Tin (LME), refined, 99.85% purity, settlement price. </a:t>
          </a:r>
        </a:p>
        <a:p>
          <a:r>
            <a:rPr lang="en-US" sz="1200">
              <a:solidFill>
                <a:schemeClr val="accent1">
                  <a:lumMod val="50000"/>
                </a:schemeClr>
              </a:solidFill>
              <a:latin typeface="Arial" panose="020B0604020202020204" pitchFamily="34" charset="0"/>
              <a:cs typeface="Arial" panose="020B0604020202020204" pitchFamily="34" charset="0"/>
            </a:rPr>
            <a:t>Zinc (LME), high grade, minimum 99.95% purity, settlement price beginning April 1990; previously special high grade, minimum 99.995%, cash prices . </a:t>
          </a:r>
        </a:p>
        <a:p>
          <a:endParaRPr lang="en-US" sz="1200">
            <a:solidFill>
              <a:schemeClr val="accent1">
                <a:lumMod val="50000"/>
              </a:schemeClr>
            </a:solidFill>
            <a:latin typeface="Arial" panose="020B0604020202020204" pitchFamily="34" charset="0"/>
            <a:cs typeface="Arial" panose="020B0604020202020204" pitchFamily="34" charset="0"/>
          </a:endParaRPr>
        </a:p>
        <a:p>
          <a:r>
            <a:rPr lang="en-US" sz="1200">
              <a:solidFill>
                <a:schemeClr val="accent1">
                  <a:lumMod val="50000"/>
                </a:schemeClr>
              </a:solidFill>
              <a:latin typeface="Arial" panose="020B0604020202020204" pitchFamily="34" charset="0"/>
              <a:cs typeface="Arial" panose="020B0604020202020204" pitchFamily="34" charset="0"/>
            </a:rPr>
            <a:t>Gold (UK), 99.5% fine, London afternoon fixing, average of daily rates. </a:t>
          </a:r>
        </a:p>
        <a:p>
          <a:r>
            <a:rPr lang="en-US" sz="1200">
              <a:solidFill>
                <a:schemeClr val="accent1">
                  <a:lumMod val="50000"/>
                </a:schemeClr>
              </a:solidFill>
              <a:latin typeface="Arial" panose="020B0604020202020204" pitchFamily="34" charset="0"/>
              <a:cs typeface="Arial" panose="020B0604020202020204" pitchFamily="34" charset="0"/>
            </a:rPr>
            <a:t>Platinum (UK), 99.9% refined, London afternoon fixing. </a:t>
          </a:r>
        </a:p>
        <a:p>
          <a:r>
            <a:rPr lang="en-US" sz="1200">
              <a:solidFill>
                <a:schemeClr val="accent1">
                  <a:lumMod val="50000"/>
                </a:schemeClr>
              </a:solidFill>
              <a:latin typeface="Arial" panose="020B0604020202020204" pitchFamily="34" charset="0"/>
              <a:cs typeface="Arial" panose="020B0604020202020204" pitchFamily="34" charset="0"/>
            </a:rPr>
            <a:t>Silver (UK), 99.9% refined, London afternoon fixing; prior to July 1976 Handy &amp; Harman.  Grade prior to 1962 unrefined silver. </a:t>
          </a: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41" name="TextBox 40">
          <a:extLst>
            <a:ext uri="{FF2B5EF4-FFF2-40B4-BE49-F238E27FC236}">
              <a16:creationId xmlns:a16="http://schemas.microsoft.com/office/drawing/2014/main" id="{00000000-0008-0000-0800-000029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2" name="TextBox 41">
          <a:extLst>
            <a:ext uri="{FF2B5EF4-FFF2-40B4-BE49-F238E27FC236}">
              <a16:creationId xmlns:a16="http://schemas.microsoft.com/office/drawing/2014/main" id="{00000000-0008-0000-0800-00002A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4" name="TextBox 43">
          <a:extLst>
            <a:ext uri="{FF2B5EF4-FFF2-40B4-BE49-F238E27FC236}">
              <a16:creationId xmlns:a16="http://schemas.microsoft.com/office/drawing/2014/main" id="{00000000-0008-0000-0800-00002C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45" name="TextBox 44">
          <a:extLst>
            <a:ext uri="{FF2B5EF4-FFF2-40B4-BE49-F238E27FC236}">
              <a16:creationId xmlns:a16="http://schemas.microsoft.com/office/drawing/2014/main" id="{00000000-0008-0000-0800-00002D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47" name="TextBox 46">
          <a:extLst>
            <a:ext uri="{FF2B5EF4-FFF2-40B4-BE49-F238E27FC236}">
              <a16:creationId xmlns:a16="http://schemas.microsoft.com/office/drawing/2014/main" id="{00000000-0008-0000-0800-00002F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48" name="TextBox 47">
          <a:extLst>
            <a:ext uri="{FF2B5EF4-FFF2-40B4-BE49-F238E27FC236}">
              <a16:creationId xmlns:a16="http://schemas.microsoft.com/office/drawing/2014/main" id="{00000000-0008-0000-0800-000030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50" name="TextBox 49">
          <a:extLst>
            <a:ext uri="{FF2B5EF4-FFF2-40B4-BE49-F238E27FC236}">
              <a16:creationId xmlns:a16="http://schemas.microsoft.com/office/drawing/2014/main" id="{00000000-0008-0000-0800-000032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1" name="TextBox 50">
          <a:extLst>
            <a:ext uri="{FF2B5EF4-FFF2-40B4-BE49-F238E27FC236}">
              <a16:creationId xmlns:a16="http://schemas.microsoft.com/office/drawing/2014/main" id="{00000000-0008-0000-0800-000033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54" name="TextBox 53">
          <a:extLst>
            <a:ext uri="{FF2B5EF4-FFF2-40B4-BE49-F238E27FC236}">
              <a16:creationId xmlns:a16="http://schemas.microsoft.com/office/drawing/2014/main" id="{00000000-0008-0000-0800-000036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5" name="TextBox 54">
          <a:extLst>
            <a:ext uri="{FF2B5EF4-FFF2-40B4-BE49-F238E27FC236}">
              <a16:creationId xmlns:a16="http://schemas.microsoft.com/office/drawing/2014/main" id="{00000000-0008-0000-0800-000037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56" name="TextBox 55">
          <a:extLst>
            <a:ext uri="{FF2B5EF4-FFF2-40B4-BE49-F238E27FC236}">
              <a16:creationId xmlns:a16="http://schemas.microsoft.com/office/drawing/2014/main" id="{00000000-0008-0000-0800-000038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7" name="TextBox 56">
          <a:extLst>
            <a:ext uri="{FF2B5EF4-FFF2-40B4-BE49-F238E27FC236}">
              <a16:creationId xmlns:a16="http://schemas.microsoft.com/office/drawing/2014/main" id="{00000000-0008-0000-0800-000039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58" name="TextBox 57">
          <a:extLst>
            <a:ext uri="{FF2B5EF4-FFF2-40B4-BE49-F238E27FC236}">
              <a16:creationId xmlns:a16="http://schemas.microsoft.com/office/drawing/2014/main" id="{00000000-0008-0000-0800-00003A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59" name="TextBox 58">
          <a:extLst>
            <a:ext uri="{FF2B5EF4-FFF2-40B4-BE49-F238E27FC236}">
              <a16:creationId xmlns:a16="http://schemas.microsoft.com/office/drawing/2014/main" id="{00000000-0008-0000-0800-00003B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0" name="TextBox 59">
          <a:extLst>
            <a:ext uri="{FF2B5EF4-FFF2-40B4-BE49-F238E27FC236}">
              <a16:creationId xmlns:a16="http://schemas.microsoft.com/office/drawing/2014/main" id="{00000000-0008-0000-0800-00003C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61" name="TextBox 60">
          <a:extLst>
            <a:ext uri="{FF2B5EF4-FFF2-40B4-BE49-F238E27FC236}">
              <a16:creationId xmlns:a16="http://schemas.microsoft.com/office/drawing/2014/main" id="{00000000-0008-0000-0800-00003D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2" name="TextBox 61">
          <a:extLst>
            <a:ext uri="{FF2B5EF4-FFF2-40B4-BE49-F238E27FC236}">
              <a16:creationId xmlns:a16="http://schemas.microsoft.com/office/drawing/2014/main" id="{00000000-0008-0000-0800-00003E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63" name="TextBox 62">
          <a:extLst>
            <a:ext uri="{FF2B5EF4-FFF2-40B4-BE49-F238E27FC236}">
              <a16:creationId xmlns:a16="http://schemas.microsoft.com/office/drawing/2014/main" id="{00000000-0008-0000-0800-00003F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4" name="TextBox 63">
          <a:extLst>
            <a:ext uri="{FF2B5EF4-FFF2-40B4-BE49-F238E27FC236}">
              <a16:creationId xmlns:a16="http://schemas.microsoft.com/office/drawing/2014/main" id="{00000000-0008-0000-0800-000040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65" name="TextBox 64">
          <a:extLst>
            <a:ext uri="{FF2B5EF4-FFF2-40B4-BE49-F238E27FC236}">
              <a16:creationId xmlns:a16="http://schemas.microsoft.com/office/drawing/2014/main" id="{00000000-0008-0000-0800-000041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6" name="TextBox 65">
          <a:extLst>
            <a:ext uri="{FF2B5EF4-FFF2-40B4-BE49-F238E27FC236}">
              <a16:creationId xmlns:a16="http://schemas.microsoft.com/office/drawing/2014/main" id="{00000000-0008-0000-0800-000042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67" name="TextBox 66">
          <a:extLst>
            <a:ext uri="{FF2B5EF4-FFF2-40B4-BE49-F238E27FC236}">
              <a16:creationId xmlns:a16="http://schemas.microsoft.com/office/drawing/2014/main" id="{00000000-0008-0000-0800-000043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twoCellAnchor>
    <xdr:from>
      <xdr:col>1</xdr:col>
      <xdr:colOff>31750</xdr:colOff>
      <xdr:row>209</xdr:row>
      <xdr:rowOff>52917</xdr:rowOff>
    </xdr:from>
    <xdr:to>
      <xdr:col>20</xdr:col>
      <xdr:colOff>762000</xdr:colOff>
      <xdr:row>216</xdr:row>
      <xdr:rowOff>0</xdr:rowOff>
    </xdr:to>
    <xdr:sp macro="" textlink="">
      <xdr:nvSpPr>
        <xdr:cNvPr id="68" name="TextBox 67">
          <a:extLst>
            <a:ext uri="{FF2B5EF4-FFF2-40B4-BE49-F238E27FC236}">
              <a16:creationId xmlns:a16="http://schemas.microsoft.com/office/drawing/2014/main" id="{00000000-0008-0000-0800-000044000000}"/>
            </a:ext>
          </a:extLst>
        </xdr:cNvPr>
        <xdr:cNvSpPr txBox="1"/>
      </xdr:nvSpPr>
      <xdr:spPr>
        <a:xfrm>
          <a:off x="31750" y="49303517"/>
          <a:ext cx="13163550" cy="168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Arial" panose="020B0604020202020204" pitchFamily="34" charset="0"/>
              <a:cs typeface="Arial" panose="020B0604020202020204" pitchFamily="34" charset="0"/>
            </a:rPr>
            <a:t>Notes: </a:t>
          </a:r>
        </a:p>
        <a:p>
          <a:r>
            <a:rPr lang="en-US" sz="1200">
              <a:solidFill>
                <a:sysClr val="windowText" lastClr="000000"/>
              </a:solidFill>
              <a:latin typeface="Arial" panose="020B0604020202020204" pitchFamily="34" charset="0"/>
              <a:cs typeface="Arial" panose="020B0604020202020204" pitchFamily="34" charset="0"/>
            </a:rPr>
            <a:t>a/  Base metals plus iron ore</a:t>
          </a:r>
        </a:p>
        <a:p>
          <a:r>
            <a:rPr lang="en-US" sz="1200">
              <a:solidFill>
                <a:sysClr val="windowText" lastClr="000000"/>
              </a:solidFill>
              <a:latin typeface="Arial" panose="020B0604020202020204" pitchFamily="34" charset="0"/>
              <a:cs typeface="Arial" panose="020B0604020202020204" pitchFamily="34" charset="0"/>
            </a:rPr>
            <a:t>b/  Includes aluminum, copper, lead, nickel, tin and zinc</a:t>
          </a:r>
          <a:br>
            <a:rPr lang="en-US" sz="1200">
              <a:solidFill>
                <a:sysClr val="windowText" lastClr="000000"/>
              </a:solidFill>
              <a:latin typeface="Arial" panose="020B0604020202020204" pitchFamily="34" charset="0"/>
              <a:cs typeface="Arial" panose="020B0604020202020204" pitchFamily="34" charset="0"/>
            </a:rPr>
          </a:br>
          <a:r>
            <a:rPr lang="en-US" sz="1200">
              <a:solidFill>
                <a:sysClr val="windowText" lastClr="000000"/>
              </a:solidFill>
              <a:latin typeface="Arial" panose="020B0604020202020204" pitchFamily="34" charset="0"/>
              <a:cs typeface="Arial" panose="020B0604020202020204" pitchFamily="34" charset="0"/>
            </a:rPr>
            <a:t>c/  Real price indices are computed from unrounded data and deflated by the MUV index.</a:t>
          </a:r>
        </a:p>
        <a:p>
          <a:r>
            <a:rPr lang="en-US" sz="1200">
              <a:solidFill>
                <a:sysClr val="windowText" lastClr="000000"/>
              </a:solidFill>
              <a:latin typeface="Arial" panose="020B0604020202020204" pitchFamily="34" charset="0"/>
              <a:cs typeface="Arial" panose="020B0604020202020204" pitchFamily="34" charset="0"/>
            </a:rPr>
            <a:t>d/  Inflation indices for 2013-2025 are projections</a:t>
          </a:r>
        </a:p>
        <a:p>
          <a:r>
            <a:rPr lang="en-US" sz="1200">
              <a:solidFill>
                <a:sysClr val="windowText" lastClr="000000"/>
              </a:solidFill>
              <a:latin typeface="Arial" panose="020B0604020202020204" pitchFamily="34" charset="0"/>
              <a:cs typeface="Arial" panose="020B0604020202020204" pitchFamily="34" charset="0"/>
            </a:rPr>
            <a:t>e/  Unit value index of manufacture exports (MUV) in US dollar terms for fifteen countries (Brazil, Canada, China, Germany, France, India, Italy, Japan, Mexico, Republic of Korea, South Africa, Spain, Thailand, United Kingdom, and United States). </a:t>
          </a:r>
        </a:p>
        <a:p>
          <a:endParaRPr lang="en-US" sz="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21167</xdr:colOff>
      <xdr:row>228</xdr:row>
      <xdr:rowOff>21165</xdr:rowOff>
    </xdr:from>
    <xdr:to>
      <xdr:col>21</xdr:col>
      <xdr:colOff>804332</xdr:colOff>
      <xdr:row>301</xdr:row>
      <xdr:rowOff>190498</xdr:rowOff>
    </xdr:to>
    <xdr:sp macro="" textlink="">
      <xdr:nvSpPr>
        <xdr:cNvPr id="69" name="TextBox 68">
          <a:extLst>
            <a:ext uri="{FF2B5EF4-FFF2-40B4-BE49-F238E27FC236}">
              <a16:creationId xmlns:a16="http://schemas.microsoft.com/office/drawing/2014/main" id="{00000000-0008-0000-0800-000045000000}"/>
            </a:ext>
          </a:extLst>
        </xdr:cNvPr>
        <xdr:cNvSpPr txBox="1"/>
      </xdr:nvSpPr>
      <xdr:spPr>
        <a:xfrm>
          <a:off x="21167" y="53977115"/>
          <a:ext cx="14086415" cy="1824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300">
            <a:solidFill>
              <a:schemeClr val="accent1">
                <a:lumMod val="50000"/>
              </a:schemeClr>
            </a:solidFill>
            <a:latin typeface="Arial" panose="020B0604020202020204" pitchFamily="34" charset="0"/>
            <a:cs typeface="Arial" panose="020B0604020202020204" pitchFamily="34" charset="0"/>
          </a:endParaRPr>
        </a:p>
        <a:p>
          <a:endParaRPr lang="en-US" sz="1300">
            <a:solidFill>
              <a:schemeClr val="accent1">
                <a:lumMod val="50000"/>
              </a:schemeClr>
            </a:solidFill>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Coal (Australia), from 2015, port thermal, fo.b. Newcastle, 6000 kcal/kg spot. Beginning year 2011, thermal, f.o.b. piers, Newcastle/Port Kembla, 6,700 kcal/kg, 90 days forward delivery; for period 2002-2010, 6,300 kc/kg (11,340 btu/lb); prior to year 2002, 6,667 kcal/kg (12,000 btu/lb).</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(Europe), average import border price, including UK. As of April 2010 includes a spot price component. Between June 2000 - March 2010 excludes UK.</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(U.S.), spot price at Henry Hub, Louisiana.</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Natural gas LNG (Japan), import price, cif, recent two months' averages are estimates.</a:t>
          </a:r>
        </a:p>
        <a:p>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 Tea, average three auctions, arithmetic average of quotations at Kolkata, Colombo and Mombasa/Nairobi.</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Coconut oil (Philippines/Indonesia), from</a:t>
          </a:r>
          <a:r>
            <a:rPr lang="en-US" sz="1200" baseline="0">
              <a:solidFill>
                <a:sysClr val="windowText" lastClr="000000"/>
              </a:solidFill>
              <a:effectLst/>
              <a:latin typeface="Arial" panose="020B0604020202020204" pitchFamily="34" charset="0"/>
              <a:ea typeface="+mn-ea"/>
              <a:cs typeface="Arial" panose="020B0604020202020204" pitchFamily="34" charset="0"/>
            </a:rPr>
            <a:t> 2015, </a:t>
          </a:r>
          <a:r>
            <a:rPr lang="en-US" sz="1200">
              <a:solidFill>
                <a:sysClr val="windowText" lastClr="000000"/>
              </a:solidFill>
              <a:effectLst/>
              <a:latin typeface="Arial" panose="020B0604020202020204" pitchFamily="34" charset="0"/>
              <a:ea typeface="+mn-ea"/>
              <a:cs typeface="Arial" panose="020B0604020202020204" pitchFamily="34" charset="0"/>
            </a:rPr>
            <a:t>bulk, c.i.f. Rotterdam.Previously, bulk, c.i.f. Rotterdam. Copra (Philippines/Indonesia), bulk, c.i.f. N.W.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Groundnut oil (any origin), from 2015, refined, f.c.a. Dunkirk, nearest forward. Previously, c.i.f. Rotterdam.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Palm oil (Malaysia), from 2015, f.o.b. spot. Previously, 5% bulk, c.i.f. N. W. Europe.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meal (Argentina), from 2015, 46.5% protein, c.i.f. Amsterdam/Rotterdam/Antwerp.</a:t>
          </a:r>
          <a:r>
            <a:rPr lang="en-US" sz="1200" baseline="0">
              <a:solidFill>
                <a:sysClr val="windowText" lastClr="000000"/>
              </a:solidFill>
              <a:effectLst/>
              <a:latin typeface="Arial" panose="020B0604020202020204" pitchFamily="34" charset="0"/>
              <a:ea typeface="+mn-ea"/>
              <a:cs typeface="Arial" panose="020B0604020202020204" pitchFamily="34" charset="0"/>
            </a:rPr>
            <a:t> Previously (any origin), </a:t>
          </a:r>
          <a:r>
            <a:rPr lang="en-US" sz="1200">
              <a:solidFill>
                <a:sysClr val="windowText" lastClr="000000"/>
              </a:solidFill>
              <a:effectLst/>
              <a:latin typeface="Arial" panose="020B0604020202020204" pitchFamily="34" charset="0"/>
              <a:ea typeface="+mn-ea"/>
              <a:cs typeface="Arial" panose="020B0604020202020204" pitchFamily="34" charset="0"/>
            </a:rPr>
            <a:t>Argentine 45/46% extraction, c.i.f. Rotterdam beginning 1990; previously US 44%.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 oil (Brazil), from 2015, crude, degummed, f.o.b.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(any origin), </a:t>
          </a:r>
          <a:r>
            <a:rPr lang="en-US" sz="1200">
              <a:solidFill>
                <a:sysClr val="windowText" lastClr="000000"/>
              </a:solidFill>
              <a:effectLst/>
              <a:latin typeface="Arial" panose="020B0604020202020204" pitchFamily="34" charset="0"/>
              <a:ea typeface="+mn-ea"/>
              <a:cs typeface="Arial" panose="020B0604020202020204" pitchFamily="34" charset="0"/>
            </a:rPr>
            <a:t>crude, f.o.b. ex-mill Netherlands.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Soybeans (Brazil), from 2015, c.i.f. Rotterdam, spot.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(US), </a:t>
          </a:r>
          <a:r>
            <a:rPr lang="en-US" sz="1200">
              <a:solidFill>
                <a:sysClr val="windowText" lastClr="000000"/>
              </a:solidFill>
              <a:effectLst/>
              <a:latin typeface="Arial" panose="020B0604020202020204" pitchFamily="34" charset="0"/>
              <a:ea typeface="+mn-ea"/>
              <a:cs typeface="Arial" panose="020B0604020202020204" pitchFamily="34" charset="0"/>
            </a:rPr>
            <a:t>c.i.f. Rotterdam.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Barley (US) from 2013,</a:t>
          </a:r>
          <a:r>
            <a:rPr lang="en-US" sz="1200" baseline="0">
              <a:solidFill>
                <a:sysClr val="windowText" lastClr="000000"/>
              </a:solidFill>
              <a:effectLst/>
              <a:latin typeface="Arial" panose="020B0604020202020204" pitchFamily="34" charset="0"/>
              <a:ea typeface="+mn-ea"/>
              <a:cs typeface="Arial" panose="020B0604020202020204" pitchFamily="34" charset="0"/>
            </a:rPr>
            <a:t> feed, no. 2, 20 days To-Arrive, delivered Minneapolis. Previously, </a:t>
          </a:r>
          <a:r>
            <a:rPr lang="en-US" sz="1200">
              <a:solidFill>
                <a:sysClr val="windowText" lastClr="000000"/>
              </a:solidFill>
              <a:effectLst/>
              <a:latin typeface="Arial" panose="020B0604020202020204" pitchFamily="34" charset="0"/>
              <a:ea typeface="+mn-ea"/>
              <a:cs typeface="Arial" panose="020B0604020202020204" pitchFamily="34" charset="0"/>
            </a:rPr>
            <a:t>feed, No. 2, spot, 20 days To-Arrive, delivered Minneapolis from May 2012 onwards; during 1980 - 2012 April Canadian, feed, Western No. 1, Winnipeg Commodity Exchange, spot, wholesale farmers' price.</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Maize (US), no. 2, yellow, f.o.b. US Gulf ports.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Bananas (Central &amp; South America), </a:t>
          </a:r>
          <a:r>
            <a:rPr lang="en-US" sz="1200">
              <a:solidFill>
                <a:schemeClr val="dk1"/>
              </a:solidFill>
              <a:effectLst/>
              <a:latin typeface="Arial" panose="020B0604020202020204" pitchFamily="34" charset="0"/>
              <a:ea typeface="+mn-ea"/>
              <a:cs typeface="Arial" panose="020B0604020202020204" pitchFamily="34" charset="0"/>
            </a:rPr>
            <a:t>from January 2015, U.S. import prices. Previously, major brands, US import price, f.o.t. US Gulf ports. </a:t>
          </a:r>
          <a:endParaRPr lang="en-US" sz="1200">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 beginning November 2002; previously cow forequarters.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chicken (US), from 2015, Urner Barry North East weighted average for broiler/ fryer, whole birds, 2 1/2</a:t>
          </a:r>
          <a:r>
            <a:rPr lang="en-US" sz="1200" baseline="0">
              <a:solidFill>
                <a:sysClr val="windowText" lastClr="000000"/>
              </a:solidFill>
              <a:effectLst/>
              <a:latin typeface="Arial" panose="020B0604020202020204" pitchFamily="34" charset="0"/>
              <a:ea typeface="+mn-ea"/>
              <a:cs typeface="Arial" panose="020B0604020202020204" pitchFamily="34" charset="0"/>
            </a:rPr>
            <a:t> to 3.5 pounds, USDA grade "A". Previously, </a:t>
          </a:r>
          <a:r>
            <a:rPr lang="en-US" sz="1200">
              <a:solidFill>
                <a:sysClr val="windowText" lastClr="000000"/>
              </a:solidFill>
              <a:effectLst/>
              <a:latin typeface="Arial" panose="020B0604020202020204" pitchFamily="34" charset="0"/>
              <a:ea typeface="+mn-ea"/>
              <a:cs typeface="Arial" panose="020B0604020202020204" pitchFamily="34" charset="0"/>
            </a:rPr>
            <a:t>broiler/fryer, whole birds, 2-1/2 to 3 pounds, USDA grade "A", ice-packed, Georgia Dock preliminary weighted average, wholesale.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Meat, sheep (New Zealand), frozen whole carcasses Prime Medium (PM) wholesale, Smithfield, London  beginning January 2006; previously Prime Light (PL).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Shrimp, (US), from 2004, brown, shell-on, headless, in frozen blocks, source Gulf of Mexico, 26 to 30 count per pound, wholesale US. Previously, (Mexico) west coast, frozen, white, No. 1, shell-on, headless, 26 to 30 count per pound, wholesale price at New York.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beginning January 1996; previously of unspecified dimension.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Logs (Malaysia), meranti, Sarawak, sale price charged by importers, Tokyo beginning February 1993; previously average of Sabah and Sarawak weighted by Japanese import volumes.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Sawnwood (Malaysia),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Cotton (Cotton Outlook "Cotlook A index"), middling 1-3/32 inch, traded in Far East, C/F beginning 2006; previously Northern Europe, c.i.f.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Rubber (Asia), RSS3 grade, Singapore Commodity Exchange Ltd (SICOM) nearby contract beginning 2004; during 2000 to 2003, Singapore RSS1; previously Malaysia RSS1.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DAP (diammonium phosphate), from 2015, spot, f.o.b. US Gulf. Previously, standard size, bulk, spot, f.o.b. US Gulf.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Phosphate rock, from 2015, f.o.b. North Africa.Previously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(Morocco), </a:t>
          </a:r>
          <a:r>
            <a:rPr lang="en-US" sz="1200">
              <a:solidFill>
                <a:sysClr val="windowText" lastClr="000000"/>
              </a:solidFill>
              <a:effectLst/>
              <a:latin typeface="Arial" panose="020B0604020202020204" pitchFamily="34" charset="0"/>
              <a:ea typeface="+mn-ea"/>
              <a:cs typeface="Arial" panose="020B0604020202020204" pitchFamily="34" charset="0"/>
            </a:rPr>
            <a:t>70% BPL, contract, f.a.s. Casablanca.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Potassium chloride (muriate of potash), from 2015, spot, f.o.b. Vancouver. Previously,</a:t>
          </a:r>
          <a:r>
            <a:rPr lang="en-US" sz="1200" baseline="0">
              <a:solidFill>
                <a:sysClr val="windowText" lastClr="000000"/>
              </a:solidFill>
              <a:effectLst/>
              <a:latin typeface="Arial" panose="020B0604020202020204" pitchFamily="34" charset="0"/>
              <a:ea typeface="+mn-ea"/>
              <a:cs typeface="Arial" panose="020B0604020202020204" pitchFamily="34" charset="0"/>
            </a:rPr>
            <a:t> </a:t>
          </a:r>
          <a:r>
            <a:rPr lang="en-US" sz="1200">
              <a:solidFill>
                <a:sysClr val="windowText" lastClr="000000"/>
              </a:solidFill>
              <a:effectLst/>
              <a:latin typeface="Arial" panose="020B0604020202020204" pitchFamily="34" charset="0"/>
              <a:ea typeface="+mn-ea"/>
              <a:cs typeface="Arial" panose="020B0604020202020204" pitchFamily="34" charset="0"/>
            </a:rPr>
            <a:t>standard grade, spot, f.o.b.  Vancouver.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TSP (triple superphosphate), from 2015, spot, import US Gulf. Previously, bulk, spot, beginning October 2006, Tunisian origin, granular, fob; previously US origin, f.o.b. US Gulf.</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Urea, (Ukraine), from 2015, f.o.b. Black Sea. Previously, (Black Sea), bulk, spot,  f.o.b. Black Sea (primarily Yuzhnyy) beginning July 1991; for 1985-91 (June) f.o.b. Eastern Europe.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Aluminum (LME) London Metal Exchange, unalloyed primary ingots, high grade, minimum 99.7%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Copper (LME), grade A, minimum 99.9935% purity, cathodes and wire bar shapes, settlement price. Iron ore (any origin) fines, spot price, c.f.r. China, 62% Fe beginning December 2008; previously 63.5%.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Lead (LME), refined, 99.97%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Nickel (LME), cathodes, minimum 99.8% purity, settlement price beginning 2005; previously cash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Tin (LME), refined, 99.85% purity, settlement price.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Zinc (LME), high grade, minimum 99.95% purity, settlement price beginning April 1990; previously special high grade, minimum 99.995%, cash prices .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200">
            <a:solidFill>
              <a:sysClr val="windowText" lastClr="000000"/>
            </a:solidFill>
            <a:effectLst/>
            <a:latin typeface="Arial" panose="020B0604020202020204" pitchFamily="34" charset="0"/>
            <a:ea typeface="+mn-ea"/>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Platinum (UK), 99.9% refined, London afternoon fixing. </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200">
              <a:solidFill>
                <a:sysClr val="windowText" lastClr="000000"/>
              </a:solidFill>
              <a:effectLst/>
              <a:latin typeface="Arial" panose="020B0604020202020204" pitchFamily="34" charset="0"/>
              <a:ea typeface="+mn-ea"/>
              <a:cs typeface="Arial" panose="020B0604020202020204" pitchFamily="34" charset="0"/>
            </a:rPr>
            <a:t>Silver (UK), 99.9% refined, London afternoon fixing; prior to July 1976 Handy &amp; Harman.  Grade prior to 1962 unrefined silver. </a:t>
          </a:r>
          <a:endParaRPr lang="en-US" sz="1200">
            <a:solidFill>
              <a:sysClr val="windowText" lastClr="000000"/>
            </a:solidFill>
            <a:effectLst/>
            <a:latin typeface="Arial" panose="020B0604020202020204" pitchFamily="34" charset="0"/>
            <a:cs typeface="Arial" panose="020B0604020202020204" pitchFamily="34" charset="0"/>
          </a:endParaRPr>
        </a:p>
        <a:p>
          <a:endParaRPr lang="en-US" sz="1400">
            <a:solidFill>
              <a:schemeClr val="accent1">
                <a:lumMod val="50000"/>
              </a:schemeClr>
            </a:solidFill>
            <a:latin typeface="Estrangelo Edessa" pitchFamily="66" charset="0"/>
            <a:cs typeface="Estrangelo Edessa" pitchFamily="66" charset="0"/>
          </a:endParaRPr>
        </a:p>
      </xdr:txBody>
    </xdr:sp>
    <xdr:clientData/>
  </xdr:twoCellAnchor>
</xdr:wsDr>
</file>

<file path=xl/drawings/drawing10.xml><?xml version="1.0" encoding="utf-8"?>
<xdr:wsDr xmlns:xdr="http://schemas.openxmlformats.org/drawingml/2006/spreadsheetDrawing" xmlns:a="http://schemas.openxmlformats.org/drawingml/2006/main">
  <xdr:absoluteAnchor>
    <xdr:pos x="93132" y="19051"/>
    <xdr:ext cx="5689600" cy="4254499"/>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xdr:from>
          <xdr:col>0</xdr:col>
          <xdr:colOff>68580</xdr:colOff>
          <xdr:row>29</xdr:row>
          <xdr:rowOff>125730</xdr:rowOff>
        </xdr:from>
        <xdr:to>
          <xdr:col>1</xdr:col>
          <xdr:colOff>121920</xdr:colOff>
          <xdr:row>31</xdr:row>
          <xdr:rowOff>19050</xdr:rowOff>
        </xdr:to>
        <xdr:sp macro="" textlink="">
          <xdr:nvSpPr>
            <xdr:cNvPr id="97285" name="Button 5" hidden="1">
              <a:extLst>
                <a:ext uri="{63B3BB69-23CF-44E3-9099-C40C66FF867C}">
                  <a14:compatExt spid="_x0000_s97285"/>
                </a:ext>
                <a:ext uri="{FF2B5EF4-FFF2-40B4-BE49-F238E27FC236}">
                  <a16:creationId xmlns:a16="http://schemas.microsoft.com/office/drawing/2014/main" id="{00000000-0008-0000-0900-0000057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87630</xdr:colOff>
          <xdr:row>30</xdr:row>
          <xdr:rowOff>7620</xdr:rowOff>
        </xdr:from>
        <xdr:to>
          <xdr:col>4</xdr:col>
          <xdr:colOff>297180</xdr:colOff>
          <xdr:row>31</xdr:row>
          <xdr:rowOff>7620</xdr:rowOff>
        </xdr:to>
        <xdr:sp macro="" textlink="">
          <xdr:nvSpPr>
            <xdr:cNvPr id="97286" name="Check Box 6" hidden="1">
              <a:extLst>
                <a:ext uri="{63B3BB69-23CF-44E3-9099-C40C66FF867C}">
                  <a14:compatExt spid="_x0000_s97286"/>
                </a:ext>
                <a:ext uri="{FF2B5EF4-FFF2-40B4-BE49-F238E27FC236}">
                  <a16:creationId xmlns:a16="http://schemas.microsoft.com/office/drawing/2014/main" id="{00000000-0008-0000-0900-000006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Input Max</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125730</xdr:colOff>
          <xdr:row>28</xdr:row>
          <xdr:rowOff>45720</xdr:rowOff>
        </xdr:from>
        <xdr:to>
          <xdr:col>3</xdr:col>
          <xdr:colOff>373380</xdr:colOff>
          <xdr:row>28</xdr:row>
          <xdr:rowOff>140970</xdr:rowOff>
        </xdr:to>
        <xdr:sp macro="" textlink="">
          <xdr:nvSpPr>
            <xdr:cNvPr id="97287" name="Spinner 7" hidden="1">
              <a:extLst>
                <a:ext uri="{63B3BB69-23CF-44E3-9099-C40C66FF867C}">
                  <a14:compatExt spid="_x0000_s97287"/>
                </a:ext>
                <a:ext uri="{FF2B5EF4-FFF2-40B4-BE49-F238E27FC236}">
                  <a16:creationId xmlns:a16="http://schemas.microsoft.com/office/drawing/2014/main" id="{00000000-0008-0000-0900-0000077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121920</xdr:colOff>
          <xdr:row>27</xdr:row>
          <xdr:rowOff>26670</xdr:rowOff>
        </xdr:from>
        <xdr:to>
          <xdr:col>3</xdr:col>
          <xdr:colOff>369570</xdr:colOff>
          <xdr:row>27</xdr:row>
          <xdr:rowOff>140970</xdr:rowOff>
        </xdr:to>
        <xdr:sp macro="" textlink="">
          <xdr:nvSpPr>
            <xdr:cNvPr id="97288" name="Spinner 8" hidden="1">
              <a:extLst>
                <a:ext uri="{63B3BB69-23CF-44E3-9099-C40C66FF867C}">
                  <a14:compatExt spid="_x0000_s97288"/>
                </a:ext>
                <a:ext uri="{FF2B5EF4-FFF2-40B4-BE49-F238E27FC236}">
                  <a16:creationId xmlns:a16="http://schemas.microsoft.com/office/drawing/2014/main" id="{00000000-0008-0000-0900-0000087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121920</xdr:colOff>
          <xdr:row>34</xdr:row>
          <xdr:rowOff>26670</xdr:rowOff>
        </xdr:from>
        <xdr:to>
          <xdr:col>3</xdr:col>
          <xdr:colOff>369570</xdr:colOff>
          <xdr:row>34</xdr:row>
          <xdr:rowOff>140970</xdr:rowOff>
        </xdr:to>
        <xdr:sp macro="" textlink="">
          <xdr:nvSpPr>
            <xdr:cNvPr id="97289" name="Spinner 9" hidden="1">
              <a:extLst>
                <a:ext uri="{63B3BB69-23CF-44E3-9099-C40C66FF867C}">
                  <a14:compatExt spid="_x0000_s97289"/>
                </a:ext>
                <a:ext uri="{FF2B5EF4-FFF2-40B4-BE49-F238E27FC236}">
                  <a16:creationId xmlns:a16="http://schemas.microsoft.com/office/drawing/2014/main" id="{00000000-0008-0000-0900-0000097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20</xdr:col>
      <xdr:colOff>0</xdr:colOff>
      <xdr:row>14</xdr:row>
      <xdr:rowOff>0</xdr:rowOff>
    </xdr:from>
    <xdr:to>
      <xdr:col>24</xdr:col>
      <xdr:colOff>572888</xdr:colOff>
      <xdr:row>58</xdr:row>
      <xdr:rowOff>40730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9708444" y="2271889"/>
          <a:ext cx="3000000" cy="7180952"/>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1192530</xdr:colOff>
          <xdr:row>0</xdr:row>
          <xdr:rowOff>68580</xdr:rowOff>
        </xdr:from>
        <xdr:to>
          <xdr:col>12</xdr:col>
          <xdr:colOff>179070</xdr:colOff>
          <xdr:row>1</xdr:row>
          <xdr:rowOff>106680</xdr:rowOff>
        </xdr:to>
        <xdr:sp macro="" textlink="">
          <xdr:nvSpPr>
            <xdr:cNvPr id="97292" name="Button 12" hidden="1">
              <a:extLst>
                <a:ext uri="{63B3BB69-23CF-44E3-9099-C40C66FF867C}">
                  <a14:compatExt spid="_x0000_s97292"/>
                </a:ext>
                <a:ext uri="{FF2B5EF4-FFF2-40B4-BE49-F238E27FC236}">
                  <a16:creationId xmlns:a16="http://schemas.microsoft.com/office/drawing/2014/main" id="{00000000-0008-0000-0900-00000C7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Set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293370</xdr:colOff>
          <xdr:row>28</xdr:row>
          <xdr:rowOff>7620</xdr:rowOff>
        </xdr:from>
        <xdr:to>
          <xdr:col>7</xdr:col>
          <xdr:colOff>400050</xdr:colOff>
          <xdr:row>29</xdr:row>
          <xdr:rowOff>49530</xdr:rowOff>
        </xdr:to>
        <xdr:sp macro="" textlink="">
          <xdr:nvSpPr>
            <xdr:cNvPr id="97295" name="Drop Down 15" hidden="1">
              <a:extLst>
                <a:ext uri="{63B3BB69-23CF-44E3-9099-C40C66FF867C}">
                  <a14:compatExt spid="_x0000_s97295"/>
                </a:ext>
                <a:ext uri="{FF2B5EF4-FFF2-40B4-BE49-F238E27FC236}">
                  <a16:creationId xmlns:a16="http://schemas.microsoft.com/office/drawing/2014/main" id="{00000000-0008-0000-0900-00000F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xdr:row>
          <xdr:rowOff>49530</xdr:rowOff>
        </xdr:from>
        <xdr:to>
          <xdr:col>10</xdr:col>
          <xdr:colOff>1379220</xdr:colOff>
          <xdr:row>3</xdr:row>
          <xdr:rowOff>19050</xdr:rowOff>
        </xdr:to>
        <xdr:sp macro="" textlink="">
          <xdr:nvSpPr>
            <xdr:cNvPr id="97297" name="Check Box 17" hidden="1">
              <a:extLst>
                <a:ext uri="{63B3BB69-23CF-44E3-9099-C40C66FF867C}">
                  <a14:compatExt spid="_x0000_s97297"/>
                </a:ext>
                <a:ext uri="{FF2B5EF4-FFF2-40B4-BE49-F238E27FC236}">
                  <a16:creationId xmlns:a16="http://schemas.microsoft.com/office/drawing/2014/main" id="{00000000-0008-0000-0900-000011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xdr:row>
          <xdr:rowOff>49530</xdr:rowOff>
        </xdr:from>
        <xdr:to>
          <xdr:col>10</xdr:col>
          <xdr:colOff>1379220</xdr:colOff>
          <xdr:row>4</xdr:row>
          <xdr:rowOff>19050</xdr:rowOff>
        </xdr:to>
        <xdr:sp macro="" textlink="">
          <xdr:nvSpPr>
            <xdr:cNvPr id="97298" name="Check Box 18" hidden="1">
              <a:extLst>
                <a:ext uri="{63B3BB69-23CF-44E3-9099-C40C66FF867C}">
                  <a14:compatExt spid="_x0000_s97298"/>
                </a:ext>
                <a:ext uri="{FF2B5EF4-FFF2-40B4-BE49-F238E27FC236}">
                  <a16:creationId xmlns:a16="http://schemas.microsoft.com/office/drawing/2014/main" id="{00000000-0008-0000-0900-000012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xdr:row>
          <xdr:rowOff>49530</xdr:rowOff>
        </xdr:from>
        <xdr:to>
          <xdr:col>10</xdr:col>
          <xdr:colOff>1379220</xdr:colOff>
          <xdr:row>5</xdr:row>
          <xdr:rowOff>19050</xdr:rowOff>
        </xdr:to>
        <xdr:sp macro="" textlink="">
          <xdr:nvSpPr>
            <xdr:cNvPr id="97299" name="Check Box 19" hidden="1">
              <a:extLst>
                <a:ext uri="{63B3BB69-23CF-44E3-9099-C40C66FF867C}">
                  <a14:compatExt spid="_x0000_s97299"/>
                </a:ext>
                <a:ext uri="{FF2B5EF4-FFF2-40B4-BE49-F238E27FC236}">
                  <a16:creationId xmlns:a16="http://schemas.microsoft.com/office/drawing/2014/main" id="{00000000-0008-0000-0900-000013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5</xdr:row>
          <xdr:rowOff>45720</xdr:rowOff>
        </xdr:from>
        <xdr:to>
          <xdr:col>10</xdr:col>
          <xdr:colOff>1379220</xdr:colOff>
          <xdr:row>6</xdr:row>
          <xdr:rowOff>11430</xdr:rowOff>
        </xdr:to>
        <xdr:sp macro="" textlink="">
          <xdr:nvSpPr>
            <xdr:cNvPr id="97300" name="Check Box 20" hidden="1">
              <a:extLst>
                <a:ext uri="{63B3BB69-23CF-44E3-9099-C40C66FF867C}">
                  <a14:compatExt spid="_x0000_s97300"/>
                </a:ext>
                <a:ext uri="{FF2B5EF4-FFF2-40B4-BE49-F238E27FC236}">
                  <a16:creationId xmlns:a16="http://schemas.microsoft.com/office/drawing/2014/main" id="{00000000-0008-0000-0900-000014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6</xdr:row>
          <xdr:rowOff>45720</xdr:rowOff>
        </xdr:from>
        <xdr:to>
          <xdr:col>10</xdr:col>
          <xdr:colOff>1379220</xdr:colOff>
          <xdr:row>7</xdr:row>
          <xdr:rowOff>11430</xdr:rowOff>
        </xdr:to>
        <xdr:sp macro="" textlink="">
          <xdr:nvSpPr>
            <xdr:cNvPr id="97301" name="Check Box 21" hidden="1">
              <a:extLst>
                <a:ext uri="{63B3BB69-23CF-44E3-9099-C40C66FF867C}">
                  <a14:compatExt spid="_x0000_s97301"/>
                </a:ext>
                <a:ext uri="{FF2B5EF4-FFF2-40B4-BE49-F238E27FC236}">
                  <a16:creationId xmlns:a16="http://schemas.microsoft.com/office/drawing/2014/main" id="{00000000-0008-0000-0900-000015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7</xdr:row>
          <xdr:rowOff>45720</xdr:rowOff>
        </xdr:from>
        <xdr:to>
          <xdr:col>10</xdr:col>
          <xdr:colOff>1379220</xdr:colOff>
          <xdr:row>8</xdr:row>
          <xdr:rowOff>11430</xdr:rowOff>
        </xdr:to>
        <xdr:sp macro="" textlink="">
          <xdr:nvSpPr>
            <xdr:cNvPr id="97302" name="Check Box 22" hidden="1">
              <a:extLst>
                <a:ext uri="{63B3BB69-23CF-44E3-9099-C40C66FF867C}">
                  <a14:compatExt spid="_x0000_s97302"/>
                </a:ext>
                <a:ext uri="{FF2B5EF4-FFF2-40B4-BE49-F238E27FC236}">
                  <a16:creationId xmlns:a16="http://schemas.microsoft.com/office/drawing/2014/main" id="{00000000-0008-0000-0900-000016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8</xdr:row>
          <xdr:rowOff>45720</xdr:rowOff>
        </xdr:from>
        <xdr:to>
          <xdr:col>10</xdr:col>
          <xdr:colOff>1379220</xdr:colOff>
          <xdr:row>9</xdr:row>
          <xdr:rowOff>11430</xdr:rowOff>
        </xdr:to>
        <xdr:sp macro="" textlink="">
          <xdr:nvSpPr>
            <xdr:cNvPr id="97303" name="Check Box 23" hidden="1">
              <a:extLst>
                <a:ext uri="{63B3BB69-23CF-44E3-9099-C40C66FF867C}">
                  <a14:compatExt spid="_x0000_s97303"/>
                </a:ext>
                <a:ext uri="{FF2B5EF4-FFF2-40B4-BE49-F238E27FC236}">
                  <a16:creationId xmlns:a16="http://schemas.microsoft.com/office/drawing/2014/main" id="{00000000-0008-0000-0900-000017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9</xdr:row>
          <xdr:rowOff>45720</xdr:rowOff>
        </xdr:from>
        <xdr:to>
          <xdr:col>10</xdr:col>
          <xdr:colOff>1379220</xdr:colOff>
          <xdr:row>10</xdr:row>
          <xdr:rowOff>11430</xdr:rowOff>
        </xdr:to>
        <xdr:sp macro="" textlink="">
          <xdr:nvSpPr>
            <xdr:cNvPr id="97304" name="Check Box 24" hidden="1">
              <a:extLst>
                <a:ext uri="{63B3BB69-23CF-44E3-9099-C40C66FF867C}">
                  <a14:compatExt spid="_x0000_s97304"/>
                </a:ext>
                <a:ext uri="{FF2B5EF4-FFF2-40B4-BE49-F238E27FC236}">
                  <a16:creationId xmlns:a16="http://schemas.microsoft.com/office/drawing/2014/main" id="{00000000-0008-0000-0900-000018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68580</xdr:colOff>
          <xdr:row>1</xdr:row>
          <xdr:rowOff>125730</xdr:rowOff>
        </xdr:from>
        <xdr:to>
          <xdr:col>18</xdr:col>
          <xdr:colOff>121920</xdr:colOff>
          <xdr:row>3</xdr:row>
          <xdr:rowOff>19050</xdr:rowOff>
        </xdr:to>
        <xdr:sp macro="" textlink="">
          <xdr:nvSpPr>
            <xdr:cNvPr id="97305" name="Button 25" hidden="1">
              <a:extLst>
                <a:ext uri="{63B3BB69-23CF-44E3-9099-C40C66FF867C}">
                  <a14:compatExt spid="_x0000_s97305"/>
                </a:ext>
                <a:ext uri="{FF2B5EF4-FFF2-40B4-BE49-F238E27FC236}">
                  <a16:creationId xmlns:a16="http://schemas.microsoft.com/office/drawing/2014/main" id="{00000000-0008-0000-0900-0000197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10</xdr:row>
          <xdr:rowOff>45720</xdr:rowOff>
        </xdr:from>
        <xdr:to>
          <xdr:col>10</xdr:col>
          <xdr:colOff>1379220</xdr:colOff>
          <xdr:row>11</xdr:row>
          <xdr:rowOff>11430</xdr:rowOff>
        </xdr:to>
        <xdr:sp macro="" textlink="">
          <xdr:nvSpPr>
            <xdr:cNvPr id="97306" name="Check Box 26" hidden="1">
              <a:extLst>
                <a:ext uri="{63B3BB69-23CF-44E3-9099-C40C66FF867C}">
                  <a14:compatExt spid="_x0000_s97306"/>
                </a:ext>
                <a:ext uri="{FF2B5EF4-FFF2-40B4-BE49-F238E27FC236}">
                  <a16:creationId xmlns:a16="http://schemas.microsoft.com/office/drawing/2014/main" id="{00000000-0008-0000-0900-00001A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11</xdr:row>
          <xdr:rowOff>45720</xdr:rowOff>
        </xdr:from>
        <xdr:to>
          <xdr:col>10</xdr:col>
          <xdr:colOff>1379220</xdr:colOff>
          <xdr:row>12</xdr:row>
          <xdr:rowOff>11430</xdr:rowOff>
        </xdr:to>
        <xdr:sp macro="" textlink="">
          <xdr:nvSpPr>
            <xdr:cNvPr id="97307" name="Check Box 27" hidden="1">
              <a:extLst>
                <a:ext uri="{63B3BB69-23CF-44E3-9099-C40C66FF867C}">
                  <a14:compatExt spid="_x0000_s97307"/>
                </a:ext>
                <a:ext uri="{FF2B5EF4-FFF2-40B4-BE49-F238E27FC236}">
                  <a16:creationId xmlns:a16="http://schemas.microsoft.com/office/drawing/2014/main" id="{00000000-0008-0000-0900-00001B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12</xdr:row>
          <xdr:rowOff>45720</xdr:rowOff>
        </xdr:from>
        <xdr:to>
          <xdr:col>10</xdr:col>
          <xdr:colOff>1379220</xdr:colOff>
          <xdr:row>13</xdr:row>
          <xdr:rowOff>11430</xdr:rowOff>
        </xdr:to>
        <xdr:sp macro="" textlink="">
          <xdr:nvSpPr>
            <xdr:cNvPr id="97308" name="Check Box 28" hidden="1">
              <a:extLst>
                <a:ext uri="{63B3BB69-23CF-44E3-9099-C40C66FF867C}">
                  <a14:compatExt spid="_x0000_s97308"/>
                </a:ext>
                <a:ext uri="{FF2B5EF4-FFF2-40B4-BE49-F238E27FC236}">
                  <a16:creationId xmlns:a16="http://schemas.microsoft.com/office/drawing/2014/main" id="{00000000-0008-0000-0900-00001C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13</xdr:row>
          <xdr:rowOff>45720</xdr:rowOff>
        </xdr:from>
        <xdr:to>
          <xdr:col>10</xdr:col>
          <xdr:colOff>1379220</xdr:colOff>
          <xdr:row>14</xdr:row>
          <xdr:rowOff>11430</xdr:rowOff>
        </xdr:to>
        <xdr:sp macro="" textlink="">
          <xdr:nvSpPr>
            <xdr:cNvPr id="97309" name="Check Box 29" hidden="1">
              <a:extLst>
                <a:ext uri="{63B3BB69-23CF-44E3-9099-C40C66FF867C}">
                  <a14:compatExt spid="_x0000_s97309"/>
                </a:ext>
                <a:ext uri="{FF2B5EF4-FFF2-40B4-BE49-F238E27FC236}">
                  <a16:creationId xmlns:a16="http://schemas.microsoft.com/office/drawing/2014/main" id="{00000000-0008-0000-0900-00001D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14</xdr:row>
          <xdr:rowOff>45720</xdr:rowOff>
        </xdr:from>
        <xdr:to>
          <xdr:col>10</xdr:col>
          <xdr:colOff>1379220</xdr:colOff>
          <xdr:row>15</xdr:row>
          <xdr:rowOff>11430</xdr:rowOff>
        </xdr:to>
        <xdr:sp macro="" textlink="">
          <xdr:nvSpPr>
            <xdr:cNvPr id="97310" name="Check Box 30" hidden="1">
              <a:extLst>
                <a:ext uri="{63B3BB69-23CF-44E3-9099-C40C66FF867C}">
                  <a14:compatExt spid="_x0000_s97310"/>
                </a:ext>
                <a:ext uri="{FF2B5EF4-FFF2-40B4-BE49-F238E27FC236}">
                  <a16:creationId xmlns:a16="http://schemas.microsoft.com/office/drawing/2014/main" id="{00000000-0008-0000-0900-00001E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15</xdr:row>
          <xdr:rowOff>45720</xdr:rowOff>
        </xdr:from>
        <xdr:to>
          <xdr:col>10</xdr:col>
          <xdr:colOff>1379220</xdr:colOff>
          <xdr:row>16</xdr:row>
          <xdr:rowOff>11430</xdr:rowOff>
        </xdr:to>
        <xdr:sp macro="" textlink="">
          <xdr:nvSpPr>
            <xdr:cNvPr id="97311" name="Check Box 31" hidden="1">
              <a:extLst>
                <a:ext uri="{63B3BB69-23CF-44E3-9099-C40C66FF867C}">
                  <a14:compatExt spid="_x0000_s97311"/>
                </a:ext>
                <a:ext uri="{FF2B5EF4-FFF2-40B4-BE49-F238E27FC236}">
                  <a16:creationId xmlns:a16="http://schemas.microsoft.com/office/drawing/2014/main" id="{00000000-0008-0000-0900-00001F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16</xdr:row>
          <xdr:rowOff>45720</xdr:rowOff>
        </xdr:from>
        <xdr:to>
          <xdr:col>10</xdr:col>
          <xdr:colOff>1379220</xdr:colOff>
          <xdr:row>17</xdr:row>
          <xdr:rowOff>11430</xdr:rowOff>
        </xdr:to>
        <xdr:sp macro="" textlink="">
          <xdr:nvSpPr>
            <xdr:cNvPr id="97312" name="Check Box 32" hidden="1">
              <a:extLst>
                <a:ext uri="{63B3BB69-23CF-44E3-9099-C40C66FF867C}">
                  <a14:compatExt spid="_x0000_s97312"/>
                </a:ext>
                <a:ext uri="{FF2B5EF4-FFF2-40B4-BE49-F238E27FC236}">
                  <a16:creationId xmlns:a16="http://schemas.microsoft.com/office/drawing/2014/main" id="{00000000-0008-0000-0900-000020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17</xdr:row>
          <xdr:rowOff>45720</xdr:rowOff>
        </xdr:from>
        <xdr:to>
          <xdr:col>10</xdr:col>
          <xdr:colOff>1379220</xdr:colOff>
          <xdr:row>18</xdr:row>
          <xdr:rowOff>11430</xdr:rowOff>
        </xdr:to>
        <xdr:sp macro="" textlink="">
          <xdr:nvSpPr>
            <xdr:cNvPr id="97313" name="Check Box 33" hidden="1">
              <a:extLst>
                <a:ext uri="{63B3BB69-23CF-44E3-9099-C40C66FF867C}">
                  <a14:compatExt spid="_x0000_s97313"/>
                </a:ext>
                <a:ext uri="{FF2B5EF4-FFF2-40B4-BE49-F238E27FC236}">
                  <a16:creationId xmlns:a16="http://schemas.microsoft.com/office/drawing/2014/main" id="{00000000-0008-0000-0900-000021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4</xdr:row>
          <xdr:rowOff>11430</xdr:rowOff>
        </xdr:from>
        <xdr:to>
          <xdr:col>19</xdr:col>
          <xdr:colOff>182880</xdr:colOff>
          <xdr:row>5</xdr:row>
          <xdr:rowOff>57150</xdr:rowOff>
        </xdr:to>
        <xdr:sp macro="" textlink="">
          <xdr:nvSpPr>
            <xdr:cNvPr id="97314" name="Drop Down 34" hidden="1">
              <a:extLst>
                <a:ext uri="{63B3BB69-23CF-44E3-9099-C40C66FF867C}">
                  <a14:compatExt spid="_x0000_s97314"/>
                </a:ext>
                <a:ext uri="{FF2B5EF4-FFF2-40B4-BE49-F238E27FC236}">
                  <a16:creationId xmlns:a16="http://schemas.microsoft.com/office/drawing/2014/main" id="{00000000-0008-0000-0900-00002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18</xdr:row>
          <xdr:rowOff>45720</xdr:rowOff>
        </xdr:from>
        <xdr:to>
          <xdr:col>10</xdr:col>
          <xdr:colOff>1379220</xdr:colOff>
          <xdr:row>19</xdr:row>
          <xdr:rowOff>11430</xdr:rowOff>
        </xdr:to>
        <xdr:sp macro="" textlink="">
          <xdr:nvSpPr>
            <xdr:cNvPr id="97316" name="Check Box 36" hidden="1">
              <a:extLst>
                <a:ext uri="{63B3BB69-23CF-44E3-9099-C40C66FF867C}">
                  <a14:compatExt spid="_x0000_s97316"/>
                </a:ext>
                <a:ext uri="{FF2B5EF4-FFF2-40B4-BE49-F238E27FC236}">
                  <a16:creationId xmlns:a16="http://schemas.microsoft.com/office/drawing/2014/main" id="{00000000-0008-0000-0900-000024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19</xdr:row>
          <xdr:rowOff>45720</xdr:rowOff>
        </xdr:from>
        <xdr:to>
          <xdr:col>10</xdr:col>
          <xdr:colOff>1379220</xdr:colOff>
          <xdr:row>20</xdr:row>
          <xdr:rowOff>11430</xdr:rowOff>
        </xdr:to>
        <xdr:sp macro="" textlink="">
          <xdr:nvSpPr>
            <xdr:cNvPr id="97317" name="Check Box 37" hidden="1">
              <a:extLst>
                <a:ext uri="{63B3BB69-23CF-44E3-9099-C40C66FF867C}">
                  <a14:compatExt spid="_x0000_s97317"/>
                </a:ext>
                <a:ext uri="{FF2B5EF4-FFF2-40B4-BE49-F238E27FC236}">
                  <a16:creationId xmlns:a16="http://schemas.microsoft.com/office/drawing/2014/main" id="{00000000-0008-0000-0900-000025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20</xdr:row>
          <xdr:rowOff>45720</xdr:rowOff>
        </xdr:from>
        <xdr:to>
          <xdr:col>10</xdr:col>
          <xdr:colOff>1379220</xdr:colOff>
          <xdr:row>21</xdr:row>
          <xdr:rowOff>11430</xdr:rowOff>
        </xdr:to>
        <xdr:sp macro="" textlink="">
          <xdr:nvSpPr>
            <xdr:cNvPr id="97319" name="Check Box 39" hidden="1">
              <a:extLst>
                <a:ext uri="{63B3BB69-23CF-44E3-9099-C40C66FF867C}">
                  <a14:compatExt spid="_x0000_s97319"/>
                </a:ext>
                <a:ext uri="{FF2B5EF4-FFF2-40B4-BE49-F238E27FC236}">
                  <a16:creationId xmlns:a16="http://schemas.microsoft.com/office/drawing/2014/main" id="{00000000-0008-0000-0900-000027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21</xdr:row>
          <xdr:rowOff>45720</xdr:rowOff>
        </xdr:from>
        <xdr:to>
          <xdr:col>10</xdr:col>
          <xdr:colOff>1379220</xdr:colOff>
          <xdr:row>22</xdr:row>
          <xdr:rowOff>11430</xdr:rowOff>
        </xdr:to>
        <xdr:sp macro="" textlink="">
          <xdr:nvSpPr>
            <xdr:cNvPr id="97320" name="Check Box 40" hidden="1">
              <a:extLst>
                <a:ext uri="{63B3BB69-23CF-44E3-9099-C40C66FF867C}">
                  <a14:compatExt spid="_x0000_s97320"/>
                </a:ext>
                <a:ext uri="{FF2B5EF4-FFF2-40B4-BE49-F238E27FC236}">
                  <a16:creationId xmlns:a16="http://schemas.microsoft.com/office/drawing/2014/main" id="{00000000-0008-0000-0900-000028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22</xdr:row>
          <xdr:rowOff>45720</xdr:rowOff>
        </xdr:from>
        <xdr:to>
          <xdr:col>10</xdr:col>
          <xdr:colOff>1379220</xdr:colOff>
          <xdr:row>23</xdr:row>
          <xdr:rowOff>11430</xdr:rowOff>
        </xdr:to>
        <xdr:sp macro="" textlink="">
          <xdr:nvSpPr>
            <xdr:cNvPr id="97321" name="Check Box 41" hidden="1">
              <a:extLst>
                <a:ext uri="{63B3BB69-23CF-44E3-9099-C40C66FF867C}">
                  <a14:compatExt spid="_x0000_s97321"/>
                </a:ext>
                <a:ext uri="{FF2B5EF4-FFF2-40B4-BE49-F238E27FC236}">
                  <a16:creationId xmlns:a16="http://schemas.microsoft.com/office/drawing/2014/main" id="{00000000-0008-0000-0900-000029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23</xdr:row>
          <xdr:rowOff>45720</xdr:rowOff>
        </xdr:from>
        <xdr:to>
          <xdr:col>10</xdr:col>
          <xdr:colOff>1379220</xdr:colOff>
          <xdr:row>24</xdr:row>
          <xdr:rowOff>11430</xdr:rowOff>
        </xdr:to>
        <xdr:sp macro="" textlink="">
          <xdr:nvSpPr>
            <xdr:cNvPr id="97322" name="Check Box 42" hidden="1">
              <a:extLst>
                <a:ext uri="{63B3BB69-23CF-44E3-9099-C40C66FF867C}">
                  <a14:compatExt spid="_x0000_s97322"/>
                </a:ext>
                <a:ext uri="{FF2B5EF4-FFF2-40B4-BE49-F238E27FC236}">
                  <a16:creationId xmlns:a16="http://schemas.microsoft.com/office/drawing/2014/main" id="{00000000-0008-0000-0900-00002A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24</xdr:row>
          <xdr:rowOff>45720</xdr:rowOff>
        </xdr:from>
        <xdr:to>
          <xdr:col>10</xdr:col>
          <xdr:colOff>1379220</xdr:colOff>
          <xdr:row>25</xdr:row>
          <xdr:rowOff>11430</xdr:rowOff>
        </xdr:to>
        <xdr:sp macro="" textlink="">
          <xdr:nvSpPr>
            <xdr:cNvPr id="97323" name="Check Box 43" hidden="1">
              <a:extLst>
                <a:ext uri="{63B3BB69-23CF-44E3-9099-C40C66FF867C}">
                  <a14:compatExt spid="_x0000_s97323"/>
                </a:ext>
                <a:ext uri="{FF2B5EF4-FFF2-40B4-BE49-F238E27FC236}">
                  <a16:creationId xmlns:a16="http://schemas.microsoft.com/office/drawing/2014/main" id="{00000000-0008-0000-0900-00002B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25</xdr:row>
          <xdr:rowOff>45720</xdr:rowOff>
        </xdr:from>
        <xdr:to>
          <xdr:col>10</xdr:col>
          <xdr:colOff>1379220</xdr:colOff>
          <xdr:row>26</xdr:row>
          <xdr:rowOff>11430</xdr:rowOff>
        </xdr:to>
        <xdr:sp macro="" textlink="">
          <xdr:nvSpPr>
            <xdr:cNvPr id="97324" name="Check Box 44" hidden="1">
              <a:extLst>
                <a:ext uri="{63B3BB69-23CF-44E3-9099-C40C66FF867C}">
                  <a14:compatExt spid="_x0000_s97324"/>
                </a:ext>
                <a:ext uri="{FF2B5EF4-FFF2-40B4-BE49-F238E27FC236}">
                  <a16:creationId xmlns:a16="http://schemas.microsoft.com/office/drawing/2014/main" id="{00000000-0008-0000-0900-00002C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26</xdr:row>
          <xdr:rowOff>45720</xdr:rowOff>
        </xdr:from>
        <xdr:to>
          <xdr:col>10</xdr:col>
          <xdr:colOff>1379220</xdr:colOff>
          <xdr:row>27</xdr:row>
          <xdr:rowOff>11430</xdr:rowOff>
        </xdr:to>
        <xdr:sp macro="" textlink="">
          <xdr:nvSpPr>
            <xdr:cNvPr id="97325" name="Check Box 45" hidden="1">
              <a:extLst>
                <a:ext uri="{63B3BB69-23CF-44E3-9099-C40C66FF867C}">
                  <a14:compatExt spid="_x0000_s97325"/>
                </a:ext>
                <a:ext uri="{FF2B5EF4-FFF2-40B4-BE49-F238E27FC236}">
                  <a16:creationId xmlns:a16="http://schemas.microsoft.com/office/drawing/2014/main" id="{00000000-0008-0000-0900-00002D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27</xdr:row>
          <xdr:rowOff>45720</xdr:rowOff>
        </xdr:from>
        <xdr:to>
          <xdr:col>10</xdr:col>
          <xdr:colOff>1379220</xdr:colOff>
          <xdr:row>28</xdr:row>
          <xdr:rowOff>11430</xdr:rowOff>
        </xdr:to>
        <xdr:sp macro="" textlink="">
          <xdr:nvSpPr>
            <xdr:cNvPr id="97326" name="Check Box 46" hidden="1">
              <a:extLst>
                <a:ext uri="{63B3BB69-23CF-44E3-9099-C40C66FF867C}">
                  <a14:compatExt spid="_x0000_s97326"/>
                </a:ext>
                <a:ext uri="{FF2B5EF4-FFF2-40B4-BE49-F238E27FC236}">
                  <a16:creationId xmlns:a16="http://schemas.microsoft.com/office/drawing/2014/main" id="{00000000-0008-0000-0900-00002E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28</xdr:row>
          <xdr:rowOff>45720</xdr:rowOff>
        </xdr:from>
        <xdr:to>
          <xdr:col>10</xdr:col>
          <xdr:colOff>1379220</xdr:colOff>
          <xdr:row>29</xdr:row>
          <xdr:rowOff>11430</xdr:rowOff>
        </xdr:to>
        <xdr:sp macro="" textlink="">
          <xdr:nvSpPr>
            <xdr:cNvPr id="97327" name="Check Box 47" hidden="1">
              <a:extLst>
                <a:ext uri="{63B3BB69-23CF-44E3-9099-C40C66FF867C}">
                  <a14:compatExt spid="_x0000_s97327"/>
                </a:ext>
                <a:ext uri="{FF2B5EF4-FFF2-40B4-BE49-F238E27FC236}">
                  <a16:creationId xmlns:a16="http://schemas.microsoft.com/office/drawing/2014/main" id="{00000000-0008-0000-0900-00002F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29</xdr:row>
          <xdr:rowOff>45720</xdr:rowOff>
        </xdr:from>
        <xdr:to>
          <xdr:col>10</xdr:col>
          <xdr:colOff>1379220</xdr:colOff>
          <xdr:row>30</xdr:row>
          <xdr:rowOff>11430</xdr:rowOff>
        </xdr:to>
        <xdr:sp macro="" textlink="">
          <xdr:nvSpPr>
            <xdr:cNvPr id="97328" name="Check Box 48" hidden="1">
              <a:extLst>
                <a:ext uri="{63B3BB69-23CF-44E3-9099-C40C66FF867C}">
                  <a14:compatExt spid="_x0000_s97328"/>
                </a:ext>
                <a:ext uri="{FF2B5EF4-FFF2-40B4-BE49-F238E27FC236}">
                  <a16:creationId xmlns:a16="http://schemas.microsoft.com/office/drawing/2014/main" id="{00000000-0008-0000-0900-000030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30</xdr:row>
          <xdr:rowOff>45720</xdr:rowOff>
        </xdr:from>
        <xdr:to>
          <xdr:col>10</xdr:col>
          <xdr:colOff>1379220</xdr:colOff>
          <xdr:row>31</xdr:row>
          <xdr:rowOff>11430</xdr:rowOff>
        </xdr:to>
        <xdr:sp macro="" textlink="">
          <xdr:nvSpPr>
            <xdr:cNvPr id="97329" name="Check Box 49" hidden="1">
              <a:extLst>
                <a:ext uri="{63B3BB69-23CF-44E3-9099-C40C66FF867C}">
                  <a14:compatExt spid="_x0000_s97329"/>
                </a:ext>
                <a:ext uri="{FF2B5EF4-FFF2-40B4-BE49-F238E27FC236}">
                  <a16:creationId xmlns:a16="http://schemas.microsoft.com/office/drawing/2014/main" id="{00000000-0008-0000-0900-000031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31</xdr:row>
          <xdr:rowOff>45720</xdr:rowOff>
        </xdr:from>
        <xdr:to>
          <xdr:col>10</xdr:col>
          <xdr:colOff>1379220</xdr:colOff>
          <xdr:row>32</xdr:row>
          <xdr:rowOff>11430</xdr:rowOff>
        </xdr:to>
        <xdr:sp macro="" textlink="">
          <xdr:nvSpPr>
            <xdr:cNvPr id="97330" name="Check Box 50" hidden="1">
              <a:extLst>
                <a:ext uri="{63B3BB69-23CF-44E3-9099-C40C66FF867C}">
                  <a14:compatExt spid="_x0000_s97330"/>
                </a:ext>
                <a:ext uri="{FF2B5EF4-FFF2-40B4-BE49-F238E27FC236}">
                  <a16:creationId xmlns:a16="http://schemas.microsoft.com/office/drawing/2014/main" id="{00000000-0008-0000-0900-000032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32</xdr:row>
          <xdr:rowOff>45720</xdr:rowOff>
        </xdr:from>
        <xdr:to>
          <xdr:col>10</xdr:col>
          <xdr:colOff>1379220</xdr:colOff>
          <xdr:row>33</xdr:row>
          <xdr:rowOff>11430</xdr:rowOff>
        </xdr:to>
        <xdr:sp macro="" textlink="">
          <xdr:nvSpPr>
            <xdr:cNvPr id="97331" name="Check Box 51" hidden="1">
              <a:extLst>
                <a:ext uri="{63B3BB69-23CF-44E3-9099-C40C66FF867C}">
                  <a14:compatExt spid="_x0000_s97331"/>
                </a:ext>
                <a:ext uri="{FF2B5EF4-FFF2-40B4-BE49-F238E27FC236}">
                  <a16:creationId xmlns:a16="http://schemas.microsoft.com/office/drawing/2014/main" id="{00000000-0008-0000-0900-000033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33</xdr:row>
          <xdr:rowOff>45720</xdr:rowOff>
        </xdr:from>
        <xdr:to>
          <xdr:col>10</xdr:col>
          <xdr:colOff>1379220</xdr:colOff>
          <xdr:row>34</xdr:row>
          <xdr:rowOff>11430</xdr:rowOff>
        </xdr:to>
        <xdr:sp macro="" textlink="">
          <xdr:nvSpPr>
            <xdr:cNvPr id="97332" name="Check Box 52" hidden="1">
              <a:extLst>
                <a:ext uri="{63B3BB69-23CF-44E3-9099-C40C66FF867C}">
                  <a14:compatExt spid="_x0000_s97332"/>
                </a:ext>
                <a:ext uri="{FF2B5EF4-FFF2-40B4-BE49-F238E27FC236}">
                  <a16:creationId xmlns:a16="http://schemas.microsoft.com/office/drawing/2014/main" id="{00000000-0008-0000-0900-000034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34</xdr:row>
          <xdr:rowOff>45720</xdr:rowOff>
        </xdr:from>
        <xdr:to>
          <xdr:col>10</xdr:col>
          <xdr:colOff>1379220</xdr:colOff>
          <xdr:row>35</xdr:row>
          <xdr:rowOff>11430</xdr:rowOff>
        </xdr:to>
        <xdr:sp macro="" textlink="">
          <xdr:nvSpPr>
            <xdr:cNvPr id="97333" name="Check Box 53" hidden="1">
              <a:extLst>
                <a:ext uri="{63B3BB69-23CF-44E3-9099-C40C66FF867C}">
                  <a14:compatExt spid="_x0000_s97333"/>
                </a:ext>
                <a:ext uri="{FF2B5EF4-FFF2-40B4-BE49-F238E27FC236}">
                  <a16:creationId xmlns:a16="http://schemas.microsoft.com/office/drawing/2014/main" id="{00000000-0008-0000-0900-000035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35</xdr:row>
          <xdr:rowOff>45720</xdr:rowOff>
        </xdr:from>
        <xdr:to>
          <xdr:col>10</xdr:col>
          <xdr:colOff>1379220</xdr:colOff>
          <xdr:row>36</xdr:row>
          <xdr:rowOff>11430</xdr:rowOff>
        </xdr:to>
        <xdr:sp macro="" textlink="">
          <xdr:nvSpPr>
            <xdr:cNvPr id="97334" name="Check Box 54" hidden="1">
              <a:extLst>
                <a:ext uri="{63B3BB69-23CF-44E3-9099-C40C66FF867C}">
                  <a14:compatExt spid="_x0000_s97334"/>
                </a:ext>
                <a:ext uri="{FF2B5EF4-FFF2-40B4-BE49-F238E27FC236}">
                  <a16:creationId xmlns:a16="http://schemas.microsoft.com/office/drawing/2014/main" id="{00000000-0008-0000-0900-000036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36</xdr:row>
          <xdr:rowOff>45720</xdr:rowOff>
        </xdr:from>
        <xdr:to>
          <xdr:col>10</xdr:col>
          <xdr:colOff>1379220</xdr:colOff>
          <xdr:row>37</xdr:row>
          <xdr:rowOff>11430</xdr:rowOff>
        </xdr:to>
        <xdr:sp macro="" textlink="">
          <xdr:nvSpPr>
            <xdr:cNvPr id="97335" name="Check Box 55" hidden="1">
              <a:extLst>
                <a:ext uri="{63B3BB69-23CF-44E3-9099-C40C66FF867C}">
                  <a14:compatExt spid="_x0000_s97335"/>
                </a:ext>
                <a:ext uri="{FF2B5EF4-FFF2-40B4-BE49-F238E27FC236}">
                  <a16:creationId xmlns:a16="http://schemas.microsoft.com/office/drawing/2014/main" id="{00000000-0008-0000-0900-000037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37</xdr:row>
          <xdr:rowOff>45720</xdr:rowOff>
        </xdr:from>
        <xdr:to>
          <xdr:col>10</xdr:col>
          <xdr:colOff>1379220</xdr:colOff>
          <xdr:row>38</xdr:row>
          <xdr:rowOff>11430</xdr:rowOff>
        </xdr:to>
        <xdr:sp macro="" textlink="">
          <xdr:nvSpPr>
            <xdr:cNvPr id="97336" name="Check Box 56" hidden="1">
              <a:extLst>
                <a:ext uri="{63B3BB69-23CF-44E3-9099-C40C66FF867C}">
                  <a14:compatExt spid="_x0000_s97336"/>
                </a:ext>
                <a:ext uri="{FF2B5EF4-FFF2-40B4-BE49-F238E27FC236}">
                  <a16:creationId xmlns:a16="http://schemas.microsoft.com/office/drawing/2014/main" id="{00000000-0008-0000-0900-000038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38</xdr:row>
          <xdr:rowOff>45720</xdr:rowOff>
        </xdr:from>
        <xdr:to>
          <xdr:col>10</xdr:col>
          <xdr:colOff>1379220</xdr:colOff>
          <xdr:row>39</xdr:row>
          <xdr:rowOff>11430</xdr:rowOff>
        </xdr:to>
        <xdr:sp macro="" textlink="">
          <xdr:nvSpPr>
            <xdr:cNvPr id="97337" name="Check Box 57" hidden="1">
              <a:extLst>
                <a:ext uri="{63B3BB69-23CF-44E3-9099-C40C66FF867C}">
                  <a14:compatExt spid="_x0000_s97337"/>
                </a:ext>
                <a:ext uri="{FF2B5EF4-FFF2-40B4-BE49-F238E27FC236}">
                  <a16:creationId xmlns:a16="http://schemas.microsoft.com/office/drawing/2014/main" id="{00000000-0008-0000-0900-000039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39</xdr:row>
          <xdr:rowOff>45720</xdr:rowOff>
        </xdr:from>
        <xdr:to>
          <xdr:col>10</xdr:col>
          <xdr:colOff>1379220</xdr:colOff>
          <xdr:row>40</xdr:row>
          <xdr:rowOff>11430</xdr:rowOff>
        </xdr:to>
        <xdr:sp macro="" textlink="">
          <xdr:nvSpPr>
            <xdr:cNvPr id="97338" name="Check Box 58" hidden="1">
              <a:extLst>
                <a:ext uri="{63B3BB69-23CF-44E3-9099-C40C66FF867C}">
                  <a14:compatExt spid="_x0000_s97338"/>
                </a:ext>
                <a:ext uri="{FF2B5EF4-FFF2-40B4-BE49-F238E27FC236}">
                  <a16:creationId xmlns:a16="http://schemas.microsoft.com/office/drawing/2014/main" id="{00000000-0008-0000-0900-00003A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40</xdr:row>
          <xdr:rowOff>45720</xdr:rowOff>
        </xdr:from>
        <xdr:to>
          <xdr:col>10</xdr:col>
          <xdr:colOff>1379220</xdr:colOff>
          <xdr:row>41</xdr:row>
          <xdr:rowOff>11430</xdr:rowOff>
        </xdr:to>
        <xdr:sp macro="" textlink="">
          <xdr:nvSpPr>
            <xdr:cNvPr id="97339" name="Check Box 59" hidden="1">
              <a:extLst>
                <a:ext uri="{63B3BB69-23CF-44E3-9099-C40C66FF867C}">
                  <a14:compatExt spid="_x0000_s97339"/>
                </a:ext>
                <a:ext uri="{FF2B5EF4-FFF2-40B4-BE49-F238E27FC236}">
                  <a16:creationId xmlns:a16="http://schemas.microsoft.com/office/drawing/2014/main" id="{00000000-0008-0000-0900-00003B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41</xdr:row>
          <xdr:rowOff>45720</xdr:rowOff>
        </xdr:from>
        <xdr:to>
          <xdr:col>10</xdr:col>
          <xdr:colOff>1379220</xdr:colOff>
          <xdr:row>42</xdr:row>
          <xdr:rowOff>11430</xdr:rowOff>
        </xdr:to>
        <xdr:sp macro="" textlink="">
          <xdr:nvSpPr>
            <xdr:cNvPr id="97340" name="Check Box 60" hidden="1">
              <a:extLst>
                <a:ext uri="{63B3BB69-23CF-44E3-9099-C40C66FF867C}">
                  <a14:compatExt spid="_x0000_s97340"/>
                </a:ext>
                <a:ext uri="{FF2B5EF4-FFF2-40B4-BE49-F238E27FC236}">
                  <a16:creationId xmlns:a16="http://schemas.microsoft.com/office/drawing/2014/main" id="{00000000-0008-0000-0900-00003C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42</xdr:row>
          <xdr:rowOff>45720</xdr:rowOff>
        </xdr:from>
        <xdr:to>
          <xdr:col>10</xdr:col>
          <xdr:colOff>1379220</xdr:colOff>
          <xdr:row>43</xdr:row>
          <xdr:rowOff>11430</xdr:rowOff>
        </xdr:to>
        <xdr:sp macro="" textlink="">
          <xdr:nvSpPr>
            <xdr:cNvPr id="97341" name="Check Box 61" hidden="1">
              <a:extLst>
                <a:ext uri="{63B3BB69-23CF-44E3-9099-C40C66FF867C}">
                  <a14:compatExt spid="_x0000_s97341"/>
                </a:ext>
                <a:ext uri="{FF2B5EF4-FFF2-40B4-BE49-F238E27FC236}">
                  <a16:creationId xmlns:a16="http://schemas.microsoft.com/office/drawing/2014/main" id="{00000000-0008-0000-0900-00003D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43</xdr:row>
          <xdr:rowOff>45720</xdr:rowOff>
        </xdr:from>
        <xdr:to>
          <xdr:col>10</xdr:col>
          <xdr:colOff>1379220</xdr:colOff>
          <xdr:row>44</xdr:row>
          <xdr:rowOff>11430</xdr:rowOff>
        </xdr:to>
        <xdr:sp macro="" textlink="">
          <xdr:nvSpPr>
            <xdr:cNvPr id="97342" name="Check Box 62" hidden="1">
              <a:extLst>
                <a:ext uri="{63B3BB69-23CF-44E3-9099-C40C66FF867C}">
                  <a14:compatExt spid="_x0000_s97342"/>
                </a:ext>
                <a:ext uri="{FF2B5EF4-FFF2-40B4-BE49-F238E27FC236}">
                  <a16:creationId xmlns:a16="http://schemas.microsoft.com/office/drawing/2014/main" id="{00000000-0008-0000-0900-00003E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44</xdr:row>
          <xdr:rowOff>45720</xdr:rowOff>
        </xdr:from>
        <xdr:to>
          <xdr:col>10</xdr:col>
          <xdr:colOff>1379220</xdr:colOff>
          <xdr:row>45</xdr:row>
          <xdr:rowOff>11430</xdr:rowOff>
        </xdr:to>
        <xdr:sp macro="" textlink="">
          <xdr:nvSpPr>
            <xdr:cNvPr id="97343" name="Check Box 63" hidden="1">
              <a:extLst>
                <a:ext uri="{63B3BB69-23CF-44E3-9099-C40C66FF867C}">
                  <a14:compatExt spid="_x0000_s97343"/>
                </a:ext>
                <a:ext uri="{FF2B5EF4-FFF2-40B4-BE49-F238E27FC236}">
                  <a16:creationId xmlns:a16="http://schemas.microsoft.com/office/drawing/2014/main" id="{00000000-0008-0000-0900-00003F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45</xdr:row>
          <xdr:rowOff>45720</xdr:rowOff>
        </xdr:from>
        <xdr:to>
          <xdr:col>10</xdr:col>
          <xdr:colOff>1379220</xdr:colOff>
          <xdr:row>46</xdr:row>
          <xdr:rowOff>11430</xdr:rowOff>
        </xdr:to>
        <xdr:sp macro="" textlink="">
          <xdr:nvSpPr>
            <xdr:cNvPr id="97344" name="Check Box 64" hidden="1">
              <a:extLst>
                <a:ext uri="{63B3BB69-23CF-44E3-9099-C40C66FF867C}">
                  <a14:compatExt spid="_x0000_s97344"/>
                </a:ext>
                <a:ext uri="{FF2B5EF4-FFF2-40B4-BE49-F238E27FC236}">
                  <a16:creationId xmlns:a16="http://schemas.microsoft.com/office/drawing/2014/main" id="{00000000-0008-0000-0900-000040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46</xdr:row>
          <xdr:rowOff>45720</xdr:rowOff>
        </xdr:from>
        <xdr:to>
          <xdr:col>10</xdr:col>
          <xdr:colOff>1379220</xdr:colOff>
          <xdr:row>47</xdr:row>
          <xdr:rowOff>11430</xdr:rowOff>
        </xdr:to>
        <xdr:sp macro="" textlink="">
          <xdr:nvSpPr>
            <xdr:cNvPr id="97345" name="Check Box 65" hidden="1">
              <a:extLst>
                <a:ext uri="{63B3BB69-23CF-44E3-9099-C40C66FF867C}">
                  <a14:compatExt spid="_x0000_s97345"/>
                </a:ext>
                <a:ext uri="{FF2B5EF4-FFF2-40B4-BE49-F238E27FC236}">
                  <a16:creationId xmlns:a16="http://schemas.microsoft.com/office/drawing/2014/main" id="{00000000-0008-0000-0900-000041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1192530</xdr:colOff>
          <xdr:row>47</xdr:row>
          <xdr:rowOff>45720</xdr:rowOff>
        </xdr:from>
        <xdr:to>
          <xdr:col>10</xdr:col>
          <xdr:colOff>1379220</xdr:colOff>
          <xdr:row>48</xdr:row>
          <xdr:rowOff>11430</xdr:rowOff>
        </xdr:to>
        <xdr:sp macro="" textlink="">
          <xdr:nvSpPr>
            <xdr:cNvPr id="97346" name="Check Box 66" hidden="1">
              <a:extLst>
                <a:ext uri="{63B3BB69-23CF-44E3-9099-C40C66FF867C}">
                  <a14:compatExt spid="_x0000_s97346"/>
                </a:ext>
                <a:ext uri="{FF2B5EF4-FFF2-40B4-BE49-F238E27FC236}">
                  <a16:creationId xmlns:a16="http://schemas.microsoft.com/office/drawing/2014/main" id="{00000000-0008-0000-0900-0000427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0.6938</cdr:x>
      <cdr:y>0.17987</cdr:y>
    </cdr:from>
    <cdr:to>
      <cdr:x>0.80223</cdr:x>
      <cdr:y>0.22759</cdr:y>
    </cdr:to>
    <cdr:sp macro="" textlink="">
      <cdr:nvSpPr>
        <cdr:cNvPr id="2" name="TextBox 1"/>
        <cdr:cNvSpPr txBox="1"/>
      </cdr:nvSpPr>
      <cdr:spPr>
        <a:xfrm xmlns:a="http://schemas.openxmlformats.org/drawingml/2006/main">
          <a:off x="4291063" y="842837"/>
          <a:ext cx="670629" cy="22360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800"/>
            <a:t>Graph</a:t>
          </a:r>
          <a:r>
            <a:rPr lang="en-US" sz="800" baseline="0"/>
            <a:t> Start</a:t>
          </a:r>
          <a:endParaRPr lang="en-US" sz="800"/>
        </a:p>
      </cdr:txBody>
    </cdr:sp>
  </cdr:relSizeAnchor>
  <cdr:relSizeAnchor xmlns:cdr="http://schemas.openxmlformats.org/drawingml/2006/chartDrawing">
    <cdr:from>
      <cdr:x>0.80175</cdr:x>
      <cdr:y>0.17996</cdr:y>
    </cdr:from>
    <cdr:to>
      <cdr:x>0.89836</cdr:x>
      <cdr:y>0.22225</cdr:y>
    </cdr:to>
    <cdr:sp macro="" textlink="'History and Forecast'!$C$2">
      <cdr:nvSpPr>
        <cdr:cNvPr id="3" name="TextBox 2"/>
        <cdr:cNvSpPr txBox="1"/>
      </cdr:nvSpPr>
      <cdr:spPr>
        <a:xfrm xmlns:a="http://schemas.openxmlformats.org/drawingml/2006/main">
          <a:off x="4958765" y="843233"/>
          <a:ext cx="597485" cy="1981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A3E5A19-EED8-4FFA-92B4-A91A01CC2C5D}" type="TxLink">
            <a:rPr lang="en-US" sz="800" b="0" i="0" u="none" strike="noStrike">
              <a:solidFill>
                <a:srgbClr val="000000"/>
              </a:solidFill>
              <a:latin typeface="Estrangelo Edessa"/>
              <a:cs typeface="Estrangelo Edessa"/>
            </a:rPr>
            <a:pPr/>
            <a:t>1996</a:t>
          </a:fld>
          <a:endParaRPr lang="en-US" sz="800"/>
        </a:p>
      </cdr:txBody>
    </cdr:sp>
  </cdr:relSizeAnchor>
  <cdr:relSizeAnchor xmlns:cdr="http://schemas.openxmlformats.org/drawingml/2006/chartDrawing">
    <cdr:from>
      <cdr:x>0.6808</cdr:x>
      <cdr:y>0.11814</cdr:y>
    </cdr:from>
    <cdr:to>
      <cdr:x>0.80127</cdr:x>
      <cdr:y>0.17015</cdr:y>
    </cdr:to>
    <cdr:sp macro="" textlink="">
      <cdr:nvSpPr>
        <cdr:cNvPr id="4" name="TextBox 3"/>
        <cdr:cNvSpPr txBox="1"/>
      </cdr:nvSpPr>
      <cdr:spPr>
        <a:xfrm xmlns:a="http://schemas.openxmlformats.org/drawingml/2006/main">
          <a:off x="3873500" y="502627"/>
          <a:ext cx="685406" cy="22127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800"/>
            <a:t>Index Year</a:t>
          </a:r>
        </a:p>
      </cdr:txBody>
    </cdr:sp>
  </cdr:relSizeAnchor>
  <cdr:relSizeAnchor xmlns:cdr="http://schemas.openxmlformats.org/drawingml/2006/chartDrawing">
    <cdr:from>
      <cdr:x>0.80483</cdr:x>
      <cdr:y>0.11742</cdr:y>
    </cdr:from>
    <cdr:to>
      <cdr:x>0.90452</cdr:x>
      <cdr:y>0.15449</cdr:y>
    </cdr:to>
    <cdr:sp macro="" textlink="'History and Forecast'!$C$4">
      <cdr:nvSpPr>
        <cdr:cNvPr id="5" name="TextBox 4"/>
        <cdr:cNvSpPr txBox="1"/>
      </cdr:nvSpPr>
      <cdr:spPr>
        <a:xfrm xmlns:a="http://schemas.openxmlformats.org/drawingml/2006/main">
          <a:off x="4977815" y="550177"/>
          <a:ext cx="616535" cy="1737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4326B71-B7B6-4156-AFF6-DD44E3E6135D}" type="TxLink">
            <a:rPr lang="en-US" sz="800" b="0" i="0" u="none" strike="noStrike">
              <a:solidFill>
                <a:srgbClr val="000000"/>
              </a:solidFill>
              <a:latin typeface="Estrangelo Edessa"/>
              <a:cs typeface="Estrangelo Edessa"/>
            </a:rPr>
            <a:pPr/>
            <a:t>2019</a:t>
          </a:fld>
          <a:endParaRPr lang="en-US" sz="800"/>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2</xdr:row>
          <xdr:rowOff>0</xdr:rowOff>
        </xdr:from>
        <xdr:to>
          <xdr:col>7</xdr:col>
          <xdr:colOff>400050</xdr:colOff>
          <xdr:row>2</xdr:row>
          <xdr:rowOff>152400</xdr:rowOff>
        </xdr:to>
        <xdr:sp macro="" textlink="">
          <xdr:nvSpPr>
            <xdr:cNvPr id="31745" name="Drop Dow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544830</xdr:colOff>
          <xdr:row>2</xdr:row>
          <xdr:rowOff>11430</xdr:rowOff>
        </xdr:from>
        <xdr:to>
          <xdr:col>5</xdr:col>
          <xdr:colOff>30480</xdr:colOff>
          <xdr:row>3</xdr:row>
          <xdr:rowOff>19050</xdr:rowOff>
        </xdr:to>
        <xdr:sp macro="" textlink="">
          <xdr:nvSpPr>
            <xdr:cNvPr id="31746" name="Drop Down 2" hidden="1">
              <a:extLst>
                <a:ext uri="{63B3BB69-23CF-44E3-9099-C40C66FF867C}">
                  <a14:compatExt spid="_x0000_s31746"/>
                </a:ext>
                <a:ext uri="{FF2B5EF4-FFF2-40B4-BE49-F238E27FC236}">
                  <a16:creationId xmlns:a16="http://schemas.microsoft.com/office/drawing/2014/main" id="{00000000-0008-0000-0A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38100</xdr:rowOff>
        </xdr:from>
        <xdr:to>
          <xdr:col>5</xdr:col>
          <xdr:colOff>19050</xdr:colOff>
          <xdr:row>4</xdr:row>
          <xdr:rowOff>49530</xdr:rowOff>
        </xdr:to>
        <xdr:sp macro="" textlink="">
          <xdr:nvSpPr>
            <xdr:cNvPr id="31747" name="Drop Down 3" hidden="1">
              <a:extLst>
                <a:ext uri="{63B3BB69-23CF-44E3-9099-C40C66FF867C}">
                  <a14:compatExt spid="_x0000_s31747"/>
                </a:ext>
                <a:ext uri="{FF2B5EF4-FFF2-40B4-BE49-F238E27FC236}">
                  <a16:creationId xmlns:a16="http://schemas.microsoft.com/office/drawing/2014/main" id="{00000000-0008-0000-0A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11430</xdr:rowOff>
        </xdr:from>
        <xdr:to>
          <xdr:col>7</xdr:col>
          <xdr:colOff>400050</xdr:colOff>
          <xdr:row>4</xdr:row>
          <xdr:rowOff>0</xdr:rowOff>
        </xdr:to>
        <xdr:sp macro="" textlink="">
          <xdr:nvSpPr>
            <xdr:cNvPr id="31748" name="Drop Down 4" hidden="1">
              <a:extLst>
                <a:ext uri="{63B3BB69-23CF-44E3-9099-C40C66FF867C}">
                  <a14:compatExt spid="_x0000_s31748"/>
                </a:ext>
                <a:ext uri="{FF2B5EF4-FFF2-40B4-BE49-F238E27FC236}">
                  <a16:creationId xmlns:a16="http://schemas.microsoft.com/office/drawing/2014/main" id="{00000000-0008-0000-0A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68580</xdr:colOff>
          <xdr:row>8</xdr:row>
          <xdr:rowOff>0</xdr:rowOff>
        </xdr:from>
        <xdr:to>
          <xdr:col>36</xdr:col>
          <xdr:colOff>419100</xdr:colOff>
          <xdr:row>9</xdr:row>
          <xdr:rowOff>11430</xdr:rowOff>
        </xdr:to>
        <xdr:sp macro="" textlink="">
          <xdr:nvSpPr>
            <xdr:cNvPr id="31749" name="Spinner 5" hidden="1">
              <a:extLst>
                <a:ext uri="{63B3BB69-23CF-44E3-9099-C40C66FF867C}">
                  <a14:compatExt spid="_x0000_s31749"/>
                </a:ext>
                <a:ext uri="{FF2B5EF4-FFF2-40B4-BE49-F238E27FC236}">
                  <a16:creationId xmlns:a16="http://schemas.microsoft.com/office/drawing/2014/main" id="{00000000-0008-0000-0A00-0000057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6</xdr:row>
          <xdr:rowOff>95250</xdr:rowOff>
        </xdr:from>
        <xdr:to>
          <xdr:col>12</xdr:col>
          <xdr:colOff>571500</xdr:colOff>
          <xdr:row>8</xdr:row>
          <xdr:rowOff>87630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A00-0000067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Button 6</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1383030</xdr:colOff>
          <xdr:row>58</xdr:row>
          <xdr:rowOff>49530</xdr:rowOff>
        </xdr:from>
        <xdr:to>
          <xdr:col>4</xdr:col>
          <xdr:colOff>971550</xdr:colOff>
          <xdr:row>59</xdr:row>
          <xdr:rowOff>38100</xdr:rowOff>
        </xdr:to>
        <xdr:sp macro="" textlink="">
          <xdr:nvSpPr>
            <xdr:cNvPr id="63490" name="Drop Down 2" hidden="1">
              <a:extLst>
                <a:ext uri="{63B3BB69-23CF-44E3-9099-C40C66FF867C}">
                  <a14:compatExt spid="_x0000_s63490"/>
                </a:ext>
                <a:ext uri="{FF2B5EF4-FFF2-40B4-BE49-F238E27FC236}">
                  <a16:creationId xmlns:a16="http://schemas.microsoft.com/office/drawing/2014/main" id="{00000000-0008-0000-0B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59</xdr:row>
          <xdr:rowOff>152400</xdr:rowOff>
        </xdr:from>
        <xdr:to>
          <xdr:col>1</xdr:col>
          <xdr:colOff>1333500</xdr:colOff>
          <xdr:row>60</xdr:row>
          <xdr:rowOff>152400</xdr:rowOff>
        </xdr:to>
        <xdr:sp macro="" textlink="">
          <xdr:nvSpPr>
            <xdr:cNvPr id="63500" name="Drop Down 12" hidden="1">
              <a:extLst>
                <a:ext uri="{63B3BB69-23CF-44E3-9099-C40C66FF867C}">
                  <a14:compatExt spid="_x0000_s63500"/>
                </a:ext>
                <a:ext uri="{FF2B5EF4-FFF2-40B4-BE49-F238E27FC236}">
                  <a16:creationId xmlns:a16="http://schemas.microsoft.com/office/drawing/2014/main" id="{00000000-0008-0000-0B00-00000C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0.49215</cdr:x>
      <cdr:y>0.82071</cdr:y>
    </cdr:from>
    <cdr:to>
      <cdr:x>0.96525</cdr:x>
      <cdr:y>0.86708</cdr:y>
    </cdr:to>
    <cdr:sp macro="" textlink="regression!$M$18:$P$18">
      <cdr:nvSpPr>
        <cdr:cNvPr id="2" name="TextBox 1"/>
        <cdr:cNvSpPr txBox="1"/>
      </cdr:nvSpPr>
      <cdr:spPr>
        <a:xfrm xmlns:a="http://schemas.openxmlformats.org/drawingml/2006/main">
          <a:off x="4266811" y="5160995"/>
          <a:ext cx="4101582" cy="2915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85C1A08-5C8C-4DF1-A097-74C49A28693D}" type="TxLink">
            <a:rPr lang="en-US" sz="1000" b="0" i="0" u="none" strike="noStrike">
              <a:solidFill>
                <a:srgbClr val="000000"/>
              </a:solidFill>
              <a:latin typeface="Arial"/>
              <a:cs typeface="Arial"/>
            </a:rPr>
            <a:pPr/>
            <a:t> Maize = 14.031 + 0.859 * Barley</a:t>
          </a:fld>
          <a:endParaRPr lang="en-US" sz="1100"/>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0.69277</cdr:x>
      <cdr:y>0.11618</cdr:y>
    </cdr:from>
    <cdr:to>
      <cdr:x>0.8012</cdr:x>
      <cdr:y>0.1639</cdr:y>
    </cdr:to>
    <cdr:sp macro="" textlink="">
      <cdr:nvSpPr>
        <cdr:cNvPr id="2" name="TextBox 1"/>
        <cdr:cNvSpPr txBox="1"/>
      </cdr:nvSpPr>
      <cdr:spPr>
        <a:xfrm xmlns:a="http://schemas.openxmlformats.org/drawingml/2006/main">
          <a:off x="6002055" y="730685"/>
          <a:ext cx="939452" cy="30010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Graph</a:t>
          </a:r>
          <a:r>
            <a:rPr lang="en-US" sz="1100" baseline="0"/>
            <a:t> Start</a:t>
          </a:r>
          <a:endParaRPr lang="en-US" sz="1100"/>
        </a:p>
      </cdr:txBody>
    </cdr:sp>
  </cdr:relSizeAnchor>
  <cdr:relSizeAnchor xmlns:cdr="http://schemas.openxmlformats.org/drawingml/2006/chartDrawing">
    <cdr:from>
      <cdr:x>0.7997</cdr:x>
      <cdr:y>0.12033</cdr:y>
    </cdr:from>
    <cdr:to>
      <cdr:x>0.86145</cdr:x>
      <cdr:y>0.1556</cdr:y>
    </cdr:to>
    <cdr:sp macro="" textlink="'History and Forecast'!$C$2">
      <cdr:nvSpPr>
        <cdr:cNvPr id="3" name="TextBox 2"/>
        <cdr:cNvSpPr txBox="1"/>
      </cdr:nvSpPr>
      <cdr:spPr>
        <a:xfrm xmlns:a="http://schemas.openxmlformats.org/drawingml/2006/main">
          <a:off x="6928459" y="756781"/>
          <a:ext cx="534966" cy="2218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7A3E5A19-EED8-4FFA-92B4-A91A01CC2C5D}" type="TxLink">
            <a:rPr lang="en-US" sz="1100" b="0" i="0" u="none" strike="noStrike">
              <a:solidFill>
                <a:srgbClr val="000000"/>
              </a:solidFill>
              <a:latin typeface="Estrangelo Edessa"/>
              <a:cs typeface="Estrangelo Edessa"/>
            </a:rPr>
            <a:pPr/>
            <a:t>1996</a:t>
          </a:fld>
          <a:endParaRPr lang="en-US" sz="1100"/>
        </a:p>
      </cdr:txBody>
    </cdr:sp>
  </cdr:relSizeAnchor>
  <cdr:relSizeAnchor xmlns:cdr="http://schemas.openxmlformats.org/drawingml/2006/chartDrawing">
    <cdr:from>
      <cdr:x>0.69277</cdr:x>
      <cdr:y>0.07884</cdr:y>
    </cdr:from>
    <cdr:to>
      <cdr:x>0.79819</cdr:x>
      <cdr:y>0.10788</cdr:y>
    </cdr:to>
    <cdr:sp macro="" textlink="">
      <cdr:nvSpPr>
        <cdr:cNvPr id="4" name="TextBox 3"/>
        <cdr:cNvSpPr txBox="1"/>
      </cdr:nvSpPr>
      <cdr:spPr>
        <a:xfrm xmlns:a="http://schemas.openxmlformats.org/drawingml/2006/main">
          <a:off x="6002055" y="495822"/>
          <a:ext cx="913357" cy="18267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Index Year</a:t>
          </a:r>
        </a:p>
      </cdr:txBody>
    </cdr:sp>
  </cdr:relSizeAnchor>
  <cdr:relSizeAnchor xmlns:cdr="http://schemas.openxmlformats.org/drawingml/2006/chartDrawing">
    <cdr:from>
      <cdr:x>0.7997</cdr:x>
      <cdr:y>0.07676</cdr:y>
    </cdr:from>
    <cdr:to>
      <cdr:x>0.86145</cdr:x>
      <cdr:y>0.11618</cdr:y>
    </cdr:to>
    <cdr:sp macro="" textlink="'History and Forecast'!$C$4">
      <cdr:nvSpPr>
        <cdr:cNvPr id="5" name="TextBox 4"/>
        <cdr:cNvSpPr txBox="1"/>
      </cdr:nvSpPr>
      <cdr:spPr>
        <a:xfrm xmlns:a="http://schemas.openxmlformats.org/drawingml/2006/main">
          <a:off x="6928459" y="482774"/>
          <a:ext cx="534966" cy="24791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4326B71-B7B6-4156-AFF6-DD44E3E6135D}" type="TxLink">
            <a:rPr lang="en-US" sz="1100" b="0" i="0" u="none" strike="noStrike">
              <a:solidFill>
                <a:srgbClr val="000000"/>
              </a:solidFill>
              <a:latin typeface="Estrangelo Edessa"/>
              <a:cs typeface="Estrangelo Edessa"/>
            </a:rPr>
            <a:pPr/>
            <a:t>2019</a:t>
          </a:fld>
          <a:endParaRPr lang="en-US" sz="1100"/>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8664222" cy="6286500"/>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xdr:wsDr xmlns:xdr="http://schemas.openxmlformats.org/drawingml/2006/spreadsheetDrawing" xmlns:a="http://schemas.openxmlformats.org/drawingml/2006/main">
  <xdr:absoluteAnchor>
    <xdr:pos x="0" y="0"/>
    <xdr:ext cx="8661400" cy="6289040"/>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0</xdr:row>
          <xdr:rowOff>144780</xdr:rowOff>
        </xdr:from>
        <xdr:to>
          <xdr:col>5</xdr:col>
          <xdr:colOff>220980</xdr:colOff>
          <xdr:row>1</xdr:row>
          <xdr:rowOff>125730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00000000-0008-0000-13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30480</xdr:rowOff>
        </xdr:from>
        <xdr:to>
          <xdr:col>5</xdr:col>
          <xdr:colOff>220980</xdr:colOff>
          <xdr:row>3</xdr:row>
          <xdr:rowOff>11430</xdr:rowOff>
        </xdr:to>
        <xdr:sp macro="" textlink="">
          <xdr:nvSpPr>
            <xdr:cNvPr id="22530" name="Drop Down 2" hidden="1">
              <a:extLst>
                <a:ext uri="{63B3BB69-23CF-44E3-9099-C40C66FF867C}">
                  <a14:compatExt spid="_x0000_s22530"/>
                </a:ext>
                <a:ext uri="{FF2B5EF4-FFF2-40B4-BE49-F238E27FC236}">
                  <a16:creationId xmlns:a16="http://schemas.microsoft.com/office/drawing/2014/main" id="{00000000-0008-0000-13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11430</xdr:rowOff>
        </xdr:from>
        <xdr:to>
          <xdr:col>8</xdr:col>
          <xdr:colOff>19050</xdr:colOff>
          <xdr:row>2</xdr:row>
          <xdr:rowOff>30480</xdr:rowOff>
        </xdr:to>
        <xdr:sp macro="" textlink="">
          <xdr:nvSpPr>
            <xdr:cNvPr id="22531" name="Drop Down 3" hidden="1">
              <a:extLst>
                <a:ext uri="{63B3BB69-23CF-44E3-9099-C40C66FF867C}">
                  <a14:compatExt spid="_x0000_s22531"/>
                </a:ext>
                <a:ext uri="{FF2B5EF4-FFF2-40B4-BE49-F238E27FC236}">
                  <a16:creationId xmlns:a16="http://schemas.microsoft.com/office/drawing/2014/main" id="{00000000-0008-0000-13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259080</xdr:colOff>
          <xdr:row>1</xdr:row>
          <xdr:rowOff>38100</xdr:rowOff>
        </xdr:from>
        <xdr:to>
          <xdr:col>21</xdr:col>
          <xdr:colOff>430530</xdr:colOff>
          <xdr:row>2</xdr:row>
          <xdr:rowOff>57150</xdr:rowOff>
        </xdr:to>
        <xdr:sp macro="" textlink="">
          <xdr:nvSpPr>
            <xdr:cNvPr id="22532" name="Drop Down 4" hidden="1">
              <a:extLst>
                <a:ext uri="{63B3BB69-23CF-44E3-9099-C40C66FF867C}">
                  <a14:compatExt spid="_x0000_s22532"/>
                </a:ext>
                <a:ext uri="{FF2B5EF4-FFF2-40B4-BE49-F238E27FC236}">
                  <a16:creationId xmlns:a16="http://schemas.microsoft.com/office/drawing/2014/main" id="{00000000-0008-0000-13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600075</xdr:colOff>
      <xdr:row>4</xdr:row>
      <xdr:rowOff>95249</xdr:rowOff>
    </xdr:from>
    <xdr:to>
      <xdr:col>9</xdr:col>
      <xdr:colOff>333375</xdr:colOff>
      <xdr:row>15</xdr:row>
      <xdr:rowOff>152400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200025</xdr:colOff>
      <xdr:row>0</xdr:row>
      <xdr:rowOff>85726</xdr:rowOff>
    </xdr:from>
    <xdr:to>
      <xdr:col>19</xdr:col>
      <xdr:colOff>76200</xdr:colOff>
      <xdr:row>15</xdr:row>
      <xdr:rowOff>19051</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247650</xdr:colOff>
          <xdr:row>1</xdr:row>
          <xdr:rowOff>144780</xdr:rowOff>
        </xdr:from>
        <xdr:to>
          <xdr:col>29</xdr:col>
          <xdr:colOff>220980</xdr:colOff>
          <xdr:row>2</xdr:row>
          <xdr:rowOff>125730</xdr:rowOff>
        </xdr:to>
        <xdr:sp macro="" textlink="">
          <xdr:nvSpPr>
            <xdr:cNvPr id="22533" name="Drop Down 5" hidden="1">
              <a:extLst>
                <a:ext uri="{63B3BB69-23CF-44E3-9099-C40C66FF867C}">
                  <a14:compatExt spid="_x0000_s22533"/>
                </a:ext>
                <a:ext uri="{FF2B5EF4-FFF2-40B4-BE49-F238E27FC236}">
                  <a16:creationId xmlns:a16="http://schemas.microsoft.com/office/drawing/2014/main" id="{00000000-0008-0000-13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247650</xdr:colOff>
          <xdr:row>3</xdr:row>
          <xdr:rowOff>30480</xdr:rowOff>
        </xdr:from>
        <xdr:to>
          <xdr:col>29</xdr:col>
          <xdr:colOff>220980</xdr:colOff>
          <xdr:row>4</xdr:row>
          <xdr:rowOff>11430</xdr:rowOff>
        </xdr:to>
        <xdr:sp macro="" textlink="">
          <xdr:nvSpPr>
            <xdr:cNvPr id="22534" name="Drop Down 6" hidden="1">
              <a:extLst>
                <a:ext uri="{63B3BB69-23CF-44E3-9099-C40C66FF867C}">
                  <a14:compatExt spid="_x0000_s22534"/>
                </a:ext>
                <a:ext uri="{FF2B5EF4-FFF2-40B4-BE49-F238E27FC236}">
                  <a16:creationId xmlns:a16="http://schemas.microsoft.com/office/drawing/2014/main" id="{00000000-0008-0000-13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504825</xdr:colOff>
      <xdr:row>3</xdr:row>
      <xdr:rowOff>19050</xdr:rowOff>
    </xdr:from>
    <xdr:to>
      <xdr:col>35</xdr:col>
      <xdr:colOff>323850</xdr:colOff>
      <xdr:row>15</xdr:row>
      <xdr:rowOff>133350</xdr:rowOff>
    </xdr:to>
    <xdr:graphicFrame macro="">
      <xdr:nvGraphicFramePr>
        <xdr:cNvPr id="6" name="Chart 5">
          <a:extLst>
            <a:ext uri="{FF2B5EF4-FFF2-40B4-BE49-F238E27FC236}">
              <a16:creationId xmlns:a16="http://schemas.microsoft.com/office/drawing/2014/main" id="{00000000-0008-0000-1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9</xdr:col>
      <xdr:colOff>438150</xdr:colOff>
      <xdr:row>11</xdr:row>
      <xdr:rowOff>152400</xdr:rowOff>
    </xdr:from>
    <xdr:to>
      <xdr:col>17</xdr:col>
      <xdr:colOff>133350</xdr:colOff>
      <xdr:row>28</xdr:row>
      <xdr:rowOff>142875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563880</xdr:colOff>
          <xdr:row>2</xdr:row>
          <xdr:rowOff>76200</xdr:rowOff>
        </xdr:from>
        <xdr:to>
          <xdr:col>13</xdr:col>
          <xdr:colOff>464820</xdr:colOff>
          <xdr:row>4</xdr:row>
          <xdr:rowOff>102870</xdr:rowOff>
        </xdr:to>
        <xdr:sp macro="" textlink="">
          <xdr:nvSpPr>
            <xdr:cNvPr id="143361" name="Button 1" hidden="1">
              <a:extLst>
                <a:ext uri="{63B3BB69-23CF-44E3-9099-C40C66FF867C}">
                  <a14:compatExt spid="_x0000_s143361"/>
                </a:ext>
                <a:ext uri="{FF2B5EF4-FFF2-40B4-BE49-F238E27FC236}">
                  <a16:creationId xmlns:a16="http://schemas.microsoft.com/office/drawing/2014/main" id="{00000000-0008-0000-1900-00000130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Read One -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582930</xdr:colOff>
          <xdr:row>7</xdr:row>
          <xdr:rowOff>19050</xdr:rowOff>
        </xdr:from>
        <xdr:to>
          <xdr:col>13</xdr:col>
          <xdr:colOff>483870</xdr:colOff>
          <xdr:row>9</xdr:row>
          <xdr:rowOff>68580</xdr:rowOff>
        </xdr:to>
        <xdr:sp macro="" textlink="">
          <xdr:nvSpPr>
            <xdr:cNvPr id="143362" name="Button 2" hidden="1">
              <a:extLst>
                <a:ext uri="{63B3BB69-23CF-44E3-9099-C40C66FF867C}">
                  <a14:compatExt spid="_x0000_s143362"/>
                </a:ext>
                <a:ext uri="{FF2B5EF4-FFF2-40B4-BE49-F238E27FC236}">
                  <a16:creationId xmlns:a16="http://schemas.microsoft.com/office/drawing/2014/main" id="{00000000-0008-0000-1900-00000230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Read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11</xdr:row>
          <xdr:rowOff>0</xdr:rowOff>
        </xdr:from>
        <xdr:to>
          <xdr:col>13</xdr:col>
          <xdr:colOff>506730</xdr:colOff>
          <xdr:row>13</xdr:row>
          <xdr:rowOff>49530</xdr:rowOff>
        </xdr:to>
        <xdr:sp macro="" textlink="">
          <xdr:nvSpPr>
            <xdr:cNvPr id="143363" name="Button 3" hidden="1">
              <a:extLst>
                <a:ext uri="{63B3BB69-23CF-44E3-9099-C40C66FF867C}">
                  <a14:compatExt spid="_x0000_s143363"/>
                </a:ext>
                <a:ext uri="{FF2B5EF4-FFF2-40B4-BE49-F238E27FC236}">
                  <a16:creationId xmlns:a16="http://schemas.microsoft.com/office/drawing/2014/main" id="{00000000-0008-0000-1900-00000330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www.worldbank.org/en/research/commodity-markets"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8" Type="http://schemas.openxmlformats.org/officeDocument/2006/relationships/hyperlink" Target="http://www.worldbank.org/en/research/commodity-markets" TargetMode="External"/><Relationship Id="rId3" Type="http://schemas.openxmlformats.org/officeDocument/2006/relationships/hyperlink" Target="http://www.worldbank.org/en/research/commodity-markets" TargetMode="External"/><Relationship Id="rId7" Type="http://schemas.openxmlformats.org/officeDocument/2006/relationships/hyperlink" Target="http://pubdocs.worldbank.org/en/524241493046966255/CMO-April-2017-Forecasts.xlsx" TargetMode="External"/><Relationship Id="rId2" Type="http://schemas.openxmlformats.org/officeDocument/2006/relationships/hyperlink" Target="http://pubdocs.worldbank.org/en/224591469470606338/CMO-2016-Jan-Forecasts.xlsx" TargetMode="External"/><Relationship Id="rId1" Type="http://schemas.openxmlformats.org/officeDocument/2006/relationships/hyperlink" Target="http://www.worldbank.org/en/research/commodity-markets" TargetMode="External"/><Relationship Id="rId6" Type="http://schemas.openxmlformats.org/officeDocument/2006/relationships/hyperlink" Target="http://www.worldbank.org/en/research/commodity-markets" TargetMode="External"/><Relationship Id="rId11" Type="http://schemas.openxmlformats.org/officeDocument/2006/relationships/drawing" Target="../drawings/drawing5.xml"/><Relationship Id="rId5" Type="http://schemas.openxmlformats.org/officeDocument/2006/relationships/hyperlink" Target="http://www.worldbank.org/en/research/commodity-markets" TargetMode="External"/><Relationship Id="rId10" Type="http://schemas.openxmlformats.org/officeDocument/2006/relationships/printerSettings" Target="../printerSettings/printerSettings1.bin"/><Relationship Id="rId4" Type="http://schemas.openxmlformats.org/officeDocument/2006/relationships/hyperlink" Target="http://pubdocs.worldbank.org/en/406591469470604511/CMO-2015-July-Forecasts.xlsx" TargetMode="External"/><Relationship Id="rId9" Type="http://schemas.openxmlformats.org/officeDocument/2006/relationships/hyperlink" Target="http://www.worldbank.org/en/research/commodity-market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2" Type="http://schemas.openxmlformats.org/officeDocument/2006/relationships/vmlDrawing" Target="../drawings/vmlDrawing6.vm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 Type="http://schemas.openxmlformats.org/officeDocument/2006/relationships/ctrlProp" Target="../ctrlProps/ctrlProp20.xml"/><Relationship Id="rId19" Type="http://schemas.openxmlformats.org/officeDocument/2006/relationships/ctrlProp" Target="../ctrlProps/ctrlProp34.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ctrlProp" Target="../ctrlProps/ctrlProp18.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drawing" Target="../drawings/drawing10.xm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8.xml"/><Relationship Id="rId3" Type="http://schemas.openxmlformats.org/officeDocument/2006/relationships/ctrlProp" Target="../ctrlProps/ctrlProp73.xml"/><Relationship Id="rId7" Type="http://schemas.openxmlformats.org/officeDocument/2006/relationships/ctrlProp" Target="../ctrlProps/ctrlProp77.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8.vml"/><Relationship Id="rId1" Type="http://schemas.openxmlformats.org/officeDocument/2006/relationships/drawing" Target="../drawings/drawing13.xml"/><Relationship Id="rId4" Type="http://schemas.openxmlformats.org/officeDocument/2006/relationships/ctrlProp" Target="../ctrlProps/ctrlProp8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ctrlProp" Target="../ctrlProps/ctrlProp81.xml"/><Relationship Id="rId7" Type="http://schemas.openxmlformats.org/officeDocument/2006/relationships/ctrlProp" Target="../ctrlProps/ctrlProp85.xml"/><Relationship Id="rId2" Type="http://schemas.openxmlformats.org/officeDocument/2006/relationships/vmlDrawing" Target="../drawings/vmlDrawing14.vml"/><Relationship Id="rId1" Type="http://schemas.openxmlformats.org/officeDocument/2006/relationships/drawing" Target="../drawings/drawing22.xml"/><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hyperlink" Target="https://research.stlouisfed.org/fred2/data/" TargetMode="External"/><Relationship Id="rId7" Type="http://schemas.openxmlformats.org/officeDocument/2006/relationships/ctrlProp" Target="../ctrlProps/ctrlProp88.xml"/><Relationship Id="rId2" Type="http://schemas.openxmlformats.org/officeDocument/2006/relationships/hyperlink" Target="https://research.stlouisfed.org/fred2/data/" TargetMode="External"/><Relationship Id="rId1" Type="http://schemas.openxmlformats.org/officeDocument/2006/relationships/hyperlink" Target="https://research.stlouisfed.org/fred2/data/" TargetMode="External"/><Relationship Id="rId6" Type="http://schemas.openxmlformats.org/officeDocument/2006/relationships/ctrlProp" Target="../ctrlProps/ctrlProp87.xml"/><Relationship Id="rId5" Type="http://schemas.openxmlformats.org/officeDocument/2006/relationships/vmlDrawing" Target="../drawings/vmlDrawing15.vml"/><Relationship Id="rId4"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E30"/>
  <sheetViews>
    <sheetView workbookViewId="0">
      <selection activeCell="D24" sqref="D24"/>
    </sheetView>
  </sheetViews>
  <sheetFormatPr defaultColWidth="9.1640625" defaultRowHeight="12.3"/>
  <cols>
    <col min="1" max="2" width="9.1640625" style="25"/>
    <col min="3" max="3" width="25.27734375" style="25" bestFit="1" customWidth="1"/>
    <col min="4" max="4" width="33.71875" style="25" customWidth="1"/>
    <col min="5" max="5" width="51.71875" style="25" customWidth="1"/>
    <col min="6" max="16384" width="9.1640625" style="25"/>
  </cols>
  <sheetData>
    <row r="3" spans="2:5">
      <c r="B3" s="26"/>
      <c r="C3" s="27" t="s">
        <v>900</v>
      </c>
      <c r="D3" s="27" t="s">
        <v>901</v>
      </c>
      <c r="E3" s="27" t="s">
        <v>902</v>
      </c>
    </row>
    <row r="4" spans="2:5" ht="14.4">
      <c r="B4" s="26">
        <v>1</v>
      </c>
      <c r="C4" s="28" t="s">
        <v>886</v>
      </c>
      <c r="D4" s="26"/>
      <c r="E4" s="26"/>
    </row>
    <row r="5" spans="2:5" ht="14.4">
      <c r="B5" s="26">
        <v>2</v>
      </c>
      <c r="C5" s="28" t="s">
        <v>887</v>
      </c>
      <c r="D5" s="26"/>
      <c r="E5" s="26"/>
    </row>
    <row r="6" spans="2:5" ht="14.4">
      <c r="B6" s="26">
        <v>3</v>
      </c>
      <c r="C6" s="28" t="s">
        <v>888</v>
      </c>
      <c r="D6" s="26"/>
      <c r="E6" s="26"/>
    </row>
    <row r="7" spans="2:5" ht="14.4">
      <c r="B7" s="26">
        <v>4</v>
      </c>
      <c r="C7" s="28" t="s">
        <v>889</v>
      </c>
      <c r="D7" s="26"/>
      <c r="E7" s="26"/>
    </row>
    <row r="8" spans="2:5" ht="14.4">
      <c r="B8" s="26">
        <v>5</v>
      </c>
      <c r="C8" s="28" t="s">
        <v>890</v>
      </c>
      <c r="D8" s="26"/>
      <c r="E8" s="26"/>
    </row>
    <row r="9" spans="2:5" ht="14.4">
      <c r="B9" s="26">
        <v>6</v>
      </c>
      <c r="C9" s="28" t="s">
        <v>891</v>
      </c>
      <c r="D9" s="26"/>
      <c r="E9" s="26"/>
    </row>
    <row r="10" spans="2:5" ht="14.4">
      <c r="B10" s="26">
        <v>7</v>
      </c>
      <c r="C10" s="28" t="s">
        <v>892</v>
      </c>
      <c r="D10" s="26"/>
      <c r="E10" s="26"/>
    </row>
    <row r="11" spans="2:5" ht="14.4">
      <c r="B11" s="26">
        <v>8</v>
      </c>
      <c r="C11" s="28" t="s">
        <v>893</v>
      </c>
      <c r="D11" s="26"/>
      <c r="E11" s="26"/>
    </row>
    <row r="12" spans="2:5" ht="14.4">
      <c r="B12" s="26">
        <v>9</v>
      </c>
      <c r="C12" s="28" t="s">
        <v>894</v>
      </c>
      <c r="D12" s="26"/>
      <c r="E12" s="26"/>
    </row>
    <row r="13" spans="2:5" ht="14.4">
      <c r="B13" s="26">
        <v>10</v>
      </c>
      <c r="C13" s="28" t="s">
        <v>870</v>
      </c>
      <c r="D13" s="26"/>
      <c r="E13" s="26"/>
    </row>
    <row r="14" spans="2:5" ht="14.4">
      <c r="B14" s="26">
        <v>11</v>
      </c>
      <c r="C14" s="28" t="s">
        <v>895</v>
      </c>
      <c r="D14" s="26"/>
      <c r="E14" s="26"/>
    </row>
    <row r="15" spans="2:5" ht="14.4">
      <c r="B15" s="26">
        <v>12</v>
      </c>
      <c r="C15" s="28" t="s">
        <v>896</v>
      </c>
      <c r="D15" s="26"/>
      <c r="E15" s="26"/>
    </row>
    <row r="16" spans="2:5" ht="14.4">
      <c r="B16" s="26">
        <v>13</v>
      </c>
      <c r="C16" s="28" t="s">
        <v>897</v>
      </c>
      <c r="D16" s="26"/>
      <c r="E16" s="26"/>
    </row>
    <row r="17" spans="1:5" ht="14.4">
      <c r="B17" s="26">
        <v>14</v>
      </c>
      <c r="C17" s="28" t="s">
        <v>898</v>
      </c>
      <c r="D17" s="26"/>
      <c r="E17" s="26"/>
    </row>
    <row r="18" spans="1:5" ht="14.4">
      <c r="B18" s="26">
        <v>15</v>
      </c>
      <c r="C18" s="28" t="s">
        <v>899</v>
      </c>
      <c r="D18" s="26"/>
      <c r="E18" s="26"/>
    </row>
    <row r="20" spans="1:5">
      <c r="B20" s="25" t="s">
        <v>903</v>
      </c>
      <c r="D20" s="25" t="s">
        <v>904</v>
      </c>
    </row>
    <row r="22" spans="1:5">
      <c r="B22" s="25" t="s">
        <v>905</v>
      </c>
    </row>
    <row r="24" spans="1:5">
      <c r="A24" s="30"/>
      <c r="B24" s="25" t="s">
        <v>906</v>
      </c>
      <c r="D24" s="29"/>
    </row>
    <row r="25" spans="1:5">
      <c r="B25" s="25" t="s">
        <v>907</v>
      </c>
    </row>
    <row r="28" spans="1:5" ht="14.4">
      <c r="B28" s="30" t="s">
        <v>942</v>
      </c>
      <c r="D28" s="151" t="s">
        <v>941</v>
      </c>
    </row>
    <row r="29" spans="1:5">
      <c r="B29" s="30" t="s">
        <v>1413</v>
      </c>
      <c r="D29" t="s">
        <v>1410</v>
      </c>
    </row>
    <row r="30" spans="1:5">
      <c r="D30" s="25" t="s">
        <v>1410</v>
      </c>
    </row>
  </sheetData>
  <hyperlinks>
    <hyperlink ref="C4" location="'Table of Contents'!A1" display="'Table of Contents'!A1" xr:uid="{00000000-0004-0000-0000-000000000000}"/>
    <hyperlink ref="C5" location="'Monthly Prices'!A1" display="'Monthly Prices'!A1" xr:uid="{00000000-0004-0000-0000-000001000000}"/>
    <hyperlink ref="C6" location="'Base Sheet'!A1" display="'Base Sheet'!A1" xr:uid="{00000000-0004-0000-0000-000002000000}"/>
    <hyperlink ref="C7" location="'Offset Chart'!A1" display="'Offset Chart'!A1" xr:uid="{00000000-0004-0000-0000-000003000000}"/>
    <hyperlink ref="C8" location="'Scatter'!A1" display="'Scatter'!A1" xr:uid="{00000000-0004-0000-0000-000004000000}"/>
    <hyperlink ref="C9" location="'Distribution Chart'!A1" display="'Distribution Chart'!A1" xr:uid="{00000000-0004-0000-0000-000005000000}"/>
    <hyperlink ref="C10" location="'Distribution Chart 1'!A1" display="'Distribution Chart 1'!A1" xr:uid="{00000000-0004-0000-0000-000006000000}"/>
    <hyperlink ref="C11" location="'12 Month Moving Volatility'!A1" display="'12 Month Moving Volatility'!A1" xr:uid="{00000000-0004-0000-0000-000007000000}"/>
    <hyperlink ref="C12" location="'Chart6'!A1" display="'Chart6'!A1" xr:uid="{00000000-0004-0000-0000-000008000000}"/>
    <hyperlink ref="C13" location="'Volatility'!A1" display="'Volatility'!A1" xr:uid="{00000000-0004-0000-0000-000009000000}"/>
    <hyperlink ref="C14" location="'Distributions'!A1" display="'Distributions'!A1" xr:uid="{00000000-0004-0000-0000-00000A000000}"/>
    <hyperlink ref="C15" location="'regression'!A1" display="'regression'!A1" xr:uid="{00000000-0004-0000-0000-00000B000000}"/>
    <hyperlink ref="C16" location="'Offset'!A1" display="'Offset'!A1" xr:uid="{00000000-0004-0000-0000-00000C000000}"/>
    <hyperlink ref="C17" location="'Misc'!A1" display="'Misc'!A1" xr:uid="{00000000-0004-0000-0000-00000D000000}"/>
    <hyperlink ref="C18" location="'Chart with NA Method'!A1" display="'Chart with NA Method'!A1" xr:uid="{00000000-0004-0000-0000-00000E000000}"/>
    <hyperlink ref="D28" r:id="rId1" xr:uid="{3C1E655C-3ACE-4D0F-9110-C1C0678BA28F}"/>
  </hyperlinks>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D1:N33"/>
  <sheetViews>
    <sheetView showGridLines="0" zoomScaleNormal="100" workbookViewId="0">
      <selection activeCell="M25" sqref="M25"/>
    </sheetView>
  </sheetViews>
  <sheetFormatPr defaultRowHeight="12.3"/>
  <cols>
    <col min="4" max="4" width="11.1640625" customWidth="1"/>
    <col min="5" max="5" width="9.5546875" customWidth="1"/>
    <col min="12" max="12" width="1.38671875" customWidth="1"/>
  </cols>
  <sheetData>
    <row r="1" spans="13:14">
      <c r="M1" s="7" t="s">
        <v>1263</v>
      </c>
    </row>
    <row r="2" spans="13:14">
      <c r="M2" s="7" t="s">
        <v>1264</v>
      </c>
    </row>
    <row r="4" spans="13:14">
      <c r="M4" s="7" t="s">
        <v>1265</v>
      </c>
    </row>
    <row r="6" spans="13:14">
      <c r="M6" s="7" t="s">
        <v>918</v>
      </c>
    </row>
    <row r="9" spans="13:14">
      <c r="N9" s="7" t="s">
        <v>1266</v>
      </c>
    </row>
    <row r="11" spans="13:14">
      <c r="N11" s="7" t="s">
        <v>1267</v>
      </c>
    </row>
    <row r="27" spans="4:11">
      <c r="G27" s="7"/>
    </row>
    <row r="28" spans="4:11">
      <c r="G28" s="7"/>
    </row>
    <row r="29" spans="4:11">
      <c r="D29" s="7"/>
    </row>
    <row r="30" spans="4:11">
      <c r="D30" s="7"/>
      <c r="E30" s="17"/>
      <c r="G30" s="7"/>
      <c r="I30" s="9"/>
    </row>
    <row r="31" spans="4:11">
      <c r="D31" s="7"/>
      <c r="E31" s="14"/>
      <c r="G31" s="7"/>
      <c r="K31" s="7"/>
    </row>
    <row r="32" spans="4:11">
      <c r="D32" s="7"/>
      <c r="E32" s="14"/>
      <c r="G32" s="7"/>
    </row>
    <row r="33" spans="4:5">
      <c r="D33" s="7"/>
      <c r="E33"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Drop Down 1">
              <controlPr defaultSize="0" autoLine="0" autoPict="0">
                <anchor moveWithCells="1">
                  <from>
                    <xdr:col>12</xdr:col>
                    <xdr:colOff>525780</xdr:colOff>
                    <xdr:row>3</xdr:row>
                    <xdr:rowOff>7620</xdr:rowOff>
                  </from>
                  <to>
                    <xdr:col>14</xdr:col>
                    <xdr:colOff>312420</xdr:colOff>
                    <xdr:row>4</xdr:row>
                    <xdr:rowOff>0</xdr:rowOff>
                  </to>
                </anchor>
              </controlPr>
            </control>
          </mc:Choice>
        </mc:AlternateContent>
        <mc:AlternateContent xmlns:mc="http://schemas.openxmlformats.org/markup-compatibility/2006">
          <mc:Choice Requires="x14">
            <control shapeId="89090" r:id="rId4" name="Drop Down 2">
              <controlPr defaultSize="0" autoLine="0" autoPict="0">
                <anchor moveWithCells="1">
                  <from>
                    <xdr:col>14</xdr:col>
                    <xdr:colOff>11430</xdr:colOff>
                    <xdr:row>0</xdr:row>
                    <xdr:rowOff>0</xdr:rowOff>
                  </from>
                  <to>
                    <xdr:col>16</xdr:col>
                    <xdr:colOff>182880</xdr:colOff>
                    <xdr:row>1</xdr:row>
                    <xdr:rowOff>11430</xdr:rowOff>
                  </to>
                </anchor>
              </controlPr>
            </control>
          </mc:Choice>
        </mc:AlternateContent>
        <mc:AlternateContent xmlns:mc="http://schemas.openxmlformats.org/markup-compatibility/2006">
          <mc:Choice Requires="x14">
            <control shapeId="89091" r:id="rId5" name="Drop Down 3">
              <controlPr defaultSize="0" autoLine="0" autoPict="0">
                <anchor moveWithCells="1">
                  <from>
                    <xdr:col>14</xdr:col>
                    <xdr:colOff>0</xdr:colOff>
                    <xdr:row>1</xdr:row>
                    <xdr:rowOff>30480</xdr:rowOff>
                  </from>
                  <to>
                    <xdr:col>16</xdr:col>
                    <xdr:colOff>190500</xdr:colOff>
                    <xdr:row>2</xdr:row>
                    <xdr:rowOff>45720</xdr:rowOff>
                  </to>
                </anchor>
              </controlPr>
            </control>
          </mc:Choice>
        </mc:AlternateContent>
        <mc:AlternateContent xmlns:mc="http://schemas.openxmlformats.org/markup-compatibility/2006">
          <mc:Choice Requires="x14">
            <control shapeId="89092" r:id="rId6" name="Spinner 4">
              <controlPr defaultSize="0" autoPict="0">
                <anchor moveWithCells="1" sizeWithCells="1">
                  <from>
                    <xdr:col>12</xdr:col>
                    <xdr:colOff>579120</xdr:colOff>
                    <xdr:row>1</xdr:row>
                    <xdr:rowOff>30480</xdr:rowOff>
                  </from>
                  <to>
                    <xdr:col>13</xdr:col>
                    <xdr:colOff>514350</xdr:colOff>
                    <xdr:row>2</xdr:row>
                    <xdr:rowOff>26670</xdr:rowOff>
                  </to>
                </anchor>
              </controlPr>
            </control>
          </mc:Choice>
        </mc:AlternateContent>
        <mc:AlternateContent xmlns:mc="http://schemas.openxmlformats.org/markup-compatibility/2006">
          <mc:Choice Requires="x14">
            <control shapeId="89093" r:id="rId7" name="Drop Down 5">
              <controlPr defaultSize="0" autoLine="0" autoPict="0">
                <anchor moveWithCells="1">
                  <from>
                    <xdr:col>12</xdr:col>
                    <xdr:colOff>506730</xdr:colOff>
                    <xdr:row>4</xdr:row>
                    <xdr:rowOff>140970</xdr:rowOff>
                  </from>
                  <to>
                    <xdr:col>14</xdr:col>
                    <xdr:colOff>293370</xdr:colOff>
                    <xdr:row>5</xdr:row>
                    <xdr:rowOff>133350</xdr:rowOff>
                  </to>
                </anchor>
              </controlPr>
            </control>
          </mc:Choice>
        </mc:AlternateContent>
        <mc:AlternateContent xmlns:mc="http://schemas.openxmlformats.org/markup-compatibility/2006">
          <mc:Choice Requires="x14">
            <control shapeId="89094" r:id="rId8" name="Spinner 6">
              <controlPr defaultSize="0" autoPict="0">
                <anchor moveWithCells="1" sizeWithCells="1">
                  <from>
                    <xdr:col>12</xdr:col>
                    <xdr:colOff>38100</xdr:colOff>
                    <xdr:row>8</xdr:row>
                    <xdr:rowOff>7620</xdr:rowOff>
                  </from>
                  <to>
                    <xdr:col>12</xdr:col>
                    <xdr:colOff>590550</xdr:colOff>
                    <xdr:row>9</xdr:row>
                    <xdr:rowOff>0</xdr:rowOff>
                  </to>
                </anchor>
              </controlPr>
            </control>
          </mc:Choice>
        </mc:AlternateContent>
        <mc:AlternateContent xmlns:mc="http://schemas.openxmlformats.org/markup-compatibility/2006">
          <mc:Choice Requires="x14">
            <control shapeId="89095" r:id="rId9" name="Spinner 7">
              <controlPr defaultSize="0" autoPict="0">
                <anchor moveWithCells="1" sizeWithCells="1">
                  <from>
                    <xdr:col>12</xdr:col>
                    <xdr:colOff>49530</xdr:colOff>
                    <xdr:row>10</xdr:row>
                    <xdr:rowOff>0</xdr:rowOff>
                  </from>
                  <to>
                    <xdr:col>12</xdr:col>
                    <xdr:colOff>601980</xdr:colOff>
                    <xdr:row>10</xdr:row>
                    <xdr:rowOff>152400</xdr:rowOff>
                  </to>
                </anchor>
              </controlPr>
            </control>
          </mc:Choice>
        </mc:AlternateContent>
        <mc:AlternateContent xmlns:mc="http://schemas.openxmlformats.org/markup-compatibility/2006">
          <mc:Choice Requires="x14">
            <control shapeId="89096" r:id="rId10" name="Button 8">
              <controlPr defaultSize="0" print="0" autoFill="0" autoPict="0" macro="[0]!same_scale">
                <anchor moveWithCells="1" sizeWithCells="1">
                  <from>
                    <xdr:col>11</xdr:col>
                    <xdr:colOff>68580</xdr:colOff>
                    <xdr:row>12</xdr:row>
                    <xdr:rowOff>140970</xdr:rowOff>
                  </from>
                  <to>
                    <xdr:col>13</xdr:col>
                    <xdr:colOff>304800</xdr:colOff>
                    <xdr:row>15</xdr:row>
                    <xdr:rowOff>7620</xdr:rowOff>
                  </to>
                </anchor>
              </controlPr>
            </control>
          </mc:Choice>
        </mc:AlternateContent>
        <mc:AlternateContent xmlns:mc="http://schemas.openxmlformats.org/markup-compatibility/2006">
          <mc:Choice Requires="x14">
            <control shapeId="89097" r:id="rId11" name="Button 9">
              <controlPr defaultSize="0" print="0" autoFill="0" autoPict="0" macro="[0]!Different_Scales">
                <anchor moveWithCells="1" sizeWithCells="1">
                  <from>
                    <xdr:col>11</xdr:col>
                    <xdr:colOff>76200</xdr:colOff>
                    <xdr:row>16</xdr:row>
                    <xdr:rowOff>125730</xdr:rowOff>
                  </from>
                  <to>
                    <xdr:col>13</xdr:col>
                    <xdr:colOff>400050</xdr:colOff>
                    <xdr:row>19</xdr:row>
                    <xdr:rowOff>7620</xdr:rowOff>
                  </to>
                </anchor>
              </controlPr>
            </control>
          </mc:Choice>
        </mc:AlternateContent>
        <mc:AlternateContent xmlns:mc="http://schemas.openxmlformats.org/markup-compatibility/2006">
          <mc:Choice Requires="x14">
            <control shapeId="89098" r:id="rId12" name="Check Box 10">
              <controlPr defaultSize="0" autoFill="0" autoLine="0" autoPict="0">
                <anchor moveWithCells="1">
                  <from>
                    <xdr:col>12</xdr:col>
                    <xdr:colOff>114300</xdr:colOff>
                    <xdr:row>20</xdr:row>
                    <xdr:rowOff>125730</xdr:rowOff>
                  </from>
                  <to>
                    <xdr:col>13</xdr:col>
                    <xdr:colOff>259080</xdr:colOff>
                    <xdr:row>22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98CB0-D91A-4BE3-A386-A837059E953A}">
  <sheetPr codeName="Sheet17"/>
  <dimension ref="C3:AQ815"/>
  <sheetViews>
    <sheetView showGridLines="0" workbookViewId="0">
      <pane xSplit="4" ySplit="6" topLeftCell="E7" activePane="bottomRight" state="frozen"/>
      <selection pane="topRight" activeCell="E1" sqref="E1"/>
      <selection pane="bottomLeft" activeCell="A7" sqref="A7"/>
      <selection pane="bottomRight" activeCell="A16" sqref="A16"/>
    </sheetView>
  </sheetViews>
  <sheetFormatPr defaultColWidth="8.71875" defaultRowHeight="12.9"/>
  <cols>
    <col min="1" max="2" width="1.1640625" style="152" customWidth="1"/>
    <col min="3" max="21" width="8.71875" style="152"/>
    <col min="22" max="22" width="10.88671875" style="152" customWidth="1"/>
    <col min="23" max="23" width="11.5546875" style="152" customWidth="1"/>
    <col min="24" max="16384" width="8.71875" style="152"/>
  </cols>
  <sheetData>
    <row r="3" spans="3:43">
      <c r="G3" s="152" t="s">
        <v>835</v>
      </c>
      <c r="T3" s="152" t="s">
        <v>836</v>
      </c>
    </row>
    <row r="4" spans="3:43">
      <c r="C4" s="152" t="s">
        <v>833</v>
      </c>
      <c r="G4" s="152">
        <v>30</v>
      </c>
      <c r="I4" s="152" t="str">
        <f>INDEX('Monthly Prices'!B5:CB5,$G$4)&amp;" "&amp;INDEX('Monthly Prices'!B6:CE6,G4)</f>
        <v>Maize ($/mt)</v>
      </c>
      <c r="K4" s="152" t="s">
        <v>917</v>
      </c>
      <c r="M4" s="152">
        <v>491</v>
      </c>
      <c r="N4" s="153">
        <f>INDEX($D$20:$D$766,M4)</f>
        <v>36831</v>
      </c>
      <c r="U4" s="152" t="str">
        <f>INDEX('Monthly Prices'!$B$5:$CB$5,G4)</f>
        <v>Maize</v>
      </c>
      <c r="V4" s="152" t="str">
        <f>INDEX('Monthly Prices'!$B$5:$CB$5,G5)</f>
        <v>Barley</v>
      </c>
    </row>
    <row r="5" spans="3:43">
      <c r="C5" s="152" t="s">
        <v>834</v>
      </c>
      <c r="G5" s="152">
        <v>29</v>
      </c>
      <c r="I5" s="152" t="str">
        <f>INDEX('Monthly Prices'!B5:CB5,$G$5)&amp;" "&amp;INDEX('Monthly Prices'!B6:CE6,G5)</f>
        <v>Barley ($/mt)</v>
      </c>
      <c r="K5" s="152" t="s">
        <v>918</v>
      </c>
      <c r="M5" s="152">
        <v>571</v>
      </c>
      <c r="N5" s="153">
        <f>INDEX($D$20:$D$1000,M5)</f>
        <v>39264</v>
      </c>
      <c r="U5" s="152" t="s">
        <v>788</v>
      </c>
      <c r="V5" s="152" t="s">
        <v>789</v>
      </c>
    </row>
    <row r="6" spans="3:43">
      <c r="T6" s="152" t="s">
        <v>830</v>
      </c>
      <c r="U6" s="152">
        <f>M4</f>
        <v>491</v>
      </c>
      <c r="V6" s="152">
        <f>U6</f>
        <v>491</v>
      </c>
    </row>
    <row r="7" spans="3:43">
      <c r="T7" s="152" t="s">
        <v>831</v>
      </c>
      <c r="U7" s="152">
        <f>G4</f>
        <v>30</v>
      </c>
      <c r="V7" s="152">
        <f>G5</f>
        <v>29</v>
      </c>
    </row>
    <row r="8" spans="3:43">
      <c r="C8" s="152" t="s">
        <v>790</v>
      </c>
      <c r="E8" s="154">
        <f ca="1">CORREL(First,Second)</f>
        <v>0.87746571705401122</v>
      </c>
      <c r="T8" s="152" t="s">
        <v>832</v>
      </c>
      <c r="U8" s="152">
        <f>M5-M4+1</f>
        <v>81</v>
      </c>
      <c r="V8" s="152">
        <f>U8</f>
        <v>81</v>
      </c>
    </row>
    <row r="9" spans="3:43">
      <c r="T9" s="152" t="s">
        <v>785</v>
      </c>
      <c r="U9" s="152">
        <v>1</v>
      </c>
      <c r="V9" s="152">
        <v>1</v>
      </c>
    </row>
    <row r="10" spans="3:43">
      <c r="C10" s="152" t="s">
        <v>838</v>
      </c>
      <c r="E10" s="152">
        <f>COUNTIF(H20:H664,TRUE)</f>
        <v>81</v>
      </c>
    </row>
    <row r="12" spans="3:43">
      <c r="C12" s="152" t="s">
        <v>946</v>
      </c>
      <c r="E12" s="152">
        <f>MATCH(N5,D20:D815,0)</f>
        <v>571</v>
      </c>
      <c r="K12" s="153" t="e">
        <f>INDEX(B$3:B$16,K13)</f>
        <v>#N/A</v>
      </c>
      <c r="N12" s="153" t="e">
        <f>INDEX(B$3:B$16,N13)</f>
        <v>#N/A</v>
      </c>
      <c r="T12" s="152" t="s">
        <v>869</v>
      </c>
    </row>
    <row r="13" spans="3:43">
      <c r="C13" s="152" t="str">
        <f>"Last Value of "&amp;J18</f>
        <v>Last Value of Maize</v>
      </c>
      <c r="E13" s="155">
        <f ca="1">INDEX(K20:K815,E12)</f>
        <v>208.18577630916059</v>
      </c>
      <c r="K13" s="152" t="e">
        <f>MATCH(TRUE,J$3:J$16,0)</f>
        <v>#N/A</v>
      </c>
      <c r="N13" s="152" t="e">
        <f>MATCH(TRUE,M$3:M$16)</f>
        <v>#N/A</v>
      </c>
    </row>
    <row r="14" spans="3:43">
      <c r="C14" s="152" t="str">
        <f>"Last Value of "&amp;M18</f>
        <v>Last Value of Barley</v>
      </c>
      <c r="E14" s="152">
        <f ca="1">INDEX(N20:N815,E12-1)</f>
        <v>261.91224260480311</v>
      </c>
      <c r="J14" s="153"/>
      <c r="T14" s="152" t="str">
        <f>I4</f>
        <v>Maize ($/mt)</v>
      </c>
      <c r="V14" s="152" t="s">
        <v>870</v>
      </c>
      <c r="W14" s="154">
        <f ca="1">V17</f>
        <v>0.18665556955233414</v>
      </c>
      <c r="X14" s="154"/>
      <c r="Y14" s="154"/>
      <c r="Z14" s="156" t="str">
        <f>CHAR(13)</f>
        <v>_x000D_</v>
      </c>
      <c r="AA14" s="156"/>
      <c r="AB14" s="156"/>
      <c r="AC14" s="156"/>
      <c r="AD14" s="152" t="str">
        <f>I5</f>
        <v>Barley ($/mt)</v>
      </c>
      <c r="AF14" s="154" t="s">
        <v>870</v>
      </c>
      <c r="AG14" s="154">
        <f ca="1">W17</f>
        <v>0.17841621885659784</v>
      </c>
      <c r="AH14" s="156" t="s">
        <v>880</v>
      </c>
      <c r="AI14" s="152" t="s">
        <v>790</v>
      </c>
      <c r="AK14" s="154">
        <f ca="1">E8</f>
        <v>0.87746571705401122</v>
      </c>
      <c r="AL14" s="152" t="str">
        <f>CHAR(13)</f>
        <v>_x000D_</v>
      </c>
      <c r="AM14" s="152" t="str">
        <f>C13</f>
        <v>Last Value of Maize</v>
      </c>
      <c r="AO14" s="155">
        <f ca="1">E13</f>
        <v>208.18577630916059</v>
      </c>
      <c r="AP14" s="152" t="str">
        <f>C14</f>
        <v>Last Value of Barley</v>
      </c>
      <c r="AQ14" s="155">
        <f ca="1">E14</f>
        <v>261.91224260480311</v>
      </c>
    </row>
    <row r="16" spans="3:43">
      <c r="X16" s="166" t="s">
        <v>1440</v>
      </c>
      <c r="AB16" s="153">
        <f>MAX(AB20:AB815)</f>
        <v>45170</v>
      </c>
      <c r="AC16" s="155">
        <f>MATCH(AB16,AB20:AB815,0)</f>
        <v>765</v>
      </c>
    </row>
    <row r="17" spans="3:42">
      <c r="C17" s="152" t="s">
        <v>1431</v>
      </c>
      <c r="E17" s="152" t="b">
        <v>1</v>
      </c>
      <c r="V17" s="154">
        <f ca="1">_xlfn.STDEV.S(V21:V815)*(12^0.5)</f>
        <v>0.18665556955233414</v>
      </c>
      <c r="W17" s="154">
        <f ca="1">_xlfn.STDEV.S(W21:W815)*(12^0.5)</f>
        <v>0.17841621885659784</v>
      </c>
      <c r="X17" s="154"/>
      <c r="Y17" s="154"/>
      <c r="AB17" s="152" t="s">
        <v>1561</v>
      </c>
      <c r="AC17" s="155" cm="1">
        <f t="array" aca="1" ref="AC17" ca="1">INDEX(Z20:Z815,AC16)</f>
        <v>6.828793123509989</v>
      </c>
    </row>
    <row r="18" spans="3:42" ht="77.400000000000006">
      <c r="C18" s="157" t="s">
        <v>787</v>
      </c>
      <c r="D18" s="157" t="s">
        <v>787</v>
      </c>
      <c r="E18" s="157" t="s">
        <v>837</v>
      </c>
      <c r="F18" s="157" t="s">
        <v>1223</v>
      </c>
      <c r="G18" s="157" t="s">
        <v>1224</v>
      </c>
      <c r="H18" s="157" t="s">
        <v>1222</v>
      </c>
      <c r="I18" s="157" t="s">
        <v>839</v>
      </c>
      <c r="J18" s="157" t="str">
        <f>U4</f>
        <v>Maize</v>
      </c>
      <c r="K18" s="157" t="str">
        <f>I4&amp; " N/A"</f>
        <v>Maize ($/mt) N/A</v>
      </c>
      <c r="L18" s="157" t="s">
        <v>860</v>
      </c>
      <c r="M18" s="156" t="str">
        <f>V4</f>
        <v>Barley</v>
      </c>
      <c r="N18" s="157" t="str">
        <f>I5</f>
        <v>Barley ($/mt)</v>
      </c>
      <c r="O18" s="157" t="s">
        <v>860</v>
      </c>
      <c r="P18" s="157" t="s">
        <v>856</v>
      </c>
      <c r="Q18" s="157" t="s">
        <v>1427</v>
      </c>
      <c r="R18" s="157" t="s">
        <v>1429</v>
      </c>
      <c r="S18" s="157" t="s">
        <v>1428</v>
      </c>
      <c r="T18" s="157" t="s">
        <v>1430</v>
      </c>
      <c r="U18" s="157" t="s">
        <v>1432</v>
      </c>
      <c r="V18" s="156" t="str">
        <f>K18&amp; " Pct Change"</f>
        <v>Maize ($/mt) N/A Pct Change</v>
      </c>
      <c r="W18" s="156" t="str">
        <f>N18&amp;" Pct Change"</f>
        <v>Barley ($/mt) Pct Change</v>
      </c>
      <c r="X18" s="156" t="s">
        <v>1557</v>
      </c>
      <c r="Y18" s="156" t="s">
        <v>1565</v>
      </c>
      <c r="Z18" s="156" t="s">
        <v>1558</v>
      </c>
      <c r="AA18" s="156" t="s">
        <v>1559</v>
      </c>
      <c r="AB18" s="156" t="s">
        <v>1560</v>
      </c>
      <c r="AC18" s="156" t="s">
        <v>1562</v>
      </c>
    </row>
    <row r="19" spans="3:42">
      <c r="U19" s="152" t="b">
        <f>E17</f>
        <v>1</v>
      </c>
      <c r="Z19" s="152">
        <v>1</v>
      </c>
    </row>
    <row r="20" spans="3:42">
      <c r="C20" s="152" t="str">
        <f>'Monthly Prices'!A8</f>
        <v>1960M01</v>
      </c>
      <c r="D20" s="153">
        <v>21916</v>
      </c>
      <c r="E20" s="152">
        <v>1</v>
      </c>
      <c r="F20" s="152" t="b">
        <f t="shared" ref="F20:F83" si="0">AND(E20&gt;=$M$4,L20)</f>
        <v>0</v>
      </c>
      <c r="G20" s="152" t="b">
        <f t="shared" ref="G20:G83" si="1">AND(E20&lt;=$M$5,O20)</f>
        <v>1</v>
      </c>
      <c r="H20" s="152" t="b">
        <f t="shared" ref="H20:H83" si="2">AND(F20:G20)</f>
        <v>0</v>
      </c>
      <c r="I20" s="153" t="e">
        <f t="shared" ref="I20:I83" si="3">IF(H20,D20,NA)</f>
        <v>#N/A</v>
      </c>
      <c r="J20" s="158">
        <f>INDEX('Monthly Prices'!B8:CB8,$G$4)</f>
        <v>45</v>
      </c>
      <c r="K20" s="158" t="b">
        <f>IF(H20,INDEX('Monthly Prices'!B8:CB8,$G$4)*U20,FALSE)</f>
        <v>0</v>
      </c>
      <c r="L20" s="152" t="b">
        <f>AND(ISNUMBER(J20),J20&gt;0)</f>
        <v>1</v>
      </c>
      <c r="M20" s="158">
        <f>INDEX('Monthly Prices'!B8:CB8,$G$5)</f>
        <v>20.364800394620001</v>
      </c>
      <c r="N20" s="158" t="b">
        <f>IF(H20,INDEX('Monthly Prices'!B8:CB8,$G$5)*U20,FALSE)</f>
        <v>0</v>
      </c>
      <c r="O20" s="152" t="b">
        <f t="shared" ref="O20:O83" si="4">AND(ISNUMBER(M20),M20&gt;0)</f>
        <v>1</v>
      </c>
      <c r="P20" s="152">
        <f>YEAR(D20)</f>
        <v>1960</v>
      </c>
      <c r="Q20" s="159">
        <f>'Monthly Prices'!B8</f>
        <v>1.63000011444</v>
      </c>
      <c r="R20" s="159">
        <f>AVERAGEIF(P:P,P20,Q:Q)</f>
        <v>1.6300001144400003</v>
      </c>
      <c r="S20" s="155">
        <f>_xlfn.XLOOKUP(P20,'Annual Real'!A:A,'Annual Real'!B:B,0,0)</f>
        <v>8.51497812263902</v>
      </c>
      <c r="T20" s="155">
        <f ca="1">AC20</f>
        <v>6.8220083510371374</v>
      </c>
      <c r="U20" s="152">
        <f ca="1">IF($U$19,T20,1)</f>
        <v>6.8220083510371374</v>
      </c>
      <c r="X20" s="154" cm="1">
        <f t="array" aca="1" ref="X20" ca="1">LOOKUP(D20,INDIRECT("'"&amp;$X$16&amp;"'!A:A"),INDIRECT("'"&amp;$X$16&amp;"'!B:B")/100)</f>
        <v>1.2E-2</v>
      </c>
      <c r="Y20" s="154">
        <f ca="1">(1+X20)^(1/12)-1</f>
        <v>9.9454180114277868E-4</v>
      </c>
      <c r="Z20" s="165">
        <f ca="1">Z19*(1+Y20)</f>
        <v>1.0009945418011428</v>
      </c>
      <c r="AA20" s="152">
        <f>LEN(C20)</f>
        <v>7</v>
      </c>
      <c r="AB20" s="153">
        <f>IF(AA20&gt;2,D20,0)</f>
        <v>21916</v>
      </c>
      <c r="AC20" s="155">
        <f ca="1">$AC$17/Z20</f>
        <v>6.8220083510371374</v>
      </c>
      <c r="AE20" s="152" t="s">
        <v>873</v>
      </c>
      <c r="AH20" s="152" t="str">
        <f>T14</f>
        <v>Maize ($/mt)</v>
      </c>
      <c r="AJ20" s="156" t="s">
        <v>880</v>
      </c>
      <c r="AK20" s="152" t="s">
        <v>874</v>
      </c>
      <c r="AM20" s="154">
        <f ca="1">'Monthly Historic Data'!F7</f>
        <v>0.18426782743964037</v>
      </c>
      <c r="AN20" s="152" t="s">
        <v>879</v>
      </c>
      <c r="AP20" s="160">
        <f ca="1">'Monthly Historic Data'!H7</f>
        <v>0.14044228011621387</v>
      </c>
    </row>
    <row r="21" spans="3:42">
      <c r="C21" s="152" t="str">
        <f>'Monthly Prices'!A9</f>
        <v>1960M02</v>
      </c>
      <c r="D21" s="153">
        <f t="shared" ref="D21:D84" si="5">EDATE(D20,1)</f>
        <v>21947</v>
      </c>
      <c r="E21" s="152">
        <f t="shared" ref="E21:E84" si="6">E20+1</f>
        <v>2</v>
      </c>
      <c r="F21" s="152" t="b">
        <f t="shared" si="0"/>
        <v>0</v>
      </c>
      <c r="G21" s="152" t="b">
        <f t="shared" si="1"/>
        <v>1</v>
      </c>
      <c r="H21" s="152" t="b">
        <f t="shared" si="2"/>
        <v>0</v>
      </c>
      <c r="I21" s="153" t="e">
        <f t="shared" si="3"/>
        <v>#N/A</v>
      </c>
      <c r="J21" s="158">
        <f>INDEX('Monthly Prices'!B9:CB9,$G$4)</f>
        <v>44</v>
      </c>
      <c r="K21" s="158" t="b">
        <f>IF(H21,INDEX('Monthly Prices'!B9:CB9,$G$4)*U21,FALSE)</f>
        <v>0</v>
      </c>
      <c r="L21" s="152" t="b">
        <f t="shared" ref="L21:L84" si="7">ISNUMBER(J21)</f>
        <v>1</v>
      </c>
      <c r="M21" s="158">
        <f>INDEX('Monthly Prices'!B9:CB9,$G$5)</f>
        <v>20.41046354993</v>
      </c>
      <c r="N21" s="158" t="b">
        <f>IF(H21,INDEX('Monthly Prices'!B9:CB9,$G$5)*U21,FALSE)</f>
        <v>0</v>
      </c>
      <c r="O21" s="152" t="b">
        <f t="shared" si="4"/>
        <v>1</v>
      </c>
      <c r="P21" s="152">
        <f t="shared" ref="P21:P84" si="8">YEAR(D21)</f>
        <v>1960</v>
      </c>
      <c r="Q21" s="159">
        <f>'Monthly Prices'!B9</f>
        <v>1.63000011444</v>
      </c>
      <c r="R21" s="159">
        <f t="shared" ref="R21:R84" si="9">AVERAGEIF(P:P,P21,Q:Q)</f>
        <v>1.6300001144400003</v>
      </c>
      <c r="S21" s="155">
        <f>_xlfn.XLOOKUP(P21,'Annual Real'!A:A,'Annual Real'!B:B,0,0)</f>
        <v>8.51497812263902</v>
      </c>
      <c r="T21" s="155">
        <f t="shared" ref="T21:T84" ca="1" si="10">AC21</f>
        <v>6.8152303195998796</v>
      </c>
      <c r="U21" s="152">
        <f t="shared" ref="U21:U84" ca="1" si="11">IF($U$19,T21,1)</f>
        <v>6.8152303195998796</v>
      </c>
      <c r="V21" s="152" t="b">
        <f>IF(AND($H20,$H21),LN(K21/K20))</f>
        <v>0</v>
      </c>
      <c r="W21" s="152" t="b">
        <f>IF(AND($H20,$H21),LN(N21/N20))</f>
        <v>0</v>
      </c>
      <c r="X21" s="154">
        <f>LOOKUP(D21,'US Implicit Deflator'!A:A,'US Implicit Deflator'!B:B)/100</f>
        <v>1.2E-2</v>
      </c>
      <c r="Y21" s="154">
        <f t="shared" ref="Y21:Y84" si="12">(1+X21)^(1/12)-1</f>
        <v>9.9454180114277868E-4</v>
      </c>
      <c r="Z21" s="165">
        <f t="shared" ref="Z21:Z84" ca="1" si="13">Z20*(1+Y21)</f>
        <v>1.0019900727156799</v>
      </c>
      <c r="AA21" s="152">
        <f t="shared" ref="AA21:AA84" si="14">LEN(C21)</f>
        <v>7</v>
      </c>
      <c r="AB21" s="153">
        <f t="shared" ref="AB21:AB84" si="15">IF(AA21&gt;2,D21,0)</f>
        <v>21947</v>
      </c>
      <c r="AC21" s="155">
        <f t="shared" ref="AC21:AC84" ca="1" si="16">$AC$17/Z21</f>
        <v>6.8152303195998796</v>
      </c>
      <c r="AE21" s="152" t="s">
        <v>873</v>
      </c>
      <c r="AH21" s="152" t="str">
        <f>I5</f>
        <v>Barley ($/mt)</v>
      </c>
      <c r="AJ21" s="156" t="s">
        <v>880</v>
      </c>
      <c r="AK21" s="152" t="s">
        <v>874</v>
      </c>
      <c r="AM21" s="154">
        <f ca="1">'Monthly Historic Data'!T7</f>
        <v>0.17633959037293795</v>
      </c>
      <c r="AN21" s="152" t="s">
        <v>879</v>
      </c>
      <c r="AP21" s="160">
        <f ca="1">'Monthly Historic Data'!AF9</f>
        <v>0.14829216875500953</v>
      </c>
    </row>
    <row r="22" spans="3:42">
      <c r="C22" s="152" t="str">
        <f>'Monthly Prices'!A10</f>
        <v>1960M03</v>
      </c>
      <c r="D22" s="153">
        <f t="shared" si="5"/>
        <v>21976</v>
      </c>
      <c r="E22" s="152">
        <f t="shared" si="6"/>
        <v>3</v>
      </c>
      <c r="F22" s="152" t="b">
        <f t="shared" si="0"/>
        <v>0</v>
      </c>
      <c r="G22" s="152" t="b">
        <f t="shared" si="1"/>
        <v>1</v>
      </c>
      <c r="H22" s="152" t="b">
        <f t="shared" si="2"/>
        <v>0</v>
      </c>
      <c r="I22" s="153" t="e">
        <f t="shared" si="3"/>
        <v>#N/A</v>
      </c>
      <c r="J22" s="158">
        <f>INDEX('Monthly Prices'!B10:CB10,$G$4)</f>
        <v>45</v>
      </c>
      <c r="K22" s="158" t="b">
        <f>IF(H22,INDEX('Monthly Prices'!B10:CB10,$G$4)*U22,FALSE)</f>
        <v>0</v>
      </c>
      <c r="L22" s="152" t="b">
        <f t="shared" si="7"/>
        <v>1</v>
      </c>
      <c r="M22" s="158">
        <f>INDEX('Monthly Prices'!B10:CB10,$G$5)</f>
        <v>20.718174862910001</v>
      </c>
      <c r="N22" s="158" t="b">
        <f>IF(H22,INDEX('Monthly Prices'!B10:CB10,$G$5)*U22,FALSE)</f>
        <v>0</v>
      </c>
      <c r="O22" s="152" t="b">
        <f t="shared" si="4"/>
        <v>1</v>
      </c>
      <c r="P22" s="152">
        <f t="shared" si="8"/>
        <v>1960</v>
      </c>
      <c r="Q22" s="159">
        <f>'Monthly Prices'!B10</f>
        <v>1.63000011444</v>
      </c>
      <c r="R22" s="159">
        <f t="shared" si="9"/>
        <v>1.6300001144400003</v>
      </c>
      <c r="S22" s="155">
        <f>_xlfn.XLOOKUP(P22,'Annual Real'!A:A,'Annual Real'!B:B,0,0)</f>
        <v>8.51497812263902</v>
      </c>
      <c r="T22" s="155">
        <f t="shared" ca="1" si="10"/>
        <v>6.8084590225006343</v>
      </c>
      <c r="U22" s="152">
        <f t="shared" ca="1" si="11"/>
        <v>6.8084590225006343</v>
      </c>
      <c r="V22" s="152" t="b">
        <f t="shared" ref="V22:V85" si="17">IF(AND(H21,H22),LN(K22/K21))</f>
        <v>0</v>
      </c>
      <c r="W22" s="152" t="b">
        <f t="shared" ref="W22:W85" si="18">IF(AND($H21,$H22),LN(N22/N21))</f>
        <v>0</v>
      </c>
      <c r="X22" s="154">
        <f>LOOKUP(D22,'US Implicit Deflator'!A:A,'US Implicit Deflator'!B:B)/100</f>
        <v>1.2E-2</v>
      </c>
      <c r="Y22" s="154">
        <f t="shared" si="12"/>
        <v>9.9454180114277868E-4</v>
      </c>
      <c r="Z22" s="165">
        <f t="shared" ca="1" si="13"/>
        <v>1.0029865937273257</v>
      </c>
      <c r="AA22" s="152">
        <f t="shared" si="14"/>
        <v>7</v>
      </c>
      <c r="AB22" s="153">
        <f t="shared" si="15"/>
        <v>21976</v>
      </c>
      <c r="AC22" s="155">
        <f t="shared" ca="1" si="16"/>
        <v>6.8084590225006343</v>
      </c>
      <c r="AL22" s="154"/>
    </row>
    <row r="23" spans="3:42">
      <c r="C23" s="152" t="str">
        <f>'Monthly Prices'!A11</f>
        <v>1960M04</v>
      </c>
      <c r="D23" s="153">
        <f t="shared" si="5"/>
        <v>22007</v>
      </c>
      <c r="E23" s="152">
        <f t="shared" si="6"/>
        <v>4</v>
      </c>
      <c r="F23" s="152" t="b">
        <f t="shared" si="0"/>
        <v>0</v>
      </c>
      <c r="G23" s="152" t="b">
        <f t="shared" si="1"/>
        <v>1</v>
      </c>
      <c r="H23" s="152" t="b">
        <f t="shared" si="2"/>
        <v>0</v>
      </c>
      <c r="I23" s="153" t="e">
        <f t="shared" si="3"/>
        <v>#N/A</v>
      </c>
      <c r="J23" s="158">
        <f>INDEX('Monthly Prices'!B11:CB11,$G$4)</f>
        <v>45</v>
      </c>
      <c r="K23" s="158" t="b">
        <f>IF(H23,INDEX('Monthly Prices'!B11:CB11,$G$4)*U23,FALSE)</f>
        <v>0</v>
      </c>
      <c r="L23" s="152" t="b">
        <f t="shared" si="7"/>
        <v>1</v>
      </c>
      <c r="M23" s="158">
        <f>INDEX('Monthly Prices'!B11:CB11,$G$5)</f>
        <v>20.638036355250001</v>
      </c>
      <c r="N23" s="158" t="b">
        <f>IF(H23,INDEX('Monthly Prices'!B11:CB11,$G$5)*U23,FALSE)</f>
        <v>0</v>
      </c>
      <c r="O23" s="152" t="b">
        <f t="shared" si="4"/>
        <v>1</v>
      </c>
      <c r="P23" s="152">
        <f t="shared" si="8"/>
        <v>1960</v>
      </c>
      <c r="Q23" s="159">
        <f>'Monthly Prices'!B11</f>
        <v>1.63000011444</v>
      </c>
      <c r="R23" s="159">
        <f t="shared" si="9"/>
        <v>1.6300001144400003</v>
      </c>
      <c r="S23" s="155">
        <f>_xlfn.XLOOKUP(P23,'Annual Real'!A:A,'Annual Real'!B:B,0,0)</f>
        <v>8.51497812263902</v>
      </c>
      <c r="T23" s="155">
        <f t="shared" ca="1" si="10"/>
        <v>6.8016944530484773</v>
      </c>
      <c r="U23" s="152">
        <f t="shared" ca="1" si="11"/>
        <v>6.8016944530484773</v>
      </c>
      <c r="V23" s="152" t="b">
        <f t="shared" si="17"/>
        <v>0</v>
      </c>
      <c r="W23" s="152" t="b">
        <f t="shared" si="18"/>
        <v>0</v>
      </c>
      <c r="X23" s="154">
        <f>LOOKUP(D23,'US Implicit Deflator'!A:A,'US Implicit Deflator'!B:B)/100</f>
        <v>1.2E-2</v>
      </c>
      <c r="Y23" s="154">
        <f t="shared" si="12"/>
        <v>9.9454180114277868E-4</v>
      </c>
      <c r="Z23" s="165">
        <f t="shared" ca="1" si="13"/>
        <v>1.0039841058207732</v>
      </c>
      <c r="AA23" s="152">
        <f t="shared" si="14"/>
        <v>7</v>
      </c>
      <c r="AB23" s="153">
        <f t="shared" si="15"/>
        <v>22007</v>
      </c>
      <c r="AC23" s="155">
        <f t="shared" ca="1" si="16"/>
        <v>6.8016944530484773</v>
      </c>
      <c r="AE23" s="152" t="s">
        <v>881</v>
      </c>
      <c r="AH23" s="152" t="str">
        <f>AH20</f>
        <v>Maize ($/mt)</v>
      </c>
      <c r="AL23" s="154"/>
    </row>
    <row r="24" spans="3:42">
      <c r="C24" s="152" t="str">
        <f>'Monthly Prices'!A12</f>
        <v>1960M05</v>
      </c>
      <c r="D24" s="153">
        <f t="shared" si="5"/>
        <v>22037</v>
      </c>
      <c r="E24" s="152">
        <f t="shared" si="6"/>
        <v>5</v>
      </c>
      <c r="F24" s="152" t="b">
        <f t="shared" si="0"/>
        <v>0</v>
      </c>
      <c r="G24" s="152" t="b">
        <f t="shared" si="1"/>
        <v>1</v>
      </c>
      <c r="H24" s="152" t="b">
        <f t="shared" si="2"/>
        <v>0</v>
      </c>
      <c r="I24" s="153" t="e">
        <f t="shared" si="3"/>
        <v>#N/A</v>
      </c>
      <c r="J24" s="158">
        <f>INDEX('Monthly Prices'!B12:CB12,$G$4)</f>
        <v>48</v>
      </c>
      <c r="K24" s="158" t="b">
        <f>IF(H24,INDEX('Monthly Prices'!B12:CB12,$G$4)*U24,FALSE)</f>
        <v>0</v>
      </c>
      <c r="L24" s="152" t="b">
        <f t="shared" si="7"/>
        <v>1</v>
      </c>
      <c r="M24" s="158">
        <f>INDEX('Monthly Prices'!B12:CB12,$G$5)</f>
        <v>20.606055828519999</v>
      </c>
      <c r="N24" s="158" t="b">
        <f>IF(H24,INDEX('Monthly Prices'!B12:CB12,$G$5)*U24,FALSE)</f>
        <v>0</v>
      </c>
      <c r="O24" s="152" t="b">
        <f t="shared" si="4"/>
        <v>1</v>
      </c>
      <c r="P24" s="152">
        <f t="shared" si="8"/>
        <v>1960</v>
      </c>
      <c r="Q24" s="159">
        <f>'Monthly Prices'!B12</f>
        <v>1.63000011444</v>
      </c>
      <c r="R24" s="159">
        <f t="shared" si="9"/>
        <v>1.6300001144400003</v>
      </c>
      <c r="S24" s="155">
        <f>_xlfn.XLOOKUP(P24,'Annual Real'!A:A,'Annual Real'!B:B,0,0)</f>
        <v>8.51497812263902</v>
      </c>
      <c r="T24" s="155">
        <f t="shared" ca="1" si="10"/>
        <v>6.794936604559128</v>
      </c>
      <c r="U24" s="152">
        <f t="shared" ca="1" si="11"/>
        <v>6.794936604559128</v>
      </c>
      <c r="V24" s="152" t="b">
        <f t="shared" si="17"/>
        <v>0</v>
      </c>
      <c r="W24" s="152" t="b">
        <f t="shared" si="18"/>
        <v>0</v>
      </c>
      <c r="X24" s="154">
        <f>LOOKUP(D24,'US Implicit Deflator'!A:A,'US Implicit Deflator'!B:B)/100</f>
        <v>1.2E-2</v>
      </c>
      <c r="Y24" s="154">
        <f t="shared" si="12"/>
        <v>9.9454180114277868E-4</v>
      </c>
      <c r="Z24" s="165">
        <f t="shared" ca="1" si="13"/>
        <v>1.004982609981695</v>
      </c>
      <c r="AA24" s="152">
        <f t="shared" si="14"/>
        <v>7</v>
      </c>
      <c r="AB24" s="153">
        <f t="shared" si="15"/>
        <v>22037</v>
      </c>
      <c r="AC24" s="155">
        <f t="shared" ca="1" si="16"/>
        <v>6.794936604559128</v>
      </c>
      <c r="AL24" s="154"/>
    </row>
    <row r="25" spans="3:42">
      <c r="C25" s="152" t="str">
        <f>'Monthly Prices'!A13</f>
        <v>1960M06</v>
      </c>
      <c r="D25" s="153">
        <f t="shared" si="5"/>
        <v>22068</v>
      </c>
      <c r="E25" s="152">
        <f t="shared" si="6"/>
        <v>6</v>
      </c>
      <c r="F25" s="152" t="b">
        <f t="shared" si="0"/>
        <v>0</v>
      </c>
      <c r="G25" s="152" t="b">
        <f t="shared" si="1"/>
        <v>1</v>
      </c>
      <c r="H25" s="152" t="b">
        <f t="shared" si="2"/>
        <v>0</v>
      </c>
      <c r="I25" s="153" t="e">
        <f t="shared" si="3"/>
        <v>#N/A</v>
      </c>
      <c r="J25" s="158">
        <f>INDEX('Monthly Prices'!B13:CB13,$G$4)</f>
        <v>47</v>
      </c>
      <c r="K25" s="158" t="b">
        <f>IF(H25,INDEX('Monthly Prices'!B13:CB13,$G$4)*U25,FALSE)</f>
        <v>0</v>
      </c>
      <c r="L25" s="152" t="b">
        <f t="shared" si="7"/>
        <v>1</v>
      </c>
      <c r="M25" s="158">
        <f>INDEX('Monthly Prices'!B13:CB13,$G$5)</f>
        <v>20.126535821000001</v>
      </c>
      <c r="N25" s="158" t="b">
        <f>IF(H25,INDEX('Monthly Prices'!B13:CB13,$G$5)*U25,FALSE)</f>
        <v>0</v>
      </c>
      <c r="O25" s="152" t="b">
        <f t="shared" si="4"/>
        <v>1</v>
      </c>
      <c r="P25" s="152">
        <f t="shared" si="8"/>
        <v>1960</v>
      </c>
      <c r="Q25" s="159">
        <f>'Monthly Prices'!B13</f>
        <v>1.63000011444</v>
      </c>
      <c r="R25" s="159">
        <f t="shared" si="9"/>
        <v>1.6300001144400003</v>
      </c>
      <c r="S25" s="155">
        <f>_xlfn.XLOOKUP(P25,'Annual Real'!A:A,'Annual Real'!B:B,0,0)</f>
        <v>8.51497812263902</v>
      </c>
      <c r="T25" s="155">
        <f t="shared" ca="1" si="10"/>
        <v>6.78818547035495</v>
      </c>
      <c r="U25" s="152">
        <f t="shared" ca="1" si="11"/>
        <v>6.78818547035495</v>
      </c>
      <c r="V25" s="152" t="b">
        <f t="shared" si="17"/>
        <v>0</v>
      </c>
      <c r="W25" s="152" t="b">
        <f t="shared" si="18"/>
        <v>0</v>
      </c>
      <c r="X25" s="154">
        <f>LOOKUP(D25,'US Implicit Deflator'!A:A,'US Implicit Deflator'!B:B)/100</f>
        <v>1.2E-2</v>
      </c>
      <c r="Y25" s="154">
        <f t="shared" si="12"/>
        <v>9.9454180114277868E-4</v>
      </c>
      <c r="Z25" s="165">
        <f t="shared" ca="1" si="13"/>
        <v>1.0059821071967434</v>
      </c>
      <c r="AA25" s="152">
        <f t="shared" si="14"/>
        <v>7</v>
      </c>
      <c r="AB25" s="153">
        <f t="shared" si="15"/>
        <v>22068</v>
      </c>
      <c r="AC25" s="155">
        <f t="shared" ca="1" si="16"/>
        <v>6.78818547035495</v>
      </c>
      <c r="AL25" s="154"/>
    </row>
    <row r="26" spans="3:42">
      <c r="C26" s="152" t="str">
        <f>'Monthly Prices'!A14</f>
        <v>1960M07</v>
      </c>
      <c r="D26" s="153">
        <f t="shared" si="5"/>
        <v>22098</v>
      </c>
      <c r="E26" s="152">
        <f t="shared" si="6"/>
        <v>7</v>
      </c>
      <c r="F26" s="152" t="b">
        <f t="shared" si="0"/>
        <v>0</v>
      </c>
      <c r="G26" s="152" t="b">
        <f t="shared" si="1"/>
        <v>1</v>
      </c>
      <c r="H26" s="152" t="b">
        <f t="shared" si="2"/>
        <v>0</v>
      </c>
      <c r="I26" s="153" t="e">
        <f t="shared" si="3"/>
        <v>#N/A</v>
      </c>
      <c r="J26" s="158">
        <f>INDEX('Monthly Prices'!B14:CB14,$G$4)</f>
        <v>47</v>
      </c>
      <c r="K26" s="158" t="b">
        <f>IF(H26,INDEX('Monthly Prices'!B14:CB14,$G$4)*U26,FALSE)</f>
        <v>0</v>
      </c>
      <c r="L26" s="152" t="b">
        <f t="shared" si="7"/>
        <v>1</v>
      </c>
      <c r="M26" s="158">
        <f>INDEX('Monthly Prices'!B14:CB14,$G$5)</f>
        <v>20.037785748379999</v>
      </c>
      <c r="N26" s="158" t="b">
        <f>IF(H26,INDEX('Monthly Prices'!B14:CB14,$G$5)*U26,FALSE)</f>
        <v>0</v>
      </c>
      <c r="O26" s="152" t="b">
        <f t="shared" si="4"/>
        <v>1</v>
      </c>
      <c r="P26" s="152">
        <f t="shared" si="8"/>
        <v>1960</v>
      </c>
      <c r="Q26" s="159">
        <f>'Monthly Prices'!B14</f>
        <v>1.63000011444</v>
      </c>
      <c r="R26" s="159">
        <f t="shared" si="9"/>
        <v>1.6300001144400003</v>
      </c>
      <c r="S26" s="155">
        <f>_xlfn.XLOOKUP(P26,'Annual Real'!A:A,'Annual Real'!B:B,0,0)</f>
        <v>8.51497812263902</v>
      </c>
      <c r="T26" s="155">
        <f t="shared" ca="1" si="10"/>
        <v>6.7814410437649402</v>
      </c>
      <c r="U26" s="152">
        <f t="shared" ca="1" si="11"/>
        <v>6.7814410437649402</v>
      </c>
      <c r="V26" s="152" t="b">
        <f t="shared" si="17"/>
        <v>0</v>
      </c>
      <c r="W26" s="152" t="b">
        <f t="shared" si="18"/>
        <v>0</v>
      </c>
      <c r="X26" s="154">
        <f>LOOKUP(D26,'US Implicit Deflator'!A:A,'US Implicit Deflator'!B:B)/100</f>
        <v>1.2E-2</v>
      </c>
      <c r="Y26" s="154">
        <f t="shared" si="12"/>
        <v>9.9454180114277868E-4</v>
      </c>
      <c r="Z26" s="165">
        <f t="shared" ca="1" si="13"/>
        <v>1.0069825984535523</v>
      </c>
      <c r="AA26" s="152">
        <f t="shared" si="14"/>
        <v>7</v>
      </c>
      <c r="AB26" s="153">
        <f t="shared" si="15"/>
        <v>22098</v>
      </c>
      <c r="AC26" s="155">
        <f t="shared" ca="1" si="16"/>
        <v>6.7814410437649402</v>
      </c>
    </row>
    <row r="27" spans="3:42">
      <c r="C27" s="152" t="str">
        <f>'Monthly Prices'!A15</f>
        <v>1960M08</v>
      </c>
      <c r="D27" s="153">
        <f t="shared" si="5"/>
        <v>22129</v>
      </c>
      <c r="E27" s="152">
        <f t="shared" si="6"/>
        <v>8</v>
      </c>
      <c r="F27" s="152" t="b">
        <f t="shared" si="0"/>
        <v>0</v>
      </c>
      <c r="G27" s="152" t="b">
        <f t="shared" si="1"/>
        <v>1</v>
      </c>
      <c r="H27" s="152" t="b">
        <f t="shared" si="2"/>
        <v>0</v>
      </c>
      <c r="I27" s="153" t="e">
        <f t="shared" si="3"/>
        <v>#N/A</v>
      </c>
      <c r="J27" s="158">
        <f>INDEX('Monthly Prices'!B15:CB15,$G$4)</f>
        <v>47</v>
      </c>
      <c r="K27" s="158" t="b">
        <f>IF(H27,INDEX('Monthly Prices'!B15:CB15,$G$4)*U27,FALSE)</f>
        <v>0</v>
      </c>
      <c r="L27" s="152" t="b">
        <f t="shared" si="7"/>
        <v>1</v>
      </c>
      <c r="M27" s="158">
        <f>INDEX('Monthly Prices'!B15:CB15,$G$5)</f>
        <v>20.133178932290001</v>
      </c>
      <c r="N27" s="158" t="b">
        <f>IF(H27,INDEX('Monthly Prices'!B15:CB15,$G$5)*U27,FALSE)</f>
        <v>0</v>
      </c>
      <c r="O27" s="152" t="b">
        <f t="shared" si="4"/>
        <v>1</v>
      </c>
      <c r="P27" s="152">
        <f t="shared" si="8"/>
        <v>1960</v>
      </c>
      <c r="Q27" s="159">
        <f>'Monthly Prices'!B15</f>
        <v>1.63000011444</v>
      </c>
      <c r="R27" s="159">
        <f t="shared" si="9"/>
        <v>1.6300001144400003</v>
      </c>
      <c r="S27" s="155">
        <f>_xlfn.XLOOKUP(P27,'Annual Real'!A:A,'Annual Real'!B:B,0,0)</f>
        <v>8.51497812263902</v>
      </c>
      <c r="T27" s="155">
        <f t="shared" ca="1" si="10"/>
        <v>6.7747033181247236</v>
      </c>
      <c r="U27" s="152">
        <f t="shared" ca="1" si="11"/>
        <v>6.7747033181247236</v>
      </c>
      <c r="V27" s="152" t="b">
        <f t="shared" si="17"/>
        <v>0</v>
      </c>
      <c r="W27" s="152" t="b">
        <f t="shared" si="18"/>
        <v>0</v>
      </c>
      <c r="X27" s="154">
        <f>LOOKUP(D27,'US Implicit Deflator'!A:A,'US Implicit Deflator'!B:B)/100</f>
        <v>1.2E-2</v>
      </c>
      <c r="Y27" s="154">
        <f t="shared" si="12"/>
        <v>9.9454180114277868E-4</v>
      </c>
      <c r="Z27" s="165">
        <f t="shared" ca="1" si="13"/>
        <v>1.0079840847407378</v>
      </c>
      <c r="AA27" s="152">
        <f t="shared" si="14"/>
        <v>7</v>
      </c>
      <c r="AB27" s="153">
        <f t="shared" si="15"/>
        <v>22129</v>
      </c>
      <c r="AC27" s="155">
        <f t="shared" ca="1" si="16"/>
        <v>6.7747033181247236</v>
      </c>
      <c r="AE27" s="152" t="str">
        <f>AE23</f>
        <v>Distribution Analysis</v>
      </c>
      <c r="AH27" s="152" t="str">
        <f>AH21</f>
        <v>Barley ($/mt)</v>
      </c>
    </row>
    <row r="28" spans="3:42">
      <c r="C28" s="152" t="str">
        <f>'Monthly Prices'!A16</f>
        <v>1960M09</v>
      </c>
      <c r="D28" s="153">
        <f t="shared" si="5"/>
        <v>22160</v>
      </c>
      <c r="E28" s="152">
        <f t="shared" si="6"/>
        <v>9</v>
      </c>
      <c r="F28" s="152" t="b">
        <f t="shared" si="0"/>
        <v>0</v>
      </c>
      <c r="G28" s="152" t="b">
        <f t="shared" si="1"/>
        <v>1</v>
      </c>
      <c r="H28" s="152" t="b">
        <f t="shared" si="2"/>
        <v>0</v>
      </c>
      <c r="I28" s="153" t="e">
        <f t="shared" si="3"/>
        <v>#N/A</v>
      </c>
      <c r="J28" s="158">
        <f>INDEX('Monthly Prices'!B16:CB16,$G$4)</f>
        <v>46</v>
      </c>
      <c r="K28" s="158" t="b">
        <f>IF(H28,INDEX('Monthly Prices'!B16:CB16,$G$4)*U28,FALSE)</f>
        <v>0</v>
      </c>
      <c r="L28" s="152" t="b">
        <f t="shared" si="7"/>
        <v>1</v>
      </c>
      <c r="M28" s="158">
        <f>INDEX('Monthly Prices'!B16:CB16,$G$5)</f>
        <v>20.260414622950002</v>
      </c>
      <c r="N28" s="158" t="b">
        <f>IF(H28,INDEX('Monthly Prices'!B16:CB16,$G$5)*U28,FALSE)</f>
        <v>0</v>
      </c>
      <c r="O28" s="152" t="b">
        <f t="shared" si="4"/>
        <v>1</v>
      </c>
      <c r="P28" s="152">
        <f t="shared" si="8"/>
        <v>1960</v>
      </c>
      <c r="Q28" s="159">
        <f>'Monthly Prices'!B16</f>
        <v>1.63000011444</v>
      </c>
      <c r="R28" s="159">
        <f t="shared" si="9"/>
        <v>1.6300001144400003</v>
      </c>
      <c r="S28" s="155">
        <f>_xlfn.XLOOKUP(P28,'Annual Real'!A:A,'Annual Real'!B:B,0,0)</f>
        <v>8.51497812263902</v>
      </c>
      <c r="T28" s="155">
        <f t="shared" ca="1" si="10"/>
        <v>6.7679722867765495</v>
      </c>
      <c r="U28" s="152">
        <f t="shared" ca="1" si="11"/>
        <v>6.7679722867765495</v>
      </c>
      <c r="V28" s="152" t="b">
        <f t="shared" si="17"/>
        <v>0</v>
      </c>
      <c r="W28" s="152" t="b">
        <f t="shared" si="18"/>
        <v>0</v>
      </c>
      <c r="X28" s="154">
        <f>LOOKUP(D28,'US Implicit Deflator'!A:A,'US Implicit Deflator'!B:B)/100</f>
        <v>1.2E-2</v>
      </c>
      <c r="Y28" s="154">
        <f t="shared" si="12"/>
        <v>9.9454180114277868E-4</v>
      </c>
      <c r="Z28" s="165">
        <f t="shared" ca="1" si="13"/>
        <v>1.008986567047899</v>
      </c>
      <c r="AA28" s="152">
        <f t="shared" si="14"/>
        <v>7</v>
      </c>
      <c r="AB28" s="153">
        <f t="shared" si="15"/>
        <v>22160</v>
      </c>
      <c r="AC28" s="155">
        <f t="shared" ca="1" si="16"/>
        <v>6.7679722867765495</v>
      </c>
    </row>
    <row r="29" spans="3:42">
      <c r="C29" s="152" t="str">
        <f>'Monthly Prices'!A17</f>
        <v>1960M10</v>
      </c>
      <c r="D29" s="153">
        <f t="shared" si="5"/>
        <v>22190</v>
      </c>
      <c r="E29" s="152">
        <f t="shared" si="6"/>
        <v>10</v>
      </c>
      <c r="F29" s="152" t="b">
        <f t="shared" si="0"/>
        <v>0</v>
      </c>
      <c r="G29" s="152" t="b">
        <f t="shared" si="1"/>
        <v>1</v>
      </c>
      <c r="H29" s="152" t="b">
        <f t="shared" si="2"/>
        <v>0</v>
      </c>
      <c r="I29" s="153" t="e">
        <f t="shared" si="3"/>
        <v>#N/A</v>
      </c>
      <c r="J29" s="158">
        <f>INDEX('Monthly Prices'!B17:CB17,$G$4)</f>
        <v>42</v>
      </c>
      <c r="K29" s="158" t="b">
        <f>IF(H29,INDEX('Monthly Prices'!B17:CB17,$G$4)*U29,FALSE)</f>
        <v>0</v>
      </c>
      <c r="L29" s="152" t="b">
        <f t="shared" si="7"/>
        <v>1</v>
      </c>
      <c r="M29" s="158">
        <f>INDEX('Monthly Prices'!B17:CB17,$G$5)</f>
        <v>19.722910320699999</v>
      </c>
      <c r="N29" s="158" t="b">
        <f>IF(H29,INDEX('Monthly Prices'!B17:CB17,$G$5)*U29,FALSE)</f>
        <v>0</v>
      </c>
      <c r="O29" s="152" t="b">
        <f t="shared" si="4"/>
        <v>1</v>
      </c>
      <c r="P29" s="152">
        <f t="shared" si="8"/>
        <v>1960</v>
      </c>
      <c r="Q29" s="159">
        <f>'Monthly Prices'!B17</f>
        <v>1.63000011444</v>
      </c>
      <c r="R29" s="159">
        <f t="shared" si="9"/>
        <v>1.6300001144400003</v>
      </c>
      <c r="S29" s="155">
        <f>_xlfn.XLOOKUP(P29,'Annual Real'!A:A,'Annual Real'!B:B,0,0)</f>
        <v>8.51497812263902</v>
      </c>
      <c r="T29" s="155">
        <f t="shared" ca="1" si="10"/>
        <v>6.7623626492159934</v>
      </c>
      <c r="U29" s="152">
        <f t="shared" ca="1" si="11"/>
        <v>6.7623626492159934</v>
      </c>
      <c r="V29" s="152" t="b">
        <f t="shared" si="17"/>
        <v>0</v>
      </c>
      <c r="W29" s="152" t="b">
        <f t="shared" si="18"/>
        <v>0</v>
      </c>
      <c r="X29" s="154">
        <f>LOOKUP(D29,'US Implicit Deflator'!A:A,'US Implicit Deflator'!B:B)/100</f>
        <v>0.01</v>
      </c>
      <c r="Y29" s="154">
        <f t="shared" si="12"/>
        <v>8.295381143461622E-4</v>
      </c>
      <c r="Z29" s="165">
        <f t="shared" ca="1" si="13"/>
        <v>1.0098235598621286</v>
      </c>
      <c r="AA29" s="152">
        <f t="shared" si="14"/>
        <v>7</v>
      </c>
      <c r="AB29" s="153">
        <f t="shared" si="15"/>
        <v>22190</v>
      </c>
      <c r="AC29" s="155">
        <f t="shared" ca="1" si="16"/>
        <v>6.7623626492159934</v>
      </c>
    </row>
    <row r="30" spans="3:42">
      <c r="C30" s="152" t="str">
        <f>'Monthly Prices'!A18</f>
        <v>1960M11</v>
      </c>
      <c r="D30" s="153">
        <f t="shared" si="5"/>
        <v>22221</v>
      </c>
      <c r="E30" s="152">
        <f t="shared" si="6"/>
        <v>11</v>
      </c>
      <c r="F30" s="152" t="b">
        <f t="shared" si="0"/>
        <v>0</v>
      </c>
      <c r="G30" s="152" t="b">
        <f t="shared" si="1"/>
        <v>1</v>
      </c>
      <c r="H30" s="152" t="b">
        <f t="shared" si="2"/>
        <v>0</v>
      </c>
      <c r="I30" s="153" t="e">
        <f t="shared" si="3"/>
        <v>#N/A</v>
      </c>
      <c r="J30" s="158">
        <f>INDEX('Monthly Prices'!B18:CB18,$G$4)</f>
        <v>38</v>
      </c>
      <c r="K30" s="158" t="b">
        <f>IF(H30,INDEX('Monthly Prices'!B18:CB18,$G$4)*U30,FALSE)</f>
        <v>0</v>
      </c>
      <c r="L30" s="152" t="b">
        <f t="shared" si="7"/>
        <v>1</v>
      </c>
      <c r="M30" s="158">
        <f>INDEX('Monthly Prices'!B18:CB18,$G$5)</f>
        <v>19.19704754548</v>
      </c>
      <c r="N30" s="158" t="b">
        <f>IF(H30,INDEX('Monthly Prices'!B18:CB18,$G$5)*U30,FALSE)</f>
        <v>0</v>
      </c>
      <c r="O30" s="152" t="b">
        <f t="shared" si="4"/>
        <v>1</v>
      </c>
      <c r="P30" s="152">
        <f t="shared" si="8"/>
        <v>1960</v>
      </c>
      <c r="Q30" s="159">
        <f>'Monthly Prices'!B18</f>
        <v>1.63000011444</v>
      </c>
      <c r="R30" s="159">
        <f t="shared" si="9"/>
        <v>1.6300001144400003</v>
      </c>
      <c r="S30" s="155">
        <f>_xlfn.XLOOKUP(P30,'Annual Real'!A:A,'Annual Real'!B:B,0,0)</f>
        <v>8.51497812263902</v>
      </c>
      <c r="T30" s="155">
        <f t="shared" ca="1" si="10"/>
        <v>6.7567576612066214</v>
      </c>
      <c r="U30" s="152">
        <f t="shared" ca="1" si="11"/>
        <v>6.7567576612066214</v>
      </c>
      <c r="V30" s="152" t="b">
        <f t="shared" si="17"/>
        <v>0</v>
      </c>
      <c r="W30" s="152" t="b">
        <f t="shared" si="18"/>
        <v>0</v>
      </c>
      <c r="X30" s="154">
        <f>LOOKUP(D30,'US Implicit Deflator'!A:A,'US Implicit Deflator'!B:B)/100</f>
        <v>0.01</v>
      </c>
      <c r="Y30" s="154">
        <f t="shared" si="12"/>
        <v>8.295381143461622E-4</v>
      </c>
      <c r="Z30" s="165">
        <f t="shared" ca="1" si="13"/>
        <v>1.010661246993799</v>
      </c>
      <c r="AA30" s="152">
        <f t="shared" si="14"/>
        <v>7</v>
      </c>
      <c r="AB30" s="153">
        <f t="shared" si="15"/>
        <v>22221</v>
      </c>
      <c r="AC30" s="155">
        <f t="shared" ca="1" si="16"/>
        <v>6.7567576612066214</v>
      </c>
    </row>
    <row r="31" spans="3:42">
      <c r="C31" s="152" t="str">
        <f>'Monthly Prices'!A19</f>
        <v>1960M12</v>
      </c>
      <c r="D31" s="153">
        <f t="shared" si="5"/>
        <v>22251</v>
      </c>
      <c r="E31" s="152">
        <f t="shared" si="6"/>
        <v>12</v>
      </c>
      <c r="F31" s="152" t="b">
        <f t="shared" si="0"/>
        <v>0</v>
      </c>
      <c r="G31" s="152" t="b">
        <f t="shared" si="1"/>
        <v>1</v>
      </c>
      <c r="H31" s="152" t="b">
        <f t="shared" si="2"/>
        <v>0</v>
      </c>
      <c r="I31" s="153" t="e">
        <f t="shared" si="3"/>
        <v>#N/A</v>
      </c>
      <c r="J31" s="158">
        <f>INDEX('Monthly Prices'!B19:CB19,$G$4)</f>
        <v>40</v>
      </c>
      <c r="K31" s="158" t="b">
        <f>IF(H31,INDEX('Monthly Prices'!B19:CB19,$G$4)*U31,FALSE)</f>
        <v>0</v>
      </c>
      <c r="L31" s="152" t="b">
        <f t="shared" si="7"/>
        <v>1</v>
      </c>
      <c r="M31" s="158">
        <f>INDEX('Monthly Prices'!B19:CB19,$G$5)</f>
        <v>19.62896467785</v>
      </c>
      <c r="N31" s="158" t="b">
        <f>IF(H31,INDEX('Monthly Prices'!B19:CB19,$G$5)*U31,FALSE)</f>
        <v>0</v>
      </c>
      <c r="O31" s="152" t="b">
        <f t="shared" si="4"/>
        <v>1</v>
      </c>
      <c r="P31" s="152">
        <f t="shared" si="8"/>
        <v>1960</v>
      </c>
      <c r="Q31" s="159">
        <f>'Monthly Prices'!B19</f>
        <v>1.63000011444</v>
      </c>
      <c r="R31" s="159">
        <f t="shared" si="9"/>
        <v>1.6300001144400003</v>
      </c>
      <c r="S31" s="155">
        <f>_xlfn.XLOOKUP(P31,'Annual Real'!A:A,'Annual Real'!B:B,0,0)</f>
        <v>8.51497812263902</v>
      </c>
      <c r="T31" s="155">
        <f t="shared" ca="1" si="10"/>
        <v>6.7511573188946521</v>
      </c>
      <c r="U31" s="152">
        <f t="shared" ca="1" si="11"/>
        <v>6.7511573188946521</v>
      </c>
      <c r="V31" s="152" t="b">
        <f t="shared" si="17"/>
        <v>0</v>
      </c>
      <c r="W31" s="152" t="b">
        <f t="shared" si="18"/>
        <v>0</v>
      </c>
      <c r="X31" s="154">
        <f>LOOKUP(D31,'US Implicit Deflator'!A:A,'US Implicit Deflator'!B:B)/100</f>
        <v>0.01</v>
      </c>
      <c r="Y31" s="154">
        <f t="shared" si="12"/>
        <v>8.295381143461622E-4</v>
      </c>
      <c r="Z31" s="165">
        <f t="shared" ca="1" si="13"/>
        <v>1.0114996290188729</v>
      </c>
      <c r="AA31" s="152">
        <f t="shared" si="14"/>
        <v>7</v>
      </c>
      <c r="AB31" s="153">
        <f t="shared" si="15"/>
        <v>22251</v>
      </c>
      <c r="AC31" s="155">
        <f t="shared" ca="1" si="16"/>
        <v>6.7511573188946521</v>
      </c>
    </row>
    <row r="32" spans="3:42">
      <c r="C32" s="152" t="str">
        <f>'Monthly Prices'!A20</f>
        <v>1961M01</v>
      </c>
      <c r="D32" s="153">
        <f t="shared" si="5"/>
        <v>22282</v>
      </c>
      <c r="E32" s="152">
        <f t="shared" si="6"/>
        <v>13</v>
      </c>
      <c r="F32" s="152" t="b">
        <f t="shared" si="0"/>
        <v>0</v>
      </c>
      <c r="G32" s="152" t="b">
        <f t="shared" si="1"/>
        <v>1</v>
      </c>
      <c r="H32" s="152" t="b">
        <f t="shared" si="2"/>
        <v>0</v>
      </c>
      <c r="I32" s="153" t="e">
        <f t="shared" si="3"/>
        <v>#N/A</v>
      </c>
      <c r="J32" s="158">
        <f>INDEX('Monthly Prices'!B20:CB20,$G$4)</f>
        <v>43</v>
      </c>
      <c r="K32" s="158" t="b">
        <f>IF(H32,INDEX('Monthly Prices'!B20:CB20,$G$4)*U32,FALSE)</f>
        <v>0</v>
      </c>
      <c r="L32" s="152" t="b">
        <f t="shared" si="7"/>
        <v>1</v>
      </c>
      <c r="M32" s="158">
        <f>INDEX('Monthly Prices'!B20:CB20,$G$5)</f>
        <v>20.276955512939999</v>
      </c>
      <c r="N32" s="158" t="b">
        <f>IF(H32,INDEX('Monthly Prices'!B20:CB20,$G$5)*U32,FALSE)</f>
        <v>0</v>
      </c>
      <c r="O32" s="152" t="b">
        <f t="shared" si="4"/>
        <v>1</v>
      </c>
      <c r="P32" s="152">
        <f t="shared" si="8"/>
        <v>1961</v>
      </c>
      <c r="Q32" s="159">
        <f>'Monthly Prices'!B20</f>
        <v>1.57</v>
      </c>
      <c r="R32" s="159">
        <f t="shared" si="9"/>
        <v>1.57</v>
      </c>
      <c r="S32" s="155">
        <f>_xlfn.XLOOKUP(P32,'Annual Real'!A:A,'Annual Real'!B:B,0,0)</f>
        <v>8.0450247775147492</v>
      </c>
      <c r="T32" s="155">
        <f t="shared" ca="1" si="10"/>
        <v>6.7455616184294946</v>
      </c>
      <c r="U32" s="152">
        <f t="shared" ca="1" si="11"/>
        <v>6.7455616184294946</v>
      </c>
      <c r="V32" s="152" t="b">
        <f t="shared" si="17"/>
        <v>0</v>
      </c>
      <c r="W32" s="152" t="b">
        <f t="shared" si="18"/>
        <v>0</v>
      </c>
      <c r="X32" s="154">
        <f>LOOKUP(D32,'US Implicit Deflator'!A:A,'US Implicit Deflator'!B:B)/100</f>
        <v>0.01</v>
      </c>
      <c r="Y32" s="154">
        <f t="shared" si="12"/>
        <v>8.295381143461622E-4</v>
      </c>
      <c r="Z32" s="165">
        <f t="shared" ca="1" si="13"/>
        <v>1.012338706513791</v>
      </c>
      <c r="AA32" s="152">
        <f t="shared" si="14"/>
        <v>7</v>
      </c>
      <c r="AB32" s="153">
        <f t="shared" si="15"/>
        <v>22282</v>
      </c>
      <c r="AC32" s="155">
        <f t="shared" ca="1" si="16"/>
        <v>6.7455616184294946</v>
      </c>
    </row>
    <row r="33" spans="3:29">
      <c r="C33" s="152" t="str">
        <f>'Monthly Prices'!A21</f>
        <v>1961M02</v>
      </c>
      <c r="D33" s="153">
        <f t="shared" si="5"/>
        <v>22313</v>
      </c>
      <c r="E33" s="152">
        <f t="shared" si="6"/>
        <v>14</v>
      </c>
      <c r="F33" s="152" t="b">
        <f t="shared" si="0"/>
        <v>0</v>
      </c>
      <c r="G33" s="152" t="b">
        <f t="shared" si="1"/>
        <v>1</v>
      </c>
      <c r="H33" s="152" t="b">
        <f t="shared" si="2"/>
        <v>0</v>
      </c>
      <c r="I33" s="153" t="e">
        <f t="shared" si="3"/>
        <v>#N/A</v>
      </c>
      <c r="J33" s="158">
        <f>INDEX('Monthly Prices'!B21:CB21,$G$4)</f>
        <v>44</v>
      </c>
      <c r="K33" s="158" t="b">
        <f>IF(H33,INDEX('Monthly Prices'!B21:CB21,$G$4)*U33,FALSE)</f>
        <v>0</v>
      </c>
      <c r="L33" s="152" t="b">
        <f t="shared" si="7"/>
        <v>1</v>
      </c>
      <c r="M33" s="158">
        <f>INDEX('Monthly Prices'!B21:CB21,$G$5)</f>
        <v>20.531742813849998</v>
      </c>
      <c r="N33" s="158" t="b">
        <f>IF(H33,INDEX('Monthly Prices'!B21:CB21,$G$5)*U33,FALSE)</f>
        <v>0</v>
      </c>
      <c r="O33" s="152" t="b">
        <f t="shared" si="4"/>
        <v>1</v>
      </c>
      <c r="P33" s="152">
        <f t="shared" si="8"/>
        <v>1961</v>
      </c>
      <c r="Q33" s="159">
        <f>'Monthly Prices'!B21</f>
        <v>1.57</v>
      </c>
      <c r="R33" s="159">
        <f t="shared" si="9"/>
        <v>1.57</v>
      </c>
      <c r="S33" s="155">
        <f>_xlfn.XLOOKUP(P33,'Annual Real'!A:A,'Annual Real'!B:B,0,0)</f>
        <v>8.0450247775147492</v>
      </c>
      <c r="T33" s="155">
        <f t="shared" ca="1" si="10"/>
        <v>6.7399705559637511</v>
      </c>
      <c r="U33" s="152">
        <f t="shared" ca="1" si="11"/>
        <v>6.7399705559637511</v>
      </c>
      <c r="V33" s="152" t="b">
        <f t="shared" si="17"/>
        <v>0</v>
      </c>
      <c r="W33" s="152" t="b">
        <f t="shared" si="18"/>
        <v>0</v>
      </c>
      <c r="X33" s="154">
        <f>LOOKUP(D33,'US Implicit Deflator'!A:A,'US Implicit Deflator'!B:B)/100</f>
        <v>0.01</v>
      </c>
      <c r="Y33" s="154">
        <f t="shared" si="12"/>
        <v>8.295381143461622E-4</v>
      </c>
      <c r="Z33" s="165">
        <f t="shared" ca="1" si="13"/>
        <v>1.0131784800554722</v>
      </c>
      <c r="AA33" s="152">
        <f t="shared" si="14"/>
        <v>7</v>
      </c>
      <c r="AB33" s="153">
        <f t="shared" si="15"/>
        <v>22313</v>
      </c>
      <c r="AC33" s="155">
        <f t="shared" ca="1" si="16"/>
        <v>6.7399705559637511</v>
      </c>
    </row>
    <row r="34" spans="3:29">
      <c r="C34" s="152" t="str">
        <f>'Monthly Prices'!A22</f>
        <v>1961M03</v>
      </c>
      <c r="D34" s="153">
        <f t="shared" si="5"/>
        <v>22341</v>
      </c>
      <c r="E34" s="152">
        <f t="shared" si="6"/>
        <v>15</v>
      </c>
      <c r="F34" s="152" t="b">
        <f t="shared" si="0"/>
        <v>0</v>
      </c>
      <c r="G34" s="152" t="b">
        <f t="shared" si="1"/>
        <v>1</v>
      </c>
      <c r="H34" s="152" t="b">
        <f t="shared" si="2"/>
        <v>0</v>
      </c>
      <c r="I34" s="153" t="e">
        <f t="shared" si="3"/>
        <v>#N/A</v>
      </c>
      <c r="J34" s="158">
        <f>INDEX('Monthly Prices'!B22:CB22,$G$4)</f>
        <v>44</v>
      </c>
      <c r="K34" s="158" t="b">
        <f>IF(H34,INDEX('Monthly Prices'!B22:CB22,$G$4)*U34,FALSE)</f>
        <v>0</v>
      </c>
      <c r="L34" s="152" t="b">
        <f t="shared" si="7"/>
        <v>1</v>
      </c>
      <c r="M34" s="158">
        <f>INDEX('Monthly Prices'!B22:CB22,$G$5)</f>
        <v>20.387849192800001</v>
      </c>
      <c r="N34" s="158" t="b">
        <f>IF(H34,INDEX('Monthly Prices'!B22:CB22,$G$5)*U34,FALSE)</f>
        <v>0</v>
      </c>
      <c r="O34" s="152" t="b">
        <f t="shared" si="4"/>
        <v>1</v>
      </c>
      <c r="P34" s="152">
        <f t="shared" si="8"/>
        <v>1961</v>
      </c>
      <c r="Q34" s="159">
        <f>'Monthly Prices'!B22</f>
        <v>1.57</v>
      </c>
      <c r="R34" s="159">
        <f t="shared" si="9"/>
        <v>1.57</v>
      </c>
      <c r="S34" s="155">
        <f>_xlfn.XLOOKUP(P34,'Annual Real'!A:A,'Annual Real'!B:B,0,0)</f>
        <v>8.0450247775147492</v>
      </c>
      <c r="T34" s="155">
        <f t="shared" ca="1" si="10"/>
        <v>6.7343841276532146</v>
      </c>
      <c r="U34" s="152">
        <f t="shared" ca="1" si="11"/>
        <v>6.7343841276532146</v>
      </c>
      <c r="V34" s="152" t="b">
        <f t="shared" si="17"/>
        <v>0</v>
      </c>
      <c r="W34" s="152" t="b">
        <f t="shared" si="18"/>
        <v>0</v>
      </c>
      <c r="X34" s="154">
        <f>LOOKUP(D34,'US Implicit Deflator'!A:A,'US Implicit Deflator'!B:B)/100</f>
        <v>0.01</v>
      </c>
      <c r="Y34" s="154">
        <f t="shared" si="12"/>
        <v>8.295381143461622E-4</v>
      </c>
      <c r="Z34" s="165">
        <f t="shared" ca="1" si="13"/>
        <v>1.0140189502213135</v>
      </c>
      <c r="AA34" s="152">
        <f t="shared" si="14"/>
        <v>7</v>
      </c>
      <c r="AB34" s="153">
        <f t="shared" si="15"/>
        <v>22341</v>
      </c>
      <c r="AC34" s="155">
        <f t="shared" ca="1" si="16"/>
        <v>6.7343841276532146</v>
      </c>
    </row>
    <row r="35" spans="3:29">
      <c r="C35" s="152" t="str">
        <f>'Monthly Prices'!A23</f>
        <v>1961M04</v>
      </c>
      <c r="D35" s="153">
        <f t="shared" si="5"/>
        <v>22372</v>
      </c>
      <c r="E35" s="152">
        <f t="shared" si="6"/>
        <v>16</v>
      </c>
      <c r="F35" s="152" t="b">
        <f t="shared" si="0"/>
        <v>0</v>
      </c>
      <c r="G35" s="152" t="b">
        <f t="shared" si="1"/>
        <v>1</v>
      </c>
      <c r="H35" s="152" t="b">
        <f t="shared" si="2"/>
        <v>0</v>
      </c>
      <c r="I35" s="153" t="e">
        <f t="shared" si="3"/>
        <v>#N/A</v>
      </c>
      <c r="J35" s="158">
        <f>INDEX('Monthly Prices'!B23:CB23,$G$4)</f>
        <v>43</v>
      </c>
      <c r="K35" s="158" t="b">
        <f>IF(H35,INDEX('Monthly Prices'!B23:CB23,$G$4)*U35,FALSE)</f>
        <v>0</v>
      </c>
      <c r="L35" s="152" t="b">
        <f t="shared" si="7"/>
        <v>1</v>
      </c>
      <c r="M35" s="158">
        <f>INDEX('Monthly Prices'!B23:CB23,$G$5)</f>
        <v>20.142683211790001</v>
      </c>
      <c r="N35" s="158" t="b">
        <f>IF(H35,INDEX('Monthly Prices'!B23:CB23,$G$5)*U35,FALSE)</f>
        <v>0</v>
      </c>
      <c r="O35" s="152" t="b">
        <f t="shared" si="4"/>
        <v>1</v>
      </c>
      <c r="P35" s="152">
        <f t="shared" si="8"/>
        <v>1961</v>
      </c>
      <c r="Q35" s="159">
        <f>'Monthly Prices'!B23</f>
        <v>1.57</v>
      </c>
      <c r="R35" s="159">
        <f t="shared" si="9"/>
        <v>1.57</v>
      </c>
      <c r="S35" s="155">
        <f>_xlfn.XLOOKUP(P35,'Annual Real'!A:A,'Annual Real'!B:B,0,0)</f>
        <v>8.0450247775147492</v>
      </c>
      <c r="T35" s="155">
        <f t="shared" ca="1" si="10"/>
        <v>6.7288023296568635</v>
      </c>
      <c r="U35" s="152">
        <f t="shared" ca="1" si="11"/>
        <v>6.7288023296568635</v>
      </c>
      <c r="V35" s="152" t="b">
        <f t="shared" si="17"/>
        <v>0</v>
      </c>
      <c r="W35" s="152" t="b">
        <f t="shared" si="18"/>
        <v>0</v>
      </c>
      <c r="X35" s="154">
        <f>LOOKUP(D35,'US Implicit Deflator'!A:A,'US Implicit Deflator'!B:B)/100</f>
        <v>0.01</v>
      </c>
      <c r="Y35" s="154">
        <f t="shared" si="12"/>
        <v>8.295381143461622E-4</v>
      </c>
      <c r="Z35" s="165">
        <f t="shared" ca="1" si="13"/>
        <v>1.0148601175891914</v>
      </c>
      <c r="AA35" s="152">
        <f t="shared" si="14"/>
        <v>7</v>
      </c>
      <c r="AB35" s="153">
        <f t="shared" si="15"/>
        <v>22372</v>
      </c>
      <c r="AC35" s="155">
        <f t="shared" ca="1" si="16"/>
        <v>6.7288023296568635</v>
      </c>
    </row>
    <row r="36" spans="3:29">
      <c r="C36" s="152" t="str">
        <f>'Monthly Prices'!A24</f>
        <v>1961M05</v>
      </c>
      <c r="D36" s="153">
        <f t="shared" si="5"/>
        <v>22402</v>
      </c>
      <c r="E36" s="152">
        <f t="shared" si="6"/>
        <v>17</v>
      </c>
      <c r="F36" s="152" t="b">
        <f t="shared" si="0"/>
        <v>0</v>
      </c>
      <c r="G36" s="152" t="b">
        <f t="shared" si="1"/>
        <v>1</v>
      </c>
      <c r="H36" s="152" t="b">
        <f t="shared" si="2"/>
        <v>0</v>
      </c>
      <c r="I36" s="153" t="e">
        <f t="shared" si="3"/>
        <v>#N/A</v>
      </c>
      <c r="J36" s="158">
        <f>INDEX('Monthly Prices'!B24:CB24,$G$4)</f>
        <v>45</v>
      </c>
      <c r="K36" s="158" t="b">
        <f>IF(H36,INDEX('Monthly Prices'!B24:CB24,$G$4)*U36,FALSE)</f>
        <v>0</v>
      </c>
      <c r="L36" s="152" t="b">
        <f t="shared" si="7"/>
        <v>1</v>
      </c>
      <c r="M36" s="158">
        <f>INDEX('Monthly Prices'!B24:CB24,$G$5)</f>
        <v>20.25290293794</v>
      </c>
      <c r="N36" s="158" t="b">
        <f>IF(H36,INDEX('Monthly Prices'!B24:CB24,$G$5)*U36,FALSE)</f>
        <v>0</v>
      </c>
      <c r="O36" s="152" t="b">
        <f t="shared" si="4"/>
        <v>1</v>
      </c>
      <c r="P36" s="152">
        <f t="shared" si="8"/>
        <v>1961</v>
      </c>
      <c r="Q36" s="159">
        <f>'Monthly Prices'!B24</f>
        <v>1.57</v>
      </c>
      <c r="R36" s="159">
        <f t="shared" si="9"/>
        <v>1.57</v>
      </c>
      <c r="S36" s="155">
        <f>_xlfn.XLOOKUP(P36,'Annual Real'!A:A,'Annual Real'!B:B,0,0)</f>
        <v>8.0450247775147492</v>
      </c>
      <c r="T36" s="155">
        <f t="shared" ca="1" si="10"/>
        <v>6.7232251581368585</v>
      </c>
      <c r="U36" s="152">
        <f t="shared" ca="1" si="11"/>
        <v>6.7232251581368585</v>
      </c>
      <c r="V36" s="152" t="b">
        <f t="shared" si="17"/>
        <v>0</v>
      </c>
      <c r="W36" s="152" t="b">
        <f t="shared" si="18"/>
        <v>0</v>
      </c>
      <c r="X36" s="154">
        <f>LOOKUP(D36,'US Implicit Deflator'!A:A,'US Implicit Deflator'!B:B)/100</f>
        <v>0.01</v>
      </c>
      <c r="Y36" s="154">
        <f t="shared" si="12"/>
        <v>8.295381143461622E-4</v>
      </c>
      <c r="Z36" s="165">
        <f t="shared" ca="1" si="13"/>
        <v>1.0157019827374614</v>
      </c>
      <c r="AA36" s="152">
        <f t="shared" si="14"/>
        <v>7</v>
      </c>
      <c r="AB36" s="153">
        <f t="shared" si="15"/>
        <v>22402</v>
      </c>
      <c r="AC36" s="155">
        <f t="shared" ca="1" si="16"/>
        <v>6.7232251581368585</v>
      </c>
    </row>
    <row r="37" spans="3:29">
      <c r="C37" s="152" t="str">
        <f>'Monthly Prices'!A25</f>
        <v>1961M06</v>
      </c>
      <c r="D37" s="153">
        <f t="shared" si="5"/>
        <v>22433</v>
      </c>
      <c r="E37" s="152">
        <f t="shared" si="6"/>
        <v>18</v>
      </c>
      <c r="F37" s="152" t="b">
        <f t="shared" si="0"/>
        <v>0</v>
      </c>
      <c r="G37" s="152" t="b">
        <f t="shared" si="1"/>
        <v>1</v>
      </c>
      <c r="H37" s="152" t="b">
        <f t="shared" si="2"/>
        <v>0</v>
      </c>
      <c r="I37" s="153" t="e">
        <f t="shared" si="3"/>
        <v>#N/A</v>
      </c>
      <c r="J37" s="158">
        <f>INDEX('Monthly Prices'!B25:CB25,$G$4)</f>
        <v>44</v>
      </c>
      <c r="K37" s="158" t="b">
        <f>IF(H37,INDEX('Monthly Prices'!B25:CB25,$G$4)*U37,FALSE)</f>
        <v>0</v>
      </c>
      <c r="L37" s="152" t="b">
        <f t="shared" si="7"/>
        <v>1</v>
      </c>
      <c r="M37" s="158">
        <f>INDEX('Monthly Prices'!B25:CB25,$G$5)</f>
        <v>19.884612191519999</v>
      </c>
      <c r="N37" s="158" t="b">
        <f>IF(H37,INDEX('Monthly Prices'!B25:CB25,$G$5)*U37,FALSE)</f>
        <v>0</v>
      </c>
      <c r="O37" s="152" t="b">
        <f t="shared" si="4"/>
        <v>1</v>
      </c>
      <c r="P37" s="152">
        <f t="shared" si="8"/>
        <v>1961</v>
      </c>
      <c r="Q37" s="159">
        <f>'Monthly Prices'!B25</f>
        <v>1.57</v>
      </c>
      <c r="R37" s="159">
        <f t="shared" si="9"/>
        <v>1.57</v>
      </c>
      <c r="S37" s="155">
        <f>_xlfn.XLOOKUP(P37,'Annual Real'!A:A,'Annual Real'!B:B,0,0)</f>
        <v>8.0450247775147492</v>
      </c>
      <c r="T37" s="155">
        <f t="shared" ca="1" si="10"/>
        <v>6.7176526092585407</v>
      </c>
      <c r="U37" s="152">
        <f t="shared" ca="1" si="11"/>
        <v>6.7176526092585407</v>
      </c>
      <c r="V37" s="152" t="b">
        <f t="shared" si="17"/>
        <v>0</v>
      </c>
      <c r="W37" s="152" t="b">
        <f t="shared" si="18"/>
        <v>0</v>
      </c>
      <c r="X37" s="154">
        <f>LOOKUP(D37,'US Implicit Deflator'!A:A,'US Implicit Deflator'!B:B)/100</f>
        <v>0.01</v>
      </c>
      <c r="Y37" s="154">
        <f t="shared" si="12"/>
        <v>8.295381143461622E-4</v>
      </c>
      <c r="Z37" s="165">
        <f t="shared" ca="1" si="13"/>
        <v>1.0165445462449592</v>
      </c>
      <c r="AA37" s="152">
        <f t="shared" si="14"/>
        <v>7</v>
      </c>
      <c r="AB37" s="153">
        <f t="shared" si="15"/>
        <v>22433</v>
      </c>
      <c r="AC37" s="155">
        <f t="shared" ca="1" si="16"/>
        <v>6.7176526092585407</v>
      </c>
    </row>
    <row r="38" spans="3:29">
      <c r="C38" s="152" t="str">
        <f>'Monthly Prices'!A26</f>
        <v>1961M07</v>
      </c>
      <c r="D38" s="153">
        <f t="shared" si="5"/>
        <v>22463</v>
      </c>
      <c r="E38" s="152">
        <f t="shared" si="6"/>
        <v>19</v>
      </c>
      <c r="F38" s="152" t="b">
        <f t="shared" si="0"/>
        <v>0</v>
      </c>
      <c r="G38" s="152" t="b">
        <f t="shared" si="1"/>
        <v>1</v>
      </c>
      <c r="H38" s="152" t="b">
        <f t="shared" si="2"/>
        <v>0</v>
      </c>
      <c r="I38" s="153" t="e">
        <f t="shared" si="3"/>
        <v>#N/A</v>
      </c>
      <c r="J38" s="158">
        <f>INDEX('Monthly Prices'!B26:CB26,$G$4)</f>
        <v>45</v>
      </c>
      <c r="K38" s="158" t="b">
        <f>IF(H38,INDEX('Monthly Prices'!B26:CB26,$G$4)*U38,FALSE)</f>
        <v>0</v>
      </c>
      <c r="L38" s="152" t="b">
        <f t="shared" si="7"/>
        <v>1</v>
      </c>
      <c r="M38" s="158">
        <f>INDEX('Monthly Prices'!B26:CB26,$G$5)</f>
        <v>20.443309274600001</v>
      </c>
      <c r="N38" s="158" t="b">
        <f>IF(H38,INDEX('Monthly Prices'!B26:CB26,$G$5)*U38,FALSE)</f>
        <v>0</v>
      </c>
      <c r="O38" s="152" t="b">
        <f t="shared" si="4"/>
        <v>1</v>
      </c>
      <c r="P38" s="152">
        <f t="shared" si="8"/>
        <v>1961</v>
      </c>
      <c r="Q38" s="159">
        <f>'Monthly Prices'!B26</f>
        <v>1.57</v>
      </c>
      <c r="R38" s="159">
        <f t="shared" si="9"/>
        <v>1.57</v>
      </c>
      <c r="S38" s="155">
        <f>_xlfn.XLOOKUP(P38,'Annual Real'!A:A,'Annual Real'!B:B,0,0)</f>
        <v>8.0450247775147492</v>
      </c>
      <c r="T38" s="155">
        <f t="shared" ca="1" si="10"/>
        <v>6.7137487648716023</v>
      </c>
      <c r="U38" s="152">
        <f t="shared" ca="1" si="11"/>
        <v>6.7137487648716023</v>
      </c>
      <c r="V38" s="152" t="b">
        <f t="shared" si="17"/>
        <v>0</v>
      </c>
      <c r="W38" s="152" t="b">
        <f t="shared" si="18"/>
        <v>0</v>
      </c>
      <c r="X38" s="154">
        <f>LOOKUP(D38,'US Implicit Deflator'!A:A,'US Implicit Deflator'!B:B)/100</f>
        <v>6.9999999999999993E-3</v>
      </c>
      <c r="Y38" s="154">
        <f t="shared" si="12"/>
        <v>5.8147013295517525E-4</v>
      </c>
      <c r="Z38" s="165">
        <f t="shared" ca="1" si="13"/>
        <v>1.0171356365374191</v>
      </c>
      <c r="AA38" s="152">
        <f t="shared" si="14"/>
        <v>7</v>
      </c>
      <c r="AB38" s="153">
        <f t="shared" si="15"/>
        <v>22463</v>
      </c>
      <c r="AC38" s="155">
        <f t="shared" ca="1" si="16"/>
        <v>6.7137487648716023</v>
      </c>
    </row>
    <row r="39" spans="3:29">
      <c r="C39" s="152" t="str">
        <f>'Monthly Prices'!A27</f>
        <v>1961M08</v>
      </c>
      <c r="D39" s="153">
        <f t="shared" si="5"/>
        <v>22494</v>
      </c>
      <c r="E39" s="152">
        <f t="shared" si="6"/>
        <v>20</v>
      </c>
      <c r="F39" s="152" t="b">
        <f t="shared" si="0"/>
        <v>0</v>
      </c>
      <c r="G39" s="152" t="b">
        <f t="shared" si="1"/>
        <v>1</v>
      </c>
      <c r="H39" s="152" t="b">
        <f t="shared" si="2"/>
        <v>0</v>
      </c>
      <c r="I39" s="153" t="e">
        <f t="shared" si="3"/>
        <v>#N/A</v>
      </c>
      <c r="J39" s="158">
        <f>INDEX('Monthly Prices'!B27:CB27,$G$4)</f>
        <v>44</v>
      </c>
      <c r="K39" s="158" t="b">
        <f>IF(H39,INDEX('Monthly Prices'!B27:CB27,$G$4)*U39,FALSE)</f>
        <v>0</v>
      </c>
      <c r="L39" s="152" t="b">
        <f t="shared" si="7"/>
        <v>1</v>
      </c>
      <c r="M39" s="158">
        <f>INDEX('Monthly Prices'!B27:CB27,$G$5)</f>
        <v>20.67747910456</v>
      </c>
      <c r="N39" s="158" t="b">
        <f>IF(H39,INDEX('Monthly Prices'!B27:CB27,$G$5)*U39,FALSE)</f>
        <v>0</v>
      </c>
      <c r="O39" s="152" t="b">
        <f t="shared" si="4"/>
        <v>1</v>
      </c>
      <c r="P39" s="152">
        <f t="shared" si="8"/>
        <v>1961</v>
      </c>
      <c r="Q39" s="159">
        <f>'Monthly Prices'!B27</f>
        <v>1.57</v>
      </c>
      <c r="R39" s="159">
        <f t="shared" si="9"/>
        <v>1.57</v>
      </c>
      <c r="S39" s="155">
        <f>_xlfn.XLOOKUP(P39,'Annual Real'!A:A,'Annual Real'!B:B,0,0)</f>
        <v>8.0450247775147492</v>
      </c>
      <c r="T39" s="155">
        <f t="shared" ca="1" si="10"/>
        <v>6.7098471891344271</v>
      </c>
      <c r="U39" s="152">
        <f t="shared" ca="1" si="11"/>
        <v>6.7098471891344271</v>
      </c>
      <c r="V39" s="152" t="b">
        <f t="shared" si="17"/>
        <v>0</v>
      </c>
      <c r="W39" s="152" t="b">
        <f t="shared" si="18"/>
        <v>0</v>
      </c>
      <c r="X39" s="154">
        <f>LOOKUP(D39,'US Implicit Deflator'!A:A,'US Implicit Deflator'!B:B)/100</f>
        <v>6.9999999999999993E-3</v>
      </c>
      <c r="Y39" s="154">
        <f t="shared" si="12"/>
        <v>5.8147013295517525E-4</v>
      </c>
      <c r="Z39" s="165">
        <f t="shared" ca="1" si="13"/>
        <v>1.01772707053123</v>
      </c>
      <c r="AA39" s="152">
        <f t="shared" si="14"/>
        <v>7</v>
      </c>
      <c r="AB39" s="153">
        <f t="shared" si="15"/>
        <v>22494</v>
      </c>
      <c r="AC39" s="155">
        <f t="shared" ca="1" si="16"/>
        <v>6.7098471891344271</v>
      </c>
    </row>
    <row r="40" spans="3:29">
      <c r="C40" s="152" t="str">
        <f>'Monthly Prices'!A28</f>
        <v>1961M09</v>
      </c>
      <c r="D40" s="153">
        <f t="shared" si="5"/>
        <v>22525</v>
      </c>
      <c r="E40" s="152">
        <f t="shared" si="6"/>
        <v>21</v>
      </c>
      <c r="F40" s="152" t="b">
        <f t="shared" si="0"/>
        <v>0</v>
      </c>
      <c r="G40" s="152" t="b">
        <f t="shared" si="1"/>
        <v>1</v>
      </c>
      <c r="H40" s="152" t="b">
        <f t="shared" si="2"/>
        <v>0</v>
      </c>
      <c r="I40" s="153" t="e">
        <f t="shared" si="3"/>
        <v>#N/A</v>
      </c>
      <c r="J40" s="158">
        <f>INDEX('Monthly Prices'!B28:CB28,$G$4)</f>
        <v>43</v>
      </c>
      <c r="K40" s="158" t="b">
        <f>IF(H40,INDEX('Monthly Prices'!B28:CB28,$G$4)*U40,FALSE)</f>
        <v>0</v>
      </c>
      <c r="L40" s="152" t="b">
        <f t="shared" si="7"/>
        <v>1</v>
      </c>
      <c r="M40" s="158">
        <f>INDEX('Monthly Prices'!B28:CB28,$G$5)</f>
        <v>20.72334962931</v>
      </c>
      <c r="N40" s="158" t="b">
        <f>IF(H40,INDEX('Monthly Prices'!B28:CB28,$G$5)*U40,FALSE)</f>
        <v>0</v>
      </c>
      <c r="O40" s="152" t="b">
        <f t="shared" si="4"/>
        <v>1</v>
      </c>
      <c r="P40" s="152">
        <f t="shared" si="8"/>
        <v>1961</v>
      </c>
      <c r="Q40" s="159">
        <f>'Monthly Prices'!B28</f>
        <v>1.57</v>
      </c>
      <c r="R40" s="159">
        <f t="shared" si="9"/>
        <v>1.57</v>
      </c>
      <c r="S40" s="155">
        <f>_xlfn.XLOOKUP(P40,'Annual Real'!A:A,'Annual Real'!B:B,0,0)</f>
        <v>8.0450247775147492</v>
      </c>
      <c r="T40" s="155">
        <f t="shared" ca="1" si="10"/>
        <v>6.7059478807286288</v>
      </c>
      <c r="U40" s="152">
        <f t="shared" ca="1" si="11"/>
        <v>6.7059478807286288</v>
      </c>
      <c r="V40" s="152" t="b">
        <f t="shared" si="17"/>
        <v>0</v>
      </c>
      <c r="W40" s="152" t="b">
        <f t="shared" si="18"/>
        <v>0</v>
      </c>
      <c r="X40" s="154">
        <f>LOOKUP(D40,'US Implicit Deflator'!A:A,'US Implicit Deflator'!B:B)/100</f>
        <v>6.9999999999999993E-3</v>
      </c>
      <c r="Y40" s="154">
        <f t="shared" si="12"/>
        <v>5.8147013295517525E-4</v>
      </c>
      <c r="Z40" s="165">
        <f t="shared" ca="1" si="13"/>
        <v>1.018318848426244</v>
      </c>
      <c r="AA40" s="152">
        <f t="shared" si="14"/>
        <v>7</v>
      </c>
      <c r="AB40" s="153">
        <f t="shared" si="15"/>
        <v>22525</v>
      </c>
      <c r="AC40" s="155">
        <f t="shared" ca="1" si="16"/>
        <v>6.7059478807286288</v>
      </c>
    </row>
    <row r="41" spans="3:29">
      <c r="C41" s="152" t="str">
        <f>'Monthly Prices'!A29</f>
        <v>1961M10</v>
      </c>
      <c r="D41" s="153">
        <f t="shared" si="5"/>
        <v>22555</v>
      </c>
      <c r="E41" s="152">
        <f t="shared" si="6"/>
        <v>22</v>
      </c>
      <c r="F41" s="152" t="b">
        <f t="shared" si="0"/>
        <v>0</v>
      </c>
      <c r="G41" s="152" t="b">
        <f t="shared" si="1"/>
        <v>1</v>
      </c>
      <c r="H41" s="152" t="b">
        <f t="shared" si="2"/>
        <v>0</v>
      </c>
      <c r="I41" s="153" t="e">
        <f t="shared" si="3"/>
        <v>#N/A</v>
      </c>
      <c r="J41" s="158">
        <f>INDEX('Monthly Prices'!B29:CB29,$G$4)</f>
        <v>47.64</v>
      </c>
      <c r="K41" s="158" t="b">
        <f>IF(H41,INDEX('Monthly Prices'!B29:CB29,$G$4)*U41,FALSE)</f>
        <v>0</v>
      </c>
      <c r="L41" s="152" t="b">
        <f t="shared" si="7"/>
        <v>1</v>
      </c>
      <c r="M41" s="158">
        <f>INDEX('Monthly Prices'!B29:CB29,$G$5)</f>
        <v>21.567326153780002</v>
      </c>
      <c r="N41" s="158" t="b">
        <f>IF(H41,INDEX('Monthly Prices'!B29:CB29,$G$5)*U41,FALSE)</f>
        <v>0</v>
      </c>
      <c r="O41" s="152" t="b">
        <f t="shared" si="4"/>
        <v>1</v>
      </c>
      <c r="P41" s="152">
        <f t="shared" si="8"/>
        <v>1961</v>
      </c>
      <c r="Q41" s="159">
        <f>'Monthly Prices'!B29</f>
        <v>1.57</v>
      </c>
      <c r="R41" s="159">
        <f t="shared" si="9"/>
        <v>1.57</v>
      </c>
      <c r="S41" s="155">
        <f>_xlfn.XLOOKUP(P41,'Annual Real'!A:A,'Annual Real'!B:B,0,0)</f>
        <v>8.0450247775147492</v>
      </c>
      <c r="T41" s="155">
        <f t="shared" ca="1" si="10"/>
        <v>6.7037173945410222</v>
      </c>
      <c r="U41" s="152">
        <f t="shared" ca="1" si="11"/>
        <v>6.7037173945410222</v>
      </c>
      <c r="V41" s="152" t="b">
        <f t="shared" si="17"/>
        <v>0</v>
      </c>
      <c r="W41" s="152" t="b">
        <f t="shared" si="18"/>
        <v>0</v>
      </c>
      <c r="X41" s="154">
        <f>LOOKUP(D41,'US Implicit Deflator'!A:A,'US Implicit Deflator'!B:B)/100</f>
        <v>4.0000000000000001E-3</v>
      </c>
      <c r="Y41" s="154">
        <f t="shared" si="12"/>
        <v>3.3272377940973819E-4</v>
      </c>
      <c r="Z41" s="165">
        <f t="shared" ca="1" si="13"/>
        <v>1.0186576673221366</v>
      </c>
      <c r="AA41" s="152">
        <f t="shared" si="14"/>
        <v>7</v>
      </c>
      <c r="AB41" s="153">
        <f t="shared" si="15"/>
        <v>22555</v>
      </c>
      <c r="AC41" s="155">
        <f t="shared" ca="1" si="16"/>
        <v>6.7037173945410222</v>
      </c>
    </row>
    <row r="42" spans="3:29">
      <c r="C42" s="152" t="str">
        <f>'Monthly Prices'!A30</f>
        <v>1961M11</v>
      </c>
      <c r="D42" s="153">
        <f t="shared" si="5"/>
        <v>22586</v>
      </c>
      <c r="E42" s="152">
        <f t="shared" si="6"/>
        <v>23</v>
      </c>
      <c r="F42" s="152" t="b">
        <f t="shared" si="0"/>
        <v>0</v>
      </c>
      <c r="G42" s="152" t="b">
        <f t="shared" si="1"/>
        <v>1</v>
      </c>
      <c r="H42" s="152" t="b">
        <f t="shared" si="2"/>
        <v>0</v>
      </c>
      <c r="I42" s="153" t="e">
        <f t="shared" si="3"/>
        <v>#N/A</v>
      </c>
      <c r="J42" s="158">
        <f>INDEX('Monthly Prices'!B30:CB30,$G$4)</f>
        <v>48.42</v>
      </c>
      <c r="K42" s="158" t="b">
        <f>IF(H42,INDEX('Monthly Prices'!B30:CB30,$G$4)*U42,FALSE)</f>
        <v>0</v>
      </c>
      <c r="L42" s="152" t="b">
        <f t="shared" si="7"/>
        <v>1</v>
      </c>
      <c r="M42" s="158">
        <f>INDEX('Monthly Prices'!B30:CB30,$G$5)</f>
        <v>21.96639030907</v>
      </c>
      <c r="N42" s="158" t="b">
        <f>IF(H42,INDEX('Monthly Prices'!B30:CB30,$G$5)*U42,FALSE)</f>
        <v>0</v>
      </c>
      <c r="O42" s="152" t="b">
        <f t="shared" si="4"/>
        <v>1</v>
      </c>
      <c r="P42" s="152">
        <f t="shared" si="8"/>
        <v>1961</v>
      </c>
      <c r="Q42" s="159">
        <f>'Monthly Prices'!B30</f>
        <v>1.57</v>
      </c>
      <c r="R42" s="159">
        <f t="shared" si="9"/>
        <v>1.57</v>
      </c>
      <c r="S42" s="155">
        <f>_xlfn.XLOOKUP(P42,'Annual Real'!A:A,'Annual Real'!B:B,0,0)</f>
        <v>8.0450247775147492</v>
      </c>
      <c r="T42" s="155">
        <f t="shared" ca="1" si="10"/>
        <v>6.7014876502423659</v>
      </c>
      <c r="U42" s="152">
        <f t="shared" ca="1" si="11"/>
        <v>6.7014876502423659</v>
      </c>
      <c r="V42" s="152" t="b">
        <f t="shared" si="17"/>
        <v>0</v>
      </c>
      <c r="W42" s="152" t="b">
        <f t="shared" si="18"/>
        <v>0</v>
      </c>
      <c r="X42" s="154">
        <f>LOOKUP(D42,'US Implicit Deflator'!A:A,'US Implicit Deflator'!B:B)/100</f>
        <v>4.0000000000000001E-3</v>
      </c>
      <c r="Y42" s="154">
        <f t="shared" si="12"/>
        <v>3.3272377940973819E-4</v>
      </c>
      <c r="Z42" s="165">
        <f t="shared" ca="1" si="13"/>
        <v>1.0189965989511327</v>
      </c>
      <c r="AA42" s="152">
        <f t="shared" si="14"/>
        <v>7</v>
      </c>
      <c r="AB42" s="153">
        <f t="shared" si="15"/>
        <v>22586</v>
      </c>
      <c r="AC42" s="155">
        <f t="shared" ca="1" si="16"/>
        <v>6.7014876502423659</v>
      </c>
    </row>
    <row r="43" spans="3:29">
      <c r="C43" s="152" t="str">
        <f>'Monthly Prices'!A31</f>
        <v>1961M12</v>
      </c>
      <c r="D43" s="153">
        <f t="shared" si="5"/>
        <v>22616</v>
      </c>
      <c r="E43" s="152">
        <f t="shared" si="6"/>
        <v>24</v>
      </c>
      <c r="F43" s="152" t="b">
        <f t="shared" si="0"/>
        <v>0</v>
      </c>
      <c r="G43" s="152" t="b">
        <f t="shared" si="1"/>
        <v>1</v>
      </c>
      <c r="H43" s="152" t="b">
        <f t="shared" si="2"/>
        <v>0</v>
      </c>
      <c r="I43" s="153" t="e">
        <f t="shared" si="3"/>
        <v>#N/A</v>
      </c>
      <c r="J43" s="158">
        <f>INDEX('Monthly Prices'!B31:CB31,$G$4)</f>
        <v>48.42</v>
      </c>
      <c r="K43" s="158" t="b">
        <f>IF(H43,INDEX('Monthly Prices'!B31:CB31,$G$4)*U43,FALSE)</f>
        <v>0</v>
      </c>
      <c r="L43" s="152" t="b">
        <f t="shared" si="7"/>
        <v>1</v>
      </c>
      <c r="M43" s="158">
        <f>INDEX('Monthly Prices'!B31:CB31,$G$5)</f>
        <v>22.121876896629999</v>
      </c>
      <c r="N43" s="158" t="b">
        <f>IF(H43,INDEX('Monthly Prices'!B31:CB31,$G$5)*U43,FALSE)</f>
        <v>0</v>
      </c>
      <c r="O43" s="152" t="b">
        <f t="shared" si="4"/>
        <v>1</v>
      </c>
      <c r="P43" s="152">
        <f t="shared" si="8"/>
        <v>1961</v>
      </c>
      <c r="Q43" s="159">
        <f>'Monthly Prices'!B31</f>
        <v>1.57</v>
      </c>
      <c r="R43" s="159">
        <f t="shared" si="9"/>
        <v>1.57</v>
      </c>
      <c r="S43" s="155">
        <f>_xlfn.XLOOKUP(P43,'Annual Real'!A:A,'Annual Real'!B:B,0,0)</f>
        <v>8.0450247775147492</v>
      </c>
      <c r="T43" s="155">
        <f t="shared" ca="1" si="10"/>
        <v>6.6992586475858973</v>
      </c>
      <c r="U43" s="152">
        <f t="shared" ca="1" si="11"/>
        <v>6.6992586475858973</v>
      </c>
      <c r="V43" s="152" t="b">
        <f t="shared" si="17"/>
        <v>0</v>
      </c>
      <c r="W43" s="152" t="b">
        <f t="shared" si="18"/>
        <v>0</v>
      </c>
      <c r="X43" s="154">
        <f>LOOKUP(D43,'US Implicit Deflator'!A:A,'US Implicit Deflator'!B:B)/100</f>
        <v>4.0000000000000001E-3</v>
      </c>
      <c r="Y43" s="154">
        <f t="shared" si="12"/>
        <v>3.3272377940973819E-4</v>
      </c>
      <c r="Z43" s="165">
        <f t="shared" ca="1" si="13"/>
        <v>1.0193356433507414</v>
      </c>
      <c r="AA43" s="152">
        <f t="shared" si="14"/>
        <v>7</v>
      </c>
      <c r="AB43" s="153">
        <f t="shared" si="15"/>
        <v>22616</v>
      </c>
      <c r="AC43" s="155">
        <f t="shared" ca="1" si="16"/>
        <v>6.6992586475858973</v>
      </c>
    </row>
    <row r="44" spans="3:29">
      <c r="C44" s="152" t="str">
        <f>'Monthly Prices'!A32</f>
        <v>1962M01</v>
      </c>
      <c r="D44" s="153">
        <f t="shared" si="5"/>
        <v>22647</v>
      </c>
      <c r="E44" s="152">
        <f t="shared" si="6"/>
        <v>25</v>
      </c>
      <c r="F44" s="152" t="b">
        <f t="shared" si="0"/>
        <v>0</v>
      </c>
      <c r="G44" s="152" t="b">
        <f t="shared" si="1"/>
        <v>1</v>
      </c>
      <c r="H44" s="152" t="b">
        <f t="shared" si="2"/>
        <v>0</v>
      </c>
      <c r="I44" s="153" t="e">
        <f t="shared" si="3"/>
        <v>#N/A</v>
      </c>
      <c r="J44" s="158">
        <f>INDEX('Monthly Prices'!B32:CB32,$G$4)</f>
        <v>48.03</v>
      </c>
      <c r="K44" s="158" t="b">
        <f>IF(H44,INDEX('Monthly Prices'!B32:CB32,$G$4)*U44,FALSE)</f>
        <v>0</v>
      </c>
      <c r="L44" s="152" t="b">
        <f t="shared" si="7"/>
        <v>1</v>
      </c>
      <c r="M44" s="158">
        <f>INDEX('Monthly Prices'!B32:CB32,$G$5)</f>
        <v>21.797246652470001</v>
      </c>
      <c r="N44" s="158" t="b">
        <f>IF(H44,INDEX('Monthly Prices'!B32:CB32,$G$5)*U44,FALSE)</f>
        <v>0</v>
      </c>
      <c r="O44" s="152" t="b">
        <f t="shared" si="4"/>
        <v>1</v>
      </c>
      <c r="P44" s="152">
        <f t="shared" si="8"/>
        <v>1962</v>
      </c>
      <c r="Q44" s="159">
        <f>'Monthly Prices'!B32</f>
        <v>1.52</v>
      </c>
      <c r="R44" s="159">
        <f t="shared" si="9"/>
        <v>1.5199999999999998</v>
      </c>
      <c r="S44" s="155">
        <f>_xlfn.XLOOKUP(P44,'Annual Real'!A:A,'Annual Real'!B:B,0,0)</f>
        <v>7.64613777440701</v>
      </c>
      <c r="T44" s="155">
        <f t="shared" ca="1" si="10"/>
        <v>6.6948117217078096</v>
      </c>
      <c r="U44" s="152">
        <f t="shared" ca="1" si="11"/>
        <v>6.6948117217078096</v>
      </c>
      <c r="V44" s="152" t="b">
        <f t="shared" si="17"/>
        <v>0</v>
      </c>
      <c r="W44" s="152" t="b">
        <f t="shared" si="18"/>
        <v>0</v>
      </c>
      <c r="X44" s="154">
        <f>LOOKUP(D44,'US Implicit Deflator'!A:A,'US Implicit Deflator'!B:B)/100</f>
        <v>8.0000000000000002E-3</v>
      </c>
      <c r="Y44" s="154">
        <f t="shared" si="12"/>
        <v>6.6423464362252993E-4</v>
      </c>
      <c r="Z44" s="165">
        <f t="shared" ca="1" si="13"/>
        <v>1.0200127213985342</v>
      </c>
      <c r="AA44" s="152">
        <f t="shared" si="14"/>
        <v>7</v>
      </c>
      <c r="AB44" s="153">
        <f t="shared" si="15"/>
        <v>22647</v>
      </c>
      <c r="AC44" s="155">
        <f t="shared" ca="1" si="16"/>
        <v>6.6948117217078096</v>
      </c>
    </row>
    <row r="45" spans="3:29">
      <c r="C45" s="152" t="str">
        <f>'Monthly Prices'!A33</f>
        <v>1962M02</v>
      </c>
      <c r="D45" s="153">
        <f t="shared" si="5"/>
        <v>22678</v>
      </c>
      <c r="E45" s="152">
        <f t="shared" si="6"/>
        <v>26</v>
      </c>
      <c r="F45" s="152" t="b">
        <f t="shared" si="0"/>
        <v>0</v>
      </c>
      <c r="G45" s="152" t="b">
        <f t="shared" si="1"/>
        <v>1</v>
      </c>
      <c r="H45" s="152" t="b">
        <f t="shared" si="2"/>
        <v>0</v>
      </c>
      <c r="I45" s="153" t="e">
        <f t="shared" si="3"/>
        <v>#N/A</v>
      </c>
      <c r="J45" s="158">
        <f>INDEX('Monthly Prices'!B33:CB33,$G$4)</f>
        <v>48.03</v>
      </c>
      <c r="K45" s="158" t="b">
        <f>IF(H45,INDEX('Monthly Prices'!B33:CB33,$G$4)*U45,FALSE)</f>
        <v>0</v>
      </c>
      <c r="L45" s="152" t="b">
        <f t="shared" si="7"/>
        <v>1</v>
      </c>
      <c r="M45" s="158">
        <f>INDEX('Monthly Prices'!B33:CB33,$G$5)</f>
        <v>21.95367181692</v>
      </c>
      <c r="N45" s="158" t="b">
        <f>IF(H45,INDEX('Monthly Prices'!B33:CB33,$G$5)*U45,FALSE)</f>
        <v>0</v>
      </c>
      <c r="O45" s="152" t="b">
        <f t="shared" si="4"/>
        <v>1</v>
      </c>
      <c r="P45" s="152">
        <f t="shared" si="8"/>
        <v>1962</v>
      </c>
      <c r="Q45" s="159">
        <f>'Monthly Prices'!B33</f>
        <v>1.52</v>
      </c>
      <c r="R45" s="159">
        <f t="shared" si="9"/>
        <v>1.5199999999999998</v>
      </c>
      <c r="S45" s="155">
        <f>_xlfn.XLOOKUP(P45,'Annual Real'!A:A,'Annual Real'!B:B,0,0)</f>
        <v>7.64613777440701</v>
      </c>
      <c r="T45" s="155">
        <f t="shared" ca="1" si="10"/>
        <v>6.6903677476712318</v>
      </c>
      <c r="U45" s="152">
        <f t="shared" ca="1" si="11"/>
        <v>6.6903677476712318</v>
      </c>
      <c r="V45" s="152" t="b">
        <f t="shared" si="17"/>
        <v>0</v>
      </c>
      <c r="W45" s="152" t="b">
        <f t="shared" si="18"/>
        <v>0</v>
      </c>
      <c r="X45" s="154">
        <f>LOOKUP(D45,'US Implicit Deflator'!A:A,'US Implicit Deflator'!B:B)/100</f>
        <v>8.0000000000000002E-3</v>
      </c>
      <c r="Y45" s="154">
        <f t="shared" si="12"/>
        <v>6.6423464362252993E-4</v>
      </c>
      <c r="Z45" s="165">
        <f t="shared" ca="1" si="13"/>
        <v>1.0206902491850227</v>
      </c>
      <c r="AA45" s="152">
        <f t="shared" si="14"/>
        <v>7</v>
      </c>
      <c r="AB45" s="153">
        <f t="shared" si="15"/>
        <v>22678</v>
      </c>
      <c r="AC45" s="155">
        <f t="shared" ca="1" si="16"/>
        <v>6.6903677476712318</v>
      </c>
    </row>
    <row r="46" spans="3:29">
      <c r="C46" s="152" t="str">
        <f>'Monthly Prices'!A34</f>
        <v>1962M03</v>
      </c>
      <c r="D46" s="153">
        <f t="shared" si="5"/>
        <v>22706</v>
      </c>
      <c r="E46" s="152">
        <f t="shared" si="6"/>
        <v>27</v>
      </c>
      <c r="F46" s="152" t="b">
        <f t="shared" si="0"/>
        <v>0</v>
      </c>
      <c r="G46" s="152" t="b">
        <f t="shared" si="1"/>
        <v>1</v>
      </c>
      <c r="H46" s="152" t="b">
        <f t="shared" si="2"/>
        <v>0</v>
      </c>
      <c r="I46" s="153" t="e">
        <f t="shared" si="3"/>
        <v>#N/A</v>
      </c>
      <c r="J46" s="158">
        <f>INDEX('Monthly Prices'!B34:CB34,$G$4)</f>
        <v>48.82</v>
      </c>
      <c r="K46" s="158" t="b">
        <f>IF(H46,INDEX('Monthly Prices'!B34:CB34,$G$4)*U46,FALSE)</f>
        <v>0</v>
      </c>
      <c r="L46" s="152" t="b">
        <f t="shared" si="7"/>
        <v>1</v>
      </c>
      <c r="M46" s="158">
        <f>INDEX('Monthly Prices'!B34:CB34,$G$5)</f>
        <v>22.17561032843</v>
      </c>
      <c r="N46" s="158" t="b">
        <f>IF(H46,INDEX('Monthly Prices'!B34:CB34,$G$5)*U46,FALSE)</f>
        <v>0</v>
      </c>
      <c r="O46" s="152" t="b">
        <f t="shared" si="4"/>
        <v>1</v>
      </c>
      <c r="P46" s="152">
        <f t="shared" si="8"/>
        <v>1962</v>
      </c>
      <c r="Q46" s="159">
        <f>'Monthly Prices'!B34</f>
        <v>1.52</v>
      </c>
      <c r="R46" s="159">
        <f t="shared" si="9"/>
        <v>1.5199999999999998</v>
      </c>
      <c r="S46" s="155">
        <f>_xlfn.XLOOKUP(P46,'Annual Real'!A:A,'Annual Real'!B:B,0,0)</f>
        <v>7.64613777440701</v>
      </c>
      <c r="T46" s="155">
        <f t="shared" ca="1" si="10"/>
        <v>6.6859267235167508</v>
      </c>
      <c r="U46" s="152">
        <f t="shared" ca="1" si="11"/>
        <v>6.6859267235167508</v>
      </c>
      <c r="V46" s="152" t="b">
        <f t="shared" si="17"/>
        <v>0</v>
      </c>
      <c r="W46" s="152" t="b">
        <f t="shared" si="18"/>
        <v>0</v>
      </c>
      <c r="X46" s="154">
        <f>LOOKUP(D46,'US Implicit Deflator'!A:A,'US Implicit Deflator'!B:B)/100</f>
        <v>8.0000000000000002E-3</v>
      </c>
      <c r="Y46" s="154">
        <f t="shared" si="12"/>
        <v>6.6423464362252993E-4</v>
      </c>
      <c r="Z46" s="165">
        <f t="shared" ca="1" si="13"/>
        <v>1.021368227008939</v>
      </c>
      <c r="AA46" s="152">
        <f t="shared" si="14"/>
        <v>7</v>
      </c>
      <c r="AB46" s="153">
        <f t="shared" si="15"/>
        <v>22706</v>
      </c>
      <c r="AC46" s="155">
        <f t="shared" ca="1" si="16"/>
        <v>6.6859267235167508</v>
      </c>
    </row>
    <row r="47" spans="3:29">
      <c r="C47" s="152" t="str">
        <f>'Monthly Prices'!A35</f>
        <v>1962M04</v>
      </c>
      <c r="D47" s="153">
        <f t="shared" si="5"/>
        <v>22737</v>
      </c>
      <c r="E47" s="152">
        <f t="shared" si="6"/>
        <v>28</v>
      </c>
      <c r="F47" s="152" t="b">
        <f t="shared" si="0"/>
        <v>0</v>
      </c>
      <c r="G47" s="152" t="b">
        <f t="shared" si="1"/>
        <v>1</v>
      </c>
      <c r="H47" s="152" t="b">
        <f t="shared" si="2"/>
        <v>0</v>
      </c>
      <c r="I47" s="153" t="e">
        <f t="shared" si="3"/>
        <v>#N/A</v>
      </c>
      <c r="J47" s="158">
        <f>INDEX('Monthly Prices'!B35:CB35,$G$4)</f>
        <v>48.82</v>
      </c>
      <c r="K47" s="158" t="b">
        <f>IF(H47,INDEX('Monthly Prices'!B35:CB35,$G$4)*U47,FALSE)</f>
        <v>0</v>
      </c>
      <c r="L47" s="152" t="b">
        <f t="shared" si="7"/>
        <v>1</v>
      </c>
      <c r="M47" s="158">
        <f>INDEX('Monthly Prices'!B35:CB35,$G$5)</f>
        <v>22.27341882951</v>
      </c>
      <c r="N47" s="158" t="b">
        <f>IF(H47,INDEX('Monthly Prices'!B35:CB35,$G$5)*U47,FALSE)</f>
        <v>0</v>
      </c>
      <c r="O47" s="152" t="b">
        <f t="shared" si="4"/>
        <v>1</v>
      </c>
      <c r="P47" s="152">
        <f t="shared" si="8"/>
        <v>1962</v>
      </c>
      <c r="Q47" s="159">
        <f>'Monthly Prices'!B35</f>
        <v>1.52</v>
      </c>
      <c r="R47" s="159">
        <f t="shared" si="9"/>
        <v>1.5199999999999998</v>
      </c>
      <c r="S47" s="155">
        <f>_xlfn.XLOOKUP(P47,'Annual Real'!A:A,'Annual Real'!B:B,0,0)</f>
        <v>7.64613777440701</v>
      </c>
      <c r="T47" s="155">
        <f t="shared" ca="1" si="10"/>
        <v>6.6809365721620297</v>
      </c>
      <c r="U47" s="152">
        <f t="shared" ca="1" si="11"/>
        <v>6.6809365721620297</v>
      </c>
      <c r="V47" s="152" t="b">
        <f t="shared" si="17"/>
        <v>0</v>
      </c>
      <c r="W47" s="152" t="b">
        <f t="shared" si="18"/>
        <v>0</v>
      </c>
      <c r="X47" s="154">
        <f>LOOKUP(D47,'US Implicit Deflator'!A:A,'US Implicit Deflator'!B:B)/100</f>
        <v>9.0000000000000011E-3</v>
      </c>
      <c r="Y47" s="154">
        <f t="shared" si="12"/>
        <v>7.4692392313879807E-4</v>
      </c>
      <c r="Z47" s="165">
        <f t="shared" ca="1" si="13"/>
        <v>1.0221311113720259</v>
      </c>
      <c r="AA47" s="152">
        <f t="shared" si="14"/>
        <v>7</v>
      </c>
      <c r="AB47" s="153">
        <f t="shared" si="15"/>
        <v>22737</v>
      </c>
      <c r="AC47" s="155">
        <f t="shared" ca="1" si="16"/>
        <v>6.6809365721620297</v>
      </c>
    </row>
    <row r="48" spans="3:29">
      <c r="C48" s="152" t="str">
        <f>'Monthly Prices'!A36</f>
        <v>1962M05</v>
      </c>
      <c r="D48" s="153">
        <f t="shared" si="5"/>
        <v>22767</v>
      </c>
      <c r="E48" s="152">
        <f t="shared" si="6"/>
        <v>29</v>
      </c>
      <c r="F48" s="152" t="b">
        <f t="shared" si="0"/>
        <v>0</v>
      </c>
      <c r="G48" s="152" t="b">
        <f t="shared" si="1"/>
        <v>1</v>
      </c>
      <c r="H48" s="152" t="b">
        <f t="shared" si="2"/>
        <v>0</v>
      </c>
      <c r="I48" s="153" t="e">
        <f t="shared" si="3"/>
        <v>#N/A</v>
      </c>
      <c r="J48" s="158">
        <f>INDEX('Monthly Prices'!B36:CB36,$G$4)</f>
        <v>49.6</v>
      </c>
      <c r="K48" s="158" t="b">
        <f>IF(H48,INDEX('Monthly Prices'!B36:CB36,$G$4)*U48,FALSE)</f>
        <v>0</v>
      </c>
      <c r="L48" s="152" t="b">
        <f t="shared" si="7"/>
        <v>1</v>
      </c>
      <c r="M48" s="158">
        <f>INDEX('Monthly Prices'!B36:CB36,$G$5)</f>
        <v>22.675147729230002</v>
      </c>
      <c r="N48" s="158" t="b">
        <f>IF(H48,INDEX('Monthly Prices'!B36:CB36,$G$5)*U48,FALSE)</f>
        <v>0</v>
      </c>
      <c r="O48" s="152" t="b">
        <f t="shared" si="4"/>
        <v>1</v>
      </c>
      <c r="P48" s="152">
        <f t="shared" si="8"/>
        <v>1962</v>
      </c>
      <c r="Q48" s="159">
        <f>'Monthly Prices'!B36</f>
        <v>1.52</v>
      </c>
      <c r="R48" s="159">
        <f t="shared" si="9"/>
        <v>1.5199999999999998</v>
      </c>
      <c r="S48" s="155">
        <f>_xlfn.XLOOKUP(P48,'Annual Real'!A:A,'Annual Real'!B:B,0,0)</f>
        <v>7.64613777440701</v>
      </c>
      <c r="T48" s="155">
        <f t="shared" ca="1" si="10"/>
        <v>6.6759501452888319</v>
      </c>
      <c r="U48" s="152">
        <f t="shared" ca="1" si="11"/>
        <v>6.6759501452888319</v>
      </c>
      <c r="V48" s="152" t="b">
        <f t="shared" si="17"/>
        <v>0</v>
      </c>
      <c r="W48" s="152" t="b">
        <f t="shared" si="18"/>
        <v>0</v>
      </c>
      <c r="X48" s="154">
        <f>LOOKUP(D48,'US Implicit Deflator'!A:A,'US Implicit Deflator'!B:B)/100</f>
        <v>9.0000000000000011E-3</v>
      </c>
      <c r="Y48" s="154">
        <f t="shared" si="12"/>
        <v>7.4692392313879807E-4</v>
      </c>
      <c r="Z48" s="165">
        <f t="shared" ca="1" si="13"/>
        <v>1.0228945655516941</v>
      </c>
      <c r="AA48" s="152">
        <f t="shared" si="14"/>
        <v>7</v>
      </c>
      <c r="AB48" s="153">
        <f t="shared" si="15"/>
        <v>22767</v>
      </c>
      <c r="AC48" s="155">
        <f t="shared" ca="1" si="16"/>
        <v>6.6759501452888319</v>
      </c>
    </row>
    <row r="49" spans="3:29">
      <c r="C49" s="152" t="str">
        <f>'Monthly Prices'!A37</f>
        <v>1962M06</v>
      </c>
      <c r="D49" s="153">
        <f t="shared" si="5"/>
        <v>22798</v>
      </c>
      <c r="E49" s="152">
        <f t="shared" si="6"/>
        <v>30</v>
      </c>
      <c r="F49" s="152" t="b">
        <f t="shared" si="0"/>
        <v>0</v>
      </c>
      <c r="G49" s="152" t="b">
        <f t="shared" si="1"/>
        <v>1</v>
      </c>
      <c r="H49" s="152" t="b">
        <f t="shared" si="2"/>
        <v>0</v>
      </c>
      <c r="I49" s="153" t="e">
        <f t="shared" si="3"/>
        <v>#N/A</v>
      </c>
      <c r="J49" s="158">
        <f>INDEX('Monthly Prices'!B37:CB37,$G$4)</f>
        <v>49.6</v>
      </c>
      <c r="K49" s="158" t="b">
        <f>IF(H49,INDEX('Monthly Prices'!B37:CB37,$G$4)*U49,FALSE)</f>
        <v>0</v>
      </c>
      <c r="L49" s="152" t="b">
        <f t="shared" si="7"/>
        <v>1</v>
      </c>
      <c r="M49" s="158">
        <f>INDEX('Monthly Prices'!B37:CB37,$G$5)</f>
        <v>22.832105960450001</v>
      </c>
      <c r="N49" s="158" t="b">
        <f>IF(H49,INDEX('Monthly Prices'!B37:CB37,$G$5)*U49,FALSE)</f>
        <v>0</v>
      </c>
      <c r="O49" s="152" t="b">
        <f t="shared" si="4"/>
        <v>1</v>
      </c>
      <c r="P49" s="152">
        <f t="shared" si="8"/>
        <v>1962</v>
      </c>
      <c r="Q49" s="159">
        <f>'Monthly Prices'!B37</f>
        <v>1.52</v>
      </c>
      <c r="R49" s="159">
        <f t="shared" si="9"/>
        <v>1.5199999999999998</v>
      </c>
      <c r="S49" s="155">
        <f>_xlfn.XLOOKUP(P49,'Annual Real'!A:A,'Annual Real'!B:B,0,0)</f>
        <v>7.64613777440701</v>
      </c>
      <c r="T49" s="155">
        <f t="shared" ca="1" si="10"/>
        <v>6.6709674401173285</v>
      </c>
      <c r="U49" s="152">
        <f t="shared" ca="1" si="11"/>
        <v>6.6709674401173285</v>
      </c>
      <c r="V49" s="152" t="b">
        <f t="shared" si="17"/>
        <v>0</v>
      </c>
      <c r="W49" s="152" t="b">
        <f t="shared" si="18"/>
        <v>0</v>
      </c>
      <c r="X49" s="154">
        <f>LOOKUP(D49,'US Implicit Deflator'!A:A,'US Implicit Deflator'!B:B)/100</f>
        <v>9.0000000000000011E-3</v>
      </c>
      <c r="Y49" s="154">
        <f t="shared" si="12"/>
        <v>7.4692392313879807E-4</v>
      </c>
      <c r="Z49" s="165">
        <f t="shared" ca="1" si="13"/>
        <v>1.0236585899735533</v>
      </c>
      <c r="AA49" s="152">
        <f t="shared" si="14"/>
        <v>7</v>
      </c>
      <c r="AB49" s="153">
        <f t="shared" si="15"/>
        <v>22798</v>
      </c>
      <c r="AC49" s="155">
        <f t="shared" ca="1" si="16"/>
        <v>6.6709674401173285</v>
      </c>
    </row>
    <row r="50" spans="3:29">
      <c r="C50" s="152" t="str">
        <f>'Monthly Prices'!A38</f>
        <v>1962M07</v>
      </c>
      <c r="D50" s="153">
        <f t="shared" si="5"/>
        <v>22828</v>
      </c>
      <c r="E50" s="152">
        <f t="shared" si="6"/>
        <v>31</v>
      </c>
      <c r="F50" s="152" t="b">
        <f t="shared" si="0"/>
        <v>0</v>
      </c>
      <c r="G50" s="152" t="b">
        <f t="shared" si="1"/>
        <v>1</v>
      </c>
      <c r="H50" s="152" t="b">
        <f t="shared" si="2"/>
        <v>0</v>
      </c>
      <c r="I50" s="153" t="e">
        <f t="shared" si="3"/>
        <v>#N/A</v>
      </c>
      <c r="J50" s="158">
        <f>INDEX('Monthly Prices'!B38:CB38,$G$4)</f>
        <v>48.82</v>
      </c>
      <c r="K50" s="158" t="b">
        <f>IF(H50,INDEX('Monthly Prices'!B38:CB38,$G$4)*U50,FALSE)</f>
        <v>0</v>
      </c>
      <c r="L50" s="152" t="b">
        <f t="shared" si="7"/>
        <v>1</v>
      </c>
      <c r="M50" s="158">
        <f>INDEX('Monthly Prices'!B38:CB38,$G$5)</f>
        <v>22.922736732760001</v>
      </c>
      <c r="N50" s="158" t="b">
        <f>IF(H50,INDEX('Monthly Prices'!B38:CB38,$G$5)*U50,FALSE)</f>
        <v>0</v>
      </c>
      <c r="O50" s="152" t="b">
        <f t="shared" si="4"/>
        <v>1</v>
      </c>
      <c r="P50" s="152">
        <f t="shared" si="8"/>
        <v>1962</v>
      </c>
      <c r="Q50" s="159">
        <f>'Monthly Prices'!B38</f>
        <v>1.52</v>
      </c>
      <c r="R50" s="159">
        <f t="shared" si="9"/>
        <v>1.5199999999999998</v>
      </c>
      <c r="S50" s="155">
        <f>_xlfn.XLOOKUP(P50,'Annual Real'!A:A,'Annual Real'!B:B,0,0)</f>
        <v>7.64613777440701</v>
      </c>
      <c r="T50" s="155">
        <f t="shared" ca="1" si="10"/>
        <v>6.6654382050773977</v>
      </c>
      <c r="U50" s="152">
        <f t="shared" ca="1" si="11"/>
        <v>6.6654382050773977</v>
      </c>
      <c r="V50" s="152" t="b">
        <f t="shared" si="17"/>
        <v>0</v>
      </c>
      <c r="W50" s="152" t="b">
        <f t="shared" si="18"/>
        <v>0</v>
      </c>
      <c r="X50" s="154">
        <f>LOOKUP(D50,'US Implicit Deflator'!A:A,'US Implicit Deflator'!B:B)/100</f>
        <v>0.01</v>
      </c>
      <c r="Y50" s="154">
        <f t="shared" si="12"/>
        <v>8.295381143461622E-4</v>
      </c>
      <c r="Z50" s="165">
        <f t="shared" ca="1" si="13"/>
        <v>1.0245077537900142</v>
      </c>
      <c r="AA50" s="152">
        <f t="shared" si="14"/>
        <v>7</v>
      </c>
      <c r="AB50" s="153">
        <f t="shared" si="15"/>
        <v>22828</v>
      </c>
      <c r="AC50" s="155">
        <f t="shared" ca="1" si="16"/>
        <v>6.6654382050773977</v>
      </c>
    </row>
    <row r="51" spans="3:29">
      <c r="C51" s="152" t="str">
        <f>'Monthly Prices'!A39</f>
        <v>1962M08</v>
      </c>
      <c r="D51" s="153">
        <f t="shared" si="5"/>
        <v>22859</v>
      </c>
      <c r="E51" s="152">
        <f t="shared" si="6"/>
        <v>32</v>
      </c>
      <c r="F51" s="152" t="b">
        <f t="shared" si="0"/>
        <v>0</v>
      </c>
      <c r="G51" s="152" t="b">
        <f t="shared" si="1"/>
        <v>1</v>
      </c>
      <c r="H51" s="152" t="b">
        <f t="shared" si="2"/>
        <v>0</v>
      </c>
      <c r="I51" s="153" t="e">
        <f t="shared" si="3"/>
        <v>#N/A</v>
      </c>
      <c r="J51" s="158">
        <f>INDEX('Monthly Prices'!B39:CB39,$G$4)</f>
        <v>47.24</v>
      </c>
      <c r="K51" s="158" t="b">
        <f>IF(H51,INDEX('Monthly Prices'!B39:CB39,$G$4)*U51,FALSE)</f>
        <v>0</v>
      </c>
      <c r="L51" s="152" t="b">
        <f t="shared" si="7"/>
        <v>1</v>
      </c>
      <c r="M51" s="158">
        <f>INDEX('Monthly Prices'!B39:CB39,$G$5)</f>
        <v>22.87706753977</v>
      </c>
      <c r="N51" s="158" t="b">
        <f>IF(H51,INDEX('Monthly Prices'!B39:CB39,$G$5)*U51,FALSE)</f>
        <v>0</v>
      </c>
      <c r="O51" s="152" t="b">
        <f t="shared" si="4"/>
        <v>1</v>
      </c>
      <c r="P51" s="152">
        <f t="shared" si="8"/>
        <v>1962</v>
      </c>
      <c r="Q51" s="159">
        <f>'Monthly Prices'!B39</f>
        <v>1.52</v>
      </c>
      <c r="R51" s="159">
        <f t="shared" si="9"/>
        <v>1.5199999999999998</v>
      </c>
      <c r="S51" s="155">
        <f>_xlfn.XLOOKUP(P51,'Annual Real'!A:A,'Annual Real'!B:B,0,0)</f>
        <v>7.64613777440701</v>
      </c>
      <c r="T51" s="155">
        <f t="shared" ca="1" si="10"/>
        <v>6.6599135529469775</v>
      </c>
      <c r="U51" s="152">
        <f t="shared" ca="1" si="11"/>
        <v>6.6599135529469775</v>
      </c>
      <c r="V51" s="152" t="b">
        <f t="shared" si="17"/>
        <v>0</v>
      </c>
      <c r="W51" s="152" t="b">
        <f t="shared" si="18"/>
        <v>0</v>
      </c>
      <c r="X51" s="154">
        <f>LOOKUP(D51,'US Implicit Deflator'!A:A,'US Implicit Deflator'!B:B)/100</f>
        <v>0.01</v>
      </c>
      <c r="Y51" s="154">
        <f t="shared" si="12"/>
        <v>8.295381143461622E-4</v>
      </c>
      <c r="Z51" s="165">
        <f t="shared" ca="1" si="13"/>
        <v>1.0253576220202263</v>
      </c>
      <c r="AA51" s="152">
        <f t="shared" si="14"/>
        <v>7</v>
      </c>
      <c r="AB51" s="153">
        <f t="shared" si="15"/>
        <v>22859</v>
      </c>
      <c r="AC51" s="155">
        <f t="shared" ca="1" si="16"/>
        <v>6.6599135529469775</v>
      </c>
    </row>
    <row r="52" spans="3:29">
      <c r="C52" s="152" t="str">
        <f>'Monthly Prices'!A40</f>
        <v>1962M09</v>
      </c>
      <c r="D52" s="153">
        <f t="shared" si="5"/>
        <v>22890</v>
      </c>
      <c r="E52" s="152">
        <f t="shared" si="6"/>
        <v>33</v>
      </c>
      <c r="F52" s="152" t="b">
        <f t="shared" si="0"/>
        <v>0</v>
      </c>
      <c r="G52" s="152" t="b">
        <f t="shared" si="1"/>
        <v>1</v>
      </c>
      <c r="H52" s="152" t="b">
        <f t="shared" si="2"/>
        <v>0</v>
      </c>
      <c r="I52" s="153" t="e">
        <f t="shared" si="3"/>
        <v>#N/A</v>
      </c>
      <c r="J52" s="158">
        <f>INDEX('Monthly Prices'!B40:CB40,$G$4)</f>
        <v>47.64</v>
      </c>
      <c r="K52" s="158" t="b">
        <f>IF(H52,INDEX('Monthly Prices'!B40:CB40,$G$4)*U52,FALSE)</f>
        <v>0</v>
      </c>
      <c r="L52" s="152" t="b">
        <f t="shared" si="7"/>
        <v>1</v>
      </c>
      <c r="M52" s="158">
        <f>INDEX('Monthly Prices'!B40:CB40,$G$5)</f>
        <v>22.864260300200002</v>
      </c>
      <c r="N52" s="158" t="b">
        <f>IF(H52,INDEX('Monthly Prices'!B40:CB40,$G$5)*U52,FALSE)</f>
        <v>0</v>
      </c>
      <c r="O52" s="152" t="b">
        <f t="shared" si="4"/>
        <v>1</v>
      </c>
      <c r="P52" s="152">
        <f t="shared" si="8"/>
        <v>1962</v>
      </c>
      <c r="Q52" s="159">
        <f>'Monthly Prices'!B40</f>
        <v>1.52</v>
      </c>
      <c r="R52" s="159">
        <f t="shared" si="9"/>
        <v>1.5199999999999998</v>
      </c>
      <c r="S52" s="155">
        <f>_xlfn.XLOOKUP(P52,'Annual Real'!A:A,'Annual Real'!B:B,0,0)</f>
        <v>7.64613777440701</v>
      </c>
      <c r="T52" s="155">
        <f t="shared" ca="1" si="10"/>
        <v>6.6543934799275215</v>
      </c>
      <c r="U52" s="152">
        <f t="shared" ca="1" si="11"/>
        <v>6.6543934799275215</v>
      </c>
      <c r="V52" s="152" t="b">
        <f t="shared" si="17"/>
        <v>0</v>
      </c>
      <c r="W52" s="152" t="b">
        <f t="shared" si="18"/>
        <v>0</v>
      </c>
      <c r="X52" s="154">
        <f>LOOKUP(D52,'US Implicit Deflator'!A:A,'US Implicit Deflator'!B:B)/100</f>
        <v>0.01</v>
      </c>
      <c r="Y52" s="154">
        <f t="shared" si="12"/>
        <v>8.295381143461622E-4</v>
      </c>
      <c r="Z52" s="165">
        <f t="shared" ca="1" si="13"/>
        <v>1.0262081952485274</v>
      </c>
      <c r="AA52" s="152">
        <f t="shared" si="14"/>
        <v>7</v>
      </c>
      <c r="AB52" s="153">
        <f t="shared" si="15"/>
        <v>22890</v>
      </c>
      <c r="AC52" s="155">
        <f t="shared" ca="1" si="16"/>
        <v>6.6543934799275215</v>
      </c>
    </row>
    <row r="53" spans="3:29">
      <c r="C53" s="152" t="str">
        <f>'Monthly Prices'!A41</f>
        <v>1962M10</v>
      </c>
      <c r="D53" s="153">
        <f t="shared" si="5"/>
        <v>22920</v>
      </c>
      <c r="E53" s="152">
        <f t="shared" si="6"/>
        <v>34</v>
      </c>
      <c r="F53" s="152" t="b">
        <f t="shared" si="0"/>
        <v>0</v>
      </c>
      <c r="G53" s="152" t="b">
        <f t="shared" si="1"/>
        <v>1</v>
      </c>
      <c r="H53" s="152" t="b">
        <f t="shared" si="2"/>
        <v>0</v>
      </c>
      <c r="I53" s="153" t="e">
        <f t="shared" si="3"/>
        <v>#N/A</v>
      </c>
      <c r="J53" s="158">
        <f>INDEX('Monthly Prices'!B41:CB41,$G$4)</f>
        <v>47.64</v>
      </c>
      <c r="K53" s="158" t="b">
        <f>IF(H53,INDEX('Monthly Prices'!B41:CB41,$G$4)*U53,FALSE)</f>
        <v>0</v>
      </c>
      <c r="L53" s="152" t="b">
        <f t="shared" si="7"/>
        <v>1</v>
      </c>
      <c r="M53" s="158">
        <f>INDEX('Monthly Prices'!B41:CB41,$G$5)</f>
        <v>22.66588606885</v>
      </c>
      <c r="N53" s="158" t="b">
        <f>IF(H53,INDEX('Monthly Prices'!B41:CB41,$G$5)*U53,FALSE)</f>
        <v>0</v>
      </c>
      <c r="O53" s="152" t="b">
        <f t="shared" si="4"/>
        <v>1</v>
      </c>
      <c r="P53" s="152">
        <f t="shared" si="8"/>
        <v>1962</v>
      </c>
      <c r="Q53" s="159">
        <f>'Monthly Prices'!B41</f>
        <v>1.52</v>
      </c>
      <c r="R53" s="159">
        <f t="shared" si="9"/>
        <v>1.5199999999999998</v>
      </c>
      <c r="S53" s="155">
        <f>_xlfn.XLOOKUP(P53,'Annual Real'!A:A,'Annual Real'!B:B,0,0)</f>
        <v>7.64613777440701</v>
      </c>
      <c r="T53" s="155">
        <f t="shared" ca="1" si="10"/>
        <v>6.6494268639276912</v>
      </c>
      <c r="U53" s="152">
        <f t="shared" ca="1" si="11"/>
        <v>6.6494268639276912</v>
      </c>
      <c r="V53" s="152" t="b">
        <f t="shared" si="17"/>
        <v>0</v>
      </c>
      <c r="W53" s="152" t="b">
        <f t="shared" si="18"/>
        <v>0</v>
      </c>
      <c r="X53" s="154">
        <f>LOOKUP(D53,'US Implicit Deflator'!A:A,'US Implicit Deflator'!B:B)/100</f>
        <v>9.0000000000000011E-3</v>
      </c>
      <c r="Y53" s="154">
        <f t="shared" si="12"/>
        <v>7.4692392313879807E-4</v>
      </c>
      <c r="Z53" s="165">
        <f t="shared" ca="1" si="13"/>
        <v>1.0269746946996796</v>
      </c>
      <c r="AA53" s="152">
        <f t="shared" si="14"/>
        <v>7</v>
      </c>
      <c r="AB53" s="153">
        <f t="shared" si="15"/>
        <v>22920</v>
      </c>
      <c r="AC53" s="155">
        <f t="shared" ca="1" si="16"/>
        <v>6.6494268639276912</v>
      </c>
    </row>
    <row r="54" spans="3:29">
      <c r="C54" s="152" t="str">
        <f>'Monthly Prices'!A42</f>
        <v>1962M11</v>
      </c>
      <c r="D54" s="153">
        <f t="shared" si="5"/>
        <v>22951</v>
      </c>
      <c r="E54" s="152">
        <f t="shared" si="6"/>
        <v>35</v>
      </c>
      <c r="F54" s="152" t="b">
        <f t="shared" si="0"/>
        <v>0</v>
      </c>
      <c r="G54" s="152" t="b">
        <f t="shared" si="1"/>
        <v>1</v>
      </c>
      <c r="H54" s="152" t="b">
        <f t="shared" si="2"/>
        <v>0</v>
      </c>
      <c r="I54" s="153" t="e">
        <f t="shared" si="3"/>
        <v>#N/A</v>
      </c>
      <c r="J54" s="158">
        <f>INDEX('Monthly Prices'!B42:CB42,$G$4)</f>
        <v>48.42</v>
      </c>
      <c r="K54" s="158" t="b">
        <f>IF(H54,INDEX('Monthly Prices'!B42:CB42,$G$4)*U54,FALSE)</f>
        <v>0</v>
      </c>
      <c r="L54" s="152" t="b">
        <f t="shared" si="7"/>
        <v>1</v>
      </c>
      <c r="M54" s="158">
        <f>INDEX('Monthly Prices'!B42:CB42,$G$5)</f>
        <v>23.537040897090002</v>
      </c>
      <c r="N54" s="158" t="b">
        <f>IF(H54,INDEX('Monthly Prices'!B42:CB42,$G$5)*U54,FALSE)</f>
        <v>0</v>
      </c>
      <c r="O54" s="152" t="b">
        <f t="shared" si="4"/>
        <v>1</v>
      </c>
      <c r="P54" s="152">
        <f t="shared" si="8"/>
        <v>1962</v>
      </c>
      <c r="Q54" s="159">
        <f>'Monthly Prices'!B42</f>
        <v>1.52</v>
      </c>
      <c r="R54" s="159">
        <f t="shared" si="9"/>
        <v>1.5199999999999998</v>
      </c>
      <c r="S54" s="155">
        <f>_xlfn.XLOOKUP(P54,'Annual Real'!A:A,'Annual Real'!B:B,0,0)</f>
        <v>7.64613777440701</v>
      </c>
      <c r="T54" s="155">
        <f t="shared" ca="1" si="10"/>
        <v>6.6444639548433857</v>
      </c>
      <c r="U54" s="152">
        <f t="shared" ca="1" si="11"/>
        <v>6.6444639548433857</v>
      </c>
      <c r="V54" s="152" t="b">
        <f t="shared" si="17"/>
        <v>0</v>
      </c>
      <c r="W54" s="152" t="b">
        <f t="shared" si="18"/>
        <v>0</v>
      </c>
      <c r="X54" s="154">
        <f>LOOKUP(D54,'US Implicit Deflator'!A:A,'US Implicit Deflator'!B:B)/100</f>
        <v>9.0000000000000011E-3</v>
      </c>
      <c r="Y54" s="154">
        <f t="shared" si="12"/>
        <v>7.4692392313879807E-4</v>
      </c>
      <c r="Z54" s="165">
        <f t="shared" ca="1" si="13"/>
        <v>1.027741766667609</v>
      </c>
      <c r="AA54" s="152">
        <f t="shared" si="14"/>
        <v>7</v>
      </c>
      <c r="AB54" s="153">
        <f t="shared" si="15"/>
        <v>22951</v>
      </c>
      <c r="AC54" s="155">
        <f t="shared" ca="1" si="16"/>
        <v>6.6444639548433857</v>
      </c>
    </row>
    <row r="55" spans="3:29">
      <c r="C55" s="152" t="str">
        <f>'Monthly Prices'!A43</f>
        <v>1962M12</v>
      </c>
      <c r="D55" s="153">
        <f t="shared" si="5"/>
        <v>22981</v>
      </c>
      <c r="E55" s="152">
        <f t="shared" si="6"/>
        <v>36</v>
      </c>
      <c r="F55" s="152" t="b">
        <f t="shared" si="0"/>
        <v>0</v>
      </c>
      <c r="G55" s="152" t="b">
        <f t="shared" si="1"/>
        <v>1</v>
      </c>
      <c r="H55" s="152" t="b">
        <f t="shared" si="2"/>
        <v>0</v>
      </c>
      <c r="I55" s="153" t="e">
        <f t="shared" si="3"/>
        <v>#N/A</v>
      </c>
      <c r="J55" s="158">
        <f>INDEX('Monthly Prices'!B43:CB43,$G$4)</f>
        <v>51.18</v>
      </c>
      <c r="K55" s="158" t="b">
        <f>IF(H55,INDEX('Monthly Prices'!B43:CB43,$G$4)*U55,FALSE)</f>
        <v>0</v>
      </c>
      <c r="L55" s="152" t="b">
        <f t="shared" si="7"/>
        <v>1</v>
      </c>
      <c r="M55" s="158">
        <f>INDEX('Monthly Prices'!B43:CB43,$G$5)</f>
        <v>23.85507759379</v>
      </c>
      <c r="N55" s="158" t="b">
        <f>IF(H55,INDEX('Monthly Prices'!B43:CB43,$G$5)*U55,FALSE)</f>
        <v>0</v>
      </c>
      <c r="O55" s="152" t="b">
        <f t="shared" si="4"/>
        <v>1</v>
      </c>
      <c r="P55" s="152">
        <f t="shared" si="8"/>
        <v>1962</v>
      </c>
      <c r="Q55" s="159">
        <f>'Monthly Prices'!B43</f>
        <v>1.52</v>
      </c>
      <c r="R55" s="159">
        <f t="shared" si="9"/>
        <v>1.5199999999999998</v>
      </c>
      <c r="S55" s="155">
        <f>_xlfn.XLOOKUP(P55,'Annual Real'!A:A,'Annual Real'!B:B,0,0)</f>
        <v>7.64613777440701</v>
      </c>
      <c r="T55" s="155">
        <f t="shared" ca="1" si="10"/>
        <v>6.6395047499078848</v>
      </c>
      <c r="U55" s="152">
        <f t="shared" ca="1" si="11"/>
        <v>6.6395047499078848</v>
      </c>
      <c r="V55" s="152" t="b">
        <f t="shared" si="17"/>
        <v>0</v>
      </c>
      <c r="W55" s="152" t="b">
        <f t="shared" si="18"/>
        <v>0</v>
      </c>
      <c r="X55" s="154">
        <f>LOOKUP(D55,'US Implicit Deflator'!A:A,'US Implicit Deflator'!B:B)/100</f>
        <v>9.0000000000000011E-3</v>
      </c>
      <c r="Y55" s="154">
        <f t="shared" si="12"/>
        <v>7.4692392313879807E-4</v>
      </c>
      <c r="Z55" s="165">
        <f t="shared" ca="1" si="13"/>
        <v>1.028509411579942</v>
      </c>
      <c r="AA55" s="152">
        <f t="shared" si="14"/>
        <v>7</v>
      </c>
      <c r="AB55" s="153">
        <f t="shared" si="15"/>
        <v>22981</v>
      </c>
      <c r="AC55" s="155">
        <f t="shared" ca="1" si="16"/>
        <v>6.6395047499078848</v>
      </c>
    </row>
    <row r="56" spans="3:29">
      <c r="C56" s="152" t="str">
        <f>'Monthly Prices'!A44</f>
        <v>1963M01</v>
      </c>
      <c r="D56" s="153">
        <f t="shared" si="5"/>
        <v>23012</v>
      </c>
      <c r="E56" s="152">
        <f t="shared" si="6"/>
        <v>37</v>
      </c>
      <c r="F56" s="152" t="b">
        <f t="shared" si="0"/>
        <v>0</v>
      </c>
      <c r="G56" s="152" t="b">
        <f t="shared" si="1"/>
        <v>1</v>
      </c>
      <c r="H56" s="152" t="b">
        <f t="shared" si="2"/>
        <v>0</v>
      </c>
      <c r="I56" s="153" t="e">
        <f t="shared" si="3"/>
        <v>#N/A</v>
      </c>
      <c r="J56" s="158">
        <f>INDEX('Monthly Prices'!B44:CB44,$G$4)</f>
        <v>52.75</v>
      </c>
      <c r="K56" s="158" t="b">
        <f>IF(H56,INDEX('Monthly Prices'!B44:CB44,$G$4)*U56,FALSE)</f>
        <v>0</v>
      </c>
      <c r="L56" s="152" t="b">
        <f t="shared" si="7"/>
        <v>1</v>
      </c>
      <c r="M56" s="158">
        <f>INDEX('Monthly Prices'!B44:CB44,$G$5)</f>
        <v>24.08490904168</v>
      </c>
      <c r="N56" s="158" t="b">
        <f>IF(H56,INDEX('Monthly Prices'!B44:CB44,$G$5)*U56,FALSE)</f>
        <v>0</v>
      </c>
      <c r="O56" s="152" t="b">
        <f t="shared" si="4"/>
        <v>1</v>
      </c>
      <c r="P56" s="152">
        <f t="shared" si="8"/>
        <v>1963</v>
      </c>
      <c r="Q56" s="159">
        <f>'Monthly Prices'!B44</f>
        <v>1.5</v>
      </c>
      <c r="R56" s="159">
        <f t="shared" si="9"/>
        <v>1.5</v>
      </c>
      <c r="S56" s="155">
        <f>_xlfn.XLOOKUP(P56,'Annual Real'!A:A,'Annual Real'!B:B,0,0)</f>
        <v>7.6863294052688698</v>
      </c>
      <c r="T56" s="155">
        <f t="shared" ca="1" si="10"/>
        <v>6.6340015927360776</v>
      </c>
      <c r="U56" s="152">
        <f t="shared" ca="1" si="11"/>
        <v>6.6340015927360776</v>
      </c>
      <c r="V56" s="152" t="b">
        <f t="shared" si="17"/>
        <v>0</v>
      </c>
      <c r="W56" s="152" t="b">
        <f t="shared" si="18"/>
        <v>0</v>
      </c>
      <c r="X56" s="154">
        <f>LOOKUP(D56,'US Implicit Deflator'!A:A,'US Implicit Deflator'!B:B)/100</f>
        <v>0.01</v>
      </c>
      <c r="Y56" s="154">
        <f t="shared" si="12"/>
        <v>8.295381143461622E-4</v>
      </c>
      <c r="Z56" s="165">
        <f t="shared" ca="1" si="13"/>
        <v>1.0293625993378113</v>
      </c>
      <c r="AA56" s="152">
        <f t="shared" si="14"/>
        <v>7</v>
      </c>
      <c r="AB56" s="153">
        <f t="shared" si="15"/>
        <v>23012</v>
      </c>
      <c r="AC56" s="155">
        <f t="shared" ca="1" si="16"/>
        <v>6.6340015927360776</v>
      </c>
    </row>
    <row r="57" spans="3:29">
      <c r="C57" s="152" t="str">
        <f>'Monthly Prices'!A45</f>
        <v>1963M02</v>
      </c>
      <c r="D57" s="153">
        <f t="shared" si="5"/>
        <v>23043</v>
      </c>
      <c r="E57" s="152">
        <f t="shared" si="6"/>
        <v>38</v>
      </c>
      <c r="F57" s="152" t="b">
        <f t="shared" si="0"/>
        <v>0</v>
      </c>
      <c r="G57" s="152" t="b">
        <f t="shared" si="1"/>
        <v>1</v>
      </c>
      <c r="H57" s="152" t="b">
        <f t="shared" si="2"/>
        <v>0</v>
      </c>
      <c r="I57" s="153" t="e">
        <f t="shared" si="3"/>
        <v>#N/A</v>
      </c>
      <c r="J57" s="158">
        <f>INDEX('Monthly Prices'!B45:CB45,$G$4)</f>
        <v>53.15</v>
      </c>
      <c r="K57" s="158" t="b">
        <f>IF(H57,INDEX('Monthly Prices'!B45:CB45,$G$4)*U57,FALSE)</f>
        <v>0</v>
      </c>
      <c r="L57" s="152" t="b">
        <f t="shared" si="7"/>
        <v>1</v>
      </c>
      <c r="M57" s="158">
        <f>INDEX('Monthly Prices'!B45:CB45,$G$5)</f>
        <v>24.368774699269999</v>
      </c>
      <c r="N57" s="158" t="b">
        <f>IF(H57,INDEX('Monthly Prices'!B45:CB45,$G$5)*U57,FALSE)</f>
        <v>0</v>
      </c>
      <c r="O57" s="152" t="b">
        <f t="shared" si="4"/>
        <v>1</v>
      </c>
      <c r="P57" s="152">
        <f t="shared" si="8"/>
        <v>1963</v>
      </c>
      <c r="Q57" s="159">
        <f>'Monthly Prices'!B45</f>
        <v>1.5</v>
      </c>
      <c r="R57" s="159">
        <f t="shared" si="9"/>
        <v>1.5</v>
      </c>
      <c r="S57" s="155">
        <f>_xlfn.XLOOKUP(P57,'Annual Real'!A:A,'Annual Real'!B:B,0,0)</f>
        <v>7.6863294052688698</v>
      </c>
      <c r="T57" s="155">
        <f t="shared" ca="1" si="10"/>
        <v>6.628502996859126</v>
      </c>
      <c r="U57" s="152">
        <f t="shared" ca="1" si="11"/>
        <v>6.628502996859126</v>
      </c>
      <c r="V57" s="152" t="b">
        <f t="shared" si="17"/>
        <v>0</v>
      </c>
      <c r="W57" s="152" t="b">
        <f t="shared" si="18"/>
        <v>0</v>
      </c>
      <c r="X57" s="154">
        <f>LOOKUP(D57,'US Implicit Deflator'!A:A,'US Implicit Deflator'!B:B)/100</f>
        <v>0.01</v>
      </c>
      <c r="Y57" s="154">
        <f t="shared" si="12"/>
        <v>8.295381143461622E-4</v>
      </c>
      <c r="Z57" s="165">
        <f t="shared" ca="1" si="13"/>
        <v>1.0302164948474444</v>
      </c>
      <c r="AA57" s="152">
        <f t="shared" si="14"/>
        <v>7</v>
      </c>
      <c r="AB57" s="153">
        <f t="shared" si="15"/>
        <v>23043</v>
      </c>
      <c r="AC57" s="155">
        <f t="shared" ca="1" si="16"/>
        <v>6.628502996859126</v>
      </c>
    </row>
    <row r="58" spans="3:29">
      <c r="C58" s="152" t="str">
        <f>'Monthly Prices'!A46</f>
        <v>1963M03</v>
      </c>
      <c r="D58" s="153">
        <f t="shared" si="5"/>
        <v>23071</v>
      </c>
      <c r="E58" s="152">
        <f t="shared" si="6"/>
        <v>39</v>
      </c>
      <c r="F58" s="152" t="b">
        <f t="shared" si="0"/>
        <v>0</v>
      </c>
      <c r="G58" s="152" t="b">
        <f t="shared" si="1"/>
        <v>1</v>
      </c>
      <c r="H58" s="152" t="b">
        <f t="shared" si="2"/>
        <v>0</v>
      </c>
      <c r="I58" s="153" t="e">
        <f t="shared" si="3"/>
        <v>#N/A</v>
      </c>
      <c r="J58" s="158">
        <f>INDEX('Monthly Prices'!B46:CB46,$G$4)</f>
        <v>52.36</v>
      </c>
      <c r="K58" s="158" t="b">
        <f>IF(H58,INDEX('Monthly Prices'!B46:CB46,$G$4)*U58,FALSE)</f>
        <v>0</v>
      </c>
      <c r="L58" s="152" t="b">
        <f t="shared" si="7"/>
        <v>1</v>
      </c>
      <c r="M58" s="158">
        <f>INDEX('Monthly Prices'!B46:CB46,$G$5)</f>
        <v>24.463360895099999</v>
      </c>
      <c r="N58" s="158" t="b">
        <f>IF(H58,INDEX('Monthly Prices'!B46:CB46,$G$5)*U58,FALSE)</f>
        <v>0</v>
      </c>
      <c r="O58" s="152" t="b">
        <f t="shared" si="4"/>
        <v>1</v>
      </c>
      <c r="P58" s="152">
        <f t="shared" si="8"/>
        <v>1963</v>
      </c>
      <c r="Q58" s="159">
        <f>'Monthly Prices'!B46</f>
        <v>1.5</v>
      </c>
      <c r="R58" s="159">
        <f t="shared" si="9"/>
        <v>1.5</v>
      </c>
      <c r="S58" s="155">
        <f>_xlfn.XLOOKUP(P58,'Annual Real'!A:A,'Annual Real'!B:B,0,0)</f>
        <v>7.6863294052688698</v>
      </c>
      <c r="T58" s="155">
        <f t="shared" ca="1" si="10"/>
        <v>6.6230089584963974</v>
      </c>
      <c r="U58" s="152">
        <f t="shared" ca="1" si="11"/>
        <v>6.6230089584963974</v>
      </c>
      <c r="V58" s="152" t="b">
        <f t="shared" si="17"/>
        <v>0</v>
      </c>
      <c r="W58" s="152" t="b">
        <f t="shared" si="18"/>
        <v>0</v>
      </c>
      <c r="X58" s="154">
        <f>LOOKUP(D58,'US Implicit Deflator'!A:A,'US Implicit Deflator'!B:B)/100</f>
        <v>0.01</v>
      </c>
      <c r="Y58" s="154">
        <f t="shared" si="12"/>
        <v>8.295381143461622E-4</v>
      </c>
      <c r="Z58" s="165">
        <f t="shared" ca="1" si="13"/>
        <v>1.0310710986959484</v>
      </c>
      <c r="AA58" s="152">
        <f t="shared" si="14"/>
        <v>7</v>
      </c>
      <c r="AB58" s="153">
        <f t="shared" si="15"/>
        <v>23071</v>
      </c>
      <c r="AC58" s="155">
        <f t="shared" ca="1" si="16"/>
        <v>6.6230089584963974</v>
      </c>
    </row>
    <row r="59" spans="3:29">
      <c r="C59" s="152" t="str">
        <f>'Monthly Prices'!A47</f>
        <v>1963M04</v>
      </c>
      <c r="D59" s="153">
        <f t="shared" si="5"/>
        <v>23102</v>
      </c>
      <c r="E59" s="152">
        <f t="shared" si="6"/>
        <v>40</v>
      </c>
      <c r="F59" s="152" t="b">
        <f t="shared" si="0"/>
        <v>0</v>
      </c>
      <c r="G59" s="152" t="b">
        <f t="shared" si="1"/>
        <v>1</v>
      </c>
      <c r="H59" s="152" t="b">
        <f t="shared" si="2"/>
        <v>0</v>
      </c>
      <c r="I59" s="153" t="e">
        <f t="shared" si="3"/>
        <v>#N/A</v>
      </c>
      <c r="J59" s="158">
        <f>INDEX('Monthly Prices'!B47:CB47,$G$4)</f>
        <v>51.97</v>
      </c>
      <c r="K59" s="158" t="b">
        <f>IF(H59,INDEX('Monthly Prices'!B47:CB47,$G$4)*U59,FALSE)</f>
        <v>0</v>
      </c>
      <c r="L59" s="152" t="b">
        <f t="shared" si="7"/>
        <v>1</v>
      </c>
      <c r="M59" s="158">
        <f>INDEX('Monthly Prices'!B47:CB47,$G$5)</f>
        <v>24.676750106379998</v>
      </c>
      <c r="N59" s="158" t="b">
        <f>IF(H59,INDEX('Monthly Prices'!B47:CB47,$G$5)*U59,FALSE)</f>
        <v>0</v>
      </c>
      <c r="O59" s="152" t="b">
        <f t="shared" si="4"/>
        <v>1</v>
      </c>
      <c r="P59" s="152">
        <f t="shared" si="8"/>
        <v>1963</v>
      </c>
      <c r="Q59" s="159">
        <f>'Monthly Prices'!B47</f>
        <v>1.5</v>
      </c>
      <c r="R59" s="159">
        <f t="shared" si="9"/>
        <v>1.5</v>
      </c>
      <c r="S59" s="155">
        <f>_xlfn.XLOOKUP(P59,'Annual Real'!A:A,'Annual Real'!B:B,0,0)</f>
        <v>7.6863294052688698</v>
      </c>
      <c r="T59" s="155">
        <f t="shared" ca="1" si="10"/>
        <v>6.6197081717698056</v>
      </c>
      <c r="U59" s="152">
        <f t="shared" ca="1" si="11"/>
        <v>6.6197081717698056</v>
      </c>
      <c r="V59" s="152" t="b">
        <f t="shared" si="17"/>
        <v>0</v>
      </c>
      <c r="W59" s="152" t="b">
        <f t="shared" si="18"/>
        <v>0</v>
      </c>
      <c r="X59" s="154">
        <f>LOOKUP(D59,'US Implicit Deflator'!A:A,'US Implicit Deflator'!B:B)/100</f>
        <v>6.0000000000000001E-3</v>
      </c>
      <c r="Y59" s="154">
        <f t="shared" si="12"/>
        <v>4.9863024788132648E-4</v>
      </c>
      <c r="Z59" s="165">
        <f t="shared" ca="1" si="13"/>
        <v>1.0315852219334745</v>
      </c>
      <c r="AA59" s="152">
        <f t="shared" si="14"/>
        <v>7</v>
      </c>
      <c r="AB59" s="153">
        <f t="shared" si="15"/>
        <v>23102</v>
      </c>
      <c r="AC59" s="155">
        <f t="shared" ca="1" si="16"/>
        <v>6.6197081717698056</v>
      </c>
    </row>
    <row r="60" spans="3:29">
      <c r="C60" s="152" t="str">
        <f>'Monthly Prices'!A48</f>
        <v>1963M05</v>
      </c>
      <c r="D60" s="153">
        <f t="shared" si="5"/>
        <v>23132</v>
      </c>
      <c r="E60" s="152">
        <f t="shared" si="6"/>
        <v>41</v>
      </c>
      <c r="F60" s="152" t="b">
        <f t="shared" si="0"/>
        <v>0</v>
      </c>
      <c r="G60" s="152" t="b">
        <f t="shared" si="1"/>
        <v>1</v>
      </c>
      <c r="H60" s="152" t="b">
        <f t="shared" si="2"/>
        <v>0</v>
      </c>
      <c r="I60" s="153" t="e">
        <f t="shared" si="3"/>
        <v>#N/A</v>
      </c>
      <c r="J60" s="158">
        <f>INDEX('Monthly Prices'!B48:CB48,$G$4)</f>
        <v>52.36</v>
      </c>
      <c r="K60" s="158" t="b">
        <f>IF(H60,INDEX('Monthly Prices'!B48:CB48,$G$4)*U60,FALSE)</f>
        <v>0</v>
      </c>
      <c r="L60" s="152" t="b">
        <f t="shared" si="7"/>
        <v>1</v>
      </c>
      <c r="M60" s="158">
        <f>INDEX('Monthly Prices'!B48:CB48,$G$5)</f>
        <v>24.244075698789999</v>
      </c>
      <c r="N60" s="158" t="b">
        <f>IF(H60,INDEX('Monthly Prices'!B48:CB48,$G$5)*U60,FALSE)</f>
        <v>0</v>
      </c>
      <c r="O60" s="152" t="b">
        <f t="shared" si="4"/>
        <v>1</v>
      </c>
      <c r="P60" s="152">
        <f t="shared" si="8"/>
        <v>1963</v>
      </c>
      <c r="Q60" s="159">
        <f>'Monthly Prices'!B48</f>
        <v>1.5</v>
      </c>
      <c r="R60" s="159">
        <f t="shared" si="9"/>
        <v>1.5</v>
      </c>
      <c r="S60" s="155">
        <f>_xlfn.XLOOKUP(P60,'Annual Real'!A:A,'Annual Real'!B:B,0,0)</f>
        <v>7.6863294052688698</v>
      </c>
      <c r="T60" s="155">
        <f t="shared" ca="1" si="10"/>
        <v>6.6164090300950447</v>
      </c>
      <c r="U60" s="152">
        <f t="shared" ca="1" si="11"/>
        <v>6.6164090300950447</v>
      </c>
      <c r="V60" s="152" t="b">
        <f t="shared" si="17"/>
        <v>0</v>
      </c>
      <c r="W60" s="152" t="b">
        <f t="shared" si="18"/>
        <v>0</v>
      </c>
      <c r="X60" s="154">
        <f>LOOKUP(D60,'US Implicit Deflator'!A:A,'US Implicit Deflator'!B:B)/100</f>
        <v>6.0000000000000001E-3</v>
      </c>
      <c r="Y60" s="154">
        <f t="shared" si="12"/>
        <v>4.9863024788132648E-4</v>
      </c>
      <c r="Z60" s="165">
        <f t="shared" ca="1" si="13"/>
        <v>1.0320996015283979</v>
      </c>
      <c r="AA60" s="152">
        <f t="shared" si="14"/>
        <v>7</v>
      </c>
      <c r="AB60" s="153">
        <f t="shared" si="15"/>
        <v>23132</v>
      </c>
      <c r="AC60" s="155">
        <f t="shared" ca="1" si="16"/>
        <v>6.6164090300950447</v>
      </c>
    </row>
    <row r="61" spans="3:29">
      <c r="C61" s="152" t="str">
        <f>'Monthly Prices'!A49</f>
        <v>1963M06</v>
      </c>
      <c r="D61" s="153">
        <f t="shared" si="5"/>
        <v>23163</v>
      </c>
      <c r="E61" s="152">
        <f t="shared" si="6"/>
        <v>42</v>
      </c>
      <c r="F61" s="152" t="b">
        <f t="shared" si="0"/>
        <v>0</v>
      </c>
      <c r="G61" s="152" t="b">
        <f t="shared" si="1"/>
        <v>1</v>
      </c>
      <c r="H61" s="152" t="b">
        <f t="shared" si="2"/>
        <v>0</v>
      </c>
      <c r="I61" s="153" t="e">
        <f t="shared" si="3"/>
        <v>#N/A</v>
      </c>
      <c r="J61" s="158">
        <f>INDEX('Monthly Prices'!B49:CB49,$G$4)</f>
        <v>55.51</v>
      </c>
      <c r="K61" s="158" t="b">
        <f>IF(H61,INDEX('Monthly Prices'!B49:CB49,$G$4)*U61,FALSE)</f>
        <v>0</v>
      </c>
      <c r="L61" s="152" t="b">
        <f t="shared" si="7"/>
        <v>1</v>
      </c>
      <c r="M61" s="158">
        <f>INDEX('Monthly Prices'!B49:CB49,$G$5)</f>
        <v>23.173049503649999</v>
      </c>
      <c r="N61" s="158" t="b">
        <f>IF(H61,INDEX('Monthly Prices'!B49:CB49,$G$5)*U61,FALSE)</f>
        <v>0</v>
      </c>
      <c r="O61" s="152" t="b">
        <f t="shared" si="4"/>
        <v>1</v>
      </c>
      <c r="P61" s="152">
        <f t="shared" si="8"/>
        <v>1963</v>
      </c>
      <c r="Q61" s="159">
        <f>'Monthly Prices'!B49</f>
        <v>1.5</v>
      </c>
      <c r="R61" s="159">
        <f t="shared" si="9"/>
        <v>1.5</v>
      </c>
      <c r="S61" s="155">
        <f>_xlfn.XLOOKUP(P61,'Annual Real'!A:A,'Annual Real'!B:B,0,0)</f>
        <v>7.6863294052688698</v>
      </c>
      <c r="T61" s="155">
        <f t="shared" ca="1" si="10"/>
        <v>6.613111532652252</v>
      </c>
      <c r="U61" s="152">
        <f t="shared" ca="1" si="11"/>
        <v>6.613111532652252</v>
      </c>
      <c r="V61" s="152" t="b">
        <f t="shared" si="17"/>
        <v>0</v>
      </c>
      <c r="W61" s="152" t="b">
        <f t="shared" si="18"/>
        <v>0</v>
      </c>
      <c r="X61" s="154">
        <f>LOOKUP(D61,'US Implicit Deflator'!A:A,'US Implicit Deflator'!B:B)/100</f>
        <v>6.0000000000000001E-3</v>
      </c>
      <c r="Y61" s="154">
        <f t="shared" si="12"/>
        <v>4.9863024788132648E-4</v>
      </c>
      <c r="Z61" s="165">
        <f t="shared" ca="1" si="13"/>
        <v>1.0326142376085461</v>
      </c>
      <c r="AA61" s="152">
        <f t="shared" si="14"/>
        <v>7</v>
      </c>
      <c r="AB61" s="153">
        <f t="shared" si="15"/>
        <v>23163</v>
      </c>
      <c r="AC61" s="155">
        <f t="shared" ca="1" si="16"/>
        <v>6.613111532652252</v>
      </c>
    </row>
    <row r="62" spans="3:29">
      <c r="C62" s="152" t="str">
        <f>'Monthly Prices'!A50</f>
        <v>1963M07</v>
      </c>
      <c r="D62" s="153">
        <f t="shared" si="5"/>
        <v>23193</v>
      </c>
      <c r="E62" s="152">
        <f t="shared" si="6"/>
        <v>43</v>
      </c>
      <c r="F62" s="152" t="b">
        <f t="shared" si="0"/>
        <v>0</v>
      </c>
      <c r="G62" s="152" t="b">
        <f t="shared" si="1"/>
        <v>1</v>
      </c>
      <c r="H62" s="152" t="b">
        <f t="shared" si="2"/>
        <v>0</v>
      </c>
      <c r="I62" s="153" t="e">
        <f t="shared" si="3"/>
        <v>#N/A</v>
      </c>
      <c r="J62" s="158">
        <f>INDEX('Monthly Prices'!B50:CB50,$G$4)</f>
        <v>56.69</v>
      </c>
      <c r="K62" s="158" t="b">
        <f>IF(H62,INDEX('Monthly Prices'!B50:CB50,$G$4)*U62,FALSE)</f>
        <v>0</v>
      </c>
      <c r="L62" s="152" t="b">
        <f t="shared" si="7"/>
        <v>1</v>
      </c>
      <c r="M62" s="158">
        <f>INDEX('Monthly Prices'!B50:CB50,$G$5)</f>
        <v>23.246436737829999</v>
      </c>
      <c r="N62" s="158" t="b">
        <f>IF(H62,INDEX('Monthly Prices'!B50:CB50,$G$5)*U62,FALSE)</f>
        <v>0</v>
      </c>
      <c r="O62" s="152" t="b">
        <f t="shared" si="4"/>
        <v>1</v>
      </c>
      <c r="P62" s="152">
        <f t="shared" si="8"/>
        <v>1963</v>
      </c>
      <c r="Q62" s="159">
        <f>'Monthly Prices'!B50</f>
        <v>1.5</v>
      </c>
      <c r="R62" s="159">
        <f t="shared" si="9"/>
        <v>1.5</v>
      </c>
      <c r="S62" s="155">
        <f>_xlfn.XLOOKUP(P62,'Annual Real'!A:A,'Annual Real'!B:B,0,0)</f>
        <v>7.6863294052688698</v>
      </c>
      <c r="T62" s="155">
        <f t="shared" ca="1" si="10"/>
        <v>6.6103635064135808</v>
      </c>
      <c r="U62" s="152">
        <f t="shared" ca="1" si="11"/>
        <v>6.6103635064135808</v>
      </c>
      <c r="V62" s="152" t="b">
        <f t="shared" si="17"/>
        <v>0</v>
      </c>
      <c r="W62" s="152" t="b">
        <f t="shared" si="18"/>
        <v>0</v>
      </c>
      <c r="X62" s="154">
        <f>LOOKUP(D62,'US Implicit Deflator'!A:A,'US Implicit Deflator'!B:B)/100</f>
        <v>5.0000000000000001E-3</v>
      </c>
      <c r="Y62" s="154">
        <f t="shared" si="12"/>
        <v>4.1571484472902043E-4</v>
      </c>
      <c r="Z62" s="165">
        <f t="shared" ca="1" si="13"/>
        <v>1.0330435106759985</v>
      </c>
      <c r="AA62" s="152">
        <f t="shared" si="14"/>
        <v>7</v>
      </c>
      <c r="AB62" s="153">
        <f t="shared" si="15"/>
        <v>23193</v>
      </c>
      <c r="AC62" s="155">
        <f t="shared" ca="1" si="16"/>
        <v>6.6103635064135808</v>
      </c>
    </row>
    <row r="63" spans="3:29">
      <c r="C63" s="152" t="str">
        <f>'Monthly Prices'!A51</f>
        <v>1963M08</v>
      </c>
      <c r="D63" s="153">
        <f t="shared" si="5"/>
        <v>23224</v>
      </c>
      <c r="E63" s="152">
        <f t="shared" si="6"/>
        <v>44</v>
      </c>
      <c r="F63" s="152" t="b">
        <f t="shared" si="0"/>
        <v>0</v>
      </c>
      <c r="G63" s="152" t="b">
        <f t="shared" si="1"/>
        <v>1</v>
      </c>
      <c r="H63" s="152" t="b">
        <f t="shared" si="2"/>
        <v>0</v>
      </c>
      <c r="I63" s="153" t="e">
        <f t="shared" si="3"/>
        <v>#N/A</v>
      </c>
      <c r="J63" s="158">
        <f>INDEX('Monthly Prices'!B51:CB51,$G$4)</f>
        <v>55.51</v>
      </c>
      <c r="K63" s="158" t="b">
        <f>IF(H63,INDEX('Monthly Prices'!B51:CB51,$G$4)*U63,FALSE)</f>
        <v>0</v>
      </c>
      <c r="L63" s="152" t="b">
        <f t="shared" si="7"/>
        <v>1</v>
      </c>
      <c r="M63" s="158">
        <f>INDEX('Monthly Prices'!B51:CB51,$G$5)</f>
        <v>23.250049880550002</v>
      </c>
      <c r="N63" s="158" t="b">
        <f>IF(H63,INDEX('Monthly Prices'!B51:CB51,$G$5)*U63,FALSE)</f>
        <v>0</v>
      </c>
      <c r="O63" s="152" t="b">
        <f t="shared" si="4"/>
        <v>1</v>
      </c>
      <c r="P63" s="152">
        <f t="shared" si="8"/>
        <v>1963</v>
      </c>
      <c r="Q63" s="159">
        <f>'Monthly Prices'!B51</f>
        <v>1.5</v>
      </c>
      <c r="R63" s="159">
        <f t="shared" si="9"/>
        <v>1.5</v>
      </c>
      <c r="S63" s="155">
        <f>_xlfn.XLOOKUP(P63,'Annual Real'!A:A,'Annual Real'!B:B,0,0)</f>
        <v>7.6863294052688698</v>
      </c>
      <c r="T63" s="155">
        <f t="shared" ca="1" si="10"/>
        <v>6.607616622095497</v>
      </c>
      <c r="U63" s="152">
        <f t="shared" ca="1" si="11"/>
        <v>6.607616622095497</v>
      </c>
      <c r="V63" s="152" t="b">
        <f t="shared" si="17"/>
        <v>0</v>
      </c>
      <c r="W63" s="152" t="b">
        <f t="shared" si="18"/>
        <v>0</v>
      </c>
      <c r="X63" s="154">
        <f>LOOKUP(D63,'US Implicit Deflator'!A:A,'US Implicit Deflator'!B:B)/100</f>
        <v>5.0000000000000001E-3</v>
      </c>
      <c r="Y63" s="154">
        <f t="shared" si="12"/>
        <v>4.1571484472902043E-4</v>
      </c>
      <c r="Z63" s="165">
        <f t="shared" ca="1" si="13"/>
        <v>1.0334729621986376</v>
      </c>
      <c r="AA63" s="152">
        <f t="shared" si="14"/>
        <v>7</v>
      </c>
      <c r="AB63" s="153">
        <f t="shared" si="15"/>
        <v>23224</v>
      </c>
      <c r="AC63" s="155">
        <f t="shared" ca="1" si="16"/>
        <v>6.607616622095497</v>
      </c>
    </row>
    <row r="64" spans="3:29">
      <c r="C64" s="152" t="str">
        <f>'Monthly Prices'!A52</f>
        <v>1963M09</v>
      </c>
      <c r="D64" s="153">
        <f t="shared" si="5"/>
        <v>23255</v>
      </c>
      <c r="E64" s="152">
        <f t="shared" si="6"/>
        <v>45</v>
      </c>
      <c r="F64" s="152" t="b">
        <f t="shared" si="0"/>
        <v>0</v>
      </c>
      <c r="G64" s="152" t="b">
        <f t="shared" si="1"/>
        <v>1</v>
      </c>
      <c r="H64" s="152" t="b">
        <f t="shared" si="2"/>
        <v>0</v>
      </c>
      <c r="I64" s="153" t="e">
        <f t="shared" si="3"/>
        <v>#N/A</v>
      </c>
      <c r="J64" s="158">
        <f>INDEX('Monthly Prices'!B52:CB52,$G$4)</f>
        <v>55.9</v>
      </c>
      <c r="K64" s="158" t="b">
        <f>IF(H64,INDEX('Monthly Prices'!B52:CB52,$G$4)*U64,FALSE)</f>
        <v>0</v>
      </c>
      <c r="L64" s="152" t="b">
        <f t="shared" si="7"/>
        <v>1</v>
      </c>
      <c r="M64" s="158">
        <f>INDEX('Monthly Prices'!B52:CB52,$G$5)</f>
        <v>23.7462806576</v>
      </c>
      <c r="N64" s="158" t="b">
        <f>IF(H64,INDEX('Monthly Prices'!B52:CB52,$G$5)*U64,FALSE)</f>
        <v>0</v>
      </c>
      <c r="O64" s="152" t="b">
        <f t="shared" si="4"/>
        <v>1</v>
      </c>
      <c r="P64" s="152">
        <f t="shared" si="8"/>
        <v>1963</v>
      </c>
      <c r="Q64" s="159">
        <f>'Monthly Prices'!B52</f>
        <v>1.5</v>
      </c>
      <c r="R64" s="159">
        <f t="shared" si="9"/>
        <v>1.5</v>
      </c>
      <c r="S64" s="155">
        <f>_xlfn.XLOOKUP(P64,'Annual Real'!A:A,'Annual Real'!B:B,0,0)</f>
        <v>7.6863294052688698</v>
      </c>
      <c r="T64" s="155">
        <f t="shared" ca="1" si="10"/>
        <v>6.6048708792234851</v>
      </c>
      <c r="U64" s="152">
        <f t="shared" ca="1" si="11"/>
        <v>6.6048708792234851</v>
      </c>
      <c r="V64" s="152" t="b">
        <f t="shared" si="17"/>
        <v>0</v>
      </c>
      <c r="W64" s="152" t="b">
        <f t="shared" si="18"/>
        <v>0</v>
      </c>
      <c r="X64" s="154">
        <f>LOOKUP(D64,'US Implicit Deflator'!A:A,'US Implicit Deflator'!B:B)/100</f>
        <v>5.0000000000000001E-3</v>
      </c>
      <c r="Y64" s="154">
        <f t="shared" si="12"/>
        <v>4.1571484472902043E-4</v>
      </c>
      <c r="Z64" s="165">
        <f t="shared" ca="1" si="13"/>
        <v>1.0339025922506497</v>
      </c>
      <c r="AA64" s="152">
        <f t="shared" si="14"/>
        <v>7</v>
      </c>
      <c r="AB64" s="153">
        <f t="shared" si="15"/>
        <v>23255</v>
      </c>
      <c r="AC64" s="155">
        <f t="shared" ca="1" si="16"/>
        <v>6.6048708792234851</v>
      </c>
    </row>
    <row r="65" spans="3:29">
      <c r="C65" s="152" t="str">
        <f>'Monthly Prices'!A53</f>
        <v>1963M10</v>
      </c>
      <c r="D65" s="153">
        <f t="shared" si="5"/>
        <v>23285</v>
      </c>
      <c r="E65" s="152">
        <f t="shared" si="6"/>
        <v>46</v>
      </c>
      <c r="F65" s="152" t="b">
        <f t="shared" si="0"/>
        <v>0</v>
      </c>
      <c r="G65" s="152" t="b">
        <f t="shared" si="1"/>
        <v>1</v>
      </c>
      <c r="H65" s="152" t="b">
        <f t="shared" si="2"/>
        <v>0</v>
      </c>
      <c r="I65" s="153" t="e">
        <f t="shared" si="3"/>
        <v>#N/A</v>
      </c>
      <c r="J65" s="158">
        <f>INDEX('Monthly Prices'!B53:CB53,$G$4)</f>
        <v>53.15</v>
      </c>
      <c r="K65" s="158" t="b">
        <f>IF(H65,INDEX('Monthly Prices'!B53:CB53,$G$4)*U65,FALSE)</f>
        <v>0</v>
      </c>
      <c r="L65" s="152" t="b">
        <f t="shared" si="7"/>
        <v>1</v>
      </c>
      <c r="M65" s="158">
        <f>INDEX('Monthly Prices'!B53:CB53,$G$5)</f>
        <v>24.13976486436</v>
      </c>
      <c r="N65" s="158" t="b">
        <f>IF(H65,INDEX('Monthly Prices'!B53:CB53,$G$5)*U65,FALSE)</f>
        <v>0</v>
      </c>
      <c r="O65" s="152" t="b">
        <f t="shared" si="4"/>
        <v>1</v>
      </c>
      <c r="P65" s="152">
        <f t="shared" si="8"/>
        <v>1963</v>
      </c>
      <c r="Q65" s="159">
        <f>'Monthly Prices'!B53</f>
        <v>1.5</v>
      </c>
      <c r="R65" s="159">
        <f t="shared" si="9"/>
        <v>1.5</v>
      </c>
      <c r="S65" s="155">
        <f>_xlfn.XLOOKUP(P65,'Annual Real'!A:A,'Annual Real'!B:B,0,0)</f>
        <v>7.6863294052688698</v>
      </c>
      <c r="T65" s="155">
        <f t="shared" ca="1" si="10"/>
        <v>6.5983085855183479</v>
      </c>
      <c r="U65" s="152">
        <f t="shared" ca="1" si="11"/>
        <v>6.5983085855183479</v>
      </c>
      <c r="V65" s="152" t="b">
        <f t="shared" si="17"/>
        <v>0</v>
      </c>
      <c r="W65" s="152" t="b">
        <f t="shared" si="18"/>
        <v>0</v>
      </c>
      <c r="X65" s="154">
        <f>LOOKUP(D65,'US Implicit Deflator'!A:A,'US Implicit Deflator'!B:B)/100</f>
        <v>1.2E-2</v>
      </c>
      <c r="Y65" s="154">
        <f t="shared" si="12"/>
        <v>9.9454180114277868E-4</v>
      </c>
      <c r="Z65" s="165">
        <f t="shared" ca="1" si="13"/>
        <v>1.0349308515969529</v>
      </c>
      <c r="AA65" s="152">
        <f t="shared" si="14"/>
        <v>7</v>
      </c>
      <c r="AB65" s="153">
        <f t="shared" si="15"/>
        <v>23285</v>
      </c>
      <c r="AC65" s="155">
        <f t="shared" ca="1" si="16"/>
        <v>6.5983085855183479</v>
      </c>
    </row>
    <row r="66" spans="3:29">
      <c r="C66" s="152" t="str">
        <f>'Monthly Prices'!A54</f>
        <v>1963M11</v>
      </c>
      <c r="D66" s="153">
        <f t="shared" si="5"/>
        <v>23316</v>
      </c>
      <c r="E66" s="152">
        <f t="shared" si="6"/>
        <v>47</v>
      </c>
      <c r="F66" s="152" t="b">
        <f t="shared" si="0"/>
        <v>0</v>
      </c>
      <c r="G66" s="152" t="b">
        <f t="shared" si="1"/>
        <v>1</v>
      </c>
      <c r="H66" s="152" t="b">
        <f t="shared" si="2"/>
        <v>0</v>
      </c>
      <c r="I66" s="153" t="e">
        <f t="shared" si="3"/>
        <v>#N/A</v>
      </c>
      <c r="J66" s="158">
        <f>INDEX('Monthly Prices'!B54:CB54,$G$4)</f>
        <v>52.36</v>
      </c>
      <c r="K66" s="158" t="b">
        <f>IF(H66,INDEX('Monthly Prices'!B54:CB54,$G$4)*U66,FALSE)</f>
        <v>0</v>
      </c>
      <c r="L66" s="152" t="b">
        <f t="shared" si="7"/>
        <v>1</v>
      </c>
      <c r="M66" s="158">
        <f>INDEX('Monthly Prices'!B54:CB54,$G$5)</f>
        <v>24.05495380584</v>
      </c>
      <c r="N66" s="158" t="b">
        <f>IF(H66,INDEX('Monthly Prices'!B54:CB54,$G$5)*U66,FALSE)</f>
        <v>0</v>
      </c>
      <c r="O66" s="152" t="b">
        <f t="shared" si="4"/>
        <v>1</v>
      </c>
      <c r="P66" s="152">
        <f t="shared" si="8"/>
        <v>1963</v>
      </c>
      <c r="Q66" s="159">
        <f>'Monthly Prices'!B54</f>
        <v>1.5</v>
      </c>
      <c r="R66" s="159">
        <f t="shared" si="9"/>
        <v>1.5</v>
      </c>
      <c r="S66" s="155">
        <f>_xlfn.XLOOKUP(P66,'Annual Real'!A:A,'Annual Real'!B:B,0,0)</f>
        <v>7.6863294052688698</v>
      </c>
      <c r="T66" s="155">
        <f t="shared" ca="1" si="10"/>
        <v>6.5917528118042084</v>
      </c>
      <c r="U66" s="152">
        <f t="shared" ca="1" si="11"/>
        <v>6.5917528118042084</v>
      </c>
      <c r="V66" s="152" t="b">
        <f t="shared" si="17"/>
        <v>0</v>
      </c>
      <c r="W66" s="152" t="b">
        <f t="shared" si="18"/>
        <v>0</v>
      </c>
      <c r="X66" s="154">
        <f>LOOKUP(D66,'US Implicit Deflator'!A:A,'US Implicit Deflator'!B:B)/100</f>
        <v>1.2E-2</v>
      </c>
      <c r="Y66" s="154">
        <f t="shared" si="12"/>
        <v>9.9454180114277868E-4</v>
      </c>
      <c r="Z66" s="165">
        <f t="shared" ca="1" si="13"/>
        <v>1.0359601335901583</v>
      </c>
      <c r="AA66" s="152">
        <f t="shared" si="14"/>
        <v>7</v>
      </c>
      <c r="AB66" s="153">
        <f t="shared" si="15"/>
        <v>23316</v>
      </c>
      <c r="AC66" s="155">
        <f t="shared" ca="1" si="16"/>
        <v>6.5917528118042084</v>
      </c>
    </row>
    <row r="67" spans="3:29">
      <c r="C67" s="152" t="str">
        <f>'Monthly Prices'!A55</f>
        <v>1963M12</v>
      </c>
      <c r="D67" s="153">
        <f t="shared" si="5"/>
        <v>23346</v>
      </c>
      <c r="E67" s="152">
        <f t="shared" si="6"/>
        <v>48</v>
      </c>
      <c r="F67" s="152" t="b">
        <f t="shared" si="0"/>
        <v>0</v>
      </c>
      <c r="G67" s="152" t="b">
        <f t="shared" si="1"/>
        <v>1</v>
      </c>
      <c r="H67" s="152" t="b">
        <f t="shared" si="2"/>
        <v>0</v>
      </c>
      <c r="I67" s="153" t="e">
        <f t="shared" si="3"/>
        <v>#N/A</v>
      </c>
      <c r="J67" s="158">
        <f>INDEX('Monthly Prices'!B55:CB55,$G$4)</f>
        <v>53.54</v>
      </c>
      <c r="K67" s="158" t="b">
        <f>IF(H67,INDEX('Monthly Prices'!B55:CB55,$G$4)*U67,FALSE)</f>
        <v>0</v>
      </c>
      <c r="L67" s="152" t="b">
        <f t="shared" si="7"/>
        <v>1</v>
      </c>
      <c r="M67" s="158">
        <f>INDEX('Monthly Prices'!B55:CB55,$G$5)</f>
        <v>24.281283312949999</v>
      </c>
      <c r="N67" s="158" t="b">
        <f>IF(H67,INDEX('Monthly Prices'!B55:CB55,$G$5)*U67,FALSE)</f>
        <v>0</v>
      </c>
      <c r="O67" s="152" t="b">
        <f t="shared" si="4"/>
        <v>1</v>
      </c>
      <c r="P67" s="152">
        <f t="shared" si="8"/>
        <v>1963</v>
      </c>
      <c r="Q67" s="159">
        <f>'Monthly Prices'!B55</f>
        <v>1.5</v>
      </c>
      <c r="R67" s="159">
        <f t="shared" si="9"/>
        <v>1.5</v>
      </c>
      <c r="S67" s="155">
        <f>_xlfn.XLOOKUP(P67,'Annual Real'!A:A,'Annual Real'!B:B,0,0)</f>
        <v>7.6863294052688698</v>
      </c>
      <c r="T67" s="155">
        <f t="shared" ca="1" si="10"/>
        <v>6.5852035516031062</v>
      </c>
      <c r="U67" s="152">
        <f t="shared" ca="1" si="11"/>
        <v>6.5852035516031062</v>
      </c>
      <c r="V67" s="152" t="b">
        <f t="shared" si="17"/>
        <v>0</v>
      </c>
      <c r="W67" s="152" t="b">
        <f t="shared" si="18"/>
        <v>0</v>
      </c>
      <c r="X67" s="154">
        <f>LOOKUP(D67,'US Implicit Deflator'!A:A,'US Implicit Deflator'!B:B)/100</f>
        <v>1.2E-2</v>
      </c>
      <c r="Y67" s="154">
        <f t="shared" si="12"/>
        <v>9.9454180114277868E-4</v>
      </c>
      <c r="Z67" s="165">
        <f t="shared" ca="1" si="13"/>
        <v>1.036990439247331</v>
      </c>
      <c r="AA67" s="152">
        <f t="shared" si="14"/>
        <v>7</v>
      </c>
      <c r="AB67" s="153">
        <f t="shared" si="15"/>
        <v>23346</v>
      </c>
      <c r="AC67" s="155">
        <f t="shared" ca="1" si="16"/>
        <v>6.5852035516031062</v>
      </c>
    </row>
    <row r="68" spans="3:29">
      <c r="C68" s="152" t="str">
        <f>'Monthly Prices'!A56</f>
        <v>1964M01</v>
      </c>
      <c r="D68" s="153">
        <f t="shared" si="5"/>
        <v>23377</v>
      </c>
      <c r="E68" s="152">
        <f t="shared" si="6"/>
        <v>49</v>
      </c>
      <c r="F68" s="152" t="b">
        <f t="shared" si="0"/>
        <v>0</v>
      </c>
      <c r="G68" s="152" t="b">
        <f t="shared" si="1"/>
        <v>1</v>
      </c>
      <c r="H68" s="152" t="b">
        <f t="shared" si="2"/>
        <v>0</v>
      </c>
      <c r="I68" s="153" t="e">
        <f t="shared" si="3"/>
        <v>#N/A</v>
      </c>
      <c r="J68" s="158">
        <f>INDEX('Monthly Prices'!B56:CB56,$G$4)</f>
        <v>55.12</v>
      </c>
      <c r="K68" s="158" t="b">
        <f>IF(H68,INDEX('Monthly Prices'!B56:CB56,$G$4)*U68,FALSE)</f>
        <v>0</v>
      </c>
      <c r="L68" s="152" t="b">
        <f t="shared" si="7"/>
        <v>1</v>
      </c>
      <c r="M68" s="158">
        <f>INDEX('Monthly Prices'!B56:CB56,$G$5)</f>
        <v>24.393359444910001</v>
      </c>
      <c r="N68" s="158" t="b">
        <f>IF(H68,INDEX('Monthly Prices'!B56:CB56,$G$5)*U68,FALSE)</f>
        <v>0</v>
      </c>
      <c r="O68" s="152" t="b">
        <f t="shared" si="4"/>
        <v>1</v>
      </c>
      <c r="P68" s="152">
        <f t="shared" si="8"/>
        <v>1964</v>
      </c>
      <c r="Q68" s="159">
        <f>'Monthly Prices'!B56</f>
        <v>1.45</v>
      </c>
      <c r="R68" s="159">
        <f t="shared" si="9"/>
        <v>1.4499999999999995</v>
      </c>
      <c r="S68" s="155">
        <f>_xlfn.XLOOKUP(P68,'Annual Real'!A:A,'Annual Real'!B:B,0,0)</f>
        <v>7.3275697391760097</v>
      </c>
      <c r="T68" s="155">
        <f t="shared" ca="1" si="10"/>
        <v>6.5802885766440529</v>
      </c>
      <c r="U68" s="152">
        <f t="shared" ca="1" si="11"/>
        <v>6.5802885766440529</v>
      </c>
      <c r="V68" s="152" t="b">
        <f t="shared" si="17"/>
        <v>0</v>
      </c>
      <c r="W68" s="152" t="b">
        <f t="shared" si="18"/>
        <v>0</v>
      </c>
      <c r="X68" s="154">
        <f>LOOKUP(D68,'US Implicit Deflator'!A:A,'US Implicit Deflator'!B:B)/100</f>
        <v>9.0000000000000011E-3</v>
      </c>
      <c r="Y68" s="154">
        <f t="shared" si="12"/>
        <v>7.4692392313879807E-4</v>
      </c>
      <c r="Z68" s="165">
        <f t="shared" ca="1" si="13"/>
        <v>1.0377649922144712</v>
      </c>
      <c r="AA68" s="152">
        <f t="shared" si="14"/>
        <v>7</v>
      </c>
      <c r="AB68" s="153">
        <f t="shared" si="15"/>
        <v>23377</v>
      </c>
      <c r="AC68" s="155">
        <f t="shared" ca="1" si="16"/>
        <v>6.5802885766440529</v>
      </c>
    </row>
    <row r="69" spans="3:29">
      <c r="C69" s="152" t="str">
        <f>'Monthly Prices'!A57</f>
        <v>1964M02</v>
      </c>
      <c r="D69" s="153">
        <f t="shared" si="5"/>
        <v>23408</v>
      </c>
      <c r="E69" s="152">
        <f t="shared" si="6"/>
        <v>50</v>
      </c>
      <c r="F69" s="152" t="b">
        <f t="shared" si="0"/>
        <v>0</v>
      </c>
      <c r="G69" s="152" t="b">
        <f t="shared" si="1"/>
        <v>1</v>
      </c>
      <c r="H69" s="152" t="b">
        <f t="shared" si="2"/>
        <v>0</v>
      </c>
      <c r="I69" s="153" t="e">
        <f t="shared" si="3"/>
        <v>#N/A</v>
      </c>
      <c r="J69" s="158">
        <f>INDEX('Monthly Prices'!B57:CB57,$G$4)</f>
        <v>52.75</v>
      </c>
      <c r="K69" s="158" t="b">
        <f>IF(H69,INDEX('Monthly Prices'!B57:CB57,$G$4)*U69,FALSE)</f>
        <v>0</v>
      </c>
      <c r="L69" s="152" t="b">
        <f t="shared" si="7"/>
        <v>1</v>
      </c>
      <c r="M69" s="158">
        <f>INDEX('Monthly Prices'!B57:CB57,$G$5)</f>
        <v>24.4243118055</v>
      </c>
      <c r="N69" s="158" t="b">
        <f>IF(H69,INDEX('Monthly Prices'!B57:CB57,$G$5)*U69,FALSE)</f>
        <v>0</v>
      </c>
      <c r="O69" s="152" t="b">
        <f t="shared" si="4"/>
        <v>1</v>
      </c>
      <c r="P69" s="152">
        <f t="shared" si="8"/>
        <v>1964</v>
      </c>
      <c r="Q69" s="159">
        <f>'Monthly Prices'!B57</f>
        <v>1.45</v>
      </c>
      <c r="R69" s="159">
        <f t="shared" si="9"/>
        <v>1.4499999999999995</v>
      </c>
      <c r="S69" s="155">
        <f>_xlfn.XLOOKUP(P69,'Annual Real'!A:A,'Annual Real'!B:B,0,0)</f>
        <v>7.3275697391760097</v>
      </c>
      <c r="T69" s="155">
        <f t="shared" ca="1" si="10"/>
        <v>6.5753772700573832</v>
      </c>
      <c r="U69" s="152">
        <f t="shared" ca="1" si="11"/>
        <v>6.5753772700573832</v>
      </c>
      <c r="V69" s="152" t="b">
        <f t="shared" si="17"/>
        <v>0</v>
      </c>
      <c r="W69" s="152" t="b">
        <f t="shared" si="18"/>
        <v>0</v>
      </c>
      <c r="X69" s="154">
        <f>LOOKUP(D69,'US Implicit Deflator'!A:A,'US Implicit Deflator'!B:B)/100</f>
        <v>9.0000000000000011E-3</v>
      </c>
      <c r="Y69" s="154">
        <f t="shared" si="12"/>
        <v>7.4692392313879807E-4</v>
      </c>
      <c r="Z69" s="165">
        <f t="shared" ca="1" si="13"/>
        <v>1.0385401237137522</v>
      </c>
      <c r="AA69" s="152">
        <f t="shared" si="14"/>
        <v>7</v>
      </c>
      <c r="AB69" s="153">
        <f t="shared" si="15"/>
        <v>23408</v>
      </c>
      <c r="AC69" s="155">
        <f t="shared" ca="1" si="16"/>
        <v>6.5753772700573832</v>
      </c>
    </row>
    <row r="70" spans="3:29">
      <c r="C70" s="152" t="str">
        <f>'Monthly Prices'!A58</f>
        <v>1964M03</v>
      </c>
      <c r="D70" s="153">
        <f t="shared" si="5"/>
        <v>23437</v>
      </c>
      <c r="E70" s="152">
        <f t="shared" si="6"/>
        <v>51</v>
      </c>
      <c r="F70" s="152" t="b">
        <f t="shared" si="0"/>
        <v>0</v>
      </c>
      <c r="G70" s="152" t="b">
        <f t="shared" si="1"/>
        <v>1</v>
      </c>
      <c r="H70" s="152" t="b">
        <f t="shared" si="2"/>
        <v>0</v>
      </c>
      <c r="I70" s="153" t="e">
        <f t="shared" si="3"/>
        <v>#N/A</v>
      </c>
      <c r="J70" s="158">
        <f>INDEX('Monthly Prices'!B58:CB58,$G$4)</f>
        <v>54.33</v>
      </c>
      <c r="K70" s="158" t="b">
        <f>IF(H70,INDEX('Monthly Prices'!B58:CB58,$G$4)*U70,FALSE)</f>
        <v>0</v>
      </c>
      <c r="L70" s="152" t="b">
        <f t="shared" si="7"/>
        <v>1</v>
      </c>
      <c r="M70" s="158">
        <f>INDEX('Monthly Prices'!B58:CB58,$G$5)</f>
        <v>24.8406099752</v>
      </c>
      <c r="N70" s="158" t="b">
        <f>IF(H70,INDEX('Monthly Prices'!B58:CB58,$G$5)*U70,FALSE)</f>
        <v>0</v>
      </c>
      <c r="O70" s="152" t="b">
        <f t="shared" si="4"/>
        <v>1</v>
      </c>
      <c r="P70" s="152">
        <f t="shared" si="8"/>
        <v>1964</v>
      </c>
      <c r="Q70" s="159">
        <f>'Monthly Prices'!B58</f>
        <v>1.45</v>
      </c>
      <c r="R70" s="159">
        <f t="shared" si="9"/>
        <v>1.4499999999999995</v>
      </c>
      <c r="S70" s="155">
        <f>_xlfn.XLOOKUP(P70,'Annual Real'!A:A,'Annual Real'!B:B,0,0)</f>
        <v>7.3275697391760097</v>
      </c>
      <c r="T70" s="155">
        <f t="shared" ca="1" si="10"/>
        <v>6.5704696291051485</v>
      </c>
      <c r="U70" s="152">
        <f t="shared" ca="1" si="11"/>
        <v>6.5704696291051485</v>
      </c>
      <c r="V70" s="152" t="b">
        <f t="shared" si="17"/>
        <v>0</v>
      </c>
      <c r="W70" s="152" t="b">
        <f t="shared" si="18"/>
        <v>0</v>
      </c>
      <c r="X70" s="154">
        <f>LOOKUP(D70,'US Implicit Deflator'!A:A,'US Implicit Deflator'!B:B)/100</f>
        <v>9.0000000000000011E-3</v>
      </c>
      <c r="Y70" s="154">
        <f t="shared" si="12"/>
        <v>7.4692392313879807E-4</v>
      </c>
      <c r="Z70" s="165">
        <f t="shared" ca="1" si="13"/>
        <v>1.0393158341772935</v>
      </c>
      <c r="AA70" s="152">
        <f t="shared" si="14"/>
        <v>7</v>
      </c>
      <c r="AB70" s="153">
        <f t="shared" si="15"/>
        <v>23437</v>
      </c>
      <c r="AC70" s="155">
        <f t="shared" ca="1" si="16"/>
        <v>6.5704696291051485</v>
      </c>
    </row>
    <row r="71" spans="3:29">
      <c r="C71" s="152" t="str">
        <f>'Monthly Prices'!A59</f>
        <v>1964M04</v>
      </c>
      <c r="D71" s="153">
        <f t="shared" si="5"/>
        <v>23468</v>
      </c>
      <c r="E71" s="152">
        <f t="shared" si="6"/>
        <v>52</v>
      </c>
      <c r="F71" s="152" t="b">
        <f t="shared" si="0"/>
        <v>0</v>
      </c>
      <c r="G71" s="152" t="b">
        <f t="shared" si="1"/>
        <v>1</v>
      </c>
      <c r="H71" s="152" t="b">
        <f t="shared" si="2"/>
        <v>0</v>
      </c>
      <c r="I71" s="153" t="e">
        <f t="shared" si="3"/>
        <v>#N/A</v>
      </c>
      <c r="J71" s="158">
        <f>INDEX('Monthly Prices'!B59:CB59,$G$4)</f>
        <v>55.51</v>
      </c>
      <c r="K71" s="158" t="b">
        <f>IF(H71,INDEX('Monthly Prices'!B59:CB59,$G$4)*U71,FALSE)</f>
        <v>0</v>
      </c>
      <c r="L71" s="152" t="b">
        <f t="shared" si="7"/>
        <v>1</v>
      </c>
      <c r="M71" s="158">
        <f>INDEX('Monthly Prices'!B59:CB59,$G$5)</f>
        <v>25.19431726534</v>
      </c>
      <c r="N71" s="158" t="b">
        <f>IF(H71,INDEX('Monthly Prices'!B59:CB59,$G$5)*U71,FALSE)</f>
        <v>0</v>
      </c>
      <c r="O71" s="152" t="b">
        <f t="shared" si="4"/>
        <v>1</v>
      </c>
      <c r="P71" s="152">
        <f t="shared" si="8"/>
        <v>1964</v>
      </c>
      <c r="Q71" s="159">
        <f>'Monthly Prices'!B59</f>
        <v>1.45</v>
      </c>
      <c r="R71" s="159">
        <f t="shared" si="9"/>
        <v>1.4499999999999995</v>
      </c>
      <c r="S71" s="155">
        <f>_xlfn.XLOOKUP(P71,'Annual Real'!A:A,'Annual Real'!B:B,0,0)</f>
        <v>7.3275697391760097</v>
      </c>
      <c r="T71" s="155">
        <f t="shared" ca="1" si="10"/>
        <v>6.5644823134091048</v>
      </c>
      <c r="U71" s="152">
        <f t="shared" ca="1" si="11"/>
        <v>6.5644823134091048</v>
      </c>
      <c r="V71" s="152" t="b">
        <f t="shared" si="17"/>
        <v>0</v>
      </c>
      <c r="W71" s="152" t="b">
        <f t="shared" si="18"/>
        <v>0</v>
      </c>
      <c r="X71" s="154">
        <f>LOOKUP(D71,'US Implicit Deflator'!A:A,'US Implicit Deflator'!B:B)/100</f>
        <v>1.1000000000000001E-2</v>
      </c>
      <c r="Y71" s="154">
        <f t="shared" si="12"/>
        <v>9.1207735967446801E-4</v>
      </c>
      <c r="Z71" s="165">
        <f t="shared" ca="1" si="13"/>
        <v>1.0402637706191977</v>
      </c>
      <c r="AA71" s="152">
        <f t="shared" si="14"/>
        <v>7</v>
      </c>
      <c r="AB71" s="153">
        <f t="shared" si="15"/>
        <v>23468</v>
      </c>
      <c r="AC71" s="155">
        <f t="shared" ca="1" si="16"/>
        <v>6.5644823134091048</v>
      </c>
    </row>
    <row r="72" spans="3:29">
      <c r="C72" s="152" t="str">
        <f>'Monthly Prices'!A60</f>
        <v>1964M05</v>
      </c>
      <c r="D72" s="153">
        <f t="shared" si="5"/>
        <v>23498</v>
      </c>
      <c r="E72" s="152">
        <f t="shared" si="6"/>
        <v>53</v>
      </c>
      <c r="F72" s="152" t="b">
        <f t="shared" si="0"/>
        <v>0</v>
      </c>
      <c r="G72" s="152" t="b">
        <f t="shared" si="1"/>
        <v>1</v>
      </c>
      <c r="H72" s="152" t="b">
        <f t="shared" si="2"/>
        <v>0</v>
      </c>
      <c r="I72" s="153" t="e">
        <f t="shared" si="3"/>
        <v>#N/A</v>
      </c>
      <c r="J72" s="158">
        <f>INDEX('Monthly Prices'!B60:CB60,$G$4)</f>
        <v>55.9</v>
      </c>
      <c r="K72" s="158" t="b">
        <f>IF(H72,INDEX('Monthly Prices'!B60:CB60,$G$4)*U72,FALSE)</f>
        <v>0</v>
      </c>
      <c r="L72" s="152" t="b">
        <f t="shared" si="7"/>
        <v>1</v>
      </c>
      <c r="M72" s="158">
        <f>INDEX('Monthly Prices'!B60:CB60,$G$5)</f>
        <v>25.610940160159998</v>
      </c>
      <c r="N72" s="158" t="b">
        <f>IF(H72,INDEX('Monthly Prices'!B60:CB60,$G$5)*U72,FALSE)</f>
        <v>0</v>
      </c>
      <c r="O72" s="152" t="b">
        <f t="shared" si="4"/>
        <v>1</v>
      </c>
      <c r="P72" s="152">
        <f t="shared" si="8"/>
        <v>1964</v>
      </c>
      <c r="Q72" s="159">
        <f>'Monthly Prices'!B60</f>
        <v>1.45</v>
      </c>
      <c r="R72" s="159">
        <f t="shared" si="9"/>
        <v>1.4499999999999995</v>
      </c>
      <c r="S72" s="155">
        <f>_xlfn.XLOOKUP(P72,'Annual Real'!A:A,'Annual Real'!B:B,0,0)</f>
        <v>7.3275697391760097</v>
      </c>
      <c r="T72" s="155">
        <f t="shared" ca="1" si="10"/>
        <v>6.5585004536319316</v>
      </c>
      <c r="U72" s="152">
        <f t="shared" ca="1" si="11"/>
        <v>6.5585004536319316</v>
      </c>
      <c r="V72" s="152" t="b">
        <f t="shared" si="17"/>
        <v>0</v>
      </c>
      <c r="W72" s="152" t="b">
        <f t="shared" si="18"/>
        <v>0</v>
      </c>
      <c r="X72" s="154">
        <f>LOOKUP(D72,'US Implicit Deflator'!A:A,'US Implicit Deflator'!B:B)/100</f>
        <v>1.1000000000000001E-2</v>
      </c>
      <c r="Y72" s="154">
        <f t="shared" si="12"/>
        <v>9.1207735967446801E-4</v>
      </c>
      <c r="Z72" s="165">
        <f t="shared" ca="1" si="13"/>
        <v>1.0412125716524692</v>
      </c>
      <c r="AA72" s="152">
        <f t="shared" si="14"/>
        <v>7</v>
      </c>
      <c r="AB72" s="153">
        <f t="shared" si="15"/>
        <v>23498</v>
      </c>
      <c r="AC72" s="155">
        <f t="shared" ca="1" si="16"/>
        <v>6.5585004536319316</v>
      </c>
    </row>
    <row r="73" spans="3:29">
      <c r="C73" s="152" t="str">
        <f>'Monthly Prices'!A61</f>
        <v>1964M06</v>
      </c>
      <c r="D73" s="153">
        <f t="shared" si="5"/>
        <v>23529</v>
      </c>
      <c r="E73" s="152">
        <f t="shared" si="6"/>
        <v>54</v>
      </c>
      <c r="F73" s="152" t="b">
        <f t="shared" si="0"/>
        <v>0</v>
      </c>
      <c r="G73" s="152" t="b">
        <f t="shared" si="1"/>
        <v>1</v>
      </c>
      <c r="H73" s="152" t="b">
        <f t="shared" si="2"/>
        <v>0</v>
      </c>
      <c r="I73" s="153" t="e">
        <f t="shared" si="3"/>
        <v>#N/A</v>
      </c>
      <c r="J73" s="158">
        <f>INDEX('Monthly Prices'!B61:CB61,$G$4)</f>
        <v>56.3</v>
      </c>
      <c r="K73" s="158" t="b">
        <f>IF(H73,INDEX('Monthly Prices'!B61:CB61,$G$4)*U73,FALSE)</f>
        <v>0</v>
      </c>
      <c r="L73" s="152" t="b">
        <f t="shared" si="7"/>
        <v>1</v>
      </c>
      <c r="M73" s="158">
        <f>INDEX('Monthly Prices'!B61:CB61,$G$5)</f>
        <v>24.954118393009999</v>
      </c>
      <c r="N73" s="158" t="b">
        <f>IF(H73,INDEX('Monthly Prices'!B61:CB61,$G$5)*U73,FALSE)</f>
        <v>0</v>
      </c>
      <c r="O73" s="152" t="b">
        <f t="shared" si="4"/>
        <v>1</v>
      </c>
      <c r="P73" s="152">
        <f t="shared" si="8"/>
        <v>1964</v>
      </c>
      <c r="Q73" s="159">
        <f>'Monthly Prices'!B61</f>
        <v>1.45</v>
      </c>
      <c r="R73" s="159">
        <f t="shared" si="9"/>
        <v>1.4499999999999995</v>
      </c>
      <c r="S73" s="155">
        <f>_xlfn.XLOOKUP(P73,'Annual Real'!A:A,'Annual Real'!B:B,0,0)</f>
        <v>7.3275697391760097</v>
      </c>
      <c r="T73" s="155">
        <f t="shared" ca="1" si="10"/>
        <v>6.5525240448019444</v>
      </c>
      <c r="U73" s="152">
        <f t="shared" ca="1" si="11"/>
        <v>6.5525240448019444</v>
      </c>
      <c r="V73" s="152" t="b">
        <f t="shared" si="17"/>
        <v>0</v>
      </c>
      <c r="W73" s="152" t="b">
        <f t="shared" si="18"/>
        <v>0</v>
      </c>
      <c r="X73" s="154">
        <f>LOOKUP(D73,'US Implicit Deflator'!A:A,'US Implicit Deflator'!B:B)/100</f>
        <v>1.1000000000000001E-2</v>
      </c>
      <c r="Y73" s="154">
        <f t="shared" si="12"/>
        <v>9.1207735967446801E-4</v>
      </c>
      <c r="Z73" s="165">
        <f t="shared" ca="1" si="13"/>
        <v>1.0421622380656819</v>
      </c>
      <c r="AA73" s="152">
        <f t="shared" si="14"/>
        <v>7</v>
      </c>
      <c r="AB73" s="153">
        <f t="shared" si="15"/>
        <v>23529</v>
      </c>
      <c r="AC73" s="155">
        <f t="shared" ca="1" si="16"/>
        <v>6.5525240448019444</v>
      </c>
    </row>
    <row r="74" spans="3:29">
      <c r="C74" s="152" t="str">
        <f>'Monthly Prices'!A62</f>
        <v>1964M07</v>
      </c>
      <c r="D74" s="153">
        <f t="shared" si="5"/>
        <v>23559</v>
      </c>
      <c r="E74" s="152">
        <f t="shared" si="6"/>
        <v>55</v>
      </c>
      <c r="F74" s="152" t="b">
        <f t="shared" si="0"/>
        <v>0</v>
      </c>
      <c r="G74" s="152" t="b">
        <f t="shared" si="1"/>
        <v>1</v>
      </c>
      <c r="H74" s="152" t="b">
        <f t="shared" si="2"/>
        <v>0</v>
      </c>
      <c r="I74" s="153" t="e">
        <f t="shared" si="3"/>
        <v>#N/A</v>
      </c>
      <c r="J74" s="158">
        <f>INDEX('Monthly Prices'!B62:CB62,$G$4)</f>
        <v>55.9</v>
      </c>
      <c r="K74" s="158" t="b">
        <f>IF(H74,INDEX('Monthly Prices'!B62:CB62,$G$4)*U74,FALSE)</f>
        <v>0</v>
      </c>
      <c r="L74" s="152" t="b">
        <f t="shared" si="7"/>
        <v>1</v>
      </c>
      <c r="M74" s="158">
        <f>INDEX('Monthly Prices'!B62:CB62,$G$5)</f>
        <v>25.570036869679999</v>
      </c>
      <c r="N74" s="158" t="b">
        <f>IF(H74,INDEX('Monthly Prices'!B62:CB62,$G$5)*U74,FALSE)</f>
        <v>0</v>
      </c>
      <c r="O74" s="152" t="b">
        <f t="shared" si="4"/>
        <v>1</v>
      </c>
      <c r="P74" s="152">
        <f t="shared" si="8"/>
        <v>1964</v>
      </c>
      <c r="Q74" s="159">
        <f>'Monthly Prices'!B62</f>
        <v>1.45</v>
      </c>
      <c r="R74" s="159">
        <f t="shared" si="9"/>
        <v>1.4499999999999995</v>
      </c>
      <c r="S74" s="155">
        <f>_xlfn.XLOOKUP(P74,'Annual Real'!A:A,'Annual Real'!B:B,0,0)</f>
        <v>7.3275697391760097</v>
      </c>
      <c r="T74" s="155">
        <f t="shared" ca="1" si="10"/>
        <v>6.5433257849119029</v>
      </c>
      <c r="U74" s="152">
        <f t="shared" ca="1" si="11"/>
        <v>6.5433257849119029</v>
      </c>
      <c r="V74" s="152" t="b">
        <f t="shared" si="17"/>
        <v>0</v>
      </c>
      <c r="W74" s="152" t="b">
        <f t="shared" si="18"/>
        <v>0</v>
      </c>
      <c r="X74" s="154">
        <f>LOOKUP(D74,'US Implicit Deflator'!A:A,'US Implicit Deflator'!B:B)/100</f>
        <v>1.7000000000000001E-2</v>
      </c>
      <c r="Y74" s="154">
        <f t="shared" si="12"/>
        <v>1.4057468926966799E-3</v>
      </c>
      <c r="Z74" s="165">
        <f t="shared" ca="1" si="13"/>
        <v>1.0436272543935285</v>
      </c>
      <c r="AA74" s="152">
        <f t="shared" si="14"/>
        <v>7</v>
      </c>
      <c r="AB74" s="153">
        <f t="shared" si="15"/>
        <v>23559</v>
      </c>
      <c r="AC74" s="155">
        <f t="shared" ca="1" si="16"/>
        <v>6.5433257849119029</v>
      </c>
    </row>
    <row r="75" spans="3:29">
      <c r="C75" s="152" t="str">
        <f>'Monthly Prices'!A63</f>
        <v>1964M08</v>
      </c>
      <c r="D75" s="153">
        <f t="shared" si="5"/>
        <v>23590</v>
      </c>
      <c r="E75" s="152">
        <f t="shared" si="6"/>
        <v>56</v>
      </c>
      <c r="F75" s="152" t="b">
        <f t="shared" si="0"/>
        <v>0</v>
      </c>
      <c r="G75" s="152" t="b">
        <f t="shared" si="1"/>
        <v>1</v>
      </c>
      <c r="H75" s="152" t="b">
        <f t="shared" si="2"/>
        <v>0</v>
      </c>
      <c r="I75" s="153" t="e">
        <f t="shared" si="3"/>
        <v>#N/A</v>
      </c>
      <c r="J75" s="158">
        <f>INDEX('Monthly Prices'!B63:CB63,$G$4)</f>
        <v>54.72</v>
      </c>
      <c r="K75" s="158" t="b">
        <f>IF(H75,INDEX('Monthly Prices'!B63:CB63,$G$4)*U75,FALSE)</f>
        <v>0</v>
      </c>
      <c r="L75" s="152" t="b">
        <f t="shared" si="7"/>
        <v>1</v>
      </c>
      <c r="M75" s="158">
        <f>INDEX('Monthly Prices'!B63:CB63,$G$5)</f>
        <v>25.424226990680001</v>
      </c>
      <c r="N75" s="158" t="b">
        <f>IF(H75,INDEX('Monthly Prices'!B63:CB63,$G$5)*U75,FALSE)</f>
        <v>0</v>
      </c>
      <c r="O75" s="152" t="b">
        <f t="shared" si="4"/>
        <v>1</v>
      </c>
      <c r="P75" s="152">
        <f t="shared" si="8"/>
        <v>1964</v>
      </c>
      <c r="Q75" s="159">
        <f>'Monthly Prices'!B63</f>
        <v>1.45</v>
      </c>
      <c r="R75" s="159">
        <f t="shared" si="9"/>
        <v>1.4499999999999995</v>
      </c>
      <c r="S75" s="155">
        <f>_xlfn.XLOOKUP(P75,'Annual Real'!A:A,'Annual Real'!B:B,0,0)</f>
        <v>7.3275697391760097</v>
      </c>
      <c r="T75" s="155">
        <f t="shared" ca="1" si="10"/>
        <v>6.5341404372957301</v>
      </c>
      <c r="U75" s="152">
        <f t="shared" ca="1" si="11"/>
        <v>6.5341404372957301</v>
      </c>
      <c r="V75" s="152" t="b">
        <f t="shared" si="17"/>
        <v>0</v>
      </c>
      <c r="W75" s="152" t="b">
        <f t="shared" si="18"/>
        <v>0</v>
      </c>
      <c r="X75" s="154">
        <f>LOOKUP(D75,'US Implicit Deflator'!A:A,'US Implicit Deflator'!B:B)/100</f>
        <v>1.7000000000000001E-2</v>
      </c>
      <c r="Y75" s="154">
        <f t="shared" si="12"/>
        <v>1.4057468926966799E-3</v>
      </c>
      <c r="Z75" s="165">
        <f t="shared" ca="1" si="13"/>
        <v>1.0450943301635258</v>
      </c>
      <c r="AA75" s="152">
        <f t="shared" si="14"/>
        <v>7</v>
      </c>
      <c r="AB75" s="153">
        <f t="shared" si="15"/>
        <v>23590</v>
      </c>
      <c r="AC75" s="155">
        <f t="shared" ca="1" si="16"/>
        <v>6.5341404372957301</v>
      </c>
    </row>
    <row r="76" spans="3:29">
      <c r="C76" s="152" t="str">
        <f>'Monthly Prices'!A64</f>
        <v>1964M09</v>
      </c>
      <c r="D76" s="153">
        <f t="shared" si="5"/>
        <v>23621</v>
      </c>
      <c r="E76" s="152">
        <f t="shared" si="6"/>
        <v>57</v>
      </c>
      <c r="F76" s="152" t="b">
        <f t="shared" si="0"/>
        <v>0</v>
      </c>
      <c r="G76" s="152" t="b">
        <f t="shared" si="1"/>
        <v>1</v>
      </c>
      <c r="H76" s="152" t="b">
        <f t="shared" si="2"/>
        <v>0</v>
      </c>
      <c r="I76" s="153" t="e">
        <f t="shared" si="3"/>
        <v>#N/A</v>
      </c>
      <c r="J76" s="158">
        <f>INDEX('Monthly Prices'!B64:CB64,$G$4)</f>
        <v>55.12</v>
      </c>
      <c r="K76" s="158" t="b">
        <f>IF(H76,INDEX('Monthly Prices'!B64:CB64,$G$4)*U76,FALSE)</f>
        <v>0</v>
      </c>
      <c r="L76" s="152" t="b">
        <f t="shared" si="7"/>
        <v>1</v>
      </c>
      <c r="M76" s="158">
        <f>INDEX('Monthly Prices'!B64:CB64,$G$5)</f>
        <v>25.59364599721</v>
      </c>
      <c r="N76" s="158" t="b">
        <f>IF(H76,INDEX('Monthly Prices'!B64:CB64,$G$5)*U76,FALSE)</f>
        <v>0</v>
      </c>
      <c r="O76" s="152" t="b">
        <f t="shared" si="4"/>
        <v>1</v>
      </c>
      <c r="P76" s="152">
        <f t="shared" si="8"/>
        <v>1964</v>
      </c>
      <c r="Q76" s="159">
        <f>'Monthly Prices'!B64</f>
        <v>1.45</v>
      </c>
      <c r="R76" s="159">
        <f t="shared" si="9"/>
        <v>1.4499999999999995</v>
      </c>
      <c r="S76" s="155">
        <f>_xlfn.XLOOKUP(P76,'Annual Real'!A:A,'Annual Real'!B:B,0,0)</f>
        <v>7.3275697391760097</v>
      </c>
      <c r="T76" s="155">
        <f t="shared" ca="1" si="10"/>
        <v>6.5249679838275192</v>
      </c>
      <c r="U76" s="152">
        <f t="shared" ca="1" si="11"/>
        <v>6.5249679838275192</v>
      </c>
      <c r="V76" s="152" t="b">
        <f t="shared" si="17"/>
        <v>0</v>
      </c>
      <c r="W76" s="152" t="b">
        <f t="shared" si="18"/>
        <v>0</v>
      </c>
      <c r="X76" s="154">
        <f>LOOKUP(D76,'US Implicit Deflator'!A:A,'US Implicit Deflator'!B:B)/100</f>
        <v>1.7000000000000001E-2</v>
      </c>
      <c r="Y76" s="154">
        <f t="shared" si="12"/>
        <v>1.4057468926966799E-3</v>
      </c>
      <c r="Z76" s="165">
        <f t="shared" ca="1" si="13"/>
        <v>1.0465634682707281</v>
      </c>
      <c r="AA76" s="152">
        <f t="shared" si="14"/>
        <v>7</v>
      </c>
      <c r="AB76" s="153">
        <f t="shared" si="15"/>
        <v>23621</v>
      </c>
      <c r="AC76" s="155">
        <f t="shared" ca="1" si="16"/>
        <v>6.5249679838275192</v>
      </c>
    </row>
    <row r="77" spans="3:29">
      <c r="C77" s="152" t="str">
        <f>'Monthly Prices'!A65</f>
        <v>1964M10</v>
      </c>
      <c r="D77" s="153">
        <f t="shared" si="5"/>
        <v>23651</v>
      </c>
      <c r="E77" s="152">
        <f t="shared" si="6"/>
        <v>58</v>
      </c>
      <c r="F77" s="152" t="b">
        <f t="shared" si="0"/>
        <v>0</v>
      </c>
      <c r="G77" s="152" t="b">
        <f t="shared" si="1"/>
        <v>1</v>
      </c>
      <c r="H77" s="152" t="b">
        <f t="shared" si="2"/>
        <v>0</v>
      </c>
      <c r="I77" s="153" t="e">
        <f t="shared" si="3"/>
        <v>#N/A</v>
      </c>
      <c r="J77" s="158">
        <f>INDEX('Monthly Prices'!B65:CB65,$G$4)</f>
        <v>52.8</v>
      </c>
      <c r="K77" s="158" t="b">
        <f>IF(H77,INDEX('Monthly Prices'!B65:CB65,$G$4)*U77,FALSE)</f>
        <v>0</v>
      </c>
      <c r="L77" s="152" t="b">
        <f t="shared" si="7"/>
        <v>1</v>
      </c>
      <c r="M77" s="158">
        <f>INDEX('Monthly Prices'!B65:CB65,$G$5)</f>
        <v>25.195592894899999</v>
      </c>
      <c r="N77" s="158" t="b">
        <f>IF(H77,INDEX('Monthly Prices'!B65:CB65,$G$5)*U77,FALSE)</f>
        <v>0</v>
      </c>
      <c r="O77" s="152" t="b">
        <f t="shared" si="4"/>
        <v>1</v>
      </c>
      <c r="P77" s="152">
        <f t="shared" si="8"/>
        <v>1964</v>
      </c>
      <c r="Q77" s="159">
        <f>'Monthly Prices'!B65</f>
        <v>1.45</v>
      </c>
      <c r="R77" s="159">
        <f t="shared" si="9"/>
        <v>1.4499999999999995</v>
      </c>
      <c r="S77" s="155">
        <f>_xlfn.XLOOKUP(P77,'Annual Real'!A:A,'Annual Real'!B:B,0,0)</f>
        <v>7.3275697391760097</v>
      </c>
      <c r="T77" s="155">
        <f t="shared" ca="1" si="10"/>
        <v>6.517412693766869</v>
      </c>
      <c r="U77" s="152">
        <f t="shared" ca="1" si="11"/>
        <v>6.517412693766869</v>
      </c>
      <c r="V77" s="152" t="b">
        <f t="shared" si="17"/>
        <v>0</v>
      </c>
      <c r="W77" s="152" t="b">
        <f t="shared" si="18"/>
        <v>0</v>
      </c>
      <c r="X77" s="154">
        <f>LOOKUP(D77,'US Implicit Deflator'!A:A,'US Implicit Deflator'!B:B)/100</f>
        <v>1.3999999999999999E-2</v>
      </c>
      <c r="Y77" s="154">
        <f t="shared" si="12"/>
        <v>1.1592468385308585E-3</v>
      </c>
      <c r="Z77" s="165">
        <f t="shared" ca="1" si="13"/>
        <v>1.0477766936626429</v>
      </c>
      <c r="AA77" s="152">
        <f t="shared" si="14"/>
        <v>7</v>
      </c>
      <c r="AB77" s="153">
        <f t="shared" si="15"/>
        <v>23651</v>
      </c>
      <c r="AC77" s="155">
        <f t="shared" ca="1" si="16"/>
        <v>6.517412693766869</v>
      </c>
    </row>
    <row r="78" spans="3:29">
      <c r="C78" s="152" t="str">
        <f>'Monthly Prices'!A66</f>
        <v>1964M11</v>
      </c>
      <c r="D78" s="153">
        <f t="shared" si="5"/>
        <v>23682</v>
      </c>
      <c r="E78" s="152">
        <f t="shared" si="6"/>
        <v>59</v>
      </c>
      <c r="F78" s="152" t="b">
        <f t="shared" si="0"/>
        <v>0</v>
      </c>
      <c r="G78" s="152" t="b">
        <f t="shared" si="1"/>
        <v>1</v>
      </c>
      <c r="H78" s="152" t="b">
        <f t="shared" si="2"/>
        <v>0</v>
      </c>
      <c r="I78" s="153" t="e">
        <f t="shared" si="3"/>
        <v>#N/A</v>
      </c>
      <c r="J78" s="158">
        <f>INDEX('Monthly Prices'!B66:CB66,$G$4)</f>
        <v>52.8</v>
      </c>
      <c r="K78" s="158" t="b">
        <f>IF(H78,INDEX('Monthly Prices'!B66:CB66,$G$4)*U78,FALSE)</f>
        <v>0</v>
      </c>
      <c r="L78" s="152" t="b">
        <f t="shared" si="7"/>
        <v>1</v>
      </c>
      <c r="M78" s="158">
        <f>INDEX('Monthly Prices'!B66:CB66,$G$5)</f>
        <v>25.11402177958</v>
      </c>
      <c r="N78" s="158" t="b">
        <f>IF(H78,INDEX('Monthly Prices'!B66:CB66,$G$5)*U78,FALSE)</f>
        <v>0</v>
      </c>
      <c r="O78" s="152" t="b">
        <f t="shared" si="4"/>
        <v>1</v>
      </c>
      <c r="P78" s="152">
        <f t="shared" si="8"/>
        <v>1964</v>
      </c>
      <c r="Q78" s="159">
        <f>'Monthly Prices'!B66</f>
        <v>1.45</v>
      </c>
      <c r="R78" s="159">
        <f t="shared" si="9"/>
        <v>1.4499999999999995</v>
      </c>
      <c r="S78" s="155">
        <f>_xlfn.XLOOKUP(P78,'Annual Real'!A:A,'Annual Real'!B:B,0,0)</f>
        <v>7.3275697391760097</v>
      </c>
      <c r="T78" s="155">
        <f t="shared" ca="1" si="10"/>
        <v>6.5098661520108916</v>
      </c>
      <c r="U78" s="152">
        <f t="shared" ca="1" si="11"/>
        <v>6.5098661520108916</v>
      </c>
      <c r="V78" s="152" t="b">
        <f t="shared" si="17"/>
        <v>0</v>
      </c>
      <c r="W78" s="152" t="b">
        <f t="shared" si="18"/>
        <v>0</v>
      </c>
      <c r="X78" s="154">
        <f>LOOKUP(D78,'US Implicit Deflator'!A:A,'US Implicit Deflator'!B:B)/100</f>
        <v>1.3999999999999999E-2</v>
      </c>
      <c r="Y78" s="154">
        <f t="shared" si="12"/>
        <v>1.1592468385308585E-3</v>
      </c>
      <c r="Z78" s="165">
        <f t="shared" ca="1" si="13"/>
        <v>1.0489913254822576</v>
      </c>
      <c r="AA78" s="152">
        <f t="shared" si="14"/>
        <v>7</v>
      </c>
      <c r="AB78" s="153">
        <f t="shared" si="15"/>
        <v>23682</v>
      </c>
      <c r="AC78" s="155">
        <f t="shared" ca="1" si="16"/>
        <v>6.5098661520108916</v>
      </c>
    </row>
    <row r="79" spans="3:29">
      <c r="C79" s="152" t="str">
        <f>'Monthly Prices'!A67</f>
        <v>1964M12</v>
      </c>
      <c r="D79" s="153">
        <f t="shared" si="5"/>
        <v>23712</v>
      </c>
      <c r="E79" s="152">
        <f t="shared" si="6"/>
        <v>60</v>
      </c>
      <c r="F79" s="152" t="b">
        <f t="shared" si="0"/>
        <v>0</v>
      </c>
      <c r="G79" s="152" t="b">
        <f t="shared" si="1"/>
        <v>1</v>
      </c>
      <c r="H79" s="152" t="b">
        <f t="shared" si="2"/>
        <v>0</v>
      </c>
      <c r="I79" s="153" t="e">
        <f t="shared" si="3"/>
        <v>#N/A</v>
      </c>
      <c r="J79" s="158">
        <f>INDEX('Monthly Prices'!B67:CB67,$G$4)</f>
        <v>54.33</v>
      </c>
      <c r="K79" s="158" t="b">
        <f>IF(H79,INDEX('Monthly Prices'!B67:CB67,$G$4)*U79,FALSE)</f>
        <v>0</v>
      </c>
      <c r="L79" s="152" t="b">
        <f t="shared" si="7"/>
        <v>1</v>
      </c>
      <c r="M79" s="158">
        <f>INDEX('Monthly Prices'!B67:CB67,$G$5)</f>
        <v>25.405418292450001</v>
      </c>
      <c r="N79" s="158" t="b">
        <f>IF(H79,INDEX('Monthly Prices'!B67:CB67,$G$5)*U79,FALSE)</f>
        <v>0</v>
      </c>
      <c r="O79" s="152" t="b">
        <f t="shared" si="4"/>
        <v>1</v>
      </c>
      <c r="P79" s="152">
        <f t="shared" si="8"/>
        <v>1964</v>
      </c>
      <c r="Q79" s="159">
        <f>'Monthly Prices'!B67</f>
        <v>1.45</v>
      </c>
      <c r="R79" s="159">
        <f t="shared" si="9"/>
        <v>1.4499999999999995</v>
      </c>
      <c r="S79" s="155">
        <f>_xlfn.XLOOKUP(P79,'Annual Real'!A:A,'Annual Real'!B:B,0,0)</f>
        <v>7.3275697391760097</v>
      </c>
      <c r="T79" s="155">
        <f t="shared" ca="1" si="10"/>
        <v>6.5023283484298844</v>
      </c>
      <c r="U79" s="152">
        <f t="shared" ca="1" si="11"/>
        <v>6.5023283484298844</v>
      </c>
      <c r="V79" s="152" t="b">
        <f t="shared" si="17"/>
        <v>0</v>
      </c>
      <c r="W79" s="152" t="b">
        <f t="shared" si="18"/>
        <v>0</v>
      </c>
      <c r="X79" s="154">
        <f>LOOKUP(D79,'US Implicit Deflator'!A:A,'US Implicit Deflator'!B:B)/100</f>
        <v>1.3999999999999999E-2</v>
      </c>
      <c r="Y79" s="154">
        <f t="shared" si="12"/>
        <v>1.1592468385308585E-3</v>
      </c>
      <c r="Z79" s="165">
        <f t="shared" ca="1" si="13"/>
        <v>1.0502073653599693</v>
      </c>
      <c r="AA79" s="152">
        <f t="shared" si="14"/>
        <v>7</v>
      </c>
      <c r="AB79" s="153">
        <f t="shared" si="15"/>
        <v>23712</v>
      </c>
      <c r="AC79" s="155">
        <f t="shared" ca="1" si="16"/>
        <v>6.5023283484298844</v>
      </c>
    </row>
    <row r="80" spans="3:29">
      <c r="C80" s="152" t="str">
        <f>'Monthly Prices'!A68</f>
        <v>1965M01</v>
      </c>
      <c r="D80" s="153">
        <f t="shared" si="5"/>
        <v>23743</v>
      </c>
      <c r="E80" s="152">
        <f t="shared" si="6"/>
        <v>61</v>
      </c>
      <c r="F80" s="152" t="b">
        <f t="shared" si="0"/>
        <v>0</v>
      </c>
      <c r="G80" s="152" t="b">
        <f t="shared" si="1"/>
        <v>1</v>
      </c>
      <c r="H80" s="152" t="b">
        <f t="shared" si="2"/>
        <v>0</v>
      </c>
      <c r="I80" s="153" t="e">
        <f t="shared" si="3"/>
        <v>#N/A</v>
      </c>
      <c r="J80" s="158">
        <f>INDEX('Monthly Prices'!B68:CB68,$G$4)</f>
        <v>55.9</v>
      </c>
      <c r="K80" s="158" t="b">
        <f>IF(H80,INDEX('Monthly Prices'!B68:CB68,$G$4)*U80,FALSE)</f>
        <v>0</v>
      </c>
      <c r="L80" s="152" t="b">
        <f t="shared" si="7"/>
        <v>1</v>
      </c>
      <c r="M80" s="158">
        <f>INDEX('Monthly Prices'!B68:CB68,$G$5)</f>
        <v>25.37793498764</v>
      </c>
      <c r="N80" s="158" t="b">
        <f>IF(H80,INDEX('Monthly Prices'!B68:CB68,$G$5)*U80,FALSE)</f>
        <v>0</v>
      </c>
      <c r="O80" s="152" t="b">
        <f t="shared" si="4"/>
        <v>1</v>
      </c>
      <c r="P80" s="152">
        <f t="shared" si="8"/>
        <v>1965</v>
      </c>
      <c r="Q80" s="159">
        <f>'Monthly Prices'!B68</f>
        <v>1.42</v>
      </c>
      <c r="R80" s="159">
        <f t="shared" si="9"/>
        <v>1.42</v>
      </c>
      <c r="S80" s="155">
        <f>_xlfn.XLOOKUP(P80,'Annual Real'!A:A,'Annual Real'!B:B,0,0)</f>
        <v>7.1075940147544996</v>
      </c>
      <c r="T80" s="155">
        <f t="shared" ca="1" si="10"/>
        <v>6.4947992729058752</v>
      </c>
      <c r="U80" s="152">
        <f t="shared" ca="1" si="11"/>
        <v>6.4947992729058752</v>
      </c>
      <c r="V80" s="152" t="b">
        <f t="shared" si="17"/>
        <v>0</v>
      </c>
      <c r="W80" s="152" t="b">
        <f t="shared" si="18"/>
        <v>0</v>
      </c>
      <c r="X80" s="154">
        <f>LOOKUP(D80,'US Implicit Deflator'!A:A,'US Implicit Deflator'!B:B)/100</f>
        <v>1.3999999999999999E-2</v>
      </c>
      <c r="Y80" s="154">
        <f t="shared" si="12"/>
        <v>1.1592468385308585E-3</v>
      </c>
      <c r="Z80" s="165">
        <f t="shared" ca="1" si="13"/>
        <v>1.0514248149280647</v>
      </c>
      <c r="AA80" s="152">
        <f t="shared" si="14"/>
        <v>7</v>
      </c>
      <c r="AB80" s="153">
        <f t="shared" si="15"/>
        <v>23743</v>
      </c>
      <c r="AC80" s="155">
        <f t="shared" ca="1" si="16"/>
        <v>6.4947992729058752</v>
      </c>
    </row>
    <row r="81" spans="3:29">
      <c r="C81" s="152" t="str">
        <f>'Monthly Prices'!A69</f>
        <v>1965M02</v>
      </c>
      <c r="D81" s="153">
        <f t="shared" si="5"/>
        <v>23774</v>
      </c>
      <c r="E81" s="152">
        <f t="shared" si="6"/>
        <v>62</v>
      </c>
      <c r="F81" s="152" t="b">
        <f t="shared" si="0"/>
        <v>0</v>
      </c>
      <c r="G81" s="152" t="b">
        <f t="shared" si="1"/>
        <v>1</v>
      </c>
      <c r="H81" s="152" t="b">
        <f t="shared" si="2"/>
        <v>0</v>
      </c>
      <c r="I81" s="153" t="e">
        <f t="shared" si="3"/>
        <v>#N/A</v>
      </c>
      <c r="J81" s="158">
        <f>INDEX('Monthly Prices'!B69:CB69,$G$4)</f>
        <v>56.69</v>
      </c>
      <c r="K81" s="158" t="b">
        <f>IF(H81,INDEX('Monthly Prices'!B69:CB69,$G$4)*U81,FALSE)</f>
        <v>0</v>
      </c>
      <c r="L81" s="152" t="b">
        <f t="shared" si="7"/>
        <v>1</v>
      </c>
      <c r="M81" s="158">
        <f>INDEX('Monthly Prices'!B69:CB69,$G$5)</f>
        <v>24.67937518051</v>
      </c>
      <c r="N81" s="158" t="b">
        <f>IF(H81,INDEX('Monthly Prices'!B69:CB69,$G$5)*U81,FALSE)</f>
        <v>0</v>
      </c>
      <c r="O81" s="152" t="b">
        <f t="shared" si="4"/>
        <v>1</v>
      </c>
      <c r="P81" s="152">
        <f t="shared" si="8"/>
        <v>1965</v>
      </c>
      <c r="Q81" s="159">
        <f>'Monthly Prices'!B69</f>
        <v>1.42</v>
      </c>
      <c r="R81" s="159">
        <f t="shared" si="9"/>
        <v>1.42</v>
      </c>
      <c r="S81" s="155">
        <f>_xlfn.XLOOKUP(P81,'Annual Real'!A:A,'Annual Real'!B:B,0,0)</f>
        <v>7.1075940147544996</v>
      </c>
      <c r="T81" s="155">
        <f t="shared" ca="1" si="10"/>
        <v>6.4872789153326078</v>
      </c>
      <c r="U81" s="152">
        <f t="shared" ca="1" si="11"/>
        <v>6.4872789153326078</v>
      </c>
      <c r="V81" s="152" t="b">
        <f t="shared" si="17"/>
        <v>0</v>
      </c>
      <c r="W81" s="152" t="b">
        <f t="shared" si="18"/>
        <v>0</v>
      </c>
      <c r="X81" s="154">
        <f>LOOKUP(D81,'US Implicit Deflator'!A:A,'US Implicit Deflator'!B:B)/100</f>
        <v>1.3999999999999999E-2</v>
      </c>
      <c r="Y81" s="154">
        <f t="shared" si="12"/>
        <v>1.1592468385308585E-3</v>
      </c>
      <c r="Z81" s="165">
        <f t="shared" ca="1" si="13"/>
        <v>1.0526436758207229</v>
      </c>
      <c r="AA81" s="152">
        <f t="shared" si="14"/>
        <v>7</v>
      </c>
      <c r="AB81" s="153">
        <f t="shared" si="15"/>
        <v>23774</v>
      </c>
      <c r="AC81" s="155">
        <f t="shared" ca="1" si="16"/>
        <v>6.4872789153326078</v>
      </c>
    </row>
    <row r="82" spans="3:29">
      <c r="C82" s="152" t="str">
        <f>'Monthly Prices'!A70</f>
        <v>1965M03</v>
      </c>
      <c r="D82" s="153">
        <f t="shared" si="5"/>
        <v>23802</v>
      </c>
      <c r="E82" s="152">
        <f t="shared" si="6"/>
        <v>63</v>
      </c>
      <c r="F82" s="152" t="b">
        <f t="shared" si="0"/>
        <v>0</v>
      </c>
      <c r="G82" s="152" t="b">
        <f t="shared" si="1"/>
        <v>1</v>
      </c>
      <c r="H82" s="152" t="b">
        <f t="shared" si="2"/>
        <v>0</v>
      </c>
      <c r="I82" s="153" t="e">
        <f t="shared" si="3"/>
        <v>#N/A</v>
      </c>
      <c r="J82" s="158">
        <f>INDEX('Monthly Prices'!B70:CB70,$G$4)</f>
        <v>57.08</v>
      </c>
      <c r="K82" s="158" t="b">
        <f>IF(H82,INDEX('Monthly Prices'!B70:CB70,$G$4)*U82,FALSE)</f>
        <v>0</v>
      </c>
      <c r="L82" s="152" t="b">
        <f t="shared" si="7"/>
        <v>1</v>
      </c>
      <c r="M82" s="158">
        <f>INDEX('Monthly Prices'!B70:CB70,$G$5)</f>
        <v>24.710340438079999</v>
      </c>
      <c r="N82" s="158" t="b">
        <f>IF(H82,INDEX('Monthly Prices'!B70:CB70,$G$5)*U82,FALSE)</f>
        <v>0</v>
      </c>
      <c r="O82" s="152" t="b">
        <f t="shared" si="4"/>
        <v>1</v>
      </c>
      <c r="P82" s="152">
        <f t="shared" si="8"/>
        <v>1965</v>
      </c>
      <c r="Q82" s="159">
        <f>'Monthly Prices'!B70</f>
        <v>1.42</v>
      </c>
      <c r="R82" s="159">
        <f t="shared" si="9"/>
        <v>1.42</v>
      </c>
      <c r="S82" s="155">
        <f>_xlfn.XLOOKUP(P82,'Annual Real'!A:A,'Annual Real'!B:B,0,0)</f>
        <v>7.1075940147544996</v>
      </c>
      <c r="T82" s="155">
        <f t="shared" ca="1" si="10"/>
        <v>6.4797672656155276</v>
      </c>
      <c r="U82" s="152">
        <f t="shared" ca="1" si="11"/>
        <v>6.4797672656155276</v>
      </c>
      <c r="V82" s="152" t="b">
        <f t="shared" si="17"/>
        <v>0</v>
      </c>
      <c r="W82" s="152" t="b">
        <f t="shared" si="18"/>
        <v>0</v>
      </c>
      <c r="X82" s="154">
        <f>LOOKUP(D82,'US Implicit Deflator'!A:A,'US Implicit Deflator'!B:B)/100</f>
        <v>1.3999999999999999E-2</v>
      </c>
      <c r="Y82" s="154">
        <f t="shared" si="12"/>
        <v>1.1592468385308585E-3</v>
      </c>
      <c r="Z82" s="165">
        <f t="shared" ca="1" si="13"/>
        <v>1.0538639496740176</v>
      </c>
      <c r="AA82" s="152">
        <f t="shared" si="14"/>
        <v>7</v>
      </c>
      <c r="AB82" s="153">
        <f t="shared" si="15"/>
        <v>23802</v>
      </c>
      <c r="AC82" s="155">
        <f t="shared" ca="1" si="16"/>
        <v>6.4797672656155276</v>
      </c>
    </row>
    <row r="83" spans="3:29">
      <c r="C83" s="152" t="str">
        <f>'Monthly Prices'!A71</f>
        <v>1965M04</v>
      </c>
      <c r="D83" s="153">
        <f t="shared" si="5"/>
        <v>23833</v>
      </c>
      <c r="E83" s="152">
        <f t="shared" si="6"/>
        <v>64</v>
      </c>
      <c r="F83" s="152" t="b">
        <f t="shared" si="0"/>
        <v>0</v>
      </c>
      <c r="G83" s="152" t="b">
        <f t="shared" si="1"/>
        <v>1</v>
      </c>
      <c r="H83" s="152" t="b">
        <f t="shared" si="2"/>
        <v>0</v>
      </c>
      <c r="I83" s="153" t="e">
        <f t="shared" si="3"/>
        <v>#N/A</v>
      </c>
      <c r="J83" s="158">
        <f>INDEX('Monthly Prices'!B71:CB71,$G$4)</f>
        <v>57.48</v>
      </c>
      <c r="K83" s="158" t="b">
        <f>IF(H83,INDEX('Monthly Prices'!B71:CB71,$G$4)*U83,FALSE)</f>
        <v>0</v>
      </c>
      <c r="L83" s="152" t="b">
        <f t="shared" si="7"/>
        <v>1</v>
      </c>
      <c r="M83" s="158">
        <f>INDEX('Monthly Prices'!B71:CB71,$G$5)</f>
        <v>24.604843525650001</v>
      </c>
      <c r="N83" s="158" t="b">
        <f>IF(H83,INDEX('Monthly Prices'!B71:CB71,$G$5)*U83,FALSE)</f>
        <v>0</v>
      </c>
      <c r="O83" s="152" t="b">
        <f t="shared" si="4"/>
        <v>1</v>
      </c>
      <c r="P83" s="152">
        <f t="shared" si="8"/>
        <v>1965</v>
      </c>
      <c r="Q83" s="159">
        <f>'Monthly Prices'!B71</f>
        <v>1.42</v>
      </c>
      <c r="R83" s="159">
        <f t="shared" si="9"/>
        <v>1.42</v>
      </c>
      <c r="S83" s="155">
        <f>_xlfn.XLOOKUP(P83,'Annual Real'!A:A,'Annual Real'!B:B,0,0)</f>
        <v>7.1075940147544996</v>
      </c>
      <c r="T83" s="155">
        <f t="shared" ca="1" si="10"/>
        <v>6.4727965066442739</v>
      </c>
      <c r="U83" s="152">
        <f t="shared" ca="1" si="11"/>
        <v>6.4727965066442739</v>
      </c>
      <c r="V83" s="152" t="b">
        <f t="shared" si="17"/>
        <v>0</v>
      </c>
      <c r="W83" s="152" t="b">
        <f t="shared" si="18"/>
        <v>0</v>
      </c>
      <c r="X83" s="154">
        <f>LOOKUP(D83,'US Implicit Deflator'!A:A,'US Implicit Deflator'!B:B)/100</f>
        <v>1.3000000000000001E-2</v>
      </c>
      <c r="Y83" s="154">
        <f t="shared" si="12"/>
        <v>1.0769315803607071E-3</v>
      </c>
      <c r="Z83" s="165">
        <f t="shared" ca="1" si="13"/>
        <v>1.0549988890428252</v>
      </c>
      <c r="AA83" s="152">
        <f t="shared" si="14"/>
        <v>7</v>
      </c>
      <c r="AB83" s="153">
        <f t="shared" si="15"/>
        <v>23833</v>
      </c>
      <c r="AC83" s="155">
        <f t="shared" ca="1" si="16"/>
        <v>6.4727965066442739</v>
      </c>
    </row>
    <row r="84" spans="3:29">
      <c r="C84" s="152" t="str">
        <f>'Monthly Prices'!A72</f>
        <v>1965M05</v>
      </c>
      <c r="D84" s="153">
        <f t="shared" si="5"/>
        <v>23863</v>
      </c>
      <c r="E84" s="152">
        <f t="shared" si="6"/>
        <v>65</v>
      </c>
      <c r="F84" s="152" t="b">
        <f t="shared" ref="F84:F147" si="19">AND(E84&gt;=$M$4,L84)</f>
        <v>0</v>
      </c>
      <c r="G84" s="152" t="b">
        <f t="shared" ref="G84:G147" si="20">AND(E84&lt;=$M$5,O84)</f>
        <v>1</v>
      </c>
      <c r="H84" s="152" t="b">
        <f t="shared" ref="H84:H147" si="21">AND(F84:G84)</f>
        <v>0</v>
      </c>
      <c r="I84" s="153" t="e">
        <f t="shared" ref="I84:I147" si="22">IF(H84,D84,NA)</f>
        <v>#N/A</v>
      </c>
      <c r="J84" s="158">
        <f>INDEX('Monthly Prices'!B72:CB72,$G$4)</f>
        <v>58.66</v>
      </c>
      <c r="K84" s="158" t="b">
        <f>IF(H84,INDEX('Monthly Prices'!B72:CB72,$G$4)*U84,FALSE)</f>
        <v>0</v>
      </c>
      <c r="L84" s="152" t="b">
        <f t="shared" si="7"/>
        <v>1</v>
      </c>
      <c r="M84" s="158">
        <f>INDEX('Monthly Prices'!B72:CB72,$G$5)</f>
        <v>24.68019173743</v>
      </c>
      <c r="N84" s="158" t="b">
        <f>IF(H84,INDEX('Monthly Prices'!B72:CB72,$G$5)*U84,FALSE)</f>
        <v>0</v>
      </c>
      <c r="O84" s="152" t="b">
        <f t="shared" ref="O84:O147" si="23">AND(ISNUMBER(M84),M84&gt;0)</f>
        <v>1</v>
      </c>
      <c r="P84" s="152">
        <f t="shared" si="8"/>
        <v>1965</v>
      </c>
      <c r="Q84" s="159">
        <f>'Monthly Prices'!B72</f>
        <v>1.42</v>
      </c>
      <c r="R84" s="159">
        <f t="shared" si="9"/>
        <v>1.42</v>
      </c>
      <c r="S84" s="155">
        <f>_xlfn.XLOOKUP(P84,'Annual Real'!A:A,'Annual Real'!B:B,0,0)</f>
        <v>7.1075940147544996</v>
      </c>
      <c r="T84" s="155">
        <f t="shared" ca="1" si="10"/>
        <v>6.4658332466276347</v>
      </c>
      <c r="U84" s="152">
        <f t="shared" ca="1" si="11"/>
        <v>6.4658332466276347</v>
      </c>
      <c r="V84" s="152" t="b">
        <f t="shared" si="17"/>
        <v>0</v>
      </c>
      <c r="W84" s="152" t="b">
        <f t="shared" si="18"/>
        <v>0</v>
      </c>
      <c r="X84" s="154">
        <f>LOOKUP(D84,'US Implicit Deflator'!A:A,'US Implicit Deflator'!B:B)/100</f>
        <v>1.3000000000000001E-2</v>
      </c>
      <c r="Y84" s="154">
        <f t="shared" si="12"/>
        <v>1.0769315803607071E-3</v>
      </c>
      <c r="Z84" s="165">
        <f t="shared" ca="1" si="13"/>
        <v>1.0561350506636809</v>
      </c>
      <c r="AA84" s="152">
        <f t="shared" si="14"/>
        <v>7</v>
      </c>
      <c r="AB84" s="153">
        <f t="shared" si="15"/>
        <v>23863</v>
      </c>
      <c r="AC84" s="155">
        <f t="shared" ca="1" si="16"/>
        <v>6.4658332466276347</v>
      </c>
    </row>
    <row r="85" spans="3:29">
      <c r="C85" s="152" t="str">
        <f>'Monthly Prices'!A73</f>
        <v>1965M06</v>
      </c>
      <c r="D85" s="153">
        <f t="shared" ref="D85:D148" si="24">EDATE(D84,1)</f>
        <v>23894</v>
      </c>
      <c r="E85" s="152">
        <f t="shared" ref="E85:E148" si="25">E84+1</f>
        <v>66</v>
      </c>
      <c r="F85" s="152" t="b">
        <f t="shared" si="19"/>
        <v>0</v>
      </c>
      <c r="G85" s="152" t="b">
        <f t="shared" si="20"/>
        <v>1</v>
      </c>
      <c r="H85" s="152" t="b">
        <f t="shared" si="21"/>
        <v>0</v>
      </c>
      <c r="I85" s="153" t="e">
        <f t="shared" si="22"/>
        <v>#N/A</v>
      </c>
      <c r="J85" s="158">
        <f>INDEX('Monthly Prices'!B73:CB73,$G$4)</f>
        <v>58.26</v>
      </c>
      <c r="K85" s="158" t="b">
        <f>IF(H85,INDEX('Monthly Prices'!B73:CB73,$G$4)*U85,FALSE)</f>
        <v>0</v>
      </c>
      <c r="L85" s="152" t="b">
        <f t="shared" ref="L85:L148" si="26">ISNUMBER(J85)</f>
        <v>1</v>
      </c>
      <c r="M85" s="158">
        <f>INDEX('Monthly Prices'!B73:CB73,$G$5)</f>
        <v>24.449309547799999</v>
      </c>
      <c r="N85" s="158" t="b">
        <f>IF(H85,INDEX('Monthly Prices'!B73:CB73,$G$5)*U85,FALSE)</f>
        <v>0</v>
      </c>
      <c r="O85" s="152" t="b">
        <f t="shared" si="23"/>
        <v>1</v>
      </c>
      <c r="P85" s="152">
        <f t="shared" ref="P85:P148" si="27">YEAR(D85)</f>
        <v>1965</v>
      </c>
      <c r="Q85" s="159">
        <f>'Monthly Prices'!B73</f>
        <v>1.42</v>
      </c>
      <c r="R85" s="159">
        <f t="shared" ref="R85:R148" si="28">AVERAGEIF(P:P,P85,Q:Q)</f>
        <v>1.42</v>
      </c>
      <c r="S85" s="155">
        <f>_xlfn.XLOOKUP(P85,'Annual Real'!A:A,'Annual Real'!B:B,0,0)</f>
        <v>7.1075940147544996</v>
      </c>
      <c r="T85" s="155">
        <f t="shared" ref="T85:T148" ca="1" si="29">AC85</f>
        <v>6.4588774774984357</v>
      </c>
      <c r="U85" s="152">
        <f t="shared" ref="U85:U148" ca="1" si="30">IF($U$19,T85,1)</f>
        <v>6.4588774774984357</v>
      </c>
      <c r="V85" s="152" t="b">
        <f t="shared" si="17"/>
        <v>0</v>
      </c>
      <c r="W85" s="152" t="b">
        <f t="shared" si="18"/>
        <v>0</v>
      </c>
      <c r="X85" s="154">
        <f>LOOKUP(D85,'US Implicit Deflator'!A:A,'US Implicit Deflator'!B:B)/100</f>
        <v>1.3000000000000001E-2</v>
      </c>
      <c r="Y85" s="154">
        <f t="shared" ref="Y85:Y148" si="31">(1+X85)^(1/12)-1</f>
        <v>1.0769315803607071E-3</v>
      </c>
      <c r="Z85" s="165">
        <f t="shared" ref="Z85:Z148" ca="1" si="32">Z84*(1+Y85)</f>
        <v>1.0572724358528665</v>
      </c>
      <c r="AA85" s="152">
        <f t="shared" ref="AA85:AA148" si="33">LEN(C85)</f>
        <v>7</v>
      </c>
      <c r="AB85" s="153">
        <f t="shared" ref="AB85:AB148" si="34">IF(AA85&gt;2,D85,0)</f>
        <v>23894</v>
      </c>
      <c r="AC85" s="155">
        <f t="shared" ref="AC85:AC148" ca="1" si="35">$AC$17/Z85</f>
        <v>6.4588774774984357</v>
      </c>
    </row>
    <row r="86" spans="3:29">
      <c r="C86" s="152" t="str">
        <f>'Monthly Prices'!A74</f>
        <v>1965M07</v>
      </c>
      <c r="D86" s="153">
        <f t="shared" si="24"/>
        <v>23924</v>
      </c>
      <c r="E86" s="152">
        <f t="shared" si="25"/>
        <v>67</v>
      </c>
      <c r="F86" s="152" t="b">
        <f t="shared" si="19"/>
        <v>0</v>
      </c>
      <c r="G86" s="152" t="b">
        <f t="shared" si="20"/>
        <v>1</v>
      </c>
      <c r="H86" s="152" t="b">
        <f t="shared" si="21"/>
        <v>0</v>
      </c>
      <c r="I86" s="153" t="e">
        <f t="shared" si="22"/>
        <v>#N/A</v>
      </c>
      <c r="J86" s="158">
        <f>INDEX('Monthly Prices'!B74:CB74,$G$4)</f>
        <v>56.69</v>
      </c>
      <c r="K86" s="158" t="b">
        <f>IF(H86,INDEX('Monthly Prices'!B74:CB74,$G$4)*U86,FALSE)</f>
        <v>0</v>
      </c>
      <c r="L86" s="152" t="b">
        <f t="shared" si="26"/>
        <v>1</v>
      </c>
      <c r="M86" s="158">
        <f>INDEX('Monthly Prices'!B74:CB74,$G$5)</f>
        <v>24.119177946930002</v>
      </c>
      <c r="N86" s="158" t="b">
        <f>IF(H86,INDEX('Monthly Prices'!B74:CB74,$G$5)*U86,FALSE)</f>
        <v>0</v>
      </c>
      <c r="O86" s="152" t="b">
        <f t="shared" si="23"/>
        <v>1</v>
      </c>
      <c r="P86" s="152">
        <f t="shared" si="27"/>
        <v>1965</v>
      </c>
      <c r="Q86" s="159">
        <f>'Monthly Prices'!B74</f>
        <v>1.42</v>
      </c>
      <c r="R86" s="159">
        <f t="shared" si="28"/>
        <v>1.42</v>
      </c>
      <c r="S86" s="155">
        <f>_xlfn.XLOOKUP(P86,'Annual Real'!A:A,'Annual Real'!B:B,0,0)</f>
        <v>7.1075940147544996</v>
      </c>
      <c r="T86" s="155">
        <f t="shared" ca="1" si="29"/>
        <v>6.4524602360734491</v>
      </c>
      <c r="U86" s="152">
        <f t="shared" ca="1" si="30"/>
        <v>6.4524602360734491</v>
      </c>
      <c r="V86" s="152" t="b">
        <f t="shared" ref="V86:V149" si="36">IF(AND(H85,H86),LN(K86/K85))</f>
        <v>0</v>
      </c>
      <c r="W86" s="152" t="b">
        <f t="shared" ref="W86:W149" si="37">IF(AND($H85,$H86),LN(N86/N85))</f>
        <v>0</v>
      </c>
      <c r="X86" s="154">
        <f>LOOKUP(D86,'US Implicit Deflator'!A:A,'US Implicit Deflator'!B:B)/100</f>
        <v>1.2E-2</v>
      </c>
      <c r="Y86" s="154">
        <f t="shared" si="31"/>
        <v>9.9454180114277868E-4</v>
      </c>
      <c r="Z86" s="165">
        <f t="shared" ca="1" si="32"/>
        <v>1.0583239374855182</v>
      </c>
      <c r="AA86" s="152">
        <f t="shared" si="33"/>
        <v>7</v>
      </c>
      <c r="AB86" s="153">
        <f t="shared" si="34"/>
        <v>23924</v>
      </c>
      <c r="AC86" s="155">
        <f t="shared" ca="1" si="35"/>
        <v>6.4524602360734491</v>
      </c>
    </row>
    <row r="87" spans="3:29">
      <c r="C87" s="152" t="str">
        <f>'Monthly Prices'!A75</f>
        <v>1965M08</v>
      </c>
      <c r="D87" s="153">
        <f t="shared" si="24"/>
        <v>23955</v>
      </c>
      <c r="E87" s="152">
        <f t="shared" si="25"/>
        <v>68</v>
      </c>
      <c r="F87" s="152" t="b">
        <f t="shared" si="19"/>
        <v>0</v>
      </c>
      <c r="G87" s="152" t="b">
        <f t="shared" si="20"/>
        <v>1</v>
      </c>
      <c r="H87" s="152" t="b">
        <f t="shared" si="21"/>
        <v>0</v>
      </c>
      <c r="I87" s="153" t="e">
        <f t="shared" si="22"/>
        <v>#N/A</v>
      </c>
      <c r="J87" s="158">
        <f>INDEX('Monthly Prices'!B75:CB75,$G$4)</f>
        <v>55.12</v>
      </c>
      <c r="K87" s="158" t="b">
        <f>IF(H87,INDEX('Monthly Prices'!B75:CB75,$G$4)*U87,FALSE)</f>
        <v>0</v>
      </c>
      <c r="L87" s="152" t="b">
        <f t="shared" si="26"/>
        <v>1</v>
      </c>
      <c r="M87" s="158">
        <f>INDEX('Monthly Prices'!B75:CB75,$G$5)</f>
        <v>23.99647841614</v>
      </c>
      <c r="N87" s="158" t="b">
        <f>IF(H87,INDEX('Monthly Prices'!B75:CB75,$G$5)*U87,FALSE)</f>
        <v>0</v>
      </c>
      <c r="O87" s="152" t="b">
        <f t="shared" si="23"/>
        <v>1</v>
      </c>
      <c r="P87" s="152">
        <f t="shared" si="27"/>
        <v>1965</v>
      </c>
      <c r="Q87" s="159">
        <f>'Monthly Prices'!B75</f>
        <v>1.42</v>
      </c>
      <c r="R87" s="159">
        <f t="shared" si="28"/>
        <v>1.42</v>
      </c>
      <c r="S87" s="155">
        <f>_xlfn.XLOOKUP(P87,'Annual Real'!A:A,'Annual Real'!B:B,0,0)</f>
        <v>7.1075940147544996</v>
      </c>
      <c r="T87" s="155">
        <f t="shared" ca="1" si="29"/>
        <v>6.4460493705222346</v>
      </c>
      <c r="U87" s="152">
        <f t="shared" ca="1" si="30"/>
        <v>6.4460493705222346</v>
      </c>
      <c r="V87" s="152" t="b">
        <f t="shared" si="36"/>
        <v>0</v>
      </c>
      <c r="W87" s="152" t="b">
        <f t="shared" si="37"/>
        <v>0</v>
      </c>
      <c r="X87" s="154">
        <f>LOOKUP(D87,'US Implicit Deflator'!A:A,'US Implicit Deflator'!B:B)/100</f>
        <v>1.2E-2</v>
      </c>
      <c r="Y87" s="154">
        <f t="shared" si="31"/>
        <v>9.9454180114277868E-4</v>
      </c>
      <c r="Z87" s="165">
        <f t="shared" ca="1" si="32"/>
        <v>1.0593764848804976</v>
      </c>
      <c r="AA87" s="152">
        <f t="shared" si="33"/>
        <v>7</v>
      </c>
      <c r="AB87" s="153">
        <f t="shared" si="34"/>
        <v>23955</v>
      </c>
      <c r="AC87" s="155">
        <f t="shared" ca="1" si="35"/>
        <v>6.4460493705222346</v>
      </c>
    </row>
    <row r="88" spans="3:29">
      <c r="C88" s="152" t="str">
        <f>'Monthly Prices'!A76</f>
        <v>1965M09</v>
      </c>
      <c r="D88" s="153">
        <f t="shared" si="24"/>
        <v>23986</v>
      </c>
      <c r="E88" s="152">
        <f t="shared" si="25"/>
        <v>69</v>
      </c>
      <c r="F88" s="152" t="b">
        <f t="shared" si="19"/>
        <v>0</v>
      </c>
      <c r="G88" s="152" t="b">
        <f t="shared" si="20"/>
        <v>1</v>
      </c>
      <c r="H88" s="152" t="b">
        <f t="shared" si="21"/>
        <v>0</v>
      </c>
      <c r="I88" s="153" t="e">
        <f t="shared" si="22"/>
        <v>#N/A</v>
      </c>
      <c r="J88" s="158">
        <f>INDEX('Monthly Prices'!B76:CB76,$G$4)</f>
        <v>53.93</v>
      </c>
      <c r="K88" s="158" t="b">
        <f>IF(H88,INDEX('Monthly Prices'!B76:CB76,$G$4)*U88,FALSE)</f>
        <v>0</v>
      </c>
      <c r="L88" s="152" t="b">
        <f t="shared" si="26"/>
        <v>1</v>
      </c>
      <c r="M88" s="158">
        <f>INDEX('Monthly Prices'!B76:CB76,$G$5)</f>
        <v>23.993643982830001</v>
      </c>
      <c r="N88" s="158" t="b">
        <f>IF(H88,INDEX('Monthly Prices'!B76:CB76,$G$5)*U88,FALSE)</f>
        <v>0</v>
      </c>
      <c r="O88" s="152" t="b">
        <f t="shared" si="23"/>
        <v>1</v>
      </c>
      <c r="P88" s="152">
        <f t="shared" si="27"/>
        <v>1965</v>
      </c>
      <c r="Q88" s="159">
        <f>'Monthly Prices'!B76</f>
        <v>1.42</v>
      </c>
      <c r="R88" s="159">
        <f t="shared" si="28"/>
        <v>1.42</v>
      </c>
      <c r="S88" s="155">
        <f>_xlfn.XLOOKUP(P88,'Annual Real'!A:A,'Annual Real'!B:B,0,0)</f>
        <v>7.1075940147544996</v>
      </c>
      <c r="T88" s="155">
        <f t="shared" ca="1" si="29"/>
        <v>6.4396448745100194</v>
      </c>
      <c r="U88" s="152">
        <f t="shared" ca="1" si="30"/>
        <v>6.4396448745100194</v>
      </c>
      <c r="V88" s="152" t="b">
        <f t="shared" si="36"/>
        <v>0</v>
      </c>
      <c r="W88" s="152" t="b">
        <f t="shared" si="37"/>
        <v>0</v>
      </c>
      <c r="X88" s="154">
        <f>LOOKUP(D88,'US Implicit Deflator'!A:A,'US Implicit Deflator'!B:B)/100</f>
        <v>1.2E-2</v>
      </c>
      <c r="Y88" s="154">
        <f t="shared" si="31"/>
        <v>9.9454180114277868E-4</v>
      </c>
      <c r="Z88" s="165">
        <f t="shared" ca="1" si="32"/>
        <v>1.0604300790778589</v>
      </c>
      <c r="AA88" s="152">
        <f t="shared" si="33"/>
        <v>7</v>
      </c>
      <c r="AB88" s="153">
        <f t="shared" si="34"/>
        <v>23986</v>
      </c>
      <c r="AC88" s="155">
        <f t="shared" ca="1" si="35"/>
        <v>6.4396448745100194</v>
      </c>
    </row>
    <row r="89" spans="3:29">
      <c r="C89" s="152" t="str">
        <f>'Monthly Prices'!A77</f>
        <v>1965M10</v>
      </c>
      <c r="D89" s="153">
        <f t="shared" si="24"/>
        <v>24016</v>
      </c>
      <c r="E89" s="152">
        <f t="shared" si="25"/>
        <v>70</v>
      </c>
      <c r="F89" s="152" t="b">
        <f t="shared" si="19"/>
        <v>0</v>
      </c>
      <c r="G89" s="152" t="b">
        <f t="shared" si="20"/>
        <v>1</v>
      </c>
      <c r="H89" s="152" t="b">
        <f t="shared" si="21"/>
        <v>0</v>
      </c>
      <c r="I89" s="153" t="e">
        <f t="shared" si="22"/>
        <v>#N/A</v>
      </c>
      <c r="J89" s="158">
        <f>INDEX('Monthly Prices'!B77:CB77,$G$4)</f>
        <v>51.57</v>
      </c>
      <c r="K89" s="158" t="b">
        <f>IF(H89,INDEX('Monthly Prices'!B77:CB77,$G$4)*U89,FALSE)</f>
        <v>0</v>
      </c>
      <c r="L89" s="152" t="b">
        <f t="shared" si="26"/>
        <v>1</v>
      </c>
      <c r="M89" s="158">
        <f>INDEX('Monthly Prices'!B77:CB77,$G$5)</f>
        <v>23.595577371520001</v>
      </c>
      <c r="N89" s="158" t="b">
        <f>IF(H89,INDEX('Monthly Prices'!B77:CB77,$G$5)*U89,FALSE)</f>
        <v>0</v>
      </c>
      <c r="O89" s="152" t="b">
        <f t="shared" si="23"/>
        <v>1</v>
      </c>
      <c r="P89" s="152">
        <f t="shared" si="27"/>
        <v>1965</v>
      </c>
      <c r="Q89" s="159">
        <f>'Monthly Prices'!B77</f>
        <v>1.42</v>
      </c>
      <c r="R89" s="159">
        <f t="shared" si="28"/>
        <v>1.42</v>
      </c>
      <c r="S89" s="155">
        <f>_xlfn.XLOOKUP(P89,'Annual Real'!A:A,'Annual Real'!B:B,0,0)</f>
        <v>7.1075940147544996</v>
      </c>
      <c r="T89" s="155">
        <f t="shared" ca="1" si="29"/>
        <v>6.4327172781256738</v>
      </c>
      <c r="U89" s="152">
        <f t="shared" ca="1" si="30"/>
        <v>6.4327172781256738</v>
      </c>
      <c r="V89" s="152" t="b">
        <f t="shared" si="36"/>
        <v>0</v>
      </c>
      <c r="W89" s="152" t="b">
        <f t="shared" si="37"/>
        <v>0</v>
      </c>
      <c r="X89" s="154">
        <f>LOOKUP(D89,'US Implicit Deflator'!A:A,'US Implicit Deflator'!B:B)/100</f>
        <v>1.3000000000000001E-2</v>
      </c>
      <c r="Y89" s="154">
        <f t="shared" si="31"/>
        <v>1.0769315803607071E-3</v>
      </c>
      <c r="Z89" s="165">
        <f t="shared" ca="1" si="32"/>
        <v>1.0615720897187824</v>
      </c>
      <c r="AA89" s="152">
        <f t="shared" si="33"/>
        <v>7</v>
      </c>
      <c r="AB89" s="153">
        <f t="shared" si="34"/>
        <v>24016</v>
      </c>
      <c r="AC89" s="155">
        <f t="shared" ca="1" si="35"/>
        <v>6.4327172781256738</v>
      </c>
    </row>
    <row r="90" spans="3:29">
      <c r="C90" s="152" t="str">
        <f>'Monthly Prices'!A78</f>
        <v>1965M11</v>
      </c>
      <c r="D90" s="153">
        <f t="shared" si="24"/>
        <v>24047</v>
      </c>
      <c r="E90" s="152">
        <f t="shared" si="25"/>
        <v>71</v>
      </c>
      <c r="F90" s="152" t="b">
        <f t="shared" si="19"/>
        <v>0</v>
      </c>
      <c r="G90" s="152" t="b">
        <f t="shared" si="20"/>
        <v>1</v>
      </c>
      <c r="H90" s="152" t="b">
        <f t="shared" si="21"/>
        <v>0</v>
      </c>
      <c r="I90" s="153" t="e">
        <f t="shared" si="22"/>
        <v>#N/A</v>
      </c>
      <c r="J90" s="158">
        <f>INDEX('Monthly Prices'!B78:CB78,$G$4)</f>
        <v>51.57</v>
      </c>
      <c r="K90" s="158" t="b">
        <f>IF(H90,INDEX('Monthly Prices'!B78:CB78,$G$4)*U90,FALSE)</f>
        <v>0</v>
      </c>
      <c r="L90" s="152" t="b">
        <f t="shared" si="26"/>
        <v>1</v>
      </c>
      <c r="M90" s="158">
        <f>INDEX('Monthly Prices'!B78:CB78,$G$5)</f>
        <v>23.634747044929998</v>
      </c>
      <c r="N90" s="158" t="b">
        <f>IF(H90,INDEX('Monthly Prices'!B78:CB78,$G$5)*U90,FALSE)</f>
        <v>0</v>
      </c>
      <c r="O90" s="152" t="b">
        <f t="shared" si="23"/>
        <v>1</v>
      </c>
      <c r="P90" s="152">
        <f t="shared" si="27"/>
        <v>1965</v>
      </c>
      <c r="Q90" s="159">
        <f>'Monthly Prices'!B78</f>
        <v>1.42</v>
      </c>
      <c r="R90" s="159">
        <f t="shared" si="28"/>
        <v>1.42</v>
      </c>
      <c r="S90" s="155">
        <f>_xlfn.XLOOKUP(P90,'Annual Real'!A:A,'Annual Real'!B:B,0,0)</f>
        <v>7.1075940147544996</v>
      </c>
      <c r="T90" s="155">
        <f t="shared" ca="1" si="29"/>
        <v>6.4257971342627949</v>
      </c>
      <c r="U90" s="152">
        <f t="shared" ca="1" si="30"/>
        <v>6.4257971342627949</v>
      </c>
      <c r="V90" s="152" t="b">
        <f t="shared" si="36"/>
        <v>0</v>
      </c>
      <c r="W90" s="152" t="b">
        <f t="shared" si="37"/>
        <v>0</v>
      </c>
      <c r="X90" s="154">
        <f>LOOKUP(D90,'US Implicit Deflator'!A:A,'US Implicit Deflator'!B:B)/100</f>
        <v>1.3000000000000001E-2</v>
      </c>
      <c r="Y90" s="154">
        <f t="shared" si="31"/>
        <v>1.0769315803607071E-3</v>
      </c>
      <c r="Z90" s="165">
        <f t="shared" ca="1" si="32"/>
        <v>1.06271533022703</v>
      </c>
      <c r="AA90" s="152">
        <f t="shared" si="33"/>
        <v>7</v>
      </c>
      <c r="AB90" s="153">
        <f t="shared" si="34"/>
        <v>24047</v>
      </c>
      <c r="AC90" s="155">
        <f t="shared" ca="1" si="35"/>
        <v>6.4257971342627949</v>
      </c>
    </row>
    <row r="91" spans="3:29">
      <c r="C91" s="152" t="str">
        <f>'Monthly Prices'!A79</f>
        <v>1965M12</v>
      </c>
      <c r="D91" s="153">
        <f t="shared" si="24"/>
        <v>24077</v>
      </c>
      <c r="E91" s="152">
        <f t="shared" si="25"/>
        <v>72</v>
      </c>
      <c r="F91" s="152" t="b">
        <f t="shared" si="19"/>
        <v>0</v>
      </c>
      <c r="G91" s="152" t="b">
        <f t="shared" si="20"/>
        <v>1</v>
      </c>
      <c r="H91" s="152" t="b">
        <f t="shared" si="21"/>
        <v>0</v>
      </c>
      <c r="I91" s="153" t="e">
        <f t="shared" si="22"/>
        <v>#N/A</v>
      </c>
      <c r="J91" s="158">
        <f>INDEX('Monthly Prices'!B79:CB79,$G$4)</f>
        <v>55.12</v>
      </c>
      <c r="K91" s="158" t="b">
        <f>IF(H91,INDEX('Monthly Prices'!B79:CB79,$G$4)*U91,FALSE)</f>
        <v>0</v>
      </c>
      <c r="L91" s="152" t="b">
        <f t="shared" si="26"/>
        <v>1</v>
      </c>
      <c r="M91" s="158">
        <f>INDEX('Monthly Prices'!B79:CB79,$G$5)</f>
        <v>24.296005810560001</v>
      </c>
      <c r="N91" s="158" t="b">
        <f>IF(H91,INDEX('Monthly Prices'!B79:CB79,$G$5)*U91,FALSE)</f>
        <v>0</v>
      </c>
      <c r="O91" s="152" t="b">
        <f t="shared" si="23"/>
        <v>1</v>
      </c>
      <c r="P91" s="152">
        <f t="shared" si="27"/>
        <v>1965</v>
      </c>
      <c r="Q91" s="159">
        <f>'Monthly Prices'!B79</f>
        <v>1.42</v>
      </c>
      <c r="R91" s="159">
        <f t="shared" si="28"/>
        <v>1.42</v>
      </c>
      <c r="S91" s="155">
        <f>_xlfn.XLOOKUP(P91,'Annual Real'!A:A,'Annual Real'!B:B,0,0)</f>
        <v>7.1075940147544996</v>
      </c>
      <c r="T91" s="155">
        <f t="shared" ca="1" si="29"/>
        <v>6.4188844349041601</v>
      </c>
      <c r="U91" s="152">
        <f t="shared" ca="1" si="30"/>
        <v>6.4188844349041601</v>
      </c>
      <c r="V91" s="152" t="b">
        <f t="shared" si="36"/>
        <v>0</v>
      </c>
      <c r="W91" s="152" t="b">
        <f t="shared" si="37"/>
        <v>0</v>
      </c>
      <c r="X91" s="154">
        <f>LOOKUP(D91,'US Implicit Deflator'!A:A,'US Implicit Deflator'!B:B)/100</f>
        <v>1.3000000000000001E-2</v>
      </c>
      <c r="Y91" s="154">
        <f t="shared" si="31"/>
        <v>1.0769315803607071E-3</v>
      </c>
      <c r="Z91" s="165">
        <f t="shared" ca="1" si="32"/>
        <v>1.0638598019270851</v>
      </c>
      <c r="AA91" s="152">
        <f t="shared" si="33"/>
        <v>7</v>
      </c>
      <c r="AB91" s="153">
        <f t="shared" si="34"/>
        <v>24077</v>
      </c>
      <c r="AC91" s="155">
        <f t="shared" ca="1" si="35"/>
        <v>6.4188844349041601</v>
      </c>
    </row>
    <row r="92" spans="3:29">
      <c r="C92" s="152" t="str">
        <f>'Monthly Prices'!A80</f>
        <v>1966M01</v>
      </c>
      <c r="D92" s="153">
        <f t="shared" si="24"/>
        <v>24108</v>
      </c>
      <c r="E92" s="152">
        <f t="shared" si="25"/>
        <v>73</v>
      </c>
      <c r="F92" s="152" t="b">
        <f t="shared" si="19"/>
        <v>0</v>
      </c>
      <c r="G92" s="152" t="b">
        <f t="shared" si="20"/>
        <v>1</v>
      </c>
      <c r="H92" s="152" t="b">
        <f t="shared" si="21"/>
        <v>0</v>
      </c>
      <c r="I92" s="153" t="e">
        <f t="shared" si="22"/>
        <v>#N/A</v>
      </c>
      <c r="J92" s="158">
        <f>INDEX('Monthly Prices'!B80:CB80,$G$4)</f>
        <v>57.08</v>
      </c>
      <c r="K92" s="158" t="b">
        <f>IF(H92,INDEX('Monthly Prices'!B80:CB80,$G$4)*U92,FALSE)</f>
        <v>0</v>
      </c>
      <c r="L92" s="152" t="b">
        <f t="shared" si="26"/>
        <v>1</v>
      </c>
      <c r="M92" s="158">
        <f>INDEX('Monthly Prices'!B80:CB80,$G$5)</f>
        <v>24.632156512150001</v>
      </c>
      <c r="N92" s="158" t="b">
        <f>IF(H92,INDEX('Monthly Prices'!B80:CB80,$G$5)*U92,FALSE)</f>
        <v>0</v>
      </c>
      <c r="O92" s="152" t="b">
        <f t="shared" si="23"/>
        <v>1</v>
      </c>
      <c r="P92" s="152">
        <f t="shared" si="27"/>
        <v>1966</v>
      </c>
      <c r="Q92" s="159">
        <f>'Monthly Prices'!B80</f>
        <v>1.36</v>
      </c>
      <c r="R92" s="159">
        <f t="shared" si="28"/>
        <v>1.3599999999999997</v>
      </c>
      <c r="S92" s="155">
        <f>_xlfn.XLOOKUP(P92,'Annual Real'!A:A,'Annual Real'!B:B,0,0)</f>
        <v>6.5652246752346803</v>
      </c>
      <c r="T92" s="155">
        <f t="shared" ca="1" si="29"/>
        <v>6.4125069287134364</v>
      </c>
      <c r="U92" s="152">
        <f t="shared" ca="1" si="30"/>
        <v>6.4125069287134364</v>
      </c>
      <c r="V92" s="152" t="b">
        <f t="shared" si="36"/>
        <v>0</v>
      </c>
      <c r="W92" s="152" t="b">
        <f t="shared" si="37"/>
        <v>0</v>
      </c>
      <c r="X92" s="154">
        <f>LOOKUP(D92,'US Implicit Deflator'!A:A,'US Implicit Deflator'!B:B)/100</f>
        <v>1.2E-2</v>
      </c>
      <c r="Y92" s="154">
        <f t="shared" si="31"/>
        <v>9.9454180114277868E-4</v>
      </c>
      <c r="Z92" s="165">
        <f t="shared" ca="1" si="32"/>
        <v>1.0649178549706571</v>
      </c>
      <c r="AA92" s="152">
        <f t="shared" si="33"/>
        <v>7</v>
      </c>
      <c r="AB92" s="153">
        <f t="shared" si="34"/>
        <v>24108</v>
      </c>
      <c r="AC92" s="155">
        <f t="shared" ca="1" si="35"/>
        <v>6.4125069287134364</v>
      </c>
    </row>
    <row r="93" spans="3:29">
      <c r="C93" s="152" t="str">
        <f>'Monthly Prices'!A81</f>
        <v>1966M02</v>
      </c>
      <c r="D93" s="153">
        <f t="shared" si="24"/>
        <v>24139</v>
      </c>
      <c r="E93" s="152">
        <f t="shared" si="25"/>
        <v>74</v>
      </c>
      <c r="F93" s="152" t="b">
        <f t="shared" si="19"/>
        <v>0</v>
      </c>
      <c r="G93" s="152" t="b">
        <f t="shared" si="20"/>
        <v>1</v>
      </c>
      <c r="H93" s="152" t="b">
        <f t="shared" si="21"/>
        <v>0</v>
      </c>
      <c r="I93" s="153" t="e">
        <f t="shared" si="22"/>
        <v>#N/A</v>
      </c>
      <c r="J93" s="158">
        <f>INDEX('Monthly Prices'!B81:CB81,$G$4)</f>
        <v>57.08</v>
      </c>
      <c r="K93" s="158" t="b">
        <f>IF(H93,INDEX('Monthly Prices'!B81:CB81,$G$4)*U93,FALSE)</f>
        <v>0</v>
      </c>
      <c r="L93" s="152" t="b">
        <f t="shared" si="26"/>
        <v>1</v>
      </c>
      <c r="M93" s="158">
        <f>INDEX('Monthly Prices'!B81:CB81,$G$5)</f>
        <v>24.744632186930001</v>
      </c>
      <c r="N93" s="158" t="b">
        <f>IF(H93,INDEX('Monthly Prices'!B81:CB81,$G$5)*U93,FALSE)</f>
        <v>0</v>
      </c>
      <c r="O93" s="152" t="b">
        <f t="shared" si="23"/>
        <v>1</v>
      </c>
      <c r="P93" s="152">
        <f t="shared" si="27"/>
        <v>1966</v>
      </c>
      <c r="Q93" s="159">
        <f>'Monthly Prices'!B81</f>
        <v>1.36</v>
      </c>
      <c r="R93" s="159">
        <f t="shared" si="28"/>
        <v>1.3599999999999997</v>
      </c>
      <c r="S93" s="155">
        <f>_xlfn.XLOOKUP(P93,'Annual Real'!A:A,'Annual Real'!B:B,0,0)</f>
        <v>6.5652246752346803</v>
      </c>
      <c r="T93" s="155">
        <f t="shared" ca="1" si="29"/>
        <v>6.4061357589173982</v>
      </c>
      <c r="U93" s="152">
        <f t="shared" ca="1" si="30"/>
        <v>6.4061357589173982</v>
      </c>
      <c r="V93" s="152" t="b">
        <f t="shared" si="36"/>
        <v>0</v>
      </c>
      <c r="W93" s="152" t="b">
        <f t="shared" si="37"/>
        <v>0</v>
      </c>
      <c r="X93" s="154">
        <f>LOOKUP(D93,'US Implicit Deflator'!A:A,'US Implicit Deflator'!B:B)/100</f>
        <v>1.2E-2</v>
      </c>
      <c r="Y93" s="154">
        <f t="shared" si="31"/>
        <v>9.9454180114277868E-4</v>
      </c>
      <c r="Z93" s="165">
        <f t="shared" ca="1" si="32"/>
        <v>1.0659769602922087</v>
      </c>
      <c r="AA93" s="152">
        <f t="shared" si="33"/>
        <v>7</v>
      </c>
      <c r="AB93" s="153">
        <f t="shared" si="34"/>
        <v>24139</v>
      </c>
      <c r="AC93" s="155">
        <f t="shared" ca="1" si="35"/>
        <v>6.4061357589173982</v>
      </c>
    </row>
    <row r="94" spans="3:29">
      <c r="C94" s="152" t="str">
        <f>'Monthly Prices'!A82</f>
        <v>1966M03</v>
      </c>
      <c r="D94" s="153">
        <f t="shared" si="24"/>
        <v>24167</v>
      </c>
      <c r="E94" s="152">
        <f t="shared" si="25"/>
        <v>75</v>
      </c>
      <c r="F94" s="152" t="b">
        <f t="shared" si="19"/>
        <v>0</v>
      </c>
      <c r="G94" s="152" t="b">
        <f t="shared" si="20"/>
        <v>1</v>
      </c>
      <c r="H94" s="152" t="b">
        <f t="shared" si="21"/>
        <v>0</v>
      </c>
      <c r="I94" s="153" t="e">
        <f t="shared" si="22"/>
        <v>#N/A</v>
      </c>
      <c r="J94" s="158">
        <f>INDEX('Monthly Prices'!B82:CB82,$G$4)</f>
        <v>55.51</v>
      </c>
      <c r="K94" s="158" t="b">
        <f>IF(H94,INDEX('Monthly Prices'!B82:CB82,$G$4)*U94,FALSE)</f>
        <v>0</v>
      </c>
      <c r="L94" s="152" t="b">
        <f t="shared" si="26"/>
        <v>1</v>
      </c>
      <c r="M94" s="158">
        <f>INDEX('Monthly Prices'!B82:CB82,$G$5)</f>
        <v>24.547821105659999</v>
      </c>
      <c r="N94" s="158" t="b">
        <f>IF(H94,INDEX('Monthly Prices'!B82:CB82,$G$5)*U94,FALSE)</f>
        <v>0</v>
      </c>
      <c r="O94" s="152" t="b">
        <f t="shared" si="23"/>
        <v>1</v>
      </c>
      <c r="P94" s="152">
        <f t="shared" si="27"/>
        <v>1966</v>
      </c>
      <c r="Q94" s="159">
        <f>'Monthly Prices'!B82</f>
        <v>1.36</v>
      </c>
      <c r="R94" s="159">
        <f t="shared" si="28"/>
        <v>1.3599999999999997</v>
      </c>
      <c r="S94" s="155">
        <f>_xlfn.XLOOKUP(P94,'Annual Real'!A:A,'Annual Real'!B:B,0,0)</f>
        <v>6.5652246752346803</v>
      </c>
      <c r="T94" s="155">
        <f t="shared" ca="1" si="29"/>
        <v>6.3997709192204955</v>
      </c>
      <c r="U94" s="152">
        <f t="shared" ca="1" si="30"/>
        <v>6.3997709192204955</v>
      </c>
      <c r="V94" s="152" t="b">
        <f t="shared" si="36"/>
        <v>0</v>
      </c>
      <c r="W94" s="152" t="b">
        <f t="shared" si="37"/>
        <v>0</v>
      </c>
      <c r="X94" s="154">
        <f>LOOKUP(D94,'US Implicit Deflator'!A:A,'US Implicit Deflator'!B:B)/100</f>
        <v>1.2E-2</v>
      </c>
      <c r="Y94" s="154">
        <f t="shared" si="31"/>
        <v>9.9454180114277868E-4</v>
      </c>
      <c r="Z94" s="165">
        <f t="shared" ca="1" si="32"/>
        <v>1.0670371189382744</v>
      </c>
      <c r="AA94" s="152">
        <f t="shared" si="33"/>
        <v>7</v>
      </c>
      <c r="AB94" s="153">
        <f t="shared" si="34"/>
        <v>24167</v>
      </c>
      <c r="AC94" s="155">
        <f t="shared" ca="1" si="35"/>
        <v>6.3997709192204955</v>
      </c>
    </row>
    <row r="95" spans="3:29">
      <c r="C95" s="152" t="str">
        <f>'Monthly Prices'!A83</f>
        <v>1966M04</v>
      </c>
      <c r="D95" s="153">
        <f t="shared" si="24"/>
        <v>24198</v>
      </c>
      <c r="E95" s="152">
        <f t="shared" si="25"/>
        <v>76</v>
      </c>
      <c r="F95" s="152" t="b">
        <f t="shared" si="19"/>
        <v>0</v>
      </c>
      <c r="G95" s="152" t="b">
        <f t="shared" si="20"/>
        <v>1</v>
      </c>
      <c r="H95" s="152" t="b">
        <f t="shared" si="21"/>
        <v>0</v>
      </c>
      <c r="I95" s="153" t="e">
        <f t="shared" si="22"/>
        <v>#N/A</v>
      </c>
      <c r="J95" s="158">
        <f>INDEX('Monthly Prices'!B83:CB83,$G$4)</f>
        <v>55.9</v>
      </c>
      <c r="K95" s="158" t="b">
        <f>IF(H95,INDEX('Monthly Prices'!B83:CB83,$G$4)*U95,FALSE)</f>
        <v>0</v>
      </c>
      <c r="L95" s="152" t="b">
        <f t="shared" si="26"/>
        <v>1</v>
      </c>
      <c r="M95" s="158">
        <f>INDEX('Monthly Prices'!B83:CB83,$G$5)</f>
        <v>24.648170335820001</v>
      </c>
      <c r="N95" s="158" t="b">
        <f>IF(H95,INDEX('Monthly Prices'!B83:CB83,$G$5)*U95,FALSE)</f>
        <v>0</v>
      </c>
      <c r="O95" s="152" t="b">
        <f t="shared" si="23"/>
        <v>1</v>
      </c>
      <c r="P95" s="152">
        <f t="shared" si="27"/>
        <v>1966</v>
      </c>
      <c r="Q95" s="159">
        <f>'Monthly Prices'!B83</f>
        <v>1.36</v>
      </c>
      <c r="R95" s="159">
        <f t="shared" si="28"/>
        <v>1.3599999999999997</v>
      </c>
      <c r="S95" s="155">
        <f>_xlfn.XLOOKUP(P95,'Annual Real'!A:A,'Annual Real'!B:B,0,0)</f>
        <v>6.5652246752346803</v>
      </c>
      <c r="T95" s="155">
        <f t="shared" ca="1" si="29"/>
        <v>6.3886968872687477</v>
      </c>
      <c r="U95" s="152">
        <f t="shared" ca="1" si="30"/>
        <v>6.3886968872687477</v>
      </c>
      <c r="V95" s="152" t="b">
        <f t="shared" si="36"/>
        <v>0</v>
      </c>
      <c r="W95" s="152" t="b">
        <f t="shared" si="37"/>
        <v>0</v>
      </c>
      <c r="X95" s="154">
        <f>LOOKUP(D95,'US Implicit Deflator'!A:A,'US Implicit Deflator'!B:B)/100</f>
        <v>2.1000000000000001E-2</v>
      </c>
      <c r="Y95" s="154">
        <f t="shared" si="31"/>
        <v>1.73337883251512E-3</v>
      </c>
      <c r="Z95" s="165">
        <f t="shared" ca="1" si="32"/>
        <v>1.06888669849375</v>
      </c>
      <c r="AA95" s="152">
        <f t="shared" si="33"/>
        <v>7</v>
      </c>
      <c r="AB95" s="153">
        <f t="shared" si="34"/>
        <v>24198</v>
      </c>
      <c r="AC95" s="155">
        <f t="shared" ca="1" si="35"/>
        <v>6.3886968872687477</v>
      </c>
    </row>
    <row r="96" spans="3:29">
      <c r="C96" s="152" t="str">
        <f>'Monthly Prices'!A84</f>
        <v>1966M05</v>
      </c>
      <c r="D96" s="153">
        <f t="shared" si="24"/>
        <v>24228</v>
      </c>
      <c r="E96" s="152">
        <f t="shared" si="25"/>
        <v>77</v>
      </c>
      <c r="F96" s="152" t="b">
        <f t="shared" si="19"/>
        <v>0</v>
      </c>
      <c r="G96" s="152" t="b">
        <f t="shared" si="20"/>
        <v>1</v>
      </c>
      <c r="H96" s="152" t="b">
        <f t="shared" si="21"/>
        <v>0</v>
      </c>
      <c r="I96" s="153" t="e">
        <f t="shared" si="22"/>
        <v>#N/A</v>
      </c>
      <c r="J96" s="158">
        <f>INDEX('Monthly Prices'!B84:CB84,$G$4)</f>
        <v>55.12</v>
      </c>
      <c r="K96" s="158" t="b">
        <f>IF(H96,INDEX('Monthly Prices'!B84:CB84,$G$4)*U96,FALSE)</f>
        <v>0</v>
      </c>
      <c r="L96" s="152" t="b">
        <f t="shared" si="26"/>
        <v>1</v>
      </c>
      <c r="M96" s="158">
        <f>INDEX('Monthly Prices'!B84:CB84,$G$5)</f>
        <v>24.56941687658</v>
      </c>
      <c r="N96" s="158" t="b">
        <f>IF(H96,INDEX('Monthly Prices'!B84:CB84,$G$5)*U96,FALSE)</f>
        <v>0</v>
      </c>
      <c r="O96" s="152" t="b">
        <f t="shared" si="23"/>
        <v>1</v>
      </c>
      <c r="P96" s="152">
        <f t="shared" si="27"/>
        <v>1966</v>
      </c>
      <c r="Q96" s="159">
        <f>'Monthly Prices'!B84</f>
        <v>1.36</v>
      </c>
      <c r="R96" s="159">
        <f t="shared" si="28"/>
        <v>1.3599999999999997</v>
      </c>
      <c r="S96" s="155">
        <f>_xlfn.XLOOKUP(P96,'Annual Real'!A:A,'Annual Real'!B:B,0,0)</f>
        <v>6.5652246752346803</v>
      </c>
      <c r="T96" s="155">
        <f t="shared" ca="1" si="29"/>
        <v>6.3776420175940913</v>
      </c>
      <c r="U96" s="152">
        <f t="shared" ca="1" si="30"/>
        <v>6.3776420175940913</v>
      </c>
      <c r="V96" s="152" t="b">
        <f t="shared" si="36"/>
        <v>0</v>
      </c>
      <c r="W96" s="152" t="b">
        <f t="shared" si="37"/>
        <v>0</v>
      </c>
      <c r="X96" s="154">
        <f>LOOKUP(D96,'US Implicit Deflator'!A:A,'US Implicit Deflator'!B:B)/100</f>
        <v>2.1000000000000001E-2</v>
      </c>
      <c r="Y96" s="154">
        <f t="shared" si="31"/>
        <v>1.73337883251512E-3</v>
      </c>
      <c r="Z96" s="165">
        <f t="shared" ca="1" si="32"/>
        <v>1.0707394840712761</v>
      </c>
      <c r="AA96" s="152">
        <f t="shared" si="33"/>
        <v>7</v>
      </c>
      <c r="AB96" s="153">
        <f t="shared" si="34"/>
        <v>24228</v>
      </c>
      <c r="AC96" s="155">
        <f t="shared" ca="1" si="35"/>
        <v>6.3776420175940913</v>
      </c>
    </row>
    <row r="97" spans="3:29">
      <c r="C97" s="152" t="str">
        <f>'Monthly Prices'!A85</f>
        <v>1966M06</v>
      </c>
      <c r="D97" s="153">
        <f t="shared" si="24"/>
        <v>24259</v>
      </c>
      <c r="E97" s="152">
        <f t="shared" si="25"/>
        <v>78</v>
      </c>
      <c r="F97" s="152" t="b">
        <f t="shared" si="19"/>
        <v>0</v>
      </c>
      <c r="G97" s="152" t="b">
        <f t="shared" si="20"/>
        <v>1</v>
      </c>
      <c r="H97" s="152" t="b">
        <f t="shared" si="21"/>
        <v>0</v>
      </c>
      <c r="I97" s="153" t="e">
        <f t="shared" si="22"/>
        <v>#N/A</v>
      </c>
      <c r="J97" s="158">
        <f>INDEX('Monthly Prices'!B85:CB85,$G$4)</f>
        <v>57.08</v>
      </c>
      <c r="K97" s="158" t="b">
        <f>IF(H97,INDEX('Monthly Prices'!B85:CB85,$G$4)*U97,FALSE)</f>
        <v>0</v>
      </c>
      <c r="L97" s="152" t="b">
        <f t="shared" si="26"/>
        <v>1</v>
      </c>
      <c r="M97" s="158">
        <f>INDEX('Monthly Prices'!B85:CB85,$G$5)</f>
        <v>25.543382021140001</v>
      </c>
      <c r="N97" s="158" t="b">
        <f>IF(H97,INDEX('Monthly Prices'!B85:CB85,$G$5)*U97,FALSE)</f>
        <v>0</v>
      </c>
      <c r="O97" s="152" t="b">
        <f t="shared" si="23"/>
        <v>1</v>
      </c>
      <c r="P97" s="152">
        <f t="shared" si="27"/>
        <v>1966</v>
      </c>
      <c r="Q97" s="159">
        <f>'Monthly Prices'!B85</f>
        <v>1.36</v>
      </c>
      <c r="R97" s="159">
        <f t="shared" si="28"/>
        <v>1.3599999999999997</v>
      </c>
      <c r="S97" s="155">
        <f>_xlfn.XLOOKUP(P97,'Annual Real'!A:A,'Annual Real'!B:B,0,0)</f>
        <v>6.5652246752346803</v>
      </c>
      <c r="T97" s="155">
        <f t="shared" ca="1" si="29"/>
        <v>6.3666062770385148</v>
      </c>
      <c r="U97" s="152">
        <f t="shared" ca="1" si="30"/>
        <v>6.3666062770385148</v>
      </c>
      <c r="V97" s="152" t="b">
        <f t="shared" si="36"/>
        <v>0</v>
      </c>
      <c r="W97" s="152" t="b">
        <f t="shared" si="37"/>
        <v>0</v>
      </c>
      <c r="X97" s="154">
        <f>LOOKUP(D97,'US Implicit Deflator'!A:A,'US Implicit Deflator'!B:B)/100</f>
        <v>2.1000000000000001E-2</v>
      </c>
      <c r="Y97" s="154">
        <f t="shared" si="31"/>
        <v>1.73337883251512E-3</v>
      </c>
      <c r="Z97" s="165">
        <f t="shared" ca="1" si="32"/>
        <v>1.0725954812281033</v>
      </c>
      <c r="AA97" s="152">
        <f t="shared" si="33"/>
        <v>7</v>
      </c>
      <c r="AB97" s="153">
        <f t="shared" si="34"/>
        <v>24259</v>
      </c>
      <c r="AC97" s="155">
        <f t="shared" ca="1" si="35"/>
        <v>6.3666062770385148</v>
      </c>
    </row>
    <row r="98" spans="3:29">
      <c r="C98" s="152" t="str">
        <f>'Monthly Prices'!A86</f>
        <v>1966M07</v>
      </c>
      <c r="D98" s="153">
        <f t="shared" si="24"/>
        <v>24289</v>
      </c>
      <c r="E98" s="152">
        <f t="shared" si="25"/>
        <v>79</v>
      </c>
      <c r="F98" s="152" t="b">
        <f t="shared" si="19"/>
        <v>0</v>
      </c>
      <c r="G98" s="152" t="b">
        <f t="shared" si="20"/>
        <v>1</v>
      </c>
      <c r="H98" s="152" t="b">
        <f t="shared" si="21"/>
        <v>0</v>
      </c>
      <c r="I98" s="153" t="e">
        <f t="shared" si="22"/>
        <v>#N/A</v>
      </c>
      <c r="J98" s="158">
        <f>INDEX('Monthly Prices'!B86:CB86,$G$4)</f>
        <v>59.05</v>
      </c>
      <c r="K98" s="158" t="b">
        <f>IF(H98,INDEX('Monthly Prices'!B86:CB86,$G$4)*U98,FALSE)</f>
        <v>0</v>
      </c>
      <c r="L98" s="152" t="b">
        <f t="shared" si="26"/>
        <v>1</v>
      </c>
      <c r="M98" s="158">
        <f>INDEX('Monthly Prices'!B86:CB86,$G$5)</f>
        <v>26.510184373169999</v>
      </c>
      <c r="N98" s="158" t="b">
        <f>IF(H98,INDEX('Monthly Prices'!B86:CB86,$G$5)*U98,FALSE)</f>
        <v>0</v>
      </c>
      <c r="O98" s="152" t="b">
        <f t="shared" si="23"/>
        <v>1</v>
      </c>
      <c r="P98" s="152">
        <f t="shared" si="27"/>
        <v>1966</v>
      </c>
      <c r="Q98" s="159">
        <f>'Monthly Prices'!B86</f>
        <v>1.36</v>
      </c>
      <c r="R98" s="159">
        <f t="shared" si="28"/>
        <v>1.3599999999999997</v>
      </c>
      <c r="S98" s="155">
        <f>_xlfn.XLOOKUP(P98,'Annual Real'!A:A,'Annual Real'!B:B,0,0)</f>
        <v>6.5652246752346803</v>
      </c>
      <c r="T98" s="155">
        <f t="shared" ca="1" si="29"/>
        <v>6.3535190680210683</v>
      </c>
      <c r="U98" s="152">
        <f t="shared" ca="1" si="30"/>
        <v>6.3535190680210683</v>
      </c>
      <c r="V98" s="152" t="b">
        <f t="shared" si="36"/>
        <v>0</v>
      </c>
      <c r="W98" s="152" t="b">
        <f t="shared" si="37"/>
        <v>0</v>
      </c>
      <c r="X98" s="154">
        <f>LOOKUP(D98,'US Implicit Deflator'!A:A,'US Implicit Deflator'!B:B)/100</f>
        <v>2.5000000000000001E-2</v>
      </c>
      <c r="Y98" s="154">
        <f t="shared" si="31"/>
        <v>2.0598362698427408E-3</v>
      </c>
      <c r="Z98" s="165">
        <f t="shared" ca="1" si="32"/>
        <v>1.0748048523032063</v>
      </c>
      <c r="AA98" s="152">
        <f t="shared" si="33"/>
        <v>7</v>
      </c>
      <c r="AB98" s="153">
        <f t="shared" si="34"/>
        <v>24289</v>
      </c>
      <c r="AC98" s="155">
        <f t="shared" ca="1" si="35"/>
        <v>6.3535190680210683</v>
      </c>
    </row>
    <row r="99" spans="3:29">
      <c r="C99" s="152" t="str">
        <f>'Monthly Prices'!A87</f>
        <v>1966M08</v>
      </c>
      <c r="D99" s="153">
        <f t="shared" si="24"/>
        <v>24320</v>
      </c>
      <c r="E99" s="152">
        <f t="shared" si="25"/>
        <v>80</v>
      </c>
      <c r="F99" s="152" t="b">
        <f t="shared" si="19"/>
        <v>0</v>
      </c>
      <c r="G99" s="152" t="b">
        <f t="shared" si="20"/>
        <v>1</v>
      </c>
      <c r="H99" s="152" t="b">
        <f t="shared" si="21"/>
        <v>0</v>
      </c>
      <c r="I99" s="153" t="e">
        <f t="shared" si="22"/>
        <v>#N/A</v>
      </c>
      <c r="J99" s="158">
        <f>INDEX('Monthly Prices'!B87:CB87,$G$4)</f>
        <v>62.6</v>
      </c>
      <c r="K99" s="158" t="b">
        <f>IF(H99,INDEX('Monthly Prices'!B87:CB87,$G$4)*U99,FALSE)</f>
        <v>0</v>
      </c>
      <c r="L99" s="152" t="b">
        <f t="shared" si="26"/>
        <v>1</v>
      </c>
      <c r="M99" s="158">
        <f>INDEX('Monthly Prices'!B87:CB87,$G$5)</f>
        <v>27.51208083445</v>
      </c>
      <c r="N99" s="158" t="b">
        <f>IF(H99,INDEX('Monthly Prices'!B87:CB87,$G$5)*U99,FALSE)</f>
        <v>0</v>
      </c>
      <c r="O99" s="152" t="b">
        <f t="shared" si="23"/>
        <v>1</v>
      </c>
      <c r="P99" s="152">
        <f t="shared" si="27"/>
        <v>1966</v>
      </c>
      <c r="Q99" s="159">
        <f>'Monthly Prices'!B87</f>
        <v>1.36</v>
      </c>
      <c r="R99" s="159">
        <f t="shared" si="28"/>
        <v>1.3599999999999997</v>
      </c>
      <c r="S99" s="155">
        <f>_xlfn.XLOOKUP(P99,'Annual Real'!A:A,'Annual Real'!B:B,0,0)</f>
        <v>6.5652246752346803</v>
      </c>
      <c r="T99" s="155">
        <f t="shared" ca="1" si="29"/>
        <v>6.3404587610975174</v>
      </c>
      <c r="U99" s="152">
        <f t="shared" ca="1" si="30"/>
        <v>6.3404587610975174</v>
      </c>
      <c r="V99" s="152" t="b">
        <f t="shared" si="36"/>
        <v>0</v>
      </c>
      <c r="W99" s="152" t="b">
        <f t="shared" si="37"/>
        <v>0</v>
      </c>
      <c r="X99" s="154">
        <f>LOOKUP(D99,'US Implicit Deflator'!A:A,'US Implicit Deflator'!B:B)/100</f>
        <v>2.5000000000000001E-2</v>
      </c>
      <c r="Y99" s="154">
        <f t="shared" si="31"/>
        <v>2.0598362698427408E-3</v>
      </c>
      <c r="Z99" s="165">
        <f t="shared" ca="1" si="32"/>
        <v>1.0770187743209834</v>
      </c>
      <c r="AA99" s="152">
        <f t="shared" si="33"/>
        <v>7</v>
      </c>
      <c r="AB99" s="153">
        <f t="shared" si="34"/>
        <v>24320</v>
      </c>
      <c r="AC99" s="155">
        <f t="shared" ca="1" si="35"/>
        <v>6.3404587610975174</v>
      </c>
    </row>
    <row r="100" spans="3:29">
      <c r="C100" s="152" t="str">
        <f>'Monthly Prices'!A88</f>
        <v>1966M09</v>
      </c>
      <c r="D100" s="153">
        <f t="shared" si="24"/>
        <v>24351</v>
      </c>
      <c r="E100" s="152">
        <f t="shared" si="25"/>
        <v>81</v>
      </c>
      <c r="F100" s="152" t="b">
        <f t="shared" si="19"/>
        <v>0</v>
      </c>
      <c r="G100" s="152" t="b">
        <f t="shared" si="20"/>
        <v>1</v>
      </c>
      <c r="H100" s="152" t="b">
        <f t="shared" si="21"/>
        <v>0</v>
      </c>
      <c r="I100" s="153" t="e">
        <f t="shared" si="22"/>
        <v>#N/A</v>
      </c>
      <c r="J100" s="158">
        <f>INDEX('Monthly Prices'!B88:CB88,$G$4)</f>
        <v>61.02</v>
      </c>
      <c r="K100" s="158" t="b">
        <f>IF(H100,INDEX('Monthly Prices'!B88:CB88,$G$4)*U100,FALSE)</f>
        <v>0</v>
      </c>
      <c r="L100" s="152" t="b">
        <f t="shared" si="26"/>
        <v>1</v>
      </c>
      <c r="M100" s="158">
        <f>INDEX('Monthly Prices'!B88:CB88,$G$5)</f>
        <v>27.24653073432</v>
      </c>
      <c r="N100" s="158" t="b">
        <f>IF(H100,INDEX('Monthly Prices'!B88:CB88,$G$5)*U100,FALSE)</f>
        <v>0</v>
      </c>
      <c r="O100" s="152" t="b">
        <f t="shared" si="23"/>
        <v>1</v>
      </c>
      <c r="P100" s="152">
        <f t="shared" si="27"/>
        <v>1966</v>
      </c>
      <c r="Q100" s="159">
        <f>'Monthly Prices'!B88</f>
        <v>1.36</v>
      </c>
      <c r="R100" s="159">
        <f t="shared" si="28"/>
        <v>1.3599999999999997</v>
      </c>
      <c r="S100" s="155">
        <f>_xlfn.XLOOKUP(P100,'Annual Real'!A:A,'Annual Real'!B:B,0,0)</f>
        <v>6.5652246752346803</v>
      </c>
      <c r="T100" s="155">
        <f t="shared" ca="1" si="29"/>
        <v>6.3274253009678638</v>
      </c>
      <c r="U100" s="152">
        <f t="shared" ca="1" si="30"/>
        <v>6.3274253009678638</v>
      </c>
      <c r="V100" s="152" t="b">
        <f t="shared" si="36"/>
        <v>0</v>
      </c>
      <c r="W100" s="152" t="b">
        <f t="shared" si="37"/>
        <v>0</v>
      </c>
      <c r="X100" s="154">
        <f>LOOKUP(D100,'US Implicit Deflator'!A:A,'US Implicit Deflator'!B:B)/100</f>
        <v>2.5000000000000001E-2</v>
      </c>
      <c r="Y100" s="154">
        <f t="shared" si="31"/>
        <v>2.0598362698427408E-3</v>
      </c>
      <c r="Z100" s="165">
        <f t="shared" ca="1" si="32"/>
        <v>1.0792372566556312</v>
      </c>
      <c r="AA100" s="152">
        <f t="shared" si="33"/>
        <v>7</v>
      </c>
      <c r="AB100" s="153">
        <f t="shared" si="34"/>
        <v>24351</v>
      </c>
      <c r="AC100" s="155">
        <f t="shared" ca="1" si="35"/>
        <v>6.3274253009678638</v>
      </c>
    </row>
    <row r="101" spans="3:29">
      <c r="C101" s="152" t="str">
        <f>'Monthly Prices'!A89</f>
        <v>1966M10</v>
      </c>
      <c r="D101" s="153">
        <f t="shared" si="24"/>
        <v>24381</v>
      </c>
      <c r="E101" s="152">
        <f t="shared" si="25"/>
        <v>82</v>
      </c>
      <c r="F101" s="152" t="b">
        <f t="shared" si="19"/>
        <v>0</v>
      </c>
      <c r="G101" s="152" t="b">
        <f t="shared" si="20"/>
        <v>1</v>
      </c>
      <c r="H101" s="152" t="b">
        <f t="shared" si="21"/>
        <v>0</v>
      </c>
      <c r="I101" s="153" t="e">
        <f t="shared" si="22"/>
        <v>#N/A</v>
      </c>
      <c r="J101" s="158">
        <f>INDEX('Monthly Prices'!B89:CB89,$G$4)</f>
        <v>58.66</v>
      </c>
      <c r="K101" s="158" t="b">
        <f>IF(H101,INDEX('Monthly Prices'!B89:CB89,$G$4)*U101,FALSE)</f>
        <v>0</v>
      </c>
      <c r="L101" s="152" t="b">
        <f t="shared" si="26"/>
        <v>1</v>
      </c>
      <c r="M101" s="158">
        <f>INDEX('Monthly Prices'!B89:CB89,$G$5)</f>
        <v>26.71904876764</v>
      </c>
      <c r="N101" s="158" t="b">
        <f>IF(H101,INDEX('Monthly Prices'!B89:CB89,$G$5)*U101,FALSE)</f>
        <v>0</v>
      </c>
      <c r="O101" s="152" t="b">
        <f t="shared" si="23"/>
        <v>1</v>
      </c>
      <c r="P101" s="152">
        <f t="shared" si="27"/>
        <v>1966</v>
      </c>
      <c r="Q101" s="159">
        <f>'Monthly Prices'!B89</f>
        <v>1.36</v>
      </c>
      <c r="R101" s="159">
        <f t="shared" si="28"/>
        <v>1.3599999999999997</v>
      </c>
      <c r="S101" s="155">
        <f>_xlfn.XLOOKUP(P101,'Annual Real'!A:A,'Annual Real'!B:B,0,0)</f>
        <v>6.5652246752346803</v>
      </c>
      <c r="T101" s="155">
        <f t="shared" ca="1" si="29"/>
        <v>6.3103289626225507</v>
      </c>
      <c r="U101" s="152">
        <f t="shared" ca="1" si="30"/>
        <v>6.3103289626225507</v>
      </c>
      <c r="V101" s="152" t="b">
        <f t="shared" si="36"/>
        <v>0</v>
      </c>
      <c r="W101" s="152" t="b">
        <f t="shared" si="37"/>
        <v>0</v>
      </c>
      <c r="X101" s="154">
        <f>LOOKUP(D101,'US Implicit Deflator'!A:A,'US Implicit Deflator'!B:B)/100</f>
        <v>3.3000000000000002E-2</v>
      </c>
      <c r="Y101" s="154">
        <f t="shared" si="31"/>
        <v>2.7092626147666721E-3</v>
      </c>
      <c r="Z101" s="165">
        <f t="shared" ca="1" si="32"/>
        <v>1.0821611938075517</v>
      </c>
      <c r="AA101" s="152">
        <f t="shared" si="33"/>
        <v>7</v>
      </c>
      <c r="AB101" s="153">
        <f t="shared" si="34"/>
        <v>24381</v>
      </c>
      <c r="AC101" s="155">
        <f t="shared" ca="1" si="35"/>
        <v>6.3103289626225507</v>
      </c>
    </row>
    <row r="102" spans="3:29">
      <c r="C102" s="152" t="str">
        <f>'Monthly Prices'!A90</f>
        <v>1966M11</v>
      </c>
      <c r="D102" s="153">
        <f t="shared" si="24"/>
        <v>24412</v>
      </c>
      <c r="E102" s="152">
        <f t="shared" si="25"/>
        <v>83</v>
      </c>
      <c r="F102" s="152" t="b">
        <f t="shared" si="19"/>
        <v>0</v>
      </c>
      <c r="G102" s="152" t="b">
        <f t="shared" si="20"/>
        <v>1</v>
      </c>
      <c r="H102" s="152" t="b">
        <f t="shared" si="21"/>
        <v>0</v>
      </c>
      <c r="I102" s="153" t="e">
        <f t="shared" si="22"/>
        <v>#N/A</v>
      </c>
      <c r="J102" s="158">
        <f>INDEX('Monthly Prices'!B90:CB90,$G$4)</f>
        <v>59.05</v>
      </c>
      <c r="K102" s="158" t="b">
        <f>IF(H102,INDEX('Monthly Prices'!B90:CB90,$G$4)*U102,FALSE)</f>
        <v>0</v>
      </c>
      <c r="L102" s="152" t="b">
        <f t="shared" si="26"/>
        <v>1</v>
      </c>
      <c r="M102" s="158">
        <f>INDEX('Monthly Prices'!B90:CB90,$G$5)</f>
        <v>26.755831733210002</v>
      </c>
      <c r="N102" s="158" t="b">
        <f>IF(H102,INDEX('Monthly Prices'!B90:CB90,$G$5)*U102,FALSE)</f>
        <v>0</v>
      </c>
      <c r="O102" s="152" t="b">
        <f t="shared" si="23"/>
        <v>1</v>
      </c>
      <c r="P102" s="152">
        <f t="shared" si="27"/>
        <v>1966</v>
      </c>
      <c r="Q102" s="159">
        <f>'Monthly Prices'!B90</f>
        <v>1.36</v>
      </c>
      <c r="R102" s="159">
        <f t="shared" si="28"/>
        <v>1.3599999999999997</v>
      </c>
      <c r="S102" s="155">
        <f>_xlfn.XLOOKUP(P102,'Annual Real'!A:A,'Annual Real'!B:B,0,0)</f>
        <v>6.5652246752346803</v>
      </c>
      <c r="T102" s="155">
        <f t="shared" ca="1" si="29"/>
        <v>6.2932788175977308</v>
      </c>
      <c r="U102" s="152">
        <f t="shared" ca="1" si="30"/>
        <v>6.2932788175977308</v>
      </c>
      <c r="V102" s="152" t="b">
        <f t="shared" si="36"/>
        <v>0</v>
      </c>
      <c r="W102" s="152" t="b">
        <f t="shared" si="37"/>
        <v>0</v>
      </c>
      <c r="X102" s="154">
        <f>LOOKUP(D102,'US Implicit Deflator'!A:A,'US Implicit Deflator'!B:B)/100</f>
        <v>3.3000000000000002E-2</v>
      </c>
      <c r="Y102" s="154">
        <f t="shared" si="31"/>
        <v>2.7092626147666721E-3</v>
      </c>
      <c r="Z102" s="165">
        <f t="shared" ca="1" si="32"/>
        <v>1.0850930526730858</v>
      </c>
      <c r="AA102" s="152">
        <f t="shared" si="33"/>
        <v>7</v>
      </c>
      <c r="AB102" s="153">
        <f t="shared" si="34"/>
        <v>24412</v>
      </c>
      <c r="AC102" s="155">
        <f t="shared" ca="1" si="35"/>
        <v>6.2932788175977308</v>
      </c>
    </row>
    <row r="103" spans="3:29">
      <c r="C103" s="152" t="str">
        <f>'Monthly Prices'!A91</f>
        <v>1966M12</v>
      </c>
      <c r="D103" s="153">
        <f t="shared" si="24"/>
        <v>24442</v>
      </c>
      <c r="E103" s="152">
        <f t="shared" si="25"/>
        <v>84</v>
      </c>
      <c r="F103" s="152" t="b">
        <f t="shared" si="19"/>
        <v>0</v>
      </c>
      <c r="G103" s="152" t="b">
        <f t="shared" si="20"/>
        <v>1</v>
      </c>
      <c r="H103" s="152" t="b">
        <f t="shared" si="21"/>
        <v>0</v>
      </c>
      <c r="I103" s="153" t="e">
        <f t="shared" si="22"/>
        <v>#N/A</v>
      </c>
      <c r="J103" s="158">
        <f>INDEX('Monthly Prices'!B91:CB91,$G$4)</f>
        <v>61.41</v>
      </c>
      <c r="K103" s="158" t="b">
        <f>IF(H103,INDEX('Monthly Prices'!B91:CB91,$G$4)*U103,FALSE)</f>
        <v>0</v>
      </c>
      <c r="L103" s="152" t="b">
        <f t="shared" si="26"/>
        <v>1</v>
      </c>
      <c r="M103" s="158">
        <f>INDEX('Monthly Prices'!B91:CB91,$G$5)</f>
        <v>27.512030130140001</v>
      </c>
      <c r="N103" s="158" t="b">
        <f>IF(H103,INDEX('Monthly Prices'!B91:CB91,$G$5)*U103,FALSE)</f>
        <v>0</v>
      </c>
      <c r="O103" s="152" t="b">
        <f t="shared" si="23"/>
        <v>1</v>
      </c>
      <c r="P103" s="152">
        <f t="shared" si="27"/>
        <v>1966</v>
      </c>
      <c r="Q103" s="159">
        <f>'Monthly Prices'!B91</f>
        <v>1.36</v>
      </c>
      <c r="R103" s="159">
        <f t="shared" si="28"/>
        <v>1.3599999999999997</v>
      </c>
      <c r="S103" s="155">
        <f>_xlfn.XLOOKUP(P103,'Annual Real'!A:A,'Annual Real'!B:B,0,0)</f>
        <v>6.5652246752346803</v>
      </c>
      <c r="T103" s="155">
        <f t="shared" ca="1" si="29"/>
        <v>6.2762747410817141</v>
      </c>
      <c r="U103" s="152">
        <f t="shared" ca="1" si="30"/>
        <v>6.2762747410817141</v>
      </c>
      <c r="V103" s="152" t="b">
        <f t="shared" si="36"/>
        <v>0</v>
      </c>
      <c r="W103" s="152" t="b">
        <f t="shared" si="37"/>
        <v>0</v>
      </c>
      <c r="X103" s="154">
        <f>LOOKUP(D103,'US Implicit Deflator'!A:A,'US Implicit Deflator'!B:B)/100</f>
        <v>3.3000000000000002E-2</v>
      </c>
      <c r="Y103" s="154">
        <f t="shared" si="31"/>
        <v>2.7092626147666721E-3</v>
      </c>
      <c r="Z103" s="165">
        <f t="shared" ca="1" si="32"/>
        <v>1.0880328547142359</v>
      </c>
      <c r="AA103" s="152">
        <f t="shared" si="33"/>
        <v>7</v>
      </c>
      <c r="AB103" s="153">
        <f t="shared" si="34"/>
        <v>24442</v>
      </c>
      <c r="AC103" s="155">
        <f t="shared" ca="1" si="35"/>
        <v>6.2762747410817141</v>
      </c>
    </row>
    <row r="104" spans="3:29">
      <c r="C104" s="152" t="str">
        <f>'Monthly Prices'!A92</f>
        <v>1967M01</v>
      </c>
      <c r="D104" s="153">
        <f t="shared" si="24"/>
        <v>24473</v>
      </c>
      <c r="E104" s="152">
        <f t="shared" si="25"/>
        <v>85</v>
      </c>
      <c r="F104" s="152" t="b">
        <f t="shared" si="19"/>
        <v>0</v>
      </c>
      <c r="G104" s="152" t="b">
        <f t="shared" si="20"/>
        <v>1</v>
      </c>
      <c r="H104" s="152" t="b">
        <f t="shared" si="21"/>
        <v>0</v>
      </c>
      <c r="I104" s="153" t="e">
        <f t="shared" si="22"/>
        <v>#N/A</v>
      </c>
      <c r="J104" s="158">
        <f>INDEX('Monthly Prices'!B92:CB92,$G$4)</f>
        <v>60.23</v>
      </c>
      <c r="K104" s="158" t="b">
        <f>IF(H104,INDEX('Monthly Prices'!B92:CB92,$G$4)*U104,FALSE)</f>
        <v>0</v>
      </c>
      <c r="L104" s="152" t="b">
        <f t="shared" si="26"/>
        <v>1</v>
      </c>
      <c r="M104" s="158">
        <f>INDEX('Monthly Prices'!B92:CB92,$G$5)</f>
        <v>27.30459229629</v>
      </c>
      <c r="N104" s="158" t="b">
        <f>IF(H104,INDEX('Monthly Prices'!B92:CB92,$G$5)*U104,FALSE)</f>
        <v>0</v>
      </c>
      <c r="O104" s="152" t="b">
        <f t="shared" si="23"/>
        <v>1</v>
      </c>
      <c r="P104" s="152">
        <f t="shared" si="27"/>
        <v>1967</v>
      </c>
      <c r="Q104" s="159">
        <f>'Monthly Prices'!B92</f>
        <v>1.33</v>
      </c>
      <c r="R104" s="159">
        <f t="shared" si="28"/>
        <v>1.33</v>
      </c>
      <c r="S104" s="155">
        <f>_xlfn.XLOOKUP(P104,'Annual Real'!A:A,'Annual Real'!B:B,0,0)</f>
        <v>6.3644633930138399</v>
      </c>
      <c r="T104" s="155">
        <f t="shared" ca="1" si="29"/>
        <v>6.2583077733117261</v>
      </c>
      <c r="U104" s="152">
        <f t="shared" ca="1" si="30"/>
        <v>6.2583077733117261</v>
      </c>
      <c r="V104" s="152" t="b">
        <f t="shared" si="36"/>
        <v>0</v>
      </c>
      <c r="W104" s="152" t="b">
        <f t="shared" si="37"/>
        <v>0</v>
      </c>
      <c r="X104" s="154">
        <f>LOOKUP(D104,'US Implicit Deflator'!A:A,'US Implicit Deflator'!B:B)/100</f>
        <v>3.5000000000000003E-2</v>
      </c>
      <c r="Y104" s="154">
        <f t="shared" si="31"/>
        <v>2.8708987190766422E-3</v>
      </c>
      <c r="Z104" s="165">
        <f t="shared" ca="1" si="32"/>
        <v>1.0911564868431483</v>
      </c>
      <c r="AA104" s="152">
        <f t="shared" si="33"/>
        <v>7</v>
      </c>
      <c r="AB104" s="153">
        <f t="shared" si="34"/>
        <v>24473</v>
      </c>
      <c r="AC104" s="155">
        <f t="shared" ca="1" si="35"/>
        <v>6.2583077733117261</v>
      </c>
    </row>
    <row r="105" spans="3:29">
      <c r="C105" s="152" t="str">
        <f>'Monthly Prices'!A93</f>
        <v>1967M02</v>
      </c>
      <c r="D105" s="153">
        <f t="shared" si="24"/>
        <v>24504</v>
      </c>
      <c r="E105" s="152">
        <f t="shared" si="25"/>
        <v>86</v>
      </c>
      <c r="F105" s="152" t="b">
        <f t="shared" si="19"/>
        <v>0</v>
      </c>
      <c r="G105" s="152" t="b">
        <f t="shared" si="20"/>
        <v>1</v>
      </c>
      <c r="H105" s="152" t="b">
        <f t="shared" si="21"/>
        <v>0</v>
      </c>
      <c r="I105" s="153" t="e">
        <f t="shared" si="22"/>
        <v>#N/A</v>
      </c>
      <c r="J105" s="158">
        <f>INDEX('Monthly Prices'!B93:CB93,$G$4)</f>
        <v>59.05</v>
      </c>
      <c r="K105" s="158" t="b">
        <f>IF(H105,INDEX('Monthly Prices'!B93:CB93,$G$4)*U105,FALSE)</f>
        <v>0</v>
      </c>
      <c r="L105" s="152" t="b">
        <f t="shared" si="26"/>
        <v>1</v>
      </c>
      <c r="M105" s="158">
        <f>INDEX('Monthly Prices'!B93:CB93,$G$5)</f>
        <v>27.300211619540001</v>
      </c>
      <c r="N105" s="158" t="b">
        <f>IF(H105,INDEX('Monthly Prices'!B93:CB93,$G$5)*U105,FALSE)</f>
        <v>0</v>
      </c>
      <c r="O105" s="152" t="b">
        <f t="shared" si="23"/>
        <v>1</v>
      </c>
      <c r="P105" s="152">
        <f t="shared" si="27"/>
        <v>1967</v>
      </c>
      <c r="Q105" s="159">
        <f>'Monthly Prices'!B93</f>
        <v>1.33</v>
      </c>
      <c r="R105" s="159">
        <f t="shared" si="28"/>
        <v>1.33</v>
      </c>
      <c r="S105" s="155">
        <f>_xlfn.XLOOKUP(P105,'Annual Real'!A:A,'Annual Real'!B:B,0,0)</f>
        <v>6.3644633930138399</v>
      </c>
      <c r="T105" s="155">
        <f t="shared" ca="1" si="29"/>
        <v>6.2403922392255975</v>
      </c>
      <c r="U105" s="152">
        <f t="shared" ca="1" si="30"/>
        <v>6.2403922392255975</v>
      </c>
      <c r="V105" s="152" t="b">
        <f t="shared" si="36"/>
        <v>0</v>
      </c>
      <c r="W105" s="152" t="b">
        <f t="shared" si="37"/>
        <v>0</v>
      </c>
      <c r="X105" s="154">
        <f>LOOKUP(D105,'US Implicit Deflator'!A:A,'US Implicit Deflator'!B:B)/100</f>
        <v>3.5000000000000003E-2</v>
      </c>
      <c r="Y105" s="154">
        <f t="shared" si="31"/>
        <v>2.8708987190766422E-3</v>
      </c>
      <c r="Z105" s="165">
        <f t="shared" ca="1" si="32"/>
        <v>1.0942890866035384</v>
      </c>
      <c r="AA105" s="152">
        <f t="shared" si="33"/>
        <v>7</v>
      </c>
      <c r="AB105" s="153">
        <f t="shared" si="34"/>
        <v>24504</v>
      </c>
      <c r="AC105" s="155">
        <f t="shared" ca="1" si="35"/>
        <v>6.2403922392255975</v>
      </c>
    </row>
    <row r="106" spans="3:29">
      <c r="C106" s="152" t="str">
        <f>'Monthly Prices'!A94</f>
        <v>1967M03</v>
      </c>
      <c r="D106" s="153">
        <f t="shared" si="24"/>
        <v>24532</v>
      </c>
      <c r="E106" s="152">
        <f t="shared" si="25"/>
        <v>87</v>
      </c>
      <c r="F106" s="152" t="b">
        <f t="shared" si="19"/>
        <v>0</v>
      </c>
      <c r="G106" s="152" t="b">
        <f t="shared" si="20"/>
        <v>1</v>
      </c>
      <c r="H106" s="152" t="b">
        <f t="shared" si="21"/>
        <v>0</v>
      </c>
      <c r="I106" s="153" t="e">
        <f t="shared" si="22"/>
        <v>#N/A</v>
      </c>
      <c r="J106" s="158">
        <f>INDEX('Monthly Prices'!B94:CB94,$G$4)</f>
        <v>59.05</v>
      </c>
      <c r="K106" s="158" t="b">
        <f>IF(H106,INDEX('Monthly Prices'!B94:CB94,$G$4)*U106,FALSE)</f>
        <v>0</v>
      </c>
      <c r="L106" s="152" t="b">
        <f t="shared" si="26"/>
        <v>1</v>
      </c>
      <c r="M106" s="158">
        <f>INDEX('Monthly Prices'!B94:CB94,$G$5)</f>
        <v>27.68090394903</v>
      </c>
      <c r="N106" s="158" t="b">
        <f>IF(H106,INDEX('Monthly Prices'!B94:CB94,$G$5)*U106,FALSE)</f>
        <v>0</v>
      </c>
      <c r="O106" s="152" t="b">
        <f t="shared" si="23"/>
        <v>1</v>
      </c>
      <c r="P106" s="152">
        <f t="shared" si="27"/>
        <v>1967</v>
      </c>
      <c r="Q106" s="159">
        <f>'Monthly Prices'!B94</f>
        <v>1.33</v>
      </c>
      <c r="R106" s="159">
        <f t="shared" si="28"/>
        <v>1.33</v>
      </c>
      <c r="S106" s="155">
        <f>_xlfn.XLOOKUP(P106,'Annual Real'!A:A,'Annual Real'!B:B,0,0)</f>
        <v>6.3644633930138399</v>
      </c>
      <c r="T106" s="155">
        <f t="shared" ca="1" si="29"/>
        <v>6.2225279915851379</v>
      </c>
      <c r="U106" s="152">
        <f t="shared" ca="1" si="30"/>
        <v>6.2225279915851379</v>
      </c>
      <c r="V106" s="152" t="b">
        <f t="shared" si="36"/>
        <v>0</v>
      </c>
      <c r="W106" s="152" t="b">
        <f t="shared" si="37"/>
        <v>0</v>
      </c>
      <c r="X106" s="154">
        <f>LOOKUP(D106,'US Implicit Deflator'!A:A,'US Implicit Deflator'!B:B)/100</f>
        <v>3.5000000000000003E-2</v>
      </c>
      <c r="Y106" s="154">
        <f t="shared" si="31"/>
        <v>2.8708987190766422E-3</v>
      </c>
      <c r="Z106" s="165">
        <f t="shared" ca="1" si="32"/>
        <v>1.097430679740568</v>
      </c>
      <c r="AA106" s="152">
        <f t="shared" si="33"/>
        <v>7</v>
      </c>
      <c r="AB106" s="153">
        <f t="shared" si="34"/>
        <v>24532</v>
      </c>
      <c r="AC106" s="155">
        <f t="shared" ca="1" si="35"/>
        <v>6.2225279915851379</v>
      </c>
    </row>
    <row r="107" spans="3:29">
      <c r="C107" s="152" t="str">
        <f>'Monthly Prices'!A95</f>
        <v>1967M04</v>
      </c>
      <c r="D107" s="153">
        <f t="shared" si="24"/>
        <v>24563</v>
      </c>
      <c r="E107" s="152">
        <f t="shared" si="25"/>
        <v>88</v>
      </c>
      <c r="F107" s="152" t="b">
        <f t="shared" si="19"/>
        <v>0</v>
      </c>
      <c r="G107" s="152" t="b">
        <f t="shared" si="20"/>
        <v>1</v>
      </c>
      <c r="H107" s="152" t="b">
        <f t="shared" si="21"/>
        <v>0</v>
      </c>
      <c r="I107" s="153" t="e">
        <f t="shared" si="22"/>
        <v>#N/A</v>
      </c>
      <c r="J107" s="158">
        <f>INDEX('Monthly Prices'!B95:CB95,$G$4)</f>
        <v>57.87</v>
      </c>
      <c r="K107" s="158" t="b">
        <f>IF(H107,INDEX('Monthly Prices'!B95:CB95,$G$4)*U107,FALSE)</f>
        <v>0</v>
      </c>
      <c r="L107" s="152" t="b">
        <f t="shared" si="26"/>
        <v>1</v>
      </c>
      <c r="M107" s="158">
        <f>INDEX('Monthly Prices'!B95:CB95,$G$5)</f>
        <v>27.266413170269999</v>
      </c>
      <c r="N107" s="158" t="b">
        <f>IF(H107,INDEX('Monthly Prices'!B95:CB95,$G$5)*U107,FALSE)</f>
        <v>0</v>
      </c>
      <c r="O107" s="152" t="b">
        <f t="shared" si="23"/>
        <v>1</v>
      </c>
      <c r="P107" s="152">
        <f t="shared" si="27"/>
        <v>1967</v>
      </c>
      <c r="Q107" s="159">
        <f>'Monthly Prices'!B95</f>
        <v>1.33</v>
      </c>
      <c r="R107" s="159">
        <f t="shared" si="28"/>
        <v>1.33</v>
      </c>
      <c r="S107" s="155">
        <f>_xlfn.XLOOKUP(P107,'Annual Real'!A:A,'Annual Real'!B:B,0,0)</f>
        <v>6.3644633930138399</v>
      </c>
      <c r="T107" s="155">
        <f t="shared" ca="1" si="29"/>
        <v>6.2072193142204171</v>
      </c>
      <c r="U107" s="152">
        <f t="shared" ca="1" si="30"/>
        <v>6.2072193142204171</v>
      </c>
      <c r="V107" s="152" t="b">
        <f t="shared" si="36"/>
        <v>0</v>
      </c>
      <c r="W107" s="152" t="b">
        <f t="shared" si="37"/>
        <v>0</v>
      </c>
      <c r="X107" s="154">
        <f>LOOKUP(D107,'US Implicit Deflator'!A:A,'US Implicit Deflator'!B:B)/100</f>
        <v>0.03</v>
      </c>
      <c r="Y107" s="154">
        <f t="shared" si="31"/>
        <v>2.4662697723036864E-3</v>
      </c>
      <c r="Z107" s="165">
        <f t="shared" ca="1" si="32"/>
        <v>1.1001372398532108</v>
      </c>
      <c r="AA107" s="152">
        <f t="shared" si="33"/>
        <v>7</v>
      </c>
      <c r="AB107" s="153">
        <f t="shared" si="34"/>
        <v>24563</v>
      </c>
      <c r="AC107" s="155">
        <f t="shared" ca="1" si="35"/>
        <v>6.2072193142204171</v>
      </c>
    </row>
    <row r="108" spans="3:29">
      <c r="C108" s="152" t="str">
        <f>'Monthly Prices'!A96</f>
        <v>1967M05</v>
      </c>
      <c r="D108" s="153">
        <f t="shared" si="24"/>
        <v>24593</v>
      </c>
      <c r="E108" s="152">
        <f t="shared" si="25"/>
        <v>89</v>
      </c>
      <c r="F108" s="152" t="b">
        <f t="shared" si="19"/>
        <v>0</v>
      </c>
      <c r="G108" s="152" t="b">
        <f t="shared" si="20"/>
        <v>1</v>
      </c>
      <c r="H108" s="152" t="b">
        <f t="shared" si="21"/>
        <v>0</v>
      </c>
      <c r="I108" s="153" t="e">
        <f t="shared" si="22"/>
        <v>#N/A</v>
      </c>
      <c r="J108" s="158">
        <f>INDEX('Monthly Prices'!B96:CB96,$G$4)</f>
        <v>57.08</v>
      </c>
      <c r="K108" s="158" t="b">
        <f>IF(H108,INDEX('Monthly Prices'!B96:CB96,$G$4)*U108,FALSE)</f>
        <v>0</v>
      </c>
      <c r="L108" s="152" t="b">
        <f t="shared" si="26"/>
        <v>1</v>
      </c>
      <c r="M108" s="158">
        <f>INDEX('Monthly Prices'!B96:CB96,$G$5)</f>
        <v>27.182174198889999</v>
      </c>
      <c r="N108" s="158" t="b">
        <f>IF(H108,INDEX('Monthly Prices'!B96:CB96,$G$5)*U108,FALSE)</f>
        <v>0</v>
      </c>
      <c r="O108" s="152" t="b">
        <f t="shared" si="23"/>
        <v>1</v>
      </c>
      <c r="P108" s="152">
        <f t="shared" si="27"/>
        <v>1967</v>
      </c>
      <c r="Q108" s="159">
        <f>'Monthly Prices'!B96</f>
        <v>1.33</v>
      </c>
      <c r="R108" s="159">
        <f t="shared" si="28"/>
        <v>1.33</v>
      </c>
      <c r="S108" s="155">
        <f>_xlfn.XLOOKUP(P108,'Annual Real'!A:A,'Annual Real'!B:B,0,0)</f>
        <v>6.3644633930138399</v>
      </c>
      <c r="T108" s="155">
        <f t="shared" ca="1" si="29"/>
        <v>6.1919482992981898</v>
      </c>
      <c r="U108" s="152">
        <f t="shared" ca="1" si="30"/>
        <v>6.1919482992981898</v>
      </c>
      <c r="V108" s="152" t="b">
        <f t="shared" si="36"/>
        <v>0</v>
      </c>
      <c r="W108" s="152" t="b">
        <f t="shared" si="37"/>
        <v>0</v>
      </c>
      <c r="X108" s="154">
        <f>LOOKUP(D108,'US Implicit Deflator'!A:A,'US Implicit Deflator'!B:B)/100</f>
        <v>0.03</v>
      </c>
      <c r="Y108" s="154">
        <f t="shared" si="31"/>
        <v>2.4662697723036864E-3</v>
      </c>
      <c r="Z108" s="165">
        <f t="shared" ca="1" si="32"/>
        <v>1.1028504750732464</v>
      </c>
      <c r="AA108" s="152">
        <f t="shared" si="33"/>
        <v>7</v>
      </c>
      <c r="AB108" s="153">
        <f t="shared" si="34"/>
        <v>24593</v>
      </c>
      <c r="AC108" s="155">
        <f t="shared" ca="1" si="35"/>
        <v>6.1919482992981898</v>
      </c>
    </row>
    <row r="109" spans="3:29">
      <c r="C109" s="152" t="str">
        <f>'Monthly Prices'!A97</f>
        <v>1967M06</v>
      </c>
      <c r="D109" s="153">
        <f t="shared" si="24"/>
        <v>24624</v>
      </c>
      <c r="E109" s="152">
        <f t="shared" si="25"/>
        <v>90</v>
      </c>
      <c r="F109" s="152" t="b">
        <f t="shared" si="19"/>
        <v>0</v>
      </c>
      <c r="G109" s="152" t="b">
        <f t="shared" si="20"/>
        <v>1</v>
      </c>
      <c r="H109" s="152" t="b">
        <f t="shared" si="21"/>
        <v>0</v>
      </c>
      <c r="I109" s="153" t="e">
        <f t="shared" si="22"/>
        <v>#N/A</v>
      </c>
      <c r="J109" s="158">
        <f>INDEX('Monthly Prices'!B97:CB97,$G$4)</f>
        <v>57.08</v>
      </c>
      <c r="K109" s="158" t="b">
        <f>IF(H109,INDEX('Monthly Prices'!B97:CB97,$G$4)*U109,FALSE)</f>
        <v>0</v>
      </c>
      <c r="L109" s="152" t="b">
        <f t="shared" si="26"/>
        <v>1</v>
      </c>
      <c r="M109" s="158">
        <f>INDEX('Monthly Prices'!B97:CB97,$G$5)</f>
        <v>26.890272563949999</v>
      </c>
      <c r="N109" s="158" t="b">
        <f>IF(H109,INDEX('Monthly Prices'!B97:CB97,$G$5)*U109,FALSE)</f>
        <v>0</v>
      </c>
      <c r="O109" s="152" t="b">
        <f t="shared" si="23"/>
        <v>1</v>
      </c>
      <c r="P109" s="152">
        <f t="shared" si="27"/>
        <v>1967</v>
      </c>
      <c r="Q109" s="159">
        <f>'Monthly Prices'!B97</f>
        <v>1.33</v>
      </c>
      <c r="R109" s="159">
        <f t="shared" si="28"/>
        <v>1.33</v>
      </c>
      <c r="S109" s="155">
        <f>_xlfn.XLOOKUP(P109,'Annual Real'!A:A,'Annual Real'!B:B,0,0)</f>
        <v>6.3644633930138399</v>
      </c>
      <c r="T109" s="155">
        <f t="shared" ca="1" si="29"/>
        <v>6.1767148541612329</v>
      </c>
      <c r="U109" s="152">
        <f t="shared" ca="1" si="30"/>
        <v>6.1767148541612329</v>
      </c>
      <c r="V109" s="152" t="b">
        <f t="shared" si="36"/>
        <v>0</v>
      </c>
      <c r="W109" s="152" t="b">
        <f t="shared" si="37"/>
        <v>0</v>
      </c>
      <c r="X109" s="154">
        <f>LOOKUP(D109,'US Implicit Deflator'!A:A,'US Implicit Deflator'!B:B)/100</f>
        <v>0.03</v>
      </c>
      <c r="Y109" s="154">
        <f t="shared" si="31"/>
        <v>2.4662697723036864E-3</v>
      </c>
      <c r="Z109" s="165">
        <f t="shared" ca="1" si="32"/>
        <v>1.1055704018632904</v>
      </c>
      <c r="AA109" s="152">
        <f t="shared" si="33"/>
        <v>7</v>
      </c>
      <c r="AB109" s="153">
        <f t="shared" si="34"/>
        <v>24624</v>
      </c>
      <c r="AC109" s="155">
        <f t="shared" ca="1" si="35"/>
        <v>6.1767148541612329</v>
      </c>
    </row>
    <row r="110" spans="3:29">
      <c r="C110" s="152" t="str">
        <f>'Monthly Prices'!A98</f>
        <v>1967M07</v>
      </c>
      <c r="D110" s="153">
        <f t="shared" si="24"/>
        <v>24654</v>
      </c>
      <c r="E110" s="152">
        <f t="shared" si="25"/>
        <v>91</v>
      </c>
      <c r="F110" s="152" t="b">
        <f t="shared" si="19"/>
        <v>0</v>
      </c>
      <c r="G110" s="152" t="b">
        <f t="shared" si="20"/>
        <v>1</v>
      </c>
      <c r="H110" s="152" t="b">
        <f t="shared" si="21"/>
        <v>0</v>
      </c>
      <c r="I110" s="153" t="e">
        <f t="shared" si="22"/>
        <v>#N/A</v>
      </c>
      <c r="J110" s="158">
        <f>INDEX('Monthly Prices'!B98:CB98,$G$4)</f>
        <v>55.12</v>
      </c>
      <c r="K110" s="158" t="b">
        <f>IF(H110,INDEX('Monthly Prices'!B98:CB98,$G$4)*U110,FALSE)</f>
        <v>0</v>
      </c>
      <c r="L110" s="152" t="b">
        <f t="shared" si="26"/>
        <v>1</v>
      </c>
      <c r="M110" s="158">
        <f>INDEX('Monthly Prices'!B98:CB98,$G$5)</f>
        <v>26.27104018448</v>
      </c>
      <c r="N110" s="158" t="b">
        <f>IF(H110,INDEX('Monthly Prices'!B98:CB98,$G$5)*U110,FALSE)</f>
        <v>0</v>
      </c>
      <c r="O110" s="152" t="b">
        <f t="shared" si="23"/>
        <v>1</v>
      </c>
      <c r="P110" s="152">
        <f t="shared" si="27"/>
        <v>1967</v>
      </c>
      <c r="Q110" s="159">
        <f>'Monthly Prices'!B98</f>
        <v>1.33</v>
      </c>
      <c r="R110" s="159">
        <f t="shared" si="28"/>
        <v>1.33</v>
      </c>
      <c r="S110" s="155">
        <f>_xlfn.XLOOKUP(P110,'Annual Real'!A:A,'Annual Real'!B:B,0,0)</f>
        <v>6.3644633930138399</v>
      </c>
      <c r="T110" s="155">
        <f t="shared" ca="1" si="29"/>
        <v>6.1610206435980395</v>
      </c>
      <c r="U110" s="152">
        <f t="shared" ca="1" si="30"/>
        <v>6.1610206435980395</v>
      </c>
      <c r="V110" s="152" t="b">
        <f t="shared" si="36"/>
        <v>0</v>
      </c>
      <c r="W110" s="152" t="b">
        <f t="shared" si="37"/>
        <v>0</v>
      </c>
      <c r="X110" s="154">
        <f>LOOKUP(D110,'US Implicit Deflator'!A:A,'US Implicit Deflator'!B:B)/100</f>
        <v>3.1E-2</v>
      </c>
      <c r="Y110" s="154">
        <f t="shared" si="31"/>
        <v>2.5473393892132545E-3</v>
      </c>
      <c r="Z110" s="165">
        <f t="shared" ca="1" si="32"/>
        <v>1.108386664895505</v>
      </c>
      <c r="AA110" s="152">
        <f t="shared" si="33"/>
        <v>7</v>
      </c>
      <c r="AB110" s="153">
        <f t="shared" si="34"/>
        <v>24654</v>
      </c>
      <c r="AC110" s="155">
        <f t="shared" ca="1" si="35"/>
        <v>6.1610206435980395</v>
      </c>
    </row>
    <row r="111" spans="3:29">
      <c r="C111" s="152" t="str">
        <f>'Monthly Prices'!A99</f>
        <v>1967M08</v>
      </c>
      <c r="D111" s="153">
        <f t="shared" si="24"/>
        <v>24685</v>
      </c>
      <c r="E111" s="152">
        <f t="shared" si="25"/>
        <v>92</v>
      </c>
      <c r="F111" s="152" t="b">
        <f t="shared" si="19"/>
        <v>0</v>
      </c>
      <c r="G111" s="152" t="b">
        <f t="shared" si="20"/>
        <v>1</v>
      </c>
      <c r="H111" s="152" t="b">
        <f t="shared" si="21"/>
        <v>0</v>
      </c>
      <c r="I111" s="153" t="e">
        <f t="shared" si="22"/>
        <v>#N/A</v>
      </c>
      <c r="J111" s="158">
        <f>INDEX('Monthly Prices'!B99:CB99,$G$4)</f>
        <v>51.97</v>
      </c>
      <c r="K111" s="158" t="b">
        <f>IF(H111,INDEX('Monthly Prices'!B99:CB99,$G$4)*U111,FALSE)</f>
        <v>0</v>
      </c>
      <c r="L111" s="152" t="b">
        <f t="shared" si="26"/>
        <v>1</v>
      </c>
      <c r="M111" s="158">
        <f>INDEX('Monthly Prices'!B99:CB99,$G$5)</f>
        <v>25.648796559369998</v>
      </c>
      <c r="N111" s="158" t="b">
        <f>IF(H111,INDEX('Monthly Prices'!B99:CB99,$G$5)*U111,FALSE)</f>
        <v>0</v>
      </c>
      <c r="O111" s="152" t="b">
        <f t="shared" si="23"/>
        <v>1</v>
      </c>
      <c r="P111" s="152">
        <f t="shared" si="27"/>
        <v>1967</v>
      </c>
      <c r="Q111" s="159">
        <f>'Monthly Prices'!B99</f>
        <v>1.33</v>
      </c>
      <c r="R111" s="159">
        <f t="shared" si="28"/>
        <v>1.33</v>
      </c>
      <c r="S111" s="155">
        <f>_xlfn.XLOOKUP(P111,'Annual Real'!A:A,'Annual Real'!B:B,0,0)</f>
        <v>6.3644633930138399</v>
      </c>
      <c r="T111" s="155">
        <f t="shared" ca="1" si="29"/>
        <v>6.1453663099355964</v>
      </c>
      <c r="U111" s="152">
        <f t="shared" ca="1" si="30"/>
        <v>6.1453663099355964</v>
      </c>
      <c r="V111" s="152" t="b">
        <f t="shared" si="36"/>
        <v>0</v>
      </c>
      <c r="W111" s="152" t="b">
        <f t="shared" si="37"/>
        <v>0</v>
      </c>
      <c r="X111" s="154">
        <f>LOOKUP(D111,'US Implicit Deflator'!A:A,'US Implicit Deflator'!B:B)/100</f>
        <v>3.1E-2</v>
      </c>
      <c r="Y111" s="154">
        <f t="shared" si="31"/>
        <v>2.5473393892132545E-3</v>
      </c>
      <c r="Z111" s="165">
        <f t="shared" ca="1" si="32"/>
        <v>1.1112101019054721</v>
      </c>
      <c r="AA111" s="152">
        <f t="shared" si="33"/>
        <v>7</v>
      </c>
      <c r="AB111" s="153">
        <f t="shared" si="34"/>
        <v>24685</v>
      </c>
      <c r="AC111" s="155">
        <f t="shared" ca="1" si="35"/>
        <v>6.1453663099355964</v>
      </c>
    </row>
    <row r="112" spans="3:29">
      <c r="C112" s="152" t="str">
        <f>'Monthly Prices'!A100</f>
        <v>1967M09</v>
      </c>
      <c r="D112" s="153">
        <f t="shared" si="24"/>
        <v>24716</v>
      </c>
      <c r="E112" s="152">
        <f t="shared" si="25"/>
        <v>93</v>
      </c>
      <c r="F112" s="152" t="b">
        <f t="shared" si="19"/>
        <v>0</v>
      </c>
      <c r="G112" s="152" t="b">
        <f t="shared" si="20"/>
        <v>1</v>
      </c>
      <c r="H112" s="152" t="b">
        <f t="shared" si="21"/>
        <v>0</v>
      </c>
      <c r="I112" s="153" t="e">
        <f t="shared" si="22"/>
        <v>#N/A</v>
      </c>
      <c r="J112" s="158">
        <f>INDEX('Monthly Prices'!B100:CB100,$G$4)</f>
        <v>49.21</v>
      </c>
      <c r="K112" s="158" t="b">
        <f>IF(H112,INDEX('Monthly Prices'!B100:CB100,$G$4)*U112,FALSE)</f>
        <v>0</v>
      </c>
      <c r="L112" s="152" t="b">
        <f t="shared" si="26"/>
        <v>1</v>
      </c>
      <c r="M112" s="158">
        <f>INDEX('Monthly Prices'!B100:CB100,$G$5)</f>
        <v>25.078624937979999</v>
      </c>
      <c r="N112" s="158" t="b">
        <f>IF(H112,INDEX('Monthly Prices'!B100:CB100,$G$5)*U112,FALSE)</f>
        <v>0</v>
      </c>
      <c r="O112" s="152" t="b">
        <f t="shared" si="23"/>
        <v>1</v>
      </c>
      <c r="P112" s="152">
        <f t="shared" si="27"/>
        <v>1967</v>
      </c>
      <c r="Q112" s="159">
        <f>'Monthly Prices'!B100</f>
        <v>1.33</v>
      </c>
      <c r="R112" s="159">
        <f t="shared" si="28"/>
        <v>1.33</v>
      </c>
      <c r="S112" s="155">
        <f>_xlfn.XLOOKUP(P112,'Annual Real'!A:A,'Annual Real'!B:B,0,0)</f>
        <v>6.3644633930138399</v>
      </c>
      <c r="T112" s="155">
        <f t="shared" ca="1" si="29"/>
        <v>6.1297517518520044</v>
      </c>
      <c r="U112" s="152">
        <f t="shared" ca="1" si="30"/>
        <v>6.1297517518520044</v>
      </c>
      <c r="V112" s="152" t="b">
        <f t="shared" si="36"/>
        <v>0</v>
      </c>
      <c r="W112" s="152" t="b">
        <f t="shared" si="37"/>
        <v>0</v>
      </c>
      <c r="X112" s="154">
        <f>LOOKUP(D112,'US Implicit Deflator'!A:A,'US Implicit Deflator'!B:B)/100</f>
        <v>3.1E-2</v>
      </c>
      <c r="Y112" s="154">
        <f t="shared" si="31"/>
        <v>2.5473393892132545E-3</v>
      </c>
      <c r="Z112" s="165">
        <f t="shared" ca="1" si="32"/>
        <v>1.1140407311677476</v>
      </c>
      <c r="AA112" s="152">
        <f t="shared" si="33"/>
        <v>7</v>
      </c>
      <c r="AB112" s="153">
        <f t="shared" si="34"/>
        <v>24716</v>
      </c>
      <c r="AC112" s="155">
        <f t="shared" ca="1" si="35"/>
        <v>6.1297517518520044</v>
      </c>
    </row>
    <row r="113" spans="3:29">
      <c r="C113" s="152" t="str">
        <f>'Monthly Prices'!A101</f>
        <v>1967M10</v>
      </c>
      <c r="D113" s="153">
        <f t="shared" si="24"/>
        <v>24746</v>
      </c>
      <c r="E113" s="152">
        <f t="shared" si="25"/>
        <v>94</v>
      </c>
      <c r="F113" s="152" t="b">
        <f t="shared" si="19"/>
        <v>0</v>
      </c>
      <c r="G113" s="152" t="b">
        <f t="shared" si="20"/>
        <v>1</v>
      </c>
      <c r="H113" s="152" t="b">
        <f t="shared" si="21"/>
        <v>0</v>
      </c>
      <c r="I113" s="153" t="e">
        <f t="shared" si="22"/>
        <v>#N/A</v>
      </c>
      <c r="J113" s="158">
        <f>INDEX('Monthly Prices'!B101:CB101,$G$4)</f>
        <v>48.03</v>
      </c>
      <c r="K113" s="158" t="b">
        <f>IF(H113,INDEX('Monthly Prices'!B101:CB101,$G$4)*U113,FALSE)</f>
        <v>0</v>
      </c>
      <c r="L113" s="152" t="b">
        <f t="shared" si="26"/>
        <v>1</v>
      </c>
      <c r="M113" s="158">
        <f>INDEX('Monthly Prices'!B101:CB101,$G$5)</f>
        <v>24.97713143451</v>
      </c>
      <c r="N113" s="158" t="b">
        <f>IF(H113,INDEX('Monthly Prices'!B101:CB101,$G$5)*U113,FALSE)</f>
        <v>0</v>
      </c>
      <c r="O113" s="152" t="b">
        <f t="shared" si="23"/>
        <v>1</v>
      </c>
      <c r="P113" s="152">
        <f t="shared" si="27"/>
        <v>1967</v>
      </c>
      <c r="Q113" s="159">
        <f>'Monthly Prices'!B101</f>
        <v>1.33</v>
      </c>
      <c r="R113" s="159">
        <f t="shared" si="28"/>
        <v>1.33</v>
      </c>
      <c r="S113" s="155">
        <f>_xlfn.XLOOKUP(P113,'Annual Real'!A:A,'Annual Real'!B:B,0,0)</f>
        <v>6.3644633930138399</v>
      </c>
      <c r="T113" s="155">
        <f t="shared" ca="1" si="29"/>
        <v>6.115166297650263</v>
      </c>
      <c r="U113" s="152">
        <f t="shared" ca="1" si="30"/>
        <v>6.115166297650263</v>
      </c>
      <c r="V113" s="152" t="b">
        <f t="shared" si="36"/>
        <v>0</v>
      </c>
      <c r="W113" s="152" t="b">
        <f t="shared" si="37"/>
        <v>0</v>
      </c>
      <c r="X113" s="154">
        <f>LOOKUP(D113,'US Implicit Deflator'!A:A,'US Implicit Deflator'!B:B)/100</f>
        <v>2.8999999999999998E-2</v>
      </c>
      <c r="Y113" s="154">
        <f t="shared" si="31"/>
        <v>2.3851279739270925E-3</v>
      </c>
      <c r="Z113" s="165">
        <f t="shared" ca="1" si="32"/>
        <v>1.11669786087975</v>
      </c>
      <c r="AA113" s="152">
        <f t="shared" si="33"/>
        <v>7</v>
      </c>
      <c r="AB113" s="153">
        <f t="shared" si="34"/>
        <v>24746</v>
      </c>
      <c r="AC113" s="155">
        <f t="shared" ca="1" si="35"/>
        <v>6.115166297650263</v>
      </c>
    </row>
    <row r="114" spans="3:29">
      <c r="C114" s="152" t="str">
        <f>'Monthly Prices'!A102</f>
        <v>1967M11</v>
      </c>
      <c r="D114" s="153">
        <f t="shared" si="24"/>
        <v>24777</v>
      </c>
      <c r="E114" s="152">
        <f t="shared" si="25"/>
        <v>95</v>
      </c>
      <c r="F114" s="152" t="b">
        <f t="shared" si="19"/>
        <v>0</v>
      </c>
      <c r="G114" s="152" t="b">
        <f t="shared" si="20"/>
        <v>1</v>
      </c>
      <c r="H114" s="152" t="b">
        <f t="shared" si="21"/>
        <v>0</v>
      </c>
      <c r="I114" s="153" t="e">
        <f t="shared" si="22"/>
        <v>#N/A</v>
      </c>
      <c r="J114" s="158">
        <f>INDEX('Monthly Prices'!B102:CB102,$G$4)</f>
        <v>47.64</v>
      </c>
      <c r="K114" s="158" t="b">
        <f>IF(H114,INDEX('Monthly Prices'!B102:CB102,$G$4)*U114,FALSE)</f>
        <v>0</v>
      </c>
      <c r="L114" s="152" t="b">
        <f t="shared" si="26"/>
        <v>1</v>
      </c>
      <c r="M114" s="158">
        <f>INDEX('Monthly Prices'!B102:CB102,$G$5)</f>
        <v>24.81447247034</v>
      </c>
      <c r="N114" s="158" t="b">
        <f>IF(H114,INDEX('Monthly Prices'!B102:CB102,$G$5)*U114,FALSE)</f>
        <v>0</v>
      </c>
      <c r="O114" s="152" t="b">
        <f t="shared" si="23"/>
        <v>1</v>
      </c>
      <c r="P114" s="152">
        <f t="shared" si="27"/>
        <v>1967</v>
      </c>
      <c r="Q114" s="159">
        <f>'Monthly Prices'!B102</f>
        <v>1.33</v>
      </c>
      <c r="R114" s="159">
        <f t="shared" si="28"/>
        <v>1.33</v>
      </c>
      <c r="S114" s="155">
        <f>_xlfn.XLOOKUP(P114,'Annual Real'!A:A,'Annual Real'!B:B,0,0)</f>
        <v>6.3644633930138399</v>
      </c>
      <c r="T114" s="155">
        <f t="shared" ca="1" si="29"/>
        <v>6.1006155488465348</v>
      </c>
      <c r="U114" s="152">
        <f t="shared" ca="1" si="30"/>
        <v>6.1006155488465348</v>
      </c>
      <c r="V114" s="152" t="b">
        <f t="shared" si="36"/>
        <v>0</v>
      </c>
      <c r="W114" s="152" t="b">
        <f t="shared" si="37"/>
        <v>0</v>
      </c>
      <c r="X114" s="154">
        <f>LOOKUP(D114,'US Implicit Deflator'!A:A,'US Implicit Deflator'!B:B)/100</f>
        <v>2.8999999999999998E-2</v>
      </c>
      <c r="Y114" s="154">
        <f t="shared" si="31"/>
        <v>2.3851279739270925E-3</v>
      </c>
      <c r="Z114" s="165">
        <f t="shared" ca="1" si="32"/>
        <v>1.1193613281861587</v>
      </c>
      <c r="AA114" s="152">
        <f t="shared" si="33"/>
        <v>7</v>
      </c>
      <c r="AB114" s="153">
        <f t="shared" si="34"/>
        <v>24777</v>
      </c>
      <c r="AC114" s="155">
        <f t="shared" ca="1" si="35"/>
        <v>6.1006155488465348</v>
      </c>
    </row>
    <row r="115" spans="3:29">
      <c r="C115" s="152" t="str">
        <f>'Monthly Prices'!A103</f>
        <v>1967M12</v>
      </c>
      <c r="D115" s="153">
        <f t="shared" si="24"/>
        <v>24807</v>
      </c>
      <c r="E115" s="152">
        <f t="shared" si="25"/>
        <v>96</v>
      </c>
      <c r="F115" s="152" t="b">
        <f t="shared" si="19"/>
        <v>0</v>
      </c>
      <c r="G115" s="152" t="b">
        <f t="shared" si="20"/>
        <v>1</v>
      </c>
      <c r="H115" s="152" t="b">
        <f t="shared" si="21"/>
        <v>0</v>
      </c>
      <c r="I115" s="153" t="e">
        <f t="shared" si="22"/>
        <v>#N/A</v>
      </c>
      <c r="J115" s="158">
        <f>INDEX('Monthly Prices'!B103:CB103,$G$4)</f>
        <v>46.9</v>
      </c>
      <c r="K115" s="158" t="b">
        <f>IF(H115,INDEX('Monthly Prices'!B103:CB103,$G$4)*U115,FALSE)</f>
        <v>0</v>
      </c>
      <c r="L115" s="152" t="b">
        <f t="shared" si="26"/>
        <v>1</v>
      </c>
      <c r="M115" s="158">
        <f>INDEX('Monthly Prices'!B103:CB103,$G$5)</f>
        <v>24.589256001460001</v>
      </c>
      <c r="N115" s="158" t="b">
        <f>IF(H115,INDEX('Monthly Prices'!B103:CB103,$G$5)*U115,FALSE)</f>
        <v>0</v>
      </c>
      <c r="O115" s="152" t="b">
        <f t="shared" si="23"/>
        <v>1</v>
      </c>
      <c r="P115" s="152">
        <f t="shared" si="27"/>
        <v>1967</v>
      </c>
      <c r="Q115" s="159">
        <f>'Monthly Prices'!B103</f>
        <v>1.33</v>
      </c>
      <c r="R115" s="159">
        <f t="shared" si="28"/>
        <v>1.33</v>
      </c>
      <c r="S115" s="155">
        <f>_xlfn.XLOOKUP(P115,'Annual Real'!A:A,'Annual Real'!B:B,0,0)</f>
        <v>6.3644633930138399</v>
      </c>
      <c r="T115" s="155">
        <f t="shared" ca="1" si="29"/>
        <v>6.0860994228609675</v>
      </c>
      <c r="U115" s="152">
        <f t="shared" ca="1" si="30"/>
        <v>6.0860994228609675</v>
      </c>
      <c r="V115" s="152" t="b">
        <f t="shared" si="36"/>
        <v>0</v>
      </c>
      <c r="W115" s="152" t="b">
        <f t="shared" si="37"/>
        <v>0</v>
      </c>
      <c r="X115" s="154">
        <f>LOOKUP(D115,'US Implicit Deflator'!A:A,'US Implicit Deflator'!B:B)/100</f>
        <v>2.8999999999999998E-2</v>
      </c>
      <c r="Y115" s="154">
        <f t="shared" si="31"/>
        <v>2.3851279739270925E-3</v>
      </c>
      <c r="Z115" s="165">
        <f t="shared" ca="1" si="32"/>
        <v>1.1220311482029477</v>
      </c>
      <c r="AA115" s="152">
        <f t="shared" si="33"/>
        <v>7</v>
      </c>
      <c r="AB115" s="153">
        <f t="shared" si="34"/>
        <v>24807</v>
      </c>
      <c r="AC115" s="155">
        <f t="shared" ca="1" si="35"/>
        <v>6.0860994228609675</v>
      </c>
    </row>
    <row r="116" spans="3:29">
      <c r="C116" s="152" t="str">
        <f>'Monthly Prices'!A104</f>
        <v>1968M01</v>
      </c>
      <c r="D116" s="153">
        <f t="shared" si="24"/>
        <v>24838</v>
      </c>
      <c r="E116" s="152">
        <f t="shared" si="25"/>
        <v>97</v>
      </c>
      <c r="F116" s="152" t="b">
        <f t="shared" si="19"/>
        <v>0</v>
      </c>
      <c r="G116" s="152" t="b">
        <f t="shared" si="20"/>
        <v>1</v>
      </c>
      <c r="H116" s="152" t="b">
        <f t="shared" si="21"/>
        <v>0</v>
      </c>
      <c r="I116" s="153" t="e">
        <f t="shared" si="22"/>
        <v>#N/A</v>
      </c>
      <c r="J116" s="158">
        <f>INDEX('Monthly Prices'!B104:CB104,$G$4)</f>
        <v>51.57</v>
      </c>
      <c r="K116" s="158" t="b">
        <f>IF(H116,INDEX('Monthly Prices'!B104:CB104,$G$4)*U116,FALSE)</f>
        <v>0</v>
      </c>
      <c r="L116" s="152" t="b">
        <f t="shared" si="26"/>
        <v>1</v>
      </c>
      <c r="M116" s="158">
        <f>INDEX('Monthly Prices'!B104:CB104,$G$5)</f>
        <v>25.451915863069999</v>
      </c>
      <c r="N116" s="158" t="b">
        <f>IF(H116,INDEX('Monthly Prices'!B104:CB104,$G$5)*U116,FALSE)</f>
        <v>0</v>
      </c>
      <c r="O116" s="152" t="b">
        <f t="shared" si="23"/>
        <v>1</v>
      </c>
      <c r="P116" s="152">
        <f t="shared" si="27"/>
        <v>1968</v>
      </c>
      <c r="Q116" s="159">
        <f>'Monthly Prices'!B104</f>
        <v>1.32</v>
      </c>
      <c r="R116" s="159">
        <f t="shared" si="28"/>
        <v>1.32</v>
      </c>
      <c r="S116" s="155">
        <f>_xlfn.XLOOKUP(P116,'Annual Real'!A:A,'Annual Real'!B:B,0,0)</f>
        <v>6.37212983184543</v>
      </c>
      <c r="T116" s="155">
        <f t="shared" ca="1" si="29"/>
        <v>6.0686768662192483</v>
      </c>
      <c r="U116" s="152">
        <f t="shared" ca="1" si="30"/>
        <v>6.0686768662192483</v>
      </c>
      <c r="V116" s="152" t="b">
        <f t="shared" si="36"/>
        <v>0</v>
      </c>
      <c r="W116" s="152" t="b">
        <f t="shared" si="37"/>
        <v>0</v>
      </c>
      <c r="X116" s="154">
        <f>LOOKUP(D116,'US Implicit Deflator'!A:A,'US Implicit Deflator'!B:B)/100</f>
        <v>3.5000000000000003E-2</v>
      </c>
      <c r="Y116" s="154">
        <f t="shared" si="31"/>
        <v>2.8708987190766422E-3</v>
      </c>
      <c r="Z116" s="165">
        <f t="shared" ca="1" si="32"/>
        <v>1.1252523859890877</v>
      </c>
      <c r="AA116" s="152">
        <f t="shared" si="33"/>
        <v>7</v>
      </c>
      <c r="AB116" s="153">
        <f t="shared" si="34"/>
        <v>24838</v>
      </c>
      <c r="AC116" s="155">
        <f t="shared" ca="1" si="35"/>
        <v>6.0686768662192483</v>
      </c>
    </row>
    <row r="117" spans="3:29">
      <c r="C117" s="152" t="str">
        <f>'Monthly Prices'!A105</f>
        <v>1968M02</v>
      </c>
      <c r="D117" s="153">
        <f t="shared" si="24"/>
        <v>24869</v>
      </c>
      <c r="E117" s="152">
        <f t="shared" si="25"/>
        <v>98</v>
      </c>
      <c r="F117" s="152" t="b">
        <f t="shared" si="19"/>
        <v>0</v>
      </c>
      <c r="G117" s="152" t="b">
        <f t="shared" si="20"/>
        <v>1</v>
      </c>
      <c r="H117" s="152" t="b">
        <f t="shared" si="21"/>
        <v>0</v>
      </c>
      <c r="I117" s="153" t="e">
        <f t="shared" si="22"/>
        <v>#N/A</v>
      </c>
      <c r="J117" s="158">
        <f>INDEX('Monthly Prices'!B105:CB105,$G$4)</f>
        <v>51.18</v>
      </c>
      <c r="K117" s="158" t="b">
        <f>IF(H117,INDEX('Monthly Prices'!B105:CB105,$G$4)*U117,FALSE)</f>
        <v>0</v>
      </c>
      <c r="L117" s="152" t="b">
        <f t="shared" si="26"/>
        <v>1</v>
      </c>
      <c r="M117" s="158">
        <f>INDEX('Monthly Prices'!B105:CB105,$G$5)</f>
        <v>25.564062734339998</v>
      </c>
      <c r="N117" s="158" t="b">
        <f>IF(H117,INDEX('Monthly Prices'!B105:CB105,$G$5)*U117,FALSE)</f>
        <v>0</v>
      </c>
      <c r="O117" s="152" t="b">
        <f t="shared" si="23"/>
        <v>1</v>
      </c>
      <c r="P117" s="152">
        <f t="shared" si="27"/>
        <v>1968</v>
      </c>
      <c r="Q117" s="159">
        <f>'Monthly Prices'!B105</f>
        <v>1.32</v>
      </c>
      <c r="R117" s="159">
        <f t="shared" si="28"/>
        <v>1.32</v>
      </c>
      <c r="S117" s="155">
        <f>_xlfn.XLOOKUP(P117,'Annual Real'!A:A,'Annual Real'!B:B,0,0)</f>
        <v>6.37212983184543</v>
      </c>
      <c r="T117" s="155">
        <f t="shared" ca="1" si="29"/>
        <v>6.0513041847864013</v>
      </c>
      <c r="U117" s="152">
        <f t="shared" ca="1" si="30"/>
        <v>6.0513041847864013</v>
      </c>
      <c r="V117" s="152" t="b">
        <f t="shared" si="36"/>
        <v>0</v>
      </c>
      <c r="W117" s="152" t="b">
        <f t="shared" si="37"/>
        <v>0</v>
      </c>
      <c r="X117" s="154">
        <f>LOOKUP(D117,'US Implicit Deflator'!A:A,'US Implicit Deflator'!B:B)/100</f>
        <v>3.5000000000000003E-2</v>
      </c>
      <c r="Y117" s="154">
        <f t="shared" si="31"/>
        <v>2.8708987190766422E-3</v>
      </c>
      <c r="Z117" s="165">
        <f t="shared" ca="1" si="32"/>
        <v>1.1284828716226618</v>
      </c>
      <c r="AA117" s="152">
        <f t="shared" si="33"/>
        <v>7</v>
      </c>
      <c r="AB117" s="153">
        <f t="shared" si="34"/>
        <v>24869</v>
      </c>
      <c r="AC117" s="155">
        <f t="shared" ca="1" si="35"/>
        <v>6.0513041847864013</v>
      </c>
    </row>
    <row r="118" spans="3:29">
      <c r="C118" s="152" t="str">
        <f>'Monthly Prices'!A106</f>
        <v>1968M03</v>
      </c>
      <c r="D118" s="153">
        <f t="shared" si="24"/>
        <v>24898</v>
      </c>
      <c r="E118" s="152">
        <f t="shared" si="25"/>
        <v>99</v>
      </c>
      <c r="F118" s="152" t="b">
        <f t="shared" si="19"/>
        <v>0</v>
      </c>
      <c r="G118" s="152" t="b">
        <f t="shared" si="20"/>
        <v>1</v>
      </c>
      <c r="H118" s="152" t="b">
        <f t="shared" si="21"/>
        <v>0</v>
      </c>
      <c r="I118" s="153" t="e">
        <f t="shared" si="22"/>
        <v>#N/A</v>
      </c>
      <c r="J118" s="158">
        <f>INDEX('Monthly Prices'!B106:CB106,$G$4)</f>
        <v>50</v>
      </c>
      <c r="K118" s="158" t="b">
        <f>IF(H118,INDEX('Monthly Prices'!B106:CB106,$G$4)*U118,FALSE)</f>
        <v>0</v>
      </c>
      <c r="L118" s="152" t="b">
        <f t="shared" si="26"/>
        <v>1</v>
      </c>
      <c r="M118" s="158">
        <f>INDEX('Monthly Prices'!B106:CB106,$G$5)</f>
        <v>25.53764357387</v>
      </c>
      <c r="N118" s="158" t="b">
        <f>IF(H118,INDEX('Monthly Prices'!B106:CB106,$G$5)*U118,FALSE)</f>
        <v>0</v>
      </c>
      <c r="O118" s="152" t="b">
        <f t="shared" si="23"/>
        <v>1</v>
      </c>
      <c r="P118" s="152">
        <f t="shared" si="27"/>
        <v>1968</v>
      </c>
      <c r="Q118" s="159">
        <f>'Monthly Prices'!B106</f>
        <v>1.32</v>
      </c>
      <c r="R118" s="159">
        <f t="shared" si="28"/>
        <v>1.32</v>
      </c>
      <c r="S118" s="155">
        <f>_xlfn.XLOOKUP(P118,'Annual Real'!A:A,'Annual Real'!B:B,0,0)</f>
        <v>6.37212983184543</v>
      </c>
      <c r="T118" s="155">
        <f t="shared" ca="1" si="29"/>
        <v>6.0339812357856513</v>
      </c>
      <c r="U118" s="152">
        <f t="shared" ca="1" si="30"/>
        <v>6.0339812357856513</v>
      </c>
      <c r="V118" s="152" t="b">
        <f t="shared" si="36"/>
        <v>0</v>
      </c>
      <c r="W118" s="152" t="b">
        <f t="shared" si="37"/>
        <v>0</v>
      </c>
      <c r="X118" s="154">
        <f>LOOKUP(D118,'US Implicit Deflator'!A:A,'US Implicit Deflator'!B:B)/100</f>
        <v>3.5000000000000003E-2</v>
      </c>
      <c r="Y118" s="154">
        <f t="shared" si="31"/>
        <v>2.8708987190766422E-3</v>
      </c>
      <c r="Z118" s="165">
        <f t="shared" ca="1" si="32"/>
        <v>1.1317226316533033</v>
      </c>
      <c r="AA118" s="152">
        <f t="shared" si="33"/>
        <v>7</v>
      </c>
      <c r="AB118" s="153">
        <f t="shared" si="34"/>
        <v>24898</v>
      </c>
      <c r="AC118" s="155">
        <f t="shared" ca="1" si="35"/>
        <v>6.0339812357856513</v>
      </c>
    </row>
    <row r="119" spans="3:29">
      <c r="C119" s="152" t="str">
        <f>'Monthly Prices'!A107</f>
        <v>1968M04</v>
      </c>
      <c r="D119" s="153">
        <f t="shared" si="24"/>
        <v>24929</v>
      </c>
      <c r="E119" s="152">
        <f t="shared" si="25"/>
        <v>100</v>
      </c>
      <c r="F119" s="152" t="b">
        <f t="shared" si="19"/>
        <v>0</v>
      </c>
      <c r="G119" s="152" t="b">
        <f t="shared" si="20"/>
        <v>1</v>
      </c>
      <c r="H119" s="152" t="b">
        <f t="shared" si="21"/>
        <v>0</v>
      </c>
      <c r="I119" s="153" t="e">
        <f t="shared" si="22"/>
        <v>#N/A</v>
      </c>
      <c r="J119" s="158">
        <f>INDEX('Monthly Prices'!B107:CB107,$G$4)</f>
        <v>48.03</v>
      </c>
      <c r="K119" s="158" t="b">
        <f>IF(H119,INDEX('Monthly Prices'!B107:CB107,$G$4)*U119,FALSE)</f>
        <v>0</v>
      </c>
      <c r="L119" s="152" t="b">
        <f t="shared" si="26"/>
        <v>1</v>
      </c>
      <c r="M119" s="158">
        <f>INDEX('Monthly Prices'!B107:CB107,$G$5)</f>
        <v>24.889212957800002</v>
      </c>
      <c r="N119" s="158" t="b">
        <f>IF(H119,INDEX('Monthly Prices'!B107:CB107,$G$5)*U119,FALSE)</f>
        <v>0</v>
      </c>
      <c r="O119" s="152" t="b">
        <f t="shared" si="23"/>
        <v>1</v>
      </c>
      <c r="P119" s="152">
        <f t="shared" si="27"/>
        <v>1968</v>
      </c>
      <c r="Q119" s="159">
        <f>'Monthly Prices'!B107</f>
        <v>1.32</v>
      </c>
      <c r="R119" s="159">
        <f t="shared" si="28"/>
        <v>1.32</v>
      </c>
      <c r="S119" s="155">
        <f>_xlfn.XLOOKUP(P119,'Annual Real'!A:A,'Annual Real'!B:B,0,0)</f>
        <v>6.37212983184543</v>
      </c>
      <c r="T119" s="155">
        <f t="shared" ca="1" si="29"/>
        <v>6.0142920087747642</v>
      </c>
      <c r="U119" s="152">
        <f t="shared" ca="1" si="30"/>
        <v>6.0142920087747642</v>
      </c>
      <c r="V119" s="152" t="b">
        <f t="shared" si="36"/>
        <v>0</v>
      </c>
      <c r="W119" s="152" t="b">
        <f t="shared" si="37"/>
        <v>0</v>
      </c>
      <c r="X119" s="154">
        <f>LOOKUP(D119,'US Implicit Deflator'!A:A,'US Implicit Deflator'!B:B)/100</f>
        <v>0.04</v>
      </c>
      <c r="Y119" s="154">
        <f t="shared" si="31"/>
        <v>3.2737397821989145E-3</v>
      </c>
      <c r="Z119" s="165">
        <f t="shared" ca="1" si="32"/>
        <v>1.1354275970549617</v>
      </c>
      <c r="AA119" s="152">
        <f t="shared" si="33"/>
        <v>7</v>
      </c>
      <c r="AB119" s="153">
        <f t="shared" si="34"/>
        <v>24929</v>
      </c>
      <c r="AC119" s="155">
        <f t="shared" ca="1" si="35"/>
        <v>6.0142920087747642</v>
      </c>
    </row>
    <row r="120" spans="3:29">
      <c r="C120" s="152" t="str">
        <f>'Monthly Prices'!A108</f>
        <v>1968M05</v>
      </c>
      <c r="D120" s="153">
        <f t="shared" si="24"/>
        <v>24959</v>
      </c>
      <c r="E120" s="152">
        <f t="shared" si="25"/>
        <v>101</v>
      </c>
      <c r="F120" s="152" t="b">
        <f t="shared" si="19"/>
        <v>0</v>
      </c>
      <c r="G120" s="152" t="b">
        <f t="shared" si="20"/>
        <v>1</v>
      </c>
      <c r="H120" s="152" t="b">
        <f t="shared" si="21"/>
        <v>0</v>
      </c>
      <c r="I120" s="153" t="e">
        <f t="shared" si="22"/>
        <v>#N/A</v>
      </c>
      <c r="J120" s="158">
        <f>INDEX('Monthly Prices'!B108:CB108,$G$4)</f>
        <v>48.42</v>
      </c>
      <c r="K120" s="158" t="b">
        <f>IF(H120,INDEX('Monthly Prices'!B108:CB108,$G$4)*U120,FALSE)</f>
        <v>0</v>
      </c>
      <c r="L120" s="152" t="b">
        <f t="shared" si="26"/>
        <v>1</v>
      </c>
      <c r="M120" s="158">
        <f>INDEX('Monthly Prices'!B108:CB108,$G$5)</f>
        <v>24.72536841798</v>
      </c>
      <c r="N120" s="158" t="b">
        <f>IF(H120,INDEX('Monthly Prices'!B108:CB108,$G$5)*U120,FALSE)</f>
        <v>0</v>
      </c>
      <c r="O120" s="152" t="b">
        <f t="shared" si="23"/>
        <v>1</v>
      </c>
      <c r="P120" s="152">
        <f t="shared" si="27"/>
        <v>1968</v>
      </c>
      <c r="Q120" s="159">
        <f>'Monthly Prices'!B108</f>
        <v>1.32</v>
      </c>
      <c r="R120" s="159">
        <f t="shared" si="28"/>
        <v>1.32</v>
      </c>
      <c r="S120" s="155">
        <f>_xlfn.XLOOKUP(P120,'Annual Real'!A:A,'Annual Real'!B:B,0,0)</f>
        <v>6.37212983184543</v>
      </c>
      <c r="T120" s="155">
        <f t="shared" ca="1" si="29"/>
        <v>5.9946670288414108</v>
      </c>
      <c r="U120" s="152">
        <f t="shared" ca="1" si="30"/>
        <v>5.9946670288414108</v>
      </c>
      <c r="V120" s="152" t="b">
        <f t="shared" si="36"/>
        <v>0</v>
      </c>
      <c r="W120" s="152" t="b">
        <f t="shared" si="37"/>
        <v>0</v>
      </c>
      <c r="X120" s="154">
        <f>LOOKUP(D120,'US Implicit Deflator'!A:A,'US Implicit Deflator'!B:B)/100</f>
        <v>0.04</v>
      </c>
      <c r="Y120" s="154">
        <f t="shared" si="31"/>
        <v>3.2737397821989145E-3</v>
      </c>
      <c r="Z120" s="165">
        <f t="shared" ca="1" si="32"/>
        <v>1.1391446915492469</v>
      </c>
      <c r="AA120" s="152">
        <f t="shared" si="33"/>
        <v>7</v>
      </c>
      <c r="AB120" s="153">
        <f t="shared" si="34"/>
        <v>24959</v>
      </c>
      <c r="AC120" s="155">
        <f t="shared" ca="1" si="35"/>
        <v>5.9946670288414108</v>
      </c>
    </row>
    <row r="121" spans="3:29">
      <c r="C121" s="152" t="str">
        <f>'Monthly Prices'!A109</f>
        <v>1968M06</v>
      </c>
      <c r="D121" s="153">
        <f t="shared" si="24"/>
        <v>24990</v>
      </c>
      <c r="E121" s="152">
        <f t="shared" si="25"/>
        <v>102</v>
      </c>
      <c r="F121" s="152" t="b">
        <f t="shared" si="19"/>
        <v>0</v>
      </c>
      <c r="G121" s="152" t="b">
        <f t="shared" si="20"/>
        <v>1</v>
      </c>
      <c r="H121" s="152" t="b">
        <f t="shared" si="21"/>
        <v>0</v>
      </c>
      <c r="I121" s="153" t="e">
        <f t="shared" si="22"/>
        <v>#N/A</v>
      </c>
      <c r="J121" s="158">
        <f>INDEX('Monthly Prices'!B109:CB109,$G$4)</f>
        <v>47.64</v>
      </c>
      <c r="K121" s="158" t="b">
        <f>IF(H121,INDEX('Monthly Prices'!B109:CB109,$G$4)*U121,FALSE)</f>
        <v>0</v>
      </c>
      <c r="L121" s="152" t="b">
        <f t="shared" si="26"/>
        <v>1</v>
      </c>
      <c r="M121" s="158">
        <f>INDEX('Monthly Prices'!B109:CB109,$G$5)</f>
        <v>24.901613950809999</v>
      </c>
      <c r="N121" s="158" t="b">
        <f>IF(H121,INDEX('Monthly Prices'!B109:CB109,$G$5)*U121,FALSE)</f>
        <v>0</v>
      </c>
      <c r="O121" s="152" t="b">
        <f t="shared" si="23"/>
        <v>1</v>
      </c>
      <c r="P121" s="152">
        <f t="shared" si="27"/>
        <v>1968</v>
      </c>
      <c r="Q121" s="159">
        <f>'Monthly Prices'!B109</f>
        <v>1.32</v>
      </c>
      <c r="R121" s="159">
        <f t="shared" si="28"/>
        <v>1.32</v>
      </c>
      <c r="S121" s="155">
        <f>_xlfn.XLOOKUP(P121,'Annual Real'!A:A,'Annual Real'!B:B,0,0)</f>
        <v>6.37212983184543</v>
      </c>
      <c r="T121" s="155">
        <f t="shared" ca="1" si="29"/>
        <v>5.975106086343688</v>
      </c>
      <c r="U121" s="152">
        <f t="shared" ca="1" si="30"/>
        <v>5.975106086343688</v>
      </c>
      <c r="V121" s="152" t="b">
        <f t="shared" si="36"/>
        <v>0</v>
      </c>
      <c r="W121" s="152" t="b">
        <f t="shared" si="37"/>
        <v>0</v>
      </c>
      <c r="X121" s="154">
        <f>LOOKUP(D121,'US Implicit Deflator'!A:A,'US Implicit Deflator'!B:B)/100</f>
        <v>0.04</v>
      </c>
      <c r="Y121" s="154">
        <f t="shared" si="31"/>
        <v>3.2737397821989145E-3</v>
      </c>
      <c r="Z121" s="165">
        <f t="shared" ca="1" si="32"/>
        <v>1.1428739548436524</v>
      </c>
      <c r="AA121" s="152">
        <f t="shared" si="33"/>
        <v>7</v>
      </c>
      <c r="AB121" s="153">
        <f t="shared" si="34"/>
        <v>24990</v>
      </c>
      <c r="AC121" s="155">
        <f t="shared" ca="1" si="35"/>
        <v>5.975106086343688</v>
      </c>
    </row>
    <row r="122" spans="3:29">
      <c r="C122" s="152" t="str">
        <f>'Monthly Prices'!A110</f>
        <v>1968M07</v>
      </c>
      <c r="D122" s="153">
        <f t="shared" si="24"/>
        <v>25020</v>
      </c>
      <c r="E122" s="152">
        <f t="shared" si="25"/>
        <v>103</v>
      </c>
      <c r="F122" s="152" t="b">
        <f t="shared" si="19"/>
        <v>0</v>
      </c>
      <c r="G122" s="152" t="b">
        <f t="shared" si="20"/>
        <v>1</v>
      </c>
      <c r="H122" s="152" t="b">
        <f t="shared" si="21"/>
        <v>0</v>
      </c>
      <c r="I122" s="153" t="e">
        <f t="shared" si="22"/>
        <v>#N/A</v>
      </c>
      <c r="J122" s="158">
        <f>INDEX('Monthly Prices'!B110:CB110,$G$4)</f>
        <v>47.24</v>
      </c>
      <c r="K122" s="158" t="b">
        <f>IF(H122,INDEX('Monthly Prices'!B110:CB110,$G$4)*U122,FALSE)</f>
        <v>0</v>
      </c>
      <c r="L122" s="152" t="b">
        <f t="shared" si="26"/>
        <v>1</v>
      </c>
      <c r="M122" s="158">
        <f>INDEX('Monthly Prices'!B110:CB110,$G$5)</f>
        <v>25.20781032751</v>
      </c>
      <c r="N122" s="158" t="b">
        <f>IF(H122,INDEX('Monthly Prices'!B110:CB110,$G$5)*U122,FALSE)</f>
        <v>0</v>
      </c>
      <c r="O122" s="152" t="b">
        <f t="shared" si="23"/>
        <v>1</v>
      </c>
      <c r="P122" s="152">
        <f t="shared" si="27"/>
        <v>1968</v>
      </c>
      <c r="Q122" s="159">
        <f>'Monthly Prices'!B110</f>
        <v>1.32</v>
      </c>
      <c r="R122" s="159">
        <f t="shared" si="28"/>
        <v>1.32</v>
      </c>
      <c r="S122" s="155">
        <f>_xlfn.XLOOKUP(P122,'Annual Real'!A:A,'Annual Real'!B:B,0,0)</f>
        <v>6.37212983184543</v>
      </c>
      <c r="T122" s="155">
        <f t="shared" ca="1" si="29"/>
        <v>5.9565643923604554</v>
      </c>
      <c r="U122" s="152">
        <f t="shared" ca="1" si="30"/>
        <v>5.9565643923604554</v>
      </c>
      <c r="V122" s="152" t="b">
        <f t="shared" si="36"/>
        <v>0</v>
      </c>
      <c r="W122" s="152" t="b">
        <f t="shared" si="37"/>
        <v>0</v>
      </c>
      <c r="X122" s="154">
        <f>LOOKUP(D122,'US Implicit Deflator'!A:A,'US Implicit Deflator'!B:B)/100</f>
        <v>3.7999999999999999E-2</v>
      </c>
      <c r="Y122" s="154">
        <f t="shared" si="31"/>
        <v>3.1128168457330574E-3</v>
      </c>
      <c r="Z122" s="165">
        <f t="shared" ca="1" si="32"/>
        <v>1.1464315121428392</v>
      </c>
      <c r="AA122" s="152">
        <f t="shared" si="33"/>
        <v>7</v>
      </c>
      <c r="AB122" s="153">
        <f t="shared" si="34"/>
        <v>25020</v>
      </c>
      <c r="AC122" s="155">
        <f t="shared" ca="1" si="35"/>
        <v>5.9565643923604554</v>
      </c>
    </row>
    <row r="123" spans="3:29">
      <c r="C123" s="152" t="str">
        <f>'Monthly Prices'!A111</f>
        <v>1968M08</v>
      </c>
      <c r="D123" s="153">
        <f t="shared" si="24"/>
        <v>25051</v>
      </c>
      <c r="E123" s="152">
        <f t="shared" si="25"/>
        <v>104</v>
      </c>
      <c r="F123" s="152" t="b">
        <f t="shared" si="19"/>
        <v>0</v>
      </c>
      <c r="G123" s="152" t="b">
        <f t="shared" si="20"/>
        <v>1</v>
      </c>
      <c r="H123" s="152" t="b">
        <f t="shared" si="21"/>
        <v>0</v>
      </c>
      <c r="I123" s="153" t="e">
        <f t="shared" si="22"/>
        <v>#N/A</v>
      </c>
      <c r="J123" s="158">
        <f>INDEX('Monthly Prices'!B111:CB111,$G$4)</f>
        <v>44.88</v>
      </c>
      <c r="K123" s="158" t="b">
        <f>IF(H123,INDEX('Monthly Prices'!B111:CB111,$G$4)*U123,FALSE)</f>
        <v>0</v>
      </c>
      <c r="L123" s="152" t="b">
        <f t="shared" si="26"/>
        <v>1</v>
      </c>
      <c r="M123" s="158">
        <f>INDEX('Monthly Prices'!B111:CB111,$G$5)</f>
        <v>24.870512294089998</v>
      </c>
      <c r="N123" s="158" t="b">
        <f>IF(H123,INDEX('Monthly Prices'!B111:CB111,$G$5)*U123,FALSE)</f>
        <v>0</v>
      </c>
      <c r="O123" s="152" t="b">
        <f t="shared" si="23"/>
        <v>1</v>
      </c>
      <c r="P123" s="152">
        <f t="shared" si="27"/>
        <v>1968</v>
      </c>
      <c r="Q123" s="159">
        <f>'Monthly Prices'!B111</f>
        <v>1.32</v>
      </c>
      <c r="R123" s="159">
        <f t="shared" si="28"/>
        <v>1.32</v>
      </c>
      <c r="S123" s="155">
        <f>_xlfn.XLOOKUP(P123,'Annual Real'!A:A,'Annual Real'!B:B,0,0)</f>
        <v>6.37212983184543</v>
      </c>
      <c r="T123" s="155">
        <f t="shared" ca="1" si="29"/>
        <v>5.9380802361699905</v>
      </c>
      <c r="U123" s="152">
        <f t="shared" ca="1" si="30"/>
        <v>5.9380802361699905</v>
      </c>
      <c r="V123" s="152" t="b">
        <f t="shared" si="36"/>
        <v>0</v>
      </c>
      <c r="W123" s="152" t="b">
        <f t="shared" si="37"/>
        <v>0</v>
      </c>
      <c r="X123" s="154">
        <f>LOOKUP(D123,'US Implicit Deflator'!A:A,'US Implicit Deflator'!B:B)/100</f>
        <v>3.7999999999999999E-2</v>
      </c>
      <c r="Y123" s="154">
        <f t="shared" si="31"/>
        <v>3.1128168457330574E-3</v>
      </c>
      <c r="Z123" s="165">
        <f t="shared" ca="1" si="32"/>
        <v>1.1500001434663167</v>
      </c>
      <c r="AA123" s="152">
        <f t="shared" si="33"/>
        <v>7</v>
      </c>
      <c r="AB123" s="153">
        <f t="shared" si="34"/>
        <v>25051</v>
      </c>
      <c r="AC123" s="155">
        <f t="shared" ca="1" si="35"/>
        <v>5.9380802361699905</v>
      </c>
    </row>
    <row r="124" spans="3:29">
      <c r="C124" s="152" t="str">
        <f>'Monthly Prices'!A112</f>
        <v>1968M09</v>
      </c>
      <c r="D124" s="153">
        <f t="shared" si="24"/>
        <v>25082</v>
      </c>
      <c r="E124" s="152">
        <f t="shared" si="25"/>
        <v>105</v>
      </c>
      <c r="F124" s="152" t="b">
        <f t="shared" si="19"/>
        <v>0</v>
      </c>
      <c r="G124" s="152" t="b">
        <f t="shared" si="20"/>
        <v>1</v>
      </c>
      <c r="H124" s="152" t="b">
        <f t="shared" si="21"/>
        <v>0</v>
      </c>
      <c r="I124" s="153" t="e">
        <f t="shared" si="22"/>
        <v>#N/A</v>
      </c>
      <c r="J124" s="158">
        <f>INDEX('Monthly Prices'!B112:CB112,$G$4)</f>
        <v>44.09</v>
      </c>
      <c r="K124" s="158" t="b">
        <f>IF(H124,INDEX('Monthly Prices'!B112:CB112,$G$4)*U124,FALSE)</f>
        <v>0</v>
      </c>
      <c r="L124" s="152" t="b">
        <f t="shared" si="26"/>
        <v>1</v>
      </c>
      <c r="M124" s="158">
        <f>INDEX('Monthly Prices'!B112:CB112,$G$5)</f>
        <v>24.695209685409999</v>
      </c>
      <c r="N124" s="158" t="b">
        <f>IF(H124,INDEX('Monthly Prices'!B112:CB112,$G$5)*U124,FALSE)</f>
        <v>0</v>
      </c>
      <c r="O124" s="152" t="b">
        <f t="shared" si="23"/>
        <v>1</v>
      </c>
      <c r="P124" s="152">
        <f t="shared" si="27"/>
        <v>1968</v>
      </c>
      <c r="Q124" s="159">
        <f>'Monthly Prices'!B112</f>
        <v>1.32</v>
      </c>
      <c r="R124" s="159">
        <f t="shared" si="28"/>
        <v>1.32</v>
      </c>
      <c r="S124" s="155">
        <f>_xlfn.XLOOKUP(P124,'Annual Real'!A:A,'Annual Real'!B:B,0,0)</f>
        <v>6.37212983184543</v>
      </c>
      <c r="T124" s="155">
        <f t="shared" ca="1" si="29"/>
        <v>5.9196534392234739</v>
      </c>
      <c r="U124" s="152">
        <f t="shared" ca="1" si="30"/>
        <v>5.9196534392234739</v>
      </c>
      <c r="V124" s="152" t="b">
        <f t="shared" si="36"/>
        <v>0</v>
      </c>
      <c r="W124" s="152" t="b">
        <f t="shared" si="37"/>
        <v>0</v>
      </c>
      <c r="X124" s="154">
        <f>LOOKUP(D124,'US Implicit Deflator'!A:A,'US Implicit Deflator'!B:B)/100</f>
        <v>3.7999999999999999E-2</v>
      </c>
      <c r="Y124" s="154">
        <f t="shared" si="31"/>
        <v>3.1128168457330574E-3</v>
      </c>
      <c r="Z124" s="165">
        <f t="shared" ca="1" si="32"/>
        <v>1.1535798832854942</v>
      </c>
      <c r="AA124" s="152">
        <f t="shared" si="33"/>
        <v>7</v>
      </c>
      <c r="AB124" s="153">
        <f t="shared" si="34"/>
        <v>25082</v>
      </c>
      <c r="AC124" s="155">
        <f t="shared" ca="1" si="35"/>
        <v>5.9196534392234739</v>
      </c>
    </row>
    <row r="125" spans="3:29">
      <c r="C125" s="152" t="str">
        <f>'Monthly Prices'!A113</f>
        <v>1968M10</v>
      </c>
      <c r="D125" s="153">
        <f t="shared" si="24"/>
        <v>25112</v>
      </c>
      <c r="E125" s="152">
        <f t="shared" si="25"/>
        <v>106</v>
      </c>
      <c r="F125" s="152" t="b">
        <f t="shared" si="19"/>
        <v>0</v>
      </c>
      <c r="G125" s="152" t="b">
        <f t="shared" si="20"/>
        <v>1</v>
      </c>
      <c r="H125" s="152" t="b">
        <f t="shared" si="21"/>
        <v>0</v>
      </c>
      <c r="I125" s="153" t="e">
        <f t="shared" si="22"/>
        <v>#N/A</v>
      </c>
      <c r="J125" s="158">
        <f>INDEX('Monthly Prices'!B113:CB113,$G$4)</f>
        <v>44.88</v>
      </c>
      <c r="K125" s="158" t="b">
        <f>IF(H125,INDEX('Monthly Prices'!B113:CB113,$G$4)*U125,FALSE)</f>
        <v>0</v>
      </c>
      <c r="L125" s="152" t="b">
        <f t="shared" si="26"/>
        <v>1</v>
      </c>
      <c r="M125" s="158">
        <f>INDEX('Monthly Prices'!B113:CB113,$G$5)</f>
        <v>24.888574381630001</v>
      </c>
      <c r="N125" s="158" t="b">
        <f>IF(H125,INDEX('Monthly Prices'!B113:CB113,$G$5)*U125,FALSE)</f>
        <v>0</v>
      </c>
      <c r="O125" s="152" t="b">
        <f t="shared" si="23"/>
        <v>1</v>
      </c>
      <c r="P125" s="152">
        <f t="shared" si="27"/>
        <v>1968</v>
      </c>
      <c r="Q125" s="159">
        <f>'Monthly Prices'!B113</f>
        <v>1.32</v>
      </c>
      <c r="R125" s="159">
        <f t="shared" si="28"/>
        <v>1.32</v>
      </c>
      <c r="S125" s="155">
        <f>_xlfn.XLOOKUP(P125,'Annual Real'!A:A,'Annual Real'!B:B,0,0)</f>
        <v>6.37212983184543</v>
      </c>
      <c r="T125" s="155">
        <f t="shared" ca="1" si="29"/>
        <v>5.8993926871548545</v>
      </c>
      <c r="U125" s="152">
        <f t="shared" ca="1" si="30"/>
        <v>5.8993926871548545</v>
      </c>
      <c r="V125" s="152" t="b">
        <f t="shared" si="36"/>
        <v>0</v>
      </c>
      <c r="W125" s="152" t="b">
        <f t="shared" si="37"/>
        <v>0</v>
      </c>
      <c r="X125" s="154">
        <f>LOOKUP(D125,'US Implicit Deflator'!A:A,'US Implicit Deflator'!B:B)/100</f>
        <v>4.2000000000000003E-2</v>
      </c>
      <c r="Y125" s="154">
        <f t="shared" si="31"/>
        <v>3.4343792900468628E-3</v>
      </c>
      <c r="Z125" s="165">
        <f t="shared" ca="1" si="32"/>
        <v>1.1575417141460647</v>
      </c>
      <c r="AA125" s="152">
        <f t="shared" si="33"/>
        <v>7</v>
      </c>
      <c r="AB125" s="153">
        <f t="shared" si="34"/>
        <v>25112</v>
      </c>
      <c r="AC125" s="155">
        <f t="shared" ca="1" si="35"/>
        <v>5.8993926871548545</v>
      </c>
    </row>
    <row r="126" spans="3:29">
      <c r="C126" s="152" t="str">
        <f>'Monthly Prices'!A114</f>
        <v>1968M11</v>
      </c>
      <c r="D126" s="153">
        <f t="shared" si="24"/>
        <v>25143</v>
      </c>
      <c r="E126" s="152">
        <f t="shared" si="25"/>
        <v>107</v>
      </c>
      <c r="F126" s="152" t="b">
        <f t="shared" si="19"/>
        <v>0</v>
      </c>
      <c r="G126" s="152" t="b">
        <f t="shared" si="20"/>
        <v>1</v>
      </c>
      <c r="H126" s="152" t="b">
        <f t="shared" si="21"/>
        <v>0</v>
      </c>
      <c r="I126" s="153" t="e">
        <f t="shared" si="22"/>
        <v>#N/A</v>
      </c>
      <c r="J126" s="158">
        <f>INDEX('Monthly Prices'!B114:CB114,$G$4)</f>
        <v>49.21</v>
      </c>
      <c r="K126" s="158" t="b">
        <f>IF(H126,INDEX('Monthly Prices'!B114:CB114,$G$4)*U126,FALSE)</f>
        <v>0</v>
      </c>
      <c r="L126" s="152" t="b">
        <f t="shared" si="26"/>
        <v>1</v>
      </c>
      <c r="M126" s="158">
        <f>INDEX('Monthly Prices'!B114:CB114,$G$5)</f>
        <v>25.66779826758</v>
      </c>
      <c r="N126" s="158" t="b">
        <f>IF(H126,INDEX('Monthly Prices'!B114:CB114,$G$5)*U126,FALSE)</f>
        <v>0</v>
      </c>
      <c r="O126" s="152" t="b">
        <f t="shared" si="23"/>
        <v>1</v>
      </c>
      <c r="P126" s="152">
        <f t="shared" si="27"/>
        <v>1968</v>
      </c>
      <c r="Q126" s="159">
        <f>'Monthly Prices'!B114</f>
        <v>1.32</v>
      </c>
      <c r="R126" s="159">
        <f t="shared" si="28"/>
        <v>1.32</v>
      </c>
      <c r="S126" s="155">
        <f>_xlfn.XLOOKUP(P126,'Annual Real'!A:A,'Annual Real'!B:B,0,0)</f>
        <v>6.37212983184543</v>
      </c>
      <c r="T126" s="155">
        <f t="shared" ca="1" si="29"/>
        <v>5.8792012800366793</v>
      </c>
      <c r="U126" s="152">
        <f t="shared" ca="1" si="30"/>
        <v>5.8792012800366793</v>
      </c>
      <c r="V126" s="152" t="b">
        <f t="shared" si="36"/>
        <v>0</v>
      </c>
      <c r="W126" s="152" t="b">
        <f t="shared" si="37"/>
        <v>0</v>
      </c>
      <c r="X126" s="154">
        <f>LOOKUP(D126,'US Implicit Deflator'!A:A,'US Implicit Deflator'!B:B)/100</f>
        <v>4.2000000000000003E-2</v>
      </c>
      <c r="Y126" s="154">
        <f t="shared" si="31"/>
        <v>3.4343792900468628E-3</v>
      </c>
      <c r="Z126" s="165">
        <f t="shared" ca="1" si="32"/>
        <v>1.1615171514364933</v>
      </c>
      <c r="AA126" s="152">
        <f t="shared" si="33"/>
        <v>7</v>
      </c>
      <c r="AB126" s="153">
        <f t="shared" si="34"/>
        <v>25143</v>
      </c>
      <c r="AC126" s="155">
        <f t="shared" ca="1" si="35"/>
        <v>5.8792012800366793</v>
      </c>
    </row>
    <row r="127" spans="3:29">
      <c r="C127" s="152" t="str">
        <f>'Monthly Prices'!A115</f>
        <v>1968M12</v>
      </c>
      <c r="D127" s="153">
        <f t="shared" si="24"/>
        <v>25173</v>
      </c>
      <c r="E127" s="152">
        <f t="shared" si="25"/>
        <v>108</v>
      </c>
      <c r="F127" s="152" t="b">
        <f t="shared" si="19"/>
        <v>0</v>
      </c>
      <c r="G127" s="152" t="b">
        <f t="shared" si="20"/>
        <v>1</v>
      </c>
      <c r="H127" s="152" t="b">
        <f t="shared" si="21"/>
        <v>0</v>
      </c>
      <c r="I127" s="153" t="e">
        <f t="shared" si="22"/>
        <v>#N/A</v>
      </c>
      <c r="J127" s="158">
        <f>INDEX('Monthly Prices'!B115:CB115,$G$4)</f>
        <v>48.42</v>
      </c>
      <c r="K127" s="158" t="b">
        <f>IF(H127,INDEX('Monthly Prices'!B115:CB115,$G$4)*U127,FALSE)</f>
        <v>0</v>
      </c>
      <c r="L127" s="152" t="b">
        <f t="shared" si="26"/>
        <v>1</v>
      </c>
      <c r="M127" s="158">
        <f>INDEX('Monthly Prices'!B115:CB115,$G$5)</f>
        <v>25.56693042645</v>
      </c>
      <c r="N127" s="158" t="b">
        <f>IF(H127,INDEX('Monthly Prices'!B115:CB115,$G$5)*U127,FALSE)</f>
        <v>0</v>
      </c>
      <c r="O127" s="152" t="b">
        <f t="shared" si="23"/>
        <v>1</v>
      </c>
      <c r="P127" s="152">
        <f t="shared" si="27"/>
        <v>1968</v>
      </c>
      <c r="Q127" s="159">
        <f>'Monthly Prices'!B115</f>
        <v>1.32</v>
      </c>
      <c r="R127" s="159">
        <f t="shared" si="28"/>
        <v>1.32</v>
      </c>
      <c r="S127" s="155">
        <f>_xlfn.XLOOKUP(P127,'Annual Real'!A:A,'Annual Real'!B:B,0,0)</f>
        <v>6.37212983184543</v>
      </c>
      <c r="T127" s="155">
        <f t="shared" ca="1" si="29"/>
        <v>5.8590789805272081</v>
      </c>
      <c r="U127" s="152">
        <f t="shared" ca="1" si="30"/>
        <v>5.8590789805272081</v>
      </c>
      <c r="V127" s="152" t="b">
        <f t="shared" si="36"/>
        <v>0</v>
      </c>
      <c r="W127" s="152" t="b">
        <f t="shared" si="37"/>
        <v>0</v>
      </c>
      <c r="X127" s="154">
        <f>LOOKUP(D127,'US Implicit Deflator'!A:A,'US Implicit Deflator'!B:B)/100</f>
        <v>4.2000000000000003E-2</v>
      </c>
      <c r="Y127" s="154">
        <f t="shared" si="31"/>
        <v>3.4343792900468628E-3</v>
      </c>
      <c r="Z127" s="165">
        <f t="shared" ca="1" si="32"/>
        <v>1.165506241886421</v>
      </c>
      <c r="AA127" s="152">
        <f t="shared" si="33"/>
        <v>7</v>
      </c>
      <c r="AB127" s="153">
        <f t="shared" si="34"/>
        <v>25173</v>
      </c>
      <c r="AC127" s="155">
        <f t="shared" ca="1" si="35"/>
        <v>5.8590789805272081</v>
      </c>
    </row>
    <row r="128" spans="3:29">
      <c r="C128" s="152" t="str">
        <f>'Monthly Prices'!A116</f>
        <v>1969M01</v>
      </c>
      <c r="D128" s="153">
        <f t="shared" si="24"/>
        <v>25204</v>
      </c>
      <c r="E128" s="152">
        <f t="shared" si="25"/>
        <v>109</v>
      </c>
      <c r="F128" s="152" t="b">
        <f t="shared" si="19"/>
        <v>0</v>
      </c>
      <c r="G128" s="152" t="b">
        <f t="shared" si="20"/>
        <v>1</v>
      </c>
      <c r="H128" s="152" t="b">
        <f t="shared" si="21"/>
        <v>0</v>
      </c>
      <c r="I128" s="153" t="e">
        <f t="shared" si="22"/>
        <v>#N/A</v>
      </c>
      <c r="J128" s="158">
        <f>INDEX('Monthly Prices'!B116:CB116,$G$4)</f>
        <v>50.39</v>
      </c>
      <c r="K128" s="158" t="b">
        <f>IF(H128,INDEX('Monthly Prices'!B116:CB116,$G$4)*U128,FALSE)</f>
        <v>0</v>
      </c>
      <c r="L128" s="152" t="b">
        <f t="shared" si="26"/>
        <v>1</v>
      </c>
      <c r="M128" s="158">
        <f>INDEX('Monthly Prices'!B116:CB116,$G$5)</f>
        <v>25.964967781759999</v>
      </c>
      <c r="N128" s="158" t="b">
        <f>IF(H128,INDEX('Monthly Prices'!B116:CB116,$G$5)*U128,FALSE)</f>
        <v>0</v>
      </c>
      <c r="O128" s="152" t="b">
        <f t="shared" si="23"/>
        <v>1</v>
      </c>
      <c r="P128" s="152">
        <f t="shared" si="27"/>
        <v>1969</v>
      </c>
      <c r="Q128" s="159">
        <f>'Monthly Prices'!B116</f>
        <v>1.27</v>
      </c>
      <c r="R128" s="159">
        <f t="shared" si="28"/>
        <v>1.2699999999999998</v>
      </c>
      <c r="S128" s="155">
        <f>_xlfn.XLOOKUP(P128,'Annual Real'!A:A,'Annual Real'!B:B,0,0)</f>
        <v>5.8192246787466697</v>
      </c>
      <c r="T128" s="155">
        <f t="shared" ca="1" si="29"/>
        <v>5.8380925765711558</v>
      </c>
      <c r="U128" s="152">
        <f t="shared" ca="1" si="30"/>
        <v>5.8380925765711558</v>
      </c>
      <c r="V128" s="152" t="b">
        <f t="shared" si="36"/>
        <v>0</v>
      </c>
      <c r="W128" s="152" t="b">
        <f t="shared" si="37"/>
        <v>0</v>
      </c>
      <c r="X128" s="154">
        <f>LOOKUP(D128,'US Implicit Deflator'!A:A,'US Implicit Deflator'!B:B)/100</f>
        <v>4.4000000000000004E-2</v>
      </c>
      <c r="Y128" s="154">
        <f t="shared" si="31"/>
        <v>3.5947364110451296E-3</v>
      </c>
      <c r="Z128" s="165">
        <f t="shared" ca="1" si="32"/>
        <v>1.1696959296114304</v>
      </c>
      <c r="AA128" s="152">
        <f t="shared" si="33"/>
        <v>7</v>
      </c>
      <c r="AB128" s="153">
        <f t="shared" si="34"/>
        <v>25204</v>
      </c>
      <c r="AC128" s="155">
        <f t="shared" ca="1" si="35"/>
        <v>5.8380925765711558</v>
      </c>
    </row>
    <row r="129" spans="3:29">
      <c r="C129" s="152" t="str">
        <f>'Monthly Prices'!A117</f>
        <v>1969M02</v>
      </c>
      <c r="D129" s="153">
        <f t="shared" si="24"/>
        <v>25235</v>
      </c>
      <c r="E129" s="152">
        <f t="shared" si="25"/>
        <v>110</v>
      </c>
      <c r="F129" s="152" t="b">
        <f t="shared" si="19"/>
        <v>0</v>
      </c>
      <c r="G129" s="152" t="b">
        <f t="shared" si="20"/>
        <v>1</v>
      </c>
      <c r="H129" s="152" t="b">
        <f t="shared" si="21"/>
        <v>0</v>
      </c>
      <c r="I129" s="153" t="e">
        <f t="shared" si="22"/>
        <v>#N/A</v>
      </c>
      <c r="J129" s="158">
        <f>INDEX('Monthly Prices'!B117:CB117,$G$4)</f>
        <v>50.39</v>
      </c>
      <c r="K129" s="158" t="b">
        <f>IF(H129,INDEX('Monthly Prices'!B117:CB117,$G$4)*U129,FALSE)</f>
        <v>0</v>
      </c>
      <c r="L129" s="152" t="b">
        <f t="shared" si="26"/>
        <v>1</v>
      </c>
      <c r="M129" s="158">
        <f>INDEX('Monthly Prices'!B117:CB117,$G$5)</f>
        <v>25.93808894104</v>
      </c>
      <c r="N129" s="158" t="b">
        <f>IF(H129,INDEX('Monthly Prices'!B117:CB117,$G$5)*U129,FALSE)</f>
        <v>0</v>
      </c>
      <c r="O129" s="152" t="b">
        <f t="shared" si="23"/>
        <v>1</v>
      </c>
      <c r="P129" s="152">
        <f t="shared" si="27"/>
        <v>1969</v>
      </c>
      <c r="Q129" s="159">
        <f>'Monthly Prices'!B117</f>
        <v>1.27</v>
      </c>
      <c r="R129" s="159">
        <f t="shared" si="28"/>
        <v>1.2699999999999998</v>
      </c>
      <c r="S129" s="155">
        <f>_xlfn.XLOOKUP(P129,'Annual Real'!A:A,'Annual Real'!B:B,0,0)</f>
        <v>5.8192246787466697</v>
      </c>
      <c r="T129" s="155">
        <f t="shared" ca="1" si="29"/>
        <v>5.8171813429878654</v>
      </c>
      <c r="U129" s="152">
        <f t="shared" ca="1" si="30"/>
        <v>5.8171813429878654</v>
      </c>
      <c r="V129" s="152" t="b">
        <f t="shared" si="36"/>
        <v>0</v>
      </c>
      <c r="W129" s="152" t="b">
        <f t="shared" si="37"/>
        <v>0</v>
      </c>
      <c r="X129" s="154">
        <f>LOOKUP(D129,'US Implicit Deflator'!A:A,'US Implicit Deflator'!B:B)/100</f>
        <v>4.4000000000000004E-2</v>
      </c>
      <c r="Y129" s="154">
        <f t="shared" si="31"/>
        <v>3.5947364110451296E-3</v>
      </c>
      <c r="Z129" s="165">
        <f t="shared" ca="1" si="32"/>
        <v>1.1739006781594559</v>
      </c>
      <c r="AA129" s="152">
        <f t="shared" si="33"/>
        <v>7</v>
      </c>
      <c r="AB129" s="153">
        <f t="shared" si="34"/>
        <v>25235</v>
      </c>
      <c r="AC129" s="155">
        <f t="shared" ca="1" si="35"/>
        <v>5.8171813429878654</v>
      </c>
    </row>
    <row r="130" spans="3:29">
      <c r="C130" s="152" t="str">
        <f>'Monthly Prices'!A118</f>
        <v>1969M03</v>
      </c>
      <c r="D130" s="153">
        <f t="shared" si="24"/>
        <v>25263</v>
      </c>
      <c r="E130" s="152">
        <f t="shared" si="25"/>
        <v>111</v>
      </c>
      <c r="F130" s="152" t="b">
        <f t="shared" si="19"/>
        <v>0</v>
      </c>
      <c r="G130" s="152" t="b">
        <f t="shared" si="20"/>
        <v>1</v>
      </c>
      <c r="H130" s="152" t="b">
        <f t="shared" si="21"/>
        <v>0</v>
      </c>
      <c r="I130" s="153" t="e">
        <f t="shared" si="22"/>
        <v>#N/A</v>
      </c>
      <c r="J130" s="158">
        <f>INDEX('Monthly Prices'!B118:CB118,$G$4)</f>
        <v>50.39</v>
      </c>
      <c r="K130" s="158" t="b">
        <f>IF(H130,INDEX('Monthly Prices'!B118:CB118,$G$4)*U130,FALSE)</f>
        <v>0</v>
      </c>
      <c r="L130" s="152" t="b">
        <f t="shared" si="26"/>
        <v>1</v>
      </c>
      <c r="M130" s="158">
        <f>INDEX('Monthly Prices'!B118:CB118,$G$5)</f>
        <v>25.84218776746</v>
      </c>
      <c r="N130" s="158" t="b">
        <f>IF(H130,INDEX('Monthly Prices'!B118:CB118,$G$5)*U130,FALSE)</f>
        <v>0</v>
      </c>
      <c r="O130" s="152" t="b">
        <f t="shared" si="23"/>
        <v>1</v>
      </c>
      <c r="P130" s="152">
        <f t="shared" si="27"/>
        <v>1969</v>
      </c>
      <c r="Q130" s="159">
        <f>'Monthly Prices'!B118</f>
        <v>1.27</v>
      </c>
      <c r="R130" s="159">
        <f t="shared" si="28"/>
        <v>1.2699999999999998</v>
      </c>
      <c r="S130" s="155">
        <f>_xlfn.XLOOKUP(P130,'Annual Real'!A:A,'Annual Real'!B:B,0,0)</f>
        <v>5.8192246787466697</v>
      </c>
      <c r="T130" s="155">
        <f t="shared" ca="1" si="29"/>
        <v>5.7963450105275411</v>
      </c>
      <c r="U130" s="152">
        <f t="shared" ca="1" si="30"/>
        <v>5.7963450105275411</v>
      </c>
      <c r="V130" s="152" t="b">
        <f t="shared" si="36"/>
        <v>0</v>
      </c>
      <c r="W130" s="152" t="b">
        <f t="shared" si="37"/>
        <v>0</v>
      </c>
      <c r="X130" s="154">
        <f>LOOKUP(D130,'US Implicit Deflator'!A:A,'US Implicit Deflator'!B:B)/100</f>
        <v>4.4000000000000004E-2</v>
      </c>
      <c r="Y130" s="154">
        <f t="shared" si="31"/>
        <v>3.5947364110451296E-3</v>
      </c>
      <c r="Z130" s="165">
        <f t="shared" ca="1" si="32"/>
        <v>1.1781205416701863</v>
      </c>
      <c r="AA130" s="152">
        <f t="shared" si="33"/>
        <v>7</v>
      </c>
      <c r="AB130" s="153">
        <f t="shared" si="34"/>
        <v>25263</v>
      </c>
      <c r="AC130" s="155">
        <f t="shared" ca="1" si="35"/>
        <v>5.7963450105275411</v>
      </c>
    </row>
    <row r="131" spans="3:29">
      <c r="C131" s="152" t="str">
        <f>'Monthly Prices'!A119</f>
        <v>1969M04</v>
      </c>
      <c r="D131" s="153">
        <f t="shared" si="24"/>
        <v>25294</v>
      </c>
      <c r="E131" s="152">
        <f t="shared" si="25"/>
        <v>112</v>
      </c>
      <c r="F131" s="152" t="b">
        <f t="shared" si="19"/>
        <v>0</v>
      </c>
      <c r="G131" s="152" t="b">
        <f t="shared" si="20"/>
        <v>1</v>
      </c>
      <c r="H131" s="152" t="b">
        <f t="shared" si="21"/>
        <v>0</v>
      </c>
      <c r="I131" s="153" t="e">
        <f t="shared" si="22"/>
        <v>#N/A</v>
      </c>
      <c r="J131" s="158">
        <f>INDEX('Monthly Prices'!B119:CB119,$G$4)</f>
        <v>51.57</v>
      </c>
      <c r="K131" s="158" t="b">
        <f>IF(H131,INDEX('Monthly Prices'!B119:CB119,$G$4)*U131,FALSE)</f>
        <v>0</v>
      </c>
      <c r="L131" s="152" t="b">
        <f t="shared" si="26"/>
        <v>1</v>
      </c>
      <c r="M131" s="158">
        <f>INDEX('Monthly Prices'!B119:CB119,$G$5)</f>
        <v>26.0931028205</v>
      </c>
      <c r="N131" s="158" t="b">
        <f>IF(H131,INDEX('Monthly Prices'!B119:CB119,$G$5)*U131,FALSE)</f>
        <v>0</v>
      </c>
      <c r="O131" s="152" t="b">
        <f t="shared" si="23"/>
        <v>1</v>
      </c>
      <c r="P131" s="152">
        <f t="shared" si="27"/>
        <v>1969</v>
      </c>
      <c r="Q131" s="159">
        <f>'Monthly Prices'!B119</f>
        <v>1.27</v>
      </c>
      <c r="R131" s="159">
        <f t="shared" si="28"/>
        <v>1.2699999999999998</v>
      </c>
      <c r="S131" s="155">
        <f>_xlfn.XLOOKUP(P131,'Annual Real'!A:A,'Annual Real'!B:B,0,0)</f>
        <v>5.8192246787466697</v>
      </c>
      <c r="T131" s="155">
        <f t="shared" ca="1" si="29"/>
        <v>5.7755833109048069</v>
      </c>
      <c r="U131" s="152">
        <f t="shared" ca="1" si="30"/>
        <v>5.7755833109048069</v>
      </c>
      <c r="V131" s="152" t="b">
        <f t="shared" si="36"/>
        <v>0</v>
      </c>
      <c r="W131" s="152" t="b">
        <f t="shared" si="37"/>
        <v>0</v>
      </c>
      <c r="X131" s="154">
        <f>LOOKUP(D131,'US Implicit Deflator'!A:A,'US Implicit Deflator'!B:B)/100</f>
        <v>4.4000000000000004E-2</v>
      </c>
      <c r="Y131" s="154">
        <f t="shared" si="31"/>
        <v>3.5947364110451296E-3</v>
      </c>
      <c r="Z131" s="165">
        <f t="shared" ca="1" si="32"/>
        <v>1.1823555744779284</v>
      </c>
      <c r="AA131" s="152">
        <f t="shared" si="33"/>
        <v>7</v>
      </c>
      <c r="AB131" s="153">
        <f t="shared" si="34"/>
        <v>25294</v>
      </c>
      <c r="AC131" s="155">
        <f t="shared" ca="1" si="35"/>
        <v>5.7755833109048069</v>
      </c>
    </row>
    <row r="132" spans="3:29">
      <c r="C132" s="152" t="str">
        <f>'Monthly Prices'!A120</f>
        <v>1969M05</v>
      </c>
      <c r="D132" s="153">
        <f t="shared" si="24"/>
        <v>25324</v>
      </c>
      <c r="E132" s="152">
        <f t="shared" si="25"/>
        <v>113</v>
      </c>
      <c r="F132" s="152" t="b">
        <f t="shared" si="19"/>
        <v>0</v>
      </c>
      <c r="G132" s="152" t="b">
        <f t="shared" si="20"/>
        <v>1</v>
      </c>
      <c r="H132" s="152" t="b">
        <f t="shared" si="21"/>
        <v>0</v>
      </c>
      <c r="I132" s="153" t="e">
        <f t="shared" si="22"/>
        <v>#N/A</v>
      </c>
      <c r="J132" s="158">
        <f>INDEX('Monthly Prices'!B120:CB120,$G$4)</f>
        <v>54.33</v>
      </c>
      <c r="K132" s="158" t="b">
        <f>IF(H132,INDEX('Monthly Prices'!B120:CB120,$G$4)*U132,FALSE)</f>
        <v>0</v>
      </c>
      <c r="L132" s="152" t="b">
        <f t="shared" si="26"/>
        <v>1</v>
      </c>
      <c r="M132" s="158">
        <f>INDEX('Monthly Prices'!B120:CB120,$G$5)</f>
        <v>26.61187885367</v>
      </c>
      <c r="N132" s="158" t="b">
        <f>IF(H132,INDEX('Monthly Prices'!B120:CB120,$G$5)*U132,FALSE)</f>
        <v>0</v>
      </c>
      <c r="O132" s="152" t="b">
        <f t="shared" si="23"/>
        <v>1</v>
      </c>
      <c r="P132" s="152">
        <f t="shared" si="27"/>
        <v>1969</v>
      </c>
      <c r="Q132" s="159">
        <f>'Monthly Prices'!B120</f>
        <v>1.27</v>
      </c>
      <c r="R132" s="159">
        <f t="shared" si="28"/>
        <v>1.2699999999999998</v>
      </c>
      <c r="S132" s="155">
        <f>_xlfn.XLOOKUP(P132,'Annual Real'!A:A,'Annual Real'!B:B,0,0)</f>
        <v>5.8192246787466697</v>
      </c>
      <c r="T132" s="155">
        <f t="shared" ca="1" si="29"/>
        <v>5.7548959767952441</v>
      </c>
      <c r="U132" s="152">
        <f t="shared" ca="1" si="30"/>
        <v>5.7548959767952441</v>
      </c>
      <c r="V132" s="152" t="b">
        <f t="shared" si="36"/>
        <v>0</v>
      </c>
      <c r="W132" s="152" t="b">
        <f t="shared" si="37"/>
        <v>0</v>
      </c>
      <c r="X132" s="154">
        <f>LOOKUP(D132,'US Implicit Deflator'!A:A,'US Implicit Deflator'!B:B)/100</f>
        <v>4.4000000000000004E-2</v>
      </c>
      <c r="Y132" s="154">
        <f t="shared" si="31"/>
        <v>3.5947364110451296E-3</v>
      </c>
      <c r="Z132" s="165">
        <f t="shared" ca="1" si="32"/>
        <v>1.1866058311123064</v>
      </c>
      <c r="AA132" s="152">
        <f t="shared" si="33"/>
        <v>7</v>
      </c>
      <c r="AB132" s="153">
        <f t="shared" si="34"/>
        <v>25324</v>
      </c>
      <c r="AC132" s="155">
        <f t="shared" ca="1" si="35"/>
        <v>5.7548959767952441</v>
      </c>
    </row>
    <row r="133" spans="3:29">
      <c r="C133" s="152" t="str">
        <f>'Monthly Prices'!A121</f>
        <v>1969M06</v>
      </c>
      <c r="D133" s="153">
        <f t="shared" si="24"/>
        <v>25355</v>
      </c>
      <c r="E133" s="152">
        <f t="shared" si="25"/>
        <v>114</v>
      </c>
      <c r="F133" s="152" t="b">
        <f t="shared" si="19"/>
        <v>0</v>
      </c>
      <c r="G133" s="152" t="b">
        <f t="shared" si="20"/>
        <v>1</v>
      </c>
      <c r="H133" s="152" t="b">
        <f t="shared" si="21"/>
        <v>0</v>
      </c>
      <c r="I133" s="153" t="e">
        <f t="shared" si="22"/>
        <v>#N/A</v>
      </c>
      <c r="J133" s="158">
        <f>INDEX('Monthly Prices'!B121:CB121,$G$4)</f>
        <v>54.33</v>
      </c>
      <c r="K133" s="158" t="b">
        <f>IF(H133,INDEX('Monthly Prices'!B121:CB121,$G$4)*U133,FALSE)</f>
        <v>0</v>
      </c>
      <c r="L133" s="152" t="b">
        <f t="shared" si="26"/>
        <v>1</v>
      </c>
      <c r="M133" s="158">
        <f>INDEX('Monthly Prices'!B121:CB121,$G$5)</f>
        <v>26.583057777699999</v>
      </c>
      <c r="N133" s="158" t="b">
        <f>IF(H133,INDEX('Monthly Prices'!B121:CB121,$G$5)*U133,FALSE)</f>
        <v>0</v>
      </c>
      <c r="O133" s="152" t="b">
        <f t="shared" si="23"/>
        <v>1</v>
      </c>
      <c r="P133" s="152">
        <f t="shared" si="27"/>
        <v>1969</v>
      </c>
      <c r="Q133" s="159">
        <f>'Monthly Prices'!B121</f>
        <v>1.27</v>
      </c>
      <c r="R133" s="159">
        <f t="shared" si="28"/>
        <v>1.2699999999999998</v>
      </c>
      <c r="S133" s="155">
        <f>_xlfn.XLOOKUP(P133,'Annual Real'!A:A,'Annual Real'!B:B,0,0)</f>
        <v>5.8192246787466697</v>
      </c>
      <c r="T133" s="155">
        <f t="shared" ca="1" si="29"/>
        <v>5.7342827418319526</v>
      </c>
      <c r="U133" s="152">
        <f t="shared" ca="1" si="30"/>
        <v>5.7342827418319526</v>
      </c>
      <c r="V133" s="152" t="b">
        <f t="shared" si="36"/>
        <v>0</v>
      </c>
      <c r="W133" s="152" t="b">
        <f t="shared" si="37"/>
        <v>0</v>
      </c>
      <c r="X133" s="154">
        <f>LOOKUP(D133,'US Implicit Deflator'!A:A,'US Implicit Deflator'!B:B)/100</f>
        <v>4.4000000000000004E-2</v>
      </c>
      <c r="Y133" s="154">
        <f t="shared" si="31"/>
        <v>3.5947364110451296E-3</v>
      </c>
      <c r="Z133" s="165">
        <f t="shared" ca="1" si="32"/>
        <v>1.1908713662989643</v>
      </c>
      <c r="AA133" s="152">
        <f t="shared" si="33"/>
        <v>7</v>
      </c>
      <c r="AB133" s="153">
        <f t="shared" si="34"/>
        <v>25355</v>
      </c>
      <c r="AC133" s="155">
        <f t="shared" ca="1" si="35"/>
        <v>5.7342827418319526</v>
      </c>
    </row>
    <row r="134" spans="3:29">
      <c r="C134" s="152" t="str">
        <f>'Monthly Prices'!A122</f>
        <v>1969M07</v>
      </c>
      <c r="D134" s="153">
        <f t="shared" si="24"/>
        <v>25385</v>
      </c>
      <c r="E134" s="152">
        <f t="shared" si="25"/>
        <v>115</v>
      </c>
      <c r="F134" s="152" t="b">
        <f t="shared" si="19"/>
        <v>0</v>
      </c>
      <c r="G134" s="152" t="b">
        <f t="shared" si="20"/>
        <v>1</v>
      </c>
      <c r="H134" s="152" t="b">
        <f t="shared" si="21"/>
        <v>0</v>
      </c>
      <c r="I134" s="153" t="e">
        <f t="shared" si="22"/>
        <v>#N/A</v>
      </c>
      <c r="J134" s="158">
        <f>INDEX('Monthly Prices'!B122:CB122,$G$4)</f>
        <v>53.93</v>
      </c>
      <c r="K134" s="158" t="b">
        <f>IF(H134,INDEX('Monthly Prices'!B122:CB122,$G$4)*U134,FALSE)</f>
        <v>0</v>
      </c>
      <c r="L134" s="152" t="b">
        <f t="shared" si="26"/>
        <v>1</v>
      </c>
      <c r="M134" s="158">
        <f>INDEX('Monthly Prices'!B122:CB122,$G$5)</f>
        <v>26.26711375995</v>
      </c>
      <c r="N134" s="158" t="b">
        <f>IF(H134,INDEX('Monthly Prices'!B122:CB122,$G$5)*U134,FALSE)</f>
        <v>0</v>
      </c>
      <c r="O134" s="152" t="b">
        <f t="shared" si="23"/>
        <v>1</v>
      </c>
      <c r="P134" s="152">
        <f t="shared" si="27"/>
        <v>1969</v>
      </c>
      <c r="Q134" s="159">
        <f>'Monthly Prices'!B122</f>
        <v>1.27</v>
      </c>
      <c r="R134" s="159">
        <f t="shared" si="28"/>
        <v>1.2699999999999998</v>
      </c>
      <c r="S134" s="155">
        <f>_xlfn.XLOOKUP(P134,'Annual Real'!A:A,'Annual Real'!B:B,0,0)</f>
        <v>5.8192246787466697</v>
      </c>
      <c r="T134" s="155">
        <f t="shared" ca="1" si="29"/>
        <v>5.7119228052335851</v>
      </c>
      <c r="U134" s="152">
        <f t="shared" ca="1" si="30"/>
        <v>5.7119228052335851</v>
      </c>
      <c r="V134" s="152" t="b">
        <f t="shared" si="36"/>
        <v>0</v>
      </c>
      <c r="W134" s="152" t="b">
        <f t="shared" si="37"/>
        <v>0</v>
      </c>
      <c r="X134" s="154">
        <f>LOOKUP(D134,'US Implicit Deflator'!A:A,'US Implicit Deflator'!B:B)/100</f>
        <v>4.8000000000000001E-2</v>
      </c>
      <c r="Y134" s="154">
        <f t="shared" si="31"/>
        <v>3.914607630530309E-3</v>
      </c>
      <c r="Z134" s="165">
        <f t="shared" ca="1" si="32"/>
        <v>1.1955331604364583</v>
      </c>
      <c r="AA134" s="152">
        <f t="shared" si="33"/>
        <v>7</v>
      </c>
      <c r="AB134" s="153">
        <f t="shared" si="34"/>
        <v>25385</v>
      </c>
      <c r="AC134" s="155">
        <f t="shared" ca="1" si="35"/>
        <v>5.7119228052335851</v>
      </c>
    </row>
    <row r="135" spans="3:29">
      <c r="C135" s="152" t="str">
        <f>'Monthly Prices'!A123</f>
        <v>1969M08</v>
      </c>
      <c r="D135" s="153">
        <f t="shared" si="24"/>
        <v>25416</v>
      </c>
      <c r="E135" s="152">
        <f t="shared" si="25"/>
        <v>116</v>
      </c>
      <c r="F135" s="152" t="b">
        <f t="shared" si="19"/>
        <v>0</v>
      </c>
      <c r="G135" s="152" t="b">
        <f t="shared" si="20"/>
        <v>1</v>
      </c>
      <c r="H135" s="152" t="b">
        <f t="shared" si="21"/>
        <v>0</v>
      </c>
      <c r="I135" s="153" t="e">
        <f t="shared" si="22"/>
        <v>#N/A</v>
      </c>
      <c r="J135" s="158">
        <f>INDEX('Monthly Prices'!B123:CB123,$G$4)</f>
        <v>53.54</v>
      </c>
      <c r="K135" s="158" t="b">
        <f>IF(H135,INDEX('Monthly Prices'!B123:CB123,$G$4)*U135,FALSE)</f>
        <v>0</v>
      </c>
      <c r="L135" s="152" t="b">
        <f t="shared" si="26"/>
        <v>1</v>
      </c>
      <c r="M135" s="158">
        <f>INDEX('Monthly Prices'!B123:CB123,$G$5)</f>
        <v>25.422180310440002</v>
      </c>
      <c r="N135" s="158" t="b">
        <f>IF(H135,INDEX('Monthly Prices'!B123:CB123,$G$5)*U135,FALSE)</f>
        <v>0</v>
      </c>
      <c r="O135" s="152" t="b">
        <f t="shared" si="23"/>
        <v>1</v>
      </c>
      <c r="P135" s="152">
        <f t="shared" si="27"/>
        <v>1969</v>
      </c>
      <c r="Q135" s="159">
        <f>'Monthly Prices'!B123</f>
        <v>1.27</v>
      </c>
      <c r="R135" s="159">
        <f t="shared" si="28"/>
        <v>1.2699999999999998</v>
      </c>
      <c r="S135" s="155">
        <f>_xlfn.XLOOKUP(P135,'Annual Real'!A:A,'Annual Real'!B:B,0,0)</f>
        <v>5.8192246787466697</v>
      </c>
      <c r="T135" s="155">
        <f t="shared" ca="1" si="29"/>
        <v>5.6896500577026554</v>
      </c>
      <c r="U135" s="152">
        <f t="shared" ca="1" si="30"/>
        <v>5.6896500577026554</v>
      </c>
      <c r="V135" s="152" t="b">
        <f t="shared" si="36"/>
        <v>0</v>
      </c>
      <c r="W135" s="152" t="b">
        <f t="shared" si="37"/>
        <v>0</v>
      </c>
      <c r="X135" s="154">
        <f>LOOKUP(D135,'US Implicit Deflator'!A:A,'US Implicit Deflator'!B:B)/100</f>
        <v>4.8000000000000001E-2</v>
      </c>
      <c r="Y135" s="154">
        <f t="shared" si="31"/>
        <v>3.914607630530309E-3</v>
      </c>
      <c r="Z135" s="165">
        <f t="shared" ca="1" si="32"/>
        <v>1.2002132036688549</v>
      </c>
      <c r="AA135" s="152">
        <f t="shared" si="33"/>
        <v>7</v>
      </c>
      <c r="AB135" s="153">
        <f t="shared" si="34"/>
        <v>25416</v>
      </c>
      <c r="AC135" s="155">
        <f t="shared" ca="1" si="35"/>
        <v>5.6896500577026554</v>
      </c>
    </row>
    <row r="136" spans="3:29">
      <c r="C136" s="152" t="str">
        <f>'Monthly Prices'!A124</f>
        <v>1969M09</v>
      </c>
      <c r="D136" s="153">
        <f t="shared" si="24"/>
        <v>25447</v>
      </c>
      <c r="E136" s="152">
        <f t="shared" si="25"/>
        <v>117</v>
      </c>
      <c r="F136" s="152" t="b">
        <f t="shared" si="19"/>
        <v>0</v>
      </c>
      <c r="G136" s="152" t="b">
        <f t="shared" si="20"/>
        <v>1</v>
      </c>
      <c r="H136" s="152" t="b">
        <f t="shared" si="21"/>
        <v>0</v>
      </c>
      <c r="I136" s="153" t="e">
        <f t="shared" si="22"/>
        <v>#N/A</v>
      </c>
      <c r="J136" s="158">
        <f>INDEX('Monthly Prices'!B124:CB124,$G$4)</f>
        <v>51.18</v>
      </c>
      <c r="K136" s="158" t="b">
        <f>IF(H136,INDEX('Monthly Prices'!B124:CB124,$G$4)*U136,FALSE)</f>
        <v>0</v>
      </c>
      <c r="L136" s="152" t="b">
        <f t="shared" si="26"/>
        <v>1</v>
      </c>
      <c r="M136" s="158">
        <f>INDEX('Monthly Prices'!B124:CB124,$G$5)</f>
        <v>24.537951386700001</v>
      </c>
      <c r="N136" s="158" t="b">
        <f>IF(H136,INDEX('Monthly Prices'!B124:CB124,$G$5)*U136,FALSE)</f>
        <v>0</v>
      </c>
      <c r="O136" s="152" t="b">
        <f t="shared" si="23"/>
        <v>1</v>
      </c>
      <c r="P136" s="152">
        <f t="shared" si="27"/>
        <v>1969</v>
      </c>
      <c r="Q136" s="159">
        <f>'Monthly Prices'!B124</f>
        <v>1.27</v>
      </c>
      <c r="R136" s="159">
        <f t="shared" si="28"/>
        <v>1.2699999999999998</v>
      </c>
      <c r="S136" s="155">
        <f>_xlfn.XLOOKUP(P136,'Annual Real'!A:A,'Annual Real'!B:B,0,0)</f>
        <v>5.8192246787466697</v>
      </c>
      <c r="T136" s="155">
        <f t="shared" ca="1" si="29"/>
        <v>5.6674641592590635</v>
      </c>
      <c r="U136" s="152">
        <f t="shared" ca="1" si="30"/>
        <v>5.6674641592590635</v>
      </c>
      <c r="V136" s="152" t="b">
        <f t="shared" si="36"/>
        <v>0</v>
      </c>
      <c r="W136" s="152" t="b">
        <f t="shared" si="37"/>
        <v>0</v>
      </c>
      <c r="X136" s="154">
        <f>LOOKUP(D136,'US Implicit Deflator'!A:A,'US Implicit Deflator'!B:B)/100</f>
        <v>4.8000000000000001E-2</v>
      </c>
      <c r="Y136" s="154">
        <f t="shared" si="31"/>
        <v>3.914607630530309E-3</v>
      </c>
      <c r="Z136" s="165">
        <f t="shared" ca="1" si="32"/>
        <v>1.2049115674342001</v>
      </c>
      <c r="AA136" s="152">
        <f t="shared" si="33"/>
        <v>7</v>
      </c>
      <c r="AB136" s="153">
        <f t="shared" si="34"/>
        <v>25447</v>
      </c>
      <c r="AC136" s="155">
        <f t="shared" ca="1" si="35"/>
        <v>5.6674641592590635</v>
      </c>
    </row>
    <row r="137" spans="3:29">
      <c r="C137" s="152" t="str">
        <f>'Monthly Prices'!A125</f>
        <v>1969M10</v>
      </c>
      <c r="D137" s="153">
        <f t="shared" si="24"/>
        <v>25477</v>
      </c>
      <c r="E137" s="152">
        <f t="shared" si="25"/>
        <v>118</v>
      </c>
      <c r="F137" s="152" t="b">
        <f t="shared" si="19"/>
        <v>0</v>
      </c>
      <c r="G137" s="152" t="b">
        <f t="shared" si="20"/>
        <v>1</v>
      </c>
      <c r="H137" s="152" t="b">
        <f t="shared" si="21"/>
        <v>0</v>
      </c>
      <c r="I137" s="153" t="e">
        <f t="shared" si="22"/>
        <v>#N/A</v>
      </c>
      <c r="J137" s="158">
        <f>INDEX('Monthly Prices'!B125:CB125,$G$4)</f>
        <v>51.87</v>
      </c>
      <c r="K137" s="158" t="b">
        <f>IF(H137,INDEX('Monthly Prices'!B125:CB125,$G$4)*U137,FALSE)</f>
        <v>0</v>
      </c>
      <c r="L137" s="152" t="b">
        <f t="shared" si="26"/>
        <v>1</v>
      </c>
      <c r="M137" s="158">
        <f>INDEX('Monthly Prices'!B125:CB125,$G$5)</f>
        <v>24.379960128099999</v>
      </c>
      <c r="N137" s="158" t="b">
        <f>IF(H137,INDEX('Monthly Prices'!B125:CB125,$G$5)*U137,FALSE)</f>
        <v>0</v>
      </c>
      <c r="O137" s="152" t="b">
        <f t="shared" si="23"/>
        <v>1</v>
      </c>
      <c r="P137" s="152">
        <f t="shared" si="27"/>
        <v>1969</v>
      </c>
      <c r="Q137" s="159">
        <f>'Monthly Prices'!B125</f>
        <v>1.27</v>
      </c>
      <c r="R137" s="159">
        <f t="shared" si="28"/>
        <v>1.2699999999999998</v>
      </c>
      <c r="S137" s="155">
        <f>_xlfn.XLOOKUP(P137,'Annual Real'!A:A,'Annual Real'!B:B,0,0)</f>
        <v>5.8192246787466697</v>
      </c>
      <c r="T137" s="155">
        <f t="shared" ca="1" si="29"/>
        <v>5.6471640928752578</v>
      </c>
      <c r="U137" s="152">
        <f t="shared" ca="1" si="30"/>
        <v>5.6471640928752578</v>
      </c>
      <c r="V137" s="152" t="b">
        <f t="shared" si="36"/>
        <v>0</v>
      </c>
      <c r="W137" s="152" t="b">
        <f t="shared" si="37"/>
        <v>0</v>
      </c>
      <c r="X137" s="154">
        <f>LOOKUP(D137,'US Implicit Deflator'!A:A,'US Implicit Deflator'!B:B)/100</f>
        <v>4.4000000000000004E-2</v>
      </c>
      <c r="Y137" s="154">
        <f t="shared" si="31"/>
        <v>3.5947364110451296E-3</v>
      </c>
      <c r="Z137" s="165">
        <f t="shared" ca="1" si="32"/>
        <v>1.2092429069177453</v>
      </c>
      <c r="AA137" s="152">
        <f t="shared" si="33"/>
        <v>7</v>
      </c>
      <c r="AB137" s="153">
        <f t="shared" si="34"/>
        <v>25477</v>
      </c>
      <c r="AC137" s="155">
        <f t="shared" ca="1" si="35"/>
        <v>5.6471640928752578</v>
      </c>
    </row>
    <row r="138" spans="3:29">
      <c r="C138" s="152" t="str">
        <f>'Monthly Prices'!A126</f>
        <v>1969M11</v>
      </c>
      <c r="D138" s="153">
        <f t="shared" si="24"/>
        <v>25508</v>
      </c>
      <c r="E138" s="152">
        <f t="shared" si="25"/>
        <v>119</v>
      </c>
      <c r="F138" s="152" t="b">
        <f t="shared" si="19"/>
        <v>0</v>
      </c>
      <c r="G138" s="152" t="b">
        <f t="shared" si="20"/>
        <v>1</v>
      </c>
      <c r="H138" s="152" t="b">
        <f t="shared" si="21"/>
        <v>0</v>
      </c>
      <c r="I138" s="153" t="e">
        <f t="shared" si="22"/>
        <v>#N/A</v>
      </c>
      <c r="J138" s="158">
        <f>INDEX('Monthly Prices'!B126:CB126,$G$4)</f>
        <v>53.16</v>
      </c>
      <c r="K138" s="158" t="b">
        <f>IF(H138,INDEX('Monthly Prices'!B126:CB126,$G$4)*U138,FALSE)</f>
        <v>0</v>
      </c>
      <c r="L138" s="152" t="b">
        <f t="shared" si="26"/>
        <v>1</v>
      </c>
      <c r="M138" s="158">
        <f>INDEX('Monthly Prices'!B126:CB126,$G$5)</f>
        <v>24.628753134709999</v>
      </c>
      <c r="N138" s="158" t="b">
        <f>IF(H138,INDEX('Monthly Prices'!B126:CB126,$G$5)*U138,FALSE)</f>
        <v>0</v>
      </c>
      <c r="O138" s="152" t="b">
        <f t="shared" si="23"/>
        <v>1</v>
      </c>
      <c r="P138" s="152">
        <f t="shared" si="27"/>
        <v>1969</v>
      </c>
      <c r="Q138" s="159">
        <f>'Monthly Prices'!B126</f>
        <v>1.27</v>
      </c>
      <c r="R138" s="159">
        <f t="shared" si="28"/>
        <v>1.2699999999999998</v>
      </c>
      <c r="S138" s="155">
        <f>_xlfn.XLOOKUP(P138,'Annual Real'!A:A,'Annual Real'!B:B,0,0)</f>
        <v>5.8192246787466697</v>
      </c>
      <c r="T138" s="155">
        <f t="shared" ca="1" si="29"/>
        <v>5.6269367384987294</v>
      </c>
      <c r="U138" s="152">
        <f t="shared" ca="1" si="30"/>
        <v>5.6269367384987294</v>
      </c>
      <c r="V138" s="152" t="b">
        <f t="shared" si="36"/>
        <v>0</v>
      </c>
      <c r="W138" s="152" t="b">
        <f t="shared" si="37"/>
        <v>0</v>
      </c>
      <c r="X138" s="154">
        <f>LOOKUP(D138,'US Implicit Deflator'!A:A,'US Implicit Deflator'!B:B)/100</f>
        <v>4.4000000000000004E-2</v>
      </c>
      <c r="Y138" s="154">
        <f t="shared" si="31"/>
        <v>3.5947364110451296E-3</v>
      </c>
      <c r="Z138" s="165">
        <f t="shared" ca="1" si="32"/>
        <v>1.2135898164250405</v>
      </c>
      <c r="AA138" s="152">
        <f t="shared" si="33"/>
        <v>7</v>
      </c>
      <c r="AB138" s="153">
        <f t="shared" si="34"/>
        <v>25508</v>
      </c>
      <c r="AC138" s="155">
        <f t="shared" ca="1" si="35"/>
        <v>5.6269367384987294</v>
      </c>
    </row>
    <row r="139" spans="3:29">
      <c r="C139" s="152" t="str">
        <f>'Monthly Prices'!A127</f>
        <v>1969M12</v>
      </c>
      <c r="D139" s="153">
        <f t="shared" si="24"/>
        <v>25538</v>
      </c>
      <c r="E139" s="152">
        <f t="shared" si="25"/>
        <v>120</v>
      </c>
      <c r="F139" s="152" t="b">
        <f t="shared" si="19"/>
        <v>0</v>
      </c>
      <c r="G139" s="152" t="b">
        <f t="shared" si="20"/>
        <v>1</v>
      </c>
      <c r="H139" s="152" t="b">
        <f t="shared" si="21"/>
        <v>0</v>
      </c>
      <c r="I139" s="153" t="e">
        <f t="shared" si="22"/>
        <v>#N/A</v>
      </c>
      <c r="J139" s="158">
        <f>INDEX('Monthly Prices'!B127:CB127,$G$4)</f>
        <v>52.36</v>
      </c>
      <c r="K139" s="158" t="b">
        <f>IF(H139,INDEX('Monthly Prices'!B127:CB127,$G$4)*U139,FALSE)</f>
        <v>0</v>
      </c>
      <c r="L139" s="152" t="b">
        <f t="shared" si="26"/>
        <v>1</v>
      </c>
      <c r="M139" s="158">
        <f>INDEX('Monthly Prices'!B127:CB127,$G$5)</f>
        <v>24.540627623150002</v>
      </c>
      <c r="N139" s="158" t="b">
        <f>IF(H139,INDEX('Monthly Prices'!B127:CB127,$G$5)*U139,FALSE)</f>
        <v>0</v>
      </c>
      <c r="O139" s="152" t="b">
        <f t="shared" si="23"/>
        <v>1</v>
      </c>
      <c r="P139" s="152">
        <f t="shared" si="27"/>
        <v>1969</v>
      </c>
      <c r="Q139" s="159">
        <f>'Monthly Prices'!B127</f>
        <v>1.27</v>
      </c>
      <c r="R139" s="159">
        <f t="shared" si="28"/>
        <v>1.2699999999999998</v>
      </c>
      <c r="S139" s="155">
        <f>_xlfn.XLOOKUP(P139,'Annual Real'!A:A,'Annual Real'!B:B,0,0)</f>
        <v>5.8192246787466697</v>
      </c>
      <c r="T139" s="155">
        <f t="shared" ca="1" si="29"/>
        <v>5.6067818356852053</v>
      </c>
      <c r="U139" s="152">
        <f t="shared" ca="1" si="30"/>
        <v>5.6067818356852053</v>
      </c>
      <c r="V139" s="152" t="b">
        <f t="shared" si="36"/>
        <v>0</v>
      </c>
      <c r="W139" s="152" t="b">
        <f t="shared" si="37"/>
        <v>0</v>
      </c>
      <c r="X139" s="154">
        <f>LOOKUP(D139,'US Implicit Deflator'!A:A,'US Implicit Deflator'!B:B)/100</f>
        <v>4.4000000000000004E-2</v>
      </c>
      <c r="Y139" s="154">
        <f t="shared" si="31"/>
        <v>3.5947364110451296E-3</v>
      </c>
      <c r="Z139" s="165">
        <f t="shared" ca="1" si="32"/>
        <v>1.2179523519262172</v>
      </c>
      <c r="AA139" s="152">
        <f t="shared" si="33"/>
        <v>7</v>
      </c>
      <c r="AB139" s="153">
        <f t="shared" si="34"/>
        <v>25538</v>
      </c>
      <c r="AC139" s="155">
        <f t="shared" ca="1" si="35"/>
        <v>5.6067818356852053</v>
      </c>
    </row>
    <row r="140" spans="3:29">
      <c r="C140" s="152" t="str">
        <f>'Monthly Prices'!A128</f>
        <v>1970M01</v>
      </c>
      <c r="D140" s="153">
        <f t="shared" si="24"/>
        <v>25569</v>
      </c>
      <c r="E140" s="152">
        <f t="shared" si="25"/>
        <v>121</v>
      </c>
      <c r="F140" s="152" t="b">
        <f t="shared" si="19"/>
        <v>0</v>
      </c>
      <c r="G140" s="152" t="b">
        <f t="shared" si="20"/>
        <v>1</v>
      </c>
      <c r="H140" s="152" t="b">
        <f t="shared" si="21"/>
        <v>0</v>
      </c>
      <c r="I140" s="153" t="e">
        <f t="shared" si="22"/>
        <v>#N/A</v>
      </c>
      <c r="J140" s="158">
        <f>INDEX('Monthly Prices'!B128:CB128,$G$4)</f>
        <v>58.4</v>
      </c>
      <c r="K140" s="158" t="b">
        <f>IF(H140,INDEX('Monthly Prices'!B128:CB128,$G$4)*U140,FALSE)</f>
        <v>0</v>
      </c>
      <c r="L140" s="152" t="b">
        <f t="shared" si="26"/>
        <v>1</v>
      </c>
      <c r="M140" s="158">
        <f>INDEX('Monthly Prices'!B128:CB128,$G$5)</f>
        <v>25.527059572439999</v>
      </c>
      <c r="N140" s="158" t="b">
        <f>IF(H140,INDEX('Monthly Prices'!B128:CB128,$G$5)*U140,FALSE)</f>
        <v>0</v>
      </c>
      <c r="O140" s="152" t="b">
        <f t="shared" si="23"/>
        <v>1</v>
      </c>
      <c r="P140" s="152">
        <f t="shared" si="27"/>
        <v>1970</v>
      </c>
      <c r="Q140" s="159">
        <f>'Monthly Prices'!B128</f>
        <v>1.21</v>
      </c>
      <c r="R140" s="159">
        <f t="shared" si="28"/>
        <v>1.2100000000000002</v>
      </c>
      <c r="S140" s="155">
        <f>_xlfn.XLOOKUP(P140,'Annual Real'!A:A,'Annual Real'!B:B,0,0)</f>
        <v>5.2122356108199703</v>
      </c>
      <c r="T140" s="155">
        <f t="shared" ca="1" si="29"/>
        <v>5.5871452934773389</v>
      </c>
      <c r="U140" s="152">
        <f t="shared" ca="1" si="30"/>
        <v>5.5871452934773389</v>
      </c>
      <c r="V140" s="152" t="b">
        <f t="shared" si="36"/>
        <v>0</v>
      </c>
      <c r="W140" s="152" t="b">
        <f t="shared" si="37"/>
        <v>0</v>
      </c>
      <c r="X140" s="154">
        <f>LOOKUP(D140,'US Implicit Deflator'!A:A,'US Implicit Deflator'!B:B)/100</f>
        <v>4.2999999999999997E-2</v>
      </c>
      <c r="Y140" s="154">
        <f t="shared" si="31"/>
        <v>3.5145930840192463E-3</v>
      </c>
      <c r="Z140" s="165">
        <f t="shared" ca="1" si="32"/>
        <v>1.222232958838962</v>
      </c>
      <c r="AA140" s="152">
        <f t="shared" si="33"/>
        <v>7</v>
      </c>
      <c r="AB140" s="153">
        <f t="shared" si="34"/>
        <v>25569</v>
      </c>
      <c r="AC140" s="155">
        <f t="shared" ca="1" si="35"/>
        <v>5.5871452934773389</v>
      </c>
    </row>
    <row r="141" spans="3:29">
      <c r="C141" s="152" t="str">
        <f>'Monthly Prices'!A129</f>
        <v>1970M02</v>
      </c>
      <c r="D141" s="153">
        <f t="shared" si="24"/>
        <v>25600</v>
      </c>
      <c r="E141" s="152">
        <f t="shared" si="25"/>
        <v>122</v>
      </c>
      <c r="F141" s="152" t="b">
        <f t="shared" si="19"/>
        <v>0</v>
      </c>
      <c r="G141" s="152" t="b">
        <f t="shared" si="20"/>
        <v>1</v>
      </c>
      <c r="H141" s="152" t="b">
        <f t="shared" si="21"/>
        <v>0</v>
      </c>
      <c r="I141" s="153" t="e">
        <f t="shared" si="22"/>
        <v>#N/A</v>
      </c>
      <c r="J141" s="158">
        <f>INDEX('Monthly Prices'!B129:CB129,$G$4)</f>
        <v>58.4</v>
      </c>
      <c r="K141" s="158" t="b">
        <f>IF(H141,INDEX('Monthly Prices'!B129:CB129,$G$4)*U141,FALSE)</f>
        <v>0</v>
      </c>
      <c r="L141" s="152" t="b">
        <f t="shared" si="26"/>
        <v>1</v>
      </c>
      <c r="M141" s="158">
        <f>INDEX('Monthly Prices'!B129:CB129,$G$5)</f>
        <v>25.569435589379999</v>
      </c>
      <c r="N141" s="158" t="b">
        <f>IF(H141,INDEX('Monthly Prices'!B129:CB129,$G$5)*U141,FALSE)</f>
        <v>0</v>
      </c>
      <c r="O141" s="152" t="b">
        <f t="shared" si="23"/>
        <v>1</v>
      </c>
      <c r="P141" s="152">
        <f t="shared" si="27"/>
        <v>1970</v>
      </c>
      <c r="Q141" s="159">
        <f>'Monthly Prices'!B129</f>
        <v>1.21</v>
      </c>
      <c r="R141" s="159">
        <f t="shared" si="28"/>
        <v>1.2100000000000002</v>
      </c>
      <c r="S141" s="155">
        <f>_xlfn.XLOOKUP(P141,'Annual Real'!A:A,'Annual Real'!B:B,0,0)</f>
        <v>5.2122356108199703</v>
      </c>
      <c r="T141" s="155">
        <f t="shared" ca="1" si="29"/>
        <v>5.5675775240166887</v>
      </c>
      <c r="U141" s="152">
        <f t="shared" ca="1" si="30"/>
        <v>5.5675775240166887</v>
      </c>
      <c r="V141" s="152" t="b">
        <f t="shared" si="36"/>
        <v>0</v>
      </c>
      <c r="W141" s="152" t="b">
        <f t="shared" si="37"/>
        <v>0</v>
      </c>
      <c r="X141" s="154">
        <f>LOOKUP(D141,'US Implicit Deflator'!A:A,'US Implicit Deflator'!B:B)/100</f>
        <v>4.2999999999999997E-2</v>
      </c>
      <c r="Y141" s="154">
        <f t="shared" si="31"/>
        <v>3.5145930840192463E-3</v>
      </c>
      <c r="Z141" s="165">
        <f t="shared" ca="1" si="32"/>
        <v>1.2265286103431579</v>
      </c>
      <c r="AA141" s="152">
        <f t="shared" si="33"/>
        <v>7</v>
      </c>
      <c r="AB141" s="153">
        <f t="shared" si="34"/>
        <v>25600</v>
      </c>
      <c r="AC141" s="155">
        <f t="shared" ca="1" si="35"/>
        <v>5.5675775240166887</v>
      </c>
    </row>
    <row r="142" spans="3:29">
      <c r="C142" s="152" t="str">
        <f>'Monthly Prices'!A130</f>
        <v>1970M03</v>
      </c>
      <c r="D142" s="153">
        <f t="shared" si="24"/>
        <v>25628</v>
      </c>
      <c r="E142" s="152">
        <f t="shared" si="25"/>
        <v>123</v>
      </c>
      <c r="F142" s="152" t="b">
        <f t="shared" si="19"/>
        <v>0</v>
      </c>
      <c r="G142" s="152" t="b">
        <f t="shared" si="20"/>
        <v>1</v>
      </c>
      <c r="H142" s="152" t="b">
        <f t="shared" si="21"/>
        <v>0</v>
      </c>
      <c r="I142" s="153" t="e">
        <f t="shared" si="22"/>
        <v>#N/A</v>
      </c>
      <c r="J142" s="158">
        <f>INDEX('Monthly Prices'!B130:CB130,$G$4)</f>
        <v>58.4</v>
      </c>
      <c r="K142" s="158" t="b">
        <f>IF(H142,INDEX('Monthly Prices'!B130:CB130,$G$4)*U142,FALSE)</f>
        <v>0</v>
      </c>
      <c r="L142" s="152" t="b">
        <f t="shared" si="26"/>
        <v>1</v>
      </c>
      <c r="M142" s="158">
        <f>INDEX('Monthly Prices'!B130:CB130,$G$5)</f>
        <v>25.611881952329998</v>
      </c>
      <c r="N142" s="158" t="b">
        <f>IF(H142,INDEX('Monthly Prices'!B130:CB130,$G$5)*U142,FALSE)</f>
        <v>0</v>
      </c>
      <c r="O142" s="152" t="b">
        <f t="shared" si="23"/>
        <v>1</v>
      </c>
      <c r="P142" s="152">
        <f t="shared" si="27"/>
        <v>1970</v>
      </c>
      <c r="Q142" s="159">
        <f>'Monthly Prices'!B130</f>
        <v>1.21</v>
      </c>
      <c r="R142" s="159">
        <f t="shared" si="28"/>
        <v>1.2100000000000002</v>
      </c>
      <c r="S142" s="155">
        <f>_xlfn.XLOOKUP(P142,'Annual Real'!A:A,'Annual Real'!B:B,0,0)</f>
        <v>5.2122356108199703</v>
      </c>
      <c r="T142" s="155">
        <f t="shared" ca="1" si="29"/>
        <v>5.5480782864415641</v>
      </c>
      <c r="U142" s="152">
        <f t="shared" ca="1" si="30"/>
        <v>5.5480782864415641</v>
      </c>
      <c r="V142" s="152" t="b">
        <f t="shared" si="36"/>
        <v>0</v>
      </c>
      <c r="W142" s="152" t="b">
        <f t="shared" si="37"/>
        <v>0</v>
      </c>
      <c r="X142" s="154">
        <f>LOOKUP(D142,'US Implicit Deflator'!A:A,'US Implicit Deflator'!B:B)/100</f>
        <v>4.2999999999999997E-2</v>
      </c>
      <c r="Y142" s="154">
        <f t="shared" si="31"/>
        <v>3.5145930840192463E-3</v>
      </c>
      <c r="Z142" s="165">
        <f t="shared" ca="1" si="32"/>
        <v>1.2308393593144216</v>
      </c>
      <c r="AA142" s="152">
        <f t="shared" si="33"/>
        <v>7</v>
      </c>
      <c r="AB142" s="153">
        <f t="shared" si="34"/>
        <v>25628</v>
      </c>
      <c r="AC142" s="155">
        <f t="shared" ca="1" si="35"/>
        <v>5.5480782864415641</v>
      </c>
    </row>
    <row r="143" spans="3:29">
      <c r="C143" s="152" t="str">
        <f>'Monthly Prices'!A131</f>
        <v>1970M04</v>
      </c>
      <c r="D143" s="153">
        <f t="shared" si="24"/>
        <v>25659</v>
      </c>
      <c r="E143" s="152">
        <f t="shared" si="25"/>
        <v>124</v>
      </c>
      <c r="F143" s="152" t="b">
        <f t="shared" si="19"/>
        <v>0</v>
      </c>
      <c r="G143" s="152" t="b">
        <f t="shared" si="20"/>
        <v>1</v>
      </c>
      <c r="H143" s="152" t="b">
        <f t="shared" si="21"/>
        <v>0</v>
      </c>
      <c r="I143" s="153" t="e">
        <f t="shared" si="22"/>
        <v>#N/A</v>
      </c>
      <c r="J143" s="158">
        <f>INDEX('Monthly Prices'!B131:CB131,$G$4)</f>
        <v>58.4</v>
      </c>
      <c r="K143" s="158" t="b">
        <f>IF(H143,INDEX('Monthly Prices'!B131:CB131,$G$4)*U143,FALSE)</f>
        <v>0</v>
      </c>
      <c r="L143" s="152" t="b">
        <f t="shared" si="26"/>
        <v>1</v>
      </c>
      <c r="M143" s="158">
        <f>INDEX('Monthly Prices'!B131:CB131,$G$5)</f>
        <v>25.65439877807</v>
      </c>
      <c r="N143" s="158" t="b">
        <f>IF(H143,INDEX('Monthly Prices'!B131:CB131,$G$5)*U143,FALSE)</f>
        <v>0</v>
      </c>
      <c r="O143" s="152" t="b">
        <f t="shared" si="23"/>
        <v>1</v>
      </c>
      <c r="P143" s="152">
        <f t="shared" si="27"/>
        <v>1970</v>
      </c>
      <c r="Q143" s="159">
        <f>'Monthly Prices'!B131</f>
        <v>1.21</v>
      </c>
      <c r="R143" s="159">
        <f t="shared" si="28"/>
        <v>1.2100000000000002</v>
      </c>
      <c r="S143" s="155">
        <f>_xlfn.XLOOKUP(P143,'Annual Real'!A:A,'Annual Real'!B:B,0,0)</f>
        <v>5.2122356108199703</v>
      </c>
      <c r="T143" s="155">
        <f t="shared" ca="1" si="29"/>
        <v>5.527324222123192</v>
      </c>
      <c r="U143" s="152">
        <f t="shared" ca="1" si="30"/>
        <v>5.527324222123192</v>
      </c>
      <c r="V143" s="152" t="b">
        <f t="shared" si="36"/>
        <v>0</v>
      </c>
      <c r="W143" s="152" t="b">
        <f t="shared" si="37"/>
        <v>0</v>
      </c>
      <c r="X143" s="154">
        <f>LOOKUP(D143,'US Implicit Deflator'!A:A,'US Implicit Deflator'!B:B)/100</f>
        <v>4.5999999999999999E-2</v>
      </c>
      <c r="Y143" s="154">
        <f t="shared" si="31"/>
        <v>3.7548121811461499E-3</v>
      </c>
      <c r="Z143" s="165">
        <f t="shared" ca="1" si="32"/>
        <v>1.2354609299338095</v>
      </c>
      <c r="AA143" s="152">
        <f t="shared" si="33"/>
        <v>7</v>
      </c>
      <c r="AB143" s="153">
        <f t="shared" si="34"/>
        <v>25659</v>
      </c>
      <c r="AC143" s="155">
        <f t="shared" ca="1" si="35"/>
        <v>5.527324222123192</v>
      </c>
    </row>
    <row r="144" spans="3:29">
      <c r="C144" s="152" t="str">
        <f>'Monthly Prices'!A132</f>
        <v>1970M05</v>
      </c>
      <c r="D144" s="153">
        <f t="shared" si="24"/>
        <v>25689</v>
      </c>
      <c r="E144" s="152">
        <f t="shared" si="25"/>
        <v>125</v>
      </c>
      <c r="F144" s="152" t="b">
        <f t="shared" si="19"/>
        <v>0</v>
      </c>
      <c r="G144" s="152" t="b">
        <f t="shared" si="20"/>
        <v>1</v>
      </c>
      <c r="H144" s="152" t="b">
        <f t="shared" si="21"/>
        <v>0</v>
      </c>
      <c r="I144" s="153" t="e">
        <f t="shared" si="22"/>
        <v>#N/A</v>
      </c>
      <c r="J144" s="158">
        <f>INDEX('Monthly Prices'!B132:CB132,$G$4)</f>
        <v>58.4</v>
      </c>
      <c r="K144" s="158" t="b">
        <f>IF(H144,INDEX('Monthly Prices'!B132:CB132,$G$4)*U144,FALSE)</f>
        <v>0</v>
      </c>
      <c r="L144" s="152" t="b">
        <f t="shared" si="26"/>
        <v>1</v>
      </c>
      <c r="M144" s="158">
        <f>INDEX('Monthly Prices'!B132:CB132,$G$5)</f>
        <v>25.696986183570001</v>
      </c>
      <c r="N144" s="158" t="b">
        <f>IF(H144,INDEX('Monthly Prices'!B132:CB132,$G$5)*U144,FALSE)</f>
        <v>0</v>
      </c>
      <c r="O144" s="152" t="b">
        <f t="shared" si="23"/>
        <v>1</v>
      </c>
      <c r="P144" s="152">
        <f t="shared" si="27"/>
        <v>1970</v>
      </c>
      <c r="Q144" s="159">
        <f>'Monthly Prices'!B132</f>
        <v>1.21</v>
      </c>
      <c r="R144" s="159">
        <f t="shared" si="28"/>
        <v>1.2100000000000002</v>
      </c>
      <c r="S144" s="155">
        <f>_xlfn.XLOOKUP(P144,'Annual Real'!A:A,'Annual Real'!B:B,0,0)</f>
        <v>5.2122356108199703</v>
      </c>
      <c r="T144" s="155">
        <f t="shared" ca="1" si="29"/>
        <v>5.5066477939093392</v>
      </c>
      <c r="U144" s="152">
        <f t="shared" ca="1" si="30"/>
        <v>5.5066477939093392</v>
      </c>
      <c r="V144" s="152" t="b">
        <f t="shared" si="36"/>
        <v>0</v>
      </c>
      <c r="W144" s="152" t="b">
        <f t="shared" si="37"/>
        <v>0</v>
      </c>
      <c r="X144" s="154">
        <f>LOOKUP(D144,'US Implicit Deflator'!A:A,'US Implicit Deflator'!B:B)/100</f>
        <v>4.5999999999999999E-2</v>
      </c>
      <c r="Y144" s="154">
        <f t="shared" si="31"/>
        <v>3.7548121811461499E-3</v>
      </c>
      <c r="Z144" s="165">
        <f t="shared" ca="1" si="32"/>
        <v>1.2400998536828551</v>
      </c>
      <c r="AA144" s="152">
        <f t="shared" si="33"/>
        <v>7</v>
      </c>
      <c r="AB144" s="153">
        <f t="shared" si="34"/>
        <v>25689</v>
      </c>
      <c r="AC144" s="155">
        <f t="shared" ca="1" si="35"/>
        <v>5.5066477939093392</v>
      </c>
    </row>
    <row r="145" spans="3:29">
      <c r="C145" s="152" t="str">
        <f>'Monthly Prices'!A133</f>
        <v>1970M06</v>
      </c>
      <c r="D145" s="153">
        <f t="shared" si="24"/>
        <v>25720</v>
      </c>
      <c r="E145" s="152">
        <f t="shared" si="25"/>
        <v>126</v>
      </c>
      <c r="F145" s="152" t="b">
        <f t="shared" si="19"/>
        <v>0</v>
      </c>
      <c r="G145" s="152" t="b">
        <f t="shared" si="20"/>
        <v>1</v>
      </c>
      <c r="H145" s="152" t="b">
        <f t="shared" si="21"/>
        <v>0</v>
      </c>
      <c r="I145" s="153" t="e">
        <f t="shared" si="22"/>
        <v>#N/A</v>
      </c>
      <c r="J145" s="158">
        <f>INDEX('Monthly Prices'!B133:CB133,$G$4)</f>
        <v>58.4</v>
      </c>
      <c r="K145" s="158" t="b">
        <f>IF(H145,INDEX('Monthly Prices'!B133:CB133,$G$4)*U145,FALSE)</f>
        <v>0</v>
      </c>
      <c r="L145" s="152" t="b">
        <f t="shared" si="26"/>
        <v>1</v>
      </c>
      <c r="M145" s="158">
        <f>INDEX('Monthly Prices'!B133:CB133,$G$5)</f>
        <v>25.73964428599</v>
      </c>
      <c r="N145" s="158" t="b">
        <f>IF(H145,INDEX('Monthly Prices'!B133:CB133,$G$5)*U145,FALSE)</f>
        <v>0</v>
      </c>
      <c r="O145" s="152" t="b">
        <f t="shared" si="23"/>
        <v>1</v>
      </c>
      <c r="P145" s="152">
        <f t="shared" si="27"/>
        <v>1970</v>
      </c>
      <c r="Q145" s="159">
        <f>'Monthly Prices'!B133</f>
        <v>1.21</v>
      </c>
      <c r="R145" s="159">
        <f t="shared" si="28"/>
        <v>1.2100000000000002</v>
      </c>
      <c r="S145" s="155">
        <f>_xlfn.XLOOKUP(P145,'Annual Real'!A:A,'Annual Real'!B:B,0,0)</f>
        <v>5.2122356108199703</v>
      </c>
      <c r="T145" s="155">
        <f t="shared" ca="1" si="29"/>
        <v>5.4860487113814829</v>
      </c>
      <c r="U145" s="152">
        <f t="shared" ca="1" si="30"/>
        <v>5.4860487113814829</v>
      </c>
      <c r="V145" s="152" t="b">
        <f t="shared" si="36"/>
        <v>0</v>
      </c>
      <c r="W145" s="152" t="b">
        <f t="shared" si="37"/>
        <v>0</v>
      </c>
      <c r="X145" s="154">
        <f>LOOKUP(D145,'US Implicit Deflator'!A:A,'US Implicit Deflator'!B:B)/100</f>
        <v>4.5999999999999999E-2</v>
      </c>
      <c r="Y145" s="154">
        <f t="shared" si="31"/>
        <v>3.7548121811461499E-3</v>
      </c>
      <c r="Z145" s="165">
        <f t="shared" ca="1" si="32"/>
        <v>1.2447561957193012</v>
      </c>
      <c r="AA145" s="152">
        <f t="shared" si="33"/>
        <v>7</v>
      </c>
      <c r="AB145" s="153">
        <f t="shared" si="34"/>
        <v>25720</v>
      </c>
      <c r="AC145" s="155">
        <f t="shared" ca="1" si="35"/>
        <v>5.4860487113814829</v>
      </c>
    </row>
    <row r="146" spans="3:29">
      <c r="C146" s="152" t="str">
        <f>'Monthly Prices'!A134</f>
        <v>1970M07</v>
      </c>
      <c r="D146" s="153">
        <f t="shared" si="24"/>
        <v>25750</v>
      </c>
      <c r="E146" s="152">
        <f t="shared" si="25"/>
        <v>127</v>
      </c>
      <c r="F146" s="152" t="b">
        <f t="shared" si="19"/>
        <v>0</v>
      </c>
      <c r="G146" s="152" t="b">
        <f t="shared" si="20"/>
        <v>1</v>
      </c>
      <c r="H146" s="152" t="b">
        <f t="shared" si="21"/>
        <v>0</v>
      </c>
      <c r="I146" s="153" t="e">
        <f t="shared" si="22"/>
        <v>#N/A</v>
      </c>
      <c r="J146" s="158">
        <f>INDEX('Monthly Prices'!B134:CB134,$G$4)</f>
        <v>58.4</v>
      </c>
      <c r="K146" s="158" t="b">
        <f>IF(H146,INDEX('Monthly Prices'!B134:CB134,$G$4)*U146,FALSE)</f>
        <v>0</v>
      </c>
      <c r="L146" s="152" t="b">
        <f t="shared" si="26"/>
        <v>1</v>
      </c>
      <c r="M146" s="158">
        <f>INDEX('Monthly Prices'!B134:CB134,$G$5)</f>
        <v>25.863846571130001</v>
      </c>
      <c r="N146" s="158" t="b">
        <f>IF(H146,INDEX('Monthly Prices'!B134:CB134,$G$5)*U146,FALSE)</f>
        <v>0</v>
      </c>
      <c r="O146" s="152" t="b">
        <f t="shared" si="23"/>
        <v>1</v>
      </c>
      <c r="P146" s="152">
        <f t="shared" si="27"/>
        <v>1970</v>
      </c>
      <c r="Q146" s="159">
        <f>'Monthly Prices'!B134</f>
        <v>1.21</v>
      </c>
      <c r="R146" s="159">
        <f t="shared" si="28"/>
        <v>1.2100000000000002</v>
      </c>
      <c r="S146" s="155">
        <f>_xlfn.XLOOKUP(P146,'Annual Real'!A:A,'Annual Real'!B:B,0,0)</f>
        <v>5.2122356108199703</v>
      </c>
      <c r="T146" s="155">
        <f t="shared" ca="1" si="29"/>
        <v>5.4677094948531062</v>
      </c>
      <c r="U146" s="152">
        <f t="shared" ca="1" si="30"/>
        <v>5.4677094948531062</v>
      </c>
      <c r="V146" s="152" t="b">
        <f t="shared" si="36"/>
        <v>0</v>
      </c>
      <c r="W146" s="152" t="b">
        <f t="shared" si="37"/>
        <v>0</v>
      </c>
      <c r="X146" s="154">
        <f>LOOKUP(D146,'US Implicit Deflator'!A:A,'US Implicit Deflator'!B:B)/100</f>
        <v>4.0999999999999995E-2</v>
      </c>
      <c r="Y146" s="154">
        <f t="shared" si="31"/>
        <v>3.3540948994528197E-3</v>
      </c>
      <c r="Z146" s="165">
        <f t="shared" ca="1" si="32"/>
        <v>1.2489312261264256</v>
      </c>
      <c r="AA146" s="152">
        <f t="shared" si="33"/>
        <v>7</v>
      </c>
      <c r="AB146" s="153">
        <f t="shared" si="34"/>
        <v>25750</v>
      </c>
      <c r="AC146" s="155">
        <f t="shared" ca="1" si="35"/>
        <v>5.4677094948531062</v>
      </c>
    </row>
    <row r="147" spans="3:29">
      <c r="C147" s="152" t="str">
        <f>'Monthly Prices'!A135</f>
        <v>1970M08</v>
      </c>
      <c r="D147" s="153">
        <f t="shared" si="24"/>
        <v>25781</v>
      </c>
      <c r="E147" s="152">
        <f t="shared" si="25"/>
        <v>128</v>
      </c>
      <c r="F147" s="152" t="b">
        <f t="shared" si="19"/>
        <v>0</v>
      </c>
      <c r="G147" s="152" t="b">
        <f t="shared" si="20"/>
        <v>1</v>
      </c>
      <c r="H147" s="152" t="b">
        <f t="shared" si="21"/>
        <v>0</v>
      </c>
      <c r="I147" s="153" t="e">
        <f t="shared" si="22"/>
        <v>#N/A</v>
      </c>
      <c r="J147" s="158">
        <f>INDEX('Monthly Prices'!B135:CB135,$G$4)</f>
        <v>58.4</v>
      </c>
      <c r="K147" s="158" t="b">
        <f>IF(H147,INDEX('Monthly Prices'!B135:CB135,$G$4)*U147,FALSE)</f>
        <v>0</v>
      </c>
      <c r="L147" s="152" t="b">
        <f t="shared" si="26"/>
        <v>1</v>
      </c>
      <c r="M147" s="158">
        <f>INDEX('Monthly Prices'!B135:CB135,$G$5)</f>
        <v>26.236915759319999</v>
      </c>
      <c r="N147" s="158" t="b">
        <f>IF(H147,INDEX('Monthly Prices'!B135:CB135,$G$5)*U147,FALSE)</f>
        <v>0</v>
      </c>
      <c r="O147" s="152" t="b">
        <f t="shared" si="23"/>
        <v>1</v>
      </c>
      <c r="P147" s="152">
        <f t="shared" si="27"/>
        <v>1970</v>
      </c>
      <c r="Q147" s="159">
        <f>'Monthly Prices'!B135</f>
        <v>1.21</v>
      </c>
      <c r="R147" s="159">
        <f t="shared" si="28"/>
        <v>1.2100000000000002</v>
      </c>
      <c r="S147" s="155">
        <f>_xlfn.XLOOKUP(P147,'Annual Real'!A:A,'Annual Real'!B:B,0,0)</f>
        <v>5.2122356108199703</v>
      </c>
      <c r="T147" s="155">
        <f t="shared" ca="1" si="29"/>
        <v>5.4494315841717187</v>
      </c>
      <c r="U147" s="152">
        <f t="shared" ca="1" si="30"/>
        <v>5.4494315841717187</v>
      </c>
      <c r="V147" s="152" t="b">
        <f t="shared" si="36"/>
        <v>0</v>
      </c>
      <c r="W147" s="152" t="b">
        <f t="shared" si="37"/>
        <v>0</v>
      </c>
      <c r="X147" s="154">
        <f>LOOKUP(D147,'US Implicit Deflator'!A:A,'US Implicit Deflator'!B:B)/100</f>
        <v>4.0999999999999995E-2</v>
      </c>
      <c r="Y147" s="154">
        <f t="shared" si="31"/>
        <v>3.3540948994528197E-3</v>
      </c>
      <c r="Z147" s="165">
        <f t="shared" ca="1" si="32"/>
        <v>1.2531202599817437</v>
      </c>
      <c r="AA147" s="152">
        <f t="shared" si="33"/>
        <v>7</v>
      </c>
      <c r="AB147" s="153">
        <f t="shared" si="34"/>
        <v>25781</v>
      </c>
      <c r="AC147" s="155">
        <f t="shared" ca="1" si="35"/>
        <v>5.4494315841717187</v>
      </c>
    </row>
    <row r="148" spans="3:29">
      <c r="C148" s="152" t="str">
        <f>'Monthly Prices'!A136</f>
        <v>1970M09</v>
      </c>
      <c r="D148" s="153">
        <f t="shared" si="24"/>
        <v>25812</v>
      </c>
      <c r="E148" s="152">
        <f t="shared" si="25"/>
        <v>129</v>
      </c>
      <c r="F148" s="152" t="b">
        <f t="shared" ref="F148:F211" si="38">AND(E148&gt;=$M$4,L148)</f>
        <v>0</v>
      </c>
      <c r="G148" s="152" t="b">
        <f t="shared" ref="G148:G211" si="39">AND(E148&lt;=$M$5,O148)</f>
        <v>1</v>
      </c>
      <c r="H148" s="152" t="b">
        <f t="shared" ref="H148:H211" si="40">AND(F148:G148)</f>
        <v>0</v>
      </c>
      <c r="I148" s="153" t="e">
        <f t="shared" ref="I148:I211" si="41">IF(H148,D148,NA)</f>
        <v>#N/A</v>
      </c>
      <c r="J148" s="158">
        <f>INDEX('Monthly Prices'!B136:CB136,$G$4)</f>
        <v>58.4</v>
      </c>
      <c r="K148" s="158" t="b">
        <f>IF(H148,INDEX('Monthly Prices'!B136:CB136,$G$4)*U148,FALSE)</f>
        <v>0</v>
      </c>
      <c r="L148" s="152" t="b">
        <f t="shared" si="26"/>
        <v>1</v>
      </c>
      <c r="M148" s="158">
        <f>INDEX('Monthly Prices'!B136:CB136,$G$5)</f>
        <v>26.768581567679998</v>
      </c>
      <c r="N148" s="158" t="b">
        <f>IF(H148,INDEX('Monthly Prices'!B136:CB136,$G$5)*U148,FALSE)</f>
        <v>0</v>
      </c>
      <c r="O148" s="152" t="b">
        <f t="shared" ref="O148:O211" si="42">AND(ISNUMBER(M148),M148&gt;0)</f>
        <v>1</v>
      </c>
      <c r="P148" s="152">
        <f t="shared" si="27"/>
        <v>1970</v>
      </c>
      <c r="Q148" s="159">
        <f>'Monthly Prices'!B136</f>
        <v>1.21</v>
      </c>
      <c r="R148" s="159">
        <f t="shared" si="28"/>
        <v>1.2100000000000002</v>
      </c>
      <c r="S148" s="155">
        <f>_xlfn.XLOOKUP(P148,'Annual Real'!A:A,'Annual Real'!B:B,0,0)</f>
        <v>5.2122356108199703</v>
      </c>
      <c r="T148" s="155">
        <f t="shared" ca="1" si="29"/>
        <v>5.4312147743990735</v>
      </c>
      <c r="U148" s="152">
        <f t="shared" ca="1" si="30"/>
        <v>5.4312147743990735</v>
      </c>
      <c r="V148" s="152" t="b">
        <f t="shared" si="36"/>
        <v>0</v>
      </c>
      <c r="W148" s="152" t="b">
        <f t="shared" si="37"/>
        <v>0</v>
      </c>
      <c r="X148" s="154">
        <f>LOOKUP(D148,'US Implicit Deflator'!A:A,'US Implicit Deflator'!B:B)/100</f>
        <v>4.0999999999999995E-2</v>
      </c>
      <c r="Y148" s="154">
        <f t="shared" si="31"/>
        <v>3.3540948994528197E-3</v>
      </c>
      <c r="Z148" s="165">
        <f t="shared" ca="1" si="32"/>
        <v>1.2573233442541494</v>
      </c>
      <c r="AA148" s="152">
        <f t="shared" si="33"/>
        <v>7</v>
      </c>
      <c r="AB148" s="153">
        <f t="shared" si="34"/>
        <v>25812</v>
      </c>
      <c r="AC148" s="155">
        <f t="shared" ca="1" si="35"/>
        <v>5.4312147743990735</v>
      </c>
    </row>
    <row r="149" spans="3:29">
      <c r="C149" s="152" t="str">
        <f>'Monthly Prices'!A137</f>
        <v>1970M10</v>
      </c>
      <c r="D149" s="153">
        <f t="shared" ref="D149:D212" si="43">EDATE(D148,1)</f>
        <v>25842</v>
      </c>
      <c r="E149" s="152">
        <f t="shared" ref="E149:E212" si="44">E148+1</f>
        <v>130</v>
      </c>
      <c r="F149" s="152" t="b">
        <f t="shared" si="38"/>
        <v>0</v>
      </c>
      <c r="G149" s="152" t="b">
        <f t="shared" si="39"/>
        <v>1</v>
      </c>
      <c r="H149" s="152" t="b">
        <f t="shared" si="40"/>
        <v>0</v>
      </c>
      <c r="I149" s="153" t="e">
        <f t="shared" si="41"/>
        <v>#N/A</v>
      </c>
      <c r="J149" s="158">
        <f>INDEX('Monthly Prices'!B137:CB137,$G$4)</f>
        <v>58.4</v>
      </c>
      <c r="K149" s="158" t="b">
        <f>IF(H149,INDEX('Monthly Prices'!B137:CB137,$G$4)*U149,FALSE)</f>
        <v>0</v>
      </c>
      <c r="L149" s="152" t="b">
        <f t="shared" ref="L149:L212" si="45">ISNUMBER(J149)</f>
        <v>1</v>
      </c>
      <c r="M149" s="158">
        <f>INDEX('Monthly Prices'!B137:CB137,$G$5)</f>
        <v>27.368679832400002</v>
      </c>
      <c r="N149" s="158" t="b">
        <f>IF(H149,INDEX('Monthly Prices'!B137:CB137,$G$5)*U149,FALSE)</f>
        <v>0</v>
      </c>
      <c r="O149" s="152" t="b">
        <f t="shared" si="42"/>
        <v>1</v>
      </c>
      <c r="P149" s="152">
        <f t="shared" ref="P149:P212" si="46">YEAR(D149)</f>
        <v>1970</v>
      </c>
      <c r="Q149" s="159">
        <f>'Monthly Prices'!B137</f>
        <v>1.21</v>
      </c>
      <c r="R149" s="159">
        <f t="shared" ref="R149:R212" si="47">AVERAGEIF(P:P,P149,Q:Q)</f>
        <v>1.2100000000000002</v>
      </c>
      <c r="S149" s="155">
        <f>_xlfn.XLOOKUP(P149,'Annual Real'!A:A,'Annual Real'!B:B,0,0)</f>
        <v>5.2122356108199703</v>
      </c>
      <c r="T149" s="155">
        <f t="shared" ref="T149:T212" ca="1" si="48">AC149</f>
        <v>5.4108978691689806</v>
      </c>
      <c r="U149" s="152">
        <f t="shared" ref="U149:U212" ca="1" si="49">IF($U$19,T149,1)</f>
        <v>5.4108978691689806</v>
      </c>
      <c r="V149" s="152" t="b">
        <f t="shared" si="36"/>
        <v>0</v>
      </c>
      <c r="W149" s="152" t="b">
        <f t="shared" si="37"/>
        <v>0</v>
      </c>
      <c r="X149" s="154">
        <f>LOOKUP(D149,'US Implicit Deflator'!A:A,'US Implicit Deflator'!B:B)/100</f>
        <v>4.5999999999999999E-2</v>
      </c>
      <c r="Y149" s="154">
        <f t="shared" ref="Y149:Y212" si="50">(1+X149)^(1/12)-1</f>
        <v>3.7548121811461499E-3</v>
      </c>
      <c r="Z149" s="165">
        <f t="shared" ref="Z149:Z212" ca="1" si="51">Z148*(1+Y149)</f>
        <v>1.2620443572627942</v>
      </c>
      <c r="AA149" s="152">
        <f t="shared" ref="AA149:AA212" si="52">LEN(C149)</f>
        <v>7</v>
      </c>
      <c r="AB149" s="153">
        <f t="shared" ref="AB149:AB212" si="53">IF(AA149&gt;2,D149,0)</f>
        <v>25842</v>
      </c>
      <c r="AC149" s="155">
        <f t="shared" ref="AC149:AC212" ca="1" si="54">$AC$17/Z149</f>
        <v>5.4108978691689806</v>
      </c>
    </row>
    <row r="150" spans="3:29">
      <c r="C150" s="152" t="str">
        <f>'Monthly Prices'!A138</f>
        <v>1970M11</v>
      </c>
      <c r="D150" s="153">
        <f t="shared" si="43"/>
        <v>25873</v>
      </c>
      <c r="E150" s="152">
        <f t="shared" si="44"/>
        <v>131</v>
      </c>
      <c r="F150" s="152" t="b">
        <f t="shared" si="38"/>
        <v>0</v>
      </c>
      <c r="G150" s="152" t="b">
        <f t="shared" si="39"/>
        <v>1</v>
      </c>
      <c r="H150" s="152" t="b">
        <f t="shared" si="40"/>
        <v>0</v>
      </c>
      <c r="I150" s="153" t="e">
        <f t="shared" si="41"/>
        <v>#N/A</v>
      </c>
      <c r="J150" s="158">
        <f>INDEX('Monthly Prices'!B138:CB138,$G$4)</f>
        <v>58.4</v>
      </c>
      <c r="K150" s="158" t="b">
        <f>IF(H150,INDEX('Monthly Prices'!B138:CB138,$G$4)*U150,FALSE)</f>
        <v>0</v>
      </c>
      <c r="L150" s="152" t="b">
        <f t="shared" si="45"/>
        <v>1</v>
      </c>
      <c r="M150" s="158">
        <f>INDEX('Monthly Prices'!B138:CB138,$G$5)</f>
        <v>27.880192790190002</v>
      </c>
      <c r="N150" s="158" t="b">
        <f>IF(H150,INDEX('Monthly Prices'!B138:CB138,$G$5)*U150,FALSE)</f>
        <v>0</v>
      </c>
      <c r="O150" s="152" t="b">
        <f t="shared" si="42"/>
        <v>1</v>
      </c>
      <c r="P150" s="152">
        <f t="shared" si="46"/>
        <v>1970</v>
      </c>
      <c r="Q150" s="159">
        <f>'Monthly Prices'!B138</f>
        <v>1.21</v>
      </c>
      <c r="R150" s="159">
        <f t="shared" si="47"/>
        <v>1.2100000000000002</v>
      </c>
      <c r="S150" s="155">
        <f>_xlfn.XLOOKUP(P150,'Annual Real'!A:A,'Annual Real'!B:B,0,0)</f>
        <v>5.2122356108199703</v>
      </c>
      <c r="T150" s="155">
        <f t="shared" ca="1" si="48"/>
        <v>5.3906569647334193</v>
      </c>
      <c r="U150" s="152">
        <f t="shared" ca="1" si="49"/>
        <v>5.3906569647334193</v>
      </c>
      <c r="V150" s="152" t="b">
        <f t="shared" ref="V150:V213" si="55">IF(AND(H149,H150),LN(K150/K149))</f>
        <v>0</v>
      </c>
      <c r="W150" s="152" t="b">
        <f t="shared" ref="W150:W213" si="56">IF(AND($H149,$H150),LN(N150/N149))</f>
        <v>0</v>
      </c>
      <c r="X150" s="154">
        <f>LOOKUP(D150,'US Implicit Deflator'!A:A,'US Implicit Deflator'!B:B)/100</f>
        <v>4.5999999999999999E-2</v>
      </c>
      <c r="Y150" s="154">
        <f t="shared" si="50"/>
        <v>3.7548121811461499E-3</v>
      </c>
      <c r="Z150" s="165">
        <f t="shared" ca="1" si="51"/>
        <v>1.2667830967885914</v>
      </c>
      <c r="AA150" s="152">
        <f t="shared" si="52"/>
        <v>7</v>
      </c>
      <c r="AB150" s="153">
        <f t="shared" si="53"/>
        <v>25873</v>
      </c>
      <c r="AC150" s="155">
        <f t="shared" ca="1" si="54"/>
        <v>5.3906569647334193</v>
      </c>
    </row>
    <row r="151" spans="3:29">
      <c r="C151" s="152" t="str">
        <f>'Monthly Prices'!A139</f>
        <v>1970M12</v>
      </c>
      <c r="D151" s="153">
        <f t="shared" si="43"/>
        <v>25903</v>
      </c>
      <c r="E151" s="152">
        <f t="shared" si="44"/>
        <v>132</v>
      </c>
      <c r="F151" s="152" t="b">
        <f t="shared" si="38"/>
        <v>0</v>
      </c>
      <c r="G151" s="152" t="b">
        <f t="shared" si="39"/>
        <v>1</v>
      </c>
      <c r="H151" s="152" t="b">
        <f t="shared" si="40"/>
        <v>0</v>
      </c>
      <c r="I151" s="153" t="e">
        <f t="shared" si="41"/>
        <v>#N/A</v>
      </c>
      <c r="J151" s="158">
        <f>INDEX('Monthly Prices'!B139:CB139,$G$4)</f>
        <v>58.4</v>
      </c>
      <c r="K151" s="158" t="b">
        <f>IF(H151,INDEX('Monthly Prices'!B139:CB139,$G$4)*U151,FALSE)</f>
        <v>0</v>
      </c>
      <c r="L151" s="152" t="b">
        <f t="shared" si="45"/>
        <v>1</v>
      </c>
      <c r="M151" s="158">
        <f>INDEX('Monthly Prices'!B139:CB139,$G$5)</f>
        <v>28.38636321121</v>
      </c>
      <c r="N151" s="158" t="b">
        <f>IF(H151,INDEX('Monthly Prices'!B139:CB139,$G$5)*U151,FALSE)</f>
        <v>0</v>
      </c>
      <c r="O151" s="152" t="b">
        <f t="shared" si="42"/>
        <v>1</v>
      </c>
      <c r="P151" s="152">
        <f t="shared" si="46"/>
        <v>1970</v>
      </c>
      <c r="Q151" s="159">
        <f>'Monthly Prices'!B139</f>
        <v>1.21</v>
      </c>
      <c r="R151" s="159">
        <f t="shared" si="47"/>
        <v>1.2100000000000002</v>
      </c>
      <c r="S151" s="155">
        <f>_xlfn.XLOOKUP(P151,'Annual Real'!A:A,'Annual Real'!B:B,0,0)</f>
        <v>5.2122356108199703</v>
      </c>
      <c r="T151" s="155">
        <f t="shared" ca="1" si="48"/>
        <v>5.3704917767911784</v>
      </c>
      <c r="U151" s="152">
        <f t="shared" ca="1" si="49"/>
        <v>5.3704917767911784</v>
      </c>
      <c r="V151" s="152" t="b">
        <f t="shared" si="55"/>
        <v>0</v>
      </c>
      <c r="W151" s="152" t="b">
        <f t="shared" si="56"/>
        <v>0</v>
      </c>
      <c r="X151" s="154">
        <f>LOOKUP(D151,'US Implicit Deflator'!A:A,'US Implicit Deflator'!B:B)/100</f>
        <v>4.5999999999999999E-2</v>
      </c>
      <c r="Y151" s="154">
        <f t="shared" si="50"/>
        <v>3.7548121811461499E-3</v>
      </c>
      <c r="Z151" s="165">
        <f t="shared" ca="1" si="51"/>
        <v>1.2715396293912833</v>
      </c>
      <c r="AA151" s="152">
        <f t="shared" si="52"/>
        <v>7</v>
      </c>
      <c r="AB151" s="153">
        <f t="shared" si="53"/>
        <v>25903</v>
      </c>
      <c r="AC151" s="155">
        <f t="shared" ca="1" si="54"/>
        <v>5.3704917767911784</v>
      </c>
    </row>
    <row r="152" spans="3:29">
      <c r="C152" s="152" t="str">
        <f>'Monthly Prices'!A140</f>
        <v>1971M01</v>
      </c>
      <c r="D152" s="153">
        <f t="shared" si="43"/>
        <v>25934</v>
      </c>
      <c r="E152" s="152">
        <f t="shared" si="44"/>
        <v>133</v>
      </c>
      <c r="F152" s="152" t="b">
        <f t="shared" si="38"/>
        <v>0</v>
      </c>
      <c r="G152" s="152" t="b">
        <f t="shared" si="39"/>
        <v>1</v>
      </c>
      <c r="H152" s="152" t="b">
        <f t="shared" si="40"/>
        <v>0</v>
      </c>
      <c r="I152" s="153" t="e">
        <f t="shared" si="41"/>
        <v>#N/A</v>
      </c>
      <c r="J152" s="158">
        <f>INDEX('Monthly Prices'!B140:CB140,$G$4)</f>
        <v>58.4</v>
      </c>
      <c r="K152" s="158" t="b">
        <f>IF(H152,INDEX('Monthly Prices'!B140:CB140,$G$4)*U152,FALSE)</f>
        <v>0</v>
      </c>
      <c r="L152" s="152" t="b">
        <f t="shared" si="45"/>
        <v>1</v>
      </c>
      <c r="M152" s="158">
        <f>INDEX('Monthly Prices'!B140:CB140,$G$5)</f>
        <v>28.50975184959</v>
      </c>
      <c r="N152" s="158" t="b">
        <f>IF(H152,INDEX('Monthly Prices'!B140:CB140,$G$5)*U152,FALSE)</f>
        <v>0</v>
      </c>
      <c r="O152" s="152" t="b">
        <f t="shared" si="42"/>
        <v>1</v>
      </c>
      <c r="P152" s="152">
        <f t="shared" si="46"/>
        <v>1971</v>
      </c>
      <c r="Q152" s="159">
        <f>'Monthly Prices'!B140</f>
        <v>1.64</v>
      </c>
      <c r="R152" s="159">
        <f t="shared" si="47"/>
        <v>1.6899999999999997</v>
      </c>
      <c r="S152" s="155">
        <f>_xlfn.XLOOKUP(P152,'Annual Real'!A:A,'Annual Real'!B:B,0,0)</f>
        <v>6.9220737641998999</v>
      </c>
      <c r="T152" s="155">
        <f t="shared" ca="1" si="48"/>
        <v>5.350402022104551</v>
      </c>
      <c r="U152" s="152">
        <f t="shared" ca="1" si="49"/>
        <v>5.350402022104551</v>
      </c>
      <c r="V152" s="152" t="b">
        <f t="shared" si="55"/>
        <v>0</v>
      </c>
      <c r="W152" s="152" t="b">
        <f t="shared" si="56"/>
        <v>0</v>
      </c>
      <c r="X152" s="154">
        <f>LOOKUP(D152,'US Implicit Deflator'!A:A,'US Implicit Deflator'!B:B)/100</f>
        <v>4.5999999999999999E-2</v>
      </c>
      <c r="Y152" s="154">
        <f t="shared" si="50"/>
        <v>3.7548121811461499E-3</v>
      </c>
      <c r="Z152" s="165">
        <f t="shared" ca="1" si="51"/>
        <v>1.2763140218805318</v>
      </c>
      <c r="AA152" s="152">
        <f t="shared" si="52"/>
        <v>7</v>
      </c>
      <c r="AB152" s="153">
        <f t="shared" si="53"/>
        <v>25934</v>
      </c>
      <c r="AC152" s="155">
        <f t="shared" ca="1" si="54"/>
        <v>5.350402022104551</v>
      </c>
    </row>
    <row r="153" spans="3:29">
      <c r="C153" s="152" t="str">
        <f>'Monthly Prices'!A141</f>
        <v>1971M02</v>
      </c>
      <c r="D153" s="153">
        <f t="shared" si="43"/>
        <v>25965</v>
      </c>
      <c r="E153" s="152">
        <f t="shared" si="44"/>
        <v>134</v>
      </c>
      <c r="F153" s="152" t="b">
        <f t="shared" si="38"/>
        <v>0</v>
      </c>
      <c r="G153" s="152" t="b">
        <f t="shared" si="39"/>
        <v>1</v>
      </c>
      <c r="H153" s="152" t="b">
        <f t="shared" si="40"/>
        <v>0</v>
      </c>
      <c r="I153" s="153" t="e">
        <f t="shared" si="41"/>
        <v>#N/A</v>
      </c>
      <c r="J153" s="158">
        <f>INDEX('Monthly Prices'!B141:CB141,$G$4)</f>
        <v>58.4</v>
      </c>
      <c r="K153" s="158" t="b">
        <f>IF(H153,INDEX('Monthly Prices'!B141:CB141,$G$4)*U153,FALSE)</f>
        <v>0</v>
      </c>
      <c r="L153" s="152" t="b">
        <f t="shared" si="45"/>
        <v>1</v>
      </c>
      <c r="M153" s="158">
        <f>INDEX('Monthly Prices'!B141:CB141,$G$5)</f>
        <v>28.55707926401</v>
      </c>
      <c r="N153" s="158" t="b">
        <f>IF(H153,INDEX('Monthly Prices'!B141:CB141,$G$5)*U153,FALSE)</f>
        <v>0</v>
      </c>
      <c r="O153" s="152" t="b">
        <f t="shared" si="42"/>
        <v>1</v>
      </c>
      <c r="P153" s="152">
        <f t="shared" si="46"/>
        <v>1971</v>
      </c>
      <c r="Q153" s="159">
        <f>'Monthly Prices'!B141</f>
        <v>1.64</v>
      </c>
      <c r="R153" s="159">
        <f t="shared" si="47"/>
        <v>1.6899999999999997</v>
      </c>
      <c r="S153" s="155">
        <f>_xlfn.XLOOKUP(P153,'Annual Real'!A:A,'Annual Real'!B:B,0,0)</f>
        <v>6.9220737641998999</v>
      </c>
      <c r="T153" s="155">
        <f t="shared" ca="1" si="48"/>
        <v>5.3303874184953566</v>
      </c>
      <c r="U153" s="152">
        <f t="shared" ca="1" si="49"/>
        <v>5.3303874184953566</v>
      </c>
      <c r="V153" s="152" t="b">
        <f t="shared" si="55"/>
        <v>0</v>
      </c>
      <c r="W153" s="152" t="b">
        <f t="shared" si="56"/>
        <v>0</v>
      </c>
      <c r="X153" s="154">
        <f>LOOKUP(D153,'US Implicit Deflator'!A:A,'US Implicit Deflator'!B:B)/100</f>
        <v>4.5999999999999999E-2</v>
      </c>
      <c r="Y153" s="154">
        <f t="shared" si="50"/>
        <v>3.7548121811461499E-3</v>
      </c>
      <c r="Z153" s="165">
        <f t="shared" ca="1" si="51"/>
        <v>1.2811063413168564</v>
      </c>
      <c r="AA153" s="152">
        <f t="shared" si="52"/>
        <v>7</v>
      </c>
      <c r="AB153" s="153">
        <f t="shared" si="53"/>
        <v>25965</v>
      </c>
      <c r="AC153" s="155">
        <f t="shared" ca="1" si="54"/>
        <v>5.3303874184953566</v>
      </c>
    </row>
    <row r="154" spans="3:29">
      <c r="C154" s="152" t="str">
        <f>'Monthly Prices'!A142</f>
        <v>1971M03</v>
      </c>
      <c r="D154" s="153">
        <f t="shared" si="43"/>
        <v>25993</v>
      </c>
      <c r="E154" s="152">
        <f t="shared" si="44"/>
        <v>135</v>
      </c>
      <c r="F154" s="152" t="b">
        <f t="shared" si="38"/>
        <v>0</v>
      </c>
      <c r="G154" s="152" t="b">
        <f t="shared" si="39"/>
        <v>1</v>
      </c>
      <c r="H154" s="152" t="b">
        <f t="shared" si="40"/>
        <v>0</v>
      </c>
      <c r="I154" s="153" t="e">
        <f t="shared" si="41"/>
        <v>#N/A</v>
      </c>
      <c r="J154" s="158">
        <f>INDEX('Monthly Prices'!B142:CB142,$G$4)</f>
        <v>58.4</v>
      </c>
      <c r="K154" s="158" t="b">
        <f>IF(H154,INDEX('Monthly Prices'!B142:CB142,$G$4)*U154,FALSE)</f>
        <v>0</v>
      </c>
      <c r="L154" s="152" t="b">
        <f t="shared" si="45"/>
        <v>1</v>
      </c>
      <c r="M154" s="158">
        <f>INDEX('Monthly Prices'!B142:CB142,$G$5)</f>
        <v>28.451203500919998</v>
      </c>
      <c r="N154" s="158" t="b">
        <f>IF(H154,INDEX('Monthly Prices'!B142:CB142,$G$5)*U154,FALSE)</f>
        <v>0</v>
      </c>
      <c r="O154" s="152" t="b">
        <f t="shared" si="42"/>
        <v>1</v>
      </c>
      <c r="P154" s="152">
        <f t="shared" si="46"/>
        <v>1971</v>
      </c>
      <c r="Q154" s="159">
        <f>'Monthly Prices'!B142</f>
        <v>1.64</v>
      </c>
      <c r="R154" s="159">
        <f t="shared" si="47"/>
        <v>1.6899999999999997</v>
      </c>
      <c r="S154" s="155">
        <f>_xlfn.XLOOKUP(P154,'Annual Real'!A:A,'Annual Real'!B:B,0,0)</f>
        <v>6.9220737641998999</v>
      </c>
      <c r="T154" s="155">
        <f t="shared" ca="1" si="48"/>
        <v>5.3104476848409758</v>
      </c>
      <c r="U154" s="152">
        <f t="shared" ca="1" si="49"/>
        <v>5.3104476848409758</v>
      </c>
      <c r="V154" s="152" t="b">
        <f t="shared" si="55"/>
        <v>0</v>
      </c>
      <c r="W154" s="152" t="b">
        <f t="shared" si="56"/>
        <v>0</v>
      </c>
      <c r="X154" s="154">
        <f>LOOKUP(D154,'US Implicit Deflator'!A:A,'US Implicit Deflator'!B:B)/100</f>
        <v>4.5999999999999999E-2</v>
      </c>
      <c r="Y154" s="154">
        <f t="shared" si="50"/>
        <v>3.7548121811461499E-3</v>
      </c>
      <c r="Z154" s="165">
        <f t="shared" ca="1" si="51"/>
        <v>1.2859166550125765</v>
      </c>
      <c r="AA154" s="152">
        <f t="shared" si="52"/>
        <v>7</v>
      </c>
      <c r="AB154" s="153">
        <f t="shared" si="53"/>
        <v>25993</v>
      </c>
      <c r="AC154" s="155">
        <f t="shared" ca="1" si="54"/>
        <v>5.3104476848409758</v>
      </c>
    </row>
    <row r="155" spans="3:29">
      <c r="C155" s="152" t="str">
        <f>'Monthly Prices'!A143</f>
        <v>1971M04</v>
      </c>
      <c r="D155" s="153">
        <f t="shared" si="43"/>
        <v>26024</v>
      </c>
      <c r="E155" s="152">
        <f t="shared" si="44"/>
        <v>136</v>
      </c>
      <c r="F155" s="152" t="b">
        <f t="shared" si="38"/>
        <v>0</v>
      </c>
      <c r="G155" s="152" t="b">
        <f t="shared" si="39"/>
        <v>1</v>
      </c>
      <c r="H155" s="152" t="b">
        <f t="shared" si="40"/>
        <v>0</v>
      </c>
      <c r="I155" s="153" t="e">
        <f t="shared" si="41"/>
        <v>#N/A</v>
      </c>
      <c r="J155" s="158">
        <f>INDEX('Monthly Prices'!B143:CB143,$G$4)</f>
        <v>58.4</v>
      </c>
      <c r="K155" s="158" t="b">
        <f>IF(H155,INDEX('Monthly Prices'!B143:CB143,$G$4)*U155,FALSE)</f>
        <v>0</v>
      </c>
      <c r="L155" s="152" t="b">
        <f t="shared" si="45"/>
        <v>1</v>
      </c>
      <c r="M155" s="158">
        <f>INDEX('Monthly Prices'!B143:CB143,$G$5)</f>
        <v>28.421298617390001</v>
      </c>
      <c r="N155" s="158" t="b">
        <f>IF(H155,INDEX('Monthly Prices'!B143:CB143,$G$5)*U155,FALSE)</f>
        <v>0</v>
      </c>
      <c r="O155" s="152" t="b">
        <f t="shared" si="42"/>
        <v>1</v>
      </c>
      <c r="P155" s="152">
        <f t="shared" si="46"/>
        <v>1971</v>
      </c>
      <c r="Q155" s="159">
        <f>'Monthly Prices'!B143</f>
        <v>1.64</v>
      </c>
      <c r="R155" s="159">
        <f t="shared" si="47"/>
        <v>1.6899999999999997</v>
      </c>
      <c r="S155" s="155">
        <f>_xlfn.XLOOKUP(P155,'Annual Real'!A:A,'Annual Real'!B:B,0,0)</f>
        <v>6.9220737641998999</v>
      </c>
      <c r="T155" s="155">
        <f t="shared" ca="1" si="48"/>
        <v>5.2918489889826237</v>
      </c>
      <c r="U155" s="152">
        <f t="shared" ca="1" si="49"/>
        <v>5.2918489889826237</v>
      </c>
      <c r="V155" s="152" t="b">
        <f t="shared" si="55"/>
        <v>0</v>
      </c>
      <c r="W155" s="152" t="b">
        <f t="shared" si="56"/>
        <v>0</v>
      </c>
      <c r="X155" s="154">
        <f>LOOKUP(D155,'US Implicit Deflator'!A:A,'US Implicit Deflator'!B:B)/100</f>
        <v>4.2999999999999997E-2</v>
      </c>
      <c r="Y155" s="154">
        <f t="shared" si="50"/>
        <v>3.5145930840192463E-3</v>
      </c>
      <c r="Z155" s="165">
        <f t="shared" ca="1" si="51"/>
        <v>1.2904361287949089</v>
      </c>
      <c r="AA155" s="152">
        <f t="shared" si="52"/>
        <v>7</v>
      </c>
      <c r="AB155" s="153">
        <f t="shared" si="53"/>
        <v>26024</v>
      </c>
      <c r="AC155" s="155">
        <f t="shared" ca="1" si="54"/>
        <v>5.2918489889826237</v>
      </c>
    </row>
    <row r="156" spans="3:29">
      <c r="C156" s="152" t="str">
        <f>'Monthly Prices'!A144</f>
        <v>1971M05</v>
      </c>
      <c r="D156" s="153">
        <f t="shared" si="43"/>
        <v>26054</v>
      </c>
      <c r="E156" s="152">
        <f t="shared" si="44"/>
        <v>137</v>
      </c>
      <c r="F156" s="152" t="b">
        <f t="shared" si="38"/>
        <v>0</v>
      </c>
      <c r="G156" s="152" t="b">
        <f t="shared" si="39"/>
        <v>1</v>
      </c>
      <c r="H156" s="152" t="b">
        <f t="shared" si="40"/>
        <v>0</v>
      </c>
      <c r="I156" s="153" t="e">
        <f t="shared" si="41"/>
        <v>#N/A</v>
      </c>
      <c r="J156" s="158">
        <f>INDEX('Monthly Prices'!B144:CB144,$G$4)</f>
        <v>58.4</v>
      </c>
      <c r="K156" s="158" t="b">
        <f>IF(H156,INDEX('Monthly Prices'!B144:CB144,$G$4)*U156,FALSE)</f>
        <v>0</v>
      </c>
      <c r="L156" s="152" t="b">
        <f t="shared" si="45"/>
        <v>1</v>
      </c>
      <c r="M156" s="158">
        <f>INDEX('Monthly Prices'!B144:CB144,$G$5)</f>
        <v>28.622759685889999</v>
      </c>
      <c r="N156" s="158" t="b">
        <f>IF(H156,INDEX('Monthly Prices'!B144:CB144,$G$5)*U156,FALSE)</f>
        <v>0</v>
      </c>
      <c r="O156" s="152" t="b">
        <f t="shared" si="42"/>
        <v>1</v>
      </c>
      <c r="P156" s="152">
        <f t="shared" si="46"/>
        <v>1971</v>
      </c>
      <c r="Q156" s="159">
        <f>'Monthly Prices'!B144</f>
        <v>1.64</v>
      </c>
      <c r="R156" s="159">
        <f t="shared" si="47"/>
        <v>1.6899999999999997</v>
      </c>
      <c r="S156" s="155">
        <f>_xlfn.XLOOKUP(P156,'Annual Real'!A:A,'Annual Real'!B:B,0,0)</f>
        <v>6.9220737641998999</v>
      </c>
      <c r="T156" s="155">
        <f t="shared" ca="1" si="48"/>
        <v>5.2733154310388421</v>
      </c>
      <c r="U156" s="152">
        <f t="shared" ca="1" si="49"/>
        <v>5.2733154310388421</v>
      </c>
      <c r="V156" s="152" t="b">
        <f t="shared" si="55"/>
        <v>0</v>
      </c>
      <c r="W156" s="152" t="b">
        <f t="shared" si="56"/>
        <v>0</v>
      </c>
      <c r="X156" s="154">
        <f>LOOKUP(D156,'US Implicit Deflator'!A:A,'US Implicit Deflator'!B:B)/100</f>
        <v>4.2999999999999997E-2</v>
      </c>
      <c r="Y156" s="154">
        <f t="shared" si="50"/>
        <v>3.5145930840192463E-3</v>
      </c>
      <c r="Z156" s="165">
        <f t="shared" ca="1" si="51"/>
        <v>1.29497148668854</v>
      </c>
      <c r="AA156" s="152">
        <f t="shared" si="52"/>
        <v>7</v>
      </c>
      <c r="AB156" s="153">
        <f t="shared" si="53"/>
        <v>26054</v>
      </c>
      <c r="AC156" s="155">
        <f t="shared" ca="1" si="54"/>
        <v>5.2733154310388421</v>
      </c>
    </row>
    <row r="157" spans="3:29">
      <c r="C157" s="152" t="str">
        <f>'Monthly Prices'!A145</f>
        <v>1971M06</v>
      </c>
      <c r="D157" s="153">
        <f t="shared" si="43"/>
        <v>26085</v>
      </c>
      <c r="E157" s="152">
        <f t="shared" si="44"/>
        <v>138</v>
      </c>
      <c r="F157" s="152" t="b">
        <f t="shared" si="38"/>
        <v>0</v>
      </c>
      <c r="G157" s="152" t="b">
        <f t="shared" si="39"/>
        <v>1</v>
      </c>
      <c r="H157" s="152" t="b">
        <f t="shared" si="40"/>
        <v>0</v>
      </c>
      <c r="I157" s="153" t="e">
        <f t="shared" si="41"/>
        <v>#N/A</v>
      </c>
      <c r="J157" s="158">
        <f>INDEX('Monthly Prices'!B145:CB145,$G$4)</f>
        <v>58.4</v>
      </c>
      <c r="K157" s="158" t="b">
        <f>IF(H157,INDEX('Monthly Prices'!B145:CB145,$G$4)*U157,FALSE)</f>
        <v>0</v>
      </c>
      <c r="L157" s="152" t="b">
        <f t="shared" si="45"/>
        <v>1</v>
      </c>
      <c r="M157" s="158">
        <f>INDEX('Monthly Prices'!B145:CB145,$G$5)</f>
        <v>28.284179171270001</v>
      </c>
      <c r="N157" s="158" t="b">
        <f>IF(H157,INDEX('Monthly Prices'!B145:CB145,$G$5)*U157,FALSE)</f>
        <v>0</v>
      </c>
      <c r="O157" s="152" t="b">
        <f t="shared" si="42"/>
        <v>1</v>
      </c>
      <c r="P157" s="152">
        <f t="shared" si="46"/>
        <v>1971</v>
      </c>
      <c r="Q157" s="159">
        <f>'Monthly Prices'!B145</f>
        <v>1.64</v>
      </c>
      <c r="R157" s="159">
        <f t="shared" si="47"/>
        <v>1.6899999999999997</v>
      </c>
      <c r="S157" s="155">
        <f>_xlfn.XLOOKUP(P157,'Annual Real'!A:A,'Annual Real'!B:B,0,0)</f>
        <v>6.9220737641998999</v>
      </c>
      <c r="T157" s="155">
        <f t="shared" ca="1" si="48"/>
        <v>5.2548467828781575</v>
      </c>
      <c r="U157" s="152">
        <f t="shared" ca="1" si="49"/>
        <v>5.2548467828781575</v>
      </c>
      <c r="V157" s="152" t="b">
        <f t="shared" si="55"/>
        <v>0</v>
      </c>
      <c r="W157" s="152" t="b">
        <f t="shared" si="56"/>
        <v>0</v>
      </c>
      <c r="X157" s="154">
        <f>LOOKUP(D157,'US Implicit Deflator'!A:A,'US Implicit Deflator'!B:B)/100</f>
        <v>4.2999999999999997E-2</v>
      </c>
      <c r="Y157" s="154">
        <f t="shared" si="50"/>
        <v>3.5145930840192463E-3</v>
      </c>
      <c r="Z157" s="165">
        <f t="shared" ca="1" si="51"/>
        <v>1.2995227845196577</v>
      </c>
      <c r="AA157" s="152">
        <f t="shared" si="52"/>
        <v>7</v>
      </c>
      <c r="AB157" s="153">
        <f t="shared" si="53"/>
        <v>26085</v>
      </c>
      <c r="AC157" s="155">
        <f t="shared" ca="1" si="54"/>
        <v>5.2548467828781575</v>
      </c>
    </row>
    <row r="158" spans="3:29">
      <c r="C158" s="152" t="str">
        <f>'Monthly Prices'!A146</f>
        <v>1971M07</v>
      </c>
      <c r="D158" s="153">
        <f t="shared" si="43"/>
        <v>26115</v>
      </c>
      <c r="E158" s="152">
        <f t="shared" si="44"/>
        <v>139</v>
      </c>
      <c r="F158" s="152" t="b">
        <f t="shared" si="38"/>
        <v>0</v>
      </c>
      <c r="G158" s="152" t="b">
        <f t="shared" si="39"/>
        <v>1</v>
      </c>
      <c r="H158" s="152" t="b">
        <f t="shared" si="40"/>
        <v>0</v>
      </c>
      <c r="I158" s="153" t="e">
        <f t="shared" si="41"/>
        <v>#N/A</v>
      </c>
      <c r="J158" s="158">
        <f>INDEX('Monthly Prices'!B146:CB146,$G$4)</f>
        <v>58.4</v>
      </c>
      <c r="K158" s="158" t="b">
        <f>IF(H158,INDEX('Monthly Prices'!B146:CB146,$G$4)*U158,FALSE)</f>
        <v>0</v>
      </c>
      <c r="L158" s="152" t="b">
        <f t="shared" si="45"/>
        <v>1</v>
      </c>
      <c r="M158" s="158">
        <f>INDEX('Monthly Prices'!B146:CB146,$G$5)</f>
        <v>28.331132125340002</v>
      </c>
      <c r="N158" s="158" t="b">
        <f>IF(H158,INDEX('Monthly Prices'!B146:CB146,$G$5)*U158,FALSE)</f>
        <v>0</v>
      </c>
      <c r="O158" s="152" t="b">
        <f t="shared" si="42"/>
        <v>1</v>
      </c>
      <c r="P158" s="152">
        <f t="shared" si="46"/>
        <v>1971</v>
      </c>
      <c r="Q158" s="159">
        <f>'Monthly Prices'!B146</f>
        <v>1.74</v>
      </c>
      <c r="R158" s="159">
        <f t="shared" si="47"/>
        <v>1.6899999999999997</v>
      </c>
      <c r="S158" s="155">
        <f>_xlfn.XLOOKUP(P158,'Annual Real'!A:A,'Annual Real'!B:B,0,0)</f>
        <v>6.9220737641998999</v>
      </c>
      <c r="T158" s="155">
        <f t="shared" ca="1" si="48"/>
        <v>5.2347727648110904</v>
      </c>
      <c r="U158" s="152">
        <f t="shared" ca="1" si="49"/>
        <v>5.2347727648110904</v>
      </c>
      <c r="V158" s="152" t="b">
        <f t="shared" si="55"/>
        <v>0</v>
      </c>
      <c r="W158" s="152" t="b">
        <f t="shared" si="56"/>
        <v>0</v>
      </c>
      <c r="X158" s="154">
        <f>LOOKUP(D158,'US Implicit Deflator'!A:A,'US Implicit Deflator'!B:B)/100</f>
        <v>4.7E-2</v>
      </c>
      <c r="Y158" s="154">
        <f t="shared" si="50"/>
        <v>3.8347448817659391E-3</v>
      </c>
      <c r="Z158" s="165">
        <f t="shared" ca="1" si="51"/>
        <v>1.3045061228663328</v>
      </c>
      <c r="AA158" s="152">
        <f t="shared" si="52"/>
        <v>7</v>
      </c>
      <c r="AB158" s="153">
        <f t="shared" si="53"/>
        <v>26115</v>
      </c>
      <c r="AC158" s="155">
        <f t="shared" ca="1" si="54"/>
        <v>5.2347727648110904</v>
      </c>
    </row>
    <row r="159" spans="3:29">
      <c r="C159" s="152" t="str">
        <f>'Monthly Prices'!A147</f>
        <v>1971M08</v>
      </c>
      <c r="D159" s="153">
        <f t="shared" si="43"/>
        <v>26146</v>
      </c>
      <c r="E159" s="152">
        <f t="shared" si="44"/>
        <v>140</v>
      </c>
      <c r="F159" s="152" t="b">
        <f t="shared" si="38"/>
        <v>0</v>
      </c>
      <c r="G159" s="152" t="b">
        <f t="shared" si="39"/>
        <v>1</v>
      </c>
      <c r="H159" s="152" t="b">
        <f t="shared" si="40"/>
        <v>0</v>
      </c>
      <c r="I159" s="153" t="e">
        <f t="shared" si="41"/>
        <v>#N/A</v>
      </c>
      <c r="J159" s="158">
        <f>INDEX('Monthly Prices'!B147:CB147,$G$4)</f>
        <v>58.4</v>
      </c>
      <c r="K159" s="158" t="b">
        <f>IF(H159,INDEX('Monthly Prices'!B147:CB147,$G$4)*U159,FALSE)</f>
        <v>0</v>
      </c>
      <c r="L159" s="152" t="b">
        <f t="shared" si="45"/>
        <v>1</v>
      </c>
      <c r="M159" s="158">
        <f>INDEX('Monthly Prices'!B147:CB147,$G$5)</f>
        <v>28.299510307239998</v>
      </c>
      <c r="N159" s="158" t="b">
        <f>IF(H159,INDEX('Monthly Prices'!B147:CB147,$G$5)*U159,FALSE)</f>
        <v>0</v>
      </c>
      <c r="O159" s="152" t="b">
        <f t="shared" si="42"/>
        <v>1</v>
      </c>
      <c r="P159" s="152">
        <f t="shared" si="46"/>
        <v>1971</v>
      </c>
      <c r="Q159" s="159">
        <f>'Monthly Prices'!B147</f>
        <v>1.74</v>
      </c>
      <c r="R159" s="159">
        <f t="shared" si="47"/>
        <v>1.6899999999999997</v>
      </c>
      <c r="S159" s="155">
        <f>_xlfn.XLOOKUP(P159,'Annual Real'!A:A,'Annual Real'!B:B,0,0)</f>
        <v>6.9220737641998999</v>
      </c>
      <c r="T159" s="155">
        <f t="shared" ca="1" si="48"/>
        <v>5.2147754314159087</v>
      </c>
      <c r="U159" s="152">
        <f t="shared" ca="1" si="49"/>
        <v>5.2147754314159087</v>
      </c>
      <c r="V159" s="152" t="b">
        <f t="shared" si="55"/>
        <v>0</v>
      </c>
      <c r="W159" s="152" t="b">
        <f t="shared" si="56"/>
        <v>0</v>
      </c>
      <c r="X159" s="154">
        <f>LOOKUP(D159,'US Implicit Deflator'!A:A,'US Implicit Deflator'!B:B)/100</f>
        <v>4.7E-2</v>
      </c>
      <c r="Y159" s="154">
        <f t="shared" si="50"/>
        <v>3.8347448817659391E-3</v>
      </c>
      <c r="Z159" s="165">
        <f t="shared" ca="1" si="51"/>
        <v>1.3095085710442269</v>
      </c>
      <c r="AA159" s="152">
        <f t="shared" si="52"/>
        <v>7</v>
      </c>
      <c r="AB159" s="153">
        <f t="shared" si="53"/>
        <v>26146</v>
      </c>
      <c r="AC159" s="155">
        <f t="shared" ca="1" si="54"/>
        <v>5.2147754314159087</v>
      </c>
    </row>
    <row r="160" spans="3:29">
      <c r="C160" s="152" t="str">
        <f>'Monthly Prices'!A148</f>
        <v>1971M09</v>
      </c>
      <c r="D160" s="153">
        <f t="shared" si="43"/>
        <v>26177</v>
      </c>
      <c r="E160" s="152">
        <f t="shared" si="44"/>
        <v>141</v>
      </c>
      <c r="F160" s="152" t="b">
        <f t="shared" si="38"/>
        <v>0</v>
      </c>
      <c r="G160" s="152" t="b">
        <f t="shared" si="39"/>
        <v>1</v>
      </c>
      <c r="H160" s="152" t="b">
        <f t="shared" si="40"/>
        <v>0</v>
      </c>
      <c r="I160" s="153" t="e">
        <f t="shared" si="41"/>
        <v>#N/A</v>
      </c>
      <c r="J160" s="158">
        <f>INDEX('Monthly Prices'!B148:CB148,$G$4)</f>
        <v>58.4</v>
      </c>
      <c r="K160" s="158" t="b">
        <f>IF(H160,INDEX('Monthly Prices'!B148:CB148,$G$4)*U160,FALSE)</f>
        <v>0</v>
      </c>
      <c r="L160" s="152" t="b">
        <f t="shared" si="45"/>
        <v>1</v>
      </c>
      <c r="M160" s="158">
        <f>INDEX('Monthly Prices'!B148:CB148,$G$5)</f>
        <v>28.34648871165</v>
      </c>
      <c r="N160" s="158" t="b">
        <f>IF(H160,INDEX('Monthly Prices'!B148:CB148,$G$5)*U160,FALSE)</f>
        <v>0</v>
      </c>
      <c r="O160" s="152" t="b">
        <f t="shared" si="42"/>
        <v>1</v>
      </c>
      <c r="P160" s="152">
        <f t="shared" si="46"/>
        <v>1971</v>
      </c>
      <c r="Q160" s="159">
        <f>'Monthly Prices'!B148</f>
        <v>1.74</v>
      </c>
      <c r="R160" s="159">
        <f t="shared" si="47"/>
        <v>1.6899999999999997</v>
      </c>
      <c r="S160" s="155">
        <f>_xlfn.XLOOKUP(P160,'Annual Real'!A:A,'Annual Real'!B:B,0,0)</f>
        <v>6.9220737641998999</v>
      </c>
      <c r="T160" s="155">
        <f t="shared" ca="1" si="48"/>
        <v>5.1948544897498223</v>
      </c>
      <c r="U160" s="152">
        <f t="shared" ca="1" si="49"/>
        <v>5.1948544897498223</v>
      </c>
      <c r="V160" s="152" t="b">
        <f t="shared" si="55"/>
        <v>0</v>
      </c>
      <c r="W160" s="152" t="b">
        <f t="shared" si="56"/>
        <v>0</v>
      </c>
      <c r="X160" s="154">
        <f>LOOKUP(D160,'US Implicit Deflator'!A:A,'US Implicit Deflator'!B:B)/100</f>
        <v>4.7E-2</v>
      </c>
      <c r="Y160" s="154">
        <f t="shared" si="50"/>
        <v>3.8347448817659391E-3</v>
      </c>
      <c r="Z160" s="165">
        <f t="shared" ca="1" si="51"/>
        <v>1.3145302023346674</v>
      </c>
      <c r="AA160" s="152">
        <f t="shared" si="52"/>
        <v>7</v>
      </c>
      <c r="AB160" s="153">
        <f t="shared" si="53"/>
        <v>26177</v>
      </c>
      <c r="AC160" s="155">
        <f t="shared" ca="1" si="54"/>
        <v>5.1948544897498223</v>
      </c>
    </row>
    <row r="161" spans="3:29">
      <c r="C161" s="152" t="str">
        <f>'Monthly Prices'!A149</f>
        <v>1971M10</v>
      </c>
      <c r="D161" s="153">
        <f t="shared" si="43"/>
        <v>26207</v>
      </c>
      <c r="E161" s="152">
        <f t="shared" si="44"/>
        <v>142</v>
      </c>
      <c r="F161" s="152" t="b">
        <f t="shared" si="38"/>
        <v>0</v>
      </c>
      <c r="G161" s="152" t="b">
        <f t="shared" si="39"/>
        <v>1</v>
      </c>
      <c r="H161" s="152" t="b">
        <f t="shared" si="40"/>
        <v>0</v>
      </c>
      <c r="I161" s="153" t="e">
        <f t="shared" si="41"/>
        <v>#N/A</v>
      </c>
      <c r="J161" s="158">
        <f>INDEX('Monthly Prices'!B149:CB149,$G$4)</f>
        <v>58.4</v>
      </c>
      <c r="K161" s="158" t="b">
        <f>IF(H161,INDEX('Monthly Prices'!B149:CB149,$G$4)*U161,FALSE)</f>
        <v>0</v>
      </c>
      <c r="L161" s="152" t="b">
        <f t="shared" si="45"/>
        <v>1</v>
      </c>
      <c r="M161" s="158">
        <f>INDEX('Monthly Prices'!B149:CB149,$G$5)</f>
        <v>28.237086453309999</v>
      </c>
      <c r="N161" s="158" t="b">
        <f>IF(H161,INDEX('Monthly Prices'!B149:CB149,$G$5)*U161,FALSE)</f>
        <v>0</v>
      </c>
      <c r="O161" s="152" t="b">
        <f t="shared" si="42"/>
        <v>1</v>
      </c>
      <c r="P161" s="152">
        <f t="shared" si="46"/>
        <v>1971</v>
      </c>
      <c r="Q161" s="159">
        <f>'Monthly Prices'!B149</f>
        <v>1.74</v>
      </c>
      <c r="R161" s="159">
        <f t="shared" si="47"/>
        <v>1.6899999999999997</v>
      </c>
      <c r="S161" s="155">
        <f>_xlfn.XLOOKUP(P161,'Annual Real'!A:A,'Annual Real'!B:B,0,0)</f>
        <v>6.9220737641998999</v>
      </c>
      <c r="T161" s="155">
        <f t="shared" ca="1" si="48"/>
        <v>5.1795664326083735</v>
      </c>
      <c r="U161" s="152">
        <f t="shared" ca="1" si="49"/>
        <v>5.1795664326083735</v>
      </c>
      <c r="V161" s="152" t="b">
        <f t="shared" si="55"/>
        <v>0</v>
      </c>
      <c r="W161" s="152" t="b">
        <f t="shared" si="56"/>
        <v>0</v>
      </c>
      <c r="X161" s="154">
        <f>LOOKUP(D161,'US Implicit Deflator'!A:A,'US Implicit Deflator'!B:B)/100</f>
        <v>3.6000000000000004E-2</v>
      </c>
      <c r="Y161" s="154">
        <f t="shared" si="50"/>
        <v>2.9516094330215292E-3</v>
      </c>
      <c r="Z161" s="165">
        <f t="shared" ca="1" si="51"/>
        <v>1.3184101820798702</v>
      </c>
      <c r="AA161" s="152">
        <f t="shared" si="52"/>
        <v>7</v>
      </c>
      <c r="AB161" s="153">
        <f t="shared" si="53"/>
        <v>26207</v>
      </c>
      <c r="AC161" s="155">
        <f t="shared" ca="1" si="54"/>
        <v>5.1795664326083735</v>
      </c>
    </row>
    <row r="162" spans="3:29">
      <c r="C162" s="152" t="str">
        <f>'Monthly Prices'!A150</f>
        <v>1971M11</v>
      </c>
      <c r="D162" s="153">
        <f t="shared" si="43"/>
        <v>26238</v>
      </c>
      <c r="E162" s="152">
        <f t="shared" si="44"/>
        <v>143</v>
      </c>
      <c r="F162" s="152" t="b">
        <f t="shared" si="38"/>
        <v>0</v>
      </c>
      <c r="G162" s="152" t="b">
        <f t="shared" si="39"/>
        <v>1</v>
      </c>
      <c r="H162" s="152" t="b">
        <f t="shared" si="40"/>
        <v>0</v>
      </c>
      <c r="I162" s="153" t="e">
        <f t="shared" si="41"/>
        <v>#N/A</v>
      </c>
      <c r="J162" s="158">
        <f>INDEX('Monthly Prices'!B150:CB150,$G$4)</f>
        <v>58.4</v>
      </c>
      <c r="K162" s="158" t="b">
        <f>IF(H162,INDEX('Monthly Prices'!B150:CB150,$G$4)*U162,FALSE)</f>
        <v>0</v>
      </c>
      <c r="L162" s="152" t="b">
        <f t="shared" si="45"/>
        <v>1</v>
      </c>
      <c r="M162" s="158">
        <f>INDEX('Monthly Prices'!B150:CB150,$G$5)</f>
        <v>28.283961231439999</v>
      </c>
      <c r="N162" s="158" t="b">
        <f>IF(H162,INDEX('Monthly Prices'!B150:CB150,$G$5)*U162,FALSE)</f>
        <v>0</v>
      </c>
      <c r="O162" s="152" t="b">
        <f t="shared" si="42"/>
        <v>1</v>
      </c>
      <c r="P162" s="152">
        <f t="shared" si="46"/>
        <v>1971</v>
      </c>
      <c r="Q162" s="159">
        <f>'Monthly Prices'!B150</f>
        <v>1.74</v>
      </c>
      <c r="R162" s="159">
        <f t="shared" si="47"/>
        <v>1.6899999999999997</v>
      </c>
      <c r="S162" s="155">
        <f>_xlfn.XLOOKUP(P162,'Annual Real'!A:A,'Annual Real'!B:B,0,0)</f>
        <v>6.9220737641998999</v>
      </c>
      <c r="T162" s="155">
        <f t="shared" ca="1" si="48"/>
        <v>5.1643233670430355</v>
      </c>
      <c r="U162" s="152">
        <f t="shared" ca="1" si="49"/>
        <v>5.1643233670430355</v>
      </c>
      <c r="V162" s="152" t="b">
        <f t="shared" si="55"/>
        <v>0</v>
      </c>
      <c r="W162" s="152" t="b">
        <f t="shared" si="56"/>
        <v>0</v>
      </c>
      <c r="X162" s="154">
        <f>LOOKUP(D162,'US Implicit Deflator'!A:A,'US Implicit Deflator'!B:B)/100</f>
        <v>3.6000000000000004E-2</v>
      </c>
      <c r="Y162" s="154">
        <f t="shared" si="50"/>
        <v>2.9516094330215292E-3</v>
      </c>
      <c r="Z162" s="165">
        <f t="shared" ca="1" si="51"/>
        <v>1.3223016140098887</v>
      </c>
      <c r="AA162" s="152">
        <f t="shared" si="52"/>
        <v>7</v>
      </c>
      <c r="AB162" s="153">
        <f t="shared" si="53"/>
        <v>26238</v>
      </c>
      <c r="AC162" s="155">
        <f t="shared" ca="1" si="54"/>
        <v>5.1643233670430355</v>
      </c>
    </row>
    <row r="163" spans="3:29">
      <c r="C163" s="152" t="str">
        <f>'Monthly Prices'!A151</f>
        <v>1971M12</v>
      </c>
      <c r="D163" s="153">
        <f t="shared" si="43"/>
        <v>26268</v>
      </c>
      <c r="E163" s="152">
        <f t="shared" si="44"/>
        <v>144</v>
      </c>
      <c r="F163" s="152" t="b">
        <f t="shared" si="38"/>
        <v>0</v>
      </c>
      <c r="G163" s="152" t="b">
        <f t="shared" si="39"/>
        <v>1</v>
      </c>
      <c r="H163" s="152" t="b">
        <f t="shared" si="40"/>
        <v>0</v>
      </c>
      <c r="I163" s="153" t="e">
        <f t="shared" si="41"/>
        <v>#N/A</v>
      </c>
      <c r="J163" s="158">
        <f>INDEX('Monthly Prices'!B151:CB151,$G$4)</f>
        <v>58.4</v>
      </c>
      <c r="K163" s="158" t="b">
        <f>IF(H163,INDEX('Monthly Prices'!B151:CB151,$G$4)*U163,FALSE)</f>
        <v>0</v>
      </c>
      <c r="L163" s="152" t="b">
        <f t="shared" si="45"/>
        <v>1</v>
      </c>
      <c r="M163" s="158">
        <f>INDEX('Monthly Prices'!B151:CB151,$G$5)</f>
        <v>28.25095631656</v>
      </c>
      <c r="N163" s="158" t="b">
        <f>IF(H163,INDEX('Monthly Prices'!B151:CB151,$G$5)*U163,FALSE)</f>
        <v>0</v>
      </c>
      <c r="O163" s="152" t="b">
        <f t="shared" si="42"/>
        <v>1</v>
      </c>
      <c r="P163" s="152">
        <f t="shared" si="46"/>
        <v>1971</v>
      </c>
      <c r="Q163" s="159">
        <f>'Monthly Prices'!B151</f>
        <v>1.74</v>
      </c>
      <c r="R163" s="159">
        <f t="shared" si="47"/>
        <v>1.6899999999999997</v>
      </c>
      <c r="S163" s="155">
        <f>_xlfn.XLOOKUP(P163,'Annual Real'!A:A,'Annual Real'!B:B,0,0)</f>
        <v>6.9220737641998999</v>
      </c>
      <c r="T163" s="155">
        <f t="shared" ca="1" si="48"/>
        <v>5.1491251606470616</v>
      </c>
      <c r="U163" s="152">
        <f t="shared" ca="1" si="49"/>
        <v>5.1491251606470616</v>
      </c>
      <c r="V163" s="152" t="b">
        <f t="shared" si="55"/>
        <v>0</v>
      </c>
      <c r="W163" s="152" t="b">
        <f t="shared" si="56"/>
        <v>0</v>
      </c>
      <c r="X163" s="154">
        <f>LOOKUP(D163,'US Implicit Deflator'!A:A,'US Implicit Deflator'!B:B)/100</f>
        <v>3.6000000000000004E-2</v>
      </c>
      <c r="Y163" s="154">
        <f t="shared" si="50"/>
        <v>2.9516094330215292E-3</v>
      </c>
      <c r="Z163" s="165">
        <f t="shared" ca="1" si="51"/>
        <v>1.3262045319270999</v>
      </c>
      <c r="AA163" s="152">
        <f t="shared" si="52"/>
        <v>7</v>
      </c>
      <c r="AB163" s="153">
        <f t="shared" si="53"/>
        <v>26268</v>
      </c>
      <c r="AC163" s="155">
        <f t="shared" ca="1" si="54"/>
        <v>5.1491251606470616</v>
      </c>
    </row>
    <row r="164" spans="3:29">
      <c r="C164" s="152" t="str">
        <f>'Monthly Prices'!A152</f>
        <v>1972M01</v>
      </c>
      <c r="D164" s="153">
        <f t="shared" si="43"/>
        <v>26299</v>
      </c>
      <c r="E164" s="152">
        <f t="shared" si="44"/>
        <v>145</v>
      </c>
      <c r="F164" s="152" t="b">
        <f t="shared" si="38"/>
        <v>0</v>
      </c>
      <c r="G164" s="152" t="b">
        <f t="shared" si="39"/>
        <v>1</v>
      </c>
      <c r="H164" s="152" t="b">
        <f t="shared" si="40"/>
        <v>0</v>
      </c>
      <c r="I164" s="153" t="e">
        <f t="shared" si="41"/>
        <v>#N/A</v>
      </c>
      <c r="J164" s="158">
        <f>INDEX('Monthly Prices'!B152:CB152,$G$4)</f>
        <v>51.33</v>
      </c>
      <c r="K164" s="158" t="b">
        <f>IF(H164,INDEX('Monthly Prices'!B152:CB152,$G$4)*U164,FALSE)</f>
        <v>0</v>
      </c>
      <c r="L164" s="152" t="b">
        <f t="shared" si="45"/>
        <v>1</v>
      </c>
      <c r="M164" s="158">
        <f>INDEX('Monthly Prices'!B152:CB152,$G$5)</f>
        <v>27.06295183816</v>
      </c>
      <c r="N164" s="158" t="b">
        <f>IF(H164,INDEX('Monthly Prices'!B152:CB152,$G$5)*U164,FALSE)</f>
        <v>0</v>
      </c>
      <c r="O164" s="152" t="b">
        <f t="shared" si="42"/>
        <v>1</v>
      </c>
      <c r="P164" s="152">
        <f t="shared" si="46"/>
        <v>1972</v>
      </c>
      <c r="Q164" s="159">
        <f>'Monthly Prices'!B152</f>
        <v>1.77</v>
      </c>
      <c r="R164" s="159">
        <f t="shared" si="47"/>
        <v>1.8200000000000003</v>
      </c>
      <c r="S164" s="155">
        <f>_xlfn.XLOOKUP(P164,'Annual Real'!A:A,'Annual Real'!B:B,0,0)</f>
        <v>6.8337153143724203</v>
      </c>
      <c r="T164" s="155">
        <f t="shared" ca="1" si="48"/>
        <v>5.1331466153910545</v>
      </c>
      <c r="U164" s="152">
        <f t="shared" ca="1" si="49"/>
        <v>5.1331466153910545</v>
      </c>
      <c r="V164" s="152" t="b">
        <f t="shared" si="55"/>
        <v>0</v>
      </c>
      <c r="W164" s="152" t="b">
        <f t="shared" si="56"/>
        <v>0</v>
      </c>
      <c r="X164" s="154">
        <f>LOOKUP(D164,'US Implicit Deflator'!A:A,'US Implicit Deflator'!B:B)/100</f>
        <v>3.7999999999999999E-2</v>
      </c>
      <c r="Y164" s="154">
        <f t="shared" si="50"/>
        <v>3.1128168457330574E-3</v>
      </c>
      <c r="Z164" s="165">
        <f t="shared" ca="1" si="51"/>
        <v>1.33033276373497</v>
      </c>
      <c r="AA164" s="152">
        <f t="shared" si="52"/>
        <v>7</v>
      </c>
      <c r="AB164" s="153">
        <f t="shared" si="53"/>
        <v>26299</v>
      </c>
      <c r="AC164" s="155">
        <f t="shared" ca="1" si="54"/>
        <v>5.1331466153910545</v>
      </c>
    </row>
    <row r="165" spans="3:29">
      <c r="C165" s="152" t="str">
        <f>'Monthly Prices'!A153</f>
        <v>1972M02</v>
      </c>
      <c r="D165" s="153">
        <f t="shared" si="43"/>
        <v>26330</v>
      </c>
      <c r="E165" s="152">
        <f t="shared" si="44"/>
        <v>146</v>
      </c>
      <c r="F165" s="152" t="b">
        <f t="shared" si="38"/>
        <v>0</v>
      </c>
      <c r="G165" s="152" t="b">
        <f t="shared" si="39"/>
        <v>1</v>
      </c>
      <c r="H165" s="152" t="b">
        <f t="shared" si="40"/>
        <v>0</v>
      </c>
      <c r="I165" s="153" t="e">
        <f t="shared" si="41"/>
        <v>#N/A</v>
      </c>
      <c r="J165" s="158">
        <f>INDEX('Monthly Prices'!B153:CB153,$G$4)</f>
        <v>51.72</v>
      </c>
      <c r="K165" s="158" t="b">
        <f>IF(H165,INDEX('Monthly Prices'!B153:CB153,$G$4)*U165,FALSE)</f>
        <v>0</v>
      </c>
      <c r="L165" s="152" t="b">
        <f t="shared" si="45"/>
        <v>1</v>
      </c>
      <c r="M165" s="158">
        <f>INDEX('Monthly Prices'!B153:CB153,$G$5)</f>
        <v>27.178920096150001</v>
      </c>
      <c r="N165" s="158" t="b">
        <f>IF(H165,INDEX('Monthly Prices'!B153:CB153,$G$5)*U165,FALSE)</f>
        <v>0</v>
      </c>
      <c r="O165" s="152" t="b">
        <f t="shared" si="42"/>
        <v>1</v>
      </c>
      <c r="P165" s="152">
        <f t="shared" si="46"/>
        <v>1972</v>
      </c>
      <c r="Q165" s="159">
        <f>'Monthly Prices'!B153</f>
        <v>1.77</v>
      </c>
      <c r="R165" s="159">
        <f t="shared" si="47"/>
        <v>1.8200000000000003</v>
      </c>
      <c r="S165" s="155">
        <f>_xlfn.XLOOKUP(P165,'Annual Real'!A:A,'Annual Real'!B:B,0,0)</f>
        <v>6.8337153143724203</v>
      </c>
      <c r="T165" s="155">
        <f t="shared" ca="1" si="48"/>
        <v>5.1172176540741701</v>
      </c>
      <c r="U165" s="152">
        <f t="shared" ca="1" si="49"/>
        <v>5.1172176540741701</v>
      </c>
      <c r="V165" s="152" t="b">
        <f t="shared" si="55"/>
        <v>0</v>
      </c>
      <c r="W165" s="152" t="b">
        <f t="shared" si="56"/>
        <v>0</v>
      </c>
      <c r="X165" s="154">
        <f>LOOKUP(D165,'US Implicit Deflator'!A:A,'US Implicit Deflator'!B:B)/100</f>
        <v>3.7999999999999999E-2</v>
      </c>
      <c r="Y165" s="154">
        <f t="shared" si="50"/>
        <v>3.1128168457330574E-3</v>
      </c>
      <c r="Z165" s="165">
        <f t="shared" ca="1" si="51"/>
        <v>1.3344738459723549</v>
      </c>
      <c r="AA165" s="152">
        <f t="shared" si="52"/>
        <v>7</v>
      </c>
      <c r="AB165" s="153">
        <f t="shared" si="53"/>
        <v>26330</v>
      </c>
      <c r="AC165" s="155">
        <f t="shared" ca="1" si="54"/>
        <v>5.1172176540741701</v>
      </c>
    </row>
    <row r="166" spans="3:29">
      <c r="C166" s="152" t="str">
        <f>'Monthly Prices'!A154</f>
        <v>1972M03</v>
      </c>
      <c r="D166" s="153">
        <f t="shared" si="43"/>
        <v>26359</v>
      </c>
      <c r="E166" s="152">
        <f t="shared" si="44"/>
        <v>147</v>
      </c>
      <c r="F166" s="152" t="b">
        <f t="shared" si="38"/>
        <v>0</v>
      </c>
      <c r="G166" s="152" t="b">
        <f t="shared" si="39"/>
        <v>1</v>
      </c>
      <c r="H166" s="152" t="b">
        <f t="shared" si="40"/>
        <v>0</v>
      </c>
      <c r="I166" s="153" t="e">
        <f t="shared" si="41"/>
        <v>#N/A</v>
      </c>
      <c r="J166" s="158">
        <f>INDEX('Monthly Prices'!B154:CB154,$G$4)</f>
        <v>52.51</v>
      </c>
      <c r="K166" s="158" t="b">
        <f>IF(H166,INDEX('Monthly Prices'!B154:CB154,$G$4)*U166,FALSE)</f>
        <v>0</v>
      </c>
      <c r="L166" s="152" t="b">
        <f t="shared" si="45"/>
        <v>1</v>
      </c>
      <c r="M166" s="158">
        <f>INDEX('Monthly Prices'!B154:CB154,$G$5)</f>
        <v>27.367115362260002</v>
      </c>
      <c r="N166" s="158" t="b">
        <f>IF(H166,INDEX('Monthly Prices'!B154:CB154,$G$5)*U166,FALSE)</f>
        <v>0</v>
      </c>
      <c r="O166" s="152" t="b">
        <f t="shared" si="42"/>
        <v>1</v>
      </c>
      <c r="P166" s="152">
        <f t="shared" si="46"/>
        <v>1972</v>
      </c>
      <c r="Q166" s="159">
        <f>'Monthly Prices'!B154</f>
        <v>1.77</v>
      </c>
      <c r="R166" s="159">
        <f t="shared" si="47"/>
        <v>1.8200000000000003</v>
      </c>
      <c r="S166" s="155">
        <f>_xlfn.XLOOKUP(P166,'Annual Real'!A:A,'Annual Real'!B:B,0,0)</f>
        <v>6.8337153143724203</v>
      </c>
      <c r="T166" s="155">
        <f t="shared" ca="1" si="48"/>
        <v>5.1013381228296453</v>
      </c>
      <c r="U166" s="152">
        <f t="shared" ca="1" si="49"/>
        <v>5.1013381228296453</v>
      </c>
      <c r="V166" s="152" t="b">
        <f t="shared" si="55"/>
        <v>0</v>
      </c>
      <c r="W166" s="152" t="b">
        <f t="shared" si="56"/>
        <v>0</v>
      </c>
      <c r="X166" s="154">
        <f>LOOKUP(D166,'US Implicit Deflator'!A:A,'US Implicit Deflator'!B:B)/100</f>
        <v>3.7999999999999999E-2</v>
      </c>
      <c r="Y166" s="154">
        <f t="shared" si="50"/>
        <v>3.1128168457330574E-3</v>
      </c>
      <c r="Z166" s="165">
        <f t="shared" ca="1" si="51"/>
        <v>1.3386278186402878</v>
      </c>
      <c r="AA166" s="152">
        <f t="shared" si="52"/>
        <v>7</v>
      </c>
      <c r="AB166" s="153">
        <f t="shared" si="53"/>
        <v>26359</v>
      </c>
      <c r="AC166" s="155">
        <f t="shared" ca="1" si="54"/>
        <v>5.1013381228296453</v>
      </c>
    </row>
    <row r="167" spans="3:29">
      <c r="C167" s="152" t="str">
        <f>'Monthly Prices'!A155</f>
        <v>1972M04</v>
      </c>
      <c r="D167" s="153">
        <f t="shared" si="43"/>
        <v>26390</v>
      </c>
      <c r="E167" s="152">
        <f t="shared" si="44"/>
        <v>148</v>
      </c>
      <c r="F167" s="152" t="b">
        <f t="shared" si="38"/>
        <v>0</v>
      </c>
      <c r="G167" s="152" t="b">
        <f t="shared" si="39"/>
        <v>1</v>
      </c>
      <c r="H167" s="152" t="b">
        <f t="shared" si="40"/>
        <v>0</v>
      </c>
      <c r="I167" s="153" t="e">
        <f t="shared" si="41"/>
        <v>#N/A</v>
      </c>
      <c r="J167" s="158">
        <f>INDEX('Monthly Prices'!B155:CB155,$G$4)</f>
        <v>53.68</v>
      </c>
      <c r="K167" s="158" t="b">
        <f>IF(H167,INDEX('Monthly Prices'!B155:CB155,$G$4)*U167,FALSE)</f>
        <v>0</v>
      </c>
      <c r="L167" s="152" t="b">
        <f t="shared" si="45"/>
        <v>1</v>
      </c>
      <c r="M167" s="158">
        <f>INDEX('Monthly Prices'!B155:CB155,$G$5)</f>
        <v>27.700405945970001</v>
      </c>
      <c r="N167" s="158" t="b">
        <f>IF(H167,INDEX('Monthly Prices'!B155:CB155,$G$5)*U167,FALSE)</f>
        <v>0</v>
      </c>
      <c r="O167" s="152" t="b">
        <f t="shared" si="42"/>
        <v>1</v>
      </c>
      <c r="P167" s="152">
        <f t="shared" si="46"/>
        <v>1972</v>
      </c>
      <c r="Q167" s="159">
        <f>'Monthly Prices'!B155</f>
        <v>1.77</v>
      </c>
      <c r="R167" s="159">
        <f t="shared" si="47"/>
        <v>1.8200000000000003</v>
      </c>
      <c r="S167" s="155">
        <f>_xlfn.XLOOKUP(P167,'Annual Real'!A:A,'Annual Real'!B:B,0,0)</f>
        <v>6.8337153143724203</v>
      </c>
      <c r="T167" s="155">
        <f t="shared" ca="1" si="48"/>
        <v>5.0891997301882714</v>
      </c>
      <c r="U167" s="152">
        <f t="shared" ca="1" si="49"/>
        <v>5.0891997301882714</v>
      </c>
      <c r="V167" s="152" t="b">
        <f t="shared" si="55"/>
        <v>0</v>
      </c>
      <c r="W167" s="152" t="b">
        <f t="shared" si="56"/>
        <v>0</v>
      </c>
      <c r="X167" s="154">
        <f>LOOKUP(D167,'US Implicit Deflator'!A:A,'US Implicit Deflator'!B:B)/100</f>
        <v>2.8999999999999998E-2</v>
      </c>
      <c r="Y167" s="154">
        <f t="shared" si="50"/>
        <v>2.3851279739270925E-3</v>
      </c>
      <c r="Z167" s="165">
        <f t="shared" ca="1" si="51"/>
        <v>1.3418206172972038</v>
      </c>
      <c r="AA167" s="152">
        <f t="shared" si="52"/>
        <v>7</v>
      </c>
      <c r="AB167" s="153">
        <f t="shared" si="53"/>
        <v>26390</v>
      </c>
      <c r="AC167" s="155">
        <f t="shared" ca="1" si="54"/>
        <v>5.0891997301882714</v>
      </c>
    </row>
    <row r="168" spans="3:29">
      <c r="C168" s="152" t="str">
        <f>'Monthly Prices'!A156</f>
        <v>1972M05</v>
      </c>
      <c r="D168" s="153">
        <f t="shared" si="43"/>
        <v>26420</v>
      </c>
      <c r="E168" s="152">
        <f t="shared" si="44"/>
        <v>149</v>
      </c>
      <c r="F168" s="152" t="b">
        <f t="shared" si="38"/>
        <v>0</v>
      </c>
      <c r="G168" s="152" t="b">
        <f t="shared" si="39"/>
        <v>1</v>
      </c>
      <c r="H168" s="152" t="b">
        <f t="shared" si="40"/>
        <v>0</v>
      </c>
      <c r="I168" s="153" t="e">
        <f t="shared" si="41"/>
        <v>#N/A</v>
      </c>
      <c r="J168" s="158">
        <f>INDEX('Monthly Prices'!B156:CB156,$G$4)</f>
        <v>54.48</v>
      </c>
      <c r="K168" s="158" t="b">
        <f>IF(H168,INDEX('Monthly Prices'!B156:CB156,$G$4)*U168,FALSE)</f>
        <v>0</v>
      </c>
      <c r="L168" s="152" t="b">
        <f t="shared" si="45"/>
        <v>1</v>
      </c>
      <c r="M168" s="158">
        <f>INDEX('Monthly Prices'!B156:CB156,$G$5)</f>
        <v>27.888683322049999</v>
      </c>
      <c r="N168" s="158" t="b">
        <f>IF(H168,INDEX('Monthly Prices'!B156:CB156,$G$5)*U168,FALSE)</f>
        <v>0</v>
      </c>
      <c r="O168" s="152" t="b">
        <f t="shared" si="42"/>
        <v>1</v>
      </c>
      <c r="P168" s="152">
        <f t="shared" si="46"/>
        <v>1972</v>
      </c>
      <c r="Q168" s="159">
        <f>'Monthly Prices'!B156</f>
        <v>1.77</v>
      </c>
      <c r="R168" s="159">
        <f t="shared" si="47"/>
        <v>1.8200000000000003</v>
      </c>
      <c r="S168" s="155">
        <f>_xlfn.XLOOKUP(P168,'Annual Real'!A:A,'Annual Real'!B:B,0,0)</f>
        <v>6.8337153143724203</v>
      </c>
      <c r="T168" s="155">
        <f t="shared" ca="1" si="48"/>
        <v>5.0770902202777348</v>
      </c>
      <c r="U168" s="152">
        <f t="shared" ca="1" si="49"/>
        <v>5.0770902202777348</v>
      </c>
      <c r="V168" s="152" t="b">
        <f t="shared" si="55"/>
        <v>0</v>
      </c>
      <c r="W168" s="152" t="b">
        <f t="shared" si="56"/>
        <v>0</v>
      </c>
      <c r="X168" s="154">
        <f>LOOKUP(D168,'US Implicit Deflator'!A:A,'US Implicit Deflator'!B:B)/100</f>
        <v>2.8999999999999998E-2</v>
      </c>
      <c r="Y168" s="154">
        <f t="shared" si="50"/>
        <v>2.3851279739270925E-3</v>
      </c>
      <c r="Z168" s="165">
        <f t="shared" ca="1" si="51"/>
        <v>1.3450210311875115</v>
      </c>
      <c r="AA168" s="152">
        <f t="shared" si="52"/>
        <v>7</v>
      </c>
      <c r="AB168" s="153">
        <f t="shared" si="53"/>
        <v>26420</v>
      </c>
      <c r="AC168" s="155">
        <f t="shared" ca="1" si="54"/>
        <v>5.0770902202777348</v>
      </c>
    </row>
    <row r="169" spans="3:29">
      <c r="C169" s="152" t="str">
        <f>'Monthly Prices'!A157</f>
        <v>1972M06</v>
      </c>
      <c r="D169" s="153">
        <f t="shared" si="43"/>
        <v>26451</v>
      </c>
      <c r="E169" s="152">
        <f t="shared" si="44"/>
        <v>150</v>
      </c>
      <c r="F169" s="152" t="b">
        <f t="shared" si="38"/>
        <v>0</v>
      </c>
      <c r="G169" s="152" t="b">
        <f t="shared" si="39"/>
        <v>1</v>
      </c>
      <c r="H169" s="152" t="b">
        <f t="shared" si="40"/>
        <v>0</v>
      </c>
      <c r="I169" s="153" t="e">
        <f t="shared" si="41"/>
        <v>#N/A</v>
      </c>
      <c r="J169" s="158">
        <f>INDEX('Monthly Prices'!B157:CB157,$G$4)</f>
        <v>52.9</v>
      </c>
      <c r="K169" s="158" t="b">
        <f>IF(H169,INDEX('Monthly Prices'!B157:CB157,$G$4)*U169,FALSE)</f>
        <v>0</v>
      </c>
      <c r="L169" s="152" t="b">
        <f t="shared" si="45"/>
        <v>1</v>
      </c>
      <c r="M169" s="158">
        <f>INDEX('Monthly Prices'!B157:CB157,$G$5)</f>
        <v>27.574097412130001</v>
      </c>
      <c r="N169" s="158" t="b">
        <f>IF(H169,INDEX('Monthly Prices'!B157:CB157,$G$5)*U169,FALSE)</f>
        <v>0</v>
      </c>
      <c r="O169" s="152" t="b">
        <f t="shared" si="42"/>
        <v>1</v>
      </c>
      <c r="P169" s="152">
        <f t="shared" si="46"/>
        <v>1972</v>
      </c>
      <c r="Q169" s="159">
        <f>'Monthly Prices'!B157</f>
        <v>1.77</v>
      </c>
      <c r="R169" s="159">
        <f t="shared" si="47"/>
        <v>1.8200000000000003</v>
      </c>
      <c r="S169" s="155">
        <f>_xlfn.XLOOKUP(P169,'Annual Real'!A:A,'Annual Real'!B:B,0,0)</f>
        <v>6.8337153143724203</v>
      </c>
      <c r="T169" s="155">
        <f t="shared" ca="1" si="48"/>
        <v>5.0650095243729458</v>
      </c>
      <c r="U169" s="152">
        <f t="shared" ca="1" si="49"/>
        <v>5.0650095243729458</v>
      </c>
      <c r="V169" s="152" t="b">
        <f t="shared" si="55"/>
        <v>0</v>
      </c>
      <c r="W169" s="152" t="b">
        <f t="shared" si="56"/>
        <v>0</v>
      </c>
      <c r="X169" s="154">
        <f>LOOKUP(D169,'US Implicit Deflator'!A:A,'US Implicit Deflator'!B:B)/100</f>
        <v>2.8999999999999998E-2</v>
      </c>
      <c r="Y169" s="154">
        <f t="shared" si="50"/>
        <v>2.3851279739270925E-3</v>
      </c>
      <c r="Z169" s="165">
        <f t="shared" ca="1" si="51"/>
        <v>1.348229078474517</v>
      </c>
      <c r="AA169" s="152">
        <f t="shared" si="52"/>
        <v>7</v>
      </c>
      <c r="AB169" s="153">
        <f t="shared" si="53"/>
        <v>26451</v>
      </c>
      <c r="AC169" s="155">
        <f t="shared" ca="1" si="54"/>
        <v>5.0650095243729458</v>
      </c>
    </row>
    <row r="170" spans="3:29">
      <c r="C170" s="152" t="str">
        <f>'Monthly Prices'!A158</f>
        <v>1972M07</v>
      </c>
      <c r="D170" s="153">
        <f t="shared" si="43"/>
        <v>26481</v>
      </c>
      <c r="E170" s="152">
        <f t="shared" si="44"/>
        <v>151</v>
      </c>
      <c r="F170" s="152" t="b">
        <f t="shared" si="38"/>
        <v>0</v>
      </c>
      <c r="G170" s="152" t="b">
        <f t="shared" si="39"/>
        <v>1</v>
      </c>
      <c r="H170" s="152" t="b">
        <f t="shared" si="40"/>
        <v>0</v>
      </c>
      <c r="I170" s="153" t="e">
        <f t="shared" si="41"/>
        <v>#N/A</v>
      </c>
      <c r="J170" s="158">
        <f>INDEX('Monthly Prices'!B158:CB158,$G$4)</f>
        <v>54.07</v>
      </c>
      <c r="K170" s="158" t="b">
        <f>IF(H170,INDEX('Monthly Prices'!B158:CB158,$G$4)*U170,FALSE)</f>
        <v>0</v>
      </c>
      <c r="L170" s="152" t="b">
        <f t="shared" si="45"/>
        <v>1</v>
      </c>
      <c r="M170" s="158">
        <f>INDEX('Monthly Prices'!B158:CB158,$G$5)</f>
        <v>27.9083578784</v>
      </c>
      <c r="N170" s="158" t="b">
        <f>IF(H170,INDEX('Monthly Prices'!B158:CB158,$G$5)*U170,FALSE)</f>
        <v>0</v>
      </c>
      <c r="O170" s="152" t="b">
        <f t="shared" si="42"/>
        <v>1</v>
      </c>
      <c r="P170" s="152">
        <f t="shared" si="46"/>
        <v>1972</v>
      </c>
      <c r="Q170" s="159">
        <f>'Monthly Prices'!B158</f>
        <v>1.87</v>
      </c>
      <c r="R170" s="159">
        <f t="shared" si="47"/>
        <v>1.8200000000000003</v>
      </c>
      <c r="S170" s="155">
        <f>_xlfn.XLOOKUP(P170,'Annual Real'!A:A,'Annual Real'!B:B,0,0)</f>
        <v>6.8337153143724203</v>
      </c>
      <c r="T170" s="155">
        <f t="shared" ca="1" si="48"/>
        <v>5.0541871544304078</v>
      </c>
      <c r="U170" s="152">
        <f t="shared" ca="1" si="49"/>
        <v>5.0541871544304078</v>
      </c>
      <c r="V170" s="152" t="b">
        <f t="shared" si="55"/>
        <v>0</v>
      </c>
      <c r="W170" s="152" t="b">
        <f t="shared" si="56"/>
        <v>0</v>
      </c>
      <c r="X170" s="154">
        <f>LOOKUP(D170,'US Implicit Deflator'!A:A,'US Implicit Deflator'!B:B)/100</f>
        <v>2.6000000000000002E-2</v>
      </c>
      <c r="Y170" s="154">
        <f t="shared" si="50"/>
        <v>2.1412681429993086E-3</v>
      </c>
      <c r="Z170" s="165">
        <f t="shared" ca="1" si="51"/>
        <v>1.3511159984497199</v>
      </c>
      <c r="AA170" s="152">
        <f t="shared" si="52"/>
        <v>7</v>
      </c>
      <c r="AB170" s="153">
        <f t="shared" si="53"/>
        <v>26481</v>
      </c>
      <c r="AC170" s="155">
        <f t="shared" ca="1" si="54"/>
        <v>5.0541871544304078</v>
      </c>
    </row>
    <row r="171" spans="3:29">
      <c r="C171" s="152" t="str">
        <f>'Monthly Prices'!A159</f>
        <v>1972M08</v>
      </c>
      <c r="D171" s="153">
        <f t="shared" si="43"/>
        <v>26512</v>
      </c>
      <c r="E171" s="152">
        <f t="shared" si="44"/>
        <v>152</v>
      </c>
      <c r="F171" s="152" t="b">
        <f t="shared" si="38"/>
        <v>0</v>
      </c>
      <c r="G171" s="152" t="b">
        <f t="shared" si="39"/>
        <v>1</v>
      </c>
      <c r="H171" s="152" t="b">
        <f t="shared" si="40"/>
        <v>0</v>
      </c>
      <c r="I171" s="153" t="e">
        <f t="shared" si="41"/>
        <v>#N/A</v>
      </c>
      <c r="J171" s="158">
        <f>INDEX('Monthly Prices'!B159:CB159,$G$4)</f>
        <v>55.66</v>
      </c>
      <c r="K171" s="158" t="b">
        <f>IF(H171,INDEX('Monthly Prices'!B159:CB159,$G$4)*U171,FALSE)</f>
        <v>0</v>
      </c>
      <c r="L171" s="152" t="b">
        <f t="shared" si="45"/>
        <v>1</v>
      </c>
      <c r="M171" s="158">
        <f>INDEX('Monthly Prices'!B159:CB159,$G$5)</f>
        <v>28.6286672552</v>
      </c>
      <c r="N171" s="158" t="b">
        <f>IF(H171,INDEX('Monthly Prices'!B159:CB159,$G$5)*U171,FALSE)</f>
        <v>0</v>
      </c>
      <c r="O171" s="152" t="b">
        <f t="shared" si="42"/>
        <v>1</v>
      </c>
      <c r="P171" s="152">
        <f t="shared" si="46"/>
        <v>1972</v>
      </c>
      <c r="Q171" s="159">
        <f>'Monthly Prices'!B159</f>
        <v>1.87</v>
      </c>
      <c r="R171" s="159">
        <f t="shared" si="47"/>
        <v>1.8200000000000003</v>
      </c>
      <c r="S171" s="155">
        <f>_xlfn.XLOOKUP(P171,'Annual Real'!A:A,'Annual Real'!B:B,0,0)</f>
        <v>6.8337153143724203</v>
      </c>
      <c r="T171" s="155">
        <f t="shared" ca="1" si="48"/>
        <v>5.0433879085690014</v>
      </c>
      <c r="U171" s="152">
        <f t="shared" ca="1" si="49"/>
        <v>5.0433879085690014</v>
      </c>
      <c r="V171" s="152" t="b">
        <f t="shared" si="55"/>
        <v>0</v>
      </c>
      <c r="W171" s="152" t="b">
        <f t="shared" si="56"/>
        <v>0</v>
      </c>
      <c r="X171" s="154">
        <f>LOOKUP(D171,'US Implicit Deflator'!A:A,'US Implicit Deflator'!B:B)/100</f>
        <v>2.6000000000000002E-2</v>
      </c>
      <c r="Y171" s="154">
        <f t="shared" si="50"/>
        <v>2.1412681429993086E-3</v>
      </c>
      <c r="Z171" s="165">
        <f t="shared" ca="1" si="51"/>
        <v>1.354009100094697</v>
      </c>
      <c r="AA171" s="152">
        <f t="shared" si="52"/>
        <v>7</v>
      </c>
      <c r="AB171" s="153">
        <f t="shared" si="53"/>
        <v>26512</v>
      </c>
      <c r="AC171" s="155">
        <f t="shared" ca="1" si="54"/>
        <v>5.0433879085690014</v>
      </c>
    </row>
    <row r="172" spans="3:29">
      <c r="C172" s="152" t="str">
        <f>'Monthly Prices'!A160</f>
        <v>1972M09</v>
      </c>
      <c r="D172" s="153">
        <f t="shared" si="43"/>
        <v>26543</v>
      </c>
      <c r="E172" s="152">
        <f t="shared" si="44"/>
        <v>153</v>
      </c>
      <c r="F172" s="152" t="b">
        <f t="shared" si="38"/>
        <v>0</v>
      </c>
      <c r="G172" s="152" t="b">
        <f t="shared" si="39"/>
        <v>1</v>
      </c>
      <c r="H172" s="152" t="b">
        <f t="shared" si="40"/>
        <v>0</v>
      </c>
      <c r="I172" s="153" t="e">
        <f t="shared" si="41"/>
        <v>#N/A</v>
      </c>
      <c r="J172" s="158">
        <f>INDEX('Monthly Prices'!B160:CB160,$G$4)</f>
        <v>59.2</v>
      </c>
      <c r="K172" s="158" t="b">
        <f>IF(H172,INDEX('Monthly Prices'!B160:CB160,$G$4)*U172,FALSE)</f>
        <v>0</v>
      </c>
      <c r="L172" s="152" t="b">
        <f t="shared" si="45"/>
        <v>1</v>
      </c>
      <c r="M172" s="158">
        <f>INDEX('Monthly Prices'!B160:CB160,$G$5)</f>
        <v>32.15085873956</v>
      </c>
      <c r="N172" s="158" t="b">
        <f>IF(H172,INDEX('Monthly Prices'!B160:CB160,$G$5)*U172,FALSE)</f>
        <v>0</v>
      </c>
      <c r="O172" s="152" t="b">
        <f t="shared" si="42"/>
        <v>1</v>
      </c>
      <c r="P172" s="152">
        <f t="shared" si="46"/>
        <v>1972</v>
      </c>
      <c r="Q172" s="159">
        <f>'Monthly Prices'!B160</f>
        <v>1.87</v>
      </c>
      <c r="R172" s="159">
        <f t="shared" si="47"/>
        <v>1.8200000000000003</v>
      </c>
      <c r="S172" s="155">
        <f>_xlfn.XLOOKUP(P172,'Annual Real'!A:A,'Annual Real'!B:B,0,0)</f>
        <v>6.8337153143724203</v>
      </c>
      <c r="T172" s="155">
        <f t="shared" ca="1" si="48"/>
        <v>5.0326117373796659</v>
      </c>
      <c r="U172" s="152">
        <f t="shared" ca="1" si="49"/>
        <v>5.0326117373796659</v>
      </c>
      <c r="V172" s="152" t="b">
        <f t="shared" si="55"/>
        <v>0</v>
      </c>
      <c r="W172" s="152" t="b">
        <f t="shared" si="56"/>
        <v>0</v>
      </c>
      <c r="X172" s="154">
        <f>LOOKUP(D172,'US Implicit Deflator'!A:A,'US Implicit Deflator'!B:B)/100</f>
        <v>2.6000000000000002E-2</v>
      </c>
      <c r="Y172" s="154">
        <f t="shared" si="50"/>
        <v>2.1412681429993086E-3</v>
      </c>
      <c r="Z172" s="165">
        <f t="shared" ca="1" si="51"/>
        <v>1.3569083966460609</v>
      </c>
      <c r="AA172" s="152">
        <f t="shared" si="52"/>
        <v>7</v>
      </c>
      <c r="AB172" s="153">
        <f t="shared" si="53"/>
        <v>26543</v>
      </c>
      <c r="AC172" s="155">
        <f t="shared" ca="1" si="54"/>
        <v>5.0326117373796659</v>
      </c>
    </row>
    <row r="173" spans="3:29">
      <c r="C173" s="152" t="str">
        <f>'Monthly Prices'!A161</f>
        <v>1972M10</v>
      </c>
      <c r="D173" s="153">
        <f t="shared" si="43"/>
        <v>26573</v>
      </c>
      <c r="E173" s="152">
        <f t="shared" si="44"/>
        <v>154</v>
      </c>
      <c r="F173" s="152" t="b">
        <f t="shared" si="38"/>
        <v>0</v>
      </c>
      <c r="G173" s="152" t="b">
        <f t="shared" si="39"/>
        <v>1</v>
      </c>
      <c r="H173" s="152" t="b">
        <f t="shared" si="40"/>
        <v>0</v>
      </c>
      <c r="I173" s="153" t="e">
        <f t="shared" si="41"/>
        <v>#N/A</v>
      </c>
      <c r="J173" s="158">
        <f>INDEX('Monthly Prices'!B161:CB161,$G$4)</f>
        <v>57.22</v>
      </c>
      <c r="K173" s="158" t="b">
        <f>IF(H173,INDEX('Monthly Prices'!B161:CB161,$G$4)*U173,FALSE)</f>
        <v>0</v>
      </c>
      <c r="L173" s="152" t="b">
        <f t="shared" si="45"/>
        <v>1</v>
      </c>
      <c r="M173" s="158">
        <f>INDEX('Monthly Prices'!B161:CB161,$G$5)</f>
        <v>33.932380115139999</v>
      </c>
      <c r="N173" s="158" t="b">
        <f>IF(H173,INDEX('Monthly Prices'!B161:CB161,$G$5)*U173,FALSE)</f>
        <v>0</v>
      </c>
      <c r="O173" s="152" t="b">
        <f t="shared" si="42"/>
        <v>1</v>
      </c>
      <c r="P173" s="152">
        <f t="shared" si="46"/>
        <v>1972</v>
      </c>
      <c r="Q173" s="159">
        <f>'Monthly Prices'!B161</f>
        <v>1.87</v>
      </c>
      <c r="R173" s="159">
        <f t="shared" si="47"/>
        <v>1.8200000000000003</v>
      </c>
      <c r="S173" s="155">
        <f>_xlfn.XLOOKUP(P173,'Annual Real'!A:A,'Annual Real'!B:B,0,0)</f>
        <v>6.8337153143724203</v>
      </c>
      <c r="T173" s="155">
        <f t="shared" ca="1" si="48"/>
        <v>5.0206368759199789</v>
      </c>
      <c r="U173" s="152">
        <f t="shared" ca="1" si="49"/>
        <v>5.0206368759199789</v>
      </c>
      <c r="V173" s="152" t="b">
        <f t="shared" si="55"/>
        <v>0</v>
      </c>
      <c r="W173" s="152" t="b">
        <f t="shared" si="56"/>
        <v>0</v>
      </c>
      <c r="X173" s="154">
        <f>LOOKUP(D173,'US Implicit Deflator'!A:A,'US Implicit Deflator'!B:B)/100</f>
        <v>2.8999999999999998E-2</v>
      </c>
      <c r="Y173" s="154">
        <f t="shared" si="50"/>
        <v>2.3851279739270925E-3</v>
      </c>
      <c r="Z173" s="165">
        <f t="shared" ca="1" si="51"/>
        <v>1.3601447968209579</v>
      </c>
      <c r="AA173" s="152">
        <f t="shared" si="52"/>
        <v>7</v>
      </c>
      <c r="AB173" s="153">
        <f t="shared" si="53"/>
        <v>26573</v>
      </c>
      <c r="AC173" s="155">
        <f t="shared" ca="1" si="54"/>
        <v>5.0206368759199789</v>
      </c>
    </row>
    <row r="174" spans="3:29">
      <c r="C174" s="152" t="str">
        <f>'Monthly Prices'!A162</f>
        <v>1972M11</v>
      </c>
      <c r="D174" s="153">
        <f t="shared" si="43"/>
        <v>26604</v>
      </c>
      <c r="E174" s="152">
        <f t="shared" si="44"/>
        <v>155</v>
      </c>
      <c r="F174" s="152" t="b">
        <f t="shared" si="38"/>
        <v>0</v>
      </c>
      <c r="G174" s="152" t="b">
        <f t="shared" si="39"/>
        <v>1</v>
      </c>
      <c r="H174" s="152" t="b">
        <f t="shared" si="40"/>
        <v>0</v>
      </c>
      <c r="I174" s="153" t="e">
        <f t="shared" si="41"/>
        <v>#N/A</v>
      </c>
      <c r="J174" s="158">
        <f>INDEX('Monthly Prices'!B162:CB162,$G$4)</f>
        <v>59.2</v>
      </c>
      <c r="K174" s="158" t="b">
        <f>IF(H174,INDEX('Monthly Prices'!B162:CB162,$G$4)*U174,FALSE)</f>
        <v>0</v>
      </c>
      <c r="L174" s="152" t="b">
        <f t="shared" si="45"/>
        <v>1</v>
      </c>
      <c r="M174" s="158">
        <f>INDEX('Monthly Prices'!B162:CB162,$G$5)</f>
        <v>34.65496025254</v>
      </c>
      <c r="N174" s="158" t="b">
        <f>IF(H174,INDEX('Monthly Prices'!B162:CB162,$G$5)*U174,FALSE)</f>
        <v>0</v>
      </c>
      <c r="O174" s="152" t="b">
        <f t="shared" si="42"/>
        <v>1</v>
      </c>
      <c r="P174" s="152">
        <f t="shared" si="46"/>
        <v>1972</v>
      </c>
      <c r="Q174" s="159">
        <f>'Monthly Prices'!B162</f>
        <v>1.87</v>
      </c>
      <c r="R174" s="159">
        <f t="shared" si="47"/>
        <v>1.8200000000000003</v>
      </c>
      <c r="S174" s="155">
        <f>_xlfn.XLOOKUP(P174,'Annual Real'!A:A,'Annual Real'!B:B,0,0)</f>
        <v>6.8337153143724203</v>
      </c>
      <c r="T174" s="155">
        <f t="shared" ca="1" si="48"/>
        <v>5.0086905080764232</v>
      </c>
      <c r="U174" s="152">
        <f t="shared" ca="1" si="49"/>
        <v>5.0086905080764232</v>
      </c>
      <c r="V174" s="152" t="b">
        <f t="shared" si="55"/>
        <v>0</v>
      </c>
      <c r="W174" s="152" t="b">
        <f t="shared" si="56"/>
        <v>0</v>
      </c>
      <c r="X174" s="154">
        <f>LOOKUP(D174,'US Implicit Deflator'!A:A,'US Implicit Deflator'!B:B)/100</f>
        <v>2.8999999999999998E-2</v>
      </c>
      <c r="Y174" s="154">
        <f t="shared" si="50"/>
        <v>2.3851279739270925E-3</v>
      </c>
      <c r="Z174" s="165">
        <f t="shared" ca="1" si="51"/>
        <v>1.363388916224447</v>
      </c>
      <c r="AA174" s="152">
        <f t="shared" si="52"/>
        <v>7</v>
      </c>
      <c r="AB174" s="153">
        <f t="shared" si="53"/>
        <v>26604</v>
      </c>
      <c r="AC174" s="155">
        <f t="shared" ca="1" si="54"/>
        <v>5.0086905080764232</v>
      </c>
    </row>
    <row r="175" spans="3:29">
      <c r="C175" s="152" t="str">
        <f>'Monthly Prices'!A163</f>
        <v>1972M12</v>
      </c>
      <c r="D175" s="153">
        <f t="shared" si="43"/>
        <v>26634</v>
      </c>
      <c r="E175" s="152">
        <f t="shared" si="44"/>
        <v>156</v>
      </c>
      <c r="F175" s="152" t="b">
        <f t="shared" si="38"/>
        <v>0</v>
      </c>
      <c r="G175" s="152" t="b">
        <f t="shared" si="39"/>
        <v>1</v>
      </c>
      <c r="H175" s="152" t="b">
        <f t="shared" si="40"/>
        <v>0</v>
      </c>
      <c r="I175" s="153" t="e">
        <f t="shared" si="41"/>
        <v>#N/A</v>
      </c>
      <c r="J175" s="158">
        <f>INDEX('Monthly Prices'!B163:CB163,$G$4)</f>
        <v>67.06</v>
      </c>
      <c r="K175" s="158" t="b">
        <f>IF(H175,INDEX('Monthly Prices'!B163:CB163,$G$4)*U175,FALSE)</f>
        <v>0</v>
      </c>
      <c r="L175" s="152" t="b">
        <f t="shared" si="45"/>
        <v>1</v>
      </c>
      <c r="M175" s="158">
        <f>INDEX('Monthly Prices'!B163:CB163,$G$5)</f>
        <v>38.749758890309998</v>
      </c>
      <c r="N175" s="158" t="b">
        <f>IF(H175,INDEX('Monthly Prices'!B163:CB163,$G$5)*U175,FALSE)</f>
        <v>0</v>
      </c>
      <c r="O175" s="152" t="b">
        <f t="shared" si="42"/>
        <v>1</v>
      </c>
      <c r="P175" s="152">
        <f t="shared" si="46"/>
        <v>1972</v>
      </c>
      <c r="Q175" s="159">
        <f>'Monthly Prices'!B163</f>
        <v>1.87</v>
      </c>
      <c r="R175" s="159">
        <f t="shared" si="47"/>
        <v>1.8200000000000003</v>
      </c>
      <c r="S175" s="155">
        <f>_xlfn.XLOOKUP(P175,'Annual Real'!A:A,'Annual Real'!B:B,0,0)</f>
        <v>6.8337153143724203</v>
      </c>
      <c r="T175" s="155">
        <f t="shared" ca="1" si="48"/>
        <v>4.9967725660497866</v>
      </c>
      <c r="U175" s="152">
        <f t="shared" ca="1" si="49"/>
        <v>4.9967725660497866</v>
      </c>
      <c r="V175" s="152" t="b">
        <f t="shared" si="55"/>
        <v>0</v>
      </c>
      <c r="W175" s="152" t="b">
        <f t="shared" si="56"/>
        <v>0</v>
      </c>
      <c r="X175" s="154">
        <f>LOOKUP(D175,'US Implicit Deflator'!A:A,'US Implicit Deflator'!B:B)/100</f>
        <v>2.8999999999999998E-2</v>
      </c>
      <c r="Y175" s="154">
        <f t="shared" si="50"/>
        <v>2.3851279739270925E-3</v>
      </c>
      <c r="Z175" s="165">
        <f t="shared" ca="1" si="51"/>
        <v>1.366640773267876</v>
      </c>
      <c r="AA175" s="152">
        <f t="shared" si="52"/>
        <v>7</v>
      </c>
      <c r="AB175" s="153">
        <f t="shared" si="53"/>
        <v>26634</v>
      </c>
      <c r="AC175" s="155">
        <f t="shared" ca="1" si="54"/>
        <v>4.9967725660497866</v>
      </c>
    </row>
    <row r="176" spans="3:29">
      <c r="C176" s="152" t="str">
        <f>'Monthly Prices'!A164</f>
        <v>1973M01</v>
      </c>
      <c r="D176" s="153">
        <f t="shared" si="43"/>
        <v>26665</v>
      </c>
      <c r="E176" s="152">
        <f t="shared" si="44"/>
        <v>157</v>
      </c>
      <c r="F176" s="152" t="b">
        <f t="shared" si="38"/>
        <v>0</v>
      </c>
      <c r="G176" s="152" t="b">
        <f t="shared" si="39"/>
        <v>1</v>
      </c>
      <c r="H176" s="152" t="b">
        <f t="shared" si="40"/>
        <v>0</v>
      </c>
      <c r="I176" s="153" t="e">
        <f t="shared" si="41"/>
        <v>#N/A</v>
      </c>
      <c r="J176" s="158">
        <f>INDEX('Monthly Prices'!B164:CB164,$G$4)</f>
        <v>79.13</v>
      </c>
      <c r="K176" s="158" t="b">
        <f>IF(H176,INDEX('Monthly Prices'!B164:CB164,$G$4)*U176,FALSE)</f>
        <v>0</v>
      </c>
      <c r="L176" s="152" t="b">
        <f t="shared" si="45"/>
        <v>1</v>
      </c>
      <c r="M176" s="158">
        <f>INDEX('Monthly Prices'!B164:CB164,$G$5)</f>
        <v>42.096023126120002</v>
      </c>
      <c r="N176" s="158" t="b">
        <f>IF(H176,INDEX('Monthly Prices'!B164:CB164,$G$5)*U176,FALSE)</f>
        <v>0</v>
      </c>
      <c r="O176" s="152" t="b">
        <f t="shared" si="42"/>
        <v>1</v>
      </c>
      <c r="P176" s="152">
        <f t="shared" si="46"/>
        <v>1973</v>
      </c>
      <c r="Q176" s="159">
        <f>'Monthly Prices'!B164</f>
        <v>2.08</v>
      </c>
      <c r="R176" s="159">
        <f t="shared" si="47"/>
        <v>2.8074999999999997</v>
      </c>
      <c r="S176" s="155">
        <f>_xlfn.XLOOKUP(P176,'Annual Real'!A:A,'Annual Real'!B:B,0,0)</f>
        <v>9.0897023938691195</v>
      </c>
      <c r="T176" s="155">
        <f t="shared" ca="1" si="48"/>
        <v>4.9877193419225963</v>
      </c>
      <c r="U176" s="152">
        <f t="shared" ca="1" si="49"/>
        <v>4.9877193419225963</v>
      </c>
      <c r="V176" s="152" t="b">
        <f t="shared" si="55"/>
        <v>0</v>
      </c>
      <c r="W176" s="152" t="b">
        <f t="shared" si="56"/>
        <v>0</v>
      </c>
      <c r="X176" s="154">
        <f>LOOKUP(D176,'US Implicit Deflator'!A:A,'US Implicit Deflator'!B:B)/100</f>
        <v>2.2000000000000002E-2</v>
      </c>
      <c r="Y176" s="154">
        <f t="shared" si="50"/>
        <v>1.8151029571964461E-3</v>
      </c>
      <c r="Z176" s="165">
        <f t="shared" ca="1" si="51"/>
        <v>1.3691213669768598</v>
      </c>
      <c r="AA176" s="152">
        <f t="shared" si="52"/>
        <v>7</v>
      </c>
      <c r="AB176" s="153">
        <f t="shared" si="53"/>
        <v>26665</v>
      </c>
      <c r="AC176" s="155">
        <f t="shared" ca="1" si="54"/>
        <v>4.9877193419225963</v>
      </c>
    </row>
    <row r="177" spans="3:29">
      <c r="C177" s="152" t="str">
        <f>'Monthly Prices'!A165</f>
        <v>1973M02</v>
      </c>
      <c r="D177" s="153">
        <f t="shared" si="43"/>
        <v>26696</v>
      </c>
      <c r="E177" s="152">
        <f t="shared" si="44"/>
        <v>158</v>
      </c>
      <c r="F177" s="152" t="b">
        <f t="shared" si="38"/>
        <v>0</v>
      </c>
      <c r="G177" s="152" t="b">
        <f t="shared" si="39"/>
        <v>1</v>
      </c>
      <c r="H177" s="152" t="b">
        <f t="shared" si="40"/>
        <v>0</v>
      </c>
      <c r="I177" s="153" t="e">
        <f t="shared" si="41"/>
        <v>#N/A</v>
      </c>
      <c r="J177" s="158">
        <f>INDEX('Monthly Prices'!B165:CB165,$G$4)</f>
        <v>81.099999999999994</v>
      </c>
      <c r="K177" s="158" t="b">
        <f>IF(H177,INDEX('Monthly Prices'!B165:CB165,$G$4)*U177,FALSE)</f>
        <v>0</v>
      </c>
      <c r="L177" s="152" t="b">
        <f t="shared" si="45"/>
        <v>1</v>
      </c>
      <c r="M177" s="158">
        <f>INDEX('Monthly Prices'!B165:CB165,$G$5)</f>
        <v>40.763645642930001</v>
      </c>
      <c r="N177" s="158" t="b">
        <f>IF(H177,INDEX('Monthly Prices'!B165:CB165,$G$5)*U177,FALSE)</f>
        <v>0</v>
      </c>
      <c r="O177" s="152" t="b">
        <f t="shared" si="42"/>
        <v>1</v>
      </c>
      <c r="P177" s="152">
        <f t="shared" si="46"/>
        <v>1973</v>
      </c>
      <c r="Q177" s="159">
        <f>'Monthly Prices'!B165</f>
        <v>2.08</v>
      </c>
      <c r="R177" s="159">
        <f t="shared" si="47"/>
        <v>2.8074999999999997</v>
      </c>
      <c r="S177" s="155">
        <f>_xlfn.XLOOKUP(P177,'Annual Real'!A:A,'Annual Real'!B:B,0,0)</f>
        <v>9.0897023938691195</v>
      </c>
      <c r="T177" s="155">
        <f t="shared" ca="1" si="48"/>
        <v>4.9786825205565926</v>
      </c>
      <c r="U177" s="152">
        <f t="shared" ca="1" si="49"/>
        <v>4.9786825205565926</v>
      </c>
      <c r="V177" s="152" t="b">
        <f t="shared" si="55"/>
        <v>0</v>
      </c>
      <c r="W177" s="152" t="b">
        <f t="shared" si="56"/>
        <v>0</v>
      </c>
      <c r="X177" s="154">
        <f>LOOKUP(D177,'US Implicit Deflator'!A:A,'US Implicit Deflator'!B:B)/100</f>
        <v>2.2000000000000002E-2</v>
      </c>
      <c r="Y177" s="154">
        <f t="shared" si="50"/>
        <v>1.8151029571964461E-3</v>
      </c>
      <c r="Z177" s="165">
        <f t="shared" ca="1" si="51"/>
        <v>1.3716064632188203</v>
      </c>
      <c r="AA177" s="152">
        <f t="shared" si="52"/>
        <v>7</v>
      </c>
      <c r="AB177" s="153">
        <f t="shared" si="53"/>
        <v>26696</v>
      </c>
      <c r="AC177" s="155">
        <f t="shared" ca="1" si="54"/>
        <v>4.9786825205565926</v>
      </c>
    </row>
    <row r="178" spans="3:29">
      <c r="C178" s="152" t="str">
        <f>'Monthly Prices'!A166</f>
        <v>1973M03</v>
      </c>
      <c r="D178" s="153">
        <f t="shared" si="43"/>
        <v>26724</v>
      </c>
      <c r="E178" s="152">
        <f t="shared" si="44"/>
        <v>159</v>
      </c>
      <c r="F178" s="152" t="b">
        <f t="shared" si="38"/>
        <v>0</v>
      </c>
      <c r="G178" s="152" t="b">
        <f t="shared" si="39"/>
        <v>1</v>
      </c>
      <c r="H178" s="152" t="b">
        <f t="shared" si="40"/>
        <v>0</v>
      </c>
      <c r="I178" s="153" t="e">
        <f t="shared" si="41"/>
        <v>#N/A</v>
      </c>
      <c r="J178" s="158">
        <f>INDEX('Monthly Prices'!B166:CB166,$G$4)</f>
        <v>79.92</v>
      </c>
      <c r="K178" s="158" t="b">
        <f>IF(H178,INDEX('Monthly Prices'!B166:CB166,$G$4)*U178,FALSE)</f>
        <v>0</v>
      </c>
      <c r="L178" s="152" t="b">
        <f t="shared" si="45"/>
        <v>1</v>
      </c>
      <c r="M178" s="158">
        <f>INDEX('Monthly Prices'!B166:CB166,$G$5)</f>
        <v>40.555044765280002</v>
      </c>
      <c r="N178" s="158" t="b">
        <f>IF(H178,INDEX('Monthly Prices'!B166:CB166,$G$5)*U178,FALSE)</f>
        <v>0</v>
      </c>
      <c r="O178" s="152" t="b">
        <f t="shared" si="42"/>
        <v>1</v>
      </c>
      <c r="P178" s="152">
        <f t="shared" si="46"/>
        <v>1973</v>
      </c>
      <c r="Q178" s="159">
        <f>'Monthly Prices'!B166</f>
        <v>2.08</v>
      </c>
      <c r="R178" s="159">
        <f t="shared" si="47"/>
        <v>2.8074999999999997</v>
      </c>
      <c r="S178" s="155">
        <f>_xlfn.XLOOKUP(P178,'Annual Real'!A:A,'Annual Real'!B:B,0,0)</f>
        <v>9.0897023938691195</v>
      </c>
      <c r="T178" s="155">
        <f t="shared" ca="1" si="48"/>
        <v>4.9696620722330147</v>
      </c>
      <c r="U178" s="152">
        <f t="shared" ca="1" si="49"/>
        <v>4.9696620722330147</v>
      </c>
      <c r="V178" s="152" t="b">
        <f t="shared" si="55"/>
        <v>0</v>
      </c>
      <c r="W178" s="152" t="b">
        <f t="shared" si="56"/>
        <v>0</v>
      </c>
      <c r="X178" s="154">
        <f>LOOKUP(D178,'US Implicit Deflator'!A:A,'US Implicit Deflator'!B:B)/100</f>
        <v>2.2000000000000002E-2</v>
      </c>
      <c r="Y178" s="154">
        <f t="shared" si="50"/>
        <v>1.8151029571964461E-3</v>
      </c>
      <c r="Z178" s="165">
        <f t="shared" ca="1" si="51"/>
        <v>1.3740960701663185</v>
      </c>
      <c r="AA178" s="152">
        <f t="shared" si="52"/>
        <v>7</v>
      </c>
      <c r="AB178" s="153">
        <f t="shared" si="53"/>
        <v>26724</v>
      </c>
      <c r="AC178" s="155">
        <f t="shared" ca="1" si="54"/>
        <v>4.9696620722330147</v>
      </c>
    </row>
    <row r="179" spans="3:29">
      <c r="C179" s="152" t="str">
        <f>'Monthly Prices'!A167</f>
        <v>1973M04</v>
      </c>
      <c r="D179" s="153">
        <f t="shared" si="43"/>
        <v>26755</v>
      </c>
      <c r="E179" s="152">
        <f t="shared" si="44"/>
        <v>160</v>
      </c>
      <c r="F179" s="152" t="b">
        <f t="shared" si="38"/>
        <v>0</v>
      </c>
      <c r="G179" s="152" t="b">
        <f t="shared" si="39"/>
        <v>1</v>
      </c>
      <c r="H179" s="152" t="b">
        <f t="shared" si="40"/>
        <v>0</v>
      </c>
      <c r="I179" s="153" t="e">
        <f t="shared" si="41"/>
        <v>#N/A</v>
      </c>
      <c r="J179" s="158">
        <f>INDEX('Monthly Prices'!B167:CB167,$G$4)</f>
        <v>77.77</v>
      </c>
      <c r="K179" s="158" t="b">
        <f>IF(H179,INDEX('Monthly Prices'!B167:CB167,$G$4)*U179,FALSE)</f>
        <v>0</v>
      </c>
      <c r="L179" s="152" t="b">
        <f t="shared" si="45"/>
        <v>1</v>
      </c>
      <c r="M179" s="158">
        <f>INDEX('Monthly Prices'!B167:CB167,$G$5)</f>
        <v>40.721553010720001</v>
      </c>
      <c r="N179" s="158" t="b">
        <f>IF(H179,INDEX('Monthly Prices'!B167:CB167,$G$5)*U179,FALSE)</f>
        <v>0</v>
      </c>
      <c r="O179" s="152" t="b">
        <f t="shared" si="42"/>
        <v>1</v>
      </c>
      <c r="P179" s="152">
        <f t="shared" si="46"/>
        <v>1973</v>
      </c>
      <c r="Q179" s="159">
        <f>'Monthly Prices'!B167</f>
        <v>2.35</v>
      </c>
      <c r="R179" s="159">
        <f t="shared" si="47"/>
        <v>2.8074999999999997</v>
      </c>
      <c r="S179" s="155">
        <f>_xlfn.XLOOKUP(P179,'Annual Real'!A:A,'Annual Real'!B:B,0,0)</f>
        <v>9.0897023938691195</v>
      </c>
      <c r="T179" s="155">
        <f t="shared" ca="1" si="48"/>
        <v>4.9578369965224391</v>
      </c>
      <c r="U179" s="152">
        <f t="shared" ca="1" si="49"/>
        <v>4.9578369965224391</v>
      </c>
      <c r="V179" s="152" t="b">
        <f t="shared" si="55"/>
        <v>0</v>
      </c>
      <c r="W179" s="152" t="b">
        <f t="shared" si="56"/>
        <v>0</v>
      </c>
      <c r="X179" s="154">
        <f>LOOKUP(D179,'US Implicit Deflator'!A:A,'US Implicit Deflator'!B:B)/100</f>
        <v>2.8999999999999998E-2</v>
      </c>
      <c r="Y179" s="154">
        <f t="shared" si="50"/>
        <v>2.3851279739270925E-3</v>
      </c>
      <c r="Z179" s="165">
        <f t="shared" ca="1" si="51"/>
        <v>1.3773734651421354</v>
      </c>
      <c r="AA179" s="152">
        <f t="shared" si="52"/>
        <v>7</v>
      </c>
      <c r="AB179" s="153">
        <f t="shared" si="53"/>
        <v>26755</v>
      </c>
      <c r="AC179" s="155">
        <f t="shared" ca="1" si="54"/>
        <v>4.9578369965224391</v>
      </c>
    </row>
    <row r="180" spans="3:29">
      <c r="C180" s="152" t="str">
        <f>'Monthly Prices'!A168</f>
        <v>1973M05</v>
      </c>
      <c r="D180" s="153">
        <f t="shared" si="43"/>
        <v>26785</v>
      </c>
      <c r="E180" s="152">
        <f t="shared" si="44"/>
        <v>161</v>
      </c>
      <c r="F180" s="152" t="b">
        <f t="shared" si="38"/>
        <v>0</v>
      </c>
      <c r="G180" s="152" t="b">
        <f t="shared" si="39"/>
        <v>1</v>
      </c>
      <c r="H180" s="152" t="b">
        <f t="shared" si="40"/>
        <v>0</v>
      </c>
      <c r="I180" s="153" t="e">
        <f t="shared" si="41"/>
        <v>#N/A</v>
      </c>
      <c r="J180" s="158">
        <f>INDEX('Monthly Prices'!B168:CB168,$G$4)</f>
        <v>88.97</v>
      </c>
      <c r="K180" s="158" t="b">
        <f>IF(H180,INDEX('Monthly Prices'!B168:CB168,$G$4)*U180,FALSE)</f>
        <v>0</v>
      </c>
      <c r="L180" s="152" t="b">
        <f t="shared" si="45"/>
        <v>1</v>
      </c>
      <c r="M180" s="158">
        <f>INDEX('Monthly Prices'!B168:CB168,$G$5)</f>
        <v>42.944456676900003</v>
      </c>
      <c r="N180" s="158" t="b">
        <f>IF(H180,INDEX('Monthly Prices'!B168:CB168,$G$5)*U180,FALSE)</f>
        <v>0</v>
      </c>
      <c r="O180" s="152" t="b">
        <f t="shared" si="42"/>
        <v>1</v>
      </c>
      <c r="P180" s="152">
        <f t="shared" si="46"/>
        <v>1973</v>
      </c>
      <c r="Q180" s="159">
        <f>'Monthly Prices'!B168</f>
        <v>2.35</v>
      </c>
      <c r="R180" s="159">
        <f t="shared" si="47"/>
        <v>2.8074999999999997</v>
      </c>
      <c r="S180" s="155">
        <f>_xlfn.XLOOKUP(P180,'Annual Real'!A:A,'Annual Real'!B:B,0,0)</f>
        <v>9.0897023938691195</v>
      </c>
      <c r="T180" s="155">
        <f t="shared" ca="1" si="48"/>
        <v>4.9460400580198911</v>
      </c>
      <c r="U180" s="152">
        <f t="shared" ca="1" si="49"/>
        <v>4.9460400580198911</v>
      </c>
      <c r="V180" s="152" t="b">
        <f t="shared" si="55"/>
        <v>0</v>
      </c>
      <c r="W180" s="152" t="b">
        <f t="shared" si="56"/>
        <v>0</v>
      </c>
      <c r="X180" s="154">
        <f>LOOKUP(D180,'US Implicit Deflator'!A:A,'US Implicit Deflator'!B:B)/100</f>
        <v>2.8999999999999998E-2</v>
      </c>
      <c r="Y180" s="154">
        <f t="shared" si="50"/>
        <v>2.3851279739270925E-3</v>
      </c>
      <c r="Z180" s="165">
        <f t="shared" ca="1" si="51"/>
        <v>1.3806586771243909</v>
      </c>
      <c r="AA180" s="152">
        <f t="shared" si="52"/>
        <v>7</v>
      </c>
      <c r="AB180" s="153">
        <f t="shared" si="53"/>
        <v>26785</v>
      </c>
      <c r="AC180" s="155">
        <f t="shared" ca="1" si="54"/>
        <v>4.9460400580198911</v>
      </c>
    </row>
    <row r="181" spans="3:29">
      <c r="C181" s="152" t="str">
        <f>'Monthly Prices'!A169</f>
        <v>1973M06</v>
      </c>
      <c r="D181" s="153">
        <f t="shared" si="43"/>
        <v>26816</v>
      </c>
      <c r="E181" s="152">
        <f t="shared" si="44"/>
        <v>162</v>
      </c>
      <c r="F181" s="152" t="b">
        <f t="shared" si="38"/>
        <v>0</v>
      </c>
      <c r="G181" s="152" t="b">
        <f t="shared" si="39"/>
        <v>1</v>
      </c>
      <c r="H181" s="152" t="b">
        <f t="shared" si="40"/>
        <v>0</v>
      </c>
      <c r="I181" s="153" t="e">
        <f t="shared" si="41"/>
        <v>#N/A</v>
      </c>
      <c r="J181" s="158">
        <f>INDEX('Monthly Prices'!B169:CB169,$G$4)</f>
        <v>101.17</v>
      </c>
      <c r="K181" s="158" t="b">
        <f>IF(H181,INDEX('Monthly Prices'!B169:CB169,$G$4)*U181,FALSE)</f>
        <v>0</v>
      </c>
      <c r="L181" s="152" t="b">
        <f t="shared" si="45"/>
        <v>1</v>
      </c>
      <c r="M181" s="158">
        <f>INDEX('Monthly Prices'!B169:CB169,$G$5)</f>
        <v>46.210613849799998</v>
      </c>
      <c r="N181" s="158" t="b">
        <f>IF(H181,INDEX('Monthly Prices'!B169:CB169,$G$5)*U181,FALSE)</f>
        <v>0</v>
      </c>
      <c r="O181" s="152" t="b">
        <f t="shared" si="42"/>
        <v>1</v>
      </c>
      <c r="P181" s="152">
        <f t="shared" si="46"/>
        <v>1973</v>
      </c>
      <c r="Q181" s="159">
        <f>'Monthly Prices'!B169</f>
        <v>2.35</v>
      </c>
      <c r="R181" s="159">
        <f t="shared" si="47"/>
        <v>2.8074999999999997</v>
      </c>
      <c r="S181" s="155">
        <f>_xlfn.XLOOKUP(P181,'Annual Real'!A:A,'Annual Real'!B:B,0,0)</f>
        <v>9.0897023938691195</v>
      </c>
      <c r="T181" s="155">
        <f t="shared" ca="1" si="48"/>
        <v>4.9342711897742175</v>
      </c>
      <c r="U181" s="152">
        <f t="shared" ca="1" si="49"/>
        <v>4.9342711897742175</v>
      </c>
      <c r="V181" s="152" t="b">
        <f t="shared" si="55"/>
        <v>0</v>
      </c>
      <c r="W181" s="152" t="b">
        <f t="shared" si="56"/>
        <v>0</v>
      </c>
      <c r="X181" s="154">
        <f>LOOKUP(D181,'US Implicit Deflator'!A:A,'US Implicit Deflator'!B:B)/100</f>
        <v>2.8999999999999998E-2</v>
      </c>
      <c r="Y181" s="154">
        <f t="shared" si="50"/>
        <v>2.3851279739270925E-3</v>
      </c>
      <c r="Z181" s="165">
        <f t="shared" ca="1" si="51"/>
        <v>1.3839517247576456</v>
      </c>
      <c r="AA181" s="152">
        <f t="shared" si="52"/>
        <v>7</v>
      </c>
      <c r="AB181" s="153">
        <f t="shared" si="53"/>
        <v>26816</v>
      </c>
      <c r="AC181" s="155">
        <f t="shared" ca="1" si="54"/>
        <v>4.9342711897742175</v>
      </c>
    </row>
    <row r="182" spans="3:29">
      <c r="C182" s="152" t="str">
        <f>'Monthly Prices'!A170</f>
        <v>1973M07</v>
      </c>
      <c r="D182" s="153">
        <f t="shared" si="43"/>
        <v>26846</v>
      </c>
      <c r="E182" s="152">
        <f t="shared" si="44"/>
        <v>163</v>
      </c>
      <c r="F182" s="152" t="b">
        <f t="shared" si="38"/>
        <v>0</v>
      </c>
      <c r="G182" s="152" t="b">
        <f t="shared" si="39"/>
        <v>1</v>
      </c>
      <c r="H182" s="152" t="b">
        <f t="shared" si="40"/>
        <v>0</v>
      </c>
      <c r="I182" s="153" t="e">
        <f t="shared" si="41"/>
        <v>#N/A</v>
      </c>
      <c r="J182" s="158">
        <f>INDEX('Monthly Prices'!B170:CB170,$G$4)</f>
        <v>109.44</v>
      </c>
      <c r="K182" s="158" t="b">
        <f>IF(H182,INDEX('Monthly Prices'!B170:CB170,$G$4)*U182,FALSE)</f>
        <v>0</v>
      </c>
      <c r="L182" s="152" t="b">
        <f t="shared" si="45"/>
        <v>1</v>
      </c>
      <c r="M182" s="158">
        <f>INDEX('Monthly Prices'!B170:CB170,$G$5)</f>
        <v>48.801615768029997</v>
      </c>
      <c r="N182" s="158" t="b">
        <f>IF(H182,INDEX('Monthly Prices'!B170:CB170,$G$5)*U182,FALSE)</f>
        <v>0</v>
      </c>
      <c r="O182" s="152" t="b">
        <f t="shared" si="42"/>
        <v>1</v>
      </c>
      <c r="P182" s="152">
        <f t="shared" si="46"/>
        <v>1973</v>
      </c>
      <c r="Q182" s="159">
        <f>'Monthly Prices'!B170</f>
        <v>2.7</v>
      </c>
      <c r="R182" s="159">
        <f t="shared" si="47"/>
        <v>2.8074999999999997</v>
      </c>
      <c r="S182" s="155">
        <f>_xlfn.XLOOKUP(P182,'Annual Real'!A:A,'Annual Real'!B:B,0,0)</f>
        <v>9.0897023938691195</v>
      </c>
      <c r="T182" s="155">
        <f t="shared" ca="1" si="48"/>
        <v>4.9197500092388404</v>
      </c>
      <c r="U182" s="152">
        <f t="shared" ca="1" si="49"/>
        <v>4.9197500092388404</v>
      </c>
      <c r="V182" s="152" t="b">
        <f t="shared" si="55"/>
        <v>0</v>
      </c>
      <c r="W182" s="152" t="b">
        <f t="shared" si="56"/>
        <v>0</v>
      </c>
      <c r="X182" s="154">
        <f>LOOKUP(D182,'US Implicit Deflator'!A:A,'US Implicit Deflator'!B:B)/100</f>
        <v>3.6000000000000004E-2</v>
      </c>
      <c r="Y182" s="154">
        <f t="shared" si="50"/>
        <v>2.9516094330215292E-3</v>
      </c>
      <c r="Z182" s="165">
        <f t="shared" ca="1" si="51"/>
        <v>1.3880366097232868</v>
      </c>
      <c r="AA182" s="152">
        <f t="shared" si="52"/>
        <v>7</v>
      </c>
      <c r="AB182" s="153">
        <f t="shared" si="53"/>
        <v>26846</v>
      </c>
      <c r="AC182" s="155">
        <f t="shared" ca="1" si="54"/>
        <v>4.9197500092388404</v>
      </c>
    </row>
    <row r="183" spans="3:29">
      <c r="C183" s="152" t="str">
        <f>'Monthly Prices'!A171</f>
        <v>1973M08</v>
      </c>
      <c r="D183" s="153">
        <f t="shared" si="43"/>
        <v>26877</v>
      </c>
      <c r="E183" s="152">
        <f t="shared" si="44"/>
        <v>164</v>
      </c>
      <c r="F183" s="152" t="b">
        <f t="shared" si="38"/>
        <v>0</v>
      </c>
      <c r="G183" s="152" t="b">
        <f t="shared" si="39"/>
        <v>1</v>
      </c>
      <c r="H183" s="152" t="b">
        <f t="shared" si="40"/>
        <v>0</v>
      </c>
      <c r="I183" s="153" t="e">
        <f t="shared" si="41"/>
        <v>#N/A</v>
      </c>
      <c r="J183" s="158">
        <f>INDEX('Monthly Prices'!B171:CB171,$G$4)</f>
        <v>122.43</v>
      </c>
      <c r="K183" s="158" t="b">
        <f>IF(H183,INDEX('Monthly Prices'!B171:CB171,$G$4)*U183,FALSE)</f>
        <v>0</v>
      </c>
      <c r="L183" s="152" t="b">
        <f t="shared" si="45"/>
        <v>1</v>
      </c>
      <c r="M183" s="158">
        <f>INDEX('Monthly Prices'!B171:CB171,$G$5)</f>
        <v>64.466196250950006</v>
      </c>
      <c r="N183" s="158" t="b">
        <f>IF(H183,INDEX('Monthly Prices'!B171:CB171,$G$5)*U183,FALSE)</f>
        <v>0</v>
      </c>
      <c r="O183" s="152" t="b">
        <f t="shared" si="42"/>
        <v>1</v>
      </c>
      <c r="P183" s="152">
        <f t="shared" si="46"/>
        <v>1973</v>
      </c>
      <c r="Q183" s="159">
        <f>'Monthly Prices'!B171</f>
        <v>2.7</v>
      </c>
      <c r="R183" s="159">
        <f t="shared" si="47"/>
        <v>2.8074999999999997</v>
      </c>
      <c r="S183" s="155">
        <f>_xlfn.XLOOKUP(P183,'Annual Real'!A:A,'Annual Real'!B:B,0,0)</f>
        <v>9.0897023938691195</v>
      </c>
      <c r="T183" s="155">
        <f t="shared" ca="1" si="48"/>
        <v>4.9052715634207154</v>
      </c>
      <c r="U183" s="152">
        <f t="shared" ca="1" si="49"/>
        <v>4.9052715634207154</v>
      </c>
      <c r="V183" s="152" t="b">
        <f t="shared" si="55"/>
        <v>0</v>
      </c>
      <c r="W183" s="152" t="b">
        <f t="shared" si="56"/>
        <v>0</v>
      </c>
      <c r="X183" s="154">
        <f>LOOKUP(D183,'US Implicit Deflator'!A:A,'US Implicit Deflator'!B:B)/100</f>
        <v>3.6000000000000004E-2</v>
      </c>
      <c r="Y183" s="154">
        <f t="shared" si="50"/>
        <v>2.9516094330215292E-3</v>
      </c>
      <c r="Z183" s="165">
        <f t="shared" ca="1" si="51"/>
        <v>1.3921335516739253</v>
      </c>
      <c r="AA183" s="152">
        <f t="shared" si="52"/>
        <v>7</v>
      </c>
      <c r="AB183" s="153">
        <f t="shared" si="53"/>
        <v>26877</v>
      </c>
      <c r="AC183" s="155">
        <f t="shared" ca="1" si="54"/>
        <v>4.9052715634207154</v>
      </c>
    </row>
    <row r="184" spans="3:29">
      <c r="C184" s="152" t="str">
        <f>'Monthly Prices'!A172</f>
        <v>1973M09</v>
      </c>
      <c r="D184" s="153">
        <f t="shared" si="43"/>
        <v>26908</v>
      </c>
      <c r="E184" s="152">
        <f t="shared" si="44"/>
        <v>165</v>
      </c>
      <c r="F184" s="152" t="b">
        <f t="shared" si="38"/>
        <v>0</v>
      </c>
      <c r="G184" s="152" t="b">
        <f t="shared" si="39"/>
        <v>1</v>
      </c>
      <c r="H184" s="152" t="b">
        <f t="shared" si="40"/>
        <v>0</v>
      </c>
      <c r="I184" s="153" t="e">
        <f t="shared" si="41"/>
        <v>#N/A</v>
      </c>
      <c r="J184" s="158">
        <f>INDEX('Monthly Prices'!B172:CB172,$G$4)</f>
        <v>107.08</v>
      </c>
      <c r="K184" s="158" t="b">
        <f>IF(H184,INDEX('Monthly Prices'!B172:CB172,$G$4)*U184,FALSE)</f>
        <v>0</v>
      </c>
      <c r="L184" s="152" t="b">
        <f t="shared" si="45"/>
        <v>1</v>
      </c>
      <c r="M184" s="158">
        <f>INDEX('Monthly Prices'!B172:CB172,$G$5)</f>
        <v>61.216465074749998</v>
      </c>
      <c r="N184" s="158" t="b">
        <f>IF(H184,INDEX('Monthly Prices'!B172:CB172,$G$5)*U184,FALSE)</f>
        <v>0</v>
      </c>
      <c r="O184" s="152" t="b">
        <f t="shared" si="42"/>
        <v>1</v>
      </c>
      <c r="P184" s="152">
        <f t="shared" si="46"/>
        <v>1973</v>
      </c>
      <c r="Q184" s="159">
        <f>'Monthly Prices'!B172</f>
        <v>2.7</v>
      </c>
      <c r="R184" s="159">
        <f t="shared" si="47"/>
        <v>2.8074999999999997</v>
      </c>
      <c r="S184" s="155">
        <f>_xlfn.XLOOKUP(P184,'Annual Real'!A:A,'Annual Real'!B:B,0,0)</f>
        <v>9.0897023938691195</v>
      </c>
      <c r="T184" s="155">
        <f t="shared" ca="1" si="48"/>
        <v>4.8908357265548581</v>
      </c>
      <c r="U184" s="152">
        <f t="shared" ca="1" si="49"/>
        <v>4.8908357265548581</v>
      </c>
      <c r="V184" s="152" t="b">
        <f t="shared" si="55"/>
        <v>0</v>
      </c>
      <c r="W184" s="152" t="b">
        <f t="shared" si="56"/>
        <v>0</v>
      </c>
      <c r="X184" s="154">
        <f>LOOKUP(D184,'US Implicit Deflator'!A:A,'US Implicit Deflator'!B:B)/100</f>
        <v>3.6000000000000004E-2</v>
      </c>
      <c r="Y184" s="154">
        <f t="shared" si="50"/>
        <v>2.9516094330215292E-3</v>
      </c>
      <c r="Z184" s="165">
        <f t="shared" ca="1" si="51"/>
        <v>1.3962425861970718</v>
      </c>
      <c r="AA184" s="152">
        <f t="shared" si="52"/>
        <v>7</v>
      </c>
      <c r="AB184" s="153">
        <f t="shared" si="53"/>
        <v>26908</v>
      </c>
      <c r="AC184" s="155">
        <f t="shared" ca="1" si="54"/>
        <v>4.8908357265548581</v>
      </c>
    </row>
    <row r="185" spans="3:29">
      <c r="C185" s="152" t="str">
        <f>'Monthly Prices'!A173</f>
        <v>1973M10</v>
      </c>
      <c r="D185" s="153">
        <f t="shared" si="43"/>
        <v>26938</v>
      </c>
      <c r="E185" s="152">
        <f t="shared" si="44"/>
        <v>166</v>
      </c>
      <c r="F185" s="152" t="b">
        <f t="shared" si="38"/>
        <v>0</v>
      </c>
      <c r="G185" s="152" t="b">
        <f t="shared" si="39"/>
        <v>1</v>
      </c>
      <c r="H185" s="152" t="b">
        <f t="shared" si="40"/>
        <v>0</v>
      </c>
      <c r="I185" s="153" t="e">
        <f t="shared" si="41"/>
        <v>#N/A</v>
      </c>
      <c r="J185" s="158">
        <f>INDEX('Monthly Prices'!B173:CB173,$G$4)</f>
        <v>106.39</v>
      </c>
      <c r="K185" s="158" t="b">
        <f>IF(H185,INDEX('Monthly Prices'!B173:CB173,$G$4)*U185,FALSE)</f>
        <v>0</v>
      </c>
      <c r="L185" s="152" t="b">
        <f t="shared" si="45"/>
        <v>1</v>
      </c>
      <c r="M185" s="158">
        <f>INDEX('Monthly Prices'!B173:CB173,$G$5)</f>
        <v>60.081170373920003</v>
      </c>
      <c r="N185" s="158" t="b">
        <f>IF(H185,INDEX('Monthly Prices'!B173:CB173,$G$5)*U185,FALSE)</f>
        <v>0</v>
      </c>
      <c r="O185" s="152" t="b">
        <f t="shared" si="42"/>
        <v>1</v>
      </c>
      <c r="P185" s="152">
        <f t="shared" si="46"/>
        <v>1973</v>
      </c>
      <c r="Q185" s="159">
        <f>'Monthly Prices'!B173</f>
        <v>4.0999999999999996</v>
      </c>
      <c r="R185" s="159">
        <f t="shared" si="47"/>
        <v>2.8074999999999997</v>
      </c>
      <c r="S185" s="155">
        <f>_xlfn.XLOOKUP(P185,'Annual Real'!A:A,'Annual Real'!B:B,0,0)</f>
        <v>9.0897023938691195</v>
      </c>
      <c r="T185" s="155">
        <f t="shared" ca="1" si="48"/>
        <v>4.869447543663787</v>
      </c>
      <c r="U185" s="152">
        <f t="shared" ca="1" si="49"/>
        <v>4.869447543663787</v>
      </c>
      <c r="V185" s="152" t="b">
        <f t="shared" si="55"/>
        <v>0</v>
      </c>
      <c r="W185" s="152" t="b">
        <f t="shared" si="56"/>
        <v>0</v>
      </c>
      <c r="X185" s="154">
        <f>LOOKUP(D185,'US Implicit Deflator'!A:A,'US Implicit Deflator'!B:B)/100</f>
        <v>5.4000000000000006E-2</v>
      </c>
      <c r="Y185" s="154">
        <f t="shared" si="50"/>
        <v>4.3923222705009035E-3</v>
      </c>
      <c r="Z185" s="165">
        <f t="shared" ca="1" si="51"/>
        <v>1.402375333603447</v>
      </c>
      <c r="AA185" s="152">
        <f t="shared" si="52"/>
        <v>7</v>
      </c>
      <c r="AB185" s="153">
        <f t="shared" si="53"/>
        <v>26938</v>
      </c>
      <c r="AC185" s="155">
        <f t="shared" ca="1" si="54"/>
        <v>4.869447543663787</v>
      </c>
    </row>
    <row r="186" spans="3:29">
      <c r="C186" s="152" t="str">
        <f>'Monthly Prices'!A174</f>
        <v>1973M11</v>
      </c>
      <c r="D186" s="153">
        <f t="shared" si="43"/>
        <v>26969</v>
      </c>
      <c r="E186" s="152">
        <f t="shared" si="44"/>
        <v>167</v>
      </c>
      <c r="F186" s="152" t="b">
        <f t="shared" si="38"/>
        <v>0</v>
      </c>
      <c r="G186" s="152" t="b">
        <f t="shared" si="39"/>
        <v>1</v>
      </c>
      <c r="H186" s="152" t="b">
        <f t="shared" si="40"/>
        <v>0</v>
      </c>
      <c r="I186" s="153" t="e">
        <f t="shared" si="41"/>
        <v>#N/A</v>
      </c>
      <c r="J186" s="158">
        <f>INDEX('Monthly Prices'!B174:CB174,$G$4)</f>
        <v>107.87</v>
      </c>
      <c r="K186" s="158" t="b">
        <f>IF(H186,INDEX('Monthly Prices'!B174:CB174,$G$4)*U186,FALSE)</f>
        <v>0</v>
      </c>
      <c r="L186" s="152" t="b">
        <f t="shared" si="45"/>
        <v>1</v>
      </c>
      <c r="M186" s="158">
        <f>INDEX('Monthly Prices'!B174:CB174,$G$5)</f>
        <v>60.412720288540001</v>
      </c>
      <c r="N186" s="158" t="b">
        <f>IF(H186,INDEX('Monthly Prices'!B174:CB174,$G$5)*U186,FALSE)</f>
        <v>0</v>
      </c>
      <c r="O186" s="152" t="b">
        <f t="shared" si="42"/>
        <v>1</v>
      </c>
      <c r="P186" s="152">
        <f t="shared" si="46"/>
        <v>1973</v>
      </c>
      <c r="Q186" s="159">
        <f>'Monthly Prices'!B174</f>
        <v>4.0999999999999996</v>
      </c>
      <c r="R186" s="159">
        <f t="shared" si="47"/>
        <v>2.8074999999999997</v>
      </c>
      <c r="S186" s="155">
        <f>_xlfn.XLOOKUP(P186,'Annual Real'!A:A,'Annual Real'!B:B,0,0)</f>
        <v>9.0897023938691195</v>
      </c>
      <c r="T186" s="155">
        <f t="shared" ca="1" si="48"/>
        <v>4.8481528937378284</v>
      </c>
      <c r="U186" s="152">
        <f t="shared" ca="1" si="49"/>
        <v>4.8481528937378284</v>
      </c>
      <c r="V186" s="152" t="b">
        <f t="shared" si="55"/>
        <v>0</v>
      </c>
      <c r="W186" s="152" t="b">
        <f t="shared" si="56"/>
        <v>0</v>
      </c>
      <c r="X186" s="154">
        <f>LOOKUP(D186,'US Implicit Deflator'!A:A,'US Implicit Deflator'!B:B)/100</f>
        <v>5.4000000000000006E-2</v>
      </c>
      <c r="Y186" s="154">
        <f t="shared" si="50"/>
        <v>4.3923222705009035E-3</v>
      </c>
      <c r="Z186" s="165">
        <f t="shared" ca="1" si="51"/>
        <v>1.4085350180128346</v>
      </c>
      <c r="AA186" s="152">
        <f t="shared" si="52"/>
        <v>7</v>
      </c>
      <c r="AB186" s="153">
        <f t="shared" si="53"/>
        <v>26969</v>
      </c>
      <c r="AC186" s="155">
        <f t="shared" ca="1" si="54"/>
        <v>4.8481528937378284</v>
      </c>
    </row>
    <row r="187" spans="3:29">
      <c r="C187" s="152" t="str">
        <f>'Monthly Prices'!A175</f>
        <v>1973M12</v>
      </c>
      <c r="D187" s="153">
        <f t="shared" si="43"/>
        <v>26999</v>
      </c>
      <c r="E187" s="152">
        <f t="shared" si="44"/>
        <v>168</v>
      </c>
      <c r="F187" s="152" t="b">
        <f t="shared" si="38"/>
        <v>0</v>
      </c>
      <c r="G187" s="152" t="b">
        <f t="shared" si="39"/>
        <v>1</v>
      </c>
      <c r="H187" s="152" t="b">
        <f t="shared" si="40"/>
        <v>0</v>
      </c>
      <c r="I187" s="153" t="e">
        <f t="shared" si="41"/>
        <v>#N/A</v>
      </c>
      <c r="J187" s="158">
        <f>INDEX('Monthly Prices'!B175:CB175,$G$4)</f>
        <v>112.59</v>
      </c>
      <c r="K187" s="158" t="b">
        <f>IF(H187,INDEX('Monthly Prices'!B175:CB175,$G$4)*U187,FALSE)</f>
        <v>0</v>
      </c>
      <c r="L187" s="152" t="b">
        <f t="shared" si="45"/>
        <v>1</v>
      </c>
      <c r="M187" s="158">
        <f>INDEX('Monthly Prices'!B175:CB175,$G$5)</f>
        <v>64.080791319460005</v>
      </c>
      <c r="N187" s="158" t="b">
        <f>IF(H187,INDEX('Monthly Prices'!B175:CB175,$G$5)*U187,FALSE)</f>
        <v>0</v>
      </c>
      <c r="O187" s="152" t="b">
        <f t="shared" si="42"/>
        <v>1</v>
      </c>
      <c r="P187" s="152">
        <f t="shared" si="46"/>
        <v>1973</v>
      </c>
      <c r="Q187" s="159">
        <f>'Monthly Prices'!B175</f>
        <v>4.0999999999999996</v>
      </c>
      <c r="R187" s="159">
        <f t="shared" si="47"/>
        <v>2.8074999999999997</v>
      </c>
      <c r="S187" s="155">
        <f>_xlfn.XLOOKUP(P187,'Annual Real'!A:A,'Annual Real'!B:B,0,0)</f>
        <v>9.0897023938691195</v>
      </c>
      <c r="T187" s="155">
        <f t="shared" ca="1" si="48"/>
        <v>4.8269513677466502</v>
      </c>
      <c r="U187" s="152">
        <f t="shared" ca="1" si="49"/>
        <v>4.8269513677466502</v>
      </c>
      <c r="V187" s="152" t="b">
        <f t="shared" si="55"/>
        <v>0</v>
      </c>
      <c r="W187" s="152" t="b">
        <f t="shared" si="56"/>
        <v>0</v>
      </c>
      <c r="X187" s="154">
        <f>LOOKUP(D187,'US Implicit Deflator'!A:A,'US Implicit Deflator'!B:B)/100</f>
        <v>5.4000000000000006E-2</v>
      </c>
      <c r="Y187" s="154">
        <f t="shared" si="50"/>
        <v>4.3923222705009035E-3</v>
      </c>
      <c r="Z187" s="165">
        <f t="shared" ca="1" si="51"/>
        <v>1.4147217577412328</v>
      </c>
      <c r="AA187" s="152">
        <f t="shared" si="52"/>
        <v>7</v>
      </c>
      <c r="AB187" s="153">
        <f t="shared" si="53"/>
        <v>26999</v>
      </c>
      <c r="AC187" s="155">
        <f t="shared" ca="1" si="54"/>
        <v>4.8269513677466502</v>
      </c>
    </row>
    <row r="188" spans="3:29">
      <c r="C188" s="152" t="str">
        <f>'Monthly Prices'!A176</f>
        <v>1974M01</v>
      </c>
      <c r="D188" s="153">
        <f t="shared" si="43"/>
        <v>27030</v>
      </c>
      <c r="E188" s="152">
        <f t="shared" si="44"/>
        <v>169</v>
      </c>
      <c r="F188" s="152" t="b">
        <f t="shared" si="38"/>
        <v>0</v>
      </c>
      <c r="G188" s="152" t="b">
        <f t="shared" si="39"/>
        <v>1</v>
      </c>
      <c r="H188" s="152" t="b">
        <f t="shared" si="40"/>
        <v>0</v>
      </c>
      <c r="I188" s="153" t="e">
        <f t="shared" si="41"/>
        <v>#N/A</v>
      </c>
      <c r="J188" s="158">
        <f>INDEX('Monthly Prices'!B176:CB176,$G$4)</f>
        <v>112.28</v>
      </c>
      <c r="K188" s="158" t="b">
        <f>IF(H188,INDEX('Monthly Prices'!B176:CB176,$G$4)*U188,FALSE)</f>
        <v>0</v>
      </c>
      <c r="L188" s="152" t="b">
        <f t="shared" si="45"/>
        <v>1</v>
      </c>
      <c r="M188" s="158">
        <f>INDEX('Monthly Prices'!B176:CB176,$G$5)</f>
        <v>66.147272088890006</v>
      </c>
      <c r="N188" s="158" t="b">
        <f>IF(H188,INDEX('Monthly Prices'!B176:CB176,$G$5)*U188,FALSE)</f>
        <v>0</v>
      </c>
      <c r="O188" s="152" t="b">
        <f t="shared" si="42"/>
        <v>1</v>
      </c>
      <c r="P188" s="152">
        <f t="shared" si="46"/>
        <v>1974</v>
      </c>
      <c r="Q188" s="159">
        <f>'Monthly Prices'!B176</f>
        <v>13</v>
      </c>
      <c r="R188" s="159">
        <f t="shared" si="47"/>
        <v>10.974999427795</v>
      </c>
      <c r="S188" s="155">
        <f>_xlfn.XLOOKUP(P188,'Annual Real'!A:A,'Annual Real'!B:B,0,0)</f>
        <v>29.157855852327501</v>
      </c>
      <c r="T188" s="155">
        <f t="shared" ca="1" si="48"/>
        <v>4.7990656514895633</v>
      </c>
      <c r="U188" s="152">
        <f t="shared" ca="1" si="49"/>
        <v>4.7990656514895633</v>
      </c>
      <c r="V188" s="152" t="b">
        <f t="shared" si="55"/>
        <v>0</v>
      </c>
      <c r="W188" s="152" t="b">
        <f t="shared" si="56"/>
        <v>0</v>
      </c>
      <c r="X188" s="154">
        <f>LOOKUP(D188,'US Implicit Deflator'!A:A,'US Implicit Deflator'!B:B)/100</f>
        <v>7.2000000000000008E-2</v>
      </c>
      <c r="Y188" s="154">
        <f t="shared" si="50"/>
        <v>5.8106552987937654E-3</v>
      </c>
      <c r="Z188" s="165">
        <f t="shared" ca="1" si="51"/>
        <v>1.4229422182191707</v>
      </c>
      <c r="AA188" s="152">
        <f t="shared" si="52"/>
        <v>7</v>
      </c>
      <c r="AB188" s="153">
        <f t="shared" si="53"/>
        <v>27030</v>
      </c>
      <c r="AC188" s="155">
        <f t="shared" ca="1" si="54"/>
        <v>4.7990656514895633</v>
      </c>
    </row>
    <row r="189" spans="3:29">
      <c r="C189" s="152" t="str">
        <f>'Monthly Prices'!A177</f>
        <v>1974M02</v>
      </c>
      <c r="D189" s="153">
        <f t="shared" si="43"/>
        <v>27061</v>
      </c>
      <c r="E189" s="152">
        <f t="shared" si="44"/>
        <v>170</v>
      </c>
      <c r="F189" s="152" t="b">
        <f t="shared" si="38"/>
        <v>0</v>
      </c>
      <c r="G189" s="152" t="b">
        <f t="shared" si="39"/>
        <v>1</v>
      </c>
      <c r="H189" s="152" t="b">
        <f t="shared" si="40"/>
        <v>0</v>
      </c>
      <c r="I189" s="153" t="e">
        <f t="shared" si="41"/>
        <v>#N/A</v>
      </c>
      <c r="J189" s="158">
        <f>INDEX('Monthly Prices'!B177:CB177,$G$4)</f>
        <v>131.1</v>
      </c>
      <c r="K189" s="158" t="b">
        <f>IF(H189,INDEX('Monthly Prices'!B177:CB177,$G$4)*U189,FALSE)</f>
        <v>0</v>
      </c>
      <c r="L189" s="152" t="b">
        <f t="shared" si="45"/>
        <v>1</v>
      </c>
      <c r="M189" s="158">
        <f>INDEX('Monthly Prices'!B177:CB177,$G$5)</f>
        <v>70.943976089109995</v>
      </c>
      <c r="N189" s="158" t="b">
        <f>IF(H189,INDEX('Monthly Prices'!B177:CB177,$G$5)*U189,FALSE)</f>
        <v>0</v>
      </c>
      <c r="O189" s="152" t="b">
        <f t="shared" si="42"/>
        <v>1</v>
      </c>
      <c r="P189" s="152">
        <f t="shared" si="46"/>
        <v>1974</v>
      </c>
      <c r="Q189" s="159">
        <f>'Monthly Prices'!B177</f>
        <v>13</v>
      </c>
      <c r="R189" s="159">
        <f t="shared" si="47"/>
        <v>10.974999427795</v>
      </c>
      <c r="S189" s="155">
        <f>_xlfn.XLOOKUP(P189,'Annual Real'!A:A,'Annual Real'!B:B,0,0)</f>
        <v>29.157855852327501</v>
      </c>
      <c r="T189" s="155">
        <f t="shared" ca="1" si="48"/>
        <v>4.7713410334313036</v>
      </c>
      <c r="U189" s="152">
        <f t="shared" ca="1" si="49"/>
        <v>4.7713410334313036</v>
      </c>
      <c r="V189" s="152" t="b">
        <f t="shared" si="55"/>
        <v>0</v>
      </c>
      <c r="W189" s="152" t="b">
        <f t="shared" si="56"/>
        <v>0</v>
      </c>
      <c r="X189" s="154">
        <f>LOOKUP(D189,'US Implicit Deflator'!A:A,'US Implicit Deflator'!B:B)/100</f>
        <v>7.2000000000000008E-2</v>
      </c>
      <c r="Y189" s="154">
        <f t="shared" si="50"/>
        <v>5.8106552987937654E-3</v>
      </c>
      <c r="Z189" s="165">
        <f t="shared" ca="1" si="51"/>
        <v>1.4312104449593432</v>
      </c>
      <c r="AA189" s="152">
        <f t="shared" si="52"/>
        <v>7</v>
      </c>
      <c r="AB189" s="153">
        <f t="shared" si="53"/>
        <v>27061</v>
      </c>
      <c r="AC189" s="155">
        <f t="shared" ca="1" si="54"/>
        <v>4.7713410334313036</v>
      </c>
    </row>
    <row r="190" spans="3:29">
      <c r="C190" s="152" t="str">
        <f>'Monthly Prices'!A178</f>
        <v>1974M03</v>
      </c>
      <c r="D190" s="153">
        <f t="shared" si="43"/>
        <v>27089</v>
      </c>
      <c r="E190" s="152">
        <f t="shared" si="44"/>
        <v>171</v>
      </c>
      <c r="F190" s="152" t="b">
        <f t="shared" si="38"/>
        <v>0</v>
      </c>
      <c r="G190" s="152" t="b">
        <f t="shared" si="39"/>
        <v>1</v>
      </c>
      <c r="H190" s="152" t="b">
        <f t="shared" si="40"/>
        <v>0</v>
      </c>
      <c r="I190" s="153" t="e">
        <f t="shared" si="41"/>
        <v>#N/A</v>
      </c>
      <c r="J190" s="158">
        <f>INDEX('Monthly Prices'!B178:CB178,$G$4)</f>
        <v>126.37</v>
      </c>
      <c r="K190" s="158" t="b">
        <f>IF(H190,INDEX('Monthly Prices'!B178:CB178,$G$4)*U190,FALSE)</f>
        <v>0</v>
      </c>
      <c r="L190" s="152" t="b">
        <f t="shared" si="45"/>
        <v>1</v>
      </c>
      <c r="M190" s="158">
        <f>INDEX('Monthly Prices'!B178:CB178,$G$5)</f>
        <v>65.647393558589997</v>
      </c>
      <c r="N190" s="158" t="b">
        <f>IF(H190,INDEX('Monthly Prices'!B178:CB178,$G$5)*U190,FALSE)</f>
        <v>0</v>
      </c>
      <c r="O190" s="152" t="b">
        <f t="shared" si="42"/>
        <v>1</v>
      </c>
      <c r="P190" s="152">
        <f t="shared" si="46"/>
        <v>1974</v>
      </c>
      <c r="Q190" s="159">
        <f>'Monthly Prices'!B178</f>
        <v>13</v>
      </c>
      <c r="R190" s="159">
        <f t="shared" si="47"/>
        <v>10.974999427795</v>
      </c>
      <c r="S190" s="155">
        <f>_xlfn.XLOOKUP(P190,'Annual Real'!A:A,'Annual Real'!B:B,0,0)</f>
        <v>29.157855852327501</v>
      </c>
      <c r="T190" s="155">
        <f t="shared" ca="1" si="48"/>
        <v>4.7437765828936191</v>
      </c>
      <c r="U190" s="152">
        <f t="shared" ca="1" si="49"/>
        <v>4.7437765828936191</v>
      </c>
      <c r="V190" s="152" t="b">
        <f t="shared" si="55"/>
        <v>0</v>
      </c>
      <c r="W190" s="152" t="b">
        <f t="shared" si="56"/>
        <v>0</v>
      </c>
      <c r="X190" s="154">
        <f>LOOKUP(D190,'US Implicit Deflator'!A:A,'US Implicit Deflator'!B:B)/100</f>
        <v>7.2000000000000008E-2</v>
      </c>
      <c r="Y190" s="154">
        <f t="shared" si="50"/>
        <v>5.8106552987937654E-3</v>
      </c>
      <c r="Z190" s="165">
        <f t="shared" ca="1" si="51"/>
        <v>1.4395267155150353</v>
      </c>
      <c r="AA190" s="152">
        <f t="shared" si="52"/>
        <v>7</v>
      </c>
      <c r="AB190" s="153">
        <f t="shared" si="53"/>
        <v>27089</v>
      </c>
      <c r="AC190" s="155">
        <f t="shared" ca="1" si="54"/>
        <v>4.7437765828936191</v>
      </c>
    </row>
    <row r="191" spans="3:29">
      <c r="C191" s="152" t="str">
        <f>'Monthly Prices'!A179</f>
        <v>1974M04</v>
      </c>
      <c r="D191" s="153">
        <f t="shared" si="43"/>
        <v>27120</v>
      </c>
      <c r="E191" s="152">
        <f t="shared" si="44"/>
        <v>172</v>
      </c>
      <c r="F191" s="152" t="b">
        <f t="shared" si="38"/>
        <v>0</v>
      </c>
      <c r="G191" s="152" t="b">
        <f t="shared" si="39"/>
        <v>1</v>
      </c>
      <c r="H191" s="152" t="b">
        <f t="shared" si="40"/>
        <v>0</v>
      </c>
      <c r="I191" s="153" t="e">
        <f t="shared" si="41"/>
        <v>#N/A</v>
      </c>
      <c r="J191" s="158">
        <f>INDEX('Monthly Prices'!B179:CB179,$G$4)</f>
        <v>114.17</v>
      </c>
      <c r="K191" s="158" t="b">
        <f>IF(H191,INDEX('Monthly Prices'!B179:CB179,$G$4)*U191,FALSE)</f>
        <v>0</v>
      </c>
      <c r="L191" s="152" t="b">
        <f t="shared" si="45"/>
        <v>1</v>
      </c>
      <c r="M191" s="158">
        <f>INDEX('Monthly Prices'!B179:CB179,$G$5)</f>
        <v>58.916282058749999</v>
      </c>
      <c r="N191" s="158" t="b">
        <f>IF(H191,INDEX('Monthly Prices'!B179:CB179,$G$5)*U191,FALSE)</f>
        <v>0</v>
      </c>
      <c r="O191" s="152" t="b">
        <f t="shared" si="42"/>
        <v>1</v>
      </c>
      <c r="P191" s="152">
        <f t="shared" si="46"/>
        <v>1974</v>
      </c>
      <c r="Q191" s="159">
        <f>'Monthly Prices'!B179</f>
        <v>10.59999847412</v>
      </c>
      <c r="R191" s="159">
        <f t="shared" si="47"/>
        <v>10.974999427795</v>
      </c>
      <c r="S191" s="155">
        <f>_xlfn.XLOOKUP(P191,'Annual Real'!A:A,'Annual Real'!B:B,0,0)</f>
        <v>29.157855852327501</v>
      </c>
      <c r="T191" s="155">
        <f t="shared" ca="1" si="48"/>
        <v>4.7066050077103645</v>
      </c>
      <c r="U191" s="152">
        <f t="shared" ca="1" si="49"/>
        <v>4.7066050077103645</v>
      </c>
      <c r="V191" s="152" t="b">
        <f t="shared" si="55"/>
        <v>0</v>
      </c>
      <c r="W191" s="152" t="b">
        <f t="shared" si="56"/>
        <v>0</v>
      </c>
      <c r="X191" s="154">
        <f>LOOKUP(D191,'US Implicit Deflator'!A:A,'US Implicit Deflator'!B:B)/100</f>
        <v>9.9000000000000005E-2</v>
      </c>
      <c r="Y191" s="154">
        <f t="shared" si="50"/>
        <v>7.8977469157408553E-3</v>
      </c>
      <c r="Z191" s="165">
        <f t="shared" ca="1" si="51"/>
        <v>1.4508957331926207</v>
      </c>
      <c r="AA191" s="152">
        <f t="shared" si="52"/>
        <v>7</v>
      </c>
      <c r="AB191" s="153">
        <f t="shared" si="53"/>
        <v>27120</v>
      </c>
      <c r="AC191" s="155">
        <f t="shared" ca="1" si="54"/>
        <v>4.7066050077103645</v>
      </c>
    </row>
    <row r="192" spans="3:29">
      <c r="C192" s="152" t="str">
        <f>'Monthly Prices'!A180</f>
        <v>1974M05</v>
      </c>
      <c r="D192" s="153">
        <f t="shared" si="43"/>
        <v>27150</v>
      </c>
      <c r="E192" s="152">
        <f t="shared" si="44"/>
        <v>173</v>
      </c>
      <c r="F192" s="152" t="b">
        <f t="shared" si="38"/>
        <v>0</v>
      </c>
      <c r="G192" s="152" t="b">
        <f t="shared" si="39"/>
        <v>1</v>
      </c>
      <c r="H192" s="152" t="b">
        <f t="shared" si="40"/>
        <v>0</v>
      </c>
      <c r="I192" s="153" t="e">
        <f t="shared" si="41"/>
        <v>#N/A</v>
      </c>
      <c r="J192" s="158">
        <f>INDEX('Monthly Prices'!B180:CB180,$G$4)</f>
        <v>113.7</v>
      </c>
      <c r="K192" s="158" t="b">
        <f>IF(H192,INDEX('Monthly Prices'!B180:CB180,$G$4)*U192,FALSE)</f>
        <v>0</v>
      </c>
      <c r="L192" s="152" t="b">
        <f t="shared" si="45"/>
        <v>1</v>
      </c>
      <c r="M192" s="158">
        <f>INDEX('Monthly Prices'!B180:CB180,$G$5)</f>
        <v>55.369076521330001</v>
      </c>
      <c r="N192" s="158" t="b">
        <f>IF(H192,INDEX('Monthly Prices'!B180:CB180,$G$5)*U192,FALSE)</f>
        <v>0</v>
      </c>
      <c r="O192" s="152" t="b">
        <f t="shared" si="42"/>
        <v>1</v>
      </c>
      <c r="P192" s="152">
        <f t="shared" si="46"/>
        <v>1974</v>
      </c>
      <c r="Q192" s="159">
        <f>'Monthly Prices'!B180</f>
        <v>10.59999847412</v>
      </c>
      <c r="R192" s="159">
        <f t="shared" si="47"/>
        <v>10.974999427795</v>
      </c>
      <c r="S192" s="155">
        <f>_xlfn.XLOOKUP(P192,'Annual Real'!A:A,'Annual Real'!B:B,0,0)</f>
        <v>29.157855852327501</v>
      </c>
      <c r="T192" s="155">
        <f t="shared" ca="1" si="48"/>
        <v>4.6697247038333058</v>
      </c>
      <c r="U192" s="152">
        <f t="shared" ca="1" si="49"/>
        <v>4.6697247038333058</v>
      </c>
      <c r="V192" s="152" t="b">
        <f t="shared" si="55"/>
        <v>0</v>
      </c>
      <c r="W192" s="152" t="b">
        <f t="shared" si="56"/>
        <v>0</v>
      </c>
      <c r="X192" s="154">
        <f>LOOKUP(D192,'US Implicit Deflator'!A:A,'US Implicit Deflator'!B:B)/100</f>
        <v>9.9000000000000005E-2</v>
      </c>
      <c r="Y192" s="154">
        <f t="shared" si="50"/>
        <v>7.8977469157408553E-3</v>
      </c>
      <c r="Z192" s="165">
        <f t="shared" ca="1" si="51"/>
        <v>1.4623545404945042</v>
      </c>
      <c r="AA192" s="152">
        <f t="shared" si="52"/>
        <v>7</v>
      </c>
      <c r="AB192" s="153">
        <f t="shared" si="53"/>
        <v>27150</v>
      </c>
      <c r="AC192" s="155">
        <f t="shared" ca="1" si="54"/>
        <v>4.6697247038333058</v>
      </c>
    </row>
    <row r="193" spans="3:29">
      <c r="C193" s="152" t="str">
        <f>'Monthly Prices'!A181</f>
        <v>1974M06</v>
      </c>
      <c r="D193" s="153">
        <f t="shared" si="43"/>
        <v>27181</v>
      </c>
      <c r="E193" s="152">
        <f t="shared" si="44"/>
        <v>174</v>
      </c>
      <c r="F193" s="152" t="b">
        <f t="shared" si="38"/>
        <v>0</v>
      </c>
      <c r="G193" s="152" t="b">
        <f t="shared" si="39"/>
        <v>1</v>
      </c>
      <c r="H193" s="152" t="b">
        <f t="shared" si="40"/>
        <v>0</v>
      </c>
      <c r="I193" s="153" t="e">
        <f t="shared" si="41"/>
        <v>#N/A</v>
      </c>
      <c r="J193" s="158">
        <f>INDEX('Monthly Prices'!B181:CB181,$G$4)</f>
        <v>116.63</v>
      </c>
      <c r="K193" s="158" t="b">
        <f>IF(H193,INDEX('Monthly Prices'!B181:CB181,$G$4)*U193,FALSE)</f>
        <v>0</v>
      </c>
      <c r="L193" s="152" t="b">
        <f t="shared" si="45"/>
        <v>1</v>
      </c>
      <c r="M193" s="158">
        <f>INDEX('Monthly Prices'!B181:CB181,$G$5)</f>
        <v>58.48418559425</v>
      </c>
      <c r="N193" s="158" t="b">
        <f>IF(H193,INDEX('Monthly Prices'!B181:CB181,$G$5)*U193,FALSE)</f>
        <v>0</v>
      </c>
      <c r="O193" s="152" t="b">
        <f t="shared" si="42"/>
        <v>1</v>
      </c>
      <c r="P193" s="152">
        <f t="shared" si="46"/>
        <v>1974</v>
      </c>
      <c r="Q193" s="159">
        <f>'Monthly Prices'!B181</f>
        <v>10.59999847412</v>
      </c>
      <c r="R193" s="159">
        <f t="shared" si="47"/>
        <v>10.974999427795</v>
      </c>
      <c r="S193" s="155">
        <f>_xlfn.XLOOKUP(P193,'Annual Real'!A:A,'Annual Real'!B:B,0,0)</f>
        <v>29.157855852327501</v>
      </c>
      <c r="T193" s="155">
        <f t="shared" ca="1" si="48"/>
        <v>4.6331333889008981</v>
      </c>
      <c r="U193" s="152">
        <f t="shared" ca="1" si="49"/>
        <v>4.6331333889008981</v>
      </c>
      <c r="V193" s="152" t="b">
        <f t="shared" si="55"/>
        <v>0</v>
      </c>
      <c r="W193" s="152" t="b">
        <f t="shared" si="56"/>
        <v>0</v>
      </c>
      <c r="X193" s="154">
        <f>LOOKUP(D193,'US Implicit Deflator'!A:A,'US Implicit Deflator'!B:B)/100</f>
        <v>9.9000000000000005E-2</v>
      </c>
      <c r="Y193" s="154">
        <f t="shared" si="50"/>
        <v>7.8977469157408553E-3</v>
      </c>
      <c r="Z193" s="165">
        <f t="shared" ca="1" si="51"/>
        <v>1.4739038465564143</v>
      </c>
      <c r="AA193" s="152">
        <f t="shared" si="52"/>
        <v>7</v>
      </c>
      <c r="AB193" s="153">
        <f t="shared" si="53"/>
        <v>27181</v>
      </c>
      <c r="AC193" s="155">
        <f t="shared" ca="1" si="54"/>
        <v>4.6331333889008981</v>
      </c>
    </row>
    <row r="194" spans="3:29">
      <c r="C194" s="152" t="str">
        <f>'Monthly Prices'!A182</f>
        <v>1974M07</v>
      </c>
      <c r="D194" s="153">
        <f t="shared" si="43"/>
        <v>27211</v>
      </c>
      <c r="E194" s="152">
        <f t="shared" si="44"/>
        <v>175</v>
      </c>
      <c r="F194" s="152" t="b">
        <f t="shared" si="38"/>
        <v>0</v>
      </c>
      <c r="G194" s="152" t="b">
        <f t="shared" si="39"/>
        <v>1</v>
      </c>
      <c r="H194" s="152" t="b">
        <f t="shared" si="40"/>
        <v>0</v>
      </c>
      <c r="I194" s="153" t="e">
        <f t="shared" si="41"/>
        <v>#N/A</v>
      </c>
      <c r="J194" s="158">
        <f>INDEX('Monthly Prices'!B182:CB182,$G$4)</f>
        <v>132.28</v>
      </c>
      <c r="K194" s="158" t="b">
        <f>IF(H194,INDEX('Monthly Prices'!B182:CB182,$G$4)*U194,FALSE)</f>
        <v>0</v>
      </c>
      <c r="L194" s="152" t="b">
        <f t="shared" si="45"/>
        <v>1</v>
      </c>
      <c r="M194" s="158">
        <f>INDEX('Monthly Prices'!B182:CB182,$G$5)</f>
        <v>63.520145895570003</v>
      </c>
      <c r="N194" s="158" t="b">
        <f>IF(H194,INDEX('Monthly Prices'!B182:CB182,$G$5)*U194,FALSE)</f>
        <v>0</v>
      </c>
      <c r="O194" s="152" t="b">
        <f t="shared" si="42"/>
        <v>1</v>
      </c>
      <c r="P194" s="152">
        <f t="shared" si="46"/>
        <v>1974</v>
      </c>
      <c r="Q194" s="159">
        <f>'Monthly Prices'!B182</f>
        <v>10</v>
      </c>
      <c r="R194" s="159">
        <f t="shared" si="47"/>
        <v>10.974999427795</v>
      </c>
      <c r="S194" s="155">
        <f>_xlfn.XLOOKUP(P194,'Annual Real'!A:A,'Annual Real'!B:B,0,0)</f>
        <v>29.157855852327501</v>
      </c>
      <c r="T194" s="155">
        <f t="shared" ca="1" si="48"/>
        <v>4.5899254309126478</v>
      </c>
      <c r="U194" s="152">
        <f t="shared" ca="1" si="49"/>
        <v>4.5899254309126478</v>
      </c>
      <c r="V194" s="152" t="b">
        <f t="shared" si="55"/>
        <v>0</v>
      </c>
      <c r="W194" s="152" t="b">
        <f t="shared" si="56"/>
        <v>0</v>
      </c>
      <c r="X194" s="154">
        <f>LOOKUP(D194,'US Implicit Deflator'!A:A,'US Implicit Deflator'!B:B)/100</f>
        <v>0.11900000000000001</v>
      </c>
      <c r="Y194" s="154">
        <f t="shared" si="50"/>
        <v>9.4136514064584453E-3</v>
      </c>
      <c r="Z194" s="165">
        <f t="shared" ca="1" si="51"/>
        <v>1.4877786635745345</v>
      </c>
      <c r="AA194" s="152">
        <f t="shared" si="52"/>
        <v>7</v>
      </c>
      <c r="AB194" s="153">
        <f t="shared" si="53"/>
        <v>27211</v>
      </c>
      <c r="AC194" s="155">
        <f t="shared" ca="1" si="54"/>
        <v>4.5899254309126478</v>
      </c>
    </row>
    <row r="195" spans="3:29">
      <c r="C195" s="152" t="str">
        <f>'Monthly Prices'!A183</f>
        <v>1974M08</v>
      </c>
      <c r="D195" s="153">
        <f t="shared" si="43"/>
        <v>27242</v>
      </c>
      <c r="E195" s="152">
        <f t="shared" si="44"/>
        <v>176</v>
      </c>
      <c r="F195" s="152" t="b">
        <f t="shared" si="38"/>
        <v>0</v>
      </c>
      <c r="G195" s="152" t="b">
        <f t="shared" si="39"/>
        <v>1</v>
      </c>
      <c r="H195" s="152" t="b">
        <f t="shared" si="40"/>
        <v>0</v>
      </c>
      <c r="I195" s="153" t="e">
        <f t="shared" si="41"/>
        <v>#N/A</v>
      </c>
      <c r="J195" s="158">
        <f>INDEX('Monthly Prices'!B183:CB183,$G$4)</f>
        <v>145.82</v>
      </c>
      <c r="K195" s="158" t="b">
        <f>IF(H195,INDEX('Monthly Prices'!B183:CB183,$G$4)*U195,FALSE)</f>
        <v>0</v>
      </c>
      <c r="L195" s="152" t="b">
        <f t="shared" si="45"/>
        <v>1</v>
      </c>
      <c r="M195" s="158">
        <f>INDEX('Monthly Prices'!B183:CB183,$G$5)</f>
        <v>65.542893643010004</v>
      </c>
      <c r="N195" s="158" t="b">
        <f>IF(H195,INDEX('Monthly Prices'!B183:CB183,$G$5)*U195,FALSE)</f>
        <v>0</v>
      </c>
      <c r="O195" s="152" t="b">
        <f t="shared" si="42"/>
        <v>1</v>
      </c>
      <c r="P195" s="152">
        <f t="shared" si="46"/>
        <v>1974</v>
      </c>
      <c r="Q195" s="159">
        <f>'Monthly Prices'!B183</f>
        <v>10</v>
      </c>
      <c r="R195" s="159">
        <f t="shared" si="47"/>
        <v>10.974999427795</v>
      </c>
      <c r="S195" s="155">
        <f>_xlfn.XLOOKUP(P195,'Annual Real'!A:A,'Annual Real'!B:B,0,0)</f>
        <v>29.157855852327501</v>
      </c>
      <c r="T195" s="155">
        <f t="shared" ca="1" si="48"/>
        <v>4.5471204243347731</v>
      </c>
      <c r="U195" s="152">
        <f t="shared" ca="1" si="49"/>
        <v>4.5471204243347731</v>
      </c>
      <c r="V195" s="152" t="b">
        <f t="shared" si="55"/>
        <v>0</v>
      </c>
      <c r="W195" s="152" t="b">
        <f t="shared" si="56"/>
        <v>0</v>
      </c>
      <c r="X195" s="154">
        <f>LOOKUP(D195,'US Implicit Deflator'!A:A,'US Implicit Deflator'!B:B)/100</f>
        <v>0.11900000000000001</v>
      </c>
      <c r="Y195" s="154">
        <f t="shared" si="50"/>
        <v>9.4136514064584453E-3</v>
      </c>
      <c r="Z195" s="165">
        <f t="shared" ca="1" si="51"/>
        <v>1.5017840932833917</v>
      </c>
      <c r="AA195" s="152">
        <f t="shared" si="52"/>
        <v>7</v>
      </c>
      <c r="AB195" s="153">
        <f t="shared" si="53"/>
        <v>27242</v>
      </c>
      <c r="AC195" s="155">
        <f t="shared" ca="1" si="54"/>
        <v>4.5471204243347731</v>
      </c>
    </row>
    <row r="196" spans="3:29">
      <c r="C196" s="152" t="str">
        <f>'Monthly Prices'!A184</f>
        <v>1974M09</v>
      </c>
      <c r="D196" s="153">
        <f t="shared" si="43"/>
        <v>27273</v>
      </c>
      <c r="E196" s="152">
        <f t="shared" si="44"/>
        <v>177</v>
      </c>
      <c r="F196" s="152" t="b">
        <f t="shared" si="38"/>
        <v>0</v>
      </c>
      <c r="G196" s="152" t="b">
        <f t="shared" si="39"/>
        <v>1</v>
      </c>
      <c r="H196" s="152" t="b">
        <f t="shared" si="40"/>
        <v>0</v>
      </c>
      <c r="I196" s="153" t="e">
        <f t="shared" si="41"/>
        <v>#N/A</v>
      </c>
      <c r="J196" s="158">
        <f>INDEX('Monthly Prices'!B184:CB184,$G$4)</f>
        <v>141.43</v>
      </c>
      <c r="K196" s="158" t="b">
        <f>IF(H196,INDEX('Monthly Prices'!B184:CB184,$G$4)*U196,FALSE)</f>
        <v>0</v>
      </c>
      <c r="L196" s="152" t="b">
        <f t="shared" si="45"/>
        <v>1</v>
      </c>
      <c r="M196" s="158">
        <f>INDEX('Monthly Prices'!B184:CB184,$G$5)</f>
        <v>65.48202529852</v>
      </c>
      <c r="N196" s="158" t="b">
        <f>IF(H196,INDEX('Monthly Prices'!B184:CB184,$G$5)*U196,FALSE)</f>
        <v>0</v>
      </c>
      <c r="O196" s="152" t="b">
        <f t="shared" si="42"/>
        <v>1</v>
      </c>
      <c r="P196" s="152">
        <f t="shared" si="46"/>
        <v>1974</v>
      </c>
      <c r="Q196" s="159">
        <f>'Monthly Prices'!B184</f>
        <v>10</v>
      </c>
      <c r="R196" s="159">
        <f t="shared" si="47"/>
        <v>10.974999427795</v>
      </c>
      <c r="S196" s="155">
        <f>_xlfn.XLOOKUP(P196,'Annual Real'!A:A,'Annual Real'!B:B,0,0)</f>
        <v>29.157855852327501</v>
      </c>
      <c r="T196" s="155">
        <f t="shared" ca="1" si="48"/>
        <v>4.5047146112984304</v>
      </c>
      <c r="U196" s="152">
        <f t="shared" ca="1" si="49"/>
        <v>4.5047146112984304</v>
      </c>
      <c r="V196" s="152" t="b">
        <f t="shared" si="55"/>
        <v>0</v>
      </c>
      <c r="W196" s="152" t="b">
        <f t="shared" si="56"/>
        <v>0</v>
      </c>
      <c r="X196" s="154">
        <f>LOOKUP(D196,'US Implicit Deflator'!A:A,'US Implicit Deflator'!B:B)/100</f>
        <v>0.11900000000000001</v>
      </c>
      <c r="Y196" s="154">
        <f t="shared" si="50"/>
        <v>9.4136514064584453E-3</v>
      </c>
      <c r="Z196" s="165">
        <f t="shared" ca="1" si="51"/>
        <v>1.5159213652253258</v>
      </c>
      <c r="AA196" s="152">
        <f t="shared" si="52"/>
        <v>7</v>
      </c>
      <c r="AB196" s="153">
        <f t="shared" si="53"/>
        <v>27273</v>
      </c>
      <c r="AC196" s="155">
        <f t="shared" ca="1" si="54"/>
        <v>4.5047146112984304</v>
      </c>
    </row>
    <row r="197" spans="3:29">
      <c r="C197" s="152" t="str">
        <f>'Monthly Prices'!A185</f>
        <v>1974M10</v>
      </c>
      <c r="D197" s="153">
        <f t="shared" si="43"/>
        <v>27303</v>
      </c>
      <c r="E197" s="152">
        <f t="shared" si="44"/>
        <v>178</v>
      </c>
      <c r="F197" s="152" t="b">
        <f t="shared" si="38"/>
        <v>0</v>
      </c>
      <c r="G197" s="152" t="b">
        <f t="shared" si="39"/>
        <v>1</v>
      </c>
      <c r="H197" s="152" t="b">
        <f t="shared" si="40"/>
        <v>0</v>
      </c>
      <c r="I197" s="153" t="e">
        <f t="shared" si="41"/>
        <v>#N/A</v>
      </c>
      <c r="J197" s="158">
        <f>INDEX('Monthly Prices'!B185:CB185,$G$4)</f>
        <v>151.57</v>
      </c>
      <c r="K197" s="158" t="b">
        <f>IF(H197,INDEX('Monthly Prices'!B185:CB185,$G$4)*U197,FALSE)</f>
        <v>0</v>
      </c>
      <c r="L197" s="152" t="b">
        <f t="shared" si="45"/>
        <v>1</v>
      </c>
      <c r="M197" s="158">
        <f>INDEX('Monthly Prices'!B185:CB185,$G$5)</f>
        <v>70.97357056253</v>
      </c>
      <c r="N197" s="158" t="b">
        <f>IF(H197,INDEX('Monthly Prices'!B185:CB185,$G$5)*U197,FALSE)</f>
        <v>0</v>
      </c>
      <c r="O197" s="152" t="b">
        <f t="shared" si="42"/>
        <v>1</v>
      </c>
      <c r="P197" s="152">
        <f t="shared" si="46"/>
        <v>1974</v>
      </c>
      <c r="Q197" s="159">
        <f>'Monthly Prices'!B185</f>
        <v>10.29999923706</v>
      </c>
      <c r="R197" s="159">
        <f t="shared" si="47"/>
        <v>10.974999427795</v>
      </c>
      <c r="S197" s="155">
        <f>_xlfn.XLOOKUP(P197,'Annual Real'!A:A,'Annual Real'!B:B,0,0)</f>
        <v>29.157855852327501</v>
      </c>
      <c r="T197" s="155">
        <f t="shared" ca="1" si="48"/>
        <v>4.4603857154943265</v>
      </c>
      <c r="U197" s="152">
        <f t="shared" ca="1" si="49"/>
        <v>4.4603857154943265</v>
      </c>
      <c r="V197" s="152" t="b">
        <f t="shared" si="55"/>
        <v>0</v>
      </c>
      <c r="W197" s="152" t="b">
        <f t="shared" si="56"/>
        <v>0</v>
      </c>
      <c r="X197" s="154">
        <f>LOOKUP(D197,'US Implicit Deflator'!A:A,'US Implicit Deflator'!B:B)/100</f>
        <v>0.126</v>
      </c>
      <c r="Y197" s="154">
        <f t="shared" si="50"/>
        <v>9.9383548041853675E-3</v>
      </c>
      <c r="Z197" s="165">
        <f t="shared" ca="1" si="51"/>
        <v>1.5309871296081803</v>
      </c>
      <c r="AA197" s="152">
        <f t="shared" si="52"/>
        <v>7</v>
      </c>
      <c r="AB197" s="153">
        <f t="shared" si="53"/>
        <v>27303</v>
      </c>
      <c r="AC197" s="155">
        <f t="shared" ca="1" si="54"/>
        <v>4.4603857154943265</v>
      </c>
    </row>
    <row r="198" spans="3:29">
      <c r="C198" s="152" t="str">
        <f>'Monthly Prices'!A186</f>
        <v>1974M11</v>
      </c>
      <c r="D198" s="153">
        <f t="shared" si="43"/>
        <v>27334</v>
      </c>
      <c r="E198" s="152">
        <f t="shared" si="44"/>
        <v>179</v>
      </c>
      <c r="F198" s="152" t="b">
        <f t="shared" si="38"/>
        <v>0</v>
      </c>
      <c r="G198" s="152" t="b">
        <f t="shared" si="39"/>
        <v>1</v>
      </c>
      <c r="H198" s="152" t="b">
        <f t="shared" si="40"/>
        <v>0</v>
      </c>
      <c r="I198" s="153" t="e">
        <f t="shared" si="41"/>
        <v>#N/A</v>
      </c>
      <c r="J198" s="158">
        <f>INDEX('Monthly Prices'!B186:CB186,$G$4)</f>
        <v>144.09</v>
      </c>
      <c r="K198" s="158" t="b">
        <f>IF(H198,INDEX('Monthly Prices'!B186:CB186,$G$4)*U198,FALSE)</f>
        <v>0</v>
      </c>
      <c r="L198" s="152" t="b">
        <f t="shared" si="45"/>
        <v>1</v>
      </c>
      <c r="M198" s="158">
        <f>INDEX('Monthly Prices'!B186:CB186,$G$5)</f>
        <v>69.055303759699996</v>
      </c>
      <c r="N198" s="158" t="b">
        <f>IF(H198,INDEX('Monthly Prices'!B186:CB186,$G$5)*U198,FALSE)</f>
        <v>0</v>
      </c>
      <c r="O198" s="152" t="b">
        <f t="shared" si="42"/>
        <v>1</v>
      </c>
      <c r="P198" s="152">
        <f t="shared" si="46"/>
        <v>1974</v>
      </c>
      <c r="Q198" s="159">
        <f>'Monthly Prices'!B186</f>
        <v>10.29999923706</v>
      </c>
      <c r="R198" s="159">
        <f t="shared" si="47"/>
        <v>10.974999427795</v>
      </c>
      <c r="S198" s="155">
        <f>_xlfn.XLOOKUP(P198,'Annual Real'!A:A,'Annual Real'!B:B,0,0)</f>
        <v>29.157855852327501</v>
      </c>
      <c r="T198" s="155">
        <f t="shared" ca="1" si="48"/>
        <v>4.4164930406659728</v>
      </c>
      <c r="U198" s="152">
        <f t="shared" ca="1" si="49"/>
        <v>4.4164930406659728</v>
      </c>
      <c r="V198" s="152" t="b">
        <f t="shared" si="55"/>
        <v>0</v>
      </c>
      <c r="W198" s="152" t="b">
        <f t="shared" si="56"/>
        <v>0</v>
      </c>
      <c r="X198" s="154">
        <f>LOOKUP(D198,'US Implicit Deflator'!A:A,'US Implicit Deflator'!B:B)/100</f>
        <v>0.126</v>
      </c>
      <c r="Y198" s="154">
        <f t="shared" si="50"/>
        <v>9.9383548041853675E-3</v>
      </c>
      <c r="Z198" s="165">
        <f t="shared" ca="1" si="51"/>
        <v>1.5462026229028678</v>
      </c>
      <c r="AA198" s="152">
        <f t="shared" si="52"/>
        <v>7</v>
      </c>
      <c r="AB198" s="153">
        <f t="shared" si="53"/>
        <v>27334</v>
      </c>
      <c r="AC198" s="155">
        <f t="shared" ca="1" si="54"/>
        <v>4.4164930406659728</v>
      </c>
    </row>
    <row r="199" spans="3:29">
      <c r="C199" s="152" t="str">
        <f>'Monthly Prices'!A187</f>
        <v>1974M12</v>
      </c>
      <c r="D199" s="153">
        <f t="shared" si="43"/>
        <v>27364</v>
      </c>
      <c r="E199" s="152">
        <f t="shared" si="44"/>
        <v>180</v>
      </c>
      <c r="F199" s="152" t="b">
        <f t="shared" si="38"/>
        <v>0</v>
      </c>
      <c r="G199" s="152" t="b">
        <f t="shared" si="39"/>
        <v>1</v>
      </c>
      <c r="H199" s="152" t="b">
        <f t="shared" si="40"/>
        <v>0</v>
      </c>
      <c r="I199" s="153" t="e">
        <f t="shared" si="41"/>
        <v>#N/A</v>
      </c>
      <c r="J199" s="158">
        <f>INDEX('Monthly Prices'!B187:CB187,$G$4)</f>
        <v>145.27000000000001</v>
      </c>
      <c r="K199" s="158" t="b">
        <f>IF(H199,INDEX('Monthly Prices'!B187:CB187,$G$4)*U199,FALSE)</f>
        <v>0</v>
      </c>
      <c r="L199" s="152" t="b">
        <f t="shared" si="45"/>
        <v>1</v>
      </c>
      <c r="M199" s="158">
        <f>INDEX('Monthly Prices'!B187:CB187,$G$5)</f>
        <v>69.115057229360005</v>
      </c>
      <c r="N199" s="158" t="b">
        <f>IF(H199,INDEX('Monthly Prices'!B187:CB187,$G$5)*U199,FALSE)</f>
        <v>0</v>
      </c>
      <c r="O199" s="152" t="b">
        <f t="shared" si="42"/>
        <v>1</v>
      </c>
      <c r="P199" s="152">
        <f t="shared" si="46"/>
        <v>1974</v>
      </c>
      <c r="Q199" s="159">
        <f>'Monthly Prices'!B187</f>
        <v>10.29999923706</v>
      </c>
      <c r="R199" s="159">
        <f t="shared" si="47"/>
        <v>10.974999427795</v>
      </c>
      <c r="S199" s="155">
        <f>_xlfn.XLOOKUP(P199,'Annual Real'!A:A,'Annual Real'!B:B,0,0)</f>
        <v>29.157855852327501</v>
      </c>
      <c r="T199" s="155">
        <f t="shared" ca="1" si="48"/>
        <v>4.3730322941564843</v>
      </c>
      <c r="U199" s="152">
        <f t="shared" ca="1" si="49"/>
        <v>4.3730322941564843</v>
      </c>
      <c r="V199" s="152" t="b">
        <f t="shared" si="55"/>
        <v>0</v>
      </c>
      <c r="W199" s="152" t="b">
        <f t="shared" si="56"/>
        <v>0</v>
      </c>
      <c r="X199" s="154">
        <f>LOOKUP(D199,'US Implicit Deflator'!A:A,'US Implicit Deflator'!B:B)/100</f>
        <v>0.126</v>
      </c>
      <c r="Y199" s="154">
        <f t="shared" si="50"/>
        <v>9.9383548041853675E-3</v>
      </c>
      <c r="Z199" s="165">
        <f t="shared" ca="1" si="51"/>
        <v>1.5615693331684386</v>
      </c>
      <c r="AA199" s="152">
        <f t="shared" si="52"/>
        <v>7</v>
      </c>
      <c r="AB199" s="153">
        <f t="shared" si="53"/>
        <v>27364</v>
      </c>
      <c r="AC199" s="155">
        <f t="shared" ca="1" si="54"/>
        <v>4.3730322941564843</v>
      </c>
    </row>
    <row r="200" spans="3:29">
      <c r="C200" s="152" t="str">
        <f>'Monthly Prices'!A188</f>
        <v>1975M01</v>
      </c>
      <c r="D200" s="153">
        <f t="shared" si="43"/>
        <v>27395</v>
      </c>
      <c r="E200" s="152">
        <f t="shared" si="44"/>
        <v>181</v>
      </c>
      <c r="F200" s="152" t="b">
        <f t="shared" si="38"/>
        <v>0</v>
      </c>
      <c r="G200" s="152" t="b">
        <f t="shared" si="39"/>
        <v>1</v>
      </c>
      <c r="H200" s="152" t="b">
        <f t="shared" si="40"/>
        <v>0</v>
      </c>
      <c r="I200" s="153" t="e">
        <f t="shared" si="41"/>
        <v>#N/A</v>
      </c>
      <c r="J200" s="158">
        <f>INDEX('Monthly Prices'!B188:CB188,$G$4)</f>
        <v>131.72999999999999</v>
      </c>
      <c r="K200" s="158" t="b">
        <f>IF(H200,INDEX('Monthly Prices'!B188:CB188,$G$4)*U200,FALSE)</f>
        <v>0</v>
      </c>
      <c r="L200" s="152" t="b">
        <f t="shared" si="45"/>
        <v>1</v>
      </c>
      <c r="M200" s="158">
        <f>INDEX('Monthly Prices'!B188:CB188,$G$5)</f>
        <v>63.225253591680001</v>
      </c>
      <c r="N200" s="158" t="b">
        <f>IF(H200,INDEX('Monthly Prices'!B188:CB188,$G$5)*U200,FALSE)</f>
        <v>0</v>
      </c>
      <c r="O200" s="152" t="b">
        <f t="shared" si="42"/>
        <v>1</v>
      </c>
      <c r="P200" s="152">
        <f t="shared" si="46"/>
        <v>1975</v>
      </c>
      <c r="Q200" s="159">
        <f>'Monthly Prices'!B188</f>
        <v>10.42000007629</v>
      </c>
      <c r="R200" s="159">
        <f t="shared" si="47"/>
        <v>10.432500123977499</v>
      </c>
      <c r="S200" s="155">
        <f>_xlfn.XLOOKUP(P200,'Annual Real'!A:A,'Annual Real'!B:B,0,0)</f>
        <v>24.956436002412499</v>
      </c>
      <c r="T200" s="155">
        <f t="shared" ca="1" si="48"/>
        <v>4.3264927387211305</v>
      </c>
      <c r="U200" s="152">
        <f t="shared" ca="1" si="49"/>
        <v>4.3264927387211305</v>
      </c>
      <c r="V200" s="152" t="b">
        <f t="shared" si="55"/>
        <v>0</v>
      </c>
      <c r="W200" s="152" t="b">
        <f t="shared" si="56"/>
        <v>0</v>
      </c>
      <c r="X200" s="154">
        <f>LOOKUP(D200,'US Implicit Deflator'!A:A,'US Implicit Deflator'!B:B)/100</f>
        <v>0.13699999999999998</v>
      </c>
      <c r="Y200" s="154">
        <f t="shared" si="50"/>
        <v>1.0756878202714981E-2</v>
      </c>
      <c r="Z200" s="165">
        <f t="shared" ca="1" si="51"/>
        <v>1.5783669442904265</v>
      </c>
      <c r="AA200" s="152">
        <f t="shared" si="52"/>
        <v>7</v>
      </c>
      <c r="AB200" s="153">
        <f t="shared" si="53"/>
        <v>27395</v>
      </c>
      <c r="AC200" s="155">
        <f t="shared" ca="1" si="54"/>
        <v>4.3264927387211305</v>
      </c>
    </row>
    <row r="201" spans="3:29">
      <c r="C201" s="152" t="str">
        <f>'Monthly Prices'!A189</f>
        <v>1975M02</v>
      </c>
      <c r="D201" s="153">
        <f t="shared" si="43"/>
        <v>27426</v>
      </c>
      <c r="E201" s="152">
        <f t="shared" si="44"/>
        <v>182</v>
      </c>
      <c r="F201" s="152" t="b">
        <f t="shared" si="38"/>
        <v>0</v>
      </c>
      <c r="G201" s="152" t="b">
        <f t="shared" si="39"/>
        <v>1</v>
      </c>
      <c r="H201" s="152" t="b">
        <f t="shared" si="40"/>
        <v>0</v>
      </c>
      <c r="I201" s="153" t="e">
        <f t="shared" si="41"/>
        <v>#N/A</v>
      </c>
      <c r="J201" s="158">
        <f>INDEX('Monthly Prices'!B189:CB189,$G$4)</f>
        <v>120.47</v>
      </c>
      <c r="K201" s="158" t="b">
        <f>IF(H201,INDEX('Monthly Prices'!B189:CB189,$G$4)*U201,FALSE)</f>
        <v>0</v>
      </c>
      <c r="L201" s="152" t="b">
        <f t="shared" si="45"/>
        <v>1</v>
      </c>
      <c r="M201" s="158">
        <f>INDEX('Monthly Prices'!B189:CB189,$G$5)</f>
        <v>59.477257500450001</v>
      </c>
      <c r="N201" s="158" t="b">
        <f>IF(H201,INDEX('Monthly Prices'!B189:CB189,$G$5)*U201,FALSE)</f>
        <v>0</v>
      </c>
      <c r="O201" s="152" t="b">
        <f t="shared" si="42"/>
        <v>1</v>
      </c>
      <c r="P201" s="152">
        <f t="shared" si="46"/>
        <v>1975</v>
      </c>
      <c r="Q201" s="159">
        <f>'Monthly Prices'!B189</f>
        <v>10.42000007629</v>
      </c>
      <c r="R201" s="159">
        <f t="shared" si="47"/>
        <v>10.432500123977499</v>
      </c>
      <c r="S201" s="155">
        <f>_xlfn.XLOOKUP(P201,'Annual Real'!A:A,'Annual Real'!B:B,0,0)</f>
        <v>24.956436002412499</v>
      </c>
      <c r="T201" s="155">
        <f t="shared" ca="1" si="48"/>
        <v>4.2804484758138042</v>
      </c>
      <c r="U201" s="152">
        <f t="shared" ca="1" si="49"/>
        <v>4.2804484758138042</v>
      </c>
      <c r="V201" s="152" t="b">
        <f t="shared" si="55"/>
        <v>0</v>
      </c>
      <c r="W201" s="152" t="b">
        <f t="shared" si="56"/>
        <v>0</v>
      </c>
      <c r="X201" s="154">
        <f>LOOKUP(D201,'US Implicit Deflator'!A:A,'US Implicit Deflator'!B:B)/100</f>
        <v>0.13699999999999998</v>
      </c>
      <c r="Y201" s="154">
        <f t="shared" si="50"/>
        <v>1.0756878202714981E-2</v>
      </c>
      <c r="Z201" s="165">
        <f t="shared" ca="1" si="51"/>
        <v>1.59534524526935</v>
      </c>
      <c r="AA201" s="152">
        <f t="shared" si="52"/>
        <v>7</v>
      </c>
      <c r="AB201" s="153">
        <f t="shared" si="53"/>
        <v>27426</v>
      </c>
      <c r="AC201" s="155">
        <f t="shared" ca="1" si="54"/>
        <v>4.2804484758138042</v>
      </c>
    </row>
    <row r="202" spans="3:29">
      <c r="C202" s="152" t="str">
        <f>'Monthly Prices'!A190</f>
        <v>1975M03</v>
      </c>
      <c r="D202" s="153">
        <f t="shared" si="43"/>
        <v>27454</v>
      </c>
      <c r="E202" s="152">
        <f t="shared" si="44"/>
        <v>183</v>
      </c>
      <c r="F202" s="152" t="b">
        <f t="shared" si="38"/>
        <v>0</v>
      </c>
      <c r="G202" s="152" t="b">
        <f t="shared" si="39"/>
        <v>1</v>
      </c>
      <c r="H202" s="152" t="b">
        <f t="shared" si="40"/>
        <v>0</v>
      </c>
      <c r="I202" s="153" t="e">
        <f t="shared" si="41"/>
        <v>#N/A</v>
      </c>
      <c r="J202" s="158">
        <f>INDEX('Monthly Prices'!B190:CB190,$G$4)</f>
        <v>120.17</v>
      </c>
      <c r="K202" s="158" t="b">
        <f>IF(H202,INDEX('Monthly Prices'!B190:CB190,$G$4)*U202,FALSE)</f>
        <v>0</v>
      </c>
      <c r="L202" s="152" t="b">
        <f t="shared" si="45"/>
        <v>1</v>
      </c>
      <c r="M202" s="158">
        <f>INDEX('Monthly Prices'!B190:CB190,$G$5)</f>
        <v>58.465304159710001</v>
      </c>
      <c r="N202" s="158" t="b">
        <f>IF(H202,INDEX('Monthly Prices'!B190:CB190,$G$5)*U202,FALSE)</f>
        <v>0</v>
      </c>
      <c r="O202" s="152" t="b">
        <f t="shared" si="42"/>
        <v>1</v>
      </c>
      <c r="P202" s="152">
        <f t="shared" si="46"/>
        <v>1975</v>
      </c>
      <c r="Q202" s="159">
        <f>'Monthly Prices'!B190</f>
        <v>10.42000007629</v>
      </c>
      <c r="R202" s="159">
        <f t="shared" si="47"/>
        <v>10.432500123977499</v>
      </c>
      <c r="S202" s="155">
        <f>_xlfn.XLOOKUP(P202,'Annual Real'!A:A,'Annual Real'!B:B,0,0)</f>
        <v>24.956436002412499</v>
      </c>
      <c r="T202" s="155">
        <f t="shared" ca="1" si="48"/>
        <v>4.234894234333697</v>
      </c>
      <c r="U202" s="152">
        <f t="shared" ca="1" si="49"/>
        <v>4.234894234333697</v>
      </c>
      <c r="V202" s="152" t="b">
        <f t="shared" si="55"/>
        <v>0</v>
      </c>
      <c r="W202" s="152" t="b">
        <f t="shared" si="56"/>
        <v>0</v>
      </c>
      <c r="X202" s="154">
        <f>LOOKUP(D202,'US Implicit Deflator'!A:A,'US Implicit Deflator'!B:B)/100</f>
        <v>0.13699999999999998</v>
      </c>
      <c r="Y202" s="154">
        <f t="shared" si="50"/>
        <v>1.0756878202714981E-2</v>
      </c>
      <c r="Z202" s="165">
        <f t="shared" ca="1" si="51"/>
        <v>1.6125061797639928</v>
      </c>
      <c r="AA202" s="152">
        <f t="shared" si="52"/>
        <v>7</v>
      </c>
      <c r="AB202" s="153">
        <f t="shared" si="53"/>
        <v>27454</v>
      </c>
      <c r="AC202" s="155">
        <f t="shared" ca="1" si="54"/>
        <v>4.234894234333697</v>
      </c>
    </row>
    <row r="203" spans="3:29">
      <c r="C203" s="152" t="str">
        <f>'Monthly Prices'!A191</f>
        <v>1975M04</v>
      </c>
      <c r="D203" s="153">
        <f t="shared" si="43"/>
        <v>27485</v>
      </c>
      <c r="E203" s="152">
        <f t="shared" si="44"/>
        <v>184</v>
      </c>
      <c r="F203" s="152" t="b">
        <f t="shared" si="38"/>
        <v>0</v>
      </c>
      <c r="G203" s="152" t="b">
        <f t="shared" si="39"/>
        <v>1</v>
      </c>
      <c r="H203" s="152" t="b">
        <f t="shared" si="40"/>
        <v>0</v>
      </c>
      <c r="I203" s="153" t="e">
        <f t="shared" si="41"/>
        <v>#N/A</v>
      </c>
      <c r="J203" s="158">
        <f>INDEX('Monthly Prices'!B191:CB191,$G$4)</f>
        <v>119.66</v>
      </c>
      <c r="K203" s="158" t="b">
        <f>IF(H203,INDEX('Monthly Prices'!B191:CB191,$G$4)*U203,FALSE)</f>
        <v>0</v>
      </c>
      <c r="L203" s="152" t="b">
        <f t="shared" si="45"/>
        <v>1</v>
      </c>
      <c r="M203" s="158">
        <f>INDEX('Monthly Prices'!B191:CB191,$G$5)</f>
        <v>57.188385776040001</v>
      </c>
      <c r="N203" s="158" t="b">
        <f>IF(H203,INDEX('Monthly Prices'!B191:CB191,$G$5)*U203,FALSE)</f>
        <v>0</v>
      </c>
      <c r="O203" s="152" t="b">
        <f t="shared" si="42"/>
        <v>1</v>
      </c>
      <c r="P203" s="152">
        <f t="shared" si="46"/>
        <v>1975</v>
      </c>
      <c r="Q203" s="159">
        <f>'Monthly Prices'!B191</f>
        <v>10.42000007629</v>
      </c>
      <c r="R203" s="159">
        <f t="shared" si="47"/>
        <v>10.432500123977499</v>
      </c>
      <c r="S203" s="155">
        <f>_xlfn.XLOOKUP(P203,'Annual Real'!A:A,'Annual Real'!B:B,0,0)</f>
        <v>24.956436002412499</v>
      </c>
      <c r="T203" s="155">
        <f t="shared" ca="1" si="48"/>
        <v>4.1972802845972623</v>
      </c>
      <c r="U203" s="152">
        <f t="shared" ca="1" si="49"/>
        <v>4.1972802845972623</v>
      </c>
      <c r="V203" s="152" t="b">
        <f t="shared" si="55"/>
        <v>0</v>
      </c>
      <c r="W203" s="152" t="b">
        <f t="shared" si="56"/>
        <v>0</v>
      </c>
      <c r="X203" s="154">
        <f>LOOKUP(D203,'US Implicit Deflator'!A:A,'US Implicit Deflator'!B:B)/100</f>
        <v>0.113</v>
      </c>
      <c r="Y203" s="154">
        <f t="shared" si="50"/>
        <v>8.9615053525176069E-3</v>
      </c>
      <c r="Z203" s="165">
        <f t="shared" ca="1" si="51"/>
        <v>1.6269566625249154</v>
      </c>
      <c r="AA203" s="152">
        <f t="shared" si="52"/>
        <v>7</v>
      </c>
      <c r="AB203" s="153">
        <f t="shared" si="53"/>
        <v>27485</v>
      </c>
      <c r="AC203" s="155">
        <f t="shared" ca="1" si="54"/>
        <v>4.1972802845972623</v>
      </c>
    </row>
    <row r="204" spans="3:29">
      <c r="C204" s="152" t="str">
        <f>'Monthly Prices'!A192</f>
        <v>1975M05</v>
      </c>
      <c r="D204" s="153">
        <f t="shared" si="43"/>
        <v>27515</v>
      </c>
      <c r="E204" s="152">
        <f t="shared" si="44"/>
        <v>185</v>
      </c>
      <c r="F204" s="152" t="b">
        <f t="shared" si="38"/>
        <v>0</v>
      </c>
      <c r="G204" s="152" t="b">
        <f t="shared" si="39"/>
        <v>1</v>
      </c>
      <c r="H204" s="152" t="b">
        <f t="shared" si="40"/>
        <v>0</v>
      </c>
      <c r="I204" s="153" t="e">
        <f t="shared" si="41"/>
        <v>#N/A</v>
      </c>
      <c r="J204" s="158">
        <f>INDEX('Monthly Prices'!B192:CB192,$G$4)</f>
        <v>114.52</v>
      </c>
      <c r="K204" s="158" t="b">
        <f>IF(H204,INDEX('Monthly Prices'!B192:CB192,$G$4)*U204,FALSE)</f>
        <v>0</v>
      </c>
      <c r="L204" s="152" t="b">
        <f t="shared" si="45"/>
        <v>1</v>
      </c>
      <c r="M204" s="158">
        <f>INDEX('Monthly Prices'!B192:CB192,$G$5)</f>
        <v>54.764735226729996</v>
      </c>
      <c r="N204" s="158" t="b">
        <f>IF(H204,INDEX('Monthly Prices'!B192:CB192,$G$5)*U204,FALSE)</f>
        <v>0</v>
      </c>
      <c r="O204" s="152" t="b">
        <f t="shared" si="42"/>
        <v>1</v>
      </c>
      <c r="P204" s="152">
        <f t="shared" si="46"/>
        <v>1975</v>
      </c>
      <c r="Q204" s="159">
        <f>'Monthly Prices'!B192</f>
        <v>10.42000007629</v>
      </c>
      <c r="R204" s="159">
        <f t="shared" si="47"/>
        <v>10.432500123977499</v>
      </c>
      <c r="S204" s="155">
        <f>_xlfn.XLOOKUP(P204,'Annual Real'!A:A,'Annual Real'!B:B,0,0)</f>
        <v>24.956436002412499</v>
      </c>
      <c r="T204" s="155">
        <f t="shared" ca="1" si="48"/>
        <v>4.1600004185796848</v>
      </c>
      <c r="U204" s="152">
        <f t="shared" ca="1" si="49"/>
        <v>4.1600004185796848</v>
      </c>
      <c r="V204" s="152" t="b">
        <f t="shared" si="55"/>
        <v>0</v>
      </c>
      <c r="W204" s="152" t="b">
        <f t="shared" si="56"/>
        <v>0</v>
      </c>
      <c r="X204" s="154">
        <f>LOOKUP(D204,'US Implicit Deflator'!A:A,'US Implicit Deflator'!B:B)/100</f>
        <v>0.113</v>
      </c>
      <c r="Y204" s="154">
        <f t="shared" si="50"/>
        <v>8.9615053525176069E-3</v>
      </c>
      <c r="Z204" s="165">
        <f t="shared" ca="1" si="51"/>
        <v>1.6415366433644467</v>
      </c>
      <c r="AA204" s="152">
        <f t="shared" si="52"/>
        <v>7</v>
      </c>
      <c r="AB204" s="153">
        <f t="shared" si="53"/>
        <v>27515</v>
      </c>
      <c r="AC204" s="155">
        <f t="shared" ca="1" si="54"/>
        <v>4.1600004185796848</v>
      </c>
    </row>
    <row r="205" spans="3:29">
      <c r="C205" s="152" t="str">
        <f>'Monthly Prices'!A193</f>
        <v>1975M06</v>
      </c>
      <c r="D205" s="153">
        <f t="shared" si="43"/>
        <v>27546</v>
      </c>
      <c r="E205" s="152">
        <f t="shared" si="44"/>
        <v>186</v>
      </c>
      <c r="F205" s="152" t="b">
        <f t="shared" si="38"/>
        <v>0</v>
      </c>
      <c r="G205" s="152" t="b">
        <f t="shared" si="39"/>
        <v>1</v>
      </c>
      <c r="H205" s="152" t="b">
        <f t="shared" si="40"/>
        <v>0</v>
      </c>
      <c r="I205" s="153" t="e">
        <f t="shared" si="41"/>
        <v>#N/A</v>
      </c>
      <c r="J205" s="158">
        <f>INDEX('Monthly Prices'!B193:CB193,$G$4)</f>
        <v>119.1</v>
      </c>
      <c r="K205" s="158" t="b">
        <f>IF(H205,INDEX('Monthly Prices'!B193:CB193,$G$4)*U205,FALSE)</f>
        <v>0</v>
      </c>
      <c r="L205" s="152" t="b">
        <f t="shared" si="45"/>
        <v>1</v>
      </c>
      <c r="M205" s="158">
        <f>INDEX('Monthly Prices'!B193:CB193,$G$5)</f>
        <v>54.74118956297</v>
      </c>
      <c r="N205" s="158" t="b">
        <f>IF(H205,INDEX('Monthly Prices'!B193:CB193,$G$5)*U205,FALSE)</f>
        <v>0</v>
      </c>
      <c r="O205" s="152" t="b">
        <f t="shared" si="42"/>
        <v>1</v>
      </c>
      <c r="P205" s="152">
        <f t="shared" si="46"/>
        <v>1975</v>
      </c>
      <c r="Q205" s="159">
        <f>'Monthly Prices'!B193</f>
        <v>10.42000007629</v>
      </c>
      <c r="R205" s="159">
        <f t="shared" si="47"/>
        <v>10.432500123977499</v>
      </c>
      <c r="S205" s="155">
        <f>_xlfn.XLOOKUP(P205,'Annual Real'!A:A,'Annual Real'!B:B,0,0)</f>
        <v>24.956436002412499</v>
      </c>
      <c r="T205" s="155">
        <f t="shared" ca="1" si="48"/>
        <v>4.1230516689794188</v>
      </c>
      <c r="U205" s="152">
        <f t="shared" ca="1" si="49"/>
        <v>4.1230516689794188</v>
      </c>
      <c r="V205" s="152" t="b">
        <f t="shared" si="55"/>
        <v>0</v>
      </c>
      <c r="W205" s="152" t="b">
        <f t="shared" si="56"/>
        <v>0</v>
      </c>
      <c r="X205" s="154">
        <f>LOOKUP(D205,'US Implicit Deflator'!A:A,'US Implicit Deflator'!B:B)/100</f>
        <v>0.113</v>
      </c>
      <c r="Y205" s="154">
        <f t="shared" si="50"/>
        <v>8.9615053525176069E-3</v>
      </c>
      <c r="Z205" s="165">
        <f t="shared" ca="1" si="51"/>
        <v>1.656247282780311</v>
      </c>
      <c r="AA205" s="152">
        <f t="shared" si="52"/>
        <v>7</v>
      </c>
      <c r="AB205" s="153">
        <f t="shared" si="53"/>
        <v>27546</v>
      </c>
      <c r="AC205" s="155">
        <f t="shared" ca="1" si="54"/>
        <v>4.1230516689794188</v>
      </c>
    </row>
    <row r="206" spans="3:29">
      <c r="C206" s="152" t="str">
        <f>'Monthly Prices'!A194</f>
        <v>1975M07</v>
      </c>
      <c r="D206" s="153">
        <f t="shared" si="43"/>
        <v>27576</v>
      </c>
      <c r="E206" s="152">
        <f t="shared" si="44"/>
        <v>187</v>
      </c>
      <c r="F206" s="152" t="b">
        <f t="shared" si="38"/>
        <v>0</v>
      </c>
      <c r="G206" s="152" t="b">
        <f t="shared" si="39"/>
        <v>1</v>
      </c>
      <c r="H206" s="152" t="b">
        <f t="shared" si="40"/>
        <v>0</v>
      </c>
      <c r="I206" s="153" t="e">
        <f t="shared" si="41"/>
        <v>#N/A</v>
      </c>
      <c r="J206" s="158">
        <f>INDEX('Monthly Prices'!B194:CB194,$G$4)</f>
        <v>119.82</v>
      </c>
      <c r="K206" s="158" t="b">
        <f>IF(H206,INDEX('Monthly Prices'!B194:CB194,$G$4)*U206,FALSE)</f>
        <v>0</v>
      </c>
      <c r="L206" s="152" t="b">
        <f t="shared" si="45"/>
        <v>1</v>
      </c>
      <c r="M206" s="158">
        <f>INDEX('Monthly Prices'!B194:CB194,$G$5)</f>
        <v>58.39066894314</v>
      </c>
      <c r="N206" s="158" t="b">
        <f>IF(H206,INDEX('Monthly Prices'!B194:CB194,$G$5)*U206,FALSE)</f>
        <v>0</v>
      </c>
      <c r="O206" s="152" t="b">
        <f t="shared" si="42"/>
        <v>1</v>
      </c>
      <c r="P206" s="152">
        <f t="shared" si="46"/>
        <v>1975</v>
      </c>
      <c r="Q206" s="159">
        <f>'Monthly Prices'!B194</f>
        <v>10.43000030518</v>
      </c>
      <c r="R206" s="159">
        <f t="shared" si="47"/>
        <v>10.432500123977499</v>
      </c>
      <c r="S206" s="155">
        <f>_xlfn.XLOOKUP(P206,'Annual Real'!A:A,'Annual Real'!B:B,0,0)</f>
        <v>24.956436002412499</v>
      </c>
      <c r="T206" s="155">
        <f t="shared" ca="1" si="48"/>
        <v>4.0916759471740551</v>
      </c>
      <c r="U206" s="152">
        <f t="shared" ca="1" si="49"/>
        <v>4.0916759471740551</v>
      </c>
      <c r="V206" s="152" t="b">
        <f t="shared" si="55"/>
        <v>0</v>
      </c>
      <c r="W206" s="152" t="b">
        <f t="shared" si="56"/>
        <v>0</v>
      </c>
      <c r="X206" s="154">
        <f>LOOKUP(D206,'US Implicit Deflator'!A:A,'US Implicit Deflator'!B:B)/100</f>
        <v>9.6000000000000002E-2</v>
      </c>
      <c r="Y206" s="154">
        <f t="shared" si="50"/>
        <v>7.6681834559830797E-3</v>
      </c>
      <c r="Z206" s="165">
        <f t="shared" ca="1" si="51"/>
        <v>1.668947690793144</v>
      </c>
      <c r="AA206" s="152">
        <f t="shared" si="52"/>
        <v>7</v>
      </c>
      <c r="AB206" s="153">
        <f t="shared" si="53"/>
        <v>27576</v>
      </c>
      <c r="AC206" s="155">
        <f t="shared" ca="1" si="54"/>
        <v>4.0916759471740551</v>
      </c>
    </row>
    <row r="207" spans="3:29">
      <c r="C207" s="152" t="str">
        <f>'Monthly Prices'!A195</f>
        <v>1975M08</v>
      </c>
      <c r="D207" s="153">
        <f t="shared" si="43"/>
        <v>27607</v>
      </c>
      <c r="E207" s="152">
        <f t="shared" si="44"/>
        <v>188</v>
      </c>
      <c r="F207" s="152" t="b">
        <f t="shared" si="38"/>
        <v>0</v>
      </c>
      <c r="G207" s="152" t="b">
        <f t="shared" si="39"/>
        <v>1</v>
      </c>
      <c r="H207" s="152" t="b">
        <f t="shared" si="40"/>
        <v>0</v>
      </c>
      <c r="I207" s="153" t="e">
        <f t="shared" si="41"/>
        <v>#N/A</v>
      </c>
      <c r="J207" s="158">
        <f>INDEX('Monthly Prices'!B195:CB195,$G$4)</f>
        <v>131.56</v>
      </c>
      <c r="K207" s="158" t="b">
        <f>IF(H207,INDEX('Monthly Prices'!B195:CB195,$G$4)*U207,FALSE)</f>
        <v>0</v>
      </c>
      <c r="L207" s="152" t="b">
        <f t="shared" si="45"/>
        <v>1</v>
      </c>
      <c r="M207" s="158">
        <f>INDEX('Monthly Prices'!B195:CB195,$G$5)</f>
        <v>63.671833615600001</v>
      </c>
      <c r="N207" s="158" t="b">
        <f>IF(H207,INDEX('Monthly Prices'!B195:CB195,$G$5)*U207,FALSE)</f>
        <v>0</v>
      </c>
      <c r="O207" s="152" t="b">
        <f t="shared" si="42"/>
        <v>1</v>
      </c>
      <c r="P207" s="152">
        <f t="shared" si="46"/>
        <v>1975</v>
      </c>
      <c r="Q207" s="159">
        <f>'Monthly Prices'!B195</f>
        <v>10.43000030518</v>
      </c>
      <c r="R207" s="159">
        <f t="shared" si="47"/>
        <v>10.432500123977499</v>
      </c>
      <c r="S207" s="155">
        <f>_xlfn.XLOOKUP(P207,'Annual Real'!A:A,'Annual Real'!B:B,0,0)</f>
        <v>24.956436002412499</v>
      </c>
      <c r="T207" s="155">
        <f t="shared" ca="1" si="48"/>
        <v>4.0605389892741286</v>
      </c>
      <c r="U207" s="152">
        <f t="shared" ca="1" si="49"/>
        <v>4.0605389892741286</v>
      </c>
      <c r="V207" s="152" t="b">
        <f t="shared" si="55"/>
        <v>0</v>
      </c>
      <c r="W207" s="152" t="b">
        <f t="shared" si="56"/>
        <v>0</v>
      </c>
      <c r="X207" s="154">
        <f>LOOKUP(D207,'US Implicit Deflator'!A:A,'US Implicit Deflator'!B:B)/100</f>
        <v>9.6000000000000002E-2</v>
      </c>
      <c r="Y207" s="154">
        <f t="shared" si="50"/>
        <v>7.6681834559830797E-3</v>
      </c>
      <c r="Z207" s="165">
        <f t="shared" ca="1" si="51"/>
        <v>1.6817454878645852</v>
      </c>
      <c r="AA207" s="152">
        <f t="shared" si="52"/>
        <v>7</v>
      </c>
      <c r="AB207" s="153">
        <f t="shared" si="53"/>
        <v>27607</v>
      </c>
      <c r="AC207" s="155">
        <f t="shared" ca="1" si="54"/>
        <v>4.0605389892741286</v>
      </c>
    </row>
    <row r="208" spans="3:29">
      <c r="C208" s="152" t="str">
        <f>'Monthly Prices'!A196</f>
        <v>1975M09</v>
      </c>
      <c r="D208" s="153">
        <f t="shared" si="43"/>
        <v>27638</v>
      </c>
      <c r="E208" s="152">
        <f t="shared" si="44"/>
        <v>189</v>
      </c>
      <c r="F208" s="152" t="b">
        <f t="shared" si="38"/>
        <v>0</v>
      </c>
      <c r="G208" s="152" t="b">
        <f t="shared" si="39"/>
        <v>1</v>
      </c>
      <c r="H208" s="152" t="b">
        <f t="shared" si="40"/>
        <v>0</v>
      </c>
      <c r="I208" s="153" t="e">
        <f t="shared" si="41"/>
        <v>#N/A</v>
      </c>
      <c r="J208" s="158">
        <f>INDEX('Monthly Prices'!B196:CB196,$G$4)</f>
        <v>122.31</v>
      </c>
      <c r="K208" s="158" t="b">
        <f>IF(H208,INDEX('Monthly Prices'!B196:CB196,$G$4)*U208,FALSE)</f>
        <v>0</v>
      </c>
      <c r="L208" s="152" t="b">
        <f t="shared" si="45"/>
        <v>1</v>
      </c>
      <c r="M208" s="158">
        <f>INDEX('Monthly Prices'!B196:CB196,$G$5)</f>
        <v>62.702812825279999</v>
      </c>
      <c r="N208" s="158" t="b">
        <f>IF(H208,INDEX('Monthly Prices'!B196:CB196,$G$5)*U208,FALSE)</f>
        <v>0</v>
      </c>
      <c r="O208" s="152" t="b">
        <f t="shared" si="42"/>
        <v>1</v>
      </c>
      <c r="P208" s="152">
        <f t="shared" si="46"/>
        <v>1975</v>
      </c>
      <c r="Q208" s="159">
        <f>'Monthly Prices'!B196</f>
        <v>10.43000030518</v>
      </c>
      <c r="R208" s="159">
        <f t="shared" si="47"/>
        <v>10.432500123977499</v>
      </c>
      <c r="S208" s="155">
        <f>_xlfn.XLOOKUP(P208,'Annual Real'!A:A,'Annual Real'!B:B,0,0)</f>
        <v>24.956436002412499</v>
      </c>
      <c r="T208" s="155">
        <f t="shared" ca="1" si="48"/>
        <v>4.0296389783269371</v>
      </c>
      <c r="U208" s="152">
        <f t="shared" ca="1" si="49"/>
        <v>4.0296389783269371</v>
      </c>
      <c r="V208" s="152" t="b">
        <f t="shared" si="55"/>
        <v>0</v>
      </c>
      <c r="W208" s="152" t="b">
        <f t="shared" si="56"/>
        <v>0</v>
      </c>
      <c r="X208" s="154">
        <f>LOOKUP(D208,'US Implicit Deflator'!A:A,'US Implicit Deflator'!B:B)/100</f>
        <v>9.6000000000000002E-2</v>
      </c>
      <c r="Y208" s="154">
        <f t="shared" si="50"/>
        <v>7.6681834559830797E-3</v>
      </c>
      <c r="Z208" s="165">
        <f t="shared" ca="1" si="51"/>
        <v>1.6946414207918026</v>
      </c>
      <c r="AA208" s="152">
        <f t="shared" si="52"/>
        <v>7</v>
      </c>
      <c r="AB208" s="153">
        <f t="shared" si="53"/>
        <v>27638</v>
      </c>
      <c r="AC208" s="155">
        <f t="shared" ca="1" si="54"/>
        <v>4.0296389783269371</v>
      </c>
    </row>
    <row r="209" spans="3:29">
      <c r="C209" s="152" t="str">
        <f>'Monthly Prices'!A197</f>
        <v>1975M10</v>
      </c>
      <c r="D209" s="153">
        <f t="shared" si="43"/>
        <v>27668</v>
      </c>
      <c r="E209" s="152">
        <f t="shared" si="44"/>
        <v>190</v>
      </c>
      <c r="F209" s="152" t="b">
        <f t="shared" si="38"/>
        <v>0</v>
      </c>
      <c r="G209" s="152" t="b">
        <f t="shared" si="39"/>
        <v>1</v>
      </c>
      <c r="H209" s="152" t="b">
        <f t="shared" si="40"/>
        <v>0</v>
      </c>
      <c r="I209" s="153" t="e">
        <f t="shared" si="41"/>
        <v>#N/A</v>
      </c>
      <c r="J209" s="158">
        <f>INDEX('Monthly Prices'!B197:CB197,$G$4)</f>
        <v>116.87</v>
      </c>
      <c r="K209" s="158" t="b">
        <f>IF(H209,INDEX('Monthly Prices'!B197:CB197,$G$4)*U209,FALSE)</f>
        <v>0</v>
      </c>
      <c r="L209" s="152" t="b">
        <f t="shared" si="45"/>
        <v>1</v>
      </c>
      <c r="M209" s="158">
        <f>INDEX('Monthly Prices'!B197:CB197,$G$5)</f>
        <v>61.13024393768</v>
      </c>
      <c r="N209" s="158" t="b">
        <f>IF(H209,INDEX('Monthly Prices'!B197:CB197,$G$5)*U209,FALSE)</f>
        <v>0</v>
      </c>
      <c r="O209" s="152" t="b">
        <f t="shared" si="42"/>
        <v>1</v>
      </c>
      <c r="P209" s="152">
        <f t="shared" si="46"/>
        <v>1975</v>
      </c>
      <c r="Q209" s="159">
        <f>'Monthly Prices'!B197</f>
        <v>10.46000003815</v>
      </c>
      <c r="R209" s="159">
        <f t="shared" si="47"/>
        <v>10.432500123977499</v>
      </c>
      <c r="S209" s="155">
        <f>_xlfn.XLOOKUP(P209,'Annual Real'!A:A,'Annual Real'!B:B,0,0)</f>
        <v>24.956436002412499</v>
      </c>
      <c r="T209" s="155">
        <f t="shared" ca="1" si="48"/>
        <v>4.0038779073144983</v>
      </c>
      <c r="U209" s="152">
        <f t="shared" ca="1" si="49"/>
        <v>4.0038779073144983</v>
      </c>
      <c r="V209" s="152" t="b">
        <f t="shared" si="55"/>
        <v>0</v>
      </c>
      <c r="W209" s="152" t="b">
        <f t="shared" si="56"/>
        <v>0</v>
      </c>
      <c r="X209" s="154">
        <f>LOOKUP(D209,'US Implicit Deflator'!A:A,'US Implicit Deflator'!B:B)/100</f>
        <v>0.08</v>
      </c>
      <c r="Y209" s="154">
        <f t="shared" si="50"/>
        <v>6.4340301100034303E-3</v>
      </c>
      <c r="Z209" s="165">
        <f t="shared" ca="1" si="51"/>
        <v>1.705544794718836</v>
      </c>
      <c r="AA209" s="152">
        <f t="shared" si="52"/>
        <v>7</v>
      </c>
      <c r="AB209" s="153">
        <f t="shared" si="53"/>
        <v>27668</v>
      </c>
      <c r="AC209" s="155">
        <f t="shared" ca="1" si="54"/>
        <v>4.0038779073144983</v>
      </c>
    </row>
    <row r="210" spans="3:29">
      <c r="C210" s="152" t="str">
        <f>'Monthly Prices'!A198</f>
        <v>1975M11</v>
      </c>
      <c r="D210" s="153">
        <f t="shared" si="43"/>
        <v>27699</v>
      </c>
      <c r="E210" s="152">
        <f t="shared" si="44"/>
        <v>191</v>
      </c>
      <c r="F210" s="152" t="b">
        <f t="shared" si="38"/>
        <v>0</v>
      </c>
      <c r="G210" s="152" t="b">
        <f t="shared" si="39"/>
        <v>1</v>
      </c>
      <c r="H210" s="152" t="b">
        <f t="shared" si="40"/>
        <v>0</v>
      </c>
      <c r="I210" s="153" t="e">
        <f t="shared" si="41"/>
        <v>#N/A</v>
      </c>
      <c r="J210" s="158">
        <f>INDEX('Monthly Prices'!B198:CB198,$G$4)</f>
        <v>110.26</v>
      </c>
      <c r="K210" s="158" t="b">
        <f>IF(H210,INDEX('Monthly Prices'!B198:CB198,$G$4)*U210,FALSE)</f>
        <v>0</v>
      </c>
      <c r="L210" s="152" t="b">
        <f t="shared" si="45"/>
        <v>1</v>
      </c>
      <c r="M210" s="158">
        <f>INDEX('Monthly Prices'!B198:CB198,$G$5)</f>
        <v>57.442739873950003</v>
      </c>
      <c r="N210" s="158" t="b">
        <f>IF(H210,INDEX('Monthly Prices'!B198:CB198,$G$5)*U210,FALSE)</f>
        <v>0</v>
      </c>
      <c r="O210" s="152" t="b">
        <f t="shared" si="42"/>
        <v>1</v>
      </c>
      <c r="P210" s="152">
        <f t="shared" si="46"/>
        <v>1975</v>
      </c>
      <c r="Q210" s="159">
        <f>'Monthly Prices'!B198</f>
        <v>10.46000003815</v>
      </c>
      <c r="R210" s="159">
        <f t="shared" si="47"/>
        <v>10.432500123977499</v>
      </c>
      <c r="S210" s="155">
        <f>_xlfn.XLOOKUP(P210,'Annual Real'!A:A,'Annual Real'!B:B,0,0)</f>
        <v>24.956436002412499</v>
      </c>
      <c r="T210" s="155">
        <f t="shared" ca="1" si="48"/>
        <v>3.9782815242017144</v>
      </c>
      <c r="U210" s="152">
        <f t="shared" ca="1" si="49"/>
        <v>3.9782815242017144</v>
      </c>
      <c r="V210" s="152" t="b">
        <f t="shared" si="55"/>
        <v>0</v>
      </c>
      <c r="W210" s="152" t="b">
        <f t="shared" si="56"/>
        <v>0</v>
      </c>
      <c r="X210" s="154">
        <f>LOOKUP(D210,'US Implicit Deflator'!A:A,'US Implicit Deflator'!B:B)/100</f>
        <v>0.08</v>
      </c>
      <c r="Y210" s="154">
        <f t="shared" si="50"/>
        <v>6.4340301100034303E-3</v>
      </c>
      <c r="Z210" s="165">
        <f t="shared" ca="1" si="51"/>
        <v>1.7165183212820165</v>
      </c>
      <c r="AA210" s="152">
        <f t="shared" si="52"/>
        <v>7</v>
      </c>
      <c r="AB210" s="153">
        <f t="shared" si="53"/>
        <v>27699</v>
      </c>
      <c r="AC210" s="155">
        <f t="shared" ca="1" si="54"/>
        <v>3.9782815242017144</v>
      </c>
    </row>
    <row r="211" spans="3:29">
      <c r="C211" s="152" t="str">
        <f>'Monthly Prices'!A199</f>
        <v>1975M12</v>
      </c>
      <c r="D211" s="153">
        <f t="shared" si="43"/>
        <v>27729</v>
      </c>
      <c r="E211" s="152">
        <f t="shared" si="44"/>
        <v>192</v>
      </c>
      <c r="F211" s="152" t="b">
        <f t="shared" si="38"/>
        <v>0</v>
      </c>
      <c r="G211" s="152" t="b">
        <f t="shared" si="39"/>
        <v>1</v>
      </c>
      <c r="H211" s="152" t="b">
        <f t="shared" si="40"/>
        <v>0</v>
      </c>
      <c r="I211" s="153" t="e">
        <f t="shared" si="41"/>
        <v>#N/A</v>
      </c>
      <c r="J211" s="158">
        <f>INDEX('Monthly Prices'!B199:CB199,$G$4)</f>
        <v>109.15</v>
      </c>
      <c r="K211" s="158" t="b">
        <f>IF(H211,INDEX('Monthly Prices'!B199:CB199,$G$4)*U211,FALSE)</f>
        <v>0</v>
      </c>
      <c r="L211" s="152" t="b">
        <f t="shared" si="45"/>
        <v>1</v>
      </c>
      <c r="M211" s="158">
        <f>INDEX('Monthly Prices'!B199:CB199,$G$5)</f>
        <v>56.542956433480001</v>
      </c>
      <c r="N211" s="158" t="b">
        <f>IF(H211,INDEX('Monthly Prices'!B199:CB199,$G$5)*U211,FALSE)</f>
        <v>0</v>
      </c>
      <c r="O211" s="152" t="b">
        <f t="shared" si="42"/>
        <v>1</v>
      </c>
      <c r="P211" s="152">
        <f t="shared" si="46"/>
        <v>1975</v>
      </c>
      <c r="Q211" s="159">
        <f>'Monthly Prices'!B199</f>
        <v>10.46000003815</v>
      </c>
      <c r="R211" s="159">
        <f t="shared" si="47"/>
        <v>10.432500123977499</v>
      </c>
      <c r="S211" s="155">
        <f>_xlfn.XLOOKUP(P211,'Annual Real'!A:A,'Annual Real'!B:B,0,0)</f>
        <v>24.956436002412499</v>
      </c>
      <c r="T211" s="155">
        <f t="shared" ca="1" si="48"/>
        <v>3.9528487761556392</v>
      </c>
      <c r="U211" s="152">
        <f t="shared" ca="1" si="49"/>
        <v>3.9528487761556392</v>
      </c>
      <c r="V211" s="152" t="b">
        <f t="shared" si="55"/>
        <v>0</v>
      </c>
      <c r="W211" s="152" t="b">
        <f t="shared" si="56"/>
        <v>0</v>
      </c>
      <c r="X211" s="154">
        <f>LOOKUP(D211,'US Implicit Deflator'!A:A,'US Implicit Deflator'!B:B)/100</f>
        <v>0.08</v>
      </c>
      <c r="Y211" s="154">
        <f t="shared" si="50"/>
        <v>6.4340301100034303E-3</v>
      </c>
      <c r="Z211" s="165">
        <f t="shared" ca="1" si="51"/>
        <v>1.7275624518455175</v>
      </c>
      <c r="AA211" s="152">
        <f t="shared" si="52"/>
        <v>7</v>
      </c>
      <c r="AB211" s="153">
        <f t="shared" si="53"/>
        <v>27729</v>
      </c>
      <c r="AC211" s="155">
        <f t="shared" ca="1" si="54"/>
        <v>3.9528487761556392</v>
      </c>
    </row>
    <row r="212" spans="3:29">
      <c r="C212" s="152" t="str">
        <f>'Monthly Prices'!A200</f>
        <v>1976M01</v>
      </c>
      <c r="D212" s="153">
        <f t="shared" si="43"/>
        <v>27760</v>
      </c>
      <c r="E212" s="152">
        <f t="shared" si="44"/>
        <v>193</v>
      </c>
      <c r="F212" s="152" t="b">
        <f t="shared" ref="F212:F275" si="57">AND(E212&gt;=$M$4,L212)</f>
        <v>0</v>
      </c>
      <c r="G212" s="152" t="b">
        <f t="shared" ref="G212:G275" si="58">AND(E212&lt;=$M$5,O212)</f>
        <v>1</v>
      </c>
      <c r="H212" s="152" t="b">
        <f t="shared" ref="H212:H275" si="59">AND(F212:G212)</f>
        <v>0</v>
      </c>
      <c r="I212" s="153" t="e">
        <f t="shared" ref="I212:I275" si="60">IF(H212,D212,NA)</f>
        <v>#N/A</v>
      </c>
      <c r="J212" s="158">
        <f>INDEX('Monthly Prices'!B200:CB200,$G$4)</f>
        <v>110.26</v>
      </c>
      <c r="K212" s="158" t="b">
        <f>IF(H212,INDEX('Monthly Prices'!B200:CB200,$G$4)*U212,FALSE)</f>
        <v>0</v>
      </c>
      <c r="L212" s="152" t="b">
        <f t="shared" si="45"/>
        <v>1</v>
      </c>
      <c r="M212" s="158">
        <f>INDEX('Monthly Prices'!B200:CB200,$G$5)</f>
        <v>57.036130707049999</v>
      </c>
      <c r="N212" s="158" t="b">
        <f>IF(H212,INDEX('Monthly Prices'!B200:CB200,$G$5)*U212,FALSE)</f>
        <v>0</v>
      </c>
      <c r="O212" s="152" t="b">
        <f t="shared" ref="O212:O275" si="61">AND(ISNUMBER(M212),M212&gt;0)</f>
        <v>1</v>
      </c>
      <c r="P212" s="152">
        <f t="shared" si="46"/>
        <v>1976</v>
      </c>
      <c r="Q212" s="159">
        <f>'Monthly Prices'!B200</f>
        <v>11.510000228879999</v>
      </c>
      <c r="R212" s="159">
        <f t="shared" si="47"/>
        <v>11.63000011444</v>
      </c>
      <c r="S212" s="155">
        <f>_xlfn.XLOOKUP(P212,'Annual Real'!A:A,'Annual Real'!B:B,0,0)</f>
        <v>27.483716535984801</v>
      </c>
      <c r="T212" s="155">
        <f t="shared" ca="1" si="48"/>
        <v>3.9346304710478939</v>
      </c>
      <c r="U212" s="152">
        <f t="shared" ca="1" si="49"/>
        <v>3.9346304710478939</v>
      </c>
      <c r="V212" s="152" t="b">
        <f t="shared" si="55"/>
        <v>0</v>
      </c>
      <c r="W212" s="152" t="b">
        <f t="shared" si="56"/>
        <v>0</v>
      </c>
      <c r="X212" s="154">
        <f>LOOKUP(D212,'US Implicit Deflator'!A:A,'US Implicit Deflator'!B:B)/100</f>
        <v>5.7000000000000002E-2</v>
      </c>
      <c r="Y212" s="154">
        <f t="shared" si="50"/>
        <v>4.6302455190647684E-3</v>
      </c>
      <c r="Z212" s="165">
        <f t="shared" ca="1" si="51"/>
        <v>1.7355614901470797</v>
      </c>
      <c r="AA212" s="152">
        <f t="shared" si="52"/>
        <v>7</v>
      </c>
      <c r="AB212" s="153">
        <f t="shared" si="53"/>
        <v>27760</v>
      </c>
      <c r="AC212" s="155">
        <f t="shared" ca="1" si="54"/>
        <v>3.9346304710478939</v>
      </c>
    </row>
    <row r="213" spans="3:29">
      <c r="C213" s="152" t="str">
        <f>'Monthly Prices'!A201</f>
        <v>1976M02</v>
      </c>
      <c r="D213" s="153">
        <f t="shared" ref="D213:D276" si="62">EDATE(D212,1)</f>
        <v>27791</v>
      </c>
      <c r="E213" s="152">
        <f t="shared" ref="E213:E276" si="63">E212+1</f>
        <v>194</v>
      </c>
      <c r="F213" s="152" t="b">
        <f t="shared" si="57"/>
        <v>0</v>
      </c>
      <c r="G213" s="152" t="b">
        <f t="shared" si="58"/>
        <v>1</v>
      </c>
      <c r="H213" s="152" t="b">
        <f t="shared" si="59"/>
        <v>0</v>
      </c>
      <c r="I213" s="153" t="e">
        <f t="shared" si="60"/>
        <v>#N/A</v>
      </c>
      <c r="J213" s="158">
        <f>INDEX('Monthly Prices'!B201:CB201,$G$4)</f>
        <v>113.24</v>
      </c>
      <c r="K213" s="158" t="b">
        <f>IF(H213,INDEX('Monthly Prices'!B201:CB201,$G$4)*U213,FALSE)</f>
        <v>0</v>
      </c>
      <c r="L213" s="152" t="b">
        <f t="shared" ref="L213:L276" si="64">ISNUMBER(J213)</f>
        <v>1</v>
      </c>
      <c r="M213" s="158">
        <f>INDEX('Monthly Prices'!B201:CB201,$G$5)</f>
        <v>59.322428982840002</v>
      </c>
      <c r="N213" s="158" t="b">
        <f>IF(H213,INDEX('Monthly Prices'!B201:CB201,$G$5)*U213,FALSE)</f>
        <v>0</v>
      </c>
      <c r="O213" s="152" t="b">
        <f t="shared" si="61"/>
        <v>1</v>
      </c>
      <c r="P213" s="152">
        <f t="shared" ref="P213:P276" si="65">YEAR(D213)</f>
        <v>1976</v>
      </c>
      <c r="Q213" s="159">
        <f>'Monthly Prices'!B201</f>
        <v>11.510000228879999</v>
      </c>
      <c r="R213" s="159">
        <f t="shared" ref="R213:R276" si="66">AVERAGEIF(P:P,P213,Q:Q)</f>
        <v>11.63000011444</v>
      </c>
      <c r="S213" s="155">
        <f>_xlfn.XLOOKUP(P213,'Annual Real'!A:A,'Annual Real'!B:B,0,0)</f>
        <v>27.483716535984801</v>
      </c>
      <c r="T213" s="155">
        <f t="shared" ref="T213:T276" ca="1" si="67">AC213</f>
        <v>3.9164961323805048</v>
      </c>
      <c r="U213" s="152">
        <f t="shared" ref="U213:U276" ca="1" si="68">IF($U$19,T213,1)</f>
        <v>3.9164961323805048</v>
      </c>
      <c r="V213" s="152" t="b">
        <f t="shared" si="55"/>
        <v>0</v>
      </c>
      <c r="W213" s="152" t="b">
        <f t="shared" si="56"/>
        <v>0</v>
      </c>
      <c r="X213" s="154">
        <f>LOOKUP(D213,'US Implicit Deflator'!A:A,'US Implicit Deflator'!B:B)/100</f>
        <v>5.7000000000000002E-2</v>
      </c>
      <c r="Y213" s="154">
        <f t="shared" ref="Y213:Y276" si="69">(1+X213)^(1/12)-1</f>
        <v>4.6302455190647684E-3</v>
      </c>
      <c r="Z213" s="165">
        <f t="shared" ref="Z213:Z276" ca="1" si="70">Z212*(1+Y213)</f>
        <v>1.7435975659598946</v>
      </c>
      <c r="AA213" s="152">
        <f t="shared" ref="AA213:AA276" si="71">LEN(C213)</f>
        <v>7</v>
      </c>
      <c r="AB213" s="153">
        <f t="shared" ref="AB213:AB276" si="72">IF(AA213&gt;2,D213,0)</f>
        <v>27791</v>
      </c>
      <c r="AC213" s="155">
        <f t="shared" ref="AC213:AC276" ca="1" si="73">$AC$17/Z213</f>
        <v>3.9164961323805048</v>
      </c>
    </row>
    <row r="214" spans="3:29">
      <c r="C214" s="152" t="str">
        <f>'Monthly Prices'!A202</f>
        <v>1976M03</v>
      </c>
      <c r="D214" s="153">
        <f t="shared" si="62"/>
        <v>27820</v>
      </c>
      <c r="E214" s="152">
        <f t="shared" si="63"/>
        <v>195</v>
      </c>
      <c r="F214" s="152" t="b">
        <f t="shared" si="57"/>
        <v>0</v>
      </c>
      <c r="G214" s="152" t="b">
        <f t="shared" si="58"/>
        <v>1</v>
      </c>
      <c r="H214" s="152" t="b">
        <f t="shared" si="59"/>
        <v>0</v>
      </c>
      <c r="I214" s="153" t="e">
        <f t="shared" si="60"/>
        <v>#N/A</v>
      </c>
      <c r="J214" s="158">
        <f>INDEX('Monthly Prices'!B202:CB202,$G$4)</f>
        <v>113.06</v>
      </c>
      <c r="K214" s="158" t="b">
        <f>IF(H214,INDEX('Monthly Prices'!B202:CB202,$G$4)*U214,FALSE)</f>
        <v>0</v>
      </c>
      <c r="L214" s="152" t="b">
        <f t="shared" si="64"/>
        <v>1</v>
      </c>
      <c r="M214" s="158">
        <f>INDEX('Monthly Prices'!B202:CB202,$G$5)</f>
        <v>59.324002671179997</v>
      </c>
      <c r="N214" s="158" t="b">
        <f>IF(H214,INDEX('Monthly Prices'!B202:CB202,$G$5)*U214,FALSE)</f>
        <v>0</v>
      </c>
      <c r="O214" s="152" t="b">
        <f t="shared" si="61"/>
        <v>1</v>
      </c>
      <c r="P214" s="152">
        <f t="shared" si="65"/>
        <v>1976</v>
      </c>
      <c r="Q214" s="159">
        <f>'Monthly Prices'!B202</f>
        <v>11.510000228879999</v>
      </c>
      <c r="R214" s="159">
        <f t="shared" si="66"/>
        <v>11.63000011444</v>
      </c>
      <c r="S214" s="155">
        <f>_xlfn.XLOOKUP(P214,'Annual Real'!A:A,'Annual Real'!B:B,0,0)</f>
        <v>27.483716535984801</v>
      </c>
      <c r="T214" s="155">
        <f t="shared" ca="1" si="67"/>
        <v>3.898445373160111</v>
      </c>
      <c r="U214" s="152">
        <f t="shared" ca="1" si="68"/>
        <v>3.898445373160111</v>
      </c>
      <c r="V214" s="152" t="b">
        <f t="shared" ref="V214:V277" si="74">IF(AND(H213,H214),LN(K214/K213))</f>
        <v>0</v>
      </c>
      <c r="W214" s="152" t="b">
        <f t="shared" ref="W214:W277" si="75">IF(AND($H213,$H214),LN(N214/N213))</f>
        <v>0</v>
      </c>
      <c r="X214" s="154">
        <f>LOOKUP(D214,'US Implicit Deflator'!A:A,'US Implicit Deflator'!B:B)/100</f>
        <v>5.7000000000000002E-2</v>
      </c>
      <c r="Y214" s="154">
        <f t="shared" si="69"/>
        <v>4.6302455190647684E-3</v>
      </c>
      <c r="Z214" s="165">
        <f t="shared" ca="1" si="70"/>
        <v>1.7516708507767327</v>
      </c>
      <c r="AA214" s="152">
        <f t="shared" si="71"/>
        <v>7</v>
      </c>
      <c r="AB214" s="153">
        <f t="shared" si="72"/>
        <v>27820</v>
      </c>
      <c r="AC214" s="155">
        <f t="shared" ca="1" si="73"/>
        <v>3.898445373160111</v>
      </c>
    </row>
    <row r="215" spans="3:29">
      <c r="C215" s="152" t="str">
        <f>'Monthly Prices'!A203</f>
        <v>1976M04</v>
      </c>
      <c r="D215" s="153">
        <f t="shared" si="62"/>
        <v>27851</v>
      </c>
      <c r="E215" s="152">
        <f t="shared" si="63"/>
        <v>196</v>
      </c>
      <c r="F215" s="152" t="b">
        <f t="shared" si="57"/>
        <v>0</v>
      </c>
      <c r="G215" s="152" t="b">
        <f t="shared" si="58"/>
        <v>1</v>
      </c>
      <c r="H215" s="152" t="b">
        <f t="shared" si="59"/>
        <v>0</v>
      </c>
      <c r="I215" s="153" t="e">
        <f t="shared" si="60"/>
        <v>#N/A</v>
      </c>
      <c r="J215" s="158">
        <f>INDEX('Monthly Prices'!B203:CB203,$G$4)</f>
        <v>111.1</v>
      </c>
      <c r="K215" s="158" t="b">
        <f>IF(H215,INDEX('Monthly Prices'!B203:CB203,$G$4)*U215,FALSE)</f>
        <v>0</v>
      </c>
      <c r="L215" s="152" t="b">
        <f t="shared" si="64"/>
        <v>1</v>
      </c>
      <c r="M215" s="158">
        <f>INDEX('Monthly Prices'!B203:CB203,$G$5)</f>
        <v>57.806047704370002</v>
      </c>
      <c r="N215" s="158" t="b">
        <f>IF(H215,INDEX('Monthly Prices'!B203:CB203,$G$5)*U215,FALSE)</f>
        <v>0</v>
      </c>
      <c r="O215" s="152" t="b">
        <f t="shared" si="61"/>
        <v>1</v>
      </c>
      <c r="P215" s="152">
        <f t="shared" si="65"/>
        <v>1976</v>
      </c>
      <c r="Q215" s="159">
        <f>'Monthly Prices'!B203</f>
        <v>11.510000228879999</v>
      </c>
      <c r="R215" s="159">
        <f t="shared" si="66"/>
        <v>11.63000011444</v>
      </c>
      <c r="S215" s="155">
        <f>_xlfn.XLOOKUP(P215,'Annual Real'!A:A,'Annual Real'!B:B,0,0)</f>
        <v>27.483716535984801</v>
      </c>
      <c r="T215" s="155">
        <f t="shared" ca="1" si="67"/>
        <v>3.8817040626959143</v>
      </c>
      <c r="U215" s="152">
        <f t="shared" ca="1" si="68"/>
        <v>3.8817040626959143</v>
      </c>
      <c r="V215" s="152" t="b">
        <f t="shared" si="74"/>
        <v>0</v>
      </c>
      <c r="W215" s="152" t="b">
        <f t="shared" si="75"/>
        <v>0</v>
      </c>
      <c r="X215" s="154">
        <f>LOOKUP(D215,'US Implicit Deflator'!A:A,'US Implicit Deflator'!B:B)/100</f>
        <v>5.2999999999999999E-2</v>
      </c>
      <c r="Y215" s="154">
        <f t="shared" si="69"/>
        <v>4.3128765598297036E-3</v>
      </c>
      <c r="Z215" s="165">
        <f t="shared" ca="1" si="70"/>
        <v>1.7592255909295846</v>
      </c>
      <c r="AA215" s="152">
        <f t="shared" si="71"/>
        <v>7</v>
      </c>
      <c r="AB215" s="153">
        <f t="shared" si="72"/>
        <v>27851</v>
      </c>
      <c r="AC215" s="155">
        <f t="shared" ca="1" si="73"/>
        <v>3.8817040626959143</v>
      </c>
    </row>
    <row r="216" spans="3:29">
      <c r="C216" s="152" t="str">
        <f>'Monthly Prices'!A204</f>
        <v>1976M05</v>
      </c>
      <c r="D216" s="153">
        <f t="shared" si="62"/>
        <v>27881</v>
      </c>
      <c r="E216" s="152">
        <f t="shared" si="63"/>
        <v>197</v>
      </c>
      <c r="F216" s="152" t="b">
        <f t="shared" si="57"/>
        <v>0</v>
      </c>
      <c r="G216" s="152" t="b">
        <f t="shared" si="58"/>
        <v>1</v>
      </c>
      <c r="H216" s="152" t="b">
        <f t="shared" si="59"/>
        <v>0</v>
      </c>
      <c r="I216" s="153" t="e">
        <f t="shared" si="60"/>
        <v>#N/A</v>
      </c>
      <c r="J216" s="158">
        <f>INDEX('Monthly Prices'!B204:CB204,$G$4)</f>
        <v>118.2</v>
      </c>
      <c r="K216" s="158" t="b">
        <f>IF(H216,INDEX('Monthly Prices'!B204:CB204,$G$4)*U216,FALSE)</f>
        <v>0</v>
      </c>
      <c r="L216" s="152" t="b">
        <f t="shared" si="64"/>
        <v>1</v>
      </c>
      <c r="M216" s="158">
        <f>INDEX('Monthly Prices'!B204:CB204,$G$5)</f>
        <v>58.46623896386</v>
      </c>
      <c r="N216" s="158" t="b">
        <f>IF(H216,INDEX('Monthly Prices'!B204:CB204,$G$5)*U216,FALSE)</f>
        <v>0</v>
      </c>
      <c r="O216" s="152" t="b">
        <f t="shared" si="61"/>
        <v>1</v>
      </c>
      <c r="P216" s="152">
        <f t="shared" si="65"/>
        <v>1976</v>
      </c>
      <c r="Q216" s="159">
        <f>'Monthly Prices'!B204</f>
        <v>11.510000228879999</v>
      </c>
      <c r="R216" s="159">
        <f t="shared" si="66"/>
        <v>11.63000011444</v>
      </c>
      <c r="S216" s="155">
        <f>_xlfn.XLOOKUP(P216,'Annual Real'!A:A,'Annual Real'!B:B,0,0)</f>
        <v>27.483716535984801</v>
      </c>
      <c r="T216" s="155">
        <f t="shared" ca="1" si="67"/>
        <v>3.8650346453709639</v>
      </c>
      <c r="U216" s="152">
        <f t="shared" ca="1" si="68"/>
        <v>3.8650346453709639</v>
      </c>
      <c r="V216" s="152" t="b">
        <f t="shared" si="74"/>
        <v>0</v>
      </c>
      <c r="W216" s="152" t="b">
        <f t="shared" si="75"/>
        <v>0</v>
      </c>
      <c r="X216" s="154">
        <f>LOOKUP(D216,'US Implicit Deflator'!A:A,'US Implicit Deflator'!B:B)/100</f>
        <v>5.2999999999999999E-2</v>
      </c>
      <c r="Y216" s="154">
        <f t="shared" si="69"/>
        <v>4.3128765598297036E-3</v>
      </c>
      <c r="Z216" s="165">
        <f t="shared" ca="1" si="70"/>
        <v>1.7668129137441575</v>
      </c>
      <c r="AA216" s="152">
        <f t="shared" si="71"/>
        <v>7</v>
      </c>
      <c r="AB216" s="153">
        <f t="shared" si="72"/>
        <v>27881</v>
      </c>
      <c r="AC216" s="155">
        <f t="shared" ca="1" si="73"/>
        <v>3.8650346453709639</v>
      </c>
    </row>
    <row r="217" spans="3:29">
      <c r="C217" s="152" t="str">
        <f>'Monthly Prices'!A205</f>
        <v>1976M06</v>
      </c>
      <c r="D217" s="153">
        <f t="shared" si="62"/>
        <v>27912</v>
      </c>
      <c r="E217" s="152">
        <f t="shared" si="63"/>
        <v>198</v>
      </c>
      <c r="F217" s="152" t="b">
        <f t="shared" si="57"/>
        <v>0</v>
      </c>
      <c r="G217" s="152" t="b">
        <f t="shared" si="58"/>
        <v>1</v>
      </c>
      <c r="H217" s="152" t="b">
        <f t="shared" si="59"/>
        <v>0</v>
      </c>
      <c r="I217" s="153" t="e">
        <f t="shared" si="60"/>
        <v>#N/A</v>
      </c>
      <c r="J217" s="158">
        <f>INDEX('Monthly Prices'!B205:CB205,$G$4)</f>
        <v>121.8</v>
      </c>
      <c r="K217" s="158" t="b">
        <f>IF(H217,INDEX('Monthly Prices'!B205:CB205,$G$4)*U217,FALSE)</f>
        <v>0</v>
      </c>
      <c r="L217" s="152" t="b">
        <f t="shared" si="64"/>
        <v>1</v>
      </c>
      <c r="M217" s="158">
        <f>INDEX('Monthly Prices'!B205:CB205,$G$5)</f>
        <v>60.01133589877</v>
      </c>
      <c r="N217" s="158" t="b">
        <f>IF(H217,INDEX('Monthly Prices'!B205:CB205,$G$5)*U217,FALSE)</f>
        <v>0</v>
      </c>
      <c r="O217" s="152" t="b">
        <f t="shared" si="61"/>
        <v>1</v>
      </c>
      <c r="P217" s="152">
        <f t="shared" si="65"/>
        <v>1976</v>
      </c>
      <c r="Q217" s="159">
        <f>'Monthly Prices'!B205</f>
        <v>11.510000228879999</v>
      </c>
      <c r="R217" s="159">
        <f t="shared" si="66"/>
        <v>11.63000011444</v>
      </c>
      <c r="S217" s="155">
        <f>_xlfn.XLOOKUP(P217,'Annual Real'!A:A,'Annual Real'!B:B,0,0)</f>
        <v>27.483716535984801</v>
      </c>
      <c r="T217" s="155">
        <f t="shared" ca="1" si="67"/>
        <v>3.8484368124505601</v>
      </c>
      <c r="U217" s="152">
        <f t="shared" ca="1" si="68"/>
        <v>3.8484368124505601</v>
      </c>
      <c r="V217" s="152" t="b">
        <f t="shared" si="74"/>
        <v>0</v>
      </c>
      <c r="W217" s="152" t="b">
        <f t="shared" si="75"/>
        <v>0</v>
      </c>
      <c r="X217" s="154">
        <f>LOOKUP(D217,'US Implicit Deflator'!A:A,'US Implicit Deflator'!B:B)/100</f>
        <v>5.2999999999999999E-2</v>
      </c>
      <c r="Y217" s="154">
        <f t="shared" si="69"/>
        <v>4.3128765598297036E-3</v>
      </c>
      <c r="Z217" s="165">
        <f t="shared" ca="1" si="70"/>
        <v>1.7744329597454491</v>
      </c>
      <c r="AA217" s="152">
        <f t="shared" si="71"/>
        <v>7</v>
      </c>
      <c r="AB217" s="153">
        <f t="shared" si="72"/>
        <v>27912</v>
      </c>
      <c r="AC217" s="155">
        <f t="shared" ca="1" si="73"/>
        <v>3.8484368124505601</v>
      </c>
    </row>
    <row r="218" spans="3:29">
      <c r="C218" s="152" t="str">
        <f>'Monthly Prices'!A206</f>
        <v>1976M07</v>
      </c>
      <c r="D218" s="153">
        <f t="shared" si="62"/>
        <v>27942</v>
      </c>
      <c r="E218" s="152">
        <f t="shared" si="63"/>
        <v>199</v>
      </c>
      <c r="F218" s="152" t="b">
        <f t="shared" si="57"/>
        <v>0</v>
      </c>
      <c r="G218" s="152" t="b">
        <f t="shared" si="58"/>
        <v>1</v>
      </c>
      <c r="H218" s="152" t="b">
        <f t="shared" si="59"/>
        <v>0</v>
      </c>
      <c r="I218" s="153" t="e">
        <f t="shared" si="60"/>
        <v>#N/A</v>
      </c>
      <c r="J218" s="158">
        <f>INDEX('Monthly Prices'!B206:CB206,$G$4)</f>
        <v>121.3</v>
      </c>
      <c r="K218" s="158" t="b">
        <f>IF(H218,INDEX('Monthly Prices'!B206:CB206,$G$4)*U218,FALSE)</f>
        <v>0</v>
      </c>
      <c r="L218" s="152" t="b">
        <f t="shared" si="64"/>
        <v>1</v>
      </c>
      <c r="M218" s="158">
        <f>INDEX('Monthly Prices'!B206:CB206,$G$5)</f>
        <v>59.258800179449999</v>
      </c>
      <c r="N218" s="158" t="b">
        <f>IF(H218,INDEX('Monthly Prices'!B206:CB206,$G$5)*U218,FALSE)</f>
        <v>0</v>
      </c>
      <c r="O218" s="152" t="b">
        <f t="shared" si="61"/>
        <v>1</v>
      </c>
      <c r="P218" s="152">
        <f t="shared" si="65"/>
        <v>1976</v>
      </c>
      <c r="Q218" s="159">
        <f>'Monthly Prices'!B206</f>
        <v>11.60000038147</v>
      </c>
      <c r="R218" s="159">
        <f t="shared" si="66"/>
        <v>11.63000011444</v>
      </c>
      <c r="S218" s="155">
        <f>_xlfn.XLOOKUP(P218,'Annual Real'!A:A,'Annual Real'!B:B,0,0)</f>
        <v>27.483716535984801</v>
      </c>
      <c r="T218" s="155">
        <f t="shared" ca="1" si="67"/>
        <v>3.8322136660466075</v>
      </c>
      <c r="U218" s="152">
        <f t="shared" ca="1" si="68"/>
        <v>3.8322136660466075</v>
      </c>
      <c r="V218" s="152" t="b">
        <f t="shared" si="74"/>
        <v>0</v>
      </c>
      <c r="W218" s="152" t="b">
        <f t="shared" si="75"/>
        <v>0</v>
      </c>
      <c r="X218" s="154">
        <f>LOOKUP(D218,'US Implicit Deflator'!A:A,'US Implicit Deflator'!B:B)/100</f>
        <v>5.2000000000000005E-2</v>
      </c>
      <c r="Y218" s="154">
        <f t="shared" si="69"/>
        <v>4.2333616592649115E-3</v>
      </c>
      <c r="Z218" s="165">
        <f t="shared" ca="1" si="70"/>
        <v>1.7819447762041714</v>
      </c>
      <c r="AA218" s="152">
        <f t="shared" si="71"/>
        <v>7</v>
      </c>
      <c r="AB218" s="153">
        <f t="shared" si="72"/>
        <v>27942</v>
      </c>
      <c r="AC218" s="155">
        <f t="shared" ca="1" si="73"/>
        <v>3.8322136660466075</v>
      </c>
    </row>
    <row r="219" spans="3:29">
      <c r="C219" s="152" t="str">
        <f>'Monthly Prices'!A207</f>
        <v>1976M08</v>
      </c>
      <c r="D219" s="153">
        <f t="shared" si="62"/>
        <v>27973</v>
      </c>
      <c r="E219" s="152">
        <f t="shared" si="63"/>
        <v>200</v>
      </c>
      <c r="F219" s="152" t="b">
        <f t="shared" si="57"/>
        <v>0</v>
      </c>
      <c r="G219" s="152" t="b">
        <f t="shared" si="58"/>
        <v>1</v>
      </c>
      <c r="H219" s="152" t="b">
        <f t="shared" si="59"/>
        <v>0</v>
      </c>
      <c r="I219" s="153" t="e">
        <f t="shared" si="60"/>
        <v>#N/A</v>
      </c>
      <c r="J219" s="158">
        <f>INDEX('Monthly Prices'!B207:CB207,$G$4)</f>
        <v>116.1</v>
      </c>
      <c r="K219" s="158" t="b">
        <f>IF(H219,INDEX('Monthly Prices'!B207:CB207,$G$4)*U219,FALSE)</f>
        <v>0</v>
      </c>
      <c r="L219" s="152" t="b">
        <f t="shared" si="64"/>
        <v>1</v>
      </c>
      <c r="M219" s="158">
        <f>INDEX('Monthly Prices'!B207:CB207,$G$5)</f>
        <v>55.388592817830002</v>
      </c>
      <c r="N219" s="158" t="b">
        <f>IF(H219,INDEX('Monthly Prices'!B207:CB207,$G$5)*U219,FALSE)</f>
        <v>0</v>
      </c>
      <c r="O219" s="152" t="b">
        <f t="shared" si="61"/>
        <v>1</v>
      </c>
      <c r="P219" s="152">
        <f t="shared" si="65"/>
        <v>1976</v>
      </c>
      <c r="Q219" s="159">
        <f>'Monthly Prices'!B207</f>
        <v>11.60000038147</v>
      </c>
      <c r="R219" s="159">
        <f t="shared" si="66"/>
        <v>11.63000011444</v>
      </c>
      <c r="S219" s="155">
        <f>_xlfn.XLOOKUP(P219,'Annual Real'!A:A,'Annual Real'!B:B,0,0)</f>
        <v>27.483716535984801</v>
      </c>
      <c r="T219" s="155">
        <f t="shared" ca="1" si="67"/>
        <v>3.8160589085735559</v>
      </c>
      <c r="U219" s="152">
        <f t="shared" ca="1" si="68"/>
        <v>3.8160589085735559</v>
      </c>
      <c r="V219" s="152" t="b">
        <f t="shared" si="74"/>
        <v>0</v>
      </c>
      <c r="W219" s="152" t="b">
        <f t="shared" si="75"/>
        <v>0</v>
      </c>
      <c r="X219" s="154">
        <f>LOOKUP(D219,'US Implicit Deflator'!A:A,'US Implicit Deflator'!B:B)/100</f>
        <v>5.2000000000000005E-2</v>
      </c>
      <c r="Y219" s="154">
        <f t="shared" si="69"/>
        <v>4.2333616592649115E-3</v>
      </c>
      <c r="Z219" s="165">
        <f t="shared" ca="1" si="70"/>
        <v>1.7894883928986816</v>
      </c>
      <c r="AA219" s="152">
        <f t="shared" si="71"/>
        <v>7</v>
      </c>
      <c r="AB219" s="153">
        <f t="shared" si="72"/>
        <v>27973</v>
      </c>
      <c r="AC219" s="155">
        <f t="shared" ca="1" si="73"/>
        <v>3.8160589085735559</v>
      </c>
    </row>
    <row r="220" spans="3:29">
      <c r="C220" s="152" t="str">
        <f>'Monthly Prices'!A208</f>
        <v>1976M09</v>
      </c>
      <c r="D220" s="153">
        <f t="shared" si="62"/>
        <v>28004</v>
      </c>
      <c r="E220" s="152">
        <f t="shared" si="63"/>
        <v>201</v>
      </c>
      <c r="F220" s="152" t="b">
        <f t="shared" si="57"/>
        <v>0</v>
      </c>
      <c r="G220" s="152" t="b">
        <f t="shared" si="58"/>
        <v>1</v>
      </c>
      <c r="H220" s="152" t="b">
        <f t="shared" si="59"/>
        <v>0</v>
      </c>
      <c r="I220" s="153" t="e">
        <f t="shared" si="60"/>
        <v>#N/A</v>
      </c>
      <c r="J220" s="158">
        <f>INDEX('Monthly Prices'!B208:CB208,$G$4)</f>
        <v>115</v>
      </c>
      <c r="K220" s="158" t="b">
        <f>IF(H220,INDEX('Monthly Prices'!B208:CB208,$G$4)*U220,FALSE)</f>
        <v>0</v>
      </c>
      <c r="L220" s="152" t="b">
        <f t="shared" si="64"/>
        <v>1</v>
      </c>
      <c r="M220" s="158">
        <f>INDEX('Monthly Prices'!B208:CB208,$G$5)</f>
        <v>53.949854285180002</v>
      </c>
      <c r="N220" s="158" t="b">
        <f>IF(H220,INDEX('Monthly Prices'!B208:CB208,$G$5)*U220,FALSE)</f>
        <v>0</v>
      </c>
      <c r="O220" s="152" t="b">
        <f t="shared" si="61"/>
        <v>1</v>
      </c>
      <c r="P220" s="152">
        <f t="shared" si="65"/>
        <v>1976</v>
      </c>
      <c r="Q220" s="159">
        <f>'Monthly Prices'!B208</f>
        <v>11.60000038147</v>
      </c>
      <c r="R220" s="159">
        <f t="shared" si="66"/>
        <v>11.63000011444</v>
      </c>
      <c r="S220" s="155">
        <f>_xlfn.XLOOKUP(P220,'Annual Real'!A:A,'Annual Real'!B:B,0,0)</f>
        <v>27.483716535984801</v>
      </c>
      <c r="T220" s="155">
        <f t="shared" ca="1" si="67"/>
        <v>3.7999722517367824</v>
      </c>
      <c r="U220" s="152">
        <f t="shared" ca="1" si="68"/>
        <v>3.7999722517367824</v>
      </c>
      <c r="V220" s="152" t="b">
        <f t="shared" si="74"/>
        <v>0</v>
      </c>
      <c r="W220" s="152" t="b">
        <f t="shared" si="75"/>
        <v>0</v>
      </c>
      <c r="X220" s="154">
        <f>LOOKUP(D220,'US Implicit Deflator'!A:A,'US Implicit Deflator'!B:B)/100</f>
        <v>5.2000000000000005E-2</v>
      </c>
      <c r="Y220" s="154">
        <f t="shared" si="69"/>
        <v>4.2333616592649115E-3</v>
      </c>
      <c r="Z220" s="165">
        <f t="shared" ca="1" si="70"/>
        <v>1.7970639444508785</v>
      </c>
      <c r="AA220" s="152">
        <f t="shared" si="71"/>
        <v>7</v>
      </c>
      <c r="AB220" s="153">
        <f t="shared" si="72"/>
        <v>28004</v>
      </c>
      <c r="AC220" s="155">
        <f t="shared" ca="1" si="73"/>
        <v>3.7999722517367824</v>
      </c>
    </row>
    <row r="221" spans="3:29">
      <c r="C221" s="152" t="str">
        <f>'Monthly Prices'!A209</f>
        <v>1976M10</v>
      </c>
      <c r="D221" s="153">
        <f t="shared" si="62"/>
        <v>28034</v>
      </c>
      <c r="E221" s="152">
        <f t="shared" si="63"/>
        <v>202</v>
      </c>
      <c r="F221" s="152" t="b">
        <f t="shared" si="57"/>
        <v>0</v>
      </c>
      <c r="G221" s="152" t="b">
        <f t="shared" si="58"/>
        <v>1</v>
      </c>
      <c r="H221" s="152" t="b">
        <f t="shared" si="59"/>
        <v>0</v>
      </c>
      <c r="I221" s="153" t="e">
        <f t="shared" si="60"/>
        <v>#N/A</v>
      </c>
      <c r="J221" s="158">
        <f>INDEX('Monthly Prices'!B209:CB209,$G$4)</f>
        <v>106.2</v>
      </c>
      <c r="K221" s="158" t="b">
        <f>IF(H221,INDEX('Monthly Prices'!B209:CB209,$G$4)*U221,FALSE)</f>
        <v>0</v>
      </c>
      <c r="L221" s="152" t="b">
        <f t="shared" si="64"/>
        <v>1</v>
      </c>
      <c r="M221" s="158">
        <f>INDEX('Monthly Prices'!B209:CB209,$G$5)</f>
        <v>50.836539608940001</v>
      </c>
      <c r="N221" s="158" t="b">
        <f>IF(H221,INDEX('Monthly Prices'!B209:CB209,$G$5)*U221,FALSE)</f>
        <v>0</v>
      </c>
      <c r="O221" s="152" t="b">
        <f t="shared" si="61"/>
        <v>1</v>
      </c>
      <c r="P221" s="152">
        <f t="shared" si="65"/>
        <v>1976</v>
      </c>
      <c r="Q221" s="159">
        <f>'Monthly Prices'!B209</f>
        <v>11.89999961853</v>
      </c>
      <c r="R221" s="159">
        <f t="shared" si="66"/>
        <v>11.63000011444</v>
      </c>
      <c r="S221" s="155">
        <f>_xlfn.XLOOKUP(P221,'Annual Real'!A:A,'Annual Real'!B:B,0,0)</f>
        <v>27.483716535984801</v>
      </c>
      <c r="T221" s="155">
        <f t="shared" ca="1" si="67"/>
        <v>3.7827569000244834</v>
      </c>
      <c r="U221" s="152">
        <f t="shared" ca="1" si="68"/>
        <v>3.7827569000244834</v>
      </c>
      <c r="V221" s="152" t="b">
        <f t="shared" si="74"/>
        <v>0</v>
      </c>
      <c r="W221" s="152" t="b">
        <f t="shared" si="75"/>
        <v>0</v>
      </c>
      <c r="X221" s="154">
        <f>LOOKUP(D221,'US Implicit Deflator'!A:A,'US Implicit Deflator'!B:B)/100</f>
        <v>5.5999999999999994E-2</v>
      </c>
      <c r="Y221" s="154">
        <f t="shared" si="69"/>
        <v>4.5510066248739545E-3</v>
      </c>
      <c r="Z221" s="165">
        <f t="shared" ca="1" si="70"/>
        <v>1.8052423943673965</v>
      </c>
      <c r="AA221" s="152">
        <f t="shared" si="71"/>
        <v>7</v>
      </c>
      <c r="AB221" s="153">
        <f t="shared" si="72"/>
        <v>28034</v>
      </c>
      <c r="AC221" s="155">
        <f t="shared" ca="1" si="73"/>
        <v>3.7827569000244834</v>
      </c>
    </row>
    <row r="222" spans="3:29">
      <c r="C222" s="152" t="str">
        <f>'Monthly Prices'!A210</f>
        <v>1976M11</v>
      </c>
      <c r="D222" s="153">
        <f t="shared" si="62"/>
        <v>28065</v>
      </c>
      <c r="E222" s="152">
        <f t="shared" si="63"/>
        <v>203</v>
      </c>
      <c r="F222" s="152" t="b">
        <f t="shared" si="57"/>
        <v>0</v>
      </c>
      <c r="G222" s="152" t="b">
        <f t="shared" si="58"/>
        <v>1</v>
      </c>
      <c r="H222" s="152" t="b">
        <f t="shared" si="59"/>
        <v>0</v>
      </c>
      <c r="I222" s="153" t="e">
        <f t="shared" si="60"/>
        <v>#N/A</v>
      </c>
      <c r="J222" s="158">
        <f>INDEX('Monthly Prices'!B210:CB210,$G$4)</f>
        <v>98.7</v>
      </c>
      <c r="K222" s="158" t="b">
        <f>IF(H222,INDEX('Monthly Prices'!B210:CB210,$G$4)*U222,FALSE)</f>
        <v>0</v>
      </c>
      <c r="L222" s="152" t="b">
        <f t="shared" si="64"/>
        <v>1</v>
      </c>
      <c r="M222" s="158">
        <f>INDEX('Monthly Prices'!B210:CB210,$G$5)</f>
        <v>48.659850092470002</v>
      </c>
      <c r="N222" s="158" t="b">
        <f>IF(H222,INDEX('Monthly Prices'!B210:CB210,$G$5)*U222,FALSE)</f>
        <v>0</v>
      </c>
      <c r="O222" s="152" t="b">
        <f t="shared" si="61"/>
        <v>1</v>
      </c>
      <c r="P222" s="152">
        <f t="shared" si="65"/>
        <v>1976</v>
      </c>
      <c r="Q222" s="159">
        <f>'Monthly Prices'!B210</f>
        <v>11.89999961853</v>
      </c>
      <c r="R222" s="159">
        <f t="shared" si="66"/>
        <v>11.63000011444</v>
      </c>
      <c r="S222" s="155">
        <f>_xlfn.XLOOKUP(P222,'Annual Real'!A:A,'Annual Real'!B:B,0,0)</f>
        <v>27.483716535984801</v>
      </c>
      <c r="T222" s="155">
        <f t="shared" ca="1" si="67"/>
        <v>3.7656195405486912</v>
      </c>
      <c r="U222" s="152">
        <f t="shared" ca="1" si="68"/>
        <v>3.7656195405486912</v>
      </c>
      <c r="V222" s="152" t="b">
        <f t="shared" si="74"/>
        <v>0</v>
      </c>
      <c r="W222" s="152" t="b">
        <f t="shared" si="75"/>
        <v>0</v>
      </c>
      <c r="X222" s="154">
        <f>LOOKUP(D222,'US Implicit Deflator'!A:A,'US Implicit Deflator'!B:B)/100</f>
        <v>5.5999999999999994E-2</v>
      </c>
      <c r="Y222" s="154">
        <f t="shared" si="69"/>
        <v>4.5510066248739545E-3</v>
      </c>
      <c r="Z222" s="165">
        <f t="shared" ca="1" si="70"/>
        <v>1.813458064463666</v>
      </c>
      <c r="AA222" s="152">
        <f t="shared" si="71"/>
        <v>7</v>
      </c>
      <c r="AB222" s="153">
        <f t="shared" si="72"/>
        <v>28065</v>
      </c>
      <c r="AC222" s="155">
        <f t="shared" ca="1" si="73"/>
        <v>3.7656195405486912</v>
      </c>
    </row>
    <row r="223" spans="3:29">
      <c r="C223" s="152" t="str">
        <f>'Monthly Prices'!A211</f>
        <v>1976M12</v>
      </c>
      <c r="D223" s="153">
        <f t="shared" si="62"/>
        <v>28095</v>
      </c>
      <c r="E223" s="152">
        <f t="shared" si="63"/>
        <v>204</v>
      </c>
      <c r="F223" s="152" t="b">
        <f t="shared" si="57"/>
        <v>0</v>
      </c>
      <c r="G223" s="152" t="b">
        <f t="shared" si="58"/>
        <v>1</v>
      </c>
      <c r="H223" s="152" t="b">
        <f t="shared" si="59"/>
        <v>0</v>
      </c>
      <c r="I223" s="153" t="e">
        <f t="shared" si="60"/>
        <v>#N/A</v>
      </c>
      <c r="J223" s="158">
        <f>INDEX('Monthly Prices'!B211:CB211,$G$4)</f>
        <v>103.5</v>
      </c>
      <c r="K223" s="158" t="b">
        <f>IF(H223,INDEX('Monthly Prices'!B211:CB211,$G$4)*U223,FALSE)</f>
        <v>0</v>
      </c>
      <c r="L223" s="152" t="b">
        <f t="shared" si="64"/>
        <v>1</v>
      </c>
      <c r="M223" s="158">
        <f>INDEX('Monthly Prices'!B211:CB211,$G$5)</f>
        <v>49.46854338168</v>
      </c>
      <c r="N223" s="158" t="b">
        <f>IF(H223,INDEX('Monthly Prices'!B211:CB211,$G$5)*U223,FALSE)</f>
        <v>0</v>
      </c>
      <c r="O223" s="152" t="b">
        <f t="shared" si="61"/>
        <v>1</v>
      </c>
      <c r="P223" s="152">
        <f t="shared" si="65"/>
        <v>1976</v>
      </c>
      <c r="Q223" s="159">
        <f>'Monthly Prices'!B211</f>
        <v>11.89999961853</v>
      </c>
      <c r="R223" s="159">
        <f t="shared" si="66"/>
        <v>11.63000011444</v>
      </c>
      <c r="S223" s="155">
        <f>_xlfn.XLOOKUP(P223,'Annual Real'!A:A,'Annual Real'!B:B,0,0)</f>
        <v>27.483716535984801</v>
      </c>
      <c r="T223" s="155">
        <f t="shared" ca="1" si="67"/>
        <v>3.7485598199742522</v>
      </c>
      <c r="U223" s="152">
        <f t="shared" ca="1" si="68"/>
        <v>3.7485598199742522</v>
      </c>
      <c r="V223" s="152" t="b">
        <f t="shared" si="74"/>
        <v>0</v>
      </c>
      <c r="W223" s="152" t="b">
        <f t="shared" si="75"/>
        <v>0</v>
      </c>
      <c r="X223" s="154">
        <f>LOOKUP(D223,'US Implicit Deflator'!A:A,'US Implicit Deflator'!B:B)/100</f>
        <v>5.5999999999999994E-2</v>
      </c>
      <c r="Y223" s="154">
        <f t="shared" si="69"/>
        <v>4.5510066248739545E-3</v>
      </c>
      <c r="Z223" s="165">
        <f t="shared" ca="1" si="70"/>
        <v>1.8217111241289712</v>
      </c>
      <c r="AA223" s="152">
        <f t="shared" si="71"/>
        <v>7</v>
      </c>
      <c r="AB223" s="153">
        <f t="shared" si="72"/>
        <v>28095</v>
      </c>
      <c r="AC223" s="155">
        <f t="shared" ca="1" si="73"/>
        <v>3.7485598199742522</v>
      </c>
    </row>
    <row r="224" spans="3:29">
      <c r="C224" s="152" t="str">
        <f>'Monthly Prices'!A212</f>
        <v>1977M01</v>
      </c>
      <c r="D224" s="153">
        <f t="shared" si="62"/>
        <v>28126</v>
      </c>
      <c r="E224" s="152">
        <f t="shared" si="63"/>
        <v>205</v>
      </c>
      <c r="F224" s="152" t="b">
        <f t="shared" si="57"/>
        <v>0</v>
      </c>
      <c r="G224" s="152" t="b">
        <f t="shared" si="58"/>
        <v>1</v>
      </c>
      <c r="H224" s="152" t="b">
        <f t="shared" si="59"/>
        <v>0</v>
      </c>
      <c r="I224" s="153" t="e">
        <f t="shared" si="60"/>
        <v>#N/A</v>
      </c>
      <c r="J224" s="158">
        <f>INDEX('Monthly Prices'!B212:CB212,$G$4)</f>
        <v>111.6</v>
      </c>
      <c r="K224" s="158" t="b">
        <f>IF(H224,INDEX('Monthly Prices'!B212:CB212,$G$4)*U224,FALSE)</f>
        <v>0</v>
      </c>
      <c r="L224" s="152" t="b">
        <f t="shared" si="64"/>
        <v>1</v>
      </c>
      <c r="M224" s="158">
        <f>INDEX('Monthly Prices'!B212:CB212,$G$5)</f>
        <v>51.419833102790001</v>
      </c>
      <c r="N224" s="158" t="b">
        <f>IF(H224,INDEX('Monthly Prices'!B212:CB212,$G$5)*U224,FALSE)</f>
        <v>0</v>
      </c>
      <c r="O224" s="152" t="b">
        <f t="shared" si="61"/>
        <v>1</v>
      </c>
      <c r="P224" s="152">
        <f t="shared" si="65"/>
        <v>1977</v>
      </c>
      <c r="Q224" s="159">
        <f>'Monthly Prices'!B212</f>
        <v>12.5</v>
      </c>
      <c r="R224" s="159">
        <f t="shared" si="66"/>
        <v>12.565000057222496</v>
      </c>
      <c r="S224" s="155">
        <f>_xlfn.XLOOKUP(P224,'Annual Real'!A:A,'Annual Real'!B:B,0,0)</f>
        <v>27.469108493496101</v>
      </c>
      <c r="T224" s="155">
        <f t="shared" ca="1" si="67"/>
        <v>3.7306953206474791</v>
      </c>
      <c r="U224" s="152">
        <f t="shared" ca="1" si="68"/>
        <v>3.7306953206474791</v>
      </c>
      <c r="V224" s="152" t="b">
        <f t="shared" si="74"/>
        <v>0</v>
      </c>
      <c r="W224" s="152" t="b">
        <f t="shared" si="75"/>
        <v>0</v>
      </c>
      <c r="X224" s="154">
        <f>LOOKUP(D224,'US Implicit Deflator'!A:A,'US Implicit Deflator'!B:B)/100</f>
        <v>5.9000000000000004E-2</v>
      </c>
      <c r="Y224" s="154">
        <f t="shared" si="69"/>
        <v>4.7885173650881185E-3</v>
      </c>
      <c r="Z224" s="165">
        <f t="shared" ca="1" si="70"/>
        <v>1.8304344194810369</v>
      </c>
      <c r="AA224" s="152">
        <f t="shared" si="71"/>
        <v>7</v>
      </c>
      <c r="AB224" s="153">
        <f t="shared" si="72"/>
        <v>28126</v>
      </c>
      <c r="AC224" s="155">
        <f t="shared" ca="1" si="73"/>
        <v>3.7306953206474791</v>
      </c>
    </row>
    <row r="225" spans="3:29">
      <c r="C225" s="152" t="str">
        <f>'Monthly Prices'!A213</f>
        <v>1977M02</v>
      </c>
      <c r="D225" s="153">
        <f t="shared" si="62"/>
        <v>28157</v>
      </c>
      <c r="E225" s="152">
        <f t="shared" si="63"/>
        <v>206</v>
      </c>
      <c r="F225" s="152" t="b">
        <f t="shared" si="57"/>
        <v>0</v>
      </c>
      <c r="G225" s="152" t="b">
        <f t="shared" si="58"/>
        <v>1</v>
      </c>
      <c r="H225" s="152" t="b">
        <f t="shared" si="59"/>
        <v>0</v>
      </c>
      <c r="I225" s="153" t="e">
        <f t="shared" si="60"/>
        <v>#N/A</v>
      </c>
      <c r="J225" s="158">
        <f>INDEX('Monthly Prices'!B213:CB213,$G$4)</f>
        <v>110.6</v>
      </c>
      <c r="K225" s="158" t="b">
        <f>IF(H225,INDEX('Monthly Prices'!B213:CB213,$G$4)*U225,FALSE)</f>
        <v>0</v>
      </c>
      <c r="L225" s="152" t="b">
        <f t="shared" si="64"/>
        <v>1</v>
      </c>
      <c r="M225" s="158">
        <f>INDEX('Monthly Prices'!B213:CB213,$G$5)</f>
        <v>51.741940393759997</v>
      </c>
      <c r="N225" s="158" t="b">
        <f>IF(H225,INDEX('Monthly Prices'!B213:CB213,$G$5)*U225,FALSE)</f>
        <v>0</v>
      </c>
      <c r="O225" s="152" t="b">
        <f t="shared" si="61"/>
        <v>1</v>
      </c>
      <c r="P225" s="152">
        <f t="shared" si="65"/>
        <v>1977</v>
      </c>
      <c r="Q225" s="159">
        <f>'Monthly Prices'!B213</f>
        <v>12.5</v>
      </c>
      <c r="R225" s="159">
        <f t="shared" si="66"/>
        <v>12.565000057222496</v>
      </c>
      <c r="S225" s="155">
        <f>_xlfn.XLOOKUP(P225,'Annual Real'!A:A,'Annual Real'!B:B,0,0)</f>
        <v>27.469108493496101</v>
      </c>
      <c r="T225" s="155">
        <f t="shared" ca="1" si="67"/>
        <v>3.7129159581069708</v>
      </c>
      <c r="U225" s="152">
        <f t="shared" ca="1" si="68"/>
        <v>3.7129159581069708</v>
      </c>
      <c r="V225" s="152" t="b">
        <f t="shared" si="74"/>
        <v>0</v>
      </c>
      <c r="W225" s="152" t="b">
        <f t="shared" si="75"/>
        <v>0</v>
      </c>
      <c r="X225" s="154">
        <f>LOOKUP(D225,'US Implicit Deflator'!A:A,'US Implicit Deflator'!B:B)/100</f>
        <v>5.9000000000000004E-2</v>
      </c>
      <c r="Y225" s="154">
        <f t="shared" si="69"/>
        <v>4.7885173650881185E-3</v>
      </c>
      <c r="Z225" s="165">
        <f t="shared" ca="1" si="70"/>
        <v>1.8391994864843768</v>
      </c>
      <c r="AA225" s="152">
        <f t="shared" si="71"/>
        <v>7</v>
      </c>
      <c r="AB225" s="153">
        <f t="shared" si="72"/>
        <v>28157</v>
      </c>
      <c r="AC225" s="155">
        <f t="shared" ca="1" si="73"/>
        <v>3.7129159581069708</v>
      </c>
    </row>
    <row r="226" spans="3:29">
      <c r="C226" s="152" t="str">
        <f>'Monthly Prices'!A214</f>
        <v>1977M03</v>
      </c>
      <c r="D226" s="153">
        <f t="shared" si="62"/>
        <v>28185</v>
      </c>
      <c r="E226" s="152">
        <f t="shared" si="63"/>
        <v>207</v>
      </c>
      <c r="F226" s="152" t="b">
        <f t="shared" si="57"/>
        <v>0</v>
      </c>
      <c r="G226" s="152" t="b">
        <f t="shared" si="58"/>
        <v>1</v>
      </c>
      <c r="H226" s="152" t="b">
        <f t="shared" si="59"/>
        <v>0</v>
      </c>
      <c r="I226" s="153" t="e">
        <f t="shared" si="60"/>
        <v>#N/A</v>
      </c>
      <c r="J226" s="158">
        <f>INDEX('Monthly Prices'!B214:CB214,$G$4)</f>
        <v>108</v>
      </c>
      <c r="K226" s="158" t="b">
        <f>IF(H226,INDEX('Monthly Prices'!B214:CB214,$G$4)*U226,FALSE)</f>
        <v>0</v>
      </c>
      <c r="L226" s="152" t="b">
        <f t="shared" si="64"/>
        <v>1</v>
      </c>
      <c r="M226" s="158">
        <f>INDEX('Monthly Prices'!B214:CB214,$G$5)</f>
        <v>50.611217801999999</v>
      </c>
      <c r="N226" s="158" t="b">
        <f>IF(H226,INDEX('Monthly Prices'!B214:CB214,$G$5)*U226,FALSE)</f>
        <v>0</v>
      </c>
      <c r="O226" s="152" t="b">
        <f t="shared" si="61"/>
        <v>1</v>
      </c>
      <c r="P226" s="152">
        <f t="shared" si="65"/>
        <v>1977</v>
      </c>
      <c r="Q226" s="159">
        <f>'Monthly Prices'!B214</f>
        <v>12.5</v>
      </c>
      <c r="R226" s="159">
        <f t="shared" si="66"/>
        <v>12.565000057222496</v>
      </c>
      <c r="S226" s="155">
        <f>_xlfn.XLOOKUP(P226,'Annual Real'!A:A,'Annual Real'!B:B,0,0)</f>
        <v>27.469108493496101</v>
      </c>
      <c r="T226" s="155">
        <f t="shared" ca="1" si="67"/>
        <v>3.6952213266166232</v>
      </c>
      <c r="U226" s="152">
        <f t="shared" ca="1" si="68"/>
        <v>3.6952213266166232</v>
      </c>
      <c r="V226" s="152" t="b">
        <f t="shared" si="74"/>
        <v>0</v>
      </c>
      <c r="W226" s="152" t="b">
        <f t="shared" si="75"/>
        <v>0</v>
      </c>
      <c r="X226" s="154">
        <f>LOOKUP(D226,'US Implicit Deflator'!A:A,'US Implicit Deflator'!B:B)/100</f>
        <v>5.9000000000000004E-2</v>
      </c>
      <c r="Y226" s="154">
        <f t="shared" si="69"/>
        <v>4.7885173650881185E-3</v>
      </c>
      <c r="Z226" s="165">
        <f t="shared" ca="1" si="70"/>
        <v>1.8480065251632685</v>
      </c>
      <c r="AA226" s="152">
        <f t="shared" si="71"/>
        <v>7</v>
      </c>
      <c r="AB226" s="153">
        <f t="shared" si="72"/>
        <v>28185</v>
      </c>
      <c r="AC226" s="155">
        <f t="shared" ca="1" si="73"/>
        <v>3.6952213266166232</v>
      </c>
    </row>
    <row r="227" spans="3:29">
      <c r="C227" s="152" t="str">
        <f>'Monthly Prices'!A215</f>
        <v>1977M04</v>
      </c>
      <c r="D227" s="153">
        <f t="shared" si="62"/>
        <v>28216</v>
      </c>
      <c r="E227" s="152">
        <f t="shared" si="63"/>
        <v>208</v>
      </c>
      <c r="F227" s="152" t="b">
        <f t="shared" si="57"/>
        <v>0</v>
      </c>
      <c r="G227" s="152" t="b">
        <f t="shared" si="58"/>
        <v>1</v>
      </c>
      <c r="H227" s="152" t="b">
        <f t="shared" si="59"/>
        <v>0</v>
      </c>
      <c r="I227" s="153" t="e">
        <f t="shared" si="60"/>
        <v>#N/A</v>
      </c>
      <c r="J227" s="158">
        <f>INDEX('Monthly Prices'!B215:CB215,$G$4)</f>
        <v>105.8</v>
      </c>
      <c r="K227" s="158" t="b">
        <f>IF(H227,INDEX('Monthly Prices'!B215:CB215,$G$4)*U227,FALSE)</f>
        <v>0</v>
      </c>
      <c r="L227" s="152" t="b">
        <f t="shared" si="64"/>
        <v>1</v>
      </c>
      <c r="M227" s="158">
        <f>INDEX('Monthly Prices'!B215:CB215,$G$5)</f>
        <v>49.292532772210002</v>
      </c>
      <c r="N227" s="158" t="b">
        <f>IF(H227,INDEX('Monthly Prices'!B215:CB215,$G$5)*U227,FALSE)</f>
        <v>0</v>
      </c>
      <c r="O227" s="152" t="b">
        <f t="shared" si="61"/>
        <v>1</v>
      </c>
      <c r="P227" s="152">
        <f t="shared" si="65"/>
        <v>1977</v>
      </c>
      <c r="Q227" s="159">
        <f>'Monthly Prices'!B215</f>
        <v>12.44999980927</v>
      </c>
      <c r="R227" s="159">
        <f t="shared" si="66"/>
        <v>12.565000057222496</v>
      </c>
      <c r="S227" s="155">
        <f>_xlfn.XLOOKUP(P227,'Annual Real'!A:A,'Annual Real'!B:B,0,0)</f>
        <v>27.469108493496101</v>
      </c>
      <c r="T227" s="155">
        <f t="shared" ca="1" si="67"/>
        <v>3.6761677439415967</v>
      </c>
      <c r="U227" s="152">
        <f t="shared" ca="1" si="68"/>
        <v>3.6761677439415967</v>
      </c>
      <c r="V227" s="152" t="b">
        <f t="shared" si="74"/>
        <v>0</v>
      </c>
      <c r="W227" s="152" t="b">
        <f t="shared" si="75"/>
        <v>0</v>
      </c>
      <c r="X227" s="154">
        <f>LOOKUP(D227,'US Implicit Deflator'!A:A,'US Implicit Deflator'!B:B)/100</f>
        <v>6.4000000000000001E-2</v>
      </c>
      <c r="Y227" s="154">
        <f t="shared" si="69"/>
        <v>5.1830014303420047E-3</v>
      </c>
      <c r="Z227" s="165">
        <f t="shared" ca="1" si="70"/>
        <v>1.8575847456264711</v>
      </c>
      <c r="AA227" s="152">
        <f t="shared" si="71"/>
        <v>7</v>
      </c>
      <c r="AB227" s="153">
        <f t="shared" si="72"/>
        <v>28216</v>
      </c>
      <c r="AC227" s="155">
        <f t="shared" ca="1" si="73"/>
        <v>3.6761677439415967</v>
      </c>
    </row>
    <row r="228" spans="3:29">
      <c r="C228" s="152" t="str">
        <f>'Monthly Prices'!A216</f>
        <v>1977M05</v>
      </c>
      <c r="D228" s="153">
        <f t="shared" si="62"/>
        <v>28246</v>
      </c>
      <c r="E228" s="152">
        <f t="shared" si="63"/>
        <v>209</v>
      </c>
      <c r="F228" s="152" t="b">
        <f t="shared" si="57"/>
        <v>0</v>
      </c>
      <c r="G228" s="152" t="b">
        <f t="shared" si="58"/>
        <v>1</v>
      </c>
      <c r="H228" s="152" t="b">
        <f t="shared" si="59"/>
        <v>0</v>
      </c>
      <c r="I228" s="153" t="e">
        <f t="shared" si="60"/>
        <v>#N/A</v>
      </c>
      <c r="J228" s="158">
        <f>INDEX('Monthly Prices'!B216:CB216,$G$4)</f>
        <v>100.9</v>
      </c>
      <c r="K228" s="158" t="b">
        <f>IF(H228,INDEX('Monthly Prices'!B216:CB216,$G$4)*U228,FALSE)</f>
        <v>0</v>
      </c>
      <c r="L228" s="152" t="b">
        <f t="shared" si="64"/>
        <v>1</v>
      </c>
      <c r="M228" s="158">
        <f>INDEX('Monthly Prices'!B216:CB216,$G$5)</f>
        <v>46.935191091969998</v>
      </c>
      <c r="N228" s="158" t="b">
        <f>IF(H228,INDEX('Monthly Prices'!B216:CB216,$G$5)*U228,FALSE)</f>
        <v>0</v>
      </c>
      <c r="O228" s="152" t="b">
        <f t="shared" si="61"/>
        <v>1</v>
      </c>
      <c r="P228" s="152">
        <f t="shared" si="65"/>
        <v>1977</v>
      </c>
      <c r="Q228" s="159">
        <f>'Monthly Prices'!B216</f>
        <v>12.44999980927</v>
      </c>
      <c r="R228" s="159">
        <f t="shared" si="66"/>
        <v>12.565000057222496</v>
      </c>
      <c r="S228" s="155">
        <f>_xlfn.XLOOKUP(P228,'Annual Real'!A:A,'Annual Real'!B:B,0,0)</f>
        <v>27.469108493496101</v>
      </c>
      <c r="T228" s="155">
        <f t="shared" ca="1" si="67"/>
        <v>3.6572124068060563</v>
      </c>
      <c r="U228" s="152">
        <f t="shared" ca="1" si="68"/>
        <v>3.6572124068060563</v>
      </c>
      <c r="V228" s="152" t="b">
        <f t="shared" si="74"/>
        <v>0</v>
      </c>
      <c r="W228" s="152" t="b">
        <f t="shared" si="75"/>
        <v>0</v>
      </c>
      <c r="X228" s="154">
        <f>LOOKUP(D228,'US Implicit Deflator'!A:A,'US Implicit Deflator'!B:B)/100</f>
        <v>6.4000000000000001E-2</v>
      </c>
      <c r="Y228" s="154">
        <f t="shared" si="69"/>
        <v>5.1830014303420047E-3</v>
      </c>
      <c r="Z228" s="165">
        <f t="shared" ca="1" si="70"/>
        <v>1.8672126100200346</v>
      </c>
      <c r="AA228" s="152">
        <f t="shared" si="71"/>
        <v>7</v>
      </c>
      <c r="AB228" s="153">
        <f t="shared" si="72"/>
        <v>28246</v>
      </c>
      <c r="AC228" s="155">
        <f t="shared" ca="1" si="73"/>
        <v>3.6572124068060563</v>
      </c>
    </row>
    <row r="229" spans="3:29">
      <c r="C229" s="152" t="str">
        <f>'Monthly Prices'!A217</f>
        <v>1977M06</v>
      </c>
      <c r="D229" s="153">
        <f t="shared" si="62"/>
        <v>28277</v>
      </c>
      <c r="E229" s="152">
        <f t="shared" si="63"/>
        <v>210</v>
      </c>
      <c r="F229" s="152" t="b">
        <f t="shared" si="57"/>
        <v>0</v>
      </c>
      <c r="G229" s="152" t="b">
        <f t="shared" si="58"/>
        <v>1</v>
      </c>
      <c r="H229" s="152" t="b">
        <f t="shared" si="59"/>
        <v>0</v>
      </c>
      <c r="I229" s="153" t="e">
        <f t="shared" si="60"/>
        <v>#N/A</v>
      </c>
      <c r="J229" s="158">
        <f>INDEX('Monthly Prices'!B217:CB217,$G$4)</f>
        <v>94.5</v>
      </c>
      <c r="K229" s="158" t="b">
        <f>IF(H229,INDEX('Monthly Prices'!B217:CB217,$G$4)*U229,FALSE)</f>
        <v>0</v>
      </c>
      <c r="L229" s="152" t="b">
        <f t="shared" si="64"/>
        <v>1</v>
      </c>
      <c r="M229" s="158">
        <f>INDEX('Monthly Prices'!B217:CB217,$G$5)</f>
        <v>45.54828176326</v>
      </c>
      <c r="N229" s="158" t="b">
        <f>IF(H229,INDEX('Monthly Prices'!B217:CB217,$G$5)*U229,FALSE)</f>
        <v>0</v>
      </c>
      <c r="O229" s="152" t="b">
        <f t="shared" si="61"/>
        <v>1</v>
      </c>
      <c r="P229" s="152">
        <f t="shared" si="65"/>
        <v>1977</v>
      </c>
      <c r="Q229" s="159">
        <f>'Monthly Prices'!B217</f>
        <v>12.44999980927</v>
      </c>
      <c r="R229" s="159">
        <f t="shared" si="66"/>
        <v>12.565000057222496</v>
      </c>
      <c r="S229" s="155">
        <f>_xlfn.XLOOKUP(P229,'Annual Real'!A:A,'Annual Real'!B:B,0,0)</f>
        <v>27.469108493496101</v>
      </c>
      <c r="T229" s="155">
        <f t="shared" ca="1" si="67"/>
        <v>3.6383548086288413</v>
      </c>
      <c r="U229" s="152">
        <f t="shared" ca="1" si="68"/>
        <v>3.6383548086288413</v>
      </c>
      <c r="V229" s="152" t="b">
        <f t="shared" si="74"/>
        <v>0</v>
      </c>
      <c r="W229" s="152" t="b">
        <f t="shared" si="75"/>
        <v>0</v>
      </c>
      <c r="X229" s="154">
        <f>LOOKUP(D229,'US Implicit Deflator'!A:A,'US Implicit Deflator'!B:B)/100</f>
        <v>6.4000000000000001E-2</v>
      </c>
      <c r="Y229" s="154">
        <f t="shared" si="69"/>
        <v>5.1830014303420047E-3</v>
      </c>
      <c r="Z229" s="165">
        <f t="shared" ca="1" si="70"/>
        <v>1.8768903756485211</v>
      </c>
      <c r="AA229" s="152">
        <f t="shared" si="71"/>
        <v>7</v>
      </c>
      <c r="AB229" s="153">
        <f t="shared" si="72"/>
        <v>28277</v>
      </c>
      <c r="AC229" s="155">
        <f t="shared" ca="1" si="73"/>
        <v>3.6383548086288413</v>
      </c>
    </row>
    <row r="230" spans="3:29">
      <c r="C230" s="152" t="str">
        <f>'Monthly Prices'!A218</f>
        <v>1977M07</v>
      </c>
      <c r="D230" s="153">
        <f t="shared" si="62"/>
        <v>28307</v>
      </c>
      <c r="E230" s="152">
        <f t="shared" si="63"/>
        <v>211</v>
      </c>
      <c r="F230" s="152" t="b">
        <f t="shared" si="57"/>
        <v>0</v>
      </c>
      <c r="G230" s="152" t="b">
        <f t="shared" si="58"/>
        <v>1</v>
      </c>
      <c r="H230" s="152" t="b">
        <f t="shared" si="59"/>
        <v>0</v>
      </c>
      <c r="I230" s="153" t="e">
        <f t="shared" si="60"/>
        <v>#N/A</v>
      </c>
      <c r="J230" s="158">
        <f>INDEX('Monthly Prices'!B218:CB218,$G$4)</f>
        <v>85</v>
      </c>
      <c r="K230" s="158" t="b">
        <f>IF(H230,INDEX('Monthly Prices'!B218:CB218,$G$4)*U230,FALSE)</f>
        <v>0</v>
      </c>
      <c r="L230" s="152" t="b">
        <f t="shared" si="64"/>
        <v>1</v>
      </c>
      <c r="M230" s="158">
        <f>INDEX('Monthly Prices'!B218:CB218,$G$5)</f>
        <v>44.773282760039997</v>
      </c>
      <c r="N230" s="158" t="b">
        <f>IF(H230,INDEX('Monthly Prices'!B218:CB218,$G$5)*U230,FALSE)</f>
        <v>0</v>
      </c>
      <c r="O230" s="152" t="b">
        <f t="shared" si="61"/>
        <v>1</v>
      </c>
      <c r="P230" s="152">
        <f t="shared" si="65"/>
        <v>1977</v>
      </c>
      <c r="Q230" s="159">
        <f>'Monthly Prices'!B218</f>
        <v>12.63000011444</v>
      </c>
      <c r="R230" s="159">
        <f t="shared" si="66"/>
        <v>12.565000057222496</v>
      </c>
      <c r="S230" s="155">
        <f>_xlfn.XLOOKUP(P230,'Annual Real'!A:A,'Annual Real'!B:B,0,0)</f>
        <v>27.469108493496101</v>
      </c>
      <c r="T230" s="155">
        <f t="shared" ca="1" si="67"/>
        <v>3.6198780793953582</v>
      </c>
      <c r="U230" s="152">
        <f t="shared" ca="1" si="68"/>
        <v>3.6198780793953582</v>
      </c>
      <c r="V230" s="152" t="b">
        <f t="shared" si="74"/>
        <v>0</v>
      </c>
      <c r="W230" s="152" t="b">
        <f t="shared" si="75"/>
        <v>0</v>
      </c>
      <c r="X230" s="154">
        <f>LOOKUP(D230,'US Implicit Deflator'!A:A,'US Implicit Deflator'!B:B)/100</f>
        <v>6.3E-2</v>
      </c>
      <c r="Y230" s="154">
        <f t="shared" si="69"/>
        <v>5.1042407584538374E-3</v>
      </c>
      <c r="Z230" s="165">
        <f t="shared" ca="1" si="70"/>
        <v>1.886470476003056</v>
      </c>
      <c r="AA230" s="152">
        <f t="shared" si="71"/>
        <v>7</v>
      </c>
      <c r="AB230" s="153">
        <f t="shared" si="72"/>
        <v>28307</v>
      </c>
      <c r="AC230" s="155">
        <f t="shared" ca="1" si="73"/>
        <v>3.6198780793953582</v>
      </c>
    </row>
    <row r="231" spans="3:29">
      <c r="C231" s="152" t="str">
        <f>'Monthly Prices'!A219</f>
        <v>1977M08</v>
      </c>
      <c r="D231" s="153">
        <f t="shared" si="62"/>
        <v>28338</v>
      </c>
      <c r="E231" s="152">
        <f t="shared" si="63"/>
        <v>212</v>
      </c>
      <c r="F231" s="152" t="b">
        <f t="shared" si="57"/>
        <v>0</v>
      </c>
      <c r="G231" s="152" t="b">
        <f t="shared" si="58"/>
        <v>1</v>
      </c>
      <c r="H231" s="152" t="b">
        <f t="shared" si="59"/>
        <v>0</v>
      </c>
      <c r="I231" s="153" t="e">
        <f t="shared" si="60"/>
        <v>#N/A</v>
      </c>
      <c r="J231" s="158">
        <f>INDEX('Monthly Prices'!B219:CB219,$G$4)</f>
        <v>76.900000000000006</v>
      </c>
      <c r="K231" s="158" t="b">
        <f>IF(H231,INDEX('Monthly Prices'!B219:CB219,$G$4)*U231,FALSE)</f>
        <v>0</v>
      </c>
      <c r="L231" s="152" t="b">
        <f t="shared" si="64"/>
        <v>1</v>
      </c>
      <c r="M231" s="158">
        <f>INDEX('Monthly Prices'!B219:CB219,$G$5)</f>
        <v>43.092125591859997</v>
      </c>
      <c r="N231" s="158" t="b">
        <f>IF(H231,INDEX('Monthly Prices'!B219:CB219,$G$5)*U231,FALSE)</f>
        <v>0</v>
      </c>
      <c r="O231" s="152" t="b">
        <f t="shared" si="61"/>
        <v>1</v>
      </c>
      <c r="P231" s="152">
        <f t="shared" si="65"/>
        <v>1977</v>
      </c>
      <c r="Q231" s="159">
        <f>'Monthly Prices'!B219</f>
        <v>12.63000011444</v>
      </c>
      <c r="R231" s="159">
        <f t="shared" si="66"/>
        <v>12.565000057222496</v>
      </c>
      <c r="S231" s="155">
        <f>_xlfn.XLOOKUP(P231,'Annual Real'!A:A,'Annual Real'!B:B,0,0)</f>
        <v>27.469108493496101</v>
      </c>
      <c r="T231" s="155">
        <f t="shared" ca="1" si="67"/>
        <v>3.6014951809016251</v>
      </c>
      <c r="U231" s="152">
        <f t="shared" ca="1" si="68"/>
        <v>3.6014951809016251</v>
      </c>
      <c r="V231" s="152" t="b">
        <f t="shared" si="74"/>
        <v>0</v>
      </c>
      <c r="W231" s="152" t="b">
        <f t="shared" si="75"/>
        <v>0</v>
      </c>
      <c r="X231" s="154">
        <f>LOOKUP(D231,'US Implicit Deflator'!A:A,'US Implicit Deflator'!B:B)/100</f>
        <v>6.3E-2</v>
      </c>
      <c r="Y231" s="154">
        <f t="shared" si="69"/>
        <v>5.1042407584538374E-3</v>
      </c>
      <c r="Z231" s="165">
        <f t="shared" ca="1" si="70"/>
        <v>1.8960994754962905</v>
      </c>
      <c r="AA231" s="152">
        <f t="shared" si="71"/>
        <v>7</v>
      </c>
      <c r="AB231" s="153">
        <f t="shared" si="72"/>
        <v>28338</v>
      </c>
      <c r="AC231" s="155">
        <f t="shared" ca="1" si="73"/>
        <v>3.6014951809016251</v>
      </c>
    </row>
    <row r="232" spans="3:29">
      <c r="C232" s="152" t="str">
        <f>'Monthly Prices'!A220</f>
        <v>1977M09</v>
      </c>
      <c r="D232" s="153">
        <f t="shared" si="62"/>
        <v>28369</v>
      </c>
      <c r="E232" s="152">
        <f t="shared" si="63"/>
        <v>213</v>
      </c>
      <c r="F232" s="152" t="b">
        <f t="shared" si="57"/>
        <v>0</v>
      </c>
      <c r="G232" s="152" t="b">
        <f t="shared" si="58"/>
        <v>1</v>
      </c>
      <c r="H232" s="152" t="b">
        <f t="shared" si="59"/>
        <v>0</v>
      </c>
      <c r="I232" s="153" t="e">
        <f t="shared" si="60"/>
        <v>#N/A</v>
      </c>
      <c r="J232" s="158">
        <f>INDEX('Monthly Prices'!B220:CB220,$G$4)</f>
        <v>78.3</v>
      </c>
      <c r="K232" s="158" t="b">
        <f>IF(H232,INDEX('Monthly Prices'!B220:CB220,$G$4)*U232,FALSE)</f>
        <v>0</v>
      </c>
      <c r="L232" s="152" t="b">
        <f t="shared" si="64"/>
        <v>1</v>
      </c>
      <c r="M232" s="158">
        <f>INDEX('Monthly Prices'!B220:CB220,$G$5)</f>
        <v>44.342642061749999</v>
      </c>
      <c r="N232" s="158" t="b">
        <f>IF(H232,INDEX('Monthly Prices'!B220:CB220,$G$5)*U232,FALSE)</f>
        <v>0</v>
      </c>
      <c r="O232" s="152" t="b">
        <f t="shared" si="61"/>
        <v>1</v>
      </c>
      <c r="P232" s="152">
        <f t="shared" si="65"/>
        <v>1977</v>
      </c>
      <c r="Q232" s="159">
        <f>'Monthly Prices'!B220</f>
        <v>12.63000011444</v>
      </c>
      <c r="R232" s="159">
        <f t="shared" si="66"/>
        <v>12.565000057222496</v>
      </c>
      <c r="S232" s="155">
        <f>_xlfn.XLOOKUP(P232,'Annual Real'!A:A,'Annual Real'!B:B,0,0)</f>
        <v>27.469108493496101</v>
      </c>
      <c r="T232" s="155">
        <f t="shared" ca="1" si="67"/>
        <v>3.5832056366451392</v>
      </c>
      <c r="U232" s="152">
        <f t="shared" ca="1" si="68"/>
        <v>3.5832056366451392</v>
      </c>
      <c r="V232" s="152" t="b">
        <f t="shared" si="74"/>
        <v>0</v>
      </c>
      <c r="W232" s="152" t="b">
        <f t="shared" si="75"/>
        <v>0</v>
      </c>
      <c r="X232" s="154">
        <f>LOOKUP(D232,'US Implicit Deflator'!A:A,'US Implicit Deflator'!B:B)/100</f>
        <v>6.3E-2</v>
      </c>
      <c r="Y232" s="154">
        <f t="shared" si="69"/>
        <v>5.1042407584538374E-3</v>
      </c>
      <c r="Z232" s="165">
        <f t="shared" ca="1" si="70"/>
        <v>1.9057776237212016</v>
      </c>
      <c r="AA232" s="152">
        <f t="shared" si="71"/>
        <v>7</v>
      </c>
      <c r="AB232" s="153">
        <f t="shared" si="72"/>
        <v>28369</v>
      </c>
      <c r="AC232" s="155">
        <f t="shared" ca="1" si="73"/>
        <v>3.5832056366451392</v>
      </c>
    </row>
    <row r="233" spans="3:29">
      <c r="C233" s="152" t="str">
        <f>'Monthly Prices'!A221</f>
        <v>1977M10</v>
      </c>
      <c r="D233" s="153">
        <f t="shared" si="62"/>
        <v>28399</v>
      </c>
      <c r="E233" s="152">
        <f t="shared" si="63"/>
        <v>214</v>
      </c>
      <c r="F233" s="152" t="b">
        <f t="shared" si="57"/>
        <v>0</v>
      </c>
      <c r="G233" s="152" t="b">
        <f t="shared" si="58"/>
        <v>1</v>
      </c>
      <c r="H233" s="152" t="b">
        <f t="shared" si="59"/>
        <v>0</v>
      </c>
      <c r="I233" s="153" t="e">
        <f t="shared" si="60"/>
        <v>#N/A</v>
      </c>
      <c r="J233" s="158">
        <f>INDEX('Monthly Prices'!B221:CB221,$G$4)</f>
        <v>83.2</v>
      </c>
      <c r="K233" s="158" t="b">
        <f>IF(H233,INDEX('Monthly Prices'!B221:CB221,$G$4)*U233,FALSE)</f>
        <v>0</v>
      </c>
      <c r="L233" s="152" t="b">
        <f t="shared" si="64"/>
        <v>1</v>
      </c>
      <c r="M233" s="158">
        <f>INDEX('Monthly Prices'!B221:CB221,$G$5)</f>
        <v>46.19074401964</v>
      </c>
      <c r="N233" s="158" t="b">
        <f>IF(H233,INDEX('Monthly Prices'!B221:CB221,$G$5)*U233,FALSE)</f>
        <v>0</v>
      </c>
      <c r="O233" s="152" t="b">
        <f t="shared" si="61"/>
        <v>1</v>
      </c>
      <c r="P233" s="152">
        <f t="shared" si="65"/>
        <v>1977</v>
      </c>
      <c r="Q233" s="159">
        <f>'Monthly Prices'!B221</f>
        <v>12.68000030518</v>
      </c>
      <c r="R233" s="159">
        <f t="shared" si="66"/>
        <v>12.565000057222496</v>
      </c>
      <c r="S233" s="155">
        <f>_xlfn.XLOOKUP(P233,'Annual Real'!A:A,'Annual Real'!B:B,0,0)</f>
        <v>27.469108493496101</v>
      </c>
      <c r="T233" s="155">
        <f t="shared" ca="1" si="67"/>
        <v>3.5652885920760662</v>
      </c>
      <c r="U233" s="152">
        <f t="shared" ca="1" si="68"/>
        <v>3.5652885920760662</v>
      </c>
      <c r="V233" s="152" t="b">
        <f t="shared" si="74"/>
        <v>0</v>
      </c>
      <c r="W233" s="152" t="b">
        <f t="shared" si="75"/>
        <v>0</v>
      </c>
      <c r="X233" s="154">
        <f>LOOKUP(D233,'US Implicit Deflator'!A:A,'US Implicit Deflator'!B:B)/100</f>
        <v>6.2E-2</v>
      </c>
      <c r="Y233" s="154">
        <f t="shared" si="69"/>
        <v>5.0254121388362272E-3</v>
      </c>
      <c r="Z233" s="165">
        <f t="shared" ca="1" si="70"/>
        <v>1.9153549417253726</v>
      </c>
      <c r="AA233" s="152">
        <f t="shared" si="71"/>
        <v>7</v>
      </c>
      <c r="AB233" s="153">
        <f t="shared" si="72"/>
        <v>28399</v>
      </c>
      <c r="AC233" s="155">
        <f t="shared" ca="1" si="73"/>
        <v>3.5652885920760662</v>
      </c>
    </row>
    <row r="234" spans="3:29">
      <c r="C234" s="152" t="str">
        <f>'Monthly Prices'!A222</f>
        <v>1977M11</v>
      </c>
      <c r="D234" s="153">
        <f t="shared" si="62"/>
        <v>28430</v>
      </c>
      <c r="E234" s="152">
        <f t="shared" si="63"/>
        <v>215</v>
      </c>
      <c r="F234" s="152" t="b">
        <f t="shared" si="57"/>
        <v>0</v>
      </c>
      <c r="G234" s="152" t="b">
        <f t="shared" si="58"/>
        <v>1</v>
      </c>
      <c r="H234" s="152" t="b">
        <f t="shared" si="59"/>
        <v>0</v>
      </c>
      <c r="I234" s="153" t="e">
        <f t="shared" si="60"/>
        <v>#N/A</v>
      </c>
      <c r="J234" s="158">
        <f>INDEX('Monthly Prices'!B222:CB222,$G$4)</f>
        <v>93.4</v>
      </c>
      <c r="K234" s="158" t="b">
        <f>IF(H234,INDEX('Monthly Prices'!B222:CB222,$G$4)*U234,FALSE)</f>
        <v>0</v>
      </c>
      <c r="L234" s="152" t="b">
        <f t="shared" si="64"/>
        <v>1</v>
      </c>
      <c r="M234" s="158">
        <f>INDEX('Monthly Prices'!B222:CB222,$G$5)</f>
        <v>49.763932459199999</v>
      </c>
      <c r="N234" s="158" t="b">
        <f>IF(H234,INDEX('Monthly Prices'!B222:CB222,$G$5)*U234,FALSE)</f>
        <v>0</v>
      </c>
      <c r="O234" s="152" t="b">
        <f t="shared" si="61"/>
        <v>1</v>
      </c>
      <c r="P234" s="152">
        <f t="shared" si="65"/>
        <v>1977</v>
      </c>
      <c r="Q234" s="159">
        <f>'Monthly Prices'!B222</f>
        <v>12.68000030518</v>
      </c>
      <c r="R234" s="159">
        <f t="shared" si="66"/>
        <v>12.565000057222496</v>
      </c>
      <c r="S234" s="155">
        <f>_xlfn.XLOOKUP(P234,'Annual Real'!A:A,'Annual Real'!B:B,0,0)</f>
        <v>27.469108493496101</v>
      </c>
      <c r="T234" s="155">
        <f t="shared" ca="1" si="67"/>
        <v>3.5474611378120553</v>
      </c>
      <c r="U234" s="152">
        <f t="shared" ca="1" si="68"/>
        <v>3.5474611378120553</v>
      </c>
      <c r="V234" s="152" t="b">
        <f t="shared" si="74"/>
        <v>0</v>
      </c>
      <c r="W234" s="152" t="b">
        <f t="shared" si="75"/>
        <v>0</v>
      </c>
      <c r="X234" s="154">
        <f>LOOKUP(D234,'US Implicit Deflator'!A:A,'US Implicit Deflator'!B:B)/100</f>
        <v>6.2E-2</v>
      </c>
      <c r="Y234" s="154">
        <f t="shared" si="69"/>
        <v>5.0254121388362272E-3</v>
      </c>
      <c r="Z234" s="165">
        <f t="shared" ca="1" si="70"/>
        <v>1.9249803896996993</v>
      </c>
      <c r="AA234" s="152">
        <f t="shared" si="71"/>
        <v>7</v>
      </c>
      <c r="AB234" s="153">
        <f t="shared" si="72"/>
        <v>28430</v>
      </c>
      <c r="AC234" s="155">
        <f t="shared" ca="1" si="73"/>
        <v>3.5474611378120553</v>
      </c>
    </row>
    <row r="235" spans="3:29">
      <c r="C235" s="152" t="str">
        <f>'Monthly Prices'!A223</f>
        <v>1977M12</v>
      </c>
      <c r="D235" s="153">
        <f t="shared" si="62"/>
        <v>28460</v>
      </c>
      <c r="E235" s="152">
        <f t="shared" si="63"/>
        <v>216</v>
      </c>
      <c r="F235" s="152" t="b">
        <f t="shared" si="57"/>
        <v>0</v>
      </c>
      <c r="G235" s="152" t="b">
        <f t="shared" si="58"/>
        <v>1</v>
      </c>
      <c r="H235" s="152" t="b">
        <f t="shared" si="59"/>
        <v>0</v>
      </c>
      <c r="I235" s="153" t="e">
        <f t="shared" si="60"/>
        <v>#N/A</v>
      </c>
      <c r="J235" s="158">
        <f>INDEX('Monthly Prices'!B223:CB223,$G$4)</f>
        <v>96</v>
      </c>
      <c r="K235" s="158" t="b">
        <f>IF(H235,INDEX('Monthly Prices'!B223:CB223,$G$4)*U235,FALSE)</f>
        <v>0</v>
      </c>
      <c r="L235" s="152" t="b">
        <f t="shared" si="64"/>
        <v>1</v>
      </c>
      <c r="M235" s="158">
        <f>INDEX('Monthly Prices'!B223:CB223,$G$5)</f>
        <v>50.925569640859997</v>
      </c>
      <c r="N235" s="158" t="b">
        <f>IF(H235,INDEX('Monthly Prices'!B223:CB223,$G$5)*U235,FALSE)</f>
        <v>0</v>
      </c>
      <c r="O235" s="152" t="b">
        <f t="shared" si="61"/>
        <v>1</v>
      </c>
      <c r="P235" s="152">
        <f t="shared" si="65"/>
        <v>1977</v>
      </c>
      <c r="Q235" s="159">
        <f>'Monthly Prices'!B223</f>
        <v>12.68000030518</v>
      </c>
      <c r="R235" s="159">
        <f t="shared" si="66"/>
        <v>12.565000057222496</v>
      </c>
      <c r="S235" s="155">
        <f>_xlfn.XLOOKUP(P235,'Annual Real'!A:A,'Annual Real'!B:B,0,0)</f>
        <v>27.469108493496101</v>
      </c>
      <c r="T235" s="155">
        <f t="shared" ca="1" si="67"/>
        <v>3.5297228258761697</v>
      </c>
      <c r="U235" s="152">
        <f t="shared" ca="1" si="68"/>
        <v>3.5297228258761697</v>
      </c>
      <c r="V235" s="152" t="b">
        <f t="shared" si="74"/>
        <v>0</v>
      </c>
      <c r="W235" s="152" t="b">
        <f t="shared" si="75"/>
        <v>0</v>
      </c>
      <c r="X235" s="154">
        <f>LOOKUP(D235,'US Implicit Deflator'!A:A,'US Implicit Deflator'!B:B)/100</f>
        <v>6.2E-2</v>
      </c>
      <c r="Y235" s="154">
        <f t="shared" si="69"/>
        <v>5.0254121388362272E-3</v>
      </c>
      <c r="Z235" s="165">
        <f t="shared" ca="1" si="70"/>
        <v>1.934654209517118</v>
      </c>
      <c r="AA235" s="152">
        <f t="shared" si="71"/>
        <v>7</v>
      </c>
      <c r="AB235" s="153">
        <f t="shared" si="72"/>
        <v>28460</v>
      </c>
      <c r="AC235" s="155">
        <f t="shared" ca="1" si="73"/>
        <v>3.5297228258761697</v>
      </c>
    </row>
    <row r="236" spans="3:29">
      <c r="C236" s="152" t="str">
        <f>'Monthly Prices'!A224</f>
        <v>1978M01</v>
      </c>
      <c r="D236" s="153">
        <f t="shared" si="62"/>
        <v>28491</v>
      </c>
      <c r="E236" s="152">
        <f t="shared" si="63"/>
        <v>217</v>
      </c>
      <c r="F236" s="152" t="b">
        <f t="shared" si="57"/>
        <v>0</v>
      </c>
      <c r="G236" s="152" t="b">
        <f t="shared" si="58"/>
        <v>1</v>
      </c>
      <c r="H236" s="152" t="b">
        <f t="shared" si="59"/>
        <v>0</v>
      </c>
      <c r="I236" s="153" t="e">
        <f t="shared" si="60"/>
        <v>#N/A</v>
      </c>
      <c r="J236" s="158">
        <f>INDEX('Monthly Prices'!B224:CB224,$G$4)</f>
        <v>95.8</v>
      </c>
      <c r="K236" s="158" t="b">
        <f>IF(H236,INDEX('Monthly Prices'!B224:CB224,$G$4)*U236,FALSE)</f>
        <v>0</v>
      </c>
      <c r="L236" s="152" t="b">
        <f t="shared" si="64"/>
        <v>1</v>
      </c>
      <c r="M236" s="158">
        <f>INDEX('Monthly Prices'!B224:CB224,$G$5)</f>
        <v>50.897776394520001</v>
      </c>
      <c r="N236" s="158" t="b">
        <f>IF(H236,INDEX('Monthly Prices'!B224:CB224,$G$5)*U236,FALSE)</f>
        <v>0</v>
      </c>
      <c r="O236" s="152" t="b">
        <f t="shared" si="61"/>
        <v>1</v>
      </c>
      <c r="P236" s="152">
        <f t="shared" si="65"/>
        <v>1978</v>
      </c>
      <c r="Q236" s="159">
        <f>'Monthly Prices'!B224</f>
        <v>12.659999847410001</v>
      </c>
      <c r="R236" s="159">
        <f t="shared" si="66"/>
        <v>12.916666666666666</v>
      </c>
      <c r="S236" s="155">
        <f>_xlfn.XLOOKUP(P236,'Annual Real'!A:A,'Annual Real'!B:B,0,0)</f>
        <v>24.298757367894201</v>
      </c>
      <c r="T236" s="155">
        <f t="shared" ca="1" si="67"/>
        <v>3.5126249463328092</v>
      </c>
      <c r="U236" s="152">
        <f t="shared" ca="1" si="68"/>
        <v>3.5126249463328092</v>
      </c>
      <c r="V236" s="152" t="b">
        <f t="shared" si="74"/>
        <v>0</v>
      </c>
      <c r="W236" s="152" t="b">
        <f t="shared" si="75"/>
        <v>0</v>
      </c>
      <c r="X236" s="154">
        <f>LOOKUP(D236,'US Implicit Deflator'!A:A,'US Implicit Deflator'!B:B)/100</f>
        <v>0.06</v>
      </c>
      <c r="Y236" s="154">
        <f t="shared" si="69"/>
        <v>4.8675505653430484E-3</v>
      </c>
      <c r="Z236" s="165">
        <f t="shared" ca="1" si="70"/>
        <v>1.9440712367083963</v>
      </c>
      <c r="AA236" s="152">
        <f t="shared" si="71"/>
        <v>7</v>
      </c>
      <c r="AB236" s="153">
        <f t="shared" si="72"/>
        <v>28491</v>
      </c>
      <c r="AC236" s="155">
        <f t="shared" ca="1" si="73"/>
        <v>3.5126249463328092</v>
      </c>
    </row>
    <row r="237" spans="3:29">
      <c r="C237" s="152" t="str">
        <f>'Monthly Prices'!A225</f>
        <v>1978M02</v>
      </c>
      <c r="D237" s="153">
        <f t="shared" si="62"/>
        <v>28522</v>
      </c>
      <c r="E237" s="152">
        <f t="shared" si="63"/>
        <v>218</v>
      </c>
      <c r="F237" s="152" t="b">
        <f t="shared" si="57"/>
        <v>0</v>
      </c>
      <c r="G237" s="152" t="b">
        <f t="shared" si="58"/>
        <v>1</v>
      </c>
      <c r="H237" s="152" t="b">
        <f t="shared" si="59"/>
        <v>0</v>
      </c>
      <c r="I237" s="153" t="e">
        <f t="shared" si="60"/>
        <v>#N/A</v>
      </c>
      <c r="J237" s="158">
        <f>INDEX('Monthly Prices'!B225:CB225,$G$4)</f>
        <v>101</v>
      </c>
      <c r="K237" s="158" t="b">
        <f>IF(H237,INDEX('Monthly Prices'!B225:CB225,$G$4)*U237,FALSE)</f>
        <v>0</v>
      </c>
      <c r="L237" s="152" t="b">
        <f t="shared" si="64"/>
        <v>1</v>
      </c>
      <c r="M237" s="158">
        <f>INDEX('Monthly Prices'!B225:CB225,$G$5)</f>
        <v>52.22811274979</v>
      </c>
      <c r="N237" s="158" t="b">
        <f>IF(H237,INDEX('Monthly Prices'!B225:CB225,$G$5)*U237,FALSE)</f>
        <v>0</v>
      </c>
      <c r="O237" s="152" t="b">
        <f t="shared" si="61"/>
        <v>1</v>
      </c>
      <c r="P237" s="152">
        <f t="shared" si="65"/>
        <v>1978</v>
      </c>
      <c r="Q237" s="159">
        <f>'Monthly Prices'!B225</f>
        <v>12.659999847410001</v>
      </c>
      <c r="R237" s="159">
        <f t="shared" si="66"/>
        <v>12.916666666666666</v>
      </c>
      <c r="S237" s="155">
        <f>_xlfn.XLOOKUP(P237,'Annual Real'!A:A,'Annual Real'!B:B,0,0)</f>
        <v>24.298757367894201</v>
      </c>
      <c r="T237" s="155">
        <f t="shared" ca="1" si="67"/>
        <v>3.4956098884440943</v>
      </c>
      <c r="U237" s="152">
        <f t="shared" ca="1" si="68"/>
        <v>3.4956098884440943</v>
      </c>
      <c r="V237" s="152" t="b">
        <f t="shared" si="74"/>
        <v>0</v>
      </c>
      <c r="W237" s="152" t="b">
        <f t="shared" si="75"/>
        <v>0</v>
      </c>
      <c r="X237" s="154">
        <f>LOOKUP(D237,'US Implicit Deflator'!A:A,'US Implicit Deflator'!B:B)/100</f>
        <v>0.06</v>
      </c>
      <c r="Y237" s="154">
        <f t="shared" si="69"/>
        <v>4.8675505653430484E-3</v>
      </c>
      <c r="Z237" s="165">
        <f t="shared" ca="1" si="70"/>
        <v>1.9535341017557035</v>
      </c>
      <c r="AA237" s="152">
        <f t="shared" si="71"/>
        <v>7</v>
      </c>
      <c r="AB237" s="153">
        <f t="shared" si="72"/>
        <v>28522</v>
      </c>
      <c r="AC237" s="155">
        <f t="shared" ca="1" si="73"/>
        <v>3.4956098884440943</v>
      </c>
    </row>
    <row r="238" spans="3:29">
      <c r="C238" s="152" t="str">
        <f>'Monthly Prices'!A226</f>
        <v>1978M03</v>
      </c>
      <c r="D238" s="153">
        <f t="shared" si="62"/>
        <v>28550</v>
      </c>
      <c r="E238" s="152">
        <f t="shared" si="63"/>
        <v>219</v>
      </c>
      <c r="F238" s="152" t="b">
        <f t="shared" si="57"/>
        <v>0</v>
      </c>
      <c r="G238" s="152" t="b">
        <f t="shared" si="58"/>
        <v>1</v>
      </c>
      <c r="H238" s="152" t="b">
        <f t="shared" si="59"/>
        <v>0</v>
      </c>
      <c r="I238" s="153" t="e">
        <f t="shared" si="60"/>
        <v>#N/A</v>
      </c>
      <c r="J238" s="158">
        <f>INDEX('Monthly Prices'!B226:CB226,$G$4)</f>
        <v>106.1</v>
      </c>
      <c r="K238" s="158" t="b">
        <f>IF(H238,INDEX('Monthly Prices'!B226:CB226,$G$4)*U238,FALSE)</f>
        <v>0</v>
      </c>
      <c r="L238" s="152" t="b">
        <f t="shared" si="64"/>
        <v>1</v>
      </c>
      <c r="M238" s="158">
        <f>INDEX('Monthly Prices'!B226:CB226,$G$5)</f>
        <v>54.962402221479998</v>
      </c>
      <c r="N238" s="158" t="b">
        <f>IF(H238,INDEX('Monthly Prices'!B226:CB226,$G$5)*U238,FALSE)</f>
        <v>0</v>
      </c>
      <c r="O238" s="152" t="b">
        <f t="shared" si="61"/>
        <v>1</v>
      </c>
      <c r="P238" s="152">
        <f t="shared" si="65"/>
        <v>1978</v>
      </c>
      <c r="Q238" s="159">
        <f>'Monthly Prices'!B226</f>
        <v>12.659999847410001</v>
      </c>
      <c r="R238" s="159">
        <f t="shared" si="66"/>
        <v>12.916666666666666</v>
      </c>
      <c r="S238" s="155">
        <f>_xlfn.XLOOKUP(P238,'Annual Real'!A:A,'Annual Real'!B:B,0,0)</f>
        <v>24.298757367894201</v>
      </c>
      <c r="T238" s="155">
        <f t="shared" ca="1" si="67"/>
        <v>3.4786772510242256</v>
      </c>
      <c r="U238" s="152">
        <f t="shared" ca="1" si="68"/>
        <v>3.4786772510242256</v>
      </c>
      <c r="V238" s="152" t="b">
        <f t="shared" si="74"/>
        <v>0</v>
      </c>
      <c r="W238" s="152" t="b">
        <f t="shared" si="75"/>
        <v>0</v>
      </c>
      <c r="X238" s="154">
        <f>LOOKUP(D238,'US Implicit Deflator'!A:A,'US Implicit Deflator'!B:B)/100</f>
        <v>0.06</v>
      </c>
      <c r="Y238" s="154">
        <f t="shared" si="69"/>
        <v>4.8675505653430484E-3</v>
      </c>
      <c r="Z238" s="165">
        <f t="shared" ca="1" si="70"/>
        <v>1.9630430277771214</v>
      </c>
      <c r="AA238" s="152">
        <f t="shared" si="71"/>
        <v>7</v>
      </c>
      <c r="AB238" s="153">
        <f t="shared" si="72"/>
        <v>28550</v>
      </c>
      <c r="AC238" s="155">
        <f t="shared" ca="1" si="73"/>
        <v>3.4786772510242256</v>
      </c>
    </row>
    <row r="239" spans="3:29">
      <c r="C239" s="152" t="str">
        <f>'Monthly Prices'!A227</f>
        <v>1978M04</v>
      </c>
      <c r="D239" s="153">
        <f t="shared" si="62"/>
        <v>28581</v>
      </c>
      <c r="E239" s="152">
        <f t="shared" si="63"/>
        <v>220</v>
      </c>
      <c r="F239" s="152" t="b">
        <f t="shared" si="57"/>
        <v>0</v>
      </c>
      <c r="G239" s="152" t="b">
        <f t="shared" si="58"/>
        <v>1</v>
      </c>
      <c r="H239" s="152" t="b">
        <f t="shared" si="59"/>
        <v>0</v>
      </c>
      <c r="I239" s="153" t="e">
        <f t="shared" si="60"/>
        <v>#N/A</v>
      </c>
      <c r="J239" s="158">
        <f>INDEX('Monthly Prices'!B227:CB227,$G$4)</f>
        <v>111.5</v>
      </c>
      <c r="K239" s="158" t="b">
        <f>IF(H239,INDEX('Monthly Prices'!B227:CB227,$G$4)*U239,FALSE)</f>
        <v>0</v>
      </c>
      <c r="L239" s="152" t="b">
        <f t="shared" si="64"/>
        <v>1</v>
      </c>
      <c r="M239" s="158">
        <f>INDEX('Monthly Prices'!B227:CB227,$G$5)</f>
        <v>57.357579760969998</v>
      </c>
      <c r="N239" s="158" t="b">
        <f>IF(H239,INDEX('Monthly Prices'!B227:CB227,$G$5)*U239,FALSE)</f>
        <v>0</v>
      </c>
      <c r="O239" s="152" t="b">
        <f t="shared" si="61"/>
        <v>1</v>
      </c>
      <c r="P239" s="152">
        <f t="shared" si="65"/>
        <v>1978</v>
      </c>
      <c r="Q239" s="159">
        <f>'Monthly Prices'!B227</f>
        <v>12.68000030518</v>
      </c>
      <c r="R239" s="159">
        <f t="shared" si="66"/>
        <v>12.916666666666666</v>
      </c>
      <c r="S239" s="155">
        <f>_xlfn.XLOOKUP(P239,'Annual Real'!A:A,'Annual Real'!B:B,0,0)</f>
        <v>24.298757367894201</v>
      </c>
      <c r="T239" s="155">
        <f t="shared" ca="1" si="67"/>
        <v>3.4612828780330123</v>
      </c>
      <c r="U239" s="152">
        <f t="shared" ca="1" si="68"/>
        <v>3.4612828780330123</v>
      </c>
      <c r="V239" s="152" t="b">
        <f t="shared" si="74"/>
        <v>0</v>
      </c>
      <c r="W239" s="152" t="b">
        <f t="shared" si="75"/>
        <v>0</v>
      </c>
      <c r="X239" s="154">
        <f>LOOKUP(D239,'US Implicit Deflator'!A:A,'US Implicit Deflator'!B:B)/100</f>
        <v>6.2E-2</v>
      </c>
      <c r="Y239" s="154">
        <f t="shared" si="69"/>
        <v>5.0254121388362272E-3</v>
      </c>
      <c r="Z239" s="165">
        <f t="shared" ca="1" si="70"/>
        <v>1.9729081280379703</v>
      </c>
      <c r="AA239" s="152">
        <f t="shared" si="71"/>
        <v>7</v>
      </c>
      <c r="AB239" s="153">
        <f t="shared" si="72"/>
        <v>28581</v>
      </c>
      <c r="AC239" s="155">
        <f t="shared" ca="1" si="73"/>
        <v>3.4612828780330123</v>
      </c>
    </row>
    <row r="240" spans="3:29">
      <c r="C240" s="152" t="str">
        <f>'Monthly Prices'!A228</f>
        <v>1978M05</v>
      </c>
      <c r="D240" s="153">
        <f t="shared" si="62"/>
        <v>28611</v>
      </c>
      <c r="E240" s="152">
        <f t="shared" si="63"/>
        <v>221</v>
      </c>
      <c r="F240" s="152" t="b">
        <f t="shared" si="57"/>
        <v>0</v>
      </c>
      <c r="G240" s="152" t="b">
        <f t="shared" si="58"/>
        <v>1</v>
      </c>
      <c r="H240" s="152" t="b">
        <f t="shared" si="59"/>
        <v>0</v>
      </c>
      <c r="I240" s="153" t="e">
        <f t="shared" si="60"/>
        <v>#N/A</v>
      </c>
      <c r="J240" s="158">
        <f>INDEX('Monthly Prices'!B228:CB228,$G$4)</f>
        <v>112.69</v>
      </c>
      <c r="K240" s="158" t="b">
        <f>IF(H240,INDEX('Monthly Prices'!B228:CB228,$G$4)*U240,FALSE)</f>
        <v>0</v>
      </c>
      <c r="L240" s="152" t="b">
        <f t="shared" si="64"/>
        <v>1</v>
      </c>
      <c r="M240" s="158">
        <f>INDEX('Monthly Prices'!B228:CB228,$G$5)</f>
        <v>56.383036728759997</v>
      </c>
      <c r="N240" s="158" t="b">
        <f>IF(H240,INDEX('Monthly Prices'!B228:CB228,$G$5)*U240,FALSE)</f>
        <v>0</v>
      </c>
      <c r="O240" s="152" t="b">
        <f t="shared" si="61"/>
        <v>1</v>
      </c>
      <c r="P240" s="152">
        <f t="shared" si="65"/>
        <v>1978</v>
      </c>
      <c r="Q240" s="159">
        <f>'Monthly Prices'!B228</f>
        <v>12.69999980927</v>
      </c>
      <c r="R240" s="159">
        <f t="shared" si="66"/>
        <v>12.916666666666666</v>
      </c>
      <c r="S240" s="155">
        <f>_xlfn.XLOOKUP(P240,'Annual Real'!A:A,'Annual Real'!B:B,0,0)</f>
        <v>24.298757367894201</v>
      </c>
      <c r="T240" s="155">
        <f t="shared" ca="1" si="67"/>
        <v>3.4439754818407158</v>
      </c>
      <c r="U240" s="152">
        <f t="shared" ca="1" si="68"/>
        <v>3.4439754818407158</v>
      </c>
      <c r="V240" s="152" t="b">
        <f t="shared" si="74"/>
        <v>0</v>
      </c>
      <c r="W240" s="152" t="b">
        <f t="shared" si="75"/>
        <v>0</v>
      </c>
      <c r="X240" s="154">
        <f>LOOKUP(D240,'US Implicit Deflator'!A:A,'US Implicit Deflator'!B:B)/100</f>
        <v>6.2E-2</v>
      </c>
      <c r="Y240" s="154">
        <f t="shared" si="69"/>
        <v>5.0254121388362272E-3</v>
      </c>
      <c r="Z240" s="165">
        <f t="shared" ca="1" si="70"/>
        <v>1.9828228044934211</v>
      </c>
      <c r="AA240" s="152">
        <f t="shared" si="71"/>
        <v>7</v>
      </c>
      <c r="AB240" s="153">
        <f t="shared" si="72"/>
        <v>28611</v>
      </c>
      <c r="AC240" s="155">
        <f t="shared" ca="1" si="73"/>
        <v>3.4439754818407158</v>
      </c>
    </row>
    <row r="241" spans="3:29">
      <c r="C241" s="152" t="str">
        <f>'Monthly Prices'!A229</f>
        <v>1978M06</v>
      </c>
      <c r="D241" s="153">
        <f t="shared" si="62"/>
        <v>28642</v>
      </c>
      <c r="E241" s="152">
        <f t="shared" si="63"/>
        <v>222</v>
      </c>
      <c r="F241" s="152" t="b">
        <f t="shared" si="57"/>
        <v>0</v>
      </c>
      <c r="G241" s="152" t="b">
        <f t="shared" si="58"/>
        <v>1</v>
      </c>
      <c r="H241" s="152" t="b">
        <f t="shared" si="59"/>
        <v>0</v>
      </c>
      <c r="I241" s="153" t="e">
        <f t="shared" si="60"/>
        <v>#N/A</v>
      </c>
      <c r="J241" s="158">
        <f>INDEX('Monthly Prices'!B229:CB229,$G$4)</f>
        <v>106.55</v>
      </c>
      <c r="K241" s="158" t="b">
        <f>IF(H241,INDEX('Monthly Prices'!B229:CB229,$G$4)*U241,FALSE)</f>
        <v>0</v>
      </c>
      <c r="L241" s="152" t="b">
        <f t="shared" si="64"/>
        <v>1</v>
      </c>
      <c r="M241" s="158">
        <f>INDEX('Monthly Prices'!B229:CB229,$G$5)</f>
        <v>55.76703939627</v>
      </c>
      <c r="N241" s="158" t="b">
        <f>IF(H241,INDEX('Monthly Prices'!B229:CB229,$G$5)*U241,FALSE)</f>
        <v>0</v>
      </c>
      <c r="O241" s="152" t="b">
        <f t="shared" si="61"/>
        <v>1</v>
      </c>
      <c r="P241" s="152">
        <f t="shared" si="65"/>
        <v>1978</v>
      </c>
      <c r="Q241" s="159">
        <f>'Monthly Prices'!B229</f>
        <v>12.72999954224</v>
      </c>
      <c r="R241" s="159">
        <f t="shared" si="66"/>
        <v>12.916666666666666</v>
      </c>
      <c r="S241" s="155">
        <f>_xlfn.XLOOKUP(P241,'Annual Real'!A:A,'Annual Real'!B:B,0,0)</f>
        <v>24.298757367894201</v>
      </c>
      <c r="T241" s="155">
        <f t="shared" ca="1" si="67"/>
        <v>3.4267546275386698</v>
      </c>
      <c r="U241" s="152">
        <f t="shared" ca="1" si="68"/>
        <v>3.4267546275386698</v>
      </c>
      <c r="V241" s="152" t="b">
        <f t="shared" si="74"/>
        <v>0</v>
      </c>
      <c r="W241" s="152" t="b">
        <f t="shared" si="75"/>
        <v>0</v>
      </c>
      <c r="X241" s="154">
        <f>LOOKUP(D241,'US Implicit Deflator'!A:A,'US Implicit Deflator'!B:B)/100</f>
        <v>6.2E-2</v>
      </c>
      <c r="Y241" s="154">
        <f t="shared" si="69"/>
        <v>5.0254121388362272E-3</v>
      </c>
      <c r="Z241" s="165">
        <f t="shared" ca="1" si="70"/>
        <v>1.9927873062842836</v>
      </c>
      <c r="AA241" s="152">
        <f t="shared" si="71"/>
        <v>7</v>
      </c>
      <c r="AB241" s="153">
        <f t="shared" si="72"/>
        <v>28642</v>
      </c>
      <c r="AC241" s="155">
        <f t="shared" ca="1" si="73"/>
        <v>3.4267546275386698</v>
      </c>
    </row>
    <row r="242" spans="3:29">
      <c r="C242" s="152" t="str">
        <f>'Monthly Prices'!A230</f>
        <v>1978M07</v>
      </c>
      <c r="D242" s="153">
        <f t="shared" si="62"/>
        <v>28672</v>
      </c>
      <c r="E242" s="152">
        <f t="shared" si="63"/>
        <v>223</v>
      </c>
      <c r="F242" s="152" t="b">
        <f t="shared" si="57"/>
        <v>0</v>
      </c>
      <c r="G242" s="152" t="b">
        <f t="shared" si="58"/>
        <v>1</v>
      </c>
      <c r="H242" s="152" t="b">
        <f t="shared" si="59"/>
        <v>0</v>
      </c>
      <c r="I242" s="153" t="e">
        <f t="shared" si="60"/>
        <v>#N/A</v>
      </c>
      <c r="J242" s="158">
        <f>INDEX('Monthly Prices'!B230:CB230,$G$4)</f>
        <v>97.26</v>
      </c>
      <c r="K242" s="158" t="b">
        <f>IF(H242,INDEX('Monthly Prices'!B230:CB230,$G$4)*U242,FALSE)</f>
        <v>0</v>
      </c>
      <c r="L242" s="152" t="b">
        <f t="shared" si="64"/>
        <v>1</v>
      </c>
      <c r="M242" s="158">
        <f>INDEX('Monthly Prices'!B230:CB230,$G$5)</f>
        <v>54.26825712438</v>
      </c>
      <c r="N242" s="158" t="b">
        <f>IF(H242,INDEX('Monthly Prices'!B230:CB230,$G$5)*U242,FALSE)</f>
        <v>0</v>
      </c>
      <c r="O242" s="152" t="b">
        <f t="shared" si="61"/>
        <v>1</v>
      </c>
      <c r="P242" s="152">
        <f t="shared" si="65"/>
        <v>1978</v>
      </c>
      <c r="Q242" s="159">
        <f>'Monthly Prices'!B230</f>
        <v>12.77000045776</v>
      </c>
      <c r="R242" s="159">
        <f t="shared" si="66"/>
        <v>12.916666666666666</v>
      </c>
      <c r="S242" s="155">
        <f>_xlfn.XLOOKUP(P242,'Annual Real'!A:A,'Annual Real'!B:B,0,0)</f>
        <v>24.298757367894201</v>
      </c>
      <c r="T242" s="155">
        <f t="shared" ca="1" si="67"/>
        <v>3.40801949335928</v>
      </c>
      <c r="U242" s="152">
        <f t="shared" ca="1" si="68"/>
        <v>3.40801949335928</v>
      </c>
      <c r="V242" s="152" t="b">
        <f t="shared" si="74"/>
        <v>0</v>
      </c>
      <c r="W242" s="152" t="b">
        <f t="shared" si="75"/>
        <v>0</v>
      </c>
      <c r="X242" s="154">
        <f>LOOKUP(D242,'US Implicit Deflator'!A:A,'US Implicit Deflator'!B:B)/100</f>
        <v>6.8000000000000005E-2</v>
      </c>
      <c r="Y242" s="154">
        <f t="shared" si="69"/>
        <v>5.4973670825229082E-3</v>
      </c>
      <c r="Z242" s="165">
        <f t="shared" ca="1" si="70"/>
        <v>2.0037423896243203</v>
      </c>
      <c r="AA242" s="152">
        <f t="shared" si="71"/>
        <v>7</v>
      </c>
      <c r="AB242" s="153">
        <f t="shared" si="72"/>
        <v>28672</v>
      </c>
      <c r="AC242" s="155">
        <f t="shared" ca="1" si="73"/>
        <v>3.40801949335928</v>
      </c>
    </row>
    <row r="243" spans="3:29">
      <c r="C243" s="152" t="str">
        <f>'Monthly Prices'!A231</f>
        <v>1978M08</v>
      </c>
      <c r="D243" s="153">
        <f t="shared" si="62"/>
        <v>28703</v>
      </c>
      <c r="E243" s="152">
        <f t="shared" si="63"/>
        <v>224</v>
      </c>
      <c r="F243" s="152" t="b">
        <f t="shared" si="57"/>
        <v>0</v>
      </c>
      <c r="G243" s="152" t="b">
        <f t="shared" si="58"/>
        <v>1</v>
      </c>
      <c r="H243" s="152" t="b">
        <f t="shared" si="59"/>
        <v>0</v>
      </c>
      <c r="I243" s="153" t="e">
        <f t="shared" si="60"/>
        <v>#N/A</v>
      </c>
      <c r="J243" s="158">
        <f>INDEX('Monthly Prices'!B231:CB231,$G$4)</f>
        <v>92.02</v>
      </c>
      <c r="K243" s="158" t="b">
        <f>IF(H243,INDEX('Monthly Prices'!B231:CB231,$G$4)*U243,FALSE)</f>
        <v>0</v>
      </c>
      <c r="L243" s="152" t="b">
        <f t="shared" si="64"/>
        <v>1</v>
      </c>
      <c r="M243" s="158">
        <f>INDEX('Monthly Prices'!B231:CB231,$G$5)</f>
        <v>53.398439469240003</v>
      </c>
      <c r="N243" s="158" t="b">
        <f>IF(H243,INDEX('Monthly Prices'!B231:CB231,$G$5)*U243,FALSE)</f>
        <v>0</v>
      </c>
      <c r="O243" s="152" t="b">
        <f t="shared" si="61"/>
        <v>1</v>
      </c>
      <c r="P243" s="152">
        <f t="shared" si="65"/>
        <v>1978</v>
      </c>
      <c r="Q243" s="159">
        <f>'Monthly Prices'!B231</f>
        <v>12.78999996185</v>
      </c>
      <c r="R243" s="159">
        <f t="shared" si="66"/>
        <v>12.916666666666666</v>
      </c>
      <c r="S243" s="155">
        <f>_xlfn.XLOOKUP(P243,'Annual Real'!A:A,'Annual Real'!B:B,0,0)</f>
        <v>24.298757367894201</v>
      </c>
      <c r="T243" s="155">
        <f t="shared" ca="1" si="67"/>
        <v>3.3893867899900507</v>
      </c>
      <c r="U243" s="152">
        <f t="shared" ca="1" si="68"/>
        <v>3.3893867899900507</v>
      </c>
      <c r="V243" s="152" t="b">
        <f t="shared" si="74"/>
        <v>0</v>
      </c>
      <c r="W243" s="152" t="b">
        <f t="shared" si="75"/>
        <v>0</v>
      </c>
      <c r="X243" s="154">
        <f>LOOKUP(D243,'US Implicit Deflator'!A:A,'US Implicit Deflator'!B:B)/100</f>
        <v>6.8000000000000005E-2</v>
      </c>
      <c r="Y243" s="154">
        <f t="shared" si="69"/>
        <v>5.4973670825229082E-3</v>
      </c>
      <c r="Z243" s="165">
        <f t="shared" ca="1" si="70"/>
        <v>2.0147576970788967</v>
      </c>
      <c r="AA243" s="152">
        <f t="shared" si="71"/>
        <v>7</v>
      </c>
      <c r="AB243" s="153">
        <f t="shared" si="72"/>
        <v>28703</v>
      </c>
      <c r="AC243" s="155">
        <f t="shared" ca="1" si="73"/>
        <v>3.3893867899900507</v>
      </c>
    </row>
    <row r="244" spans="3:29">
      <c r="C244" s="152" t="str">
        <f>'Monthly Prices'!A232</f>
        <v>1978M09</v>
      </c>
      <c r="D244" s="153">
        <f t="shared" si="62"/>
        <v>28734</v>
      </c>
      <c r="E244" s="152">
        <f t="shared" si="63"/>
        <v>225</v>
      </c>
      <c r="F244" s="152" t="b">
        <f t="shared" si="57"/>
        <v>0</v>
      </c>
      <c r="G244" s="152" t="b">
        <f t="shared" si="58"/>
        <v>1</v>
      </c>
      <c r="H244" s="152" t="b">
        <f t="shared" si="59"/>
        <v>0</v>
      </c>
      <c r="I244" s="153" t="e">
        <f t="shared" si="60"/>
        <v>#N/A</v>
      </c>
      <c r="J244" s="158">
        <f>INDEX('Monthly Prices'!B232:CB232,$G$4)</f>
        <v>90.99</v>
      </c>
      <c r="K244" s="158" t="b">
        <f>IF(H244,INDEX('Monthly Prices'!B232:CB232,$G$4)*U244,FALSE)</f>
        <v>0</v>
      </c>
      <c r="L244" s="152" t="b">
        <f t="shared" si="64"/>
        <v>1</v>
      </c>
      <c r="M244" s="158">
        <f>INDEX('Monthly Prices'!B232:CB232,$G$5)</f>
        <v>53.909617578979997</v>
      </c>
      <c r="N244" s="158" t="b">
        <f>IF(H244,INDEX('Monthly Prices'!B232:CB232,$G$5)*U244,FALSE)</f>
        <v>0</v>
      </c>
      <c r="O244" s="152" t="b">
        <f t="shared" si="61"/>
        <v>1</v>
      </c>
      <c r="P244" s="152">
        <f t="shared" si="65"/>
        <v>1978</v>
      </c>
      <c r="Q244" s="159">
        <f>'Monthly Prices'!B232</f>
        <v>12.80000019073</v>
      </c>
      <c r="R244" s="159">
        <f t="shared" si="66"/>
        <v>12.916666666666666</v>
      </c>
      <c r="S244" s="155">
        <f>_xlfn.XLOOKUP(P244,'Annual Real'!A:A,'Annual Real'!B:B,0,0)</f>
        <v>24.298757367894201</v>
      </c>
      <c r="T244" s="155">
        <f t="shared" ca="1" si="67"/>
        <v>3.3708559574098595</v>
      </c>
      <c r="U244" s="152">
        <f t="shared" ca="1" si="68"/>
        <v>3.3708559574098595</v>
      </c>
      <c r="V244" s="152" t="b">
        <f t="shared" si="74"/>
        <v>0</v>
      </c>
      <c r="W244" s="152" t="b">
        <f t="shared" si="75"/>
        <v>0</v>
      </c>
      <c r="X244" s="154">
        <f>LOOKUP(D244,'US Implicit Deflator'!A:A,'US Implicit Deflator'!B:B)/100</f>
        <v>6.8000000000000005E-2</v>
      </c>
      <c r="Y244" s="154">
        <f t="shared" si="69"/>
        <v>5.4973670825229082E-3</v>
      </c>
      <c r="Z244" s="165">
        <f t="shared" ca="1" si="70"/>
        <v>2.025833559722078</v>
      </c>
      <c r="AA244" s="152">
        <f t="shared" si="71"/>
        <v>7</v>
      </c>
      <c r="AB244" s="153">
        <f t="shared" si="72"/>
        <v>28734</v>
      </c>
      <c r="AC244" s="155">
        <f t="shared" ca="1" si="73"/>
        <v>3.3708559574098595</v>
      </c>
    </row>
    <row r="245" spans="3:29">
      <c r="C245" s="152" t="str">
        <f>'Monthly Prices'!A233</f>
        <v>1978M10</v>
      </c>
      <c r="D245" s="153">
        <f t="shared" si="62"/>
        <v>28764</v>
      </c>
      <c r="E245" s="152">
        <f t="shared" si="63"/>
        <v>226</v>
      </c>
      <c r="F245" s="152" t="b">
        <f t="shared" si="57"/>
        <v>0</v>
      </c>
      <c r="G245" s="152" t="b">
        <f t="shared" si="58"/>
        <v>1</v>
      </c>
      <c r="H245" s="152" t="b">
        <f t="shared" si="59"/>
        <v>0</v>
      </c>
      <c r="I245" s="153" t="e">
        <f t="shared" si="60"/>
        <v>#N/A</v>
      </c>
      <c r="J245" s="158">
        <f>INDEX('Monthly Prices'!B233:CB233,$G$4)</f>
        <v>95.94</v>
      </c>
      <c r="K245" s="158" t="b">
        <f>IF(H245,INDEX('Monthly Prices'!B233:CB233,$G$4)*U245,FALSE)</f>
        <v>0</v>
      </c>
      <c r="L245" s="152" t="b">
        <f t="shared" si="64"/>
        <v>1</v>
      </c>
      <c r="M245" s="158">
        <f>INDEX('Monthly Prices'!B233:CB233,$G$5)</f>
        <v>56.255630228199998</v>
      </c>
      <c r="N245" s="158" t="b">
        <f>IF(H245,INDEX('Monthly Prices'!B233:CB233,$G$5)*U245,FALSE)</f>
        <v>0</v>
      </c>
      <c r="O245" s="152" t="b">
        <f t="shared" si="61"/>
        <v>1</v>
      </c>
      <c r="P245" s="152">
        <f t="shared" si="65"/>
        <v>1978</v>
      </c>
      <c r="Q245" s="159">
        <f>'Monthly Prices'!B233</f>
        <v>12.85000038147</v>
      </c>
      <c r="R245" s="159">
        <f t="shared" si="66"/>
        <v>12.916666666666666</v>
      </c>
      <c r="S245" s="155">
        <f>_xlfn.XLOOKUP(P245,'Annual Real'!A:A,'Annual Real'!B:B,0,0)</f>
        <v>24.298757367894201</v>
      </c>
      <c r="T245" s="155">
        <f t="shared" ca="1" si="67"/>
        <v>3.3516428863346772</v>
      </c>
      <c r="U245" s="152">
        <f t="shared" ca="1" si="68"/>
        <v>3.3516428863346772</v>
      </c>
      <c r="V245" s="152" t="b">
        <f t="shared" si="74"/>
        <v>0</v>
      </c>
      <c r="W245" s="152" t="b">
        <f t="shared" si="75"/>
        <v>0</v>
      </c>
      <c r="X245" s="154">
        <f>LOOKUP(D245,'US Implicit Deflator'!A:A,'US Implicit Deflator'!B:B)/100</f>
        <v>7.0999999999999994E-2</v>
      </c>
      <c r="Y245" s="154">
        <f t="shared" si="69"/>
        <v>5.7324338322313206E-3</v>
      </c>
      <c r="Z245" s="165">
        <f t="shared" ca="1" si="70"/>
        <v>2.0374465165582984</v>
      </c>
      <c r="AA245" s="152">
        <f t="shared" si="71"/>
        <v>7</v>
      </c>
      <c r="AB245" s="153">
        <f t="shared" si="72"/>
        <v>28764</v>
      </c>
      <c r="AC245" s="155">
        <f t="shared" ca="1" si="73"/>
        <v>3.3516428863346772</v>
      </c>
    </row>
    <row r="246" spans="3:29">
      <c r="C246" s="152" t="str">
        <f>'Monthly Prices'!A234</f>
        <v>1978M11</v>
      </c>
      <c r="D246" s="153">
        <f t="shared" si="62"/>
        <v>28795</v>
      </c>
      <c r="E246" s="152">
        <f t="shared" si="63"/>
        <v>227</v>
      </c>
      <c r="F246" s="152" t="b">
        <f t="shared" si="57"/>
        <v>0</v>
      </c>
      <c r="G246" s="152" t="b">
        <f t="shared" si="58"/>
        <v>1</v>
      </c>
      <c r="H246" s="152" t="b">
        <f t="shared" si="59"/>
        <v>0</v>
      </c>
      <c r="I246" s="153" t="e">
        <f t="shared" si="60"/>
        <v>#N/A</v>
      </c>
      <c r="J246" s="158">
        <f>INDEX('Monthly Prices'!B234:CB234,$G$4)</f>
        <v>100.54</v>
      </c>
      <c r="K246" s="158" t="b">
        <f>IF(H246,INDEX('Monthly Prices'!B234:CB234,$G$4)*U246,FALSE)</f>
        <v>0</v>
      </c>
      <c r="L246" s="152" t="b">
        <f t="shared" si="64"/>
        <v>1</v>
      </c>
      <c r="M246" s="158">
        <f>INDEX('Monthly Prices'!B234:CB234,$G$5)</f>
        <v>57.339669778100003</v>
      </c>
      <c r="N246" s="158" t="b">
        <f>IF(H246,INDEX('Monthly Prices'!B234:CB234,$G$5)*U246,FALSE)</f>
        <v>0</v>
      </c>
      <c r="O246" s="152" t="b">
        <f t="shared" si="61"/>
        <v>1</v>
      </c>
      <c r="P246" s="152">
        <f t="shared" si="65"/>
        <v>1978</v>
      </c>
      <c r="Q246" s="159">
        <f>'Monthly Prices'!B234</f>
        <v>13.19999980927</v>
      </c>
      <c r="R246" s="159">
        <f t="shared" si="66"/>
        <v>12.916666666666666</v>
      </c>
      <c r="S246" s="155">
        <f>_xlfn.XLOOKUP(P246,'Annual Real'!A:A,'Annual Real'!B:B,0,0)</f>
        <v>24.298757367894201</v>
      </c>
      <c r="T246" s="155">
        <f t="shared" ca="1" si="67"/>
        <v>3.3325393251598894</v>
      </c>
      <c r="U246" s="152">
        <f t="shared" ca="1" si="68"/>
        <v>3.3325393251598894</v>
      </c>
      <c r="V246" s="152" t="b">
        <f t="shared" si="74"/>
        <v>0</v>
      </c>
      <c r="W246" s="152" t="b">
        <f t="shared" si="75"/>
        <v>0</v>
      </c>
      <c r="X246" s="154">
        <f>LOOKUP(D246,'US Implicit Deflator'!A:A,'US Implicit Deflator'!B:B)/100</f>
        <v>7.0999999999999994E-2</v>
      </c>
      <c r="Y246" s="154">
        <f t="shared" si="69"/>
        <v>5.7324338322313206E-3</v>
      </c>
      <c r="Z246" s="165">
        <f t="shared" ca="1" si="70"/>
        <v>2.0491260439011789</v>
      </c>
      <c r="AA246" s="152">
        <f t="shared" si="71"/>
        <v>7</v>
      </c>
      <c r="AB246" s="153">
        <f t="shared" si="72"/>
        <v>28795</v>
      </c>
      <c r="AC246" s="155">
        <f t="shared" ca="1" si="73"/>
        <v>3.3325393251598894</v>
      </c>
    </row>
    <row r="247" spans="3:29">
      <c r="C247" s="152" t="str">
        <f>'Monthly Prices'!A235</f>
        <v>1978M12</v>
      </c>
      <c r="D247" s="153">
        <f t="shared" si="62"/>
        <v>28825</v>
      </c>
      <c r="E247" s="152">
        <f t="shared" si="63"/>
        <v>228</v>
      </c>
      <c r="F247" s="152" t="b">
        <f t="shared" si="57"/>
        <v>0</v>
      </c>
      <c r="G247" s="152" t="b">
        <f t="shared" si="58"/>
        <v>1</v>
      </c>
      <c r="H247" s="152" t="b">
        <f t="shared" si="59"/>
        <v>0</v>
      </c>
      <c r="I247" s="153" t="e">
        <f t="shared" si="60"/>
        <v>#N/A</v>
      </c>
      <c r="J247" s="158">
        <f>INDEX('Monthly Prices'!B235:CB235,$G$4)</f>
        <v>98.52</v>
      </c>
      <c r="K247" s="158" t="b">
        <f>IF(H247,INDEX('Monthly Prices'!B235:CB235,$G$4)*U247,FALSE)</f>
        <v>0</v>
      </c>
      <c r="L247" s="152" t="b">
        <f t="shared" si="64"/>
        <v>1</v>
      </c>
      <c r="M247" s="158">
        <f>INDEX('Monthly Prices'!B235:CB235,$G$5)</f>
        <v>56.753164858440002</v>
      </c>
      <c r="N247" s="158" t="b">
        <f>IF(H247,INDEX('Monthly Prices'!B235:CB235,$G$5)*U247,FALSE)</f>
        <v>0</v>
      </c>
      <c r="O247" s="152" t="b">
        <f t="shared" si="61"/>
        <v>1</v>
      </c>
      <c r="P247" s="152">
        <f t="shared" si="65"/>
        <v>1978</v>
      </c>
      <c r="Q247" s="159">
        <f>'Monthly Prices'!B235</f>
        <v>14.5</v>
      </c>
      <c r="R247" s="159">
        <f t="shared" si="66"/>
        <v>12.916666666666666</v>
      </c>
      <c r="S247" s="155">
        <f>_xlfn.XLOOKUP(P247,'Annual Real'!A:A,'Annual Real'!B:B,0,0)</f>
        <v>24.298757367894201</v>
      </c>
      <c r="T247" s="155">
        <f t="shared" ca="1" si="67"/>
        <v>3.3135446497053098</v>
      </c>
      <c r="U247" s="152">
        <f t="shared" ca="1" si="68"/>
        <v>3.3135446497053098</v>
      </c>
      <c r="V247" s="152" t="b">
        <f t="shared" si="74"/>
        <v>0</v>
      </c>
      <c r="W247" s="152" t="b">
        <f t="shared" si="75"/>
        <v>0</v>
      </c>
      <c r="X247" s="154">
        <f>LOOKUP(D247,'US Implicit Deflator'!A:A,'US Implicit Deflator'!B:B)/100</f>
        <v>7.0999999999999994E-2</v>
      </c>
      <c r="Y247" s="154">
        <f t="shared" si="69"/>
        <v>5.7324338322313206E-3</v>
      </c>
      <c r="Z247" s="165">
        <f t="shared" ca="1" si="70"/>
        <v>2.0608725233617444</v>
      </c>
      <c r="AA247" s="152">
        <f t="shared" si="71"/>
        <v>7</v>
      </c>
      <c r="AB247" s="153">
        <f t="shared" si="72"/>
        <v>28825</v>
      </c>
      <c r="AC247" s="155">
        <f t="shared" ca="1" si="73"/>
        <v>3.3135446497053098</v>
      </c>
    </row>
    <row r="248" spans="3:29">
      <c r="C248" s="152" t="str">
        <f>'Monthly Prices'!A236</f>
        <v>1979M01</v>
      </c>
      <c r="D248" s="153">
        <f t="shared" si="62"/>
        <v>28856</v>
      </c>
      <c r="E248" s="152">
        <f t="shared" si="63"/>
        <v>229</v>
      </c>
      <c r="F248" s="152" t="b">
        <f t="shared" si="57"/>
        <v>0</v>
      </c>
      <c r="G248" s="152" t="b">
        <f t="shared" si="58"/>
        <v>1</v>
      </c>
      <c r="H248" s="152" t="b">
        <f t="shared" si="59"/>
        <v>0</v>
      </c>
      <c r="I248" s="153" t="e">
        <f t="shared" si="60"/>
        <v>#N/A</v>
      </c>
      <c r="J248" s="158">
        <f>INDEX('Monthly Prices'!B236:CB236,$G$4)</f>
        <v>105.41</v>
      </c>
      <c r="K248" s="158" t="b">
        <f>IF(H248,INDEX('Monthly Prices'!B236:CB236,$G$4)*U248,FALSE)</f>
        <v>0</v>
      </c>
      <c r="L248" s="152" t="b">
        <f t="shared" si="64"/>
        <v>1</v>
      </c>
      <c r="M248" s="158">
        <f>INDEX('Monthly Prices'!B236:CB236,$G$5)</f>
        <v>58.478917517089997</v>
      </c>
      <c r="N248" s="158" t="b">
        <f>IF(H248,INDEX('Monthly Prices'!B236:CB236,$G$5)*U248,FALSE)</f>
        <v>0</v>
      </c>
      <c r="O248" s="152" t="b">
        <f t="shared" si="61"/>
        <v>1</v>
      </c>
      <c r="P248" s="152">
        <f t="shared" si="65"/>
        <v>1979</v>
      </c>
      <c r="Q248" s="159">
        <f>'Monthly Prices'!B236</f>
        <v>17.4500002861</v>
      </c>
      <c r="R248" s="159">
        <f t="shared" si="66"/>
        <v>30.964583277701667</v>
      </c>
      <c r="S248" s="155">
        <f>_xlfn.XLOOKUP(P248,'Annual Real'!A:A,'Annual Real'!B:B,0,0)</f>
        <v>52.2180415234808</v>
      </c>
      <c r="T248" s="155">
        <f t="shared" ca="1" si="67"/>
        <v>3.2936348934786492</v>
      </c>
      <c r="U248" s="152">
        <f t="shared" ca="1" si="68"/>
        <v>3.2936348934786492</v>
      </c>
      <c r="V248" s="152" t="b">
        <f t="shared" si="74"/>
        <v>0</v>
      </c>
      <c r="W248" s="152" t="b">
        <f t="shared" si="75"/>
        <v>0</v>
      </c>
      <c r="X248" s="154">
        <f>LOOKUP(D248,'US Implicit Deflator'!A:A,'US Implicit Deflator'!B:B)/100</f>
        <v>7.4999999999999997E-2</v>
      </c>
      <c r="Y248" s="154">
        <f t="shared" si="69"/>
        <v>6.0449190242917172E-3</v>
      </c>
      <c r="Z248" s="165">
        <f t="shared" ca="1" si="70"/>
        <v>2.0733303308848541</v>
      </c>
      <c r="AA248" s="152">
        <f t="shared" si="71"/>
        <v>7</v>
      </c>
      <c r="AB248" s="153">
        <f t="shared" si="72"/>
        <v>28856</v>
      </c>
      <c r="AC248" s="155">
        <f t="shared" ca="1" si="73"/>
        <v>3.2936348934786492</v>
      </c>
    </row>
    <row r="249" spans="3:29">
      <c r="C249" s="152" t="str">
        <f>'Monthly Prices'!A237</f>
        <v>1979M02</v>
      </c>
      <c r="D249" s="153">
        <f t="shared" si="62"/>
        <v>28887</v>
      </c>
      <c r="E249" s="152">
        <f t="shared" si="63"/>
        <v>230</v>
      </c>
      <c r="F249" s="152" t="b">
        <f t="shared" si="57"/>
        <v>0</v>
      </c>
      <c r="G249" s="152" t="b">
        <f t="shared" si="58"/>
        <v>1</v>
      </c>
      <c r="H249" s="152" t="b">
        <f t="shared" si="59"/>
        <v>0</v>
      </c>
      <c r="I249" s="153" t="e">
        <f t="shared" si="60"/>
        <v>#N/A</v>
      </c>
      <c r="J249" s="158">
        <f>INDEX('Monthly Prices'!B237:CB237,$G$4)</f>
        <v>107.01</v>
      </c>
      <c r="K249" s="158" t="b">
        <f>IF(H249,INDEX('Monthly Prices'!B237:CB237,$G$4)*U249,FALSE)</f>
        <v>0</v>
      </c>
      <c r="L249" s="152" t="b">
        <f t="shared" si="64"/>
        <v>1</v>
      </c>
      <c r="M249" s="158">
        <f>INDEX('Monthly Prices'!B237:CB237,$G$5)</f>
        <v>59.383369616960003</v>
      </c>
      <c r="N249" s="158" t="b">
        <f>IF(H249,INDEX('Monthly Prices'!B237:CB237,$G$5)*U249,FALSE)</f>
        <v>0</v>
      </c>
      <c r="O249" s="152" t="b">
        <f t="shared" si="61"/>
        <v>1</v>
      </c>
      <c r="P249" s="152">
        <f t="shared" si="65"/>
        <v>1979</v>
      </c>
      <c r="Q249" s="159">
        <f>'Monthly Prices'!B237</f>
        <v>20.75</v>
      </c>
      <c r="R249" s="159">
        <f t="shared" si="66"/>
        <v>30.964583277701667</v>
      </c>
      <c r="S249" s="155">
        <f>_xlfn.XLOOKUP(P249,'Annual Real'!A:A,'Annual Real'!B:B,0,0)</f>
        <v>52.2180415234808</v>
      </c>
      <c r="T249" s="155">
        <f t="shared" ca="1" si="67"/>
        <v>3.273844766964249</v>
      </c>
      <c r="U249" s="152">
        <f t="shared" ca="1" si="68"/>
        <v>3.273844766964249</v>
      </c>
      <c r="V249" s="152" t="b">
        <f t="shared" si="74"/>
        <v>0</v>
      </c>
      <c r="W249" s="152" t="b">
        <f t="shared" si="75"/>
        <v>0</v>
      </c>
      <c r="X249" s="154">
        <f>LOOKUP(D249,'US Implicit Deflator'!A:A,'US Implicit Deflator'!B:B)/100</f>
        <v>7.4999999999999997E-2</v>
      </c>
      <c r="Y249" s="154">
        <f t="shared" si="69"/>
        <v>6.0449190242917172E-3</v>
      </c>
      <c r="Z249" s="165">
        <f t="shared" ca="1" si="70"/>
        <v>2.085863444845661</v>
      </c>
      <c r="AA249" s="152">
        <f t="shared" si="71"/>
        <v>7</v>
      </c>
      <c r="AB249" s="153">
        <f t="shared" si="72"/>
        <v>28887</v>
      </c>
      <c r="AC249" s="155">
        <f t="shared" ca="1" si="73"/>
        <v>3.273844766964249</v>
      </c>
    </row>
    <row r="250" spans="3:29">
      <c r="C250" s="152" t="str">
        <f>'Monthly Prices'!A238</f>
        <v>1979M03</v>
      </c>
      <c r="D250" s="153">
        <f t="shared" si="62"/>
        <v>28915</v>
      </c>
      <c r="E250" s="152">
        <f t="shared" si="63"/>
        <v>231</v>
      </c>
      <c r="F250" s="152" t="b">
        <f t="shared" si="57"/>
        <v>0</v>
      </c>
      <c r="G250" s="152" t="b">
        <f t="shared" si="58"/>
        <v>1</v>
      </c>
      <c r="H250" s="152" t="b">
        <f t="shared" si="59"/>
        <v>0</v>
      </c>
      <c r="I250" s="153" t="e">
        <f t="shared" si="60"/>
        <v>#N/A</v>
      </c>
      <c r="J250" s="158">
        <f>INDEX('Monthly Prices'!B238:CB238,$G$4)</f>
        <v>109.52</v>
      </c>
      <c r="K250" s="158" t="b">
        <f>IF(H250,INDEX('Monthly Prices'!B238:CB238,$G$4)*U250,FALSE)</f>
        <v>0</v>
      </c>
      <c r="L250" s="152" t="b">
        <f t="shared" si="64"/>
        <v>1</v>
      </c>
      <c r="M250" s="158">
        <f>INDEX('Monthly Prices'!B238:CB238,$G$5)</f>
        <v>59.888147720159999</v>
      </c>
      <c r="N250" s="158" t="b">
        <f>IF(H250,INDEX('Monthly Prices'!B238:CB238,$G$5)*U250,FALSE)</f>
        <v>0</v>
      </c>
      <c r="O250" s="152" t="b">
        <f t="shared" si="61"/>
        <v>1</v>
      </c>
      <c r="P250" s="152">
        <f t="shared" si="65"/>
        <v>1979</v>
      </c>
      <c r="Q250" s="159">
        <f>'Monthly Prices'!B238</f>
        <v>22.02499961853</v>
      </c>
      <c r="R250" s="159">
        <f t="shared" si="66"/>
        <v>30.964583277701667</v>
      </c>
      <c r="S250" s="155">
        <f>_xlfn.XLOOKUP(P250,'Annual Real'!A:A,'Annual Real'!B:B,0,0)</f>
        <v>52.2180415234808</v>
      </c>
      <c r="T250" s="155">
        <f t="shared" ca="1" si="67"/>
        <v>3.2541735513553145</v>
      </c>
      <c r="U250" s="152">
        <f t="shared" ca="1" si="68"/>
        <v>3.2541735513553145</v>
      </c>
      <c r="V250" s="152" t="b">
        <f t="shared" si="74"/>
        <v>0</v>
      </c>
      <c r="W250" s="152" t="b">
        <f t="shared" si="75"/>
        <v>0</v>
      </c>
      <c r="X250" s="154">
        <f>LOOKUP(D250,'US Implicit Deflator'!A:A,'US Implicit Deflator'!B:B)/100</f>
        <v>7.4999999999999997E-2</v>
      </c>
      <c r="Y250" s="154">
        <f t="shared" si="69"/>
        <v>6.0449190242917172E-3</v>
      </c>
      <c r="Z250" s="165">
        <f t="shared" ca="1" si="70"/>
        <v>2.0984723204654832</v>
      </c>
      <c r="AA250" s="152">
        <f t="shared" si="71"/>
        <v>7</v>
      </c>
      <c r="AB250" s="153">
        <f t="shared" si="72"/>
        <v>28915</v>
      </c>
      <c r="AC250" s="155">
        <f t="shared" ca="1" si="73"/>
        <v>3.2541735513553145</v>
      </c>
    </row>
    <row r="251" spans="3:29">
      <c r="C251" s="152" t="str">
        <f>'Monthly Prices'!A239</f>
        <v>1979M04</v>
      </c>
      <c r="D251" s="153">
        <f t="shared" si="62"/>
        <v>28946</v>
      </c>
      <c r="E251" s="152">
        <f t="shared" si="63"/>
        <v>232</v>
      </c>
      <c r="F251" s="152" t="b">
        <f t="shared" si="57"/>
        <v>0</v>
      </c>
      <c r="G251" s="152" t="b">
        <f t="shared" si="58"/>
        <v>1</v>
      </c>
      <c r="H251" s="152" t="b">
        <f t="shared" si="59"/>
        <v>0</v>
      </c>
      <c r="I251" s="153" t="e">
        <f t="shared" si="60"/>
        <v>#N/A</v>
      </c>
      <c r="J251" s="158">
        <f>INDEX('Monthly Prices'!B239:CB239,$G$4)</f>
        <v>111.49</v>
      </c>
      <c r="K251" s="158" t="b">
        <f>IF(H251,INDEX('Monthly Prices'!B239:CB239,$G$4)*U251,FALSE)</f>
        <v>0</v>
      </c>
      <c r="L251" s="152" t="b">
        <f t="shared" si="64"/>
        <v>1</v>
      </c>
      <c r="M251" s="158">
        <f>INDEX('Monthly Prices'!B239:CB239,$G$5)</f>
        <v>60.358503611080003</v>
      </c>
      <c r="N251" s="158" t="b">
        <f>IF(H251,INDEX('Monthly Prices'!B239:CB239,$G$5)*U251,FALSE)</f>
        <v>0</v>
      </c>
      <c r="O251" s="152" t="b">
        <f t="shared" si="61"/>
        <v>1</v>
      </c>
      <c r="P251" s="152">
        <f t="shared" si="65"/>
        <v>1979</v>
      </c>
      <c r="Q251" s="159">
        <f>'Monthly Prices'!B239</f>
        <v>22.42500019073</v>
      </c>
      <c r="R251" s="159">
        <f t="shared" si="66"/>
        <v>30.964583277701667</v>
      </c>
      <c r="S251" s="155">
        <f>_xlfn.XLOOKUP(P251,'Annual Real'!A:A,'Annual Real'!B:B,0,0)</f>
        <v>52.2180415234808</v>
      </c>
      <c r="T251" s="155">
        <f t="shared" ca="1" si="67"/>
        <v>3.2318775085429974</v>
      </c>
      <c r="U251" s="152">
        <f t="shared" ca="1" si="68"/>
        <v>3.2318775085429974</v>
      </c>
      <c r="V251" s="152" t="b">
        <f t="shared" si="74"/>
        <v>0</v>
      </c>
      <c r="W251" s="152" t="b">
        <f t="shared" si="75"/>
        <v>0</v>
      </c>
      <c r="X251" s="154">
        <f>LOOKUP(D251,'US Implicit Deflator'!A:A,'US Implicit Deflator'!B:B)/100</f>
        <v>8.5999999999999993E-2</v>
      </c>
      <c r="Y251" s="154">
        <f t="shared" si="69"/>
        <v>6.8987895591279269E-3</v>
      </c>
      <c r="Z251" s="165">
        <f t="shared" ca="1" si="70"/>
        <v>2.1129492394000295</v>
      </c>
      <c r="AA251" s="152">
        <f t="shared" si="71"/>
        <v>7</v>
      </c>
      <c r="AB251" s="153">
        <f t="shared" si="72"/>
        <v>28946</v>
      </c>
      <c r="AC251" s="155">
        <f t="shared" ca="1" si="73"/>
        <v>3.2318775085429974</v>
      </c>
    </row>
    <row r="252" spans="3:29">
      <c r="C252" s="152" t="str">
        <f>'Monthly Prices'!A240</f>
        <v>1979M05</v>
      </c>
      <c r="D252" s="153">
        <f t="shared" si="62"/>
        <v>28976</v>
      </c>
      <c r="E252" s="152">
        <f t="shared" si="63"/>
        <v>233</v>
      </c>
      <c r="F252" s="152" t="b">
        <f t="shared" si="57"/>
        <v>0</v>
      </c>
      <c r="G252" s="152" t="b">
        <f t="shared" si="58"/>
        <v>1</v>
      </c>
      <c r="H252" s="152" t="b">
        <f t="shared" si="59"/>
        <v>0</v>
      </c>
      <c r="I252" s="153" t="e">
        <f t="shared" si="60"/>
        <v>#N/A</v>
      </c>
      <c r="J252" s="158">
        <f>INDEX('Monthly Prices'!B240:CB240,$G$4)</f>
        <v>112.57</v>
      </c>
      <c r="K252" s="158" t="b">
        <f>IF(H252,INDEX('Monthly Prices'!B240:CB240,$G$4)*U252,FALSE)</f>
        <v>0</v>
      </c>
      <c r="L252" s="152" t="b">
        <f t="shared" si="64"/>
        <v>1</v>
      </c>
      <c r="M252" s="158">
        <f>INDEX('Monthly Prices'!B240:CB240,$G$5)</f>
        <v>61.314589436790001</v>
      </c>
      <c r="N252" s="158" t="b">
        <f>IF(H252,INDEX('Monthly Prices'!B240:CB240,$G$5)*U252,FALSE)</f>
        <v>0</v>
      </c>
      <c r="O252" s="152" t="b">
        <f t="shared" si="61"/>
        <v>1</v>
      </c>
      <c r="P252" s="152">
        <f t="shared" si="65"/>
        <v>1979</v>
      </c>
      <c r="Q252" s="159">
        <f>'Monthly Prices'!B240</f>
        <v>33.5</v>
      </c>
      <c r="R252" s="159">
        <f t="shared" si="66"/>
        <v>30.964583277701667</v>
      </c>
      <c r="S252" s="155">
        <f>_xlfn.XLOOKUP(P252,'Annual Real'!A:A,'Annual Real'!B:B,0,0)</f>
        <v>52.2180415234808</v>
      </c>
      <c r="T252" s="155">
        <f t="shared" ca="1" si="67"/>
        <v>3.2097342275662877</v>
      </c>
      <c r="U252" s="152">
        <f t="shared" ca="1" si="68"/>
        <v>3.2097342275662877</v>
      </c>
      <c r="V252" s="152" t="b">
        <f t="shared" si="74"/>
        <v>0</v>
      </c>
      <c r="W252" s="152" t="b">
        <f t="shared" si="75"/>
        <v>0</v>
      </c>
      <c r="X252" s="154">
        <f>LOOKUP(D252,'US Implicit Deflator'!A:A,'US Implicit Deflator'!B:B)/100</f>
        <v>8.5999999999999993E-2</v>
      </c>
      <c r="Y252" s="154">
        <f t="shared" si="69"/>
        <v>6.8987895591279269E-3</v>
      </c>
      <c r="Z252" s="165">
        <f t="shared" ca="1" si="70"/>
        <v>2.1275260315517697</v>
      </c>
      <c r="AA252" s="152">
        <f t="shared" si="71"/>
        <v>7</v>
      </c>
      <c r="AB252" s="153">
        <f t="shared" si="72"/>
        <v>28976</v>
      </c>
      <c r="AC252" s="155">
        <f t="shared" ca="1" si="73"/>
        <v>3.2097342275662877</v>
      </c>
    </row>
    <row r="253" spans="3:29">
      <c r="C253" s="152" t="str">
        <f>'Monthly Prices'!A241</f>
        <v>1979M06</v>
      </c>
      <c r="D253" s="153">
        <f t="shared" si="62"/>
        <v>29007</v>
      </c>
      <c r="E253" s="152">
        <f t="shared" si="63"/>
        <v>234</v>
      </c>
      <c r="F253" s="152" t="b">
        <f t="shared" si="57"/>
        <v>0</v>
      </c>
      <c r="G253" s="152" t="b">
        <f t="shared" si="58"/>
        <v>1</v>
      </c>
      <c r="H253" s="152" t="b">
        <f t="shared" si="59"/>
        <v>0</v>
      </c>
      <c r="I253" s="153" t="e">
        <f t="shared" si="60"/>
        <v>#N/A</v>
      </c>
      <c r="J253" s="158">
        <f>INDEX('Monthly Prices'!B241:CB241,$G$4)</f>
        <v>120.35</v>
      </c>
      <c r="K253" s="158" t="b">
        <f>IF(H253,INDEX('Monthly Prices'!B241:CB241,$G$4)*U253,FALSE)</f>
        <v>0</v>
      </c>
      <c r="L253" s="152" t="b">
        <f t="shared" si="64"/>
        <v>1</v>
      </c>
      <c r="M253" s="158">
        <f>INDEX('Monthly Prices'!B241:CB241,$G$5)</f>
        <v>67.595387991999999</v>
      </c>
      <c r="N253" s="158" t="b">
        <f>IF(H253,INDEX('Monthly Prices'!B241:CB241,$G$5)*U253,FALSE)</f>
        <v>0</v>
      </c>
      <c r="O253" s="152" t="b">
        <f t="shared" si="61"/>
        <v>1</v>
      </c>
      <c r="P253" s="152">
        <f t="shared" si="65"/>
        <v>1979</v>
      </c>
      <c r="Q253" s="159">
        <f>'Monthly Prices'!B241</f>
        <v>34.67499923706</v>
      </c>
      <c r="R253" s="159">
        <f t="shared" si="66"/>
        <v>30.964583277701667</v>
      </c>
      <c r="S253" s="155">
        <f>_xlfn.XLOOKUP(P253,'Annual Real'!A:A,'Annual Real'!B:B,0,0)</f>
        <v>52.2180415234808</v>
      </c>
      <c r="T253" s="155">
        <f t="shared" ca="1" si="67"/>
        <v>3.1877426617740543</v>
      </c>
      <c r="U253" s="152">
        <f t="shared" ca="1" si="68"/>
        <v>3.1877426617740543</v>
      </c>
      <c r="V253" s="152" t="b">
        <f t="shared" si="74"/>
        <v>0</v>
      </c>
      <c r="W253" s="152" t="b">
        <f t="shared" si="75"/>
        <v>0</v>
      </c>
      <c r="X253" s="154">
        <f>LOOKUP(D253,'US Implicit Deflator'!A:A,'US Implicit Deflator'!B:B)/100</f>
        <v>8.5999999999999993E-2</v>
      </c>
      <c r="Y253" s="154">
        <f t="shared" si="69"/>
        <v>6.8987895591279269E-3</v>
      </c>
      <c r="Z253" s="165">
        <f t="shared" ca="1" si="70"/>
        <v>2.1422033859250118</v>
      </c>
      <c r="AA253" s="152">
        <f t="shared" si="71"/>
        <v>7</v>
      </c>
      <c r="AB253" s="153">
        <f t="shared" si="72"/>
        <v>29007</v>
      </c>
      <c r="AC253" s="155">
        <f t="shared" ca="1" si="73"/>
        <v>3.1877426617740543</v>
      </c>
    </row>
    <row r="254" spans="3:29">
      <c r="C254" s="152" t="str">
        <f>'Monthly Prices'!A242</f>
        <v>1979M07</v>
      </c>
      <c r="D254" s="153">
        <f t="shared" si="62"/>
        <v>29037</v>
      </c>
      <c r="E254" s="152">
        <f t="shared" si="63"/>
        <v>235</v>
      </c>
      <c r="F254" s="152" t="b">
        <f t="shared" si="57"/>
        <v>0</v>
      </c>
      <c r="G254" s="152" t="b">
        <f t="shared" si="58"/>
        <v>1</v>
      </c>
      <c r="H254" s="152" t="b">
        <f t="shared" si="59"/>
        <v>0</v>
      </c>
      <c r="I254" s="153" t="e">
        <f t="shared" si="60"/>
        <v>#N/A</v>
      </c>
      <c r="J254" s="158">
        <f>INDEX('Monthly Prices'!B242:CB242,$G$4)</f>
        <v>130.51</v>
      </c>
      <c r="K254" s="158" t="b">
        <f>IF(H254,INDEX('Monthly Prices'!B242:CB242,$G$4)*U254,FALSE)</f>
        <v>0</v>
      </c>
      <c r="L254" s="152" t="b">
        <f t="shared" si="64"/>
        <v>1</v>
      </c>
      <c r="M254" s="158">
        <f>INDEX('Monthly Prices'!B242:CB242,$G$5)</f>
        <v>70.876565127449993</v>
      </c>
      <c r="N254" s="158" t="b">
        <f>IF(H254,INDEX('Monthly Prices'!B242:CB242,$G$5)*U254,FALSE)</f>
        <v>0</v>
      </c>
      <c r="O254" s="152" t="b">
        <f t="shared" si="61"/>
        <v>1</v>
      </c>
      <c r="P254" s="152">
        <f t="shared" si="65"/>
        <v>1979</v>
      </c>
      <c r="Q254" s="159">
        <f>'Monthly Prices'!B242</f>
        <v>33.5</v>
      </c>
      <c r="R254" s="159">
        <f t="shared" si="66"/>
        <v>30.964583277701667</v>
      </c>
      <c r="S254" s="155">
        <f>_xlfn.XLOOKUP(P254,'Annual Real'!A:A,'Annual Real'!B:B,0,0)</f>
        <v>52.2180415234808</v>
      </c>
      <c r="T254" s="155">
        <f t="shared" ca="1" si="67"/>
        <v>3.1654163899065493</v>
      </c>
      <c r="U254" s="152">
        <f t="shared" ca="1" si="68"/>
        <v>3.1654163899065493</v>
      </c>
      <c r="V254" s="152" t="b">
        <f t="shared" si="74"/>
        <v>0</v>
      </c>
      <c r="W254" s="152" t="b">
        <f t="shared" si="75"/>
        <v>0</v>
      </c>
      <c r="X254" s="154">
        <f>LOOKUP(D254,'US Implicit Deflator'!A:A,'US Implicit Deflator'!B:B)/100</f>
        <v>8.8000000000000009E-2</v>
      </c>
      <c r="Y254" s="154">
        <f t="shared" si="69"/>
        <v>7.0531864113345666E-3</v>
      </c>
      <c r="Z254" s="165">
        <f t="shared" ca="1" si="70"/>
        <v>2.1573127457369332</v>
      </c>
      <c r="AA254" s="152">
        <f t="shared" si="71"/>
        <v>7</v>
      </c>
      <c r="AB254" s="153">
        <f t="shared" si="72"/>
        <v>29037</v>
      </c>
      <c r="AC254" s="155">
        <f t="shared" ca="1" si="73"/>
        <v>3.1654163899065493</v>
      </c>
    </row>
    <row r="255" spans="3:29">
      <c r="C255" s="152" t="str">
        <f>'Monthly Prices'!A243</f>
        <v>1979M08</v>
      </c>
      <c r="D255" s="153">
        <f t="shared" si="62"/>
        <v>29068</v>
      </c>
      <c r="E255" s="152">
        <f t="shared" si="63"/>
        <v>236</v>
      </c>
      <c r="F255" s="152" t="b">
        <f t="shared" si="57"/>
        <v>0</v>
      </c>
      <c r="G255" s="152" t="b">
        <f t="shared" si="58"/>
        <v>1</v>
      </c>
      <c r="H255" s="152" t="b">
        <f t="shared" si="59"/>
        <v>0</v>
      </c>
      <c r="I255" s="153" t="e">
        <f t="shared" si="60"/>
        <v>#N/A</v>
      </c>
      <c r="J255" s="158">
        <f>INDEX('Monthly Prices'!B243:CB243,$G$4)</f>
        <v>118.85</v>
      </c>
      <c r="K255" s="158" t="b">
        <f>IF(H255,INDEX('Monthly Prices'!B243:CB243,$G$4)*U255,FALSE)</f>
        <v>0</v>
      </c>
      <c r="L255" s="152" t="b">
        <f t="shared" si="64"/>
        <v>1</v>
      </c>
      <c r="M255" s="158">
        <f>INDEX('Monthly Prices'!B243:CB243,$G$5)</f>
        <v>67.729138250250003</v>
      </c>
      <c r="N255" s="158" t="b">
        <f>IF(H255,INDEX('Monthly Prices'!B243:CB243,$G$5)*U255,FALSE)</f>
        <v>0</v>
      </c>
      <c r="O255" s="152" t="b">
        <f t="shared" si="61"/>
        <v>1</v>
      </c>
      <c r="P255" s="152">
        <f t="shared" si="65"/>
        <v>1979</v>
      </c>
      <c r="Q255" s="159">
        <f>'Monthly Prices'!B243</f>
        <v>34</v>
      </c>
      <c r="R255" s="159">
        <f t="shared" si="66"/>
        <v>30.964583277701667</v>
      </c>
      <c r="S255" s="155">
        <f>_xlfn.XLOOKUP(P255,'Annual Real'!A:A,'Annual Real'!B:B,0,0)</f>
        <v>52.2180415234808</v>
      </c>
      <c r="T255" s="155">
        <f t="shared" ca="1" si="67"/>
        <v>3.1432464865004888</v>
      </c>
      <c r="U255" s="152">
        <f t="shared" ca="1" si="68"/>
        <v>3.1432464865004888</v>
      </c>
      <c r="V255" s="152" t="b">
        <f t="shared" si="74"/>
        <v>0</v>
      </c>
      <c r="W255" s="152" t="b">
        <f t="shared" si="75"/>
        <v>0</v>
      </c>
      <c r="X255" s="154">
        <f>LOOKUP(D255,'US Implicit Deflator'!A:A,'US Implicit Deflator'!B:B)/100</f>
        <v>8.8000000000000009E-2</v>
      </c>
      <c r="Y255" s="154">
        <f t="shared" si="69"/>
        <v>7.0531864113345666E-3</v>
      </c>
      <c r="Z255" s="165">
        <f t="shared" ca="1" si="70"/>
        <v>2.172528674680164</v>
      </c>
      <c r="AA255" s="152">
        <f t="shared" si="71"/>
        <v>7</v>
      </c>
      <c r="AB255" s="153">
        <f t="shared" si="72"/>
        <v>29068</v>
      </c>
      <c r="AC255" s="155">
        <f t="shared" ca="1" si="73"/>
        <v>3.1432464865004888</v>
      </c>
    </row>
    <row r="256" spans="3:29">
      <c r="C256" s="152" t="str">
        <f>'Monthly Prices'!A244</f>
        <v>1979M09</v>
      </c>
      <c r="D256" s="153">
        <f t="shared" si="62"/>
        <v>29099</v>
      </c>
      <c r="E256" s="152">
        <f t="shared" si="63"/>
        <v>237</v>
      </c>
      <c r="F256" s="152" t="b">
        <f t="shared" si="57"/>
        <v>0</v>
      </c>
      <c r="G256" s="152" t="b">
        <f t="shared" si="58"/>
        <v>1</v>
      </c>
      <c r="H256" s="152" t="b">
        <f t="shared" si="59"/>
        <v>0</v>
      </c>
      <c r="I256" s="153" t="e">
        <f t="shared" si="60"/>
        <v>#N/A</v>
      </c>
      <c r="J256" s="158">
        <f>INDEX('Monthly Prices'!B244:CB244,$G$4)</f>
        <v>117.96</v>
      </c>
      <c r="K256" s="158" t="b">
        <f>IF(H256,INDEX('Monthly Prices'!B244:CB244,$G$4)*U256,FALSE)</f>
        <v>0</v>
      </c>
      <c r="L256" s="152" t="b">
        <f t="shared" si="64"/>
        <v>1</v>
      </c>
      <c r="M256" s="158">
        <f>INDEX('Monthly Prices'!B244:CB244,$G$5)</f>
        <v>68.602088674279997</v>
      </c>
      <c r="N256" s="158" t="b">
        <f>IF(H256,INDEX('Monthly Prices'!B244:CB244,$G$5)*U256,FALSE)</f>
        <v>0</v>
      </c>
      <c r="O256" s="152" t="b">
        <f t="shared" si="61"/>
        <v>1</v>
      </c>
      <c r="P256" s="152">
        <f t="shared" si="65"/>
        <v>1979</v>
      </c>
      <c r="Q256" s="159">
        <f>'Monthly Prices'!B244</f>
        <v>35.5</v>
      </c>
      <c r="R256" s="159">
        <f t="shared" si="66"/>
        <v>30.964583277701667</v>
      </c>
      <c r="S256" s="155">
        <f>_xlfn.XLOOKUP(P256,'Annual Real'!A:A,'Annual Real'!B:B,0,0)</f>
        <v>52.2180415234808</v>
      </c>
      <c r="T256" s="155">
        <f t="shared" ca="1" si="67"/>
        <v>3.1212318563844139</v>
      </c>
      <c r="U256" s="152">
        <f t="shared" ca="1" si="68"/>
        <v>3.1212318563844139</v>
      </c>
      <c r="V256" s="152" t="b">
        <f t="shared" si="74"/>
        <v>0</v>
      </c>
      <c r="W256" s="152" t="b">
        <f t="shared" si="75"/>
        <v>0</v>
      </c>
      <c r="X256" s="154">
        <f>LOOKUP(D256,'US Implicit Deflator'!A:A,'US Implicit Deflator'!B:B)/100</f>
        <v>8.8000000000000009E-2</v>
      </c>
      <c r="Y256" s="154">
        <f t="shared" si="69"/>
        <v>7.0531864113345666E-3</v>
      </c>
      <c r="Z256" s="165">
        <f t="shared" ca="1" si="70"/>
        <v>2.1878519244066528</v>
      </c>
      <c r="AA256" s="152">
        <f t="shared" si="71"/>
        <v>7</v>
      </c>
      <c r="AB256" s="153">
        <f t="shared" si="72"/>
        <v>29099</v>
      </c>
      <c r="AC256" s="155">
        <f t="shared" ca="1" si="73"/>
        <v>3.1212318563844139</v>
      </c>
    </row>
    <row r="257" spans="3:29">
      <c r="C257" s="152" t="str">
        <f>'Monthly Prices'!A245</f>
        <v>1979M10</v>
      </c>
      <c r="D257" s="153">
        <f t="shared" si="62"/>
        <v>29129</v>
      </c>
      <c r="E257" s="152">
        <f t="shared" si="63"/>
        <v>238</v>
      </c>
      <c r="F257" s="152" t="b">
        <f t="shared" si="57"/>
        <v>0</v>
      </c>
      <c r="G257" s="152" t="b">
        <f t="shared" si="58"/>
        <v>1</v>
      </c>
      <c r="H257" s="152" t="b">
        <f t="shared" si="59"/>
        <v>0</v>
      </c>
      <c r="I257" s="153" t="e">
        <f t="shared" si="60"/>
        <v>#N/A</v>
      </c>
      <c r="J257" s="158">
        <f>INDEX('Monthly Prices'!B245:CB245,$G$4)</f>
        <v>119.1</v>
      </c>
      <c r="K257" s="158" t="b">
        <f>IF(H257,INDEX('Monthly Prices'!B245:CB245,$G$4)*U257,FALSE)</f>
        <v>0</v>
      </c>
      <c r="L257" s="152" t="b">
        <f t="shared" si="64"/>
        <v>1</v>
      </c>
      <c r="M257" s="158">
        <f>INDEX('Monthly Prices'!B245:CB245,$G$5)</f>
        <v>69.676025685940004</v>
      </c>
      <c r="N257" s="158" t="b">
        <f>IF(H257,INDEX('Monthly Prices'!B245:CB245,$G$5)*U257,FALSE)</f>
        <v>0</v>
      </c>
      <c r="O257" s="152" t="b">
        <f t="shared" si="61"/>
        <v>1</v>
      </c>
      <c r="P257" s="152">
        <f t="shared" si="65"/>
        <v>1979</v>
      </c>
      <c r="Q257" s="159">
        <f>'Monthly Prices'!B245</f>
        <v>37.25</v>
      </c>
      <c r="R257" s="159">
        <f t="shared" si="66"/>
        <v>30.964583277701667</v>
      </c>
      <c r="S257" s="155">
        <f>_xlfn.XLOOKUP(P257,'Annual Real'!A:A,'Annual Real'!B:B,0,0)</f>
        <v>52.2180415234808</v>
      </c>
      <c r="T257" s="155">
        <f t="shared" ca="1" si="67"/>
        <v>3.09960892089885</v>
      </c>
      <c r="U257" s="152">
        <f t="shared" ca="1" si="68"/>
        <v>3.09960892089885</v>
      </c>
      <c r="V257" s="152" t="b">
        <f t="shared" si="74"/>
        <v>0</v>
      </c>
      <c r="W257" s="152" t="b">
        <f t="shared" si="75"/>
        <v>0</v>
      </c>
      <c r="X257" s="154">
        <f>LOOKUP(D257,'US Implicit Deflator'!A:A,'US Implicit Deflator'!B:B)/100</f>
        <v>8.6999999999999994E-2</v>
      </c>
      <c r="Y257" s="154">
        <f t="shared" si="69"/>
        <v>6.9760205359368221E-3</v>
      </c>
      <c r="Z257" s="165">
        <f t="shared" ca="1" si="70"/>
        <v>2.2031144243609027</v>
      </c>
      <c r="AA257" s="152">
        <f t="shared" si="71"/>
        <v>7</v>
      </c>
      <c r="AB257" s="153">
        <f t="shared" si="72"/>
        <v>29129</v>
      </c>
      <c r="AC257" s="155">
        <f t="shared" ca="1" si="73"/>
        <v>3.09960892089885</v>
      </c>
    </row>
    <row r="258" spans="3:29">
      <c r="C258" s="152" t="str">
        <f>'Monthly Prices'!A246</f>
        <v>1979M11</v>
      </c>
      <c r="D258" s="153">
        <f t="shared" si="62"/>
        <v>29160</v>
      </c>
      <c r="E258" s="152">
        <f t="shared" si="63"/>
        <v>239</v>
      </c>
      <c r="F258" s="152" t="b">
        <f t="shared" si="57"/>
        <v>0</v>
      </c>
      <c r="G258" s="152" t="b">
        <f t="shared" si="58"/>
        <v>1</v>
      </c>
      <c r="H258" s="152" t="b">
        <f t="shared" si="59"/>
        <v>0</v>
      </c>
      <c r="I258" s="153" t="e">
        <f t="shared" si="60"/>
        <v>#N/A</v>
      </c>
      <c r="J258" s="158">
        <f>INDEX('Monthly Prices'!B246:CB246,$G$4)</f>
        <v>118.2</v>
      </c>
      <c r="K258" s="158" t="b">
        <f>IF(H258,INDEX('Monthly Prices'!B246:CB246,$G$4)*U258,FALSE)</f>
        <v>0</v>
      </c>
      <c r="L258" s="152" t="b">
        <f t="shared" si="64"/>
        <v>1</v>
      </c>
      <c r="M258" s="158">
        <f>INDEX('Monthly Prices'!B246:CB246,$G$5)</f>
        <v>69.608873587310001</v>
      </c>
      <c r="N258" s="158" t="b">
        <f>IF(H258,INDEX('Monthly Prices'!B246:CB246,$G$5)*U258,FALSE)</f>
        <v>0</v>
      </c>
      <c r="O258" s="152" t="b">
        <f t="shared" si="61"/>
        <v>1</v>
      </c>
      <c r="P258" s="152">
        <f t="shared" si="65"/>
        <v>1979</v>
      </c>
      <c r="Q258" s="159">
        <f>'Monthly Prices'!B246</f>
        <v>40.75</v>
      </c>
      <c r="R258" s="159">
        <f t="shared" si="66"/>
        <v>30.964583277701667</v>
      </c>
      <c r="S258" s="155">
        <f>_xlfn.XLOOKUP(P258,'Annual Real'!A:A,'Annual Real'!B:B,0,0)</f>
        <v>52.2180415234808</v>
      </c>
      <c r="T258" s="155">
        <f t="shared" ca="1" si="67"/>
        <v>3.0781357824679518</v>
      </c>
      <c r="U258" s="152">
        <f t="shared" ca="1" si="68"/>
        <v>3.0781357824679518</v>
      </c>
      <c r="V258" s="152" t="b">
        <f t="shared" si="74"/>
        <v>0</v>
      </c>
      <c r="W258" s="152" t="b">
        <f t="shared" si="75"/>
        <v>0</v>
      </c>
      <c r="X258" s="154">
        <f>LOOKUP(D258,'US Implicit Deflator'!A:A,'US Implicit Deflator'!B:B)/100</f>
        <v>8.6999999999999994E-2</v>
      </c>
      <c r="Y258" s="154">
        <f t="shared" si="69"/>
        <v>6.9760205359368221E-3</v>
      </c>
      <c r="Z258" s="165">
        <f t="shared" ca="1" si="70"/>
        <v>2.218483395828263</v>
      </c>
      <c r="AA258" s="152">
        <f t="shared" si="71"/>
        <v>7</v>
      </c>
      <c r="AB258" s="153">
        <f t="shared" si="72"/>
        <v>29160</v>
      </c>
      <c r="AC258" s="155">
        <f t="shared" ca="1" si="73"/>
        <v>3.0781357824679518</v>
      </c>
    </row>
    <row r="259" spans="3:29">
      <c r="C259" s="152" t="str">
        <f>'Monthly Prices'!A247</f>
        <v>1979M12</v>
      </c>
      <c r="D259" s="153">
        <f t="shared" si="62"/>
        <v>29190</v>
      </c>
      <c r="E259" s="152">
        <f t="shared" si="63"/>
        <v>240</v>
      </c>
      <c r="F259" s="152" t="b">
        <f t="shared" si="57"/>
        <v>0</v>
      </c>
      <c r="G259" s="152" t="b">
        <f t="shared" si="58"/>
        <v>1</v>
      </c>
      <c r="H259" s="152" t="b">
        <f t="shared" si="59"/>
        <v>0</v>
      </c>
      <c r="I259" s="153" t="e">
        <f t="shared" si="60"/>
        <v>#N/A</v>
      </c>
      <c r="J259" s="158">
        <f>INDEX('Monthly Prices'!B247:CB247,$G$4)</f>
        <v>115.3</v>
      </c>
      <c r="K259" s="158" t="b">
        <f>IF(H259,INDEX('Monthly Prices'!B247:CB247,$G$4)*U259,FALSE)</f>
        <v>0</v>
      </c>
      <c r="L259" s="152" t="b">
        <f t="shared" si="64"/>
        <v>1</v>
      </c>
      <c r="M259" s="158">
        <f>INDEX('Monthly Prices'!B247:CB247,$G$5)</f>
        <v>69.452935566350007</v>
      </c>
      <c r="N259" s="158" t="b">
        <f>IF(H259,INDEX('Monthly Prices'!B247:CB247,$G$5)*U259,FALSE)</f>
        <v>0</v>
      </c>
      <c r="O259" s="152" t="b">
        <f t="shared" si="61"/>
        <v>1</v>
      </c>
      <c r="P259" s="152">
        <f t="shared" si="65"/>
        <v>1979</v>
      </c>
      <c r="Q259" s="159">
        <f>'Monthly Prices'!B247</f>
        <v>39.75</v>
      </c>
      <c r="R259" s="159">
        <f t="shared" si="66"/>
        <v>30.964583277701667</v>
      </c>
      <c r="S259" s="155">
        <f>_xlfn.XLOOKUP(P259,'Annual Real'!A:A,'Annual Real'!B:B,0,0)</f>
        <v>52.2180415234808</v>
      </c>
      <c r="T259" s="155">
        <f t="shared" ca="1" si="67"/>
        <v>3.0568114033437404</v>
      </c>
      <c r="U259" s="152">
        <f t="shared" ca="1" si="68"/>
        <v>3.0568114033437404</v>
      </c>
      <c r="V259" s="152" t="b">
        <f t="shared" si="74"/>
        <v>0</v>
      </c>
      <c r="W259" s="152" t="b">
        <f t="shared" si="75"/>
        <v>0</v>
      </c>
      <c r="X259" s="154">
        <f>LOOKUP(D259,'US Implicit Deflator'!A:A,'US Implicit Deflator'!B:B)/100</f>
        <v>8.6999999999999994E-2</v>
      </c>
      <c r="Y259" s="154">
        <f t="shared" si="69"/>
        <v>6.9760205359368221E-3</v>
      </c>
      <c r="Z259" s="165">
        <f t="shared" ca="1" si="70"/>
        <v>2.2339595815561957</v>
      </c>
      <c r="AA259" s="152">
        <f t="shared" si="71"/>
        <v>7</v>
      </c>
      <c r="AB259" s="153">
        <f t="shared" si="72"/>
        <v>29190</v>
      </c>
      <c r="AC259" s="155">
        <f t="shared" ca="1" si="73"/>
        <v>3.0568114033437404</v>
      </c>
    </row>
    <row r="260" spans="3:29">
      <c r="C260" s="152" t="str">
        <f>'Monthly Prices'!A248</f>
        <v>1980M01</v>
      </c>
      <c r="D260" s="153">
        <f t="shared" si="62"/>
        <v>29221</v>
      </c>
      <c r="E260" s="152">
        <f t="shared" si="63"/>
        <v>241</v>
      </c>
      <c r="F260" s="152" t="b">
        <f t="shared" si="57"/>
        <v>0</v>
      </c>
      <c r="G260" s="152" t="b">
        <f t="shared" si="58"/>
        <v>1</v>
      </c>
      <c r="H260" s="152" t="b">
        <f t="shared" si="59"/>
        <v>0</v>
      </c>
      <c r="I260" s="153" t="e">
        <f t="shared" si="60"/>
        <v>#N/A</v>
      </c>
      <c r="J260" s="158">
        <f>INDEX('Monthly Prices'!B248:CB248,$G$4)</f>
        <v>105.4</v>
      </c>
      <c r="K260" s="158" t="b">
        <f>IF(H260,INDEX('Monthly Prices'!B248:CB248,$G$4)*U260,FALSE)</f>
        <v>0</v>
      </c>
      <c r="L260" s="152" t="b">
        <f t="shared" si="64"/>
        <v>1</v>
      </c>
      <c r="M260" s="158">
        <f>INDEX('Monthly Prices'!B248:CB248,$G$5)</f>
        <v>66.584538050000006</v>
      </c>
      <c r="N260" s="158" t="b">
        <f>IF(H260,INDEX('Monthly Prices'!B248:CB248,$G$5)*U260,FALSE)</f>
        <v>0</v>
      </c>
      <c r="O260" s="152" t="b">
        <f t="shared" si="61"/>
        <v>1</v>
      </c>
      <c r="P260" s="152">
        <f t="shared" si="65"/>
        <v>1980</v>
      </c>
      <c r="Q260" s="159">
        <f>'Monthly Prices'!B248</f>
        <v>39</v>
      </c>
      <c r="R260" s="159">
        <f t="shared" si="66"/>
        <v>36.868749936421672</v>
      </c>
      <c r="S260" s="155">
        <f>_xlfn.XLOOKUP(P260,'Annual Real'!A:A,'Annual Real'!B:B,0,0)</f>
        <v>56.526047563165299</v>
      </c>
      <c r="T260" s="155">
        <f t="shared" ca="1" si="67"/>
        <v>3.0333190493959217</v>
      </c>
      <c r="U260" s="152">
        <f t="shared" ca="1" si="68"/>
        <v>3.0333190493959217</v>
      </c>
      <c r="V260" s="152" t="b">
        <f t="shared" si="74"/>
        <v>0</v>
      </c>
      <c r="W260" s="152" t="b">
        <f t="shared" si="75"/>
        <v>0</v>
      </c>
      <c r="X260" s="154">
        <f>LOOKUP(D260,'US Implicit Deflator'!A:A,'US Implicit Deflator'!B:B)/100</f>
        <v>9.6999999999999989E-2</v>
      </c>
      <c r="Y260" s="154">
        <f t="shared" si="69"/>
        <v>7.7447685407496802E-3</v>
      </c>
      <c r="Z260" s="165">
        <f t="shared" ca="1" si="70"/>
        <v>2.2512610814447385</v>
      </c>
      <c r="AA260" s="152">
        <f t="shared" si="71"/>
        <v>7</v>
      </c>
      <c r="AB260" s="153">
        <f t="shared" si="72"/>
        <v>29221</v>
      </c>
      <c r="AC260" s="155">
        <f t="shared" ca="1" si="73"/>
        <v>3.0333190493959217</v>
      </c>
    </row>
    <row r="261" spans="3:29">
      <c r="C261" s="152" t="str">
        <f>'Monthly Prices'!A249</f>
        <v>1980M02</v>
      </c>
      <c r="D261" s="153">
        <f t="shared" si="62"/>
        <v>29252</v>
      </c>
      <c r="E261" s="152">
        <f t="shared" si="63"/>
        <v>242</v>
      </c>
      <c r="F261" s="152" t="b">
        <f t="shared" si="57"/>
        <v>0</v>
      </c>
      <c r="G261" s="152" t="b">
        <f t="shared" si="58"/>
        <v>1</v>
      </c>
      <c r="H261" s="152" t="b">
        <f t="shared" si="59"/>
        <v>0</v>
      </c>
      <c r="I261" s="153" t="e">
        <f t="shared" si="60"/>
        <v>#N/A</v>
      </c>
      <c r="J261" s="158">
        <f>INDEX('Monthly Prices'!B249:CB249,$G$4)</f>
        <v>113.9</v>
      </c>
      <c r="K261" s="158" t="b">
        <f>IF(H261,INDEX('Monthly Prices'!B249:CB249,$G$4)*U261,FALSE)</f>
        <v>0</v>
      </c>
      <c r="L261" s="152" t="b">
        <f t="shared" si="64"/>
        <v>1</v>
      </c>
      <c r="M261" s="158">
        <f>INDEX('Monthly Prices'!B249:CB249,$G$5)</f>
        <v>66.58</v>
      </c>
      <c r="N261" s="158" t="b">
        <f>IF(H261,INDEX('Monthly Prices'!B249:CB249,$G$5)*U261,FALSE)</f>
        <v>0</v>
      </c>
      <c r="O261" s="152" t="b">
        <f t="shared" si="61"/>
        <v>1</v>
      </c>
      <c r="P261" s="152">
        <f t="shared" si="65"/>
        <v>1980</v>
      </c>
      <c r="Q261" s="159">
        <f>'Monthly Prices'!B249</f>
        <v>37.25</v>
      </c>
      <c r="R261" s="159">
        <f t="shared" si="66"/>
        <v>36.868749936421672</v>
      </c>
      <c r="S261" s="155">
        <f>_xlfn.XLOOKUP(P261,'Annual Real'!A:A,'Annual Real'!B:B,0,0)</f>
        <v>56.526047563165299</v>
      </c>
      <c r="T261" s="155">
        <f t="shared" ca="1" si="67"/>
        <v>3.0100072400160172</v>
      </c>
      <c r="U261" s="152">
        <f t="shared" ca="1" si="68"/>
        <v>3.0100072400160172</v>
      </c>
      <c r="V261" s="152" t="b">
        <f t="shared" si="74"/>
        <v>0</v>
      </c>
      <c r="W261" s="152" t="b">
        <f t="shared" si="75"/>
        <v>0</v>
      </c>
      <c r="X261" s="154">
        <f>LOOKUP(D261,'US Implicit Deflator'!A:A,'US Implicit Deflator'!B:B)/100</f>
        <v>9.6999999999999989E-2</v>
      </c>
      <c r="Y261" s="154">
        <f t="shared" si="69"/>
        <v>7.7447685407496802E-3</v>
      </c>
      <c r="Z261" s="165">
        <f t="shared" ca="1" si="70"/>
        <v>2.2686965774453256</v>
      </c>
      <c r="AA261" s="152">
        <f t="shared" si="71"/>
        <v>7</v>
      </c>
      <c r="AB261" s="153">
        <f t="shared" si="72"/>
        <v>29252</v>
      </c>
      <c r="AC261" s="155">
        <f t="shared" ca="1" si="73"/>
        <v>3.0100072400160172</v>
      </c>
    </row>
    <row r="262" spans="3:29">
      <c r="C262" s="152" t="str">
        <f>'Monthly Prices'!A250</f>
        <v>1980M03</v>
      </c>
      <c r="D262" s="153">
        <f t="shared" si="62"/>
        <v>29281</v>
      </c>
      <c r="E262" s="152">
        <f t="shared" si="63"/>
        <v>243</v>
      </c>
      <c r="F262" s="152" t="b">
        <f t="shared" si="57"/>
        <v>0</v>
      </c>
      <c r="G262" s="152" t="b">
        <f t="shared" si="58"/>
        <v>1</v>
      </c>
      <c r="H262" s="152" t="b">
        <f t="shared" si="59"/>
        <v>0</v>
      </c>
      <c r="I262" s="153" t="e">
        <f t="shared" si="60"/>
        <v>#N/A</v>
      </c>
      <c r="J262" s="158">
        <f>INDEX('Monthly Prices'!B250:CB250,$G$4)</f>
        <v>110.4</v>
      </c>
      <c r="K262" s="158" t="b">
        <f>IF(H262,INDEX('Monthly Prices'!B250:CB250,$G$4)*U262,FALSE)</f>
        <v>0</v>
      </c>
      <c r="L262" s="152" t="b">
        <f t="shared" si="64"/>
        <v>1</v>
      </c>
      <c r="M262" s="158">
        <f>INDEX('Monthly Prices'!B250:CB250,$G$5)</f>
        <v>69.900000000000006</v>
      </c>
      <c r="N262" s="158" t="b">
        <f>IF(H262,INDEX('Monthly Prices'!B250:CB250,$G$5)*U262,FALSE)</f>
        <v>0</v>
      </c>
      <c r="O262" s="152" t="b">
        <f t="shared" si="61"/>
        <v>1</v>
      </c>
      <c r="P262" s="152">
        <f t="shared" si="65"/>
        <v>1980</v>
      </c>
      <c r="Q262" s="159">
        <f>'Monthly Prices'!B250</f>
        <v>37</v>
      </c>
      <c r="R262" s="159">
        <f t="shared" si="66"/>
        <v>36.868749936421672</v>
      </c>
      <c r="S262" s="155">
        <f>_xlfn.XLOOKUP(P262,'Annual Real'!A:A,'Annual Real'!B:B,0,0)</f>
        <v>56.526047563165299</v>
      </c>
      <c r="T262" s="155">
        <f t="shared" ca="1" si="67"/>
        <v>2.9868745876742331</v>
      </c>
      <c r="U262" s="152">
        <f t="shared" ca="1" si="68"/>
        <v>2.9868745876742331</v>
      </c>
      <c r="V262" s="152" t="b">
        <f t="shared" si="74"/>
        <v>0</v>
      </c>
      <c r="W262" s="152" t="b">
        <f t="shared" si="75"/>
        <v>0</v>
      </c>
      <c r="X262" s="154">
        <f>LOOKUP(D262,'US Implicit Deflator'!A:A,'US Implicit Deflator'!B:B)/100</f>
        <v>9.6999999999999989E-2</v>
      </c>
      <c r="Y262" s="154">
        <f t="shared" si="69"/>
        <v>7.7447685407496802E-3</v>
      </c>
      <c r="Z262" s="165">
        <f t="shared" ca="1" si="70"/>
        <v>2.2862671073268306</v>
      </c>
      <c r="AA262" s="152">
        <f t="shared" si="71"/>
        <v>7</v>
      </c>
      <c r="AB262" s="153">
        <f t="shared" si="72"/>
        <v>29281</v>
      </c>
      <c r="AC262" s="155">
        <f t="shared" ca="1" si="73"/>
        <v>2.9868745876742331</v>
      </c>
    </row>
    <row r="263" spans="3:29">
      <c r="C263" s="152" t="str">
        <f>'Monthly Prices'!A251</f>
        <v>1980M04</v>
      </c>
      <c r="D263" s="153">
        <f t="shared" si="62"/>
        <v>29312</v>
      </c>
      <c r="E263" s="152">
        <f t="shared" si="63"/>
        <v>244</v>
      </c>
      <c r="F263" s="152" t="b">
        <f t="shared" si="57"/>
        <v>0</v>
      </c>
      <c r="G263" s="152" t="b">
        <f t="shared" si="58"/>
        <v>1</v>
      </c>
      <c r="H263" s="152" t="b">
        <f t="shared" si="59"/>
        <v>0</v>
      </c>
      <c r="I263" s="153" t="e">
        <f t="shared" si="60"/>
        <v>#N/A</v>
      </c>
      <c r="J263" s="158">
        <f>INDEX('Monthly Prices'!B251:CB251,$G$4)</f>
        <v>108.2</v>
      </c>
      <c r="K263" s="158" t="b">
        <f>IF(H263,INDEX('Monthly Prices'!B251:CB251,$G$4)*U263,FALSE)</f>
        <v>0</v>
      </c>
      <c r="L263" s="152" t="b">
        <f t="shared" si="64"/>
        <v>1</v>
      </c>
      <c r="M263" s="158">
        <f>INDEX('Monthly Prices'!B251:CB251,$G$5)</f>
        <v>69.900000000000006</v>
      </c>
      <c r="N263" s="158" t="b">
        <f>IF(H263,INDEX('Monthly Prices'!B251:CB251,$G$5)*U263,FALSE)</f>
        <v>0</v>
      </c>
      <c r="O263" s="152" t="b">
        <f t="shared" si="61"/>
        <v>1</v>
      </c>
      <c r="P263" s="152">
        <f t="shared" si="65"/>
        <v>1980</v>
      </c>
      <c r="Q263" s="159">
        <f>'Monthly Prices'!B251</f>
        <v>36.57500076294</v>
      </c>
      <c r="R263" s="159">
        <f t="shared" si="66"/>
        <v>36.868749936421672</v>
      </c>
      <c r="S263" s="155">
        <f>_xlfn.XLOOKUP(P263,'Annual Real'!A:A,'Annual Real'!B:B,0,0)</f>
        <v>56.526047563165299</v>
      </c>
      <c r="T263" s="155">
        <f t="shared" ca="1" si="67"/>
        <v>2.9636946731809797</v>
      </c>
      <c r="U263" s="152">
        <f t="shared" ca="1" si="68"/>
        <v>2.9636946731809797</v>
      </c>
      <c r="V263" s="152" t="b">
        <f t="shared" si="74"/>
        <v>0</v>
      </c>
      <c r="W263" s="152" t="b">
        <f t="shared" si="75"/>
        <v>0</v>
      </c>
      <c r="X263" s="154">
        <f>LOOKUP(D263,'US Implicit Deflator'!A:A,'US Implicit Deflator'!B:B)/100</f>
        <v>9.8000000000000004E-2</v>
      </c>
      <c r="Y263" s="154">
        <f t="shared" si="69"/>
        <v>7.8212896567966261E-3</v>
      </c>
      <c r="Z263" s="165">
        <f t="shared" ca="1" si="70"/>
        <v>2.3041486646060401</v>
      </c>
      <c r="AA263" s="152">
        <f t="shared" si="71"/>
        <v>7</v>
      </c>
      <c r="AB263" s="153">
        <f t="shared" si="72"/>
        <v>29312</v>
      </c>
      <c r="AC263" s="155">
        <f t="shared" ca="1" si="73"/>
        <v>2.9636946731809797</v>
      </c>
    </row>
    <row r="264" spans="3:29">
      <c r="C264" s="152" t="str">
        <f>'Monthly Prices'!A252</f>
        <v>1980M05</v>
      </c>
      <c r="D264" s="153">
        <f t="shared" si="62"/>
        <v>29342</v>
      </c>
      <c r="E264" s="152">
        <f t="shared" si="63"/>
        <v>245</v>
      </c>
      <c r="F264" s="152" t="b">
        <f t="shared" si="57"/>
        <v>0</v>
      </c>
      <c r="G264" s="152" t="b">
        <f t="shared" si="58"/>
        <v>1</v>
      </c>
      <c r="H264" s="152" t="b">
        <f t="shared" si="59"/>
        <v>0</v>
      </c>
      <c r="I264" s="153" t="e">
        <f t="shared" si="60"/>
        <v>#N/A</v>
      </c>
      <c r="J264" s="158">
        <f>INDEX('Monthly Prices'!B252:CB252,$G$4)</f>
        <v>110</v>
      </c>
      <c r="K264" s="158" t="b">
        <f>IF(H264,INDEX('Monthly Prices'!B252:CB252,$G$4)*U264,FALSE)</f>
        <v>0</v>
      </c>
      <c r="L264" s="152" t="b">
        <f t="shared" si="64"/>
        <v>1</v>
      </c>
      <c r="M264" s="158">
        <f>INDEX('Monthly Prices'!B252:CB252,$G$5)</f>
        <v>68.239999999999995</v>
      </c>
      <c r="N264" s="158" t="b">
        <f>IF(H264,INDEX('Monthly Prices'!B252:CB252,$G$5)*U264,FALSE)</f>
        <v>0</v>
      </c>
      <c r="O264" s="152" t="b">
        <f t="shared" si="61"/>
        <v>1</v>
      </c>
      <c r="P264" s="152">
        <f t="shared" si="65"/>
        <v>1980</v>
      </c>
      <c r="Q264" s="159">
        <f>'Monthly Prices'!B252</f>
        <v>37.04999923706</v>
      </c>
      <c r="R264" s="159">
        <f t="shared" si="66"/>
        <v>36.868749936421672</v>
      </c>
      <c r="S264" s="155">
        <f>_xlfn.XLOOKUP(P264,'Annual Real'!A:A,'Annual Real'!B:B,0,0)</f>
        <v>56.526047563165299</v>
      </c>
      <c r="T264" s="155">
        <f t="shared" ca="1" si="67"/>
        <v>2.9406946485425367</v>
      </c>
      <c r="U264" s="152">
        <f t="shared" ca="1" si="68"/>
        <v>2.9406946485425367</v>
      </c>
      <c r="V264" s="152" t="b">
        <f t="shared" si="74"/>
        <v>0</v>
      </c>
      <c r="W264" s="152" t="b">
        <f t="shared" si="75"/>
        <v>0</v>
      </c>
      <c r="X264" s="154">
        <f>LOOKUP(D264,'US Implicit Deflator'!A:A,'US Implicit Deflator'!B:B)/100</f>
        <v>9.8000000000000004E-2</v>
      </c>
      <c r="Y264" s="154">
        <f t="shared" si="69"/>
        <v>7.8212896567966261E-3</v>
      </c>
      <c r="Z264" s="165">
        <f t="shared" ca="1" si="70"/>
        <v>2.3221700787242452</v>
      </c>
      <c r="AA264" s="152">
        <f t="shared" si="71"/>
        <v>7</v>
      </c>
      <c r="AB264" s="153">
        <f t="shared" si="72"/>
        <v>29342</v>
      </c>
      <c r="AC264" s="155">
        <f t="shared" ca="1" si="73"/>
        <v>2.9406946485425367</v>
      </c>
    </row>
    <row r="265" spans="3:29">
      <c r="C265" s="152" t="str">
        <f>'Monthly Prices'!A253</f>
        <v>1980M06</v>
      </c>
      <c r="D265" s="153">
        <f t="shared" si="62"/>
        <v>29373</v>
      </c>
      <c r="E265" s="152">
        <f t="shared" si="63"/>
        <v>246</v>
      </c>
      <c r="F265" s="152" t="b">
        <f t="shared" si="57"/>
        <v>0</v>
      </c>
      <c r="G265" s="152" t="b">
        <f t="shared" si="58"/>
        <v>1</v>
      </c>
      <c r="H265" s="152" t="b">
        <f t="shared" si="59"/>
        <v>0</v>
      </c>
      <c r="I265" s="153" t="e">
        <f t="shared" si="60"/>
        <v>#N/A</v>
      </c>
      <c r="J265" s="158">
        <f>INDEX('Monthly Prices'!B253:CB253,$G$4)</f>
        <v>113.6</v>
      </c>
      <c r="K265" s="158" t="b">
        <f>IF(H265,INDEX('Monthly Prices'!B253:CB253,$G$4)*U265,FALSE)</f>
        <v>0</v>
      </c>
      <c r="L265" s="152" t="b">
        <f t="shared" si="64"/>
        <v>1</v>
      </c>
      <c r="M265" s="158">
        <f>INDEX('Monthly Prices'!B253:CB253,$G$5)</f>
        <v>64.930000000000007</v>
      </c>
      <c r="N265" s="158" t="b">
        <f>IF(H265,INDEX('Monthly Prices'!B253:CB253,$G$5)*U265,FALSE)</f>
        <v>0</v>
      </c>
      <c r="O265" s="152" t="b">
        <f t="shared" si="61"/>
        <v>1</v>
      </c>
      <c r="P265" s="152">
        <f t="shared" si="65"/>
        <v>1980</v>
      </c>
      <c r="Q265" s="159">
        <f>'Monthly Prices'!B253</f>
        <v>37</v>
      </c>
      <c r="R265" s="159">
        <f t="shared" si="66"/>
        <v>36.868749936421672</v>
      </c>
      <c r="S265" s="155">
        <f>_xlfn.XLOOKUP(P265,'Annual Real'!A:A,'Annual Real'!B:B,0,0)</f>
        <v>56.526047563165299</v>
      </c>
      <c r="T265" s="155">
        <f t="shared" ca="1" si="67"/>
        <v>2.9178731177071686</v>
      </c>
      <c r="U265" s="152">
        <f t="shared" ca="1" si="68"/>
        <v>2.9178731177071686</v>
      </c>
      <c r="V265" s="152" t="b">
        <f t="shared" si="74"/>
        <v>0</v>
      </c>
      <c r="W265" s="152" t="b">
        <f t="shared" si="75"/>
        <v>0</v>
      </c>
      <c r="X265" s="154">
        <f>LOOKUP(D265,'US Implicit Deflator'!A:A,'US Implicit Deflator'!B:B)/100</f>
        <v>9.8000000000000004E-2</v>
      </c>
      <c r="Y265" s="154">
        <f t="shared" si="69"/>
        <v>7.8212896567966261E-3</v>
      </c>
      <c r="Z265" s="165">
        <f t="shared" ca="1" si="70"/>
        <v>2.3403324435422936</v>
      </c>
      <c r="AA265" s="152">
        <f t="shared" si="71"/>
        <v>7</v>
      </c>
      <c r="AB265" s="153">
        <f t="shared" si="72"/>
        <v>29373</v>
      </c>
      <c r="AC265" s="155">
        <f t="shared" ca="1" si="73"/>
        <v>2.9178731177071686</v>
      </c>
    </row>
    <row r="266" spans="3:29">
      <c r="C266" s="152" t="str">
        <f>'Monthly Prices'!A254</f>
        <v>1980M07</v>
      </c>
      <c r="D266" s="153">
        <f t="shared" si="62"/>
        <v>29403</v>
      </c>
      <c r="E266" s="152">
        <f t="shared" si="63"/>
        <v>247</v>
      </c>
      <c r="F266" s="152" t="b">
        <f t="shared" si="57"/>
        <v>0</v>
      </c>
      <c r="G266" s="152" t="b">
        <f t="shared" si="58"/>
        <v>1</v>
      </c>
      <c r="H266" s="152" t="b">
        <f t="shared" si="59"/>
        <v>0</v>
      </c>
      <c r="I266" s="153" t="e">
        <f t="shared" si="60"/>
        <v>#N/A</v>
      </c>
      <c r="J266" s="158">
        <f>INDEX('Monthly Prices'!B254:CB254,$G$4)</f>
        <v>128.9</v>
      </c>
      <c r="K266" s="158" t="b">
        <f>IF(H266,INDEX('Monthly Prices'!B254:CB254,$G$4)*U266,FALSE)</f>
        <v>0</v>
      </c>
      <c r="L266" s="152" t="b">
        <f t="shared" si="64"/>
        <v>1</v>
      </c>
      <c r="M266" s="158">
        <f>INDEX('Monthly Prices'!B254:CB254,$G$5)</f>
        <v>86.53</v>
      </c>
      <c r="N266" s="158" t="b">
        <f>IF(H266,INDEX('Monthly Prices'!B254:CB254,$G$5)*U266,FALSE)</f>
        <v>0</v>
      </c>
      <c r="O266" s="152" t="b">
        <f t="shared" si="61"/>
        <v>1</v>
      </c>
      <c r="P266" s="152">
        <f t="shared" si="65"/>
        <v>1980</v>
      </c>
      <c r="Q266" s="159">
        <f>'Monthly Prices'!B254</f>
        <v>35.375</v>
      </c>
      <c r="R266" s="159">
        <f t="shared" si="66"/>
        <v>36.868749936421672</v>
      </c>
      <c r="S266" s="155">
        <f>_xlfn.XLOOKUP(P266,'Annual Real'!A:A,'Annual Real'!B:B,0,0)</f>
        <v>56.526047563165299</v>
      </c>
      <c r="T266" s="155">
        <f t="shared" ca="1" si="67"/>
        <v>2.8965510228794717</v>
      </c>
      <c r="U266" s="152">
        <f t="shared" ca="1" si="68"/>
        <v>2.8965510228794717</v>
      </c>
      <c r="V266" s="152" t="b">
        <f t="shared" si="74"/>
        <v>0</v>
      </c>
      <c r="W266" s="152" t="b">
        <f t="shared" si="75"/>
        <v>0</v>
      </c>
      <c r="X266" s="154">
        <f>LOOKUP(D266,'US Implicit Deflator'!A:A,'US Implicit Deflator'!B:B)/100</f>
        <v>9.1999999999999998E-2</v>
      </c>
      <c r="Y266" s="154">
        <f t="shared" si="69"/>
        <v>7.3612011869552685E-3</v>
      </c>
      <c r="Z266" s="165">
        <f t="shared" ca="1" si="70"/>
        <v>2.3575601015035672</v>
      </c>
      <c r="AA266" s="152">
        <f t="shared" si="71"/>
        <v>7</v>
      </c>
      <c r="AB266" s="153">
        <f t="shared" si="72"/>
        <v>29403</v>
      </c>
      <c r="AC266" s="155">
        <f t="shared" ca="1" si="73"/>
        <v>2.8965510228794717</v>
      </c>
    </row>
    <row r="267" spans="3:29">
      <c r="C267" s="152" t="str">
        <f>'Monthly Prices'!A255</f>
        <v>1980M08</v>
      </c>
      <c r="D267" s="153">
        <f t="shared" si="62"/>
        <v>29434</v>
      </c>
      <c r="E267" s="152">
        <f t="shared" si="63"/>
        <v>248</v>
      </c>
      <c r="F267" s="152" t="b">
        <f t="shared" si="57"/>
        <v>0</v>
      </c>
      <c r="G267" s="152" t="b">
        <f t="shared" si="58"/>
        <v>1</v>
      </c>
      <c r="H267" s="152" t="b">
        <f t="shared" si="59"/>
        <v>0</v>
      </c>
      <c r="I267" s="153" t="e">
        <f t="shared" si="60"/>
        <v>#N/A</v>
      </c>
      <c r="J267" s="158">
        <f>INDEX('Monthly Prices'!B255:CB255,$G$4)</f>
        <v>143.44999999999999</v>
      </c>
      <c r="K267" s="158" t="b">
        <f>IF(H267,INDEX('Monthly Prices'!B255:CB255,$G$4)*U267,FALSE)</f>
        <v>0</v>
      </c>
      <c r="L267" s="152" t="b">
        <f t="shared" si="64"/>
        <v>1</v>
      </c>
      <c r="M267" s="158">
        <f>INDEX('Monthly Prices'!B255:CB255,$G$5)</f>
        <v>81.56</v>
      </c>
      <c r="N267" s="158" t="b">
        <f>IF(H267,INDEX('Monthly Prices'!B255:CB255,$G$5)*U267,FALSE)</f>
        <v>0</v>
      </c>
      <c r="O267" s="152" t="b">
        <f t="shared" si="61"/>
        <v>1</v>
      </c>
      <c r="P267" s="152">
        <f t="shared" si="65"/>
        <v>1980</v>
      </c>
      <c r="Q267" s="159">
        <f>'Monthly Prices'!B255</f>
        <v>32.949998855590003</v>
      </c>
      <c r="R267" s="159">
        <f t="shared" si="66"/>
        <v>36.868749936421672</v>
      </c>
      <c r="S267" s="155">
        <f>_xlfn.XLOOKUP(P267,'Annual Real'!A:A,'Annual Real'!B:B,0,0)</f>
        <v>56.526047563165299</v>
      </c>
      <c r="T267" s="155">
        <f t="shared" ca="1" si="67"/>
        <v>2.8753847373380261</v>
      </c>
      <c r="U267" s="152">
        <f t="shared" ca="1" si="68"/>
        <v>2.8753847373380261</v>
      </c>
      <c r="V267" s="152" t="b">
        <f t="shared" si="74"/>
        <v>0</v>
      </c>
      <c r="W267" s="152" t="b">
        <f t="shared" si="75"/>
        <v>0</v>
      </c>
      <c r="X267" s="154">
        <f>LOOKUP(D267,'US Implicit Deflator'!A:A,'US Implicit Deflator'!B:B)/100</f>
        <v>9.1999999999999998E-2</v>
      </c>
      <c r="Y267" s="154">
        <f t="shared" si="69"/>
        <v>7.3612011869552685E-3</v>
      </c>
      <c r="Z267" s="165">
        <f t="shared" ca="1" si="70"/>
        <v>2.3749145757210735</v>
      </c>
      <c r="AA267" s="152">
        <f t="shared" si="71"/>
        <v>7</v>
      </c>
      <c r="AB267" s="153">
        <f t="shared" si="72"/>
        <v>29434</v>
      </c>
      <c r="AC267" s="155">
        <f t="shared" ca="1" si="73"/>
        <v>2.8753847373380261</v>
      </c>
    </row>
    <row r="268" spans="3:29">
      <c r="C268" s="152" t="str">
        <f>'Monthly Prices'!A256</f>
        <v>1980M09</v>
      </c>
      <c r="D268" s="153">
        <f t="shared" si="62"/>
        <v>29465</v>
      </c>
      <c r="E268" s="152">
        <f t="shared" si="63"/>
        <v>249</v>
      </c>
      <c r="F268" s="152" t="b">
        <f t="shared" si="57"/>
        <v>0</v>
      </c>
      <c r="G268" s="152" t="b">
        <f t="shared" si="58"/>
        <v>1</v>
      </c>
      <c r="H268" s="152" t="b">
        <f t="shared" si="59"/>
        <v>0</v>
      </c>
      <c r="I268" s="153" t="e">
        <f t="shared" si="60"/>
        <v>#N/A</v>
      </c>
      <c r="J268" s="158">
        <f>INDEX('Monthly Prices'!B256:CB256,$G$4)</f>
        <v>140.80000000000001</v>
      </c>
      <c r="K268" s="158" t="b">
        <f>IF(H268,INDEX('Monthly Prices'!B256:CB256,$G$4)*U268,FALSE)</f>
        <v>0</v>
      </c>
      <c r="L268" s="152" t="b">
        <f t="shared" si="64"/>
        <v>1</v>
      </c>
      <c r="M268" s="158">
        <f>INDEX('Monthly Prices'!B256:CB256,$G$5)</f>
        <v>78.239999999999995</v>
      </c>
      <c r="N268" s="158" t="b">
        <f>IF(H268,INDEX('Monthly Prices'!B256:CB256,$G$5)*U268,FALSE)</f>
        <v>0</v>
      </c>
      <c r="O268" s="152" t="b">
        <f t="shared" si="61"/>
        <v>1</v>
      </c>
      <c r="P268" s="152">
        <f t="shared" si="65"/>
        <v>1980</v>
      </c>
      <c r="Q268" s="159">
        <f>'Monthly Prices'!B256</f>
        <v>32.82500076294</v>
      </c>
      <c r="R268" s="159">
        <f t="shared" si="66"/>
        <v>36.868749936421672</v>
      </c>
      <c r="S268" s="155">
        <f>_xlfn.XLOOKUP(P268,'Annual Real'!A:A,'Annual Real'!B:B,0,0)</f>
        <v>56.526047563165299</v>
      </c>
      <c r="T268" s="155">
        <f t="shared" ca="1" si="67"/>
        <v>2.8543731225205149</v>
      </c>
      <c r="U268" s="152">
        <f t="shared" ca="1" si="68"/>
        <v>2.8543731225205149</v>
      </c>
      <c r="V268" s="152" t="b">
        <f t="shared" si="74"/>
        <v>0</v>
      </c>
      <c r="W268" s="152" t="b">
        <f t="shared" si="75"/>
        <v>0</v>
      </c>
      <c r="X268" s="154">
        <f>LOOKUP(D268,'US Implicit Deflator'!A:A,'US Implicit Deflator'!B:B)/100</f>
        <v>9.1999999999999998E-2</v>
      </c>
      <c r="Y268" s="154">
        <f t="shared" si="69"/>
        <v>7.3612011869552685E-3</v>
      </c>
      <c r="Z268" s="165">
        <f t="shared" ca="1" si="70"/>
        <v>2.3923967997147888</v>
      </c>
      <c r="AA268" s="152">
        <f t="shared" si="71"/>
        <v>7</v>
      </c>
      <c r="AB268" s="153">
        <f t="shared" si="72"/>
        <v>29465</v>
      </c>
      <c r="AC268" s="155">
        <f t="shared" ca="1" si="73"/>
        <v>2.8543731225205149</v>
      </c>
    </row>
    <row r="269" spans="3:29">
      <c r="C269" s="152" t="str">
        <f>'Monthly Prices'!A257</f>
        <v>1980M10</v>
      </c>
      <c r="D269" s="153">
        <f t="shared" si="62"/>
        <v>29495</v>
      </c>
      <c r="E269" s="152">
        <f t="shared" si="63"/>
        <v>250</v>
      </c>
      <c r="F269" s="152" t="b">
        <f t="shared" si="57"/>
        <v>0</v>
      </c>
      <c r="G269" s="152" t="b">
        <f t="shared" si="58"/>
        <v>1</v>
      </c>
      <c r="H269" s="152" t="b">
        <f t="shared" si="59"/>
        <v>0</v>
      </c>
      <c r="I269" s="153" t="e">
        <f t="shared" si="60"/>
        <v>#N/A</v>
      </c>
      <c r="J269" s="158">
        <f>INDEX('Monthly Prices'!B257:CB257,$G$4)</f>
        <v>140.4</v>
      </c>
      <c r="K269" s="158" t="b">
        <f>IF(H269,INDEX('Monthly Prices'!B257:CB257,$G$4)*U269,FALSE)</f>
        <v>0</v>
      </c>
      <c r="L269" s="152" t="b">
        <f t="shared" si="64"/>
        <v>1</v>
      </c>
      <c r="M269" s="158">
        <f>INDEX('Monthly Prices'!B257:CB257,$G$5)</f>
        <v>88.18</v>
      </c>
      <c r="N269" s="158" t="b">
        <f>IF(H269,INDEX('Monthly Prices'!B257:CB257,$G$5)*U269,FALSE)</f>
        <v>0</v>
      </c>
      <c r="O269" s="152" t="b">
        <f t="shared" si="61"/>
        <v>1</v>
      </c>
      <c r="P269" s="152">
        <f t="shared" si="65"/>
        <v>1980</v>
      </c>
      <c r="Q269" s="159">
        <f>'Monthly Prices'!B257</f>
        <v>37.350000381469997</v>
      </c>
      <c r="R269" s="159">
        <f t="shared" si="66"/>
        <v>36.868749936421672</v>
      </c>
      <c r="S269" s="155">
        <f>_xlfn.XLOOKUP(P269,'Annual Real'!A:A,'Annual Real'!B:B,0,0)</f>
        <v>56.526047563165299</v>
      </c>
      <c r="T269" s="155">
        <f t="shared" ca="1" si="67"/>
        <v>2.8328673131719002</v>
      </c>
      <c r="U269" s="152">
        <f t="shared" ca="1" si="68"/>
        <v>2.8328673131719002</v>
      </c>
      <c r="V269" s="152" t="b">
        <f t="shared" si="74"/>
        <v>0</v>
      </c>
      <c r="W269" s="152" t="b">
        <f t="shared" si="75"/>
        <v>0</v>
      </c>
      <c r="X269" s="154">
        <f>LOOKUP(D269,'US Implicit Deflator'!A:A,'US Implicit Deflator'!B:B)/100</f>
        <v>9.5000000000000001E-2</v>
      </c>
      <c r="Y269" s="154">
        <f t="shared" si="69"/>
        <v>7.5915342905825689E-3</v>
      </c>
      <c r="Z269" s="165">
        <f t="shared" ca="1" si="70"/>
        <v>2.4105587620565037</v>
      </c>
      <c r="AA269" s="152">
        <f t="shared" si="71"/>
        <v>7</v>
      </c>
      <c r="AB269" s="153">
        <f t="shared" si="72"/>
        <v>29495</v>
      </c>
      <c r="AC269" s="155">
        <f t="shared" ca="1" si="73"/>
        <v>2.8328673131719002</v>
      </c>
    </row>
    <row r="270" spans="3:29">
      <c r="C270" s="152" t="str">
        <f>'Monthly Prices'!A258</f>
        <v>1980M11</v>
      </c>
      <c r="D270" s="153">
        <f t="shared" si="62"/>
        <v>29526</v>
      </c>
      <c r="E270" s="152">
        <f t="shared" si="63"/>
        <v>251</v>
      </c>
      <c r="F270" s="152" t="b">
        <f t="shared" si="57"/>
        <v>0</v>
      </c>
      <c r="G270" s="152" t="b">
        <f t="shared" si="58"/>
        <v>1</v>
      </c>
      <c r="H270" s="152" t="b">
        <f t="shared" si="59"/>
        <v>0</v>
      </c>
      <c r="I270" s="153" t="e">
        <f t="shared" si="60"/>
        <v>#N/A</v>
      </c>
      <c r="J270" s="158">
        <f>INDEX('Monthly Prices'!B258:CB258,$G$4)</f>
        <v>146.6</v>
      </c>
      <c r="K270" s="158" t="b">
        <f>IF(H270,INDEX('Monthly Prices'!B258:CB258,$G$4)*U270,FALSE)</f>
        <v>0</v>
      </c>
      <c r="L270" s="152" t="b">
        <f t="shared" si="64"/>
        <v>1</v>
      </c>
      <c r="M270" s="158">
        <f>INDEX('Monthly Prices'!B258:CB258,$G$5)</f>
        <v>103.22</v>
      </c>
      <c r="N270" s="158" t="b">
        <f>IF(H270,INDEX('Monthly Prices'!B258:CB258,$G$5)*U270,FALSE)</f>
        <v>0</v>
      </c>
      <c r="O270" s="152" t="b">
        <f t="shared" si="61"/>
        <v>1</v>
      </c>
      <c r="P270" s="152">
        <f t="shared" si="65"/>
        <v>1980</v>
      </c>
      <c r="Q270" s="159">
        <f>'Monthly Prices'!B258</f>
        <v>40.29999923706</v>
      </c>
      <c r="R270" s="159">
        <f t="shared" si="66"/>
        <v>36.868749936421672</v>
      </c>
      <c r="S270" s="155">
        <f>_xlfn.XLOOKUP(P270,'Annual Real'!A:A,'Annual Real'!B:B,0,0)</f>
        <v>56.526047563165299</v>
      </c>
      <c r="T270" s="155">
        <f t="shared" ca="1" si="67"/>
        <v>2.8115235358407848</v>
      </c>
      <c r="U270" s="152">
        <f t="shared" ca="1" si="68"/>
        <v>2.8115235358407848</v>
      </c>
      <c r="V270" s="152" t="b">
        <f t="shared" si="74"/>
        <v>0</v>
      </c>
      <c r="W270" s="152" t="b">
        <f t="shared" si="75"/>
        <v>0</v>
      </c>
      <c r="X270" s="154">
        <f>LOOKUP(D270,'US Implicit Deflator'!A:A,'US Implicit Deflator'!B:B)/100</f>
        <v>9.5000000000000001E-2</v>
      </c>
      <c r="Y270" s="154">
        <f t="shared" si="69"/>
        <v>7.5915342905825689E-3</v>
      </c>
      <c r="Z270" s="165">
        <f t="shared" ca="1" si="70"/>
        <v>2.4288586015581197</v>
      </c>
      <c r="AA270" s="152">
        <f t="shared" si="71"/>
        <v>7</v>
      </c>
      <c r="AB270" s="153">
        <f t="shared" si="72"/>
        <v>29526</v>
      </c>
      <c r="AC270" s="155">
        <f t="shared" ca="1" si="73"/>
        <v>2.8115235358407848</v>
      </c>
    </row>
    <row r="271" spans="3:29">
      <c r="C271" s="152" t="str">
        <f>'Monthly Prices'!A259</f>
        <v>1980M12</v>
      </c>
      <c r="D271" s="153">
        <f t="shared" si="62"/>
        <v>29556</v>
      </c>
      <c r="E271" s="152">
        <f t="shared" si="63"/>
        <v>252</v>
      </c>
      <c r="F271" s="152" t="b">
        <f t="shared" si="57"/>
        <v>0</v>
      </c>
      <c r="G271" s="152" t="b">
        <f t="shared" si="58"/>
        <v>1</v>
      </c>
      <c r="H271" s="152" t="b">
        <f t="shared" si="59"/>
        <v>0</v>
      </c>
      <c r="I271" s="153" t="e">
        <f t="shared" si="60"/>
        <v>#N/A</v>
      </c>
      <c r="J271" s="158">
        <f>INDEX('Monthly Prices'!B259:CB259,$G$4)</f>
        <v>141.5</v>
      </c>
      <c r="K271" s="158" t="b">
        <f>IF(H271,INDEX('Monthly Prices'!B259:CB259,$G$4)*U271,FALSE)</f>
        <v>0</v>
      </c>
      <c r="L271" s="152" t="b">
        <f t="shared" si="64"/>
        <v>1</v>
      </c>
      <c r="M271" s="158">
        <f>INDEX('Monthly Prices'!B259:CB259,$G$5)</f>
        <v>94.88</v>
      </c>
      <c r="N271" s="158" t="b">
        <f>IF(H271,INDEX('Monthly Prices'!B259:CB259,$G$5)*U271,FALSE)</f>
        <v>0</v>
      </c>
      <c r="O271" s="152" t="b">
        <f t="shared" si="61"/>
        <v>1</v>
      </c>
      <c r="P271" s="152">
        <f t="shared" si="65"/>
        <v>1980</v>
      </c>
      <c r="Q271" s="159">
        <f>'Monthly Prices'!B259</f>
        <v>39.75</v>
      </c>
      <c r="R271" s="159">
        <f t="shared" si="66"/>
        <v>36.868749936421672</v>
      </c>
      <c r="S271" s="155">
        <f>_xlfn.XLOOKUP(P271,'Annual Real'!A:A,'Annual Real'!B:B,0,0)</f>
        <v>56.526047563165299</v>
      </c>
      <c r="T271" s="155">
        <f t="shared" ca="1" si="67"/>
        <v>2.7903405697233263</v>
      </c>
      <c r="U271" s="152">
        <f t="shared" ca="1" si="68"/>
        <v>2.7903405697233263</v>
      </c>
      <c r="V271" s="152" t="b">
        <f t="shared" si="74"/>
        <v>0</v>
      </c>
      <c r="W271" s="152" t="b">
        <f t="shared" si="75"/>
        <v>0</v>
      </c>
      <c r="X271" s="154">
        <f>LOOKUP(D271,'US Implicit Deflator'!A:A,'US Implicit Deflator'!B:B)/100</f>
        <v>9.5000000000000001E-2</v>
      </c>
      <c r="Y271" s="154">
        <f t="shared" si="69"/>
        <v>7.5915342905825689E-3</v>
      </c>
      <c r="Z271" s="165">
        <f t="shared" ca="1" si="70"/>
        <v>2.4472973649188248</v>
      </c>
      <c r="AA271" s="152">
        <f t="shared" si="71"/>
        <v>7</v>
      </c>
      <c r="AB271" s="153">
        <f t="shared" si="72"/>
        <v>29556</v>
      </c>
      <c r="AC271" s="155">
        <f t="shared" ca="1" si="73"/>
        <v>2.7903405697233263</v>
      </c>
    </row>
    <row r="272" spans="3:29">
      <c r="C272" s="152" t="str">
        <f>'Monthly Prices'!A260</f>
        <v>1981M01</v>
      </c>
      <c r="D272" s="153">
        <f t="shared" si="62"/>
        <v>29587</v>
      </c>
      <c r="E272" s="152">
        <f t="shared" si="63"/>
        <v>253</v>
      </c>
      <c r="F272" s="152" t="b">
        <f t="shared" si="57"/>
        <v>0</v>
      </c>
      <c r="G272" s="152" t="b">
        <f t="shared" si="58"/>
        <v>1</v>
      </c>
      <c r="H272" s="152" t="b">
        <f t="shared" si="59"/>
        <v>0</v>
      </c>
      <c r="I272" s="153" t="e">
        <f t="shared" si="60"/>
        <v>#N/A</v>
      </c>
      <c r="J272" s="158">
        <f>INDEX('Monthly Prices'!B260:CB260,$G$4)</f>
        <v>148.81</v>
      </c>
      <c r="K272" s="158" t="b">
        <f>IF(H272,INDEX('Monthly Prices'!B260:CB260,$G$4)*U272,FALSE)</f>
        <v>0</v>
      </c>
      <c r="L272" s="152" t="b">
        <f t="shared" si="64"/>
        <v>1</v>
      </c>
      <c r="M272" s="158">
        <f>INDEX('Monthly Prices'!B260:CB260,$G$5)</f>
        <v>92.52</v>
      </c>
      <c r="N272" s="158" t="b">
        <f>IF(H272,INDEX('Monthly Prices'!B260:CB260,$G$5)*U272,FALSE)</f>
        <v>0</v>
      </c>
      <c r="O272" s="152" t="b">
        <f t="shared" si="61"/>
        <v>1</v>
      </c>
      <c r="P272" s="152">
        <f t="shared" si="65"/>
        <v>1981</v>
      </c>
      <c r="Q272" s="159">
        <f>'Monthly Prices'!B260</f>
        <v>39.774999618530003</v>
      </c>
      <c r="R272" s="159">
        <f t="shared" si="66"/>
        <v>35.484999656675832</v>
      </c>
      <c r="S272" s="155">
        <f>_xlfn.XLOOKUP(P272,'Annual Real'!A:A,'Annual Real'!B:B,0,0)</f>
        <v>54.342465271827599</v>
      </c>
      <c r="T272" s="155">
        <f t="shared" ca="1" si="67"/>
        <v>2.7680564137554264</v>
      </c>
      <c r="U272" s="152">
        <f t="shared" ca="1" si="68"/>
        <v>2.7680564137554264</v>
      </c>
      <c r="V272" s="152" t="b">
        <f t="shared" si="74"/>
        <v>0</v>
      </c>
      <c r="W272" s="152" t="b">
        <f t="shared" si="75"/>
        <v>0</v>
      </c>
      <c r="X272" s="154">
        <f>LOOKUP(D272,'US Implicit Deflator'!A:A,'US Implicit Deflator'!B:B)/100</f>
        <v>0.10099999999999999</v>
      </c>
      <c r="Y272" s="154">
        <f t="shared" si="69"/>
        <v>8.0504703073109862E-3</v>
      </c>
      <c r="Z272" s="165">
        <f t="shared" ca="1" si="70"/>
        <v>2.4669992596882642</v>
      </c>
      <c r="AA272" s="152">
        <f t="shared" si="71"/>
        <v>7</v>
      </c>
      <c r="AB272" s="153">
        <f t="shared" si="72"/>
        <v>29587</v>
      </c>
      <c r="AC272" s="155">
        <f t="shared" ca="1" si="73"/>
        <v>2.7680564137554264</v>
      </c>
    </row>
    <row r="273" spans="3:29">
      <c r="C273" s="152" t="str">
        <f>'Monthly Prices'!A261</f>
        <v>1981M02</v>
      </c>
      <c r="D273" s="153">
        <f t="shared" si="62"/>
        <v>29618</v>
      </c>
      <c r="E273" s="152">
        <f t="shared" si="63"/>
        <v>254</v>
      </c>
      <c r="F273" s="152" t="b">
        <f t="shared" si="57"/>
        <v>0</v>
      </c>
      <c r="G273" s="152" t="b">
        <f t="shared" si="58"/>
        <v>1</v>
      </c>
      <c r="H273" s="152" t="b">
        <f t="shared" si="59"/>
        <v>0</v>
      </c>
      <c r="I273" s="153" t="e">
        <f t="shared" si="60"/>
        <v>#N/A</v>
      </c>
      <c r="J273" s="158">
        <f>INDEX('Monthly Prices'!B261:CB261,$G$4)</f>
        <v>143.30000000000001</v>
      </c>
      <c r="K273" s="158" t="b">
        <f>IF(H273,INDEX('Monthly Prices'!B261:CB261,$G$4)*U273,FALSE)</f>
        <v>0</v>
      </c>
      <c r="L273" s="152" t="b">
        <f t="shared" si="64"/>
        <v>1</v>
      </c>
      <c r="M273" s="158">
        <f>INDEX('Monthly Prices'!B261:CB261,$G$5)</f>
        <v>94.17</v>
      </c>
      <c r="N273" s="158" t="b">
        <f>IF(H273,INDEX('Monthly Prices'!B261:CB261,$G$5)*U273,FALSE)</f>
        <v>0</v>
      </c>
      <c r="O273" s="152" t="b">
        <f t="shared" si="61"/>
        <v>1</v>
      </c>
      <c r="P273" s="152">
        <f t="shared" si="65"/>
        <v>1981</v>
      </c>
      <c r="Q273" s="159">
        <f>'Monthly Prices'!B261</f>
        <v>37.899999618530003</v>
      </c>
      <c r="R273" s="159">
        <f t="shared" si="66"/>
        <v>35.484999656675832</v>
      </c>
      <c r="S273" s="155">
        <f>_xlfn.XLOOKUP(P273,'Annual Real'!A:A,'Annual Real'!B:B,0,0)</f>
        <v>54.342465271827599</v>
      </c>
      <c r="T273" s="155">
        <f t="shared" ca="1" si="67"/>
        <v>2.7459502230196526</v>
      </c>
      <c r="U273" s="152">
        <f t="shared" ca="1" si="68"/>
        <v>2.7459502230196526</v>
      </c>
      <c r="V273" s="152" t="b">
        <f t="shared" si="74"/>
        <v>0</v>
      </c>
      <c r="W273" s="152" t="b">
        <f t="shared" si="75"/>
        <v>0</v>
      </c>
      <c r="X273" s="154">
        <f>LOOKUP(D273,'US Implicit Deflator'!A:A,'US Implicit Deflator'!B:B)/100</f>
        <v>0.10099999999999999</v>
      </c>
      <c r="Y273" s="154">
        <f t="shared" si="69"/>
        <v>8.0504703073109862E-3</v>
      </c>
      <c r="Z273" s="165">
        <f t="shared" ca="1" si="70"/>
        <v>2.4868597639765428</v>
      </c>
      <c r="AA273" s="152">
        <f t="shared" si="71"/>
        <v>7</v>
      </c>
      <c r="AB273" s="153">
        <f t="shared" si="72"/>
        <v>29618</v>
      </c>
      <c r="AC273" s="155">
        <f t="shared" ca="1" si="73"/>
        <v>2.7459502230196526</v>
      </c>
    </row>
    <row r="274" spans="3:29">
      <c r="C274" s="152" t="str">
        <f>'Monthly Prices'!A262</f>
        <v>1981M03</v>
      </c>
      <c r="D274" s="153">
        <f t="shared" si="62"/>
        <v>29646</v>
      </c>
      <c r="E274" s="152">
        <f t="shared" si="63"/>
        <v>255</v>
      </c>
      <c r="F274" s="152" t="b">
        <f t="shared" si="57"/>
        <v>0</v>
      </c>
      <c r="G274" s="152" t="b">
        <f t="shared" si="58"/>
        <v>1</v>
      </c>
      <c r="H274" s="152" t="b">
        <f t="shared" si="59"/>
        <v>0</v>
      </c>
      <c r="I274" s="153" t="e">
        <f t="shared" si="60"/>
        <v>#N/A</v>
      </c>
      <c r="J274" s="158">
        <f>INDEX('Monthly Prices'!B262:CB262,$G$4)</f>
        <v>142.13</v>
      </c>
      <c r="K274" s="158" t="b">
        <f>IF(H274,INDEX('Monthly Prices'!B262:CB262,$G$4)*U274,FALSE)</f>
        <v>0</v>
      </c>
      <c r="L274" s="152" t="b">
        <f t="shared" si="64"/>
        <v>1</v>
      </c>
      <c r="M274" s="158">
        <f>INDEX('Monthly Prices'!B262:CB262,$G$5)</f>
        <v>89.2</v>
      </c>
      <c r="N274" s="158" t="b">
        <f>IF(H274,INDEX('Monthly Prices'!B262:CB262,$G$5)*U274,FALSE)</f>
        <v>0</v>
      </c>
      <c r="O274" s="152" t="b">
        <f t="shared" si="61"/>
        <v>1</v>
      </c>
      <c r="P274" s="152">
        <f t="shared" si="65"/>
        <v>1981</v>
      </c>
      <c r="Q274" s="159">
        <f>'Monthly Prices'!B262</f>
        <v>37.59999847412</v>
      </c>
      <c r="R274" s="159">
        <f t="shared" si="66"/>
        <v>35.484999656675832</v>
      </c>
      <c r="S274" s="155">
        <f>_xlfn.XLOOKUP(P274,'Annual Real'!A:A,'Annual Real'!B:B,0,0)</f>
        <v>54.342465271827599</v>
      </c>
      <c r="T274" s="155">
        <f t="shared" ca="1" si="67"/>
        <v>2.7240205762540155</v>
      </c>
      <c r="U274" s="152">
        <f t="shared" ca="1" si="68"/>
        <v>2.7240205762540155</v>
      </c>
      <c r="V274" s="152" t="b">
        <f t="shared" si="74"/>
        <v>0</v>
      </c>
      <c r="W274" s="152" t="b">
        <f t="shared" si="75"/>
        <v>0</v>
      </c>
      <c r="X274" s="154">
        <f>LOOKUP(D274,'US Implicit Deflator'!A:A,'US Implicit Deflator'!B:B)/100</f>
        <v>0.10099999999999999</v>
      </c>
      <c r="Y274" s="154">
        <f t="shared" si="69"/>
        <v>8.0504703073109862E-3</v>
      </c>
      <c r="Z274" s="165">
        <f t="shared" ca="1" si="70"/>
        <v>2.5068801546648825</v>
      </c>
      <c r="AA274" s="152">
        <f t="shared" si="71"/>
        <v>7</v>
      </c>
      <c r="AB274" s="153">
        <f t="shared" si="72"/>
        <v>29646</v>
      </c>
      <c r="AC274" s="155">
        <f t="shared" ca="1" si="73"/>
        <v>2.7240205762540155</v>
      </c>
    </row>
    <row r="275" spans="3:29">
      <c r="C275" s="152" t="str">
        <f>'Monthly Prices'!A263</f>
        <v>1981M04</v>
      </c>
      <c r="D275" s="153">
        <f t="shared" si="62"/>
        <v>29677</v>
      </c>
      <c r="E275" s="152">
        <f t="shared" si="63"/>
        <v>256</v>
      </c>
      <c r="F275" s="152" t="b">
        <f t="shared" si="57"/>
        <v>0</v>
      </c>
      <c r="G275" s="152" t="b">
        <f t="shared" si="58"/>
        <v>1</v>
      </c>
      <c r="H275" s="152" t="b">
        <f t="shared" si="59"/>
        <v>0</v>
      </c>
      <c r="I275" s="153" t="e">
        <f t="shared" si="60"/>
        <v>#N/A</v>
      </c>
      <c r="J275" s="158">
        <f>INDEX('Monthly Prices'!B263:CB263,$G$4)</f>
        <v>145.5</v>
      </c>
      <c r="K275" s="158" t="b">
        <f>IF(H275,INDEX('Monthly Prices'!B263:CB263,$G$4)*U275,FALSE)</f>
        <v>0</v>
      </c>
      <c r="L275" s="152" t="b">
        <f t="shared" si="64"/>
        <v>1</v>
      </c>
      <c r="M275" s="158">
        <f>INDEX('Monthly Prices'!B263:CB263,$G$5)</f>
        <v>82.58</v>
      </c>
      <c r="N275" s="158" t="b">
        <f>IF(H275,INDEX('Monthly Prices'!B263:CB263,$G$5)*U275,FALSE)</f>
        <v>0</v>
      </c>
      <c r="O275" s="152" t="b">
        <f t="shared" si="61"/>
        <v>1</v>
      </c>
      <c r="P275" s="152">
        <f t="shared" si="65"/>
        <v>1981</v>
      </c>
      <c r="Q275" s="159">
        <f>'Monthly Prices'!B263</f>
        <v>36.369998931879998</v>
      </c>
      <c r="R275" s="159">
        <f t="shared" si="66"/>
        <v>35.484999656675832</v>
      </c>
      <c r="S275" s="155">
        <f>_xlfn.XLOOKUP(P275,'Annual Real'!A:A,'Annual Real'!B:B,0,0)</f>
        <v>54.342465271827599</v>
      </c>
      <c r="T275" s="155">
        <f t="shared" ca="1" si="67"/>
        <v>2.7041150414015869</v>
      </c>
      <c r="U275" s="152">
        <f t="shared" ca="1" si="68"/>
        <v>2.7041150414015869</v>
      </c>
      <c r="V275" s="152" t="b">
        <f t="shared" si="74"/>
        <v>0</v>
      </c>
      <c r="W275" s="152" t="b">
        <f t="shared" si="75"/>
        <v>0</v>
      </c>
      <c r="X275" s="154">
        <f>LOOKUP(D275,'US Implicit Deflator'!A:A,'US Implicit Deflator'!B:B)/100</f>
        <v>9.1999999999999998E-2</v>
      </c>
      <c r="Y275" s="154">
        <f t="shared" si="69"/>
        <v>7.3612011869552685E-3</v>
      </c>
      <c r="Z275" s="165">
        <f t="shared" ca="1" si="70"/>
        <v>2.5253338038349562</v>
      </c>
      <c r="AA275" s="152">
        <f t="shared" si="71"/>
        <v>7</v>
      </c>
      <c r="AB275" s="153">
        <f t="shared" si="72"/>
        <v>29677</v>
      </c>
      <c r="AC275" s="155">
        <f t="shared" ca="1" si="73"/>
        <v>2.7041150414015869</v>
      </c>
    </row>
    <row r="276" spans="3:29">
      <c r="C276" s="152" t="str">
        <f>'Monthly Prices'!A264</f>
        <v>1981M05</v>
      </c>
      <c r="D276" s="153">
        <f t="shared" si="62"/>
        <v>29707</v>
      </c>
      <c r="E276" s="152">
        <f t="shared" si="63"/>
        <v>257</v>
      </c>
      <c r="F276" s="152" t="b">
        <f t="shared" ref="F276:F339" si="76">AND(E276&gt;=$M$4,L276)</f>
        <v>0</v>
      </c>
      <c r="G276" s="152" t="b">
        <f t="shared" ref="G276:G339" si="77">AND(E276&lt;=$M$5,O276)</f>
        <v>1</v>
      </c>
      <c r="H276" s="152" t="b">
        <f t="shared" ref="H276:H339" si="78">AND(F276:G276)</f>
        <v>0</v>
      </c>
      <c r="I276" s="153" t="e">
        <f t="shared" ref="I276:I339" si="79">IF(H276,D276,NA)</f>
        <v>#N/A</v>
      </c>
      <c r="J276" s="158">
        <f>INDEX('Monthly Prices'!B264:CB264,$G$4)</f>
        <v>141.30000000000001</v>
      </c>
      <c r="K276" s="158" t="b">
        <f>IF(H276,INDEX('Monthly Prices'!B264:CB264,$G$4)*U276,FALSE)</f>
        <v>0</v>
      </c>
      <c r="L276" s="152" t="b">
        <f t="shared" si="64"/>
        <v>1</v>
      </c>
      <c r="M276" s="158">
        <f>INDEX('Monthly Prices'!B264:CB264,$G$5)</f>
        <v>82.58</v>
      </c>
      <c r="N276" s="158" t="b">
        <f>IF(H276,INDEX('Monthly Prices'!B264:CB264,$G$5)*U276,FALSE)</f>
        <v>0</v>
      </c>
      <c r="O276" s="152" t="b">
        <f t="shared" ref="O276:O339" si="80">AND(ISNUMBER(M276),M276&gt;0)</f>
        <v>1</v>
      </c>
      <c r="P276" s="152">
        <f t="shared" si="65"/>
        <v>1981</v>
      </c>
      <c r="Q276" s="159">
        <f>'Monthly Prices'!B264</f>
        <v>34.284999847409999</v>
      </c>
      <c r="R276" s="159">
        <f t="shared" si="66"/>
        <v>35.484999656675832</v>
      </c>
      <c r="S276" s="155">
        <f>_xlfn.XLOOKUP(P276,'Annual Real'!A:A,'Annual Real'!B:B,0,0)</f>
        <v>54.342465271827599</v>
      </c>
      <c r="T276" s="155">
        <f t="shared" ca="1" si="67"/>
        <v>2.6843549644510603</v>
      </c>
      <c r="U276" s="152">
        <f t="shared" ca="1" si="68"/>
        <v>2.6843549644510603</v>
      </c>
      <c r="V276" s="152" t="b">
        <f t="shared" si="74"/>
        <v>0</v>
      </c>
      <c r="W276" s="152" t="b">
        <f t="shared" si="75"/>
        <v>0</v>
      </c>
      <c r="X276" s="154">
        <f>LOOKUP(D276,'US Implicit Deflator'!A:A,'US Implicit Deflator'!B:B)/100</f>
        <v>9.1999999999999998E-2</v>
      </c>
      <c r="Y276" s="154">
        <f t="shared" si="69"/>
        <v>7.3612011869552685E-3</v>
      </c>
      <c r="Z276" s="165">
        <f t="shared" ca="1" si="70"/>
        <v>2.5439232940292045</v>
      </c>
      <c r="AA276" s="152">
        <f t="shared" si="71"/>
        <v>7</v>
      </c>
      <c r="AB276" s="153">
        <f t="shared" si="72"/>
        <v>29707</v>
      </c>
      <c r="AC276" s="155">
        <f t="shared" ca="1" si="73"/>
        <v>2.6843549644510603</v>
      </c>
    </row>
    <row r="277" spans="3:29">
      <c r="C277" s="152" t="str">
        <f>'Monthly Prices'!A265</f>
        <v>1981M06</v>
      </c>
      <c r="D277" s="153">
        <f t="shared" ref="D277:D340" si="81">EDATE(D276,1)</f>
        <v>29738</v>
      </c>
      <c r="E277" s="152">
        <f t="shared" ref="E277:E340" si="82">E276+1</f>
        <v>258</v>
      </c>
      <c r="F277" s="152" t="b">
        <f t="shared" si="76"/>
        <v>0</v>
      </c>
      <c r="G277" s="152" t="b">
        <f t="shared" si="77"/>
        <v>1</v>
      </c>
      <c r="H277" s="152" t="b">
        <f t="shared" si="78"/>
        <v>0</v>
      </c>
      <c r="I277" s="153" t="e">
        <f t="shared" si="79"/>
        <v>#N/A</v>
      </c>
      <c r="J277" s="158">
        <f>INDEX('Monthly Prices'!B265:CB265,$G$4)</f>
        <v>136.1</v>
      </c>
      <c r="K277" s="158" t="b">
        <f>IF(H277,INDEX('Monthly Prices'!B265:CB265,$G$4)*U277,FALSE)</f>
        <v>0</v>
      </c>
      <c r="L277" s="152" t="b">
        <f t="shared" ref="L277:L340" si="83">ISNUMBER(J277)</f>
        <v>1</v>
      </c>
      <c r="M277" s="158">
        <f>INDEX('Monthly Prices'!B265:CB265,$G$5)</f>
        <v>70.92</v>
      </c>
      <c r="N277" s="158" t="b">
        <f>IF(H277,INDEX('Monthly Prices'!B265:CB265,$G$5)*U277,FALSE)</f>
        <v>0</v>
      </c>
      <c r="O277" s="152" t="b">
        <f t="shared" si="80"/>
        <v>1</v>
      </c>
      <c r="P277" s="152">
        <f t="shared" ref="P277:P340" si="84">YEAR(D277)</f>
        <v>1981</v>
      </c>
      <c r="Q277" s="159">
        <f>'Monthly Prices'!B265</f>
        <v>32.709999084469999</v>
      </c>
      <c r="R277" s="159">
        <f t="shared" ref="R277:R340" si="85">AVERAGEIF(P:P,P277,Q:Q)</f>
        <v>35.484999656675832</v>
      </c>
      <c r="S277" s="155">
        <f>_xlfn.XLOOKUP(P277,'Annual Real'!A:A,'Annual Real'!B:B,0,0)</f>
        <v>54.342465271827599</v>
      </c>
      <c r="T277" s="155">
        <f t="shared" ref="T277:T340" ca="1" si="86">AC277</f>
        <v>2.6647392824819276</v>
      </c>
      <c r="U277" s="152">
        <f t="shared" ref="U277:U340" ca="1" si="87">IF($U$19,T277,1)</f>
        <v>2.6647392824819276</v>
      </c>
      <c r="V277" s="152" t="b">
        <f t="shared" si="74"/>
        <v>0</v>
      </c>
      <c r="W277" s="152" t="b">
        <f t="shared" si="75"/>
        <v>0</v>
      </c>
      <c r="X277" s="154">
        <f>LOOKUP(D277,'US Implicit Deflator'!A:A,'US Implicit Deflator'!B:B)/100</f>
        <v>9.1999999999999998E-2</v>
      </c>
      <c r="Y277" s="154">
        <f t="shared" ref="Y277:Y340" si="88">(1+X277)^(1/12)-1</f>
        <v>7.3612011869552685E-3</v>
      </c>
      <c r="Z277" s="165">
        <f t="shared" ref="Z277:Z340" ca="1" si="89">Z276*(1+Y277)</f>
        <v>2.5626496252007356</v>
      </c>
      <c r="AA277" s="152">
        <f t="shared" ref="AA277:AA340" si="90">LEN(C277)</f>
        <v>7</v>
      </c>
      <c r="AB277" s="153">
        <f t="shared" ref="AB277:AB340" si="91">IF(AA277&gt;2,D277,0)</f>
        <v>29738</v>
      </c>
      <c r="AC277" s="155">
        <f t="shared" ref="AC277:AC340" ca="1" si="92">$AC$17/Z277</f>
        <v>2.6647392824819276</v>
      </c>
    </row>
    <row r="278" spans="3:29">
      <c r="C278" s="152" t="str">
        <f>'Monthly Prices'!A266</f>
        <v>1981M07</v>
      </c>
      <c r="D278" s="153">
        <f t="shared" si="81"/>
        <v>29768</v>
      </c>
      <c r="E278" s="152">
        <f t="shared" si="82"/>
        <v>259</v>
      </c>
      <c r="F278" s="152" t="b">
        <f t="shared" si="76"/>
        <v>0</v>
      </c>
      <c r="G278" s="152" t="b">
        <f t="shared" si="77"/>
        <v>1</v>
      </c>
      <c r="H278" s="152" t="b">
        <f t="shared" si="78"/>
        <v>0</v>
      </c>
      <c r="I278" s="153" t="e">
        <f t="shared" si="79"/>
        <v>#N/A</v>
      </c>
      <c r="J278" s="158">
        <f>INDEX('Monthly Prices'!B266:CB266,$G$4)</f>
        <v>137.56</v>
      </c>
      <c r="K278" s="158" t="b">
        <f>IF(H278,INDEX('Monthly Prices'!B266:CB266,$G$4)*U278,FALSE)</f>
        <v>0</v>
      </c>
      <c r="L278" s="152" t="b">
        <f t="shared" si="83"/>
        <v>1</v>
      </c>
      <c r="M278" s="158">
        <f>INDEX('Monthly Prices'!B266:CB266,$G$5)</f>
        <v>77.540000000000006</v>
      </c>
      <c r="N278" s="158" t="b">
        <f>IF(H278,INDEX('Monthly Prices'!B266:CB266,$G$5)*U278,FALSE)</f>
        <v>0</v>
      </c>
      <c r="O278" s="152" t="b">
        <f t="shared" si="80"/>
        <v>1</v>
      </c>
      <c r="P278" s="152">
        <f t="shared" si="84"/>
        <v>1981</v>
      </c>
      <c r="Q278" s="159">
        <f>'Monthly Prices'!B266</f>
        <v>33.510000228880003</v>
      </c>
      <c r="R278" s="159">
        <f t="shared" si="85"/>
        <v>35.484999656675832</v>
      </c>
      <c r="S278" s="155">
        <f>_xlfn.XLOOKUP(P278,'Annual Real'!A:A,'Annual Real'!B:B,0,0)</f>
        <v>54.342465271827599</v>
      </c>
      <c r="T278" s="155">
        <f t="shared" ca="1" si="86"/>
        <v>2.6442601000455355</v>
      </c>
      <c r="U278" s="152">
        <f t="shared" ca="1" si="87"/>
        <v>2.6442601000455355</v>
      </c>
      <c r="V278" s="152" t="b">
        <f t="shared" ref="V278:V341" si="93">IF(AND(H277,H278),LN(K278/K277))</f>
        <v>0</v>
      </c>
      <c r="W278" s="152" t="b">
        <f t="shared" ref="W278:W341" si="94">IF(AND($H277,$H278),LN(N278/N277))</f>
        <v>0</v>
      </c>
      <c r="X278" s="154">
        <f>LOOKUP(D278,'US Implicit Deflator'!A:A,'US Implicit Deflator'!B:B)/100</f>
        <v>9.6999999999999989E-2</v>
      </c>
      <c r="Y278" s="154">
        <f t="shared" si="88"/>
        <v>7.7447685407496802E-3</v>
      </c>
      <c r="Z278" s="165">
        <f t="shared" ca="1" si="89"/>
        <v>2.5824967533989542</v>
      </c>
      <c r="AA278" s="152">
        <f t="shared" si="90"/>
        <v>7</v>
      </c>
      <c r="AB278" s="153">
        <f t="shared" si="91"/>
        <v>29768</v>
      </c>
      <c r="AC278" s="155">
        <f t="shared" ca="1" si="92"/>
        <v>2.6442601000455355</v>
      </c>
    </row>
    <row r="279" spans="3:29">
      <c r="C279" s="152" t="str">
        <f>'Monthly Prices'!A267</f>
        <v>1981M08</v>
      </c>
      <c r="D279" s="153">
        <f t="shared" si="81"/>
        <v>29799</v>
      </c>
      <c r="E279" s="152">
        <f t="shared" si="82"/>
        <v>260</v>
      </c>
      <c r="F279" s="152" t="b">
        <f t="shared" si="76"/>
        <v>0</v>
      </c>
      <c r="G279" s="152" t="b">
        <f t="shared" si="77"/>
        <v>1</v>
      </c>
      <c r="H279" s="152" t="b">
        <f t="shared" si="78"/>
        <v>0</v>
      </c>
      <c r="I279" s="153" t="e">
        <f t="shared" si="79"/>
        <v>#N/A</v>
      </c>
      <c r="J279" s="158">
        <f>INDEX('Monthly Prices'!B267:CB267,$G$4)</f>
        <v>127.11</v>
      </c>
      <c r="K279" s="158" t="b">
        <f>IF(H279,INDEX('Monthly Prices'!B267:CB267,$G$4)*U279,FALSE)</f>
        <v>0</v>
      </c>
      <c r="L279" s="152" t="b">
        <f t="shared" si="83"/>
        <v>1</v>
      </c>
      <c r="M279" s="158">
        <f>INDEX('Monthly Prices'!B267:CB267,$G$5)</f>
        <v>75.89</v>
      </c>
      <c r="N279" s="158" t="b">
        <f>IF(H279,INDEX('Monthly Prices'!B267:CB267,$G$5)*U279,FALSE)</f>
        <v>0</v>
      </c>
      <c r="O279" s="152" t="b">
        <f t="shared" si="80"/>
        <v>1</v>
      </c>
      <c r="P279" s="152">
        <f t="shared" si="84"/>
        <v>1981</v>
      </c>
      <c r="Q279" s="159">
        <f>'Monthly Prices'!B267</f>
        <v>33.984998703000002</v>
      </c>
      <c r="R279" s="159">
        <f t="shared" si="85"/>
        <v>35.484999656675832</v>
      </c>
      <c r="S279" s="155">
        <f>_xlfn.XLOOKUP(P279,'Annual Real'!A:A,'Annual Real'!B:B,0,0)</f>
        <v>54.342465271827599</v>
      </c>
      <c r="T279" s="155">
        <f t="shared" ca="1" si="86"/>
        <v>2.623938305206504</v>
      </c>
      <c r="U279" s="152">
        <f t="shared" ca="1" si="87"/>
        <v>2.623938305206504</v>
      </c>
      <c r="V279" s="152" t="b">
        <f t="shared" si="93"/>
        <v>0</v>
      </c>
      <c r="W279" s="152" t="b">
        <f t="shared" si="94"/>
        <v>0</v>
      </c>
      <c r="X279" s="154">
        <f>LOOKUP(D279,'US Implicit Deflator'!A:A,'US Implicit Deflator'!B:B)/100</f>
        <v>9.6999999999999989E-2</v>
      </c>
      <c r="Y279" s="154">
        <f t="shared" si="88"/>
        <v>7.7447685407496802E-3</v>
      </c>
      <c r="Z279" s="165">
        <f t="shared" ca="1" si="89"/>
        <v>2.6024975930112668</v>
      </c>
      <c r="AA279" s="152">
        <f t="shared" si="90"/>
        <v>7</v>
      </c>
      <c r="AB279" s="153">
        <f t="shared" si="91"/>
        <v>29799</v>
      </c>
      <c r="AC279" s="155">
        <f t="shared" ca="1" si="92"/>
        <v>2.623938305206504</v>
      </c>
    </row>
    <row r="280" spans="3:29">
      <c r="C280" s="152" t="str">
        <f>'Monthly Prices'!A268</f>
        <v>1981M09</v>
      </c>
      <c r="D280" s="153">
        <f t="shared" si="81"/>
        <v>29830</v>
      </c>
      <c r="E280" s="152">
        <f t="shared" si="82"/>
        <v>261</v>
      </c>
      <c r="F280" s="152" t="b">
        <f t="shared" si="76"/>
        <v>0</v>
      </c>
      <c r="G280" s="152" t="b">
        <f t="shared" si="77"/>
        <v>1</v>
      </c>
      <c r="H280" s="152" t="b">
        <f t="shared" si="78"/>
        <v>0</v>
      </c>
      <c r="I280" s="153" t="e">
        <f t="shared" si="79"/>
        <v>#N/A</v>
      </c>
      <c r="J280" s="158">
        <f>INDEX('Monthly Prices'!B268:CB268,$G$4)</f>
        <v>115.5</v>
      </c>
      <c r="K280" s="158" t="b">
        <f>IF(H280,INDEX('Monthly Prices'!B268:CB268,$G$4)*U280,FALSE)</f>
        <v>0</v>
      </c>
      <c r="L280" s="152" t="b">
        <f t="shared" si="83"/>
        <v>1</v>
      </c>
      <c r="M280" s="158">
        <f>INDEX('Monthly Prices'!B268:CB268,$G$5)</f>
        <v>70.92</v>
      </c>
      <c r="N280" s="158" t="b">
        <f>IF(H280,INDEX('Monthly Prices'!B268:CB268,$G$5)*U280,FALSE)</f>
        <v>0</v>
      </c>
      <c r="O280" s="152" t="b">
        <f t="shared" si="80"/>
        <v>1</v>
      </c>
      <c r="P280" s="152">
        <f t="shared" si="84"/>
        <v>1981</v>
      </c>
      <c r="Q280" s="159">
        <f>'Monthly Prices'!B268</f>
        <v>33.985000610349999</v>
      </c>
      <c r="R280" s="159">
        <f t="shared" si="85"/>
        <v>35.484999656675832</v>
      </c>
      <c r="S280" s="155">
        <f>_xlfn.XLOOKUP(P280,'Annual Real'!A:A,'Annual Real'!B:B,0,0)</f>
        <v>54.342465271827599</v>
      </c>
      <c r="T280" s="155">
        <f t="shared" ca="1" si="86"/>
        <v>2.603772688402104</v>
      </c>
      <c r="U280" s="152">
        <f t="shared" ca="1" si="87"/>
        <v>2.603772688402104</v>
      </c>
      <c r="V280" s="152" t="b">
        <f t="shared" si="93"/>
        <v>0</v>
      </c>
      <c r="W280" s="152" t="b">
        <f t="shared" si="94"/>
        <v>0</v>
      </c>
      <c r="X280" s="154">
        <f>LOOKUP(D280,'US Implicit Deflator'!A:A,'US Implicit Deflator'!B:B)/100</f>
        <v>9.6999999999999989E-2</v>
      </c>
      <c r="Y280" s="154">
        <f t="shared" si="88"/>
        <v>7.7447685407496802E-3</v>
      </c>
      <c r="Z280" s="165">
        <f t="shared" ca="1" si="89"/>
        <v>2.6226533344969973</v>
      </c>
      <c r="AA280" s="152">
        <f t="shared" si="90"/>
        <v>7</v>
      </c>
      <c r="AB280" s="153">
        <f t="shared" si="91"/>
        <v>29830</v>
      </c>
      <c r="AC280" s="155">
        <f t="shared" ca="1" si="92"/>
        <v>2.603772688402104</v>
      </c>
    </row>
    <row r="281" spans="3:29">
      <c r="C281" s="152" t="str">
        <f>'Monthly Prices'!A269</f>
        <v>1981M10</v>
      </c>
      <c r="D281" s="153">
        <f t="shared" si="81"/>
        <v>29860</v>
      </c>
      <c r="E281" s="152">
        <f t="shared" si="82"/>
        <v>262</v>
      </c>
      <c r="F281" s="152" t="b">
        <f t="shared" si="76"/>
        <v>0</v>
      </c>
      <c r="G281" s="152" t="b">
        <f t="shared" si="77"/>
        <v>1</v>
      </c>
      <c r="H281" s="152" t="b">
        <f t="shared" si="78"/>
        <v>0</v>
      </c>
      <c r="I281" s="153" t="e">
        <f t="shared" si="79"/>
        <v>#N/A</v>
      </c>
      <c r="J281" s="158">
        <f>INDEX('Monthly Prices'!B269:CB269,$G$4)</f>
        <v>112.67</v>
      </c>
      <c r="K281" s="158" t="b">
        <f>IF(H281,INDEX('Monthly Prices'!B269:CB269,$G$4)*U281,FALSE)</f>
        <v>0</v>
      </c>
      <c r="L281" s="152" t="b">
        <f t="shared" si="83"/>
        <v>1</v>
      </c>
      <c r="M281" s="158">
        <f>INDEX('Monthly Prices'!B269:CB269,$G$5)</f>
        <v>73.59</v>
      </c>
      <c r="N281" s="158" t="b">
        <f>IF(H281,INDEX('Monthly Prices'!B269:CB269,$G$5)*U281,FALSE)</f>
        <v>0</v>
      </c>
      <c r="O281" s="152" t="b">
        <f t="shared" si="80"/>
        <v>1</v>
      </c>
      <c r="P281" s="152">
        <f t="shared" si="84"/>
        <v>1981</v>
      </c>
      <c r="Q281" s="159">
        <f>'Monthly Prices'!B269</f>
        <v>34.610000610349999</v>
      </c>
      <c r="R281" s="159">
        <f t="shared" si="85"/>
        <v>35.484999656675832</v>
      </c>
      <c r="S281" s="155">
        <f>_xlfn.XLOOKUP(P281,'Annual Real'!A:A,'Annual Real'!B:B,0,0)</f>
        <v>54.342465271827599</v>
      </c>
      <c r="T281" s="155">
        <f t="shared" ca="1" si="86"/>
        <v>2.5843517477912838</v>
      </c>
      <c r="U281" s="152">
        <f t="shared" ca="1" si="87"/>
        <v>2.5843517477912838</v>
      </c>
      <c r="V281" s="152" t="b">
        <f t="shared" si="93"/>
        <v>0</v>
      </c>
      <c r="W281" s="152" t="b">
        <f t="shared" si="94"/>
        <v>0</v>
      </c>
      <c r="X281" s="154">
        <f>LOOKUP(D281,'US Implicit Deflator'!A:A,'US Implicit Deflator'!B:B)/100</f>
        <v>9.4E-2</v>
      </c>
      <c r="Y281" s="154">
        <f t="shared" si="88"/>
        <v>7.5148209323356863E-3</v>
      </c>
      <c r="Z281" s="165">
        <f t="shared" ca="1" si="89"/>
        <v>2.6423621046733352</v>
      </c>
      <c r="AA281" s="152">
        <f t="shared" si="90"/>
        <v>7</v>
      </c>
      <c r="AB281" s="153">
        <f t="shared" si="91"/>
        <v>29860</v>
      </c>
      <c r="AC281" s="155">
        <f t="shared" ca="1" si="92"/>
        <v>2.5843517477912838</v>
      </c>
    </row>
    <row r="282" spans="3:29">
      <c r="C282" s="152" t="str">
        <f>'Monthly Prices'!A270</f>
        <v>1981M11</v>
      </c>
      <c r="D282" s="153">
        <f t="shared" si="81"/>
        <v>29891</v>
      </c>
      <c r="E282" s="152">
        <f t="shared" si="82"/>
        <v>263</v>
      </c>
      <c r="F282" s="152" t="b">
        <f t="shared" si="76"/>
        <v>0</v>
      </c>
      <c r="G282" s="152" t="b">
        <f t="shared" si="77"/>
        <v>1</v>
      </c>
      <c r="H282" s="152" t="b">
        <f t="shared" si="78"/>
        <v>0</v>
      </c>
      <c r="I282" s="153" t="e">
        <f t="shared" si="79"/>
        <v>#N/A</v>
      </c>
      <c r="J282" s="158">
        <f>INDEX('Monthly Prices'!B270:CB270,$G$4)</f>
        <v>111.76</v>
      </c>
      <c r="K282" s="158" t="b">
        <f>IF(H282,INDEX('Monthly Prices'!B270:CB270,$G$4)*U282,FALSE)</f>
        <v>0</v>
      </c>
      <c r="L282" s="152" t="b">
        <f t="shared" si="83"/>
        <v>1</v>
      </c>
      <c r="M282" s="158">
        <f>INDEX('Monthly Prices'!B270:CB270,$G$5)</f>
        <v>77.540000000000006</v>
      </c>
      <c r="N282" s="158" t="b">
        <f>IF(H282,INDEX('Monthly Prices'!B270:CB270,$G$5)*U282,FALSE)</f>
        <v>0</v>
      </c>
      <c r="O282" s="152" t="b">
        <f t="shared" si="80"/>
        <v>1</v>
      </c>
      <c r="P282" s="152">
        <f t="shared" si="84"/>
        <v>1981</v>
      </c>
      <c r="Q282" s="159">
        <f>'Monthly Prices'!B270</f>
        <v>35.680000305180002</v>
      </c>
      <c r="R282" s="159">
        <f t="shared" si="85"/>
        <v>35.484999656675832</v>
      </c>
      <c r="S282" s="155">
        <f>_xlfn.XLOOKUP(P282,'Annual Real'!A:A,'Annual Real'!B:B,0,0)</f>
        <v>54.342465271827599</v>
      </c>
      <c r="T282" s="155">
        <f t="shared" ca="1" si="86"/>
        <v>2.5650756635021725</v>
      </c>
      <c r="U282" s="152">
        <f t="shared" ca="1" si="87"/>
        <v>2.5650756635021725</v>
      </c>
      <c r="V282" s="152" t="b">
        <f t="shared" si="93"/>
        <v>0</v>
      </c>
      <c r="W282" s="152" t="b">
        <f t="shared" si="94"/>
        <v>0</v>
      </c>
      <c r="X282" s="154">
        <f>LOOKUP(D282,'US Implicit Deflator'!A:A,'US Implicit Deflator'!B:B)/100</f>
        <v>9.4E-2</v>
      </c>
      <c r="Y282" s="154">
        <f t="shared" si="88"/>
        <v>7.5148209323356863E-3</v>
      </c>
      <c r="Z282" s="165">
        <f t="shared" ca="1" si="89"/>
        <v>2.6622189827283451</v>
      </c>
      <c r="AA282" s="152">
        <f t="shared" si="90"/>
        <v>7</v>
      </c>
      <c r="AB282" s="153">
        <f t="shared" si="91"/>
        <v>29891</v>
      </c>
      <c r="AC282" s="155">
        <f t="shared" ca="1" si="92"/>
        <v>2.5650756635021725</v>
      </c>
    </row>
    <row r="283" spans="3:29">
      <c r="C283" s="152" t="str">
        <f>'Monthly Prices'!A271</f>
        <v>1981M12</v>
      </c>
      <c r="D283" s="153">
        <f t="shared" si="81"/>
        <v>29921</v>
      </c>
      <c r="E283" s="152">
        <f t="shared" si="82"/>
        <v>264</v>
      </c>
      <c r="F283" s="152" t="b">
        <f t="shared" si="76"/>
        <v>0</v>
      </c>
      <c r="G283" s="152" t="b">
        <f t="shared" si="77"/>
        <v>1</v>
      </c>
      <c r="H283" s="152" t="b">
        <f t="shared" si="78"/>
        <v>0</v>
      </c>
      <c r="I283" s="153" t="e">
        <f t="shared" si="79"/>
        <v>#N/A</v>
      </c>
      <c r="J283" s="158">
        <f>INDEX('Monthly Prices'!B271:CB271,$G$4)</f>
        <v>107.63</v>
      </c>
      <c r="K283" s="158" t="b">
        <f>IF(H283,INDEX('Monthly Prices'!B271:CB271,$G$4)*U283,FALSE)</f>
        <v>0</v>
      </c>
      <c r="L283" s="152" t="b">
        <f t="shared" si="83"/>
        <v>1</v>
      </c>
      <c r="M283" s="158">
        <f>INDEX('Monthly Prices'!B271:CB271,$G$5)</f>
        <v>69.260000000000005</v>
      </c>
      <c r="N283" s="158" t="b">
        <f>IF(H283,INDEX('Monthly Prices'!B271:CB271,$G$5)*U283,FALSE)</f>
        <v>0</v>
      </c>
      <c r="O283" s="152" t="b">
        <f t="shared" si="80"/>
        <v>1</v>
      </c>
      <c r="P283" s="152">
        <f t="shared" si="84"/>
        <v>1981</v>
      </c>
      <c r="Q283" s="159">
        <f>'Monthly Prices'!B271</f>
        <v>35.409999847409999</v>
      </c>
      <c r="R283" s="159">
        <f t="shared" si="85"/>
        <v>35.484999656675832</v>
      </c>
      <c r="S283" s="155">
        <f>_xlfn.XLOOKUP(P283,'Annual Real'!A:A,'Annual Real'!B:B,0,0)</f>
        <v>54.342465271827599</v>
      </c>
      <c r="T283" s="155">
        <f t="shared" ca="1" si="86"/>
        <v>2.54594335508484</v>
      </c>
      <c r="U283" s="152">
        <f t="shared" ca="1" si="87"/>
        <v>2.54594335508484</v>
      </c>
      <c r="V283" s="152" t="b">
        <f t="shared" si="93"/>
        <v>0</v>
      </c>
      <c r="W283" s="152" t="b">
        <f t="shared" si="94"/>
        <v>0</v>
      </c>
      <c r="X283" s="154">
        <f>LOOKUP(D283,'US Implicit Deflator'!A:A,'US Implicit Deflator'!B:B)/100</f>
        <v>9.4E-2</v>
      </c>
      <c r="Y283" s="154">
        <f t="shared" si="88"/>
        <v>7.5148209323356863E-3</v>
      </c>
      <c r="Z283" s="165">
        <f t="shared" ca="1" si="89"/>
        <v>2.6822250816662137</v>
      </c>
      <c r="AA283" s="152">
        <f t="shared" si="90"/>
        <v>7</v>
      </c>
      <c r="AB283" s="153">
        <f t="shared" si="91"/>
        <v>29921</v>
      </c>
      <c r="AC283" s="155">
        <f t="shared" ca="1" si="92"/>
        <v>2.54594335508484</v>
      </c>
    </row>
    <row r="284" spans="3:29">
      <c r="C284" s="152" t="str">
        <f>'Monthly Prices'!A272</f>
        <v>1982M01</v>
      </c>
      <c r="D284" s="153">
        <f t="shared" si="81"/>
        <v>29952</v>
      </c>
      <c r="E284" s="152">
        <f t="shared" si="82"/>
        <v>265</v>
      </c>
      <c r="F284" s="152" t="b">
        <f t="shared" si="76"/>
        <v>0</v>
      </c>
      <c r="G284" s="152" t="b">
        <f t="shared" si="77"/>
        <v>1</v>
      </c>
      <c r="H284" s="152" t="b">
        <f t="shared" si="78"/>
        <v>0</v>
      </c>
      <c r="I284" s="153" t="e">
        <f t="shared" si="79"/>
        <v>#N/A</v>
      </c>
      <c r="J284" s="158">
        <f>INDEX('Monthly Prices'!B272:CB272,$G$4)</f>
        <v>115.35</v>
      </c>
      <c r="K284" s="158" t="b">
        <f>IF(H284,INDEX('Monthly Prices'!B272:CB272,$G$4)*U284,FALSE)</f>
        <v>0</v>
      </c>
      <c r="L284" s="152" t="b">
        <f t="shared" si="83"/>
        <v>1</v>
      </c>
      <c r="M284" s="158">
        <f>INDEX('Monthly Prices'!B272:CB272,$G$5)</f>
        <v>72.569999999999993</v>
      </c>
      <c r="N284" s="158" t="b">
        <f>IF(H284,INDEX('Monthly Prices'!B272:CB272,$G$5)*U284,FALSE)</f>
        <v>0</v>
      </c>
      <c r="O284" s="152" t="b">
        <f t="shared" si="80"/>
        <v>1</v>
      </c>
      <c r="P284" s="152">
        <f t="shared" si="84"/>
        <v>1982</v>
      </c>
      <c r="Q284" s="159">
        <f>'Monthly Prices'!B272</f>
        <v>35.049999491370002</v>
      </c>
      <c r="R284" s="159">
        <f t="shared" si="85"/>
        <v>32.647222126853336</v>
      </c>
      <c r="S284" s="155">
        <f>_xlfn.XLOOKUP(P284,'Annual Real'!A:A,'Annual Real'!B:B,0,0)</f>
        <v>51.531474983439502</v>
      </c>
      <c r="T284" s="155">
        <f t="shared" ca="1" si="86"/>
        <v>2.5308420791125643</v>
      </c>
      <c r="U284" s="152">
        <f t="shared" ca="1" si="87"/>
        <v>2.5308420791125643</v>
      </c>
      <c r="V284" s="152" t="b">
        <f t="shared" si="93"/>
        <v>0</v>
      </c>
      <c r="W284" s="152" t="b">
        <f t="shared" si="94"/>
        <v>0</v>
      </c>
      <c r="X284" s="154">
        <f>LOOKUP(D284,'US Implicit Deflator'!A:A,'US Implicit Deflator'!B:B)/100</f>
        <v>7.400000000000001E-2</v>
      </c>
      <c r="Y284" s="154">
        <f t="shared" si="88"/>
        <v>5.9668977756095476E-3</v>
      </c>
      <c r="Z284" s="165">
        <f t="shared" ca="1" si="89"/>
        <v>2.6982296445396918</v>
      </c>
      <c r="AA284" s="152">
        <f t="shared" si="90"/>
        <v>7</v>
      </c>
      <c r="AB284" s="153">
        <f t="shared" si="91"/>
        <v>29952</v>
      </c>
      <c r="AC284" s="155">
        <f t="shared" ca="1" si="92"/>
        <v>2.5308420791125643</v>
      </c>
    </row>
    <row r="285" spans="3:29">
      <c r="C285" s="152" t="str">
        <f>'Monthly Prices'!A273</f>
        <v>1982M02</v>
      </c>
      <c r="D285" s="153">
        <f t="shared" si="81"/>
        <v>29983</v>
      </c>
      <c r="E285" s="152">
        <f t="shared" si="82"/>
        <v>266</v>
      </c>
      <c r="F285" s="152" t="b">
        <f t="shared" si="76"/>
        <v>0</v>
      </c>
      <c r="G285" s="152" t="b">
        <f t="shared" si="77"/>
        <v>1</v>
      </c>
      <c r="H285" s="152" t="b">
        <f t="shared" si="78"/>
        <v>0</v>
      </c>
      <c r="I285" s="153" t="e">
        <f t="shared" si="79"/>
        <v>#N/A</v>
      </c>
      <c r="J285" s="158">
        <f>INDEX('Monthly Prices'!B273:CB273,$G$4)</f>
        <v>112.59</v>
      </c>
      <c r="K285" s="158" t="b">
        <f>IF(H285,INDEX('Monthly Prices'!B273:CB273,$G$4)*U285,FALSE)</f>
        <v>0</v>
      </c>
      <c r="L285" s="152" t="b">
        <f t="shared" si="83"/>
        <v>1</v>
      </c>
      <c r="M285" s="158">
        <f>INDEX('Monthly Prices'!B273:CB273,$G$5)</f>
        <v>75.89</v>
      </c>
      <c r="N285" s="158" t="b">
        <f>IF(H285,INDEX('Monthly Prices'!B273:CB273,$G$5)*U285,FALSE)</f>
        <v>0</v>
      </c>
      <c r="O285" s="152" t="b">
        <f t="shared" si="80"/>
        <v>1</v>
      </c>
      <c r="P285" s="152">
        <f t="shared" si="84"/>
        <v>1982</v>
      </c>
      <c r="Q285" s="159">
        <f>'Monthly Prices'!B273</f>
        <v>32.273333485919999</v>
      </c>
      <c r="R285" s="159">
        <f t="shared" si="85"/>
        <v>32.647222126853336</v>
      </c>
      <c r="S285" s="155">
        <f>_xlfn.XLOOKUP(P285,'Annual Real'!A:A,'Annual Real'!B:B,0,0)</f>
        <v>51.531474983439502</v>
      </c>
      <c r="T285" s="155">
        <f t="shared" ca="1" si="86"/>
        <v>2.5158303764355998</v>
      </c>
      <c r="U285" s="152">
        <f t="shared" ca="1" si="87"/>
        <v>2.5158303764355998</v>
      </c>
      <c r="V285" s="152" t="b">
        <f t="shared" si="93"/>
        <v>0</v>
      </c>
      <c r="W285" s="152" t="b">
        <f t="shared" si="94"/>
        <v>0</v>
      </c>
      <c r="X285" s="154">
        <f>LOOKUP(D285,'US Implicit Deflator'!A:A,'US Implicit Deflator'!B:B)/100</f>
        <v>7.400000000000001E-2</v>
      </c>
      <c r="Y285" s="154">
        <f t="shared" si="88"/>
        <v>5.9668977756095476E-3</v>
      </c>
      <c r="Z285" s="165">
        <f t="shared" ca="1" si="89"/>
        <v>2.7143297050037796</v>
      </c>
      <c r="AA285" s="152">
        <f t="shared" si="90"/>
        <v>7</v>
      </c>
      <c r="AB285" s="153">
        <f t="shared" si="91"/>
        <v>29983</v>
      </c>
      <c r="AC285" s="155">
        <f t="shared" ca="1" si="92"/>
        <v>2.5158303764355998</v>
      </c>
    </row>
    <row r="286" spans="3:29">
      <c r="C286" s="152" t="str">
        <f>'Monthly Prices'!A274</f>
        <v>1982M03</v>
      </c>
      <c r="D286" s="153">
        <f t="shared" si="81"/>
        <v>30011</v>
      </c>
      <c r="E286" s="152">
        <f t="shared" si="82"/>
        <v>267</v>
      </c>
      <c r="F286" s="152" t="b">
        <f t="shared" si="76"/>
        <v>0</v>
      </c>
      <c r="G286" s="152" t="b">
        <f t="shared" si="77"/>
        <v>1</v>
      </c>
      <c r="H286" s="152" t="b">
        <f t="shared" si="78"/>
        <v>0</v>
      </c>
      <c r="I286" s="153" t="e">
        <f t="shared" si="79"/>
        <v>#N/A</v>
      </c>
      <c r="J286" s="158">
        <f>INDEX('Monthly Prices'!B274:CB274,$G$4)</f>
        <v>114.17</v>
      </c>
      <c r="K286" s="158" t="b">
        <f>IF(H286,INDEX('Monthly Prices'!B274:CB274,$G$4)*U286,FALSE)</f>
        <v>0</v>
      </c>
      <c r="L286" s="152" t="b">
        <f t="shared" si="83"/>
        <v>1</v>
      </c>
      <c r="M286" s="158">
        <f>INDEX('Monthly Prices'!B274:CB274,$G$5)</f>
        <v>70.92</v>
      </c>
      <c r="N286" s="158" t="b">
        <f>IF(H286,INDEX('Monthly Prices'!B274:CB274,$G$5)*U286,FALSE)</f>
        <v>0</v>
      </c>
      <c r="O286" s="152" t="b">
        <f t="shared" si="80"/>
        <v>1</v>
      </c>
      <c r="P286" s="152">
        <f t="shared" si="84"/>
        <v>1982</v>
      </c>
      <c r="Q286" s="159">
        <f>'Monthly Prices'!B274</f>
        <v>30.16666653951</v>
      </c>
      <c r="R286" s="159">
        <f t="shared" si="85"/>
        <v>32.647222126853336</v>
      </c>
      <c r="S286" s="155">
        <f>_xlfn.XLOOKUP(P286,'Annual Real'!A:A,'Annual Real'!B:B,0,0)</f>
        <v>51.531474983439502</v>
      </c>
      <c r="T286" s="155">
        <f t="shared" ca="1" si="86"/>
        <v>2.5009077157494892</v>
      </c>
      <c r="U286" s="152">
        <f t="shared" ca="1" si="87"/>
        <v>2.5009077157494892</v>
      </c>
      <c r="V286" s="152" t="b">
        <f t="shared" si="93"/>
        <v>0</v>
      </c>
      <c r="W286" s="152" t="b">
        <f t="shared" si="94"/>
        <v>0</v>
      </c>
      <c r="X286" s="154">
        <f>LOOKUP(D286,'US Implicit Deflator'!A:A,'US Implicit Deflator'!B:B)/100</f>
        <v>7.400000000000001E-2</v>
      </c>
      <c r="Y286" s="154">
        <f t="shared" si="88"/>
        <v>5.9668977756095476E-3</v>
      </c>
      <c r="Z286" s="165">
        <f t="shared" ca="1" si="89"/>
        <v>2.7305258328828375</v>
      </c>
      <c r="AA286" s="152">
        <f t="shared" si="90"/>
        <v>7</v>
      </c>
      <c r="AB286" s="153">
        <f t="shared" si="91"/>
        <v>30011</v>
      </c>
      <c r="AC286" s="155">
        <f t="shared" ca="1" si="92"/>
        <v>2.5009077157494892</v>
      </c>
    </row>
    <row r="287" spans="3:29">
      <c r="C287" s="152" t="str">
        <f>'Monthly Prices'!A275</f>
        <v>1982M04</v>
      </c>
      <c r="D287" s="153">
        <f t="shared" si="81"/>
        <v>30042</v>
      </c>
      <c r="E287" s="152">
        <f t="shared" si="82"/>
        <v>268</v>
      </c>
      <c r="F287" s="152" t="b">
        <f t="shared" si="76"/>
        <v>0</v>
      </c>
      <c r="G287" s="152" t="b">
        <f t="shared" si="77"/>
        <v>1</v>
      </c>
      <c r="H287" s="152" t="b">
        <f t="shared" si="78"/>
        <v>0</v>
      </c>
      <c r="I287" s="153" t="e">
        <f t="shared" si="79"/>
        <v>#N/A</v>
      </c>
      <c r="J287" s="158">
        <f>INDEX('Monthly Prices'!B275:CB275,$G$4)</f>
        <v>117.76</v>
      </c>
      <c r="K287" s="158" t="b">
        <f>IF(H287,INDEX('Monthly Prices'!B275:CB275,$G$4)*U287,FALSE)</f>
        <v>0</v>
      </c>
      <c r="L287" s="152" t="b">
        <f t="shared" si="83"/>
        <v>1</v>
      </c>
      <c r="M287" s="158">
        <f>INDEX('Monthly Prices'!B275:CB275,$G$5)</f>
        <v>70.22</v>
      </c>
      <c r="N287" s="158" t="b">
        <f>IF(H287,INDEX('Monthly Prices'!B275:CB275,$G$5)*U287,FALSE)</f>
        <v>0</v>
      </c>
      <c r="O287" s="152" t="b">
        <f t="shared" si="80"/>
        <v>1</v>
      </c>
      <c r="P287" s="152">
        <f t="shared" si="84"/>
        <v>1982</v>
      </c>
      <c r="Q287" s="159">
        <f>'Monthly Prices'!B275</f>
        <v>31.56666603088</v>
      </c>
      <c r="R287" s="159">
        <f t="shared" si="85"/>
        <v>32.647222126853336</v>
      </c>
      <c r="S287" s="155">
        <f>_xlfn.XLOOKUP(P287,'Annual Real'!A:A,'Annual Real'!B:B,0,0)</f>
        <v>51.531474983439502</v>
      </c>
      <c r="T287" s="155">
        <f t="shared" ca="1" si="86"/>
        <v>2.4876230142568567</v>
      </c>
      <c r="U287" s="152">
        <f t="shared" ca="1" si="87"/>
        <v>2.4876230142568567</v>
      </c>
      <c r="V287" s="152" t="b">
        <f t="shared" si="93"/>
        <v>0</v>
      </c>
      <c r="W287" s="152" t="b">
        <f t="shared" si="94"/>
        <v>0</v>
      </c>
      <c r="X287" s="154">
        <f>LOOKUP(D287,'US Implicit Deflator'!A:A,'US Implicit Deflator'!B:B)/100</f>
        <v>6.6000000000000003E-2</v>
      </c>
      <c r="Y287" s="154">
        <f t="shared" si="88"/>
        <v>5.3403194199830306E-3</v>
      </c>
      <c r="Z287" s="165">
        <f t="shared" ca="1" si="89"/>
        <v>2.745107713014947</v>
      </c>
      <c r="AA287" s="152">
        <f t="shared" si="90"/>
        <v>7</v>
      </c>
      <c r="AB287" s="153">
        <f t="shared" si="91"/>
        <v>30042</v>
      </c>
      <c r="AC287" s="155">
        <f t="shared" ca="1" si="92"/>
        <v>2.4876230142568567</v>
      </c>
    </row>
    <row r="288" spans="3:29">
      <c r="C288" s="152" t="str">
        <f>'Monthly Prices'!A276</f>
        <v>1982M05</v>
      </c>
      <c r="D288" s="153">
        <f t="shared" si="81"/>
        <v>30072</v>
      </c>
      <c r="E288" s="152">
        <f t="shared" si="82"/>
        <v>269</v>
      </c>
      <c r="F288" s="152" t="b">
        <f t="shared" si="76"/>
        <v>0</v>
      </c>
      <c r="G288" s="152" t="b">
        <f t="shared" si="77"/>
        <v>1</v>
      </c>
      <c r="H288" s="152" t="b">
        <f t="shared" si="78"/>
        <v>0</v>
      </c>
      <c r="I288" s="153" t="e">
        <f t="shared" si="79"/>
        <v>#N/A</v>
      </c>
      <c r="J288" s="158">
        <f>INDEX('Monthly Prices'!B276:CB276,$G$4)</f>
        <v>118.11</v>
      </c>
      <c r="K288" s="158" t="b">
        <f>IF(H288,INDEX('Monthly Prices'!B276:CB276,$G$4)*U288,FALSE)</f>
        <v>0</v>
      </c>
      <c r="L288" s="152" t="b">
        <f t="shared" si="83"/>
        <v>1</v>
      </c>
      <c r="M288" s="158">
        <f>INDEX('Monthly Prices'!B276:CB276,$G$5)</f>
        <v>76.209999999999994</v>
      </c>
      <c r="N288" s="158" t="b">
        <f>IF(H288,INDEX('Monthly Prices'!B276:CB276,$G$5)*U288,FALSE)</f>
        <v>0</v>
      </c>
      <c r="O288" s="152" t="b">
        <f t="shared" si="80"/>
        <v>1</v>
      </c>
      <c r="P288" s="152">
        <f t="shared" si="84"/>
        <v>1982</v>
      </c>
      <c r="Q288" s="159">
        <f>'Monthly Prices'!B276</f>
        <v>33.043332926429997</v>
      </c>
      <c r="R288" s="159">
        <f t="shared" si="85"/>
        <v>32.647222126853336</v>
      </c>
      <c r="S288" s="155">
        <f>_xlfn.XLOOKUP(P288,'Annual Real'!A:A,'Annual Real'!B:B,0,0)</f>
        <v>51.531474983439502</v>
      </c>
      <c r="T288" s="155">
        <f t="shared" ca="1" si="86"/>
        <v>2.4744088804595603</v>
      </c>
      <c r="U288" s="152">
        <f t="shared" ca="1" si="87"/>
        <v>2.4744088804595603</v>
      </c>
      <c r="V288" s="152" t="b">
        <f t="shared" si="93"/>
        <v>0</v>
      </c>
      <c r="W288" s="152" t="b">
        <f t="shared" si="94"/>
        <v>0</v>
      </c>
      <c r="X288" s="154">
        <f>LOOKUP(D288,'US Implicit Deflator'!A:A,'US Implicit Deflator'!B:B)/100</f>
        <v>6.6000000000000003E-2</v>
      </c>
      <c r="Y288" s="154">
        <f t="shared" si="88"/>
        <v>5.3403194199830306E-3</v>
      </c>
      <c r="Z288" s="165">
        <f t="shared" ca="1" si="89"/>
        <v>2.7597674650447059</v>
      </c>
      <c r="AA288" s="152">
        <f t="shared" si="90"/>
        <v>7</v>
      </c>
      <c r="AB288" s="153">
        <f t="shared" si="91"/>
        <v>30072</v>
      </c>
      <c r="AC288" s="155">
        <f t="shared" ca="1" si="92"/>
        <v>2.4744088804595603</v>
      </c>
    </row>
    <row r="289" spans="3:29">
      <c r="C289" s="152" t="str">
        <f>'Monthly Prices'!A277</f>
        <v>1982M06</v>
      </c>
      <c r="D289" s="153">
        <f t="shared" si="81"/>
        <v>30103</v>
      </c>
      <c r="E289" s="152">
        <f t="shared" si="82"/>
        <v>270</v>
      </c>
      <c r="F289" s="152" t="b">
        <f t="shared" si="76"/>
        <v>0</v>
      </c>
      <c r="G289" s="152" t="b">
        <f t="shared" si="77"/>
        <v>1</v>
      </c>
      <c r="H289" s="152" t="b">
        <f t="shared" si="78"/>
        <v>0</v>
      </c>
      <c r="I289" s="153" t="e">
        <f t="shared" si="79"/>
        <v>#N/A</v>
      </c>
      <c r="J289" s="158">
        <f>INDEX('Monthly Prices'!B277:CB277,$G$4)</f>
        <v>114.95</v>
      </c>
      <c r="K289" s="158" t="b">
        <f>IF(H289,INDEX('Monthly Prices'!B277:CB277,$G$4)*U289,FALSE)</f>
        <v>0</v>
      </c>
      <c r="L289" s="152" t="b">
        <f t="shared" si="83"/>
        <v>1</v>
      </c>
      <c r="M289" s="158">
        <f>INDEX('Monthly Prices'!B277:CB277,$G$5)</f>
        <v>71.87</v>
      </c>
      <c r="N289" s="158" t="b">
        <f>IF(H289,INDEX('Monthly Prices'!B277:CB277,$G$5)*U289,FALSE)</f>
        <v>0</v>
      </c>
      <c r="O289" s="152" t="b">
        <f t="shared" si="80"/>
        <v>1</v>
      </c>
      <c r="P289" s="152">
        <f t="shared" si="84"/>
        <v>1982</v>
      </c>
      <c r="Q289" s="159">
        <f>'Monthly Prices'!B277</f>
        <v>32.766666666669998</v>
      </c>
      <c r="R289" s="159">
        <f t="shared" si="85"/>
        <v>32.647222126853336</v>
      </c>
      <c r="S289" s="155">
        <f>_xlfn.XLOOKUP(P289,'Annual Real'!A:A,'Annual Real'!B:B,0,0)</f>
        <v>51.531474983439502</v>
      </c>
      <c r="T289" s="155">
        <f t="shared" ca="1" si="86"/>
        <v>2.461264939505396</v>
      </c>
      <c r="U289" s="152">
        <f t="shared" ca="1" si="87"/>
        <v>2.461264939505396</v>
      </c>
      <c r="V289" s="152" t="b">
        <f t="shared" si="93"/>
        <v>0</v>
      </c>
      <c r="W289" s="152" t="b">
        <f t="shared" si="94"/>
        <v>0</v>
      </c>
      <c r="X289" s="154">
        <f>LOOKUP(D289,'US Implicit Deflator'!A:A,'US Implicit Deflator'!B:B)/100</f>
        <v>6.6000000000000003E-2</v>
      </c>
      <c r="Y289" s="154">
        <f t="shared" si="88"/>
        <v>5.3403194199830306E-3</v>
      </c>
      <c r="Z289" s="165">
        <f t="shared" ca="1" si="89"/>
        <v>2.7745055048329217</v>
      </c>
      <c r="AA289" s="152">
        <f t="shared" si="90"/>
        <v>7</v>
      </c>
      <c r="AB289" s="153">
        <f t="shared" si="91"/>
        <v>30103</v>
      </c>
      <c r="AC289" s="155">
        <f t="shared" ca="1" si="92"/>
        <v>2.461264939505396</v>
      </c>
    </row>
    <row r="290" spans="3:29">
      <c r="C290" s="152" t="str">
        <f>'Monthly Prices'!A278</f>
        <v>1982M07</v>
      </c>
      <c r="D290" s="153">
        <f t="shared" si="81"/>
        <v>30133</v>
      </c>
      <c r="E290" s="152">
        <f t="shared" si="82"/>
        <v>271</v>
      </c>
      <c r="F290" s="152" t="b">
        <f t="shared" si="76"/>
        <v>0</v>
      </c>
      <c r="G290" s="152" t="b">
        <f t="shared" si="77"/>
        <v>1</v>
      </c>
      <c r="H290" s="152" t="b">
        <f t="shared" si="78"/>
        <v>0</v>
      </c>
      <c r="I290" s="153" t="e">
        <f t="shared" si="79"/>
        <v>#N/A</v>
      </c>
      <c r="J290" s="158">
        <f>INDEX('Monthly Prices'!B278:CB278,$G$4)</f>
        <v>114.95</v>
      </c>
      <c r="K290" s="158" t="b">
        <f>IF(H290,INDEX('Monthly Prices'!B278:CB278,$G$4)*U290,FALSE)</f>
        <v>0</v>
      </c>
      <c r="L290" s="152" t="b">
        <f t="shared" si="83"/>
        <v>1</v>
      </c>
      <c r="M290" s="158">
        <f>INDEX('Monthly Prices'!B278:CB278,$G$5)</f>
        <v>58.56</v>
      </c>
      <c r="N290" s="158" t="b">
        <f>IF(H290,INDEX('Monthly Prices'!B278:CB278,$G$5)*U290,FALSE)</f>
        <v>0</v>
      </c>
      <c r="O290" s="152" t="b">
        <f t="shared" si="80"/>
        <v>1</v>
      </c>
      <c r="P290" s="152">
        <f t="shared" si="84"/>
        <v>1982</v>
      </c>
      <c r="Q290" s="159">
        <f>'Monthly Prices'!B278</f>
        <v>32.916667175290002</v>
      </c>
      <c r="R290" s="159">
        <f t="shared" si="85"/>
        <v>32.647222126853336</v>
      </c>
      <c r="S290" s="155">
        <f>_xlfn.XLOOKUP(P290,'Annual Real'!A:A,'Annual Real'!B:B,0,0)</f>
        <v>51.531474983439502</v>
      </c>
      <c r="T290" s="155">
        <f t="shared" ca="1" si="86"/>
        <v>2.4499212028339126</v>
      </c>
      <c r="U290" s="152">
        <f t="shared" ca="1" si="87"/>
        <v>2.4499212028339126</v>
      </c>
      <c r="V290" s="152" t="b">
        <f t="shared" si="93"/>
        <v>0</v>
      </c>
      <c r="W290" s="152" t="b">
        <f t="shared" si="94"/>
        <v>0</v>
      </c>
      <c r="X290" s="154">
        <f>LOOKUP(D290,'US Implicit Deflator'!A:A,'US Implicit Deflator'!B:B)/100</f>
        <v>5.7000000000000002E-2</v>
      </c>
      <c r="Y290" s="154">
        <f t="shared" si="88"/>
        <v>4.6302455190647684E-3</v>
      </c>
      <c r="Z290" s="165">
        <f t="shared" ca="1" si="89"/>
        <v>2.7873521465142947</v>
      </c>
      <c r="AA290" s="152">
        <f t="shared" si="90"/>
        <v>7</v>
      </c>
      <c r="AB290" s="153">
        <f t="shared" si="91"/>
        <v>30133</v>
      </c>
      <c r="AC290" s="155">
        <f t="shared" ca="1" si="92"/>
        <v>2.4499212028339126</v>
      </c>
    </row>
    <row r="291" spans="3:29">
      <c r="C291" s="152" t="str">
        <f>'Monthly Prices'!A279</f>
        <v>1982M08</v>
      </c>
      <c r="D291" s="153">
        <f t="shared" si="81"/>
        <v>30164</v>
      </c>
      <c r="E291" s="152">
        <f t="shared" si="82"/>
        <v>272</v>
      </c>
      <c r="F291" s="152" t="b">
        <f t="shared" si="76"/>
        <v>0</v>
      </c>
      <c r="G291" s="152" t="b">
        <f t="shared" si="77"/>
        <v>1</v>
      </c>
      <c r="H291" s="152" t="b">
        <f t="shared" si="78"/>
        <v>0</v>
      </c>
      <c r="I291" s="153" t="e">
        <f t="shared" si="79"/>
        <v>#N/A</v>
      </c>
      <c r="J291" s="158">
        <f>INDEX('Monthly Prices'!B279:CB279,$G$4)</f>
        <v>102.28</v>
      </c>
      <c r="K291" s="158" t="b">
        <f>IF(H291,INDEX('Monthly Prices'!B279:CB279,$G$4)*U291,FALSE)</f>
        <v>0</v>
      </c>
      <c r="L291" s="152" t="b">
        <f t="shared" si="83"/>
        <v>1</v>
      </c>
      <c r="M291" s="158">
        <f>INDEX('Monthly Prices'!B279:CB279,$G$5)</f>
        <v>59.26</v>
      </c>
      <c r="N291" s="158" t="b">
        <f>IF(H291,INDEX('Monthly Prices'!B279:CB279,$G$5)*U291,FALSE)</f>
        <v>0</v>
      </c>
      <c r="O291" s="152" t="b">
        <f t="shared" si="80"/>
        <v>1</v>
      </c>
      <c r="P291" s="152">
        <f t="shared" si="84"/>
        <v>1982</v>
      </c>
      <c r="Q291" s="159">
        <f>'Monthly Prices'!B279</f>
        <v>32.416666412349997</v>
      </c>
      <c r="R291" s="159">
        <f t="shared" si="85"/>
        <v>32.647222126853336</v>
      </c>
      <c r="S291" s="155">
        <f>_xlfn.XLOOKUP(P291,'Annual Real'!A:A,'Annual Real'!B:B,0,0)</f>
        <v>51.531474983439502</v>
      </c>
      <c r="T291" s="155">
        <f t="shared" ca="1" si="86"/>
        <v>2.4386297483688697</v>
      </c>
      <c r="U291" s="152">
        <f t="shared" ca="1" si="87"/>
        <v>2.4386297483688697</v>
      </c>
      <c r="V291" s="152" t="b">
        <f t="shared" si="93"/>
        <v>0</v>
      </c>
      <c r="W291" s="152" t="b">
        <f t="shared" si="94"/>
        <v>0</v>
      </c>
      <c r="X291" s="154">
        <f>LOOKUP(D291,'US Implicit Deflator'!A:A,'US Implicit Deflator'!B:B)/100</f>
        <v>5.7000000000000002E-2</v>
      </c>
      <c r="Y291" s="154">
        <f t="shared" si="88"/>
        <v>4.6302455190647684E-3</v>
      </c>
      <c r="Z291" s="165">
        <f t="shared" ca="1" si="89"/>
        <v>2.800258271300748</v>
      </c>
      <c r="AA291" s="152">
        <f t="shared" si="90"/>
        <v>7</v>
      </c>
      <c r="AB291" s="153">
        <f t="shared" si="91"/>
        <v>30164</v>
      </c>
      <c r="AC291" s="155">
        <f t="shared" ca="1" si="92"/>
        <v>2.4386297483688697</v>
      </c>
    </row>
    <row r="292" spans="3:29">
      <c r="C292" s="152" t="str">
        <f>'Monthly Prices'!A280</f>
        <v>1982M09</v>
      </c>
      <c r="D292" s="153">
        <f t="shared" si="81"/>
        <v>30195</v>
      </c>
      <c r="E292" s="152">
        <f t="shared" si="82"/>
        <v>273</v>
      </c>
      <c r="F292" s="152" t="b">
        <f t="shared" si="76"/>
        <v>0</v>
      </c>
      <c r="G292" s="152" t="b">
        <f t="shared" si="77"/>
        <v>1</v>
      </c>
      <c r="H292" s="152" t="b">
        <f t="shared" si="78"/>
        <v>0</v>
      </c>
      <c r="I292" s="153" t="e">
        <f t="shared" si="79"/>
        <v>#N/A</v>
      </c>
      <c r="J292" s="158">
        <f>INDEX('Monthly Prices'!B280:CB280,$G$4)</f>
        <v>100.88</v>
      </c>
      <c r="K292" s="158" t="b">
        <f>IF(H292,INDEX('Monthly Prices'!B280:CB280,$G$4)*U292,FALSE)</f>
        <v>0</v>
      </c>
      <c r="L292" s="152" t="b">
        <f t="shared" si="83"/>
        <v>1</v>
      </c>
      <c r="M292" s="158">
        <f>INDEX('Monthly Prices'!B280:CB280,$G$5)</f>
        <v>54.92</v>
      </c>
      <c r="N292" s="158" t="b">
        <f>IF(H292,INDEX('Monthly Prices'!B280:CB280,$G$5)*U292,FALSE)</f>
        <v>0</v>
      </c>
      <c r="O292" s="152" t="b">
        <f t="shared" si="80"/>
        <v>1</v>
      </c>
      <c r="P292" s="152">
        <f t="shared" si="84"/>
        <v>1982</v>
      </c>
      <c r="Q292" s="159">
        <f>'Monthly Prices'!B280</f>
        <v>33.466666412350001</v>
      </c>
      <c r="R292" s="159">
        <f t="shared" si="85"/>
        <v>32.647222126853336</v>
      </c>
      <c r="S292" s="155">
        <f>_xlfn.XLOOKUP(P292,'Annual Real'!A:A,'Annual Real'!B:B,0,0)</f>
        <v>51.531474983439502</v>
      </c>
      <c r="T292" s="155">
        <f t="shared" ca="1" si="86"/>
        <v>2.4273903351465362</v>
      </c>
      <c r="U292" s="152">
        <f t="shared" ca="1" si="87"/>
        <v>2.4273903351465362</v>
      </c>
      <c r="V292" s="152" t="b">
        <f t="shared" si="93"/>
        <v>0</v>
      </c>
      <c r="W292" s="152" t="b">
        <f t="shared" si="94"/>
        <v>0</v>
      </c>
      <c r="X292" s="154">
        <f>LOOKUP(D292,'US Implicit Deflator'!A:A,'US Implicit Deflator'!B:B)/100</f>
        <v>5.7000000000000002E-2</v>
      </c>
      <c r="Y292" s="154">
        <f t="shared" si="88"/>
        <v>4.6302455190647684E-3</v>
      </c>
      <c r="Z292" s="165">
        <f t="shared" ca="1" si="89"/>
        <v>2.8132241546136623</v>
      </c>
      <c r="AA292" s="152">
        <f t="shared" si="90"/>
        <v>7</v>
      </c>
      <c r="AB292" s="153">
        <f t="shared" si="91"/>
        <v>30195</v>
      </c>
      <c r="AC292" s="155">
        <f t="shared" ca="1" si="92"/>
        <v>2.4273903351465362</v>
      </c>
    </row>
    <row r="293" spans="3:29">
      <c r="C293" s="152" t="str">
        <f>'Monthly Prices'!A281</f>
        <v>1982M10</v>
      </c>
      <c r="D293" s="153">
        <f t="shared" si="81"/>
        <v>30225</v>
      </c>
      <c r="E293" s="152">
        <f t="shared" si="82"/>
        <v>274</v>
      </c>
      <c r="F293" s="152" t="b">
        <f t="shared" si="76"/>
        <v>0</v>
      </c>
      <c r="G293" s="152" t="b">
        <f t="shared" si="77"/>
        <v>1</v>
      </c>
      <c r="H293" s="152" t="b">
        <f t="shared" si="78"/>
        <v>0</v>
      </c>
      <c r="I293" s="153" t="e">
        <f t="shared" si="79"/>
        <v>#N/A</v>
      </c>
      <c r="J293" s="158">
        <f>INDEX('Monthly Prices'!B281:CB281,$G$4)</f>
        <v>91.73</v>
      </c>
      <c r="K293" s="158" t="b">
        <f>IF(H293,INDEX('Monthly Prices'!B281:CB281,$G$4)*U293,FALSE)</f>
        <v>0</v>
      </c>
      <c r="L293" s="152" t="b">
        <f t="shared" si="83"/>
        <v>1</v>
      </c>
      <c r="M293" s="158">
        <f>INDEX('Monthly Prices'!B281:CB281,$G$5)</f>
        <v>50.27</v>
      </c>
      <c r="N293" s="158" t="b">
        <f>IF(H293,INDEX('Monthly Prices'!B281:CB281,$G$5)*U293,FALSE)</f>
        <v>0</v>
      </c>
      <c r="O293" s="152" t="b">
        <f t="shared" si="80"/>
        <v>1</v>
      </c>
      <c r="P293" s="152">
        <f t="shared" si="84"/>
        <v>1982</v>
      </c>
      <c r="Q293" s="159">
        <f>'Monthly Prices'!B281</f>
        <v>33.783333841960001</v>
      </c>
      <c r="R293" s="159">
        <f t="shared" si="85"/>
        <v>32.647222126853336</v>
      </c>
      <c r="S293" s="155">
        <f>_xlfn.XLOOKUP(P293,'Annual Real'!A:A,'Annual Real'!B:B,0,0)</f>
        <v>51.531474983439502</v>
      </c>
      <c r="T293" s="155">
        <f t="shared" ca="1" si="86"/>
        <v>2.4175409739665548</v>
      </c>
      <c r="U293" s="152">
        <f t="shared" ca="1" si="87"/>
        <v>2.4175409739665548</v>
      </c>
      <c r="V293" s="152" t="b">
        <f t="shared" si="93"/>
        <v>0</v>
      </c>
      <c r="W293" s="152" t="b">
        <f t="shared" si="94"/>
        <v>0</v>
      </c>
      <c r="X293" s="154">
        <f>LOOKUP(D293,'US Implicit Deflator'!A:A,'US Implicit Deflator'!B:B)/100</f>
        <v>0.05</v>
      </c>
      <c r="Y293" s="154">
        <f t="shared" si="88"/>
        <v>4.0741237836483535E-3</v>
      </c>
      <c r="Z293" s="165">
        <f t="shared" ca="1" si="89"/>
        <v>2.8246855780507079</v>
      </c>
      <c r="AA293" s="152">
        <f t="shared" si="90"/>
        <v>7</v>
      </c>
      <c r="AB293" s="153">
        <f t="shared" si="91"/>
        <v>30225</v>
      </c>
      <c r="AC293" s="155">
        <f t="shared" ca="1" si="92"/>
        <v>2.4175409739665548</v>
      </c>
    </row>
    <row r="294" spans="3:29">
      <c r="C294" s="152" t="str">
        <f>'Monthly Prices'!A282</f>
        <v>1982M11</v>
      </c>
      <c r="D294" s="153">
        <f t="shared" si="81"/>
        <v>30256</v>
      </c>
      <c r="E294" s="152">
        <f t="shared" si="82"/>
        <v>275</v>
      </c>
      <c r="F294" s="152" t="b">
        <f t="shared" si="76"/>
        <v>0</v>
      </c>
      <c r="G294" s="152" t="b">
        <f t="shared" si="77"/>
        <v>1</v>
      </c>
      <c r="H294" s="152" t="b">
        <f t="shared" si="78"/>
        <v>0</v>
      </c>
      <c r="I294" s="153" t="e">
        <f t="shared" si="79"/>
        <v>#N/A</v>
      </c>
      <c r="J294" s="158">
        <f>INDEX('Monthly Prices'!B282:CB282,$G$4)</f>
        <v>102.87</v>
      </c>
      <c r="K294" s="158" t="b">
        <f>IF(H294,INDEX('Monthly Prices'!B282:CB282,$G$4)*U294,FALSE)</f>
        <v>0</v>
      </c>
      <c r="L294" s="152" t="b">
        <f t="shared" si="83"/>
        <v>1</v>
      </c>
      <c r="M294" s="158">
        <f>INDEX('Monthly Prices'!B282:CB282,$G$5)</f>
        <v>50.27</v>
      </c>
      <c r="N294" s="158" t="b">
        <f>IF(H294,INDEX('Monthly Prices'!B282:CB282,$G$5)*U294,FALSE)</f>
        <v>0</v>
      </c>
      <c r="O294" s="152" t="b">
        <f t="shared" si="80"/>
        <v>1</v>
      </c>
      <c r="P294" s="152">
        <f t="shared" si="84"/>
        <v>1982</v>
      </c>
      <c r="Q294" s="159">
        <f>'Monthly Prices'!B282</f>
        <v>32.849999745689999</v>
      </c>
      <c r="R294" s="159">
        <f t="shared" si="85"/>
        <v>32.647222126853336</v>
      </c>
      <c r="S294" s="155">
        <f>_xlfn.XLOOKUP(P294,'Annual Real'!A:A,'Annual Real'!B:B,0,0)</f>
        <v>51.531474983439502</v>
      </c>
      <c r="T294" s="155">
        <f t="shared" ca="1" si="86"/>
        <v>2.4077315774820938</v>
      </c>
      <c r="U294" s="152">
        <f t="shared" ca="1" si="87"/>
        <v>2.4077315774820938</v>
      </c>
      <c r="V294" s="152" t="b">
        <f t="shared" si="93"/>
        <v>0</v>
      </c>
      <c r="W294" s="152" t="b">
        <f t="shared" si="94"/>
        <v>0</v>
      </c>
      <c r="X294" s="154">
        <f>LOOKUP(D294,'US Implicit Deflator'!A:A,'US Implicit Deflator'!B:B)/100</f>
        <v>0.05</v>
      </c>
      <c r="Y294" s="154">
        <f t="shared" si="88"/>
        <v>4.0741237836483535E-3</v>
      </c>
      <c r="Z294" s="165">
        <f t="shared" ca="1" si="89"/>
        <v>2.8361936967455725</v>
      </c>
      <c r="AA294" s="152">
        <f t="shared" si="90"/>
        <v>7</v>
      </c>
      <c r="AB294" s="153">
        <f t="shared" si="91"/>
        <v>30256</v>
      </c>
      <c r="AC294" s="155">
        <f t="shared" ca="1" si="92"/>
        <v>2.4077315774820938</v>
      </c>
    </row>
    <row r="295" spans="3:29">
      <c r="C295" s="152" t="str">
        <f>'Monthly Prices'!A283</f>
        <v>1982M12</v>
      </c>
      <c r="D295" s="153">
        <f t="shared" si="81"/>
        <v>30286</v>
      </c>
      <c r="E295" s="152">
        <f t="shared" si="82"/>
        <v>276</v>
      </c>
      <c r="F295" s="152" t="b">
        <f t="shared" si="76"/>
        <v>0</v>
      </c>
      <c r="G295" s="152" t="b">
        <f t="shared" si="77"/>
        <v>1</v>
      </c>
      <c r="H295" s="152" t="b">
        <f t="shared" si="78"/>
        <v>0</v>
      </c>
      <c r="I295" s="153" t="e">
        <f t="shared" si="79"/>
        <v>#N/A</v>
      </c>
      <c r="J295" s="158">
        <f>INDEX('Monthly Prices'!B283:CB283,$G$4)</f>
        <v>105.51</v>
      </c>
      <c r="K295" s="158" t="b">
        <f>IF(H295,INDEX('Monthly Prices'!B283:CB283,$G$4)*U295,FALSE)</f>
        <v>0</v>
      </c>
      <c r="L295" s="152" t="b">
        <f t="shared" si="83"/>
        <v>1</v>
      </c>
      <c r="M295" s="158">
        <f>INDEX('Monthly Prices'!B283:CB283,$G$5)</f>
        <v>53.59</v>
      </c>
      <c r="N295" s="158" t="b">
        <f>IF(H295,INDEX('Monthly Prices'!B283:CB283,$G$5)*U295,FALSE)</f>
        <v>0</v>
      </c>
      <c r="O295" s="152" t="b">
        <f t="shared" si="80"/>
        <v>1</v>
      </c>
      <c r="P295" s="152">
        <f t="shared" si="84"/>
        <v>1982</v>
      </c>
      <c r="Q295" s="159">
        <f>'Monthly Prices'!B283</f>
        <v>31.46666679382</v>
      </c>
      <c r="R295" s="159">
        <f t="shared" si="85"/>
        <v>32.647222126853336</v>
      </c>
      <c r="S295" s="155">
        <f>_xlfn.XLOOKUP(P295,'Annual Real'!A:A,'Annual Real'!B:B,0,0)</f>
        <v>51.531474983439502</v>
      </c>
      <c r="T295" s="155">
        <f t="shared" ca="1" si="86"/>
        <v>2.3979619835326988</v>
      </c>
      <c r="U295" s="152">
        <f t="shared" ca="1" si="87"/>
        <v>2.3979619835326988</v>
      </c>
      <c r="V295" s="152" t="b">
        <f t="shared" si="93"/>
        <v>0</v>
      </c>
      <c r="W295" s="152" t="b">
        <f t="shared" si="94"/>
        <v>0</v>
      </c>
      <c r="X295" s="154">
        <f>LOOKUP(D295,'US Implicit Deflator'!A:A,'US Implicit Deflator'!B:B)/100</f>
        <v>0.05</v>
      </c>
      <c r="Y295" s="154">
        <f t="shared" si="88"/>
        <v>4.0741237836483535E-3</v>
      </c>
      <c r="Z295" s="165">
        <f t="shared" ca="1" si="89"/>
        <v>2.8477487009405174</v>
      </c>
      <c r="AA295" s="152">
        <f t="shared" si="90"/>
        <v>7</v>
      </c>
      <c r="AB295" s="153">
        <f t="shared" si="91"/>
        <v>30286</v>
      </c>
      <c r="AC295" s="155">
        <f t="shared" ca="1" si="92"/>
        <v>2.3979619835326988</v>
      </c>
    </row>
    <row r="296" spans="3:29">
      <c r="C296" s="152" t="str">
        <f>'Monthly Prices'!A284</f>
        <v>1983M01</v>
      </c>
      <c r="D296" s="153">
        <f t="shared" si="81"/>
        <v>30317</v>
      </c>
      <c r="E296" s="152">
        <f t="shared" si="82"/>
        <v>277</v>
      </c>
      <c r="F296" s="152" t="b">
        <f t="shared" si="76"/>
        <v>0</v>
      </c>
      <c r="G296" s="152" t="b">
        <f t="shared" si="77"/>
        <v>1</v>
      </c>
      <c r="H296" s="152" t="b">
        <f t="shared" si="78"/>
        <v>0</v>
      </c>
      <c r="I296" s="153" t="e">
        <f t="shared" si="79"/>
        <v>#N/A</v>
      </c>
      <c r="J296" s="158">
        <f>INDEX('Monthly Prices'!B284:CB284,$G$4)</f>
        <v>107.84</v>
      </c>
      <c r="K296" s="158" t="b">
        <f>IF(H296,INDEX('Monthly Prices'!B284:CB284,$G$4)*U296,FALSE)</f>
        <v>0</v>
      </c>
      <c r="L296" s="152" t="b">
        <f t="shared" si="83"/>
        <v>1</v>
      </c>
      <c r="M296" s="158">
        <f>INDEX('Monthly Prices'!B284:CB284,$G$5)</f>
        <v>53.59</v>
      </c>
      <c r="N296" s="158" t="b">
        <f>IF(H296,INDEX('Monthly Prices'!B284:CB284,$G$5)*U296,FALSE)</f>
        <v>0</v>
      </c>
      <c r="O296" s="152" t="b">
        <f t="shared" si="80"/>
        <v>1</v>
      </c>
      <c r="P296" s="152">
        <f t="shared" si="84"/>
        <v>1983</v>
      </c>
      <c r="Q296" s="159">
        <f>'Monthly Prices'!B284</f>
        <v>30.653333028159999</v>
      </c>
      <c r="R296" s="159">
        <f t="shared" si="85"/>
        <v>29.657777839237497</v>
      </c>
      <c r="S296" s="155">
        <f>_xlfn.XLOOKUP(P296,'Annual Real'!A:A,'Annual Real'!B:B,0,0)</f>
        <v>48.088064310766597</v>
      </c>
      <c r="T296" s="155">
        <f t="shared" ca="1" si="86"/>
        <v>2.3899458782524841</v>
      </c>
      <c r="U296" s="152">
        <f t="shared" ca="1" si="87"/>
        <v>2.3899458782524841</v>
      </c>
      <c r="V296" s="152" t="b">
        <f t="shared" si="93"/>
        <v>0</v>
      </c>
      <c r="W296" s="152" t="b">
        <f t="shared" si="94"/>
        <v>0</v>
      </c>
      <c r="X296" s="154">
        <f>LOOKUP(D296,'US Implicit Deflator'!A:A,'US Implicit Deflator'!B:B)/100</f>
        <v>4.0999999999999995E-2</v>
      </c>
      <c r="Y296" s="154">
        <f t="shared" si="88"/>
        <v>3.3540948994528197E-3</v>
      </c>
      <c r="Z296" s="165">
        <f t="shared" ca="1" si="89"/>
        <v>2.8573003203332652</v>
      </c>
      <c r="AA296" s="152">
        <f t="shared" si="90"/>
        <v>7</v>
      </c>
      <c r="AB296" s="153">
        <f t="shared" si="91"/>
        <v>30317</v>
      </c>
      <c r="AC296" s="155">
        <f t="shared" ca="1" si="92"/>
        <v>2.3899458782524841</v>
      </c>
    </row>
    <row r="297" spans="3:29">
      <c r="C297" s="152" t="str">
        <f>'Monthly Prices'!A285</f>
        <v>1983M02</v>
      </c>
      <c r="D297" s="153">
        <f t="shared" si="81"/>
        <v>30348</v>
      </c>
      <c r="E297" s="152">
        <f t="shared" si="82"/>
        <v>278</v>
      </c>
      <c r="F297" s="152" t="b">
        <f t="shared" si="76"/>
        <v>0</v>
      </c>
      <c r="G297" s="152" t="b">
        <f t="shared" si="77"/>
        <v>1</v>
      </c>
      <c r="H297" s="152" t="b">
        <f t="shared" si="78"/>
        <v>0</v>
      </c>
      <c r="I297" s="153" t="e">
        <f t="shared" si="79"/>
        <v>#N/A</v>
      </c>
      <c r="J297" s="158">
        <f>INDEX('Monthly Prices'!B285:CB285,$G$4)</f>
        <v>117.32</v>
      </c>
      <c r="K297" s="158" t="b">
        <f>IF(H297,INDEX('Monthly Prices'!B285:CB285,$G$4)*U297,FALSE)</f>
        <v>0</v>
      </c>
      <c r="L297" s="152" t="b">
        <f t="shared" si="83"/>
        <v>1</v>
      </c>
      <c r="M297" s="158">
        <f>INDEX('Monthly Prices'!B285:CB285,$G$5)</f>
        <v>57.92</v>
      </c>
      <c r="N297" s="158" t="b">
        <f>IF(H297,INDEX('Monthly Prices'!B285:CB285,$G$5)*U297,FALSE)</f>
        <v>0</v>
      </c>
      <c r="O297" s="152" t="b">
        <f t="shared" si="80"/>
        <v>1</v>
      </c>
      <c r="P297" s="152">
        <f t="shared" si="84"/>
        <v>1983</v>
      </c>
      <c r="Q297" s="159">
        <f>'Monthly Prices'!B285</f>
        <v>29.113333384200001</v>
      </c>
      <c r="R297" s="159">
        <f t="shared" si="85"/>
        <v>29.657777839237497</v>
      </c>
      <c r="S297" s="155">
        <f>_xlfn.XLOOKUP(P297,'Annual Real'!A:A,'Annual Real'!B:B,0,0)</f>
        <v>48.088064310766597</v>
      </c>
      <c r="T297" s="155">
        <f t="shared" ca="1" si="86"/>
        <v>2.3819565698707623</v>
      </c>
      <c r="U297" s="152">
        <f t="shared" ca="1" si="87"/>
        <v>2.3819565698707623</v>
      </c>
      <c r="V297" s="152" t="b">
        <f t="shared" si="93"/>
        <v>0</v>
      </c>
      <c r="W297" s="152" t="b">
        <f t="shared" si="94"/>
        <v>0</v>
      </c>
      <c r="X297" s="154">
        <f>LOOKUP(D297,'US Implicit Deflator'!A:A,'US Implicit Deflator'!B:B)/100</f>
        <v>4.0999999999999995E-2</v>
      </c>
      <c r="Y297" s="154">
        <f t="shared" si="88"/>
        <v>3.3540948994528197E-3</v>
      </c>
      <c r="Z297" s="165">
        <f t="shared" ca="1" si="89"/>
        <v>2.8668839767639001</v>
      </c>
      <c r="AA297" s="152">
        <f t="shared" si="90"/>
        <v>7</v>
      </c>
      <c r="AB297" s="153">
        <f t="shared" si="91"/>
        <v>30348</v>
      </c>
      <c r="AC297" s="155">
        <f t="shared" ca="1" si="92"/>
        <v>2.3819565698707623</v>
      </c>
    </row>
    <row r="298" spans="3:29">
      <c r="C298" s="152" t="str">
        <f>'Monthly Prices'!A286</f>
        <v>1983M03</v>
      </c>
      <c r="D298" s="153">
        <f t="shared" si="81"/>
        <v>30376</v>
      </c>
      <c r="E298" s="152">
        <f t="shared" si="82"/>
        <v>279</v>
      </c>
      <c r="F298" s="152" t="b">
        <f t="shared" si="76"/>
        <v>0</v>
      </c>
      <c r="G298" s="152" t="b">
        <f t="shared" si="77"/>
        <v>1</v>
      </c>
      <c r="H298" s="152" t="b">
        <f t="shared" si="78"/>
        <v>0</v>
      </c>
      <c r="I298" s="153" t="e">
        <f t="shared" si="79"/>
        <v>#N/A</v>
      </c>
      <c r="J298" s="158">
        <f>INDEX('Monthly Prices'!B286:CB286,$G$4)</f>
        <v>125.19</v>
      </c>
      <c r="K298" s="158" t="b">
        <f>IF(H298,INDEX('Monthly Prices'!B286:CB286,$G$4)*U298,FALSE)</f>
        <v>0</v>
      </c>
      <c r="L298" s="152" t="b">
        <f t="shared" si="83"/>
        <v>1</v>
      </c>
      <c r="M298" s="158">
        <f>INDEX('Monthly Prices'!B286:CB286,$G$5)</f>
        <v>56.9</v>
      </c>
      <c r="N298" s="158" t="b">
        <f>IF(H298,INDEX('Monthly Prices'!B286:CB286,$G$5)*U298,FALSE)</f>
        <v>0</v>
      </c>
      <c r="O298" s="152" t="b">
        <f t="shared" si="80"/>
        <v>1</v>
      </c>
      <c r="P298" s="152">
        <f t="shared" si="84"/>
        <v>1983</v>
      </c>
      <c r="Q298" s="159">
        <f>'Monthly Prices'!B286</f>
        <v>28.32000033061</v>
      </c>
      <c r="R298" s="159">
        <f t="shared" si="85"/>
        <v>29.657777839237497</v>
      </c>
      <c r="S298" s="155">
        <f>_xlfn.XLOOKUP(P298,'Annual Real'!A:A,'Annual Real'!B:B,0,0)</f>
        <v>48.088064310766597</v>
      </c>
      <c r="T298" s="155">
        <f t="shared" ca="1" si="86"/>
        <v>2.3739939688086489</v>
      </c>
      <c r="U298" s="152">
        <f t="shared" ca="1" si="87"/>
        <v>2.3739939688086489</v>
      </c>
      <c r="V298" s="152" t="b">
        <f t="shared" si="93"/>
        <v>0</v>
      </c>
      <c r="W298" s="152" t="b">
        <f t="shared" si="94"/>
        <v>0</v>
      </c>
      <c r="X298" s="154">
        <f>LOOKUP(D298,'US Implicit Deflator'!A:A,'US Implicit Deflator'!B:B)/100</f>
        <v>4.0999999999999995E-2</v>
      </c>
      <c r="Y298" s="154">
        <f t="shared" si="88"/>
        <v>3.3540948994528197E-3</v>
      </c>
      <c r="Z298" s="165">
        <f t="shared" ca="1" si="89"/>
        <v>2.8764997776876871</v>
      </c>
      <c r="AA298" s="152">
        <f t="shared" si="90"/>
        <v>7</v>
      </c>
      <c r="AB298" s="153">
        <f t="shared" si="91"/>
        <v>30376</v>
      </c>
      <c r="AC298" s="155">
        <f t="shared" ca="1" si="92"/>
        <v>2.3739939688086489</v>
      </c>
    </row>
    <row r="299" spans="3:29">
      <c r="C299" s="152" t="str">
        <f>'Monthly Prices'!A287</f>
        <v>1983M04</v>
      </c>
      <c r="D299" s="153">
        <f t="shared" si="81"/>
        <v>30407</v>
      </c>
      <c r="E299" s="152">
        <f t="shared" si="82"/>
        <v>280</v>
      </c>
      <c r="F299" s="152" t="b">
        <f t="shared" si="76"/>
        <v>0</v>
      </c>
      <c r="G299" s="152" t="b">
        <f t="shared" si="77"/>
        <v>1</v>
      </c>
      <c r="H299" s="152" t="b">
        <f t="shared" si="78"/>
        <v>0</v>
      </c>
      <c r="I299" s="153" t="e">
        <f t="shared" si="79"/>
        <v>#N/A</v>
      </c>
      <c r="J299" s="158">
        <f>INDEX('Monthly Prices'!B287:CB287,$G$4)</f>
        <v>133.43</v>
      </c>
      <c r="K299" s="158" t="b">
        <f>IF(H299,INDEX('Monthly Prices'!B287:CB287,$G$4)*U299,FALSE)</f>
        <v>0</v>
      </c>
      <c r="L299" s="152" t="b">
        <f t="shared" si="83"/>
        <v>1</v>
      </c>
      <c r="M299" s="158">
        <f>INDEX('Monthly Prices'!B287:CB287,$G$5)</f>
        <v>66.900000000000006</v>
      </c>
      <c r="N299" s="158" t="b">
        <f>IF(H299,INDEX('Monthly Prices'!B287:CB287,$G$5)*U299,FALSE)</f>
        <v>0</v>
      </c>
      <c r="O299" s="152" t="b">
        <f t="shared" si="80"/>
        <v>1</v>
      </c>
      <c r="P299" s="152">
        <f t="shared" si="84"/>
        <v>1983</v>
      </c>
      <c r="Q299" s="159">
        <f>'Monthly Prices'!B287</f>
        <v>29.693333307900001</v>
      </c>
      <c r="R299" s="159">
        <f t="shared" si="85"/>
        <v>29.657777839237497</v>
      </c>
      <c r="S299" s="155">
        <f>_xlfn.XLOOKUP(P299,'Annual Real'!A:A,'Annual Real'!B:B,0,0)</f>
        <v>48.088064310766597</v>
      </c>
      <c r="T299" s="155">
        <f t="shared" ca="1" si="86"/>
        <v>2.3675795739813759</v>
      </c>
      <c r="U299" s="152">
        <f t="shared" ca="1" si="87"/>
        <v>2.3675795739813759</v>
      </c>
      <c r="V299" s="152" t="b">
        <f t="shared" si="93"/>
        <v>0</v>
      </c>
      <c r="W299" s="152" t="b">
        <f t="shared" si="94"/>
        <v>0</v>
      </c>
      <c r="X299" s="154">
        <f>LOOKUP(D299,'US Implicit Deflator'!A:A,'US Implicit Deflator'!B:B)/100</f>
        <v>3.3000000000000002E-2</v>
      </c>
      <c r="Y299" s="154">
        <f t="shared" si="88"/>
        <v>2.7092626147666721E-3</v>
      </c>
      <c r="Z299" s="165">
        <f t="shared" ca="1" si="89"/>
        <v>2.8842929709967611</v>
      </c>
      <c r="AA299" s="152">
        <f t="shared" si="90"/>
        <v>7</v>
      </c>
      <c r="AB299" s="153">
        <f t="shared" si="91"/>
        <v>30407</v>
      </c>
      <c r="AC299" s="155">
        <f t="shared" ca="1" si="92"/>
        <v>2.3675795739813759</v>
      </c>
    </row>
    <row r="300" spans="3:29">
      <c r="C300" s="152" t="str">
        <f>'Monthly Prices'!A288</f>
        <v>1983M05</v>
      </c>
      <c r="D300" s="153">
        <f t="shared" si="81"/>
        <v>30437</v>
      </c>
      <c r="E300" s="152">
        <f t="shared" si="82"/>
        <v>281</v>
      </c>
      <c r="F300" s="152" t="b">
        <f t="shared" si="76"/>
        <v>0</v>
      </c>
      <c r="G300" s="152" t="b">
        <f t="shared" si="77"/>
        <v>1</v>
      </c>
      <c r="H300" s="152" t="b">
        <f t="shared" si="78"/>
        <v>0</v>
      </c>
      <c r="I300" s="153" t="e">
        <f t="shared" si="79"/>
        <v>#N/A</v>
      </c>
      <c r="J300" s="158">
        <f>INDEX('Monthly Prices'!B288:CB288,$G$4)</f>
        <v>133.85</v>
      </c>
      <c r="K300" s="158" t="b">
        <f>IF(H300,INDEX('Monthly Prices'!B288:CB288,$G$4)*U300,FALSE)</f>
        <v>0</v>
      </c>
      <c r="L300" s="152" t="b">
        <f t="shared" si="83"/>
        <v>1</v>
      </c>
      <c r="M300" s="158">
        <f>INDEX('Monthly Prices'!B288:CB288,$G$5)</f>
        <v>63.59</v>
      </c>
      <c r="N300" s="158" t="b">
        <f>IF(H300,INDEX('Monthly Prices'!B288:CB288,$G$5)*U300,FALSE)</f>
        <v>0</v>
      </c>
      <c r="O300" s="152" t="b">
        <f t="shared" si="80"/>
        <v>1</v>
      </c>
      <c r="P300" s="152">
        <f t="shared" si="84"/>
        <v>1983</v>
      </c>
      <c r="Q300" s="159">
        <f>'Monthly Prices'!B288</f>
        <v>29.359999974570002</v>
      </c>
      <c r="R300" s="159">
        <f t="shared" si="85"/>
        <v>29.657777839237497</v>
      </c>
      <c r="S300" s="155">
        <f>_xlfn.XLOOKUP(P300,'Annual Real'!A:A,'Annual Real'!B:B,0,0)</f>
        <v>48.088064310766597</v>
      </c>
      <c r="T300" s="155">
        <f t="shared" ca="1" si="86"/>
        <v>2.3611825104790944</v>
      </c>
      <c r="U300" s="152">
        <f t="shared" ca="1" si="87"/>
        <v>2.3611825104790944</v>
      </c>
      <c r="V300" s="152" t="b">
        <f t="shared" si="93"/>
        <v>0</v>
      </c>
      <c r="W300" s="152" t="b">
        <f t="shared" si="94"/>
        <v>0</v>
      </c>
      <c r="X300" s="154">
        <f>LOOKUP(D300,'US Implicit Deflator'!A:A,'US Implicit Deflator'!B:B)/100</f>
        <v>3.3000000000000002E-2</v>
      </c>
      <c r="Y300" s="154">
        <f t="shared" si="88"/>
        <v>2.7092626147666721E-3</v>
      </c>
      <c r="Z300" s="165">
        <f t="shared" ca="1" si="89"/>
        <v>2.8921072781131167</v>
      </c>
      <c r="AA300" s="152">
        <f t="shared" si="90"/>
        <v>7</v>
      </c>
      <c r="AB300" s="153">
        <f t="shared" si="91"/>
        <v>30437</v>
      </c>
      <c r="AC300" s="155">
        <f t="shared" ca="1" si="92"/>
        <v>2.3611825104790944</v>
      </c>
    </row>
    <row r="301" spans="3:29">
      <c r="C301" s="152" t="str">
        <f>'Monthly Prices'!A289</f>
        <v>1983M06</v>
      </c>
      <c r="D301" s="153">
        <f t="shared" si="81"/>
        <v>30468</v>
      </c>
      <c r="E301" s="152">
        <f t="shared" si="82"/>
        <v>282</v>
      </c>
      <c r="F301" s="152" t="b">
        <f t="shared" si="76"/>
        <v>0</v>
      </c>
      <c r="G301" s="152" t="b">
        <f t="shared" si="77"/>
        <v>1</v>
      </c>
      <c r="H301" s="152" t="b">
        <f t="shared" si="78"/>
        <v>0</v>
      </c>
      <c r="I301" s="153" t="e">
        <f t="shared" si="79"/>
        <v>#N/A</v>
      </c>
      <c r="J301" s="158">
        <f>INDEX('Monthly Prices'!B289:CB289,$G$4)</f>
        <v>135.03</v>
      </c>
      <c r="K301" s="158" t="b">
        <f>IF(H301,INDEX('Monthly Prices'!B289:CB289,$G$4)*U301,FALSE)</f>
        <v>0</v>
      </c>
      <c r="L301" s="152" t="b">
        <f t="shared" si="83"/>
        <v>1</v>
      </c>
      <c r="M301" s="158">
        <f>INDEX('Monthly Prices'!B289:CB289,$G$5)</f>
        <v>66.58</v>
      </c>
      <c r="N301" s="158" t="b">
        <f>IF(H301,INDEX('Monthly Prices'!B289:CB289,$G$5)*U301,FALSE)</f>
        <v>0</v>
      </c>
      <c r="O301" s="152" t="b">
        <f t="shared" si="80"/>
        <v>1</v>
      </c>
      <c r="P301" s="152">
        <f t="shared" si="84"/>
        <v>1983</v>
      </c>
      <c r="Q301" s="159">
        <f>'Monthly Prices'!B289</f>
        <v>29.966667175289999</v>
      </c>
      <c r="R301" s="159">
        <f t="shared" si="85"/>
        <v>29.657777839237497</v>
      </c>
      <c r="S301" s="155">
        <f>_xlfn.XLOOKUP(P301,'Annual Real'!A:A,'Annual Real'!B:B,0,0)</f>
        <v>48.088064310766597</v>
      </c>
      <c r="T301" s="155">
        <f t="shared" ca="1" si="86"/>
        <v>2.3548027314735624</v>
      </c>
      <c r="U301" s="152">
        <f t="shared" ca="1" si="87"/>
        <v>2.3548027314735624</v>
      </c>
      <c r="V301" s="152" t="b">
        <f t="shared" si="93"/>
        <v>0</v>
      </c>
      <c r="W301" s="152" t="b">
        <f t="shared" si="94"/>
        <v>0</v>
      </c>
      <c r="X301" s="154">
        <f>LOOKUP(D301,'US Implicit Deflator'!A:A,'US Implicit Deflator'!B:B)/100</f>
        <v>3.3000000000000002E-2</v>
      </c>
      <c r="Y301" s="154">
        <f t="shared" si="88"/>
        <v>2.7092626147666721E-3</v>
      </c>
      <c r="Z301" s="165">
        <f t="shared" ca="1" si="89"/>
        <v>2.8999427562396032</v>
      </c>
      <c r="AA301" s="152">
        <f t="shared" si="90"/>
        <v>7</v>
      </c>
      <c r="AB301" s="153">
        <f t="shared" si="91"/>
        <v>30468</v>
      </c>
      <c r="AC301" s="155">
        <f t="shared" ca="1" si="92"/>
        <v>2.3548027314735624</v>
      </c>
    </row>
    <row r="302" spans="3:29">
      <c r="C302" s="152" t="str">
        <f>'Monthly Prices'!A290</f>
        <v>1983M07</v>
      </c>
      <c r="D302" s="153">
        <f t="shared" si="81"/>
        <v>30498</v>
      </c>
      <c r="E302" s="152">
        <f t="shared" si="82"/>
        <v>283</v>
      </c>
      <c r="F302" s="152" t="b">
        <f t="shared" si="76"/>
        <v>0</v>
      </c>
      <c r="G302" s="152" t="b">
        <f t="shared" si="77"/>
        <v>1</v>
      </c>
      <c r="H302" s="152" t="b">
        <f t="shared" si="78"/>
        <v>0</v>
      </c>
      <c r="I302" s="153" t="e">
        <f t="shared" si="79"/>
        <v>#N/A</v>
      </c>
      <c r="J302" s="158">
        <f>INDEX('Monthly Prices'!B290:CB290,$G$4)</f>
        <v>140.59</v>
      </c>
      <c r="K302" s="158" t="b">
        <f>IF(H302,INDEX('Monthly Prices'!B290:CB290,$G$4)*U302,FALSE)</f>
        <v>0</v>
      </c>
      <c r="L302" s="152" t="b">
        <f t="shared" si="83"/>
        <v>1</v>
      </c>
      <c r="M302" s="158">
        <f>INDEX('Monthly Prices'!B290:CB290,$G$5)</f>
        <v>64.930000000000007</v>
      </c>
      <c r="N302" s="158" t="b">
        <f>IF(H302,INDEX('Monthly Prices'!B290:CB290,$G$5)*U302,FALSE)</f>
        <v>0</v>
      </c>
      <c r="O302" s="152" t="b">
        <f t="shared" si="80"/>
        <v>1</v>
      </c>
      <c r="P302" s="152">
        <f t="shared" si="84"/>
        <v>1983</v>
      </c>
      <c r="Q302" s="159">
        <f>'Monthly Prices'!B290</f>
        <v>30.466666539510001</v>
      </c>
      <c r="R302" s="159">
        <f t="shared" si="85"/>
        <v>29.657777839237497</v>
      </c>
      <c r="S302" s="155">
        <f>_xlfn.XLOOKUP(P302,'Annual Real'!A:A,'Annual Real'!B:B,0,0)</f>
        <v>48.088064310766597</v>
      </c>
      <c r="T302" s="155">
        <f t="shared" ca="1" si="86"/>
        <v>2.3480616841921025</v>
      </c>
      <c r="U302" s="152">
        <f t="shared" ca="1" si="87"/>
        <v>2.3480616841921025</v>
      </c>
      <c r="V302" s="152" t="b">
        <f t="shared" si="93"/>
        <v>0</v>
      </c>
      <c r="W302" s="152" t="b">
        <f t="shared" si="94"/>
        <v>0</v>
      </c>
      <c r="X302" s="154">
        <f>LOOKUP(D302,'US Implicit Deflator'!A:A,'US Implicit Deflator'!B:B)/100</f>
        <v>3.5000000000000003E-2</v>
      </c>
      <c r="Y302" s="154">
        <f t="shared" si="88"/>
        <v>2.8708987190766422E-3</v>
      </c>
      <c r="Z302" s="165">
        <f t="shared" ca="1" si="89"/>
        <v>2.9082681981838872</v>
      </c>
      <c r="AA302" s="152">
        <f t="shared" si="90"/>
        <v>7</v>
      </c>
      <c r="AB302" s="153">
        <f t="shared" si="91"/>
        <v>30498</v>
      </c>
      <c r="AC302" s="155">
        <f t="shared" ca="1" si="92"/>
        <v>2.3480616841921025</v>
      </c>
    </row>
    <row r="303" spans="3:29">
      <c r="C303" s="152" t="str">
        <f>'Monthly Prices'!A291</f>
        <v>1983M08</v>
      </c>
      <c r="D303" s="153">
        <f t="shared" si="81"/>
        <v>30529</v>
      </c>
      <c r="E303" s="152">
        <f t="shared" si="82"/>
        <v>284</v>
      </c>
      <c r="F303" s="152" t="b">
        <f t="shared" si="76"/>
        <v>0</v>
      </c>
      <c r="G303" s="152" t="b">
        <f t="shared" si="77"/>
        <v>1</v>
      </c>
      <c r="H303" s="152" t="b">
        <f t="shared" si="78"/>
        <v>0</v>
      </c>
      <c r="I303" s="153" t="e">
        <f t="shared" si="79"/>
        <v>#N/A</v>
      </c>
      <c r="J303" s="158">
        <f>INDEX('Monthly Prices'!B291:CB291,$G$4)</f>
        <v>152.75</v>
      </c>
      <c r="K303" s="158" t="b">
        <f>IF(H303,INDEX('Monthly Prices'!B291:CB291,$G$4)*U303,FALSE)</f>
        <v>0</v>
      </c>
      <c r="L303" s="152" t="b">
        <f t="shared" si="83"/>
        <v>1</v>
      </c>
      <c r="M303" s="158">
        <f>INDEX('Monthly Prices'!B291:CB291,$G$5)</f>
        <v>76.59</v>
      </c>
      <c r="N303" s="158" t="b">
        <f>IF(H303,INDEX('Monthly Prices'!B291:CB291,$G$5)*U303,FALSE)</f>
        <v>0</v>
      </c>
      <c r="O303" s="152" t="b">
        <f t="shared" si="80"/>
        <v>1</v>
      </c>
      <c r="P303" s="152">
        <f t="shared" si="84"/>
        <v>1983</v>
      </c>
      <c r="Q303" s="159">
        <f>'Monthly Prices'!B291</f>
        <v>30.653333028159999</v>
      </c>
      <c r="R303" s="159">
        <f t="shared" si="85"/>
        <v>29.657777839237497</v>
      </c>
      <c r="S303" s="155">
        <f>_xlfn.XLOOKUP(P303,'Annual Real'!A:A,'Annual Real'!B:B,0,0)</f>
        <v>48.088064310766597</v>
      </c>
      <c r="T303" s="155">
        <f t="shared" ca="1" si="86"/>
        <v>2.3413399343735861</v>
      </c>
      <c r="U303" s="152">
        <f t="shared" ca="1" si="87"/>
        <v>2.3413399343735861</v>
      </c>
      <c r="V303" s="152" t="b">
        <f t="shared" si="93"/>
        <v>0</v>
      </c>
      <c r="W303" s="152" t="b">
        <f t="shared" si="94"/>
        <v>0</v>
      </c>
      <c r="X303" s="154">
        <f>LOOKUP(D303,'US Implicit Deflator'!A:A,'US Implicit Deflator'!B:B)/100</f>
        <v>3.5000000000000003E-2</v>
      </c>
      <c r="Y303" s="154">
        <f t="shared" si="88"/>
        <v>2.8708987190766422E-3</v>
      </c>
      <c r="Z303" s="165">
        <f t="shared" ca="1" si="89"/>
        <v>2.9166175416287845</v>
      </c>
      <c r="AA303" s="152">
        <f t="shared" si="90"/>
        <v>7</v>
      </c>
      <c r="AB303" s="153">
        <f t="shared" si="91"/>
        <v>30529</v>
      </c>
      <c r="AC303" s="155">
        <f t="shared" ca="1" si="92"/>
        <v>2.3413399343735861</v>
      </c>
    </row>
    <row r="304" spans="3:29">
      <c r="C304" s="152" t="str">
        <f>'Monthly Prices'!A292</f>
        <v>1983M09</v>
      </c>
      <c r="D304" s="153">
        <f t="shared" si="81"/>
        <v>30560</v>
      </c>
      <c r="E304" s="152">
        <f t="shared" si="82"/>
        <v>285</v>
      </c>
      <c r="F304" s="152" t="b">
        <f t="shared" si="76"/>
        <v>0</v>
      </c>
      <c r="G304" s="152" t="b">
        <f t="shared" si="77"/>
        <v>1</v>
      </c>
      <c r="H304" s="152" t="b">
        <f t="shared" si="78"/>
        <v>0</v>
      </c>
      <c r="I304" s="153" t="e">
        <f t="shared" si="79"/>
        <v>#N/A</v>
      </c>
      <c r="J304" s="158">
        <f>INDEX('Monthly Prices'!B292:CB292,$G$4)</f>
        <v>147.75</v>
      </c>
      <c r="K304" s="158" t="b">
        <f>IF(H304,INDEX('Monthly Prices'!B292:CB292,$G$4)*U304,FALSE)</f>
        <v>0</v>
      </c>
      <c r="L304" s="152" t="b">
        <f t="shared" si="83"/>
        <v>1</v>
      </c>
      <c r="M304" s="158">
        <f>INDEX('Monthly Prices'!B292:CB292,$G$5)</f>
        <v>87.36</v>
      </c>
      <c r="N304" s="158" t="b">
        <f>IF(H304,INDEX('Monthly Prices'!B292:CB292,$G$5)*U304,FALSE)</f>
        <v>0</v>
      </c>
      <c r="O304" s="152" t="b">
        <f t="shared" si="80"/>
        <v>1</v>
      </c>
      <c r="P304" s="152">
        <f t="shared" si="84"/>
        <v>1983</v>
      </c>
      <c r="Q304" s="159">
        <f>'Monthly Prices'!B292</f>
        <v>30.07000033061</v>
      </c>
      <c r="R304" s="159">
        <f t="shared" si="85"/>
        <v>29.657777839237497</v>
      </c>
      <c r="S304" s="155">
        <f>_xlfn.XLOOKUP(P304,'Annual Real'!A:A,'Annual Real'!B:B,0,0)</f>
        <v>48.088064310766597</v>
      </c>
      <c r="T304" s="155">
        <f t="shared" ca="1" si="86"/>
        <v>2.3346374267755481</v>
      </c>
      <c r="U304" s="152">
        <f t="shared" ca="1" si="87"/>
        <v>2.3346374267755481</v>
      </c>
      <c r="V304" s="152" t="b">
        <f t="shared" si="93"/>
        <v>0</v>
      </c>
      <c r="W304" s="152" t="b">
        <f t="shared" si="94"/>
        <v>0</v>
      </c>
      <c r="X304" s="154">
        <f>LOOKUP(D304,'US Implicit Deflator'!A:A,'US Implicit Deflator'!B:B)/100</f>
        <v>3.5000000000000003E-2</v>
      </c>
      <c r="Y304" s="154">
        <f t="shared" si="88"/>
        <v>2.8708987190766422E-3</v>
      </c>
      <c r="Z304" s="165">
        <f t="shared" ca="1" si="89"/>
        <v>2.9249908551930832</v>
      </c>
      <c r="AA304" s="152">
        <f t="shared" si="90"/>
        <v>7</v>
      </c>
      <c r="AB304" s="153">
        <f t="shared" si="91"/>
        <v>30560</v>
      </c>
      <c r="AC304" s="155">
        <f t="shared" ca="1" si="92"/>
        <v>2.3346374267755481</v>
      </c>
    </row>
    <row r="305" spans="3:29">
      <c r="C305" s="152" t="str">
        <f>'Monthly Prices'!A293</f>
        <v>1983M10</v>
      </c>
      <c r="D305" s="153">
        <f t="shared" si="81"/>
        <v>30590</v>
      </c>
      <c r="E305" s="152">
        <f t="shared" si="82"/>
        <v>286</v>
      </c>
      <c r="F305" s="152" t="b">
        <f t="shared" si="76"/>
        <v>0</v>
      </c>
      <c r="G305" s="152" t="b">
        <f t="shared" si="77"/>
        <v>1</v>
      </c>
      <c r="H305" s="152" t="b">
        <f t="shared" si="78"/>
        <v>0</v>
      </c>
      <c r="I305" s="153" t="e">
        <f t="shared" si="79"/>
        <v>#N/A</v>
      </c>
      <c r="J305" s="158">
        <f>INDEX('Monthly Prices'!B293:CB293,$G$4)</f>
        <v>148.15</v>
      </c>
      <c r="K305" s="158" t="b">
        <f>IF(H305,INDEX('Monthly Prices'!B293:CB293,$G$4)*U305,FALSE)</f>
        <v>0</v>
      </c>
      <c r="L305" s="152" t="b">
        <f t="shared" si="83"/>
        <v>1</v>
      </c>
      <c r="M305" s="158">
        <f>INDEX('Monthly Prices'!B293:CB293,$G$5)</f>
        <v>88.18</v>
      </c>
      <c r="N305" s="158" t="b">
        <f>IF(H305,INDEX('Monthly Prices'!B293:CB293,$G$5)*U305,FALSE)</f>
        <v>0</v>
      </c>
      <c r="O305" s="152" t="b">
        <f t="shared" si="80"/>
        <v>1</v>
      </c>
      <c r="P305" s="152">
        <f t="shared" si="84"/>
        <v>1983</v>
      </c>
      <c r="Q305" s="159">
        <f>'Monthly Prices'!B293</f>
        <v>29.616666793819999</v>
      </c>
      <c r="R305" s="159">
        <f t="shared" si="85"/>
        <v>29.657777839237497</v>
      </c>
      <c r="S305" s="155">
        <f>_xlfn.XLOOKUP(P305,'Annual Real'!A:A,'Annual Real'!B:B,0,0)</f>
        <v>48.088064310766597</v>
      </c>
      <c r="T305" s="155">
        <f t="shared" ca="1" si="86"/>
        <v>2.3290822675057421</v>
      </c>
      <c r="U305" s="152">
        <f t="shared" ca="1" si="87"/>
        <v>2.3290822675057421</v>
      </c>
      <c r="V305" s="152" t="b">
        <f t="shared" si="93"/>
        <v>0</v>
      </c>
      <c r="W305" s="152" t="b">
        <f t="shared" si="94"/>
        <v>0</v>
      </c>
      <c r="X305" s="154">
        <f>LOOKUP(D305,'US Implicit Deflator'!A:A,'US Implicit Deflator'!B:B)/100</f>
        <v>2.8999999999999998E-2</v>
      </c>
      <c r="Y305" s="154">
        <f t="shared" si="88"/>
        <v>2.3851279739270925E-3</v>
      </c>
      <c r="Z305" s="165">
        <f t="shared" ca="1" si="89"/>
        <v>2.9319673327052853</v>
      </c>
      <c r="AA305" s="152">
        <f t="shared" si="90"/>
        <v>7</v>
      </c>
      <c r="AB305" s="153">
        <f t="shared" si="91"/>
        <v>30590</v>
      </c>
      <c r="AC305" s="155">
        <f t="shared" ca="1" si="92"/>
        <v>2.3290822675057421</v>
      </c>
    </row>
    <row r="306" spans="3:29">
      <c r="C306" s="152" t="str">
        <f>'Monthly Prices'!A294</f>
        <v>1983M11</v>
      </c>
      <c r="D306" s="153">
        <f t="shared" si="81"/>
        <v>30621</v>
      </c>
      <c r="E306" s="152">
        <f t="shared" si="82"/>
        <v>287</v>
      </c>
      <c r="F306" s="152" t="b">
        <f t="shared" si="76"/>
        <v>0</v>
      </c>
      <c r="G306" s="152" t="b">
        <f t="shared" si="77"/>
        <v>1</v>
      </c>
      <c r="H306" s="152" t="b">
        <f t="shared" si="78"/>
        <v>0</v>
      </c>
      <c r="I306" s="153" t="e">
        <f t="shared" si="79"/>
        <v>#N/A</v>
      </c>
      <c r="J306" s="158">
        <f>INDEX('Monthly Prices'!B294:CB294,$G$4)</f>
        <v>147.02000000000001</v>
      </c>
      <c r="K306" s="158" t="b">
        <f>IF(H306,INDEX('Monthly Prices'!B294:CB294,$G$4)*U306,FALSE)</f>
        <v>0</v>
      </c>
      <c r="L306" s="152" t="b">
        <f t="shared" si="83"/>
        <v>1</v>
      </c>
      <c r="M306" s="158">
        <f>INDEX('Monthly Prices'!B294:CB294,$G$5)</f>
        <v>89.91</v>
      </c>
      <c r="N306" s="158" t="b">
        <f>IF(H306,INDEX('Monthly Prices'!B294:CB294,$G$5)*U306,FALSE)</f>
        <v>0</v>
      </c>
      <c r="O306" s="152" t="b">
        <f t="shared" si="80"/>
        <v>1</v>
      </c>
      <c r="P306" s="152">
        <f t="shared" si="84"/>
        <v>1983</v>
      </c>
      <c r="Q306" s="159">
        <f>'Monthly Prices'!B294</f>
        <v>29.16666666667</v>
      </c>
      <c r="R306" s="159">
        <f t="shared" si="85"/>
        <v>29.657777839237497</v>
      </c>
      <c r="S306" s="155">
        <f>_xlfn.XLOOKUP(P306,'Annual Real'!A:A,'Annual Real'!B:B,0,0)</f>
        <v>48.088064310766597</v>
      </c>
      <c r="T306" s="155">
        <f t="shared" ca="1" si="86"/>
        <v>2.3235403264745202</v>
      </c>
      <c r="U306" s="152">
        <f t="shared" ca="1" si="87"/>
        <v>2.3235403264745202</v>
      </c>
      <c r="V306" s="152" t="b">
        <f t="shared" si="93"/>
        <v>0</v>
      </c>
      <c r="W306" s="152" t="b">
        <f t="shared" si="94"/>
        <v>0</v>
      </c>
      <c r="X306" s="154">
        <f>LOOKUP(D306,'US Implicit Deflator'!A:A,'US Implicit Deflator'!B:B)/100</f>
        <v>2.8999999999999998E-2</v>
      </c>
      <c r="Y306" s="154">
        <f t="shared" si="88"/>
        <v>2.3851279739270925E-3</v>
      </c>
      <c r="Z306" s="165">
        <f t="shared" ca="1" si="89"/>
        <v>2.9389604500091613</v>
      </c>
      <c r="AA306" s="152">
        <f t="shared" si="90"/>
        <v>7</v>
      </c>
      <c r="AB306" s="153">
        <f t="shared" si="91"/>
        <v>30621</v>
      </c>
      <c r="AC306" s="155">
        <f t="shared" ca="1" si="92"/>
        <v>2.3235403264745202</v>
      </c>
    </row>
    <row r="307" spans="3:29">
      <c r="C307" s="152" t="str">
        <f>'Monthly Prices'!A295</f>
        <v>1983M12</v>
      </c>
      <c r="D307" s="153">
        <f t="shared" si="81"/>
        <v>30651</v>
      </c>
      <c r="E307" s="152">
        <f t="shared" si="82"/>
        <v>288</v>
      </c>
      <c r="F307" s="152" t="b">
        <f t="shared" si="76"/>
        <v>0</v>
      </c>
      <c r="G307" s="152" t="b">
        <f t="shared" si="77"/>
        <v>1</v>
      </c>
      <c r="H307" s="152" t="b">
        <f t="shared" si="78"/>
        <v>0</v>
      </c>
      <c r="I307" s="153" t="e">
        <f t="shared" si="79"/>
        <v>#N/A</v>
      </c>
      <c r="J307" s="158">
        <f>INDEX('Monthly Prices'!B295:CB295,$G$4)</f>
        <v>143.28</v>
      </c>
      <c r="K307" s="158" t="b">
        <f>IF(H307,INDEX('Monthly Prices'!B295:CB295,$G$4)*U307,FALSE)</f>
        <v>0</v>
      </c>
      <c r="L307" s="152" t="b">
        <f t="shared" si="83"/>
        <v>1</v>
      </c>
      <c r="M307" s="158">
        <f>INDEX('Monthly Prices'!B295:CB295,$G$5)</f>
        <v>78.239999999999995</v>
      </c>
      <c r="N307" s="158" t="b">
        <f>IF(H307,INDEX('Monthly Prices'!B295:CB295,$G$5)*U307,FALSE)</f>
        <v>0</v>
      </c>
      <c r="O307" s="152" t="b">
        <f t="shared" si="80"/>
        <v>1</v>
      </c>
      <c r="P307" s="152">
        <f t="shared" si="84"/>
        <v>1983</v>
      </c>
      <c r="Q307" s="159">
        <f>'Monthly Prices'!B295</f>
        <v>28.813333511349999</v>
      </c>
      <c r="R307" s="159">
        <f t="shared" si="85"/>
        <v>29.657777839237497</v>
      </c>
      <c r="S307" s="155">
        <f>_xlfn.XLOOKUP(P307,'Annual Real'!A:A,'Annual Real'!B:B,0,0)</f>
        <v>48.088064310766597</v>
      </c>
      <c r="T307" s="155">
        <f t="shared" ca="1" si="86"/>
        <v>2.3180115722297083</v>
      </c>
      <c r="U307" s="152">
        <f t="shared" ca="1" si="87"/>
        <v>2.3180115722297083</v>
      </c>
      <c r="V307" s="152" t="b">
        <f t="shared" si="93"/>
        <v>0</v>
      </c>
      <c r="W307" s="152" t="b">
        <f t="shared" si="94"/>
        <v>0</v>
      </c>
      <c r="X307" s="154">
        <f>LOOKUP(D307,'US Implicit Deflator'!A:A,'US Implicit Deflator'!B:B)/100</f>
        <v>2.8999999999999998E-2</v>
      </c>
      <c r="Y307" s="154">
        <f t="shared" si="88"/>
        <v>2.3851279739270925E-3</v>
      </c>
      <c r="Z307" s="165">
        <f t="shared" ca="1" si="89"/>
        <v>2.9459702467927436</v>
      </c>
      <c r="AA307" s="152">
        <f t="shared" si="90"/>
        <v>7</v>
      </c>
      <c r="AB307" s="153">
        <f t="shared" si="91"/>
        <v>30651</v>
      </c>
      <c r="AC307" s="155">
        <f t="shared" ca="1" si="92"/>
        <v>2.3180115722297083</v>
      </c>
    </row>
    <row r="308" spans="3:29">
      <c r="C308" s="152" t="str">
        <f>'Monthly Prices'!A296</f>
        <v>1984M01</v>
      </c>
      <c r="D308" s="153">
        <f t="shared" si="81"/>
        <v>30682</v>
      </c>
      <c r="E308" s="152">
        <f t="shared" si="82"/>
        <v>289</v>
      </c>
      <c r="F308" s="152" t="b">
        <f t="shared" si="76"/>
        <v>0</v>
      </c>
      <c r="G308" s="152" t="b">
        <f t="shared" si="77"/>
        <v>1</v>
      </c>
      <c r="H308" s="152" t="b">
        <f t="shared" si="78"/>
        <v>0</v>
      </c>
      <c r="I308" s="153" t="e">
        <f t="shared" si="79"/>
        <v>#N/A</v>
      </c>
      <c r="J308" s="158">
        <f>INDEX('Monthly Prices'!B296:CB296,$G$4)</f>
        <v>141.91999999999999</v>
      </c>
      <c r="K308" s="158" t="b">
        <f>IF(H308,INDEX('Monthly Prices'!B296:CB296,$G$4)*U308,FALSE)</f>
        <v>0</v>
      </c>
      <c r="L308" s="152" t="b">
        <f t="shared" si="83"/>
        <v>1</v>
      </c>
      <c r="M308" s="158">
        <f>INDEX('Monthly Prices'!B296:CB296,$G$5)</f>
        <v>84.87</v>
      </c>
      <c r="N308" s="158" t="b">
        <f>IF(H308,INDEX('Monthly Prices'!B296:CB296,$G$5)*U308,FALSE)</f>
        <v>0</v>
      </c>
      <c r="O308" s="152" t="b">
        <f t="shared" si="80"/>
        <v>1</v>
      </c>
      <c r="P308" s="152">
        <f t="shared" si="84"/>
        <v>1984</v>
      </c>
      <c r="Q308" s="159">
        <f>'Monthly Prices'!B296</f>
        <v>29.043333053590001</v>
      </c>
      <c r="R308" s="159">
        <f t="shared" si="85"/>
        <v>28.557499991521663</v>
      </c>
      <c r="S308" s="155">
        <f>_xlfn.XLOOKUP(P308,'Annual Real'!A:A,'Annual Real'!B:B,0,0)</f>
        <v>47.346006754578703</v>
      </c>
      <c r="T308" s="155">
        <f t="shared" ca="1" si="86"/>
        <v>2.312683349009117</v>
      </c>
      <c r="U308" s="152">
        <f t="shared" ca="1" si="87"/>
        <v>2.312683349009117</v>
      </c>
      <c r="V308" s="152" t="b">
        <f t="shared" si="93"/>
        <v>0</v>
      </c>
      <c r="W308" s="152" t="b">
        <f t="shared" si="94"/>
        <v>0</v>
      </c>
      <c r="X308" s="154">
        <f>LOOKUP(D308,'US Implicit Deflator'!A:A,'US Implicit Deflator'!B:B)/100</f>
        <v>2.7999999999999997E-2</v>
      </c>
      <c r="Y308" s="154">
        <f t="shared" si="88"/>
        <v>2.3039138595752906E-3</v>
      </c>
      <c r="Z308" s="165">
        <f t="shared" ca="1" si="89"/>
        <v>2.9527575084742259</v>
      </c>
      <c r="AA308" s="152">
        <f t="shared" si="90"/>
        <v>7</v>
      </c>
      <c r="AB308" s="153">
        <f t="shared" si="91"/>
        <v>30682</v>
      </c>
      <c r="AC308" s="155">
        <f t="shared" ca="1" si="92"/>
        <v>2.312683349009117</v>
      </c>
    </row>
    <row r="309" spans="3:29">
      <c r="C309" s="152" t="str">
        <f>'Monthly Prices'!A297</f>
        <v>1984M02</v>
      </c>
      <c r="D309" s="153">
        <f t="shared" si="81"/>
        <v>30713</v>
      </c>
      <c r="E309" s="152">
        <f t="shared" si="82"/>
        <v>290</v>
      </c>
      <c r="F309" s="152" t="b">
        <f t="shared" si="76"/>
        <v>0</v>
      </c>
      <c r="G309" s="152" t="b">
        <f t="shared" si="77"/>
        <v>1</v>
      </c>
      <c r="H309" s="152" t="b">
        <f t="shared" si="78"/>
        <v>0</v>
      </c>
      <c r="I309" s="153" t="e">
        <f t="shared" si="79"/>
        <v>#N/A</v>
      </c>
      <c r="J309" s="158">
        <f>INDEX('Monthly Prices'!B297:CB297,$G$4)</f>
        <v>137</v>
      </c>
      <c r="K309" s="158" t="b">
        <f>IF(H309,INDEX('Monthly Prices'!B297:CB297,$G$4)*U309,FALSE)</f>
        <v>0</v>
      </c>
      <c r="L309" s="152" t="b">
        <f t="shared" si="83"/>
        <v>1</v>
      </c>
      <c r="M309" s="158">
        <f>INDEX('Monthly Prices'!B297:CB297,$G$5)</f>
        <v>84.87</v>
      </c>
      <c r="N309" s="158" t="b">
        <f>IF(H309,INDEX('Monthly Prices'!B297:CB297,$G$5)*U309,FALSE)</f>
        <v>0</v>
      </c>
      <c r="O309" s="152" t="b">
        <f t="shared" si="80"/>
        <v>1</v>
      </c>
      <c r="P309" s="152">
        <f t="shared" si="84"/>
        <v>1984</v>
      </c>
      <c r="Q309" s="159">
        <f>'Monthly Prices'!B297</f>
        <v>29.203332901</v>
      </c>
      <c r="R309" s="159">
        <f t="shared" si="85"/>
        <v>28.557499991521663</v>
      </c>
      <c r="S309" s="155">
        <f>_xlfn.XLOOKUP(P309,'Annual Real'!A:A,'Annual Real'!B:B,0,0)</f>
        <v>47.346006754578703</v>
      </c>
      <c r="T309" s="155">
        <f t="shared" ca="1" si="86"/>
        <v>2.3073673733385505</v>
      </c>
      <c r="U309" s="152">
        <f t="shared" ca="1" si="87"/>
        <v>2.3073673733385505</v>
      </c>
      <c r="V309" s="152" t="b">
        <f t="shared" si="93"/>
        <v>0</v>
      </c>
      <c r="W309" s="152" t="b">
        <f t="shared" si="94"/>
        <v>0</v>
      </c>
      <c r="X309" s="154">
        <f>LOOKUP(D309,'US Implicit Deflator'!A:A,'US Implicit Deflator'!B:B)/100</f>
        <v>2.7999999999999997E-2</v>
      </c>
      <c r="Y309" s="154">
        <f t="shared" si="88"/>
        <v>2.3039138595752906E-3</v>
      </c>
      <c r="Z309" s="165">
        <f t="shared" ca="1" si="89"/>
        <v>2.9595604074219648</v>
      </c>
      <c r="AA309" s="152">
        <f t="shared" si="90"/>
        <v>7</v>
      </c>
      <c r="AB309" s="153">
        <f t="shared" si="91"/>
        <v>30713</v>
      </c>
      <c r="AC309" s="155">
        <f t="shared" ca="1" si="92"/>
        <v>2.3073673733385505</v>
      </c>
    </row>
    <row r="310" spans="3:29">
      <c r="C310" s="152" t="str">
        <f>'Monthly Prices'!A298</f>
        <v>1984M03</v>
      </c>
      <c r="D310" s="153">
        <f t="shared" si="81"/>
        <v>30742</v>
      </c>
      <c r="E310" s="152">
        <f t="shared" si="82"/>
        <v>291</v>
      </c>
      <c r="F310" s="152" t="b">
        <f t="shared" si="76"/>
        <v>0</v>
      </c>
      <c r="G310" s="152" t="b">
        <f t="shared" si="77"/>
        <v>1</v>
      </c>
      <c r="H310" s="152" t="b">
        <f t="shared" si="78"/>
        <v>0</v>
      </c>
      <c r="I310" s="153" t="e">
        <f t="shared" si="79"/>
        <v>#N/A</v>
      </c>
      <c r="J310" s="158">
        <f>INDEX('Monthly Prices'!B298:CB298,$G$4)</f>
        <v>147.08000000000001</v>
      </c>
      <c r="K310" s="158" t="b">
        <f>IF(H310,INDEX('Monthly Prices'!B298:CB298,$G$4)*U310,FALSE)</f>
        <v>0</v>
      </c>
      <c r="L310" s="152" t="b">
        <f t="shared" si="83"/>
        <v>1</v>
      </c>
      <c r="M310" s="158">
        <f>INDEX('Monthly Prices'!B298:CB298,$G$5)</f>
        <v>87.55</v>
      </c>
      <c r="N310" s="158" t="b">
        <f>IF(H310,INDEX('Monthly Prices'!B298:CB298,$G$5)*U310,FALSE)</f>
        <v>0</v>
      </c>
      <c r="O310" s="152" t="b">
        <f t="shared" si="80"/>
        <v>1</v>
      </c>
      <c r="P310" s="152">
        <f t="shared" si="84"/>
        <v>1984</v>
      </c>
      <c r="Q310" s="159">
        <f>'Monthly Prices'!B298</f>
        <v>29.533333460489999</v>
      </c>
      <c r="R310" s="159">
        <f t="shared" si="85"/>
        <v>28.557499991521663</v>
      </c>
      <c r="S310" s="155">
        <f>_xlfn.XLOOKUP(P310,'Annual Real'!A:A,'Annual Real'!B:B,0,0)</f>
        <v>47.346006754578703</v>
      </c>
      <c r="T310" s="155">
        <f t="shared" ca="1" si="86"/>
        <v>2.3020636170655688</v>
      </c>
      <c r="U310" s="152">
        <f t="shared" ca="1" si="87"/>
        <v>2.3020636170655688</v>
      </c>
      <c r="V310" s="152" t="b">
        <f t="shared" si="93"/>
        <v>0</v>
      </c>
      <c r="W310" s="152" t="b">
        <f t="shared" si="94"/>
        <v>0</v>
      </c>
      <c r="X310" s="154">
        <f>LOOKUP(D310,'US Implicit Deflator'!A:A,'US Implicit Deflator'!B:B)/100</f>
        <v>2.7999999999999997E-2</v>
      </c>
      <c r="Y310" s="154">
        <f t="shared" si="88"/>
        <v>2.3039138595752906E-3</v>
      </c>
      <c r="Z310" s="165">
        <f t="shared" ca="1" si="89"/>
        <v>2.9663789796628746</v>
      </c>
      <c r="AA310" s="152">
        <f t="shared" si="90"/>
        <v>7</v>
      </c>
      <c r="AB310" s="153">
        <f t="shared" si="91"/>
        <v>30742</v>
      </c>
      <c r="AC310" s="155">
        <f t="shared" ca="1" si="92"/>
        <v>2.3020636170655688</v>
      </c>
    </row>
    <row r="311" spans="3:29">
      <c r="C311" s="152" t="str">
        <f>'Monthly Prices'!A299</f>
        <v>1984M04</v>
      </c>
      <c r="D311" s="153">
        <f t="shared" si="81"/>
        <v>30773</v>
      </c>
      <c r="E311" s="152">
        <f t="shared" si="82"/>
        <v>292</v>
      </c>
      <c r="F311" s="152" t="b">
        <f t="shared" si="76"/>
        <v>0</v>
      </c>
      <c r="G311" s="152" t="b">
        <f t="shared" si="77"/>
        <v>1</v>
      </c>
      <c r="H311" s="152" t="b">
        <f t="shared" si="78"/>
        <v>0</v>
      </c>
      <c r="I311" s="153" t="e">
        <f t="shared" si="79"/>
        <v>#N/A</v>
      </c>
      <c r="J311" s="158">
        <f>INDEX('Monthly Prices'!B299:CB299,$G$4)</f>
        <v>148.02000000000001</v>
      </c>
      <c r="K311" s="158" t="b">
        <f>IF(H311,INDEX('Monthly Prices'!B299:CB299,$G$4)*U311,FALSE)</f>
        <v>0</v>
      </c>
      <c r="L311" s="152" t="b">
        <f t="shared" si="83"/>
        <v>1</v>
      </c>
      <c r="M311" s="158">
        <f>INDEX('Monthly Prices'!B299:CB299,$G$5)</f>
        <v>92.52</v>
      </c>
      <c r="N311" s="158" t="b">
        <f>IF(H311,INDEX('Monthly Prices'!B299:CB299,$G$5)*U311,FALSE)</f>
        <v>0</v>
      </c>
      <c r="O311" s="152" t="b">
        <f t="shared" si="80"/>
        <v>1</v>
      </c>
      <c r="P311" s="152">
        <f t="shared" si="84"/>
        <v>1984</v>
      </c>
      <c r="Q311" s="159">
        <f>'Monthly Prices'!B299</f>
        <v>29.573332468669999</v>
      </c>
      <c r="R311" s="159">
        <f t="shared" si="85"/>
        <v>28.557499991521663</v>
      </c>
      <c r="S311" s="155">
        <f>_xlfn.XLOOKUP(P311,'Annual Real'!A:A,'Annual Real'!B:B,0,0)</f>
        <v>47.346006754578703</v>
      </c>
      <c r="T311" s="155">
        <f t="shared" ca="1" si="86"/>
        <v>2.2960288795031345</v>
      </c>
      <c r="U311" s="152">
        <f t="shared" ca="1" si="87"/>
        <v>2.2960288795031345</v>
      </c>
      <c r="V311" s="152" t="b">
        <f t="shared" si="93"/>
        <v>0</v>
      </c>
      <c r="W311" s="152" t="b">
        <f t="shared" si="94"/>
        <v>0</v>
      </c>
      <c r="X311" s="154">
        <f>LOOKUP(D311,'US Implicit Deflator'!A:A,'US Implicit Deflator'!B:B)/100</f>
        <v>3.2000000000000001E-2</v>
      </c>
      <c r="Y311" s="154">
        <f t="shared" si="88"/>
        <v>2.6283369587845051E-3</v>
      </c>
      <c r="Z311" s="165">
        <f t="shared" ca="1" si="89"/>
        <v>2.9741756231688838</v>
      </c>
      <c r="AA311" s="152">
        <f t="shared" si="90"/>
        <v>7</v>
      </c>
      <c r="AB311" s="153">
        <f t="shared" si="91"/>
        <v>30773</v>
      </c>
      <c r="AC311" s="155">
        <f t="shared" ca="1" si="92"/>
        <v>2.2960288795031345</v>
      </c>
    </row>
    <row r="312" spans="3:29">
      <c r="C312" s="152" t="str">
        <f>'Monthly Prices'!A300</f>
        <v>1984M05</v>
      </c>
      <c r="D312" s="153">
        <f t="shared" si="81"/>
        <v>30803</v>
      </c>
      <c r="E312" s="152">
        <f t="shared" si="82"/>
        <v>293</v>
      </c>
      <c r="F312" s="152" t="b">
        <f t="shared" si="76"/>
        <v>0</v>
      </c>
      <c r="G312" s="152" t="b">
        <f t="shared" si="77"/>
        <v>1</v>
      </c>
      <c r="H312" s="152" t="b">
        <f t="shared" si="78"/>
        <v>0</v>
      </c>
      <c r="I312" s="153" t="e">
        <f t="shared" si="79"/>
        <v>#N/A</v>
      </c>
      <c r="J312" s="158">
        <f>INDEX('Monthly Prices'!B300:CB300,$G$4)</f>
        <v>146.06</v>
      </c>
      <c r="K312" s="158" t="b">
        <f>IF(H312,INDEX('Monthly Prices'!B300:CB300,$G$4)*U312,FALSE)</f>
        <v>0</v>
      </c>
      <c r="L312" s="152" t="b">
        <f t="shared" si="83"/>
        <v>1</v>
      </c>
      <c r="M312" s="158">
        <f>INDEX('Monthly Prices'!B300:CB300,$G$5)</f>
        <v>93.22</v>
      </c>
      <c r="N312" s="158" t="b">
        <f>IF(H312,INDEX('Monthly Prices'!B300:CB300,$G$5)*U312,FALSE)</f>
        <v>0</v>
      </c>
      <c r="O312" s="152" t="b">
        <f t="shared" si="80"/>
        <v>1</v>
      </c>
      <c r="P312" s="152">
        <f t="shared" si="84"/>
        <v>1984</v>
      </c>
      <c r="Q312" s="159">
        <f>'Monthly Prices'!B300</f>
        <v>29.460000356039998</v>
      </c>
      <c r="R312" s="159">
        <f t="shared" si="85"/>
        <v>28.557499991521663</v>
      </c>
      <c r="S312" s="155">
        <f>_xlfn.XLOOKUP(P312,'Annual Real'!A:A,'Annual Real'!B:B,0,0)</f>
        <v>47.346006754578703</v>
      </c>
      <c r="T312" s="155">
        <f t="shared" ca="1" si="86"/>
        <v>2.2900099616848535</v>
      </c>
      <c r="U312" s="152">
        <f t="shared" ca="1" si="87"/>
        <v>2.2900099616848535</v>
      </c>
      <c r="V312" s="152" t="b">
        <f t="shared" si="93"/>
        <v>0</v>
      </c>
      <c r="W312" s="152" t="b">
        <f t="shared" si="94"/>
        <v>0</v>
      </c>
      <c r="X312" s="154">
        <f>LOOKUP(D312,'US Implicit Deflator'!A:A,'US Implicit Deflator'!B:B)/100</f>
        <v>3.2000000000000001E-2</v>
      </c>
      <c r="Y312" s="154">
        <f t="shared" si="88"/>
        <v>2.6283369587845051E-3</v>
      </c>
      <c r="Z312" s="165">
        <f t="shared" ca="1" si="89"/>
        <v>2.9819927588811748</v>
      </c>
      <c r="AA312" s="152">
        <f t="shared" si="90"/>
        <v>7</v>
      </c>
      <c r="AB312" s="153">
        <f t="shared" si="91"/>
        <v>30803</v>
      </c>
      <c r="AC312" s="155">
        <f t="shared" ca="1" si="92"/>
        <v>2.2900099616848535</v>
      </c>
    </row>
    <row r="313" spans="3:29">
      <c r="C313" s="152" t="str">
        <f>'Monthly Prices'!A301</f>
        <v>1984M06</v>
      </c>
      <c r="D313" s="153">
        <f t="shared" si="81"/>
        <v>30834</v>
      </c>
      <c r="E313" s="152">
        <f t="shared" si="82"/>
        <v>294</v>
      </c>
      <c r="F313" s="152" t="b">
        <f t="shared" si="76"/>
        <v>0</v>
      </c>
      <c r="G313" s="152" t="b">
        <f t="shared" si="77"/>
        <v>1</v>
      </c>
      <c r="H313" s="152" t="b">
        <f t="shared" si="78"/>
        <v>0</v>
      </c>
      <c r="I313" s="153" t="e">
        <f t="shared" si="79"/>
        <v>#N/A</v>
      </c>
      <c r="J313" s="158">
        <f>INDEX('Monthly Prices'!B301:CB301,$G$4)</f>
        <v>146.97</v>
      </c>
      <c r="K313" s="158" t="b">
        <f>IF(H313,INDEX('Monthly Prices'!B301:CB301,$G$4)*U313,FALSE)</f>
        <v>0</v>
      </c>
      <c r="L313" s="152" t="b">
        <f t="shared" si="83"/>
        <v>1</v>
      </c>
      <c r="M313" s="158">
        <f>INDEX('Monthly Prices'!B301:CB301,$G$5)</f>
        <v>89.91</v>
      </c>
      <c r="N313" s="158" t="b">
        <f>IF(H313,INDEX('Monthly Prices'!B301:CB301,$G$5)*U313,FALSE)</f>
        <v>0</v>
      </c>
      <c r="O313" s="152" t="b">
        <f t="shared" si="80"/>
        <v>1</v>
      </c>
      <c r="P313" s="152">
        <f t="shared" si="84"/>
        <v>1984</v>
      </c>
      <c r="Q313" s="159">
        <f>'Monthly Prices'!B301</f>
        <v>29.050000508629999</v>
      </c>
      <c r="R313" s="159">
        <f t="shared" si="85"/>
        <v>28.557499991521663</v>
      </c>
      <c r="S313" s="155">
        <f>_xlfn.XLOOKUP(P313,'Annual Real'!A:A,'Annual Real'!B:B,0,0)</f>
        <v>47.346006754578703</v>
      </c>
      <c r="T313" s="155">
        <f t="shared" ca="1" si="86"/>
        <v>2.2840068221401064</v>
      </c>
      <c r="U313" s="152">
        <f t="shared" ca="1" si="87"/>
        <v>2.2840068221401064</v>
      </c>
      <c r="V313" s="152" t="b">
        <f t="shared" si="93"/>
        <v>0</v>
      </c>
      <c r="W313" s="152" t="b">
        <f t="shared" si="94"/>
        <v>0</v>
      </c>
      <c r="X313" s="154">
        <f>LOOKUP(D313,'US Implicit Deflator'!A:A,'US Implicit Deflator'!B:B)/100</f>
        <v>3.2000000000000001E-2</v>
      </c>
      <c r="Y313" s="154">
        <f t="shared" si="88"/>
        <v>2.6283369587845051E-3</v>
      </c>
      <c r="Z313" s="165">
        <f t="shared" ca="1" si="89"/>
        <v>2.9898304406601701</v>
      </c>
      <c r="AA313" s="152">
        <f t="shared" si="90"/>
        <v>7</v>
      </c>
      <c r="AB313" s="153">
        <f t="shared" si="91"/>
        <v>30834</v>
      </c>
      <c r="AC313" s="155">
        <f t="shared" ca="1" si="92"/>
        <v>2.2840068221401064</v>
      </c>
    </row>
    <row r="314" spans="3:29">
      <c r="C314" s="152" t="str">
        <f>'Monthly Prices'!A302</f>
        <v>1984M07</v>
      </c>
      <c r="D314" s="153">
        <f t="shared" si="81"/>
        <v>30864</v>
      </c>
      <c r="E314" s="152">
        <f t="shared" si="82"/>
        <v>295</v>
      </c>
      <c r="F314" s="152" t="b">
        <f t="shared" si="76"/>
        <v>0</v>
      </c>
      <c r="G314" s="152" t="b">
        <f t="shared" si="77"/>
        <v>1</v>
      </c>
      <c r="H314" s="152" t="b">
        <f t="shared" si="78"/>
        <v>0</v>
      </c>
      <c r="I314" s="153" t="e">
        <f t="shared" si="79"/>
        <v>#N/A</v>
      </c>
      <c r="J314" s="158">
        <f>INDEX('Monthly Prices'!B302:CB302,$G$4)</f>
        <v>142.59</v>
      </c>
      <c r="K314" s="158" t="b">
        <f>IF(H314,INDEX('Monthly Prices'!B302:CB302,$G$4)*U314,FALSE)</f>
        <v>0</v>
      </c>
      <c r="L314" s="152" t="b">
        <f t="shared" si="83"/>
        <v>1</v>
      </c>
      <c r="M314" s="158">
        <f>INDEX('Monthly Prices'!B302:CB302,$G$5)</f>
        <v>72.89</v>
      </c>
      <c r="N314" s="158" t="b">
        <f>IF(H314,INDEX('Monthly Prices'!B302:CB302,$G$5)*U314,FALSE)</f>
        <v>0</v>
      </c>
      <c r="O314" s="152" t="b">
        <f t="shared" si="80"/>
        <v>1</v>
      </c>
      <c r="P314" s="152">
        <f t="shared" si="84"/>
        <v>1984</v>
      </c>
      <c r="Q314" s="159">
        <f>'Monthly Prices'!B302</f>
        <v>27.98666699727</v>
      </c>
      <c r="R314" s="159">
        <f t="shared" si="85"/>
        <v>28.557499991521663</v>
      </c>
      <c r="S314" s="155">
        <f>_xlfn.XLOOKUP(P314,'Annual Real'!A:A,'Annual Real'!B:B,0,0)</f>
        <v>47.346006754578703</v>
      </c>
      <c r="T314" s="155">
        <f t="shared" ca="1" si="86"/>
        <v>2.2791266009556179</v>
      </c>
      <c r="U314" s="152">
        <f t="shared" ca="1" si="87"/>
        <v>2.2791266009556179</v>
      </c>
      <c r="V314" s="152" t="b">
        <f t="shared" si="93"/>
        <v>0</v>
      </c>
      <c r="W314" s="152" t="b">
        <f t="shared" si="94"/>
        <v>0</v>
      </c>
      <c r="X314" s="154">
        <f>LOOKUP(D314,'US Implicit Deflator'!A:A,'US Implicit Deflator'!B:B)/100</f>
        <v>2.6000000000000002E-2</v>
      </c>
      <c r="Y314" s="154">
        <f t="shared" si="88"/>
        <v>2.1412681429993086E-3</v>
      </c>
      <c r="Z314" s="165">
        <f t="shared" ca="1" si="89"/>
        <v>2.9962324693357254</v>
      </c>
      <c r="AA314" s="152">
        <f t="shared" si="90"/>
        <v>7</v>
      </c>
      <c r="AB314" s="153">
        <f t="shared" si="91"/>
        <v>30864</v>
      </c>
      <c r="AC314" s="155">
        <f t="shared" ca="1" si="92"/>
        <v>2.2791266009556179</v>
      </c>
    </row>
    <row r="315" spans="3:29">
      <c r="C315" s="152" t="str">
        <f>'Monthly Prices'!A303</f>
        <v>1984M08</v>
      </c>
      <c r="D315" s="153">
        <f t="shared" si="81"/>
        <v>30895</v>
      </c>
      <c r="E315" s="152">
        <f t="shared" si="82"/>
        <v>296</v>
      </c>
      <c r="F315" s="152" t="b">
        <f t="shared" si="76"/>
        <v>0</v>
      </c>
      <c r="G315" s="152" t="b">
        <f t="shared" si="77"/>
        <v>1</v>
      </c>
      <c r="H315" s="152" t="b">
        <f t="shared" si="78"/>
        <v>0</v>
      </c>
      <c r="I315" s="153" t="e">
        <f t="shared" si="79"/>
        <v>#N/A</v>
      </c>
      <c r="J315" s="158">
        <f>INDEX('Monthly Prices'!B303:CB303,$G$4)</f>
        <v>138.75</v>
      </c>
      <c r="K315" s="158" t="b">
        <f>IF(H315,INDEX('Monthly Prices'!B303:CB303,$G$4)*U315,FALSE)</f>
        <v>0</v>
      </c>
      <c r="L315" s="152" t="b">
        <f t="shared" si="83"/>
        <v>1</v>
      </c>
      <c r="M315" s="158">
        <f>INDEX('Monthly Prices'!B303:CB303,$G$5)</f>
        <v>66.58</v>
      </c>
      <c r="N315" s="158" t="b">
        <f>IF(H315,INDEX('Monthly Prices'!B303:CB303,$G$5)*U315,FALSE)</f>
        <v>0</v>
      </c>
      <c r="O315" s="152" t="b">
        <f t="shared" si="80"/>
        <v>1</v>
      </c>
      <c r="P315" s="152">
        <f t="shared" si="84"/>
        <v>1984</v>
      </c>
      <c r="Q315" s="159">
        <f>'Monthly Prices'!B303</f>
        <v>28.170000076289998</v>
      </c>
      <c r="R315" s="159">
        <f t="shared" si="85"/>
        <v>28.557499991521663</v>
      </c>
      <c r="S315" s="155">
        <f>_xlfn.XLOOKUP(P315,'Annual Real'!A:A,'Annual Real'!B:B,0,0)</f>
        <v>47.346006754578703</v>
      </c>
      <c r="T315" s="155">
        <f t="shared" ca="1" si="86"/>
        <v>2.2742568073051359</v>
      </c>
      <c r="U315" s="152">
        <f t="shared" ca="1" si="87"/>
        <v>2.2742568073051359</v>
      </c>
      <c r="V315" s="152" t="b">
        <f t="shared" si="93"/>
        <v>0</v>
      </c>
      <c r="W315" s="152" t="b">
        <f t="shared" si="94"/>
        <v>0</v>
      </c>
      <c r="X315" s="154">
        <f>LOOKUP(D315,'US Implicit Deflator'!A:A,'US Implicit Deflator'!B:B)/100</f>
        <v>2.6000000000000002E-2</v>
      </c>
      <c r="Y315" s="154">
        <f t="shared" si="88"/>
        <v>2.1412681429993086E-3</v>
      </c>
      <c r="Z315" s="165">
        <f t="shared" ca="1" si="89"/>
        <v>3.002648206471334</v>
      </c>
      <c r="AA315" s="152">
        <f t="shared" si="90"/>
        <v>7</v>
      </c>
      <c r="AB315" s="153">
        <f t="shared" si="91"/>
        <v>30895</v>
      </c>
      <c r="AC315" s="155">
        <f t="shared" ca="1" si="92"/>
        <v>2.2742568073051359</v>
      </c>
    </row>
    <row r="316" spans="3:29">
      <c r="C316" s="152" t="str">
        <f>'Monthly Prices'!A304</f>
        <v>1984M09</v>
      </c>
      <c r="D316" s="153">
        <f t="shared" si="81"/>
        <v>30926</v>
      </c>
      <c r="E316" s="152">
        <f t="shared" si="82"/>
        <v>297</v>
      </c>
      <c r="F316" s="152" t="b">
        <f t="shared" si="76"/>
        <v>0</v>
      </c>
      <c r="G316" s="152" t="b">
        <f t="shared" si="77"/>
        <v>1</v>
      </c>
      <c r="H316" s="152" t="b">
        <f t="shared" si="78"/>
        <v>0</v>
      </c>
      <c r="I316" s="153" t="e">
        <f t="shared" si="79"/>
        <v>#N/A</v>
      </c>
      <c r="J316" s="158">
        <f>INDEX('Monthly Prices'!B304:CB304,$G$4)</f>
        <v>130.41</v>
      </c>
      <c r="K316" s="158" t="b">
        <f>IF(H316,INDEX('Monthly Prices'!B304:CB304,$G$4)*U316,FALSE)</f>
        <v>0</v>
      </c>
      <c r="L316" s="152" t="b">
        <f t="shared" si="83"/>
        <v>1</v>
      </c>
      <c r="M316" s="158">
        <f>INDEX('Monthly Prices'!B304:CB304,$G$5)</f>
        <v>68.88</v>
      </c>
      <c r="N316" s="158" t="b">
        <f>IF(H316,INDEX('Monthly Prices'!B304:CB304,$G$5)*U316,FALSE)</f>
        <v>0</v>
      </c>
      <c r="O316" s="152" t="b">
        <f t="shared" si="80"/>
        <v>1</v>
      </c>
      <c r="P316" s="152">
        <f t="shared" si="84"/>
        <v>1984</v>
      </c>
      <c r="Q316" s="159">
        <f>'Monthly Prices'!B304</f>
        <v>28.353333155310001</v>
      </c>
      <c r="R316" s="159">
        <f t="shared" si="85"/>
        <v>28.557499991521663</v>
      </c>
      <c r="S316" s="155">
        <f>_xlfn.XLOOKUP(P316,'Annual Real'!A:A,'Annual Real'!B:B,0,0)</f>
        <v>47.346006754578703</v>
      </c>
      <c r="T316" s="155">
        <f t="shared" ca="1" si="86"/>
        <v>2.2693974189082233</v>
      </c>
      <c r="U316" s="152">
        <f t="shared" ca="1" si="87"/>
        <v>2.2693974189082233</v>
      </c>
      <c r="V316" s="152" t="b">
        <f t="shared" si="93"/>
        <v>0</v>
      </c>
      <c r="W316" s="152" t="b">
        <f t="shared" si="94"/>
        <v>0</v>
      </c>
      <c r="X316" s="154">
        <f>LOOKUP(D316,'US Implicit Deflator'!A:A,'US Implicit Deflator'!B:B)/100</f>
        <v>2.6000000000000002E-2</v>
      </c>
      <c r="Y316" s="154">
        <f t="shared" si="88"/>
        <v>2.1412681429993086E-3</v>
      </c>
      <c r="Z316" s="165">
        <f t="shared" ca="1" si="89"/>
        <v>3.0090776814204849</v>
      </c>
      <c r="AA316" s="152">
        <f t="shared" si="90"/>
        <v>7</v>
      </c>
      <c r="AB316" s="153">
        <f t="shared" si="91"/>
        <v>30926</v>
      </c>
      <c r="AC316" s="155">
        <f t="shared" ca="1" si="92"/>
        <v>2.2693974189082233</v>
      </c>
    </row>
    <row r="317" spans="3:29">
      <c r="C317" s="152" t="str">
        <f>'Monthly Prices'!A305</f>
        <v>1984M10</v>
      </c>
      <c r="D317" s="153">
        <f t="shared" si="81"/>
        <v>30956</v>
      </c>
      <c r="E317" s="152">
        <f t="shared" si="82"/>
        <v>298</v>
      </c>
      <c r="F317" s="152" t="b">
        <f t="shared" si="76"/>
        <v>0</v>
      </c>
      <c r="G317" s="152" t="b">
        <f t="shared" si="77"/>
        <v>1</v>
      </c>
      <c r="H317" s="152" t="b">
        <f t="shared" si="78"/>
        <v>0</v>
      </c>
      <c r="I317" s="153" t="e">
        <f t="shared" si="79"/>
        <v>#N/A</v>
      </c>
      <c r="J317" s="158">
        <f>INDEX('Monthly Prices'!B305:CB305,$G$4)</f>
        <v>121.19</v>
      </c>
      <c r="K317" s="158" t="b">
        <f>IF(H317,INDEX('Monthly Prices'!B305:CB305,$G$4)*U317,FALSE)</f>
        <v>0</v>
      </c>
      <c r="L317" s="152" t="b">
        <f t="shared" si="83"/>
        <v>1</v>
      </c>
      <c r="M317" s="158">
        <f>INDEX('Monthly Prices'!B305:CB305,$G$5)</f>
        <v>70.599999999999994</v>
      </c>
      <c r="N317" s="158" t="b">
        <f>IF(H317,INDEX('Monthly Prices'!B305:CB305,$G$5)*U317,FALSE)</f>
        <v>0</v>
      </c>
      <c r="O317" s="152" t="b">
        <f t="shared" si="80"/>
        <v>1</v>
      </c>
      <c r="P317" s="152">
        <f t="shared" si="84"/>
        <v>1984</v>
      </c>
      <c r="Q317" s="159">
        <f>'Monthly Prices'!B305</f>
        <v>27.853333155310001</v>
      </c>
      <c r="R317" s="159">
        <f t="shared" si="85"/>
        <v>28.557499991521663</v>
      </c>
      <c r="S317" s="155">
        <f>_xlfn.XLOOKUP(P317,'Annual Real'!A:A,'Annual Real'!B:B,0,0)</f>
        <v>47.346006754578703</v>
      </c>
      <c r="T317" s="155">
        <f t="shared" ca="1" si="86"/>
        <v>2.2647324408849987</v>
      </c>
      <c r="U317" s="152">
        <f t="shared" ca="1" si="87"/>
        <v>2.2647324408849987</v>
      </c>
      <c r="V317" s="152" t="b">
        <f t="shared" si="93"/>
        <v>0</v>
      </c>
      <c r="W317" s="152" t="b">
        <f t="shared" si="94"/>
        <v>0</v>
      </c>
      <c r="X317" s="154">
        <f>LOOKUP(D317,'US Implicit Deflator'!A:A,'US Implicit Deflator'!B:B)/100</f>
        <v>2.5000000000000001E-2</v>
      </c>
      <c r="Y317" s="154">
        <f t="shared" si="88"/>
        <v>2.0598362698427408E-3</v>
      </c>
      <c r="Z317" s="165">
        <f t="shared" ca="1" si="89"/>
        <v>3.0152758887674493</v>
      </c>
      <c r="AA317" s="152">
        <f t="shared" si="90"/>
        <v>7</v>
      </c>
      <c r="AB317" s="153">
        <f t="shared" si="91"/>
        <v>30956</v>
      </c>
      <c r="AC317" s="155">
        <f t="shared" ca="1" si="92"/>
        <v>2.2647324408849987</v>
      </c>
    </row>
    <row r="318" spans="3:29">
      <c r="C318" s="152" t="str">
        <f>'Monthly Prices'!A306</f>
        <v>1984M11</v>
      </c>
      <c r="D318" s="153">
        <f t="shared" si="81"/>
        <v>30987</v>
      </c>
      <c r="E318" s="152">
        <f t="shared" si="82"/>
        <v>299</v>
      </c>
      <c r="F318" s="152" t="b">
        <f t="shared" si="76"/>
        <v>0</v>
      </c>
      <c r="G318" s="152" t="b">
        <f t="shared" si="77"/>
        <v>1</v>
      </c>
      <c r="H318" s="152" t="b">
        <f t="shared" si="78"/>
        <v>0</v>
      </c>
      <c r="I318" s="153" t="e">
        <f t="shared" si="79"/>
        <v>#N/A</v>
      </c>
      <c r="J318" s="158">
        <f>INDEX('Monthly Prices'!B306:CB306,$G$4)</f>
        <v>117.37</v>
      </c>
      <c r="K318" s="158" t="b">
        <f>IF(H318,INDEX('Monthly Prices'!B306:CB306,$G$4)*U318,FALSE)</f>
        <v>0</v>
      </c>
      <c r="L318" s="152" t="b">
        <f t="shared" si="83"/>
        <v>1</v>
      </c>
      <c r="M318" s="158">
        <f>INDEX('Monthly Prices'!B306:CB306,$G$5)</f>
        <v>71.239999999999995</v>
      </c>
      <c r="N318" s="158" t="b">
        <f>IF(H318,INDEX('Monthly Prices'!B306:CB306,$G$5)*U318,FALSE)</f>
        <v>0</v>
      </c>
      <c r="O318" s="152" t="b">
        <f t="shared" si="80"/>
        <v>1</v>
      </c>
      <c r="P318" s="152">
        <f t="shared" si="84"/>
        <v>1984</v>
      </c>
      <c r="Q318" s="159">
        <f>'Monthly Prices'!B306</f>
        <v>27.650000254310001</v>
      </c>
      <c r="R318" s="159">
        <f t="shared" si="85"/>
        <v>28.557499991521663</v>
      </c>
      <c r="S318" s="155">
        <f>_xlfn.XLOOKUP(P318,'Annual Real'!A:A,'Annual Real'!B:B,0,0)</f>
        <v>47.346006754578703</v>
      </c>
      <c r="T318" s="155">
        <f t="shared" ca="1" si="86"/>
        <v>2.2600770522002374</v>
      </c>
      <c r="U318" s="152">
        <f t="shared" ca="1" si="87"/>
        <v>2.2600770522002374</v>
      </c>
      <c r="V318" s="152" t="b">
        <f t="shared" si="93"/>
        <v>0</v>
      </c>
      <c r="W318" s="152" t="b">
        <f t="shared" si="94"/>
        <v>0</v>
      </c>
      <c r="X318" s="154">
        <f>LOOKUP(D318,'US Implicit Deflator'!A:A,'US Implicit Deflator'!B:B)/100</f>
        <v>2.5000000000000001E-2</v>
      </c>
      <c r="Y318" s="154">
        <f t="shared" si="88"/>
        <v>2.0598362698427408E-3</v>
      </c>
      <c r="Z318" s="165">
        <f t="shared" ca="1" si="89"/>
        <v>3.0214868634067149</v>
      </c>
      <c r="AA318" s="152">
        <f t="shared" si="90"/>
        <v>7</v>
      </c>
      <c r="AB318" s="153">
        <f t="shared" si="91"/>
        <v>30987</v>
      </c>
      <c r="AC318" s="155">
        <f t="shared" ca="1" si="92"/>
        <v>2.2600770522002374</v>
      </c>
    </row>
    <row r="319" spans="3:29">
      <c r="C319" s="152" t="str">
        <f>'Monthly Prices'!A307</f>
        <v>1984M12</v>
      </c>
      <c r="D319" s="153">
        <f t="shared" si="81"/>
        <v>31017</v>
      </c>
      <c r="E319" s="152">
        <f t="shared" si="82"/>
        <v>300</v>
      </c>
      <c r="F319" s="152" t="b">
        <f t="shared" si="76"/>
        <v>0</v>
      </c>
      <c r="G319" s="152" t="b">
        <f t="shared" si="77"/>
        <v>1</v>
      </c>
      <c r="H319" s="152" t="b">
        <f t="shared" si="78"/>
        <v>0</v>
      </c>
      <c r="I319" s="153" t="e">
        <f t="shared" si="79"/>
        <v>#N/A</v>
      </c>
      <c r="J319" s="158">
        <f>INDEX('Monthly Prices'!B307:CB307,$G$4)</f>
        <v>113.95</v>
      </c>
      <c r="K319" s="158" t="b">
        <f>IF(H319,INDEX('Monthly Prices'!B307:CB307,$G$4)*U319,FALSE)</f>
        <v>0</v>
      </c>
      <c r="L319" s="152" t="b">
        <f t="shared" si="83"/>
        <v>1</v>
      </c>
      <c r="M319" s="158">
        <f>INDEX('Monthly Prices'!B307:CB307,$G$5)</f>
        <v>61.55</v>
      </c>
      <c r="N319" s="158" t="b">
        <f>IF(H319,INDEX('Monthly Prices'!B307:CB307,$G$5)*U319,FALSE)</f>
        <v>0</v>
      </c>
      <c r="O319" s="152" t="b">
        <f t="shared" si="80"/>
        <v>1</v>
      </c>
      <c r="P319" s="152">
        <f t="shared" si="84"/>
        <v>1984</v>
      </c>
      <c r="Q319" s="159">
        <f>'Monthly Prices'!B307</f>
        <v>26.813333511349999</v>
      </c>
      <c r="R319" s="159">
        <f t="shared" si="85"/>
        <v>28.557499991521663</v>
      </c>
      <c r="S319" s="155">
        <f>_xlfn.XLOOKUP(P319,'Annual Real'!A:A,'Annual Real'!B:B,0,0)</f>
        <v>47.346006754578703</v>
      </c>
      <c r="T319" s="155">
        <f t="shared" ca="1" si="86"/>
        <v>2.2554312331420752</v>
      </c>
      <c r="U319" s="152">
        <f t="shared" ca="1" si="87"/>
        <v>2.2554312331420752</v>
      </c>
      <c r="V319" s="152" t="b">
        <f t="shared" si="93"/>
        <v>0</v>
      </c>
      <c r="W319" s="152" t="b">
        <f t="shared" si="94"/>
        <v>0</v>
      </c>
      <c r="X319" s="154">
        <f>LOOKUP(D319,'US Implicit Deflator'!A:A,'US Implicit Deflator'!B:B)/100</f>
        <v>2.5000000000000001E-2</v>
      </c>
      <c r="Y319" s="154">
        <f t="shared" si="88"/>
        <v>2.0598362698427408E-3</v>
      </c>
      <c r="Z319" s="165">
        <f t="shared" ca="1" si="89"/>
        <v>3.0277106316368134</v>
      </c>
      <c r="AA319" s="152">
        <f t="shared" si="90"/>
        <v>7</v>
      </c>
      <c r="AB319" s="153">
        <f t="shared" si="91"/>
        <v>31017</v>
      </c>
      <c r="AC319" s="155">
        <f t="shared" ca="1" si="92"/>
        <v>2.2554312331420752</v>
      </c>
    </row>
    <row r="320" spans="3:29">
      <c r="C320" s="152" t="str">
        <f>'Monthly Prices'!A308</f>
        <v>1985M01</v>
      </c>
      <c r="D320" s="153">
        <f t="shared" si="81"/>
        <v>31048</v>
      </c>
      <c r="E320" s="152">
        <f t="shared" si="82"/>
        <v>301</v>
      </c>
      <c r="F320" s="152" t="b">
        <f t="shared" si="76"/>
        <v>0</v>
      </c>
      <c r="G320" s="152" t="b">
        <f t="shared" si="77"/>
        <v>1</v>
      </c>
      <c r="H320" s="152" t="b">
        <f t="shared" si="78"/>
        <v>0</v>
      </c>
      <c r="I320" s="153" t="e">
        <f t="shared" si="79"/>
        <v>#N/A</v>
      </c>
      <c r="J320" s="158">
        <f>INDEX('Monthly Prices'!B308:CB308,$G$4)</f>
        <v>119.01</v>
      </c>
      <c r="K320" s="158" t="b">
        <f>IF(H320,INDEX('Monthly Prices'!B308:CB308,$G$4)*U320,FALSE)</f>
        <v>0</v>
      </c>
      <c r="L320" s="152" t="b">
        <f t="shared" si="83"/>
        <v>1</v>
      </c>
      <c r="M320" s="158">
        <f>INDEX('Monthly Prices'!B308:CB308,$G$5)</f>
        <v>66.58</v>
      </c>
      <c r="N320" s="158" t="b">
        <f>IF(H320,INDEX('Monthly Prices'!B308:CB308,$G$5)*U320,FALSE)</f>
        <v>0</v>
      </c>
      <c r="O320" s="152" t="b">
        <f t="shared" si="80"/>
        <v>1</v>
      </c>
      <c r="P320" s="152">
        <f t="shared" si="84"/>
        <v>1985</v>
      </c>
      <c r="Q320" s="159">
        <f>'Monthly Prices'!B308</f>
        <v>26.63333333333</v>
      </c>
      <c r="R320" s="159">
        <f t="shared" si="85"/>
        <v>27.183333333333337</v>
      </c>
      <c r="S320" s="155">
        <f>_xlfn.XLOOKUP(P320,'Annual Real'!A:A,'Annual Real'!B:B,0,0)</f>
        <v>45.542674072633098</v>
      </c>
      <c r="T320" s="155">
        <f t="shared" ca="1" si="86"/>
        <v>2.2491558263811124</v>
      </c>
      <c r="U320" s="152">
        <f t="shared" ca="1" si="87"/>
        <v>2.2491558263811124</v>
      </c>
      <c r="V320" s="152" t="b">
        <f t="shared" si="93"/>
        <v>0</v>
      </c>
      <c r="W320" s="152" t="b">
        <f t="shared" si="94"/>
        <v>0</v>
      </c>
      <c r="X320" s="154">
        <f>LOOKUP(D320,'US Implicit Deflator'!A:A,'US Implicit Deflator'!B:B)/100</f>
        <v>3.4000000000000002E-2</v>
      </c>
      <c r="Y320" s="154">
        <f t="shared" si="88"/>
        <v>2.7901164905321796E-3</v>
      </c>
      <c r="Z320" s="165">
        <f t="shared" ca="1" si="89"/>
        <v>3.0361582969987029</v>
      </c>
      <c r="AA320" s="152">
        <f t="shared" si="90"/>
        <v>7</v>
      </c>
      <c r="AB320" s="153">
        <f t="shared" si="91"/>
        <v>31048</v>
      </c>
      <c r="AC320" s="155">
        <f t="shared" ca="1" si="92"/>
        <v>2.2491558263811124</v>
      </c>
    </row>
    <row r="321" spans="3:29">
      <c r="C321" s="152" t="str">
        <f>'Monthly Prices'!A309</f>
        <v>1985M02</v>
      </c>
      <c r="D321" s="153">
        <f t="shared" si="81"/>
        <v>31079</v>
      </c>
      <c r="E321" s="152">
        <f t="shared" si="82"/>
        <v>302</v>
      </c>
      <c r="F321" s="152" t="b">
        <f t="shared" si="76"/>
        <v>0</v>
      </c>
      <c r="G321" s="152" t="b">
        <f t="shared" si="77"/>
        <v>1</v>
      </c>
      <c r="H321" s="152" t="b">
        <f t="shared" si="78"/>
        <v>0</v>
      </c>
      <c r="I321" s="153" t="e">
        <f t="shared" si="79"/>
        <v>#N/A</v>
      </c>
      <c r="J321" s="158">
        <f>INDEX('Monthly Prices'!B309:CB309,$G$4)</f>
        <v>119.78</v>
      </c>
      <c r="K321" s="158" t="b">
        <f>IF(H321,INDEX('Monthly Prices'!B309:CB309,$G$4)*U321,FALSE)</f>
        <v>0</v>
      </c>
      <c r="L321" s="152" t="b">
        <f t="shared" si="83"/>
        <v>1</v>
      </c>
      <c r="M321" s="158">
        <f>INDEX('Monthly Prices'!B309:CB309,$G$5)</f>
        <v>68.239999999999995</v>
      </c>
      <c r="N321" s="158" t="b">
        <f>IF(H321,INDEX('Monthly Prices'!B309:CB309,$G$5)*U321,FALSE)</f>
        <v>0</v>
      </c>
      <c r="O321" s="152" t="b">
        <f t="shared" si="80"/>
        <v>1</v>
      </c>
      <c r="P321" s="152">
        <f t="shared" si="84"/>
        <v>1985</v>
      </c>
      <c r="Q321" s="159">
        <f>'Monthly Prices'!B309</f>
        <v>27.6</v>
      </c>
      <c r="R321" s="159">
        <f t="shared" si="85"/>
        <v>27.183333333333337</v>
      </c>
      <c r="S321" s="155">
        <f>_xlfn.XLOOKUP(P321,'Annual Real'!A:A,'Annual Real'!B:B,0,0)</f>
        <v>45.542674072633098</v>
      </c>
      <c r="T321" s="155">
        <f t="shared" ca="1" si="86"/>
        <v>2.2428978800194903</v>
      </c>
      <c r="U321" s="152">
        <f t="shared" ca="1" si="87"/>
        <v>2.2428978800194903</v>
      </c>
      <c r="V321" s="152" t="b">
        <f t="shared" si="93"/>
        <v>0</v>
      </c>
      <c r="W321" s="152" t="b">
        <f t="shared" si="94"/>
        <v>0</v>
      </c>
      <c r="X321" s="154">
        <f>LOOKUP(D321,'US Implicit Deflator'!A:A,'US Implicit Deflator'!B:B)/100</f>
        <v>3.4000000000000002E-2</v>
      </c>
      <c r="Y321" s="154">
        <f t="shared" si="88"/>
        <v>2.7901164905321796E-3</v>
      </c>
      <c r="Z321" s="165">
        <f t="shared" ca="1" si="89"/>
        <v>3.0446295323310251</v>
      </c>
      <c r="AA321" s="152">
        <f t="shared" si="90"/>
        <v>7</v>
      </c>
      <c r="AB321" s="153">
        <f t="shared" si="91"/>
        <v>31079</v>
      </c>
      <c r="AC321" s="155">
        <f t="shared" ca="1" si="92"/>
        <v>2.2428978800194903</v>
      </c>
    </row>
    <row r="322" spans="3:29">
      <c r="C322" s="152" t="str">
        <f>'Monthly Prices'!A310</f>
        <v>1985M03</v>
      </c>
      <c r="D322" s="153">
        <f t="shared" si="81"/>
        <v>31107</v>
      </c>
      <c r="E322" s="152">
        <f t="shared" si="82"/>
        <v>303</v>
      </c>
      <c r="F322" s="152" t="b">
        <f t="shared" si="76"/>
        <v>0</v>
      </c>
      <c r="G322" s="152" t="b">
        <f t="shared" si="77"/>
        <v>1</v>
      </c>
      <c r="H322" s="152" t="b">
        <f t="shared" si="78"/>
        <v>0</v>
      </c>
      <c r="I322" s="153" t="e">
        <f t="shared" si="79"/>
        <v>#N/A</v>
      </c>
      <c r="J322" s="158">
        <f>INDEX('Monthly Prices'!B310:CB310,$G$4)</f>
        <v>120.19</v>
      </c>
      <c r="K322" s="158" t="b">
        <f>IF(H322,INDEX('Monthly Prices'!B310:CB310,$G$4)*U322,FALSE)</f>
        <v>0</v>
      </c>
      <c r="L322" s="152" t="b">
        <f t="shared" si="83"/>
        <v>1</v>
      </c>
      <c r="M322" s="158">
        <f>INDEX('Monthly Prices'!B310:CB310,$G$5)</f>
        <v>64.930000000000007</v>
      </c>
      <c r="N322" s="158" t="b">
        <f>IF(H322,INDEX('Monthly Prices'!B310:CB310,$G$5)*U322,FALSE)</f>
        <v>0</v>
      </c>
      <c r="O322" s="152" t="b">
        <f t="shared" si="80"/>
        <v>1</v>
      </c>
      <c r="P322" s="152">
        <f t="shared" si="84"/>
        <v>1985</v>
      </c>
      <c r="Q322" s="159">
        <f>'Monthly Prices'!B310</f>
        <v>27.85</v>
      </c>
      <c r="R322" s="159">
        <f t="shared" si="85"/>
        <v>27.183333333333337</v>
      </c>
      <c r="S322" s="155">
        <f>_xlfn.XLOOKUP(P322,'Annual Real'!A:A,'Annual Real'!B:B,0,0)</f>
        <v>45.542674072633098</v>
      </c>
      <c r="T322" s="155">
        <f t="shared" ca="1" si="86"/>
        <v>2.2366573454762073</v>
      </c>
      <c r="U322" s="152">
        <f t="shared" ca="1" si="87"/>
        <v>2.2366573454762073</v>
      </c>
      <c r="V322" s="152" t="b">
        <f t="shared" si="93"/>
        <v>0</v>
      </c>
      <c r="W322" s="152" t="b">
        <f t="shared" si="94"/>
        <v>0</v>
      </c>
      <c r="X322" s="154">
        <f>LOOKUP(D322,'US Implicit Deflator'!A:A,'US Implicit Deflator'!B:B)/100</f>
        <v>3.4000000000000002E-2</v>
      </c>
      <c r="Y322" s="154">
        <f t="shared" si="88"/>
        <v>2.7901164905321796E-3</v>
      </c>
      <c r="Z322" s="165">
        <f t="shared" ca="1" si="89"/>
        <v>3.0531244033967431</v>
      </c>
      <c r="AA322" s="152">
        <f t="shared" si="90"/>
        <v>7</v>
      </c>
      <c r="AB322" s="153">
        <f t="shared" si="91"/>
        <v>31107</v>
      </c>
      <c r="AC322" s="155">
        <f t="shared" ca="1" si="92"/>
        <v>2.2366573454762073</v>
      </c>
    </row>
    <row r="323" spans="3:29">
      <c r="C323" s="152" t="str">
        <f>'Monthly Prices'!A311</f>
        <v>1985M04</v>
      </c>
      <c r="D323" s="153">
        <f t="shared" si="81"/>
        <v>31138</v>
      </c>
      <c r="E323" s="152">
        <f t="shared" si="82"/>
        <v>304</v>
      </c>
      <c r="F323" s="152" t="b">
        <f t="shared" si="76"/>
        <v>0</v>
      </c>
      <c r="G323" s="152" t="b">
        <f t="shared" si="77"/>
        <v>1</v>
      </c>
      <c r="H323" s="152" t="b">
        <f t="shared" si="78"/>
        <v>0</v>
      </c>
      <c r="I323" s="153" t="e">
        <f t="shared" si="79"/>
        <v>#N/A</v>
      </c>
      <c r="J323" s="158">
        <f>INDEX('Monthly Prices'!B311:CB311,$G$4)</f>
        <v>120.05</v>
      </c>
      <c r="K323" s="158" t="b">
        <f>IF(H323,INDEX('Monthly Prices'!B311:CB311,$G$4)*U323,FALSE)</f>
        <v>0</v>
      </c>
      <c r="L323" s="152" t="b">
        <f t="shared" si="83"/>
        <v>1</v>
      </c>
      <c r="M323" s="158">
        <f>INDEX('Monthly Prices'!B311:CB311,$G$5)</f>
        <v>68.239999999999995</v>
      </c>
      <c r="N323" s="158" t="b">
        <f>IF(H323,INDEX('Monthly Prices'!B311:CB311,$G$5)*U323,FALSE)</f>
        <v>0</v>
      </c>
      <c r="O323" s="152" t="b">
        <f t="shared" si="80"/>
        <v>1</v>
      </c>
      <c r="P323" s="152">
        <f t="shared" si="84"/>
        <v>1985</v>
      </c>
      <c r="Q323" s="159">
        <f>'Monthly Prices'!B311</f>
        <v>27.8</v>
      </c>
      <c r="R323" s="159">
        <f t="shared" si="85"/>
        <v>27.183333333333337</v>
      </c>
      <c r="S323" s="155">
        <f>_xlfn.XLOOKUP(P323,'Annual Real'!A:A,'Annual Real'!B:B,0,0)</f>
        <v>45.542674072633098</v>
      </c>
      <c r="T323" s="155">
        <f t="shared" ca="1" si="86"/>
        <v>2.2309742967737134</v>
      </c>
      <c r="U323" s="152">
        <f t="shared" ca="1" si="87"/>
        <v>2.2309742967737134</v>
      </c>
      <c r="V323" s="152" t="b">
        <f t="shared" si="93"/>
        <v>0</v>
      </c>
      <c r="W323" s="152" t="b">
        <f t="shared" si="94"/>
        <v>0</v>
      </c>
      <c r="X323" s="154">
        <f>LOOKUP(D323,'US Implicit Deflator'!A:A,'US Implicit Deflator'!B:B)/100</f>
        <v>3.1E-2</v>
      </c>
      <c r="Y323" s="154">
        <f t="shared" si="88"/>
        <v>2.5473393892132545E-3</v>
      </c>
      <c r="Z323" s="165">
        <f t="shared" ca="1" si="89"/>
        <v>3.0609017474496838</v>
      </c>
      <c r="AA323" s="152">
        <f t="shared" si="90"/>
        <v>7</v>
      </c>
      <c r="AB323" s="153">
        <f t="shared" si="91"/>
        <v>31138</v>
      </c>
      <c r="AC323" s="155">
        <f t="shared" ca="1" si="92"/>
        <v>2.2309742967737134</v>
      </c>
    </row>
    <row r="324" spans="3:29">
      <c r="C324" s="152" t="str">
        <f>'Monthly Prices'!A312</f>
        <v>1985M05</v>
      </c>
      <c r="D324" s="153">
        <f t="shared" si="81"/>
        <v>31168</v>
      </c>
      <c r="E324" s="152">
        <f t="shared" si="82"/>
        <v>305</v>
      </c>
      <c r="F324" s="152" t="b">
        <f t="shared" si="76"/>
        <v>0</v>
      </c>
      <c r="G324" s="152" t="b">
        <f t="shared" si="77"/>
        <v>1</v>
      </c>
      <c r="H324" s="152" t="b">
        <f t="shared" si="78"/>
        <v>0</v>
      </c>
      <c r="I324" s="153" t="e">
        <f t="shared" si="79"/>
        <v>#N/A</v>
      </c>
      <c r="J324" s="158">
        <f>INDEX('Monthly Prices'!B312:CB312,$G$4)</f>
        <v>116.73</v>
      </c>
      <c r="K324" s="158" t="b">
        <f>IF(H324,INDEX('Monthly Prices'!B312:CB312,$G$4)*U324,FALSE)</f>
        <v>0</v>
      </c>
      <c r="L324" s="152" t="b">
        <f t="shared" si="83"/>
        <v>1</v>
      </c>
      <c r="M324" s="158">
        <f>INDEX('Monthly Prices'!B312:CB312,$G$5)</f>
        <v>68.239999999999995</v>
      </c>
      <c r="N324" s="158" t="b">
        <f>IF(H324,INDEX('Monthly Prices'!B312:CB312,$G$5)*U324,FALSE)</f>
        <v>0</v>
      </c>
      <c r="O324" s="152" t="b">
        <f t="shared" si="80"/>
        <v>1</v>
      </c>
      <c r="P324" s="152">
        <f t="shared" si="84"/>
        <v>1985</v>
      </c>
      <c r="Q324" s="159">
        <f>'Monthly Prices'!B312</f>
        <v>26.65</v>
      </c>
      <c r="R324" s="159">
        <f t="shared" si="85"/>
        <v>27.183333333333337</v>
      </c>
      <c r="S324" s="155">
        <f>_xlfn.XLOOKUP(P324,'Annual Real'!A:A,'Annual Real'!B:B,0,0)</f>
        <v>45.542674072633098</v>
      </c>
      <c r="T324" s="155">
        <f t="shared" ca="1" si="86"/>
        <v>2.2253056879417792</v>
      </c>
      <c r="U324" s="152">
        <f t="shared" ca="1" si="87"/>
        <v>2.2253056879417792</v>
      </c>
      <c r="V324" s="152" t="b">
        <f t="shared" si="93"/>
        <v>0</v>
      </c>
      <c r="W324" s="152" t="b">
        <f t="shared" si="94"/>
        <v>0</v>
      </c>
      <c r="X324" s="154">
        <f>LOOKUP(D324,'US Implicit Deflator'!A:A,'US Implicit Deflator'!B:B)/100</f>
        <v>3.1E-2</v>
      </c>
      <c r="Y324" s="154">
        <f t="shared" si="88"/>
        <v>2.5473393892132545E-3</v>
      </c>
      <c r="Z324" s="165">
        <f t="shared" ca="1" si="89"/>
        <v>3.0686989030374741</v>
      </c>
      <c r="AA324" s="152">
        <f t="shared" si="90"/>
        <v>7</v>
      </c>
      <c r="AB324" s="153">
        <f t="shared" si="91"/>
        <v>31168</v>
      </c>
      <c r="AC324" s="155">
        <f t="shared" ca="1" si="92"/>
        <v>2.2253056879417792</v>
      </c>
    </row>
    <row r="325" spans="3:29">
      <c r="C325" s="152" t="str">
        <f>'Monthly Prices'!A313</f>
        <v>1985M06</v>
      </c>
      <c r="D325" s="153">
        <f t="shared" si="81"/>
        <v>31199</v>
      </c>
      <c r="E325" s="152">
        <f t="shared" si="82"/>
        <v>306</v>
      </c>
      <c r="F325" s="152" t="b">
        <f t="shared" si="76"/>
        <v>0</v>
      </c>
      <c r="G325" s="152" t="b">
        <f t="shared" si="77"/>
        <v>1</v>
      </c>
      <c r="H325" s="152" t="b">
        <f t="shared" si="78"/>
        <v>0</v>
      </c>
      <c r="I325" s="153" t="e">
        <f t="shared" si="79"/>
        <v>#N/A</v>
      </c>
      <c r="J325" s="158">
        <f>INDEX('Monthly Prices'!B313:CB313,$G$4)</f>
        <v>116.04</v>
      </c>
      <c r="K325" s="158" t="b">
        <f>IF(H325,INDEX('Monthly Prices'!B313:CB313,$G$4)*U325,FALSE)</f>
        <v>0</v>
      </c>
      <c r="L325" s="152" t="b">
        <f t="shared" si="83"/>
        <v>1</v>
      </c>
      <c r="M325" s="158">
        <f>INDEX('Monthly Prices'!B313:CB313,$G$5)</f>
        <v>64.930000000000007</v>
      </c>
      <c r="N325" s="158" t="b">
        <f>IF(H325,INDEX('Monthly Prices'!B313:CB313,$G$5)*U325,FALSE)</f>
        <v>0</v>
      </c>
      <c r="O325" s="152" t="b">
        <f t="shared" si="80"/>
        <v>1</v>
      </c>
      <c r="P325" s="152">
        <f t="shared" si="84"/>
        <v>1985</v>
      </c>
      <c r="Q325" s="159">
        <f>'Monthly Prices'!B313</f>
        <v>26.36666666667</v>
      </c>
      <c r="R325" s="159">
        <f t="shared" si="85"/>
        <v>27.183333333333337</v>
      </c>
      <c r="S325" s="155">
        <f>_xlfn.XLOOKUP(P325,'Annual Real'!A:A,'Annual Real'!B:B,0,0)</f>
        <v>45.542674072633098</v>
      </c>
      <c r="T325" s="155">
        <f t="shared" ca="1" si="86"/>
        <v>2.2196514822906144</v>
      </c>
      <c r="U325" s="152">
        <f t="shared" ca="1" si="87"/>
        <v>2.2196514822906144</v>
      </c>
      <c r="V325" s="152" t="b">
        <f t="shared" si="93"/>
        <v>0</v>
      </c>
      <c r="W325" s="152" t="b">
        <f t="shared" si="94"/>
        <v>0</v>
      </c>
      <c r="X325" s="154">
        <f>LOOKUP(D325,'US Implicit Deflator'!A:A,'US Implicit Deflator'!B:B)/100</f>
        <v>3.1E-2</v>
      </c>
      <c r="Y325" s="154">
        <f t="shared" si="88"/>
        <v>2.5473393892132545E-3</v>
      </c>
      <c r="Z325" s="165">
        <f t="shared" ca="1" si="89"/>
        <v>3.0765159206268171</v>
      </c>
      <c r="AA325" s="152">
        <f t="shared" si="90"/>
        <v>7</v>
      </c>
      <c r="AB325" s="153">
        <f t="shared" si="91"/>
        <v>31199</v>
      </c>
      <c r="AC325" s="155">
        <f t="shared" ca="1" si="92"/>
        <v>2.2196514822906144</v>
      </c>
    </row>
    <row r="326" spans="3:29">
      <c r="C326" s="152" t="str">
        <f>'Monthly Prices'!A314</f>
        <v>1985M07</v>
      </c>
      <c r="D326" s="153">
        <f t="shared" si="81"/>
        <v>31229</v>
      </c>
      <c r="E326" s="152">
        <f t="shared" si="82"/>
        <v>307</v>
      </c>
      <c r="F326" s="152" t="b">
        <f t="shared" si="76"/>
        <v>0</v>
      </c>
      <c r="G326" s="152" t="b">
        <f t="shared" si="77"/>
        <v>1</v>
      </c>
      <c r="H326" s="152" t="b">
        <f t="shared" si="78"/>
        <v>0</v>
      </c>
      <c r="I326" s="153" t="e">
        <f t="shared" si="79"/>
        <v>#N/A</v>
      </c>
      <c r="J326" s="158">
        <f>INDEX('Monthly Prices'!B314:CB314,$G$4)</f>
        <v>114.91</v>
      </c>
      <c r="K326" s="158" t="b">
        <f>IF(H326,INDEX('Monthly Prices'!B314:CB314,$G$4)*U326,FALSE)</f>
        <v>0</v>
      </c>
      <c r="L326" s="152" t="b">
        <f t="shared" si="83"/>
        <v>1</v>
      </c>
      <c r="M326" s="158">
        <f>INDEX('Monthly Prices'!B314:CB314,$G$5)</f>
        <v>59.89</v>
      </c>
      <c r="N326" s="158" t="b">
        <f>IF(H326,INDEX('Monthly Prices'!B314:CB314,$G$5)*U326,FALSE)</f>
        <v>0</v>
      </c>
      <c r="O326" s="152" t="b">
        <f t="shared" si="80"/>
        <v>1</v>
      </c>
      <c r="P326" s="152">
        <f t="shared" si="84"/>
        <v>1985</v>
      </c>
      <c r="Q326" s="159">
        <f>'Monthly Prices'!B314</f>
        <v>26.38333333333</v>
      </c>
      <c r="R326" s="159">
        <f t="shared" si="85"/>
        <v>27.183333333333337</v>
      </c>
      <c r="S326" s="155">
        <f>_xlfn.XLOOKUP(P326,'Annual Real'!A:A,'Annual Real'!B:B,0,0)</f>
        <v>45.542674072633098</v>
      </c>
      <c r="T326" s="155">
        <f t="shared" ca="1" si="86"/>
        <v>2.2141906907199753</v>
      </c>
      <c r="U326" s="152">
        <f t="shared" ca="1" si="87"/>
        <v>2.2141906907199753</v>
      </c>
      <c r="V326" s="152" t="b">
        <f t="shared" si="93"/>
        <v>0</v>
      </c>
      <c r="W326" s="152" t="b">
        <f t="shared" si="94"/>
        <v>0</v>
      </c>
      <c r="X326" s="154">
        <f>LOOKUP(D326,'US Implicit Deflator'!A:A,'US Implicit Deflator'!B:B)/100</f>
        <v>0.03</v>
      </c>
      <c r="Y326" s="154">
        <f t="shared" si="88"/>
        <v>2.4662697723036864E-3</v>
      </c>
      <c r="Z326" s="165">
        <f t="shared" ca="1" si="89"/>
        <v>3.0841034388458701</v>
      </c>
      <c r="AA326" s="152">
        <f t="shared" si="90"/>
        <v>7</v>
      </c>
      <c r="AB326" s="153">
        <f t="shared" si="91"/>
        <v>31229</v>
      </c>
      <c r="AC326" s="155">
        <f t="shared" ca="1" si="92"/>
        <v>2.2141906907199753</v>
      </c>
    </row>
    <row r="327" spans="3:29">
      <c r="C327" s="152" t="str">
        <f>'Monthly Prices'!A315</f>
        <v>1985M08</v>
      </c>
      <c r="D327" s="153">
        <f t="shared" si="81"/>
        <v>31260</v>
      </c>
      <c r="E327" s="152">
        <f t="shared" si="82"/>
        <v>308</v>
      </c>
      <c r="F327" s="152" t="b">
        <f t="shared" si="76"/>
        <v>0</v>
      </c>
      <c r="G327" s="152" t="b">
        <f t="shared" si="77"/>
        <v>1</v>
      </c>
      <c r="H327" s="152" t="b">
        <f t="shared" si="78"/>
        <v>0</v>
      </c>
      <c r="I327" s="153" t="e">
        <f t="shared" si="79"/>
        <v>#N/A</v>
      </c>
      <c r="J327" s="158">
        <f>INDEX('Monthly Prices'!B315:CB315,$G$4)</f>
        <v>105.53</v>
      </c>
      <c r="K327" s="158" t="b">
        <f>IF(H327,INDEX('Monthly Prices'!B315:CB315,$G$4)*U327,FALSE)</f>
        <v>0</v>
      </c>
      <c r="L327" s="152" t="b">
        <f t="shared" si="83"/>
        <v>1</v>
      </c>
      <c r="M327" s="158">
        <f>INDEX('Monthly Prices'!B315:CB315,$G$5)</f>
        <v>48.3</v>
      </c>
      <c r="N327" s="158" t="b">
        <f>IF(H327,INDEX('Monthly Prices'!B315:CB315,$G$5)*U327,FALSE)</f>
        <v>0</v>
      </c>
      <c r="O327" s="152" t="b">
        <f t="shared" si="80"/>
        <v>1</v>
      </c>
      <c r="P327" s="152">
        <f t="shared" si="84"/>
        <v>1985</v>
      </c>
      <c r="Q327" s="159">
        <f>'Monthly Prices'!B315</f>
        <v>27.016666666670002</v>
      </c>
      <c r="R327" s="159">
        <f t="shared" si="85"/>
        <v>27.183333333333337</v>
      </c>
      <c r="S327" s="155">
        <f>_xlfn.XLOOKUP(P327,'Annual Real'!A:A,'Annual Real'!B:B,0,0)</f>
        <v>45.542674072633098</v>
      </c>
      <c r="T327" s="155">
        <f t="shared" ca="1" si="86"/>
        <v>2.2087433338010447</v>
      </c>
      <c r="U327" s="152">
        <f t="shared" ca="1" si="87"/>
        <v>2.2087433338010447</v>
      </c>
      <c r="V327" s="152" t="b">
        <f t="shared" si="93"/>
        <v>0</v>
      </c>
      <c r="W327" s="152" t="b">
        <f t="shared" si="94"/>
        <v>0</v>
      </c>
      <c r="X327" s="154">
        <f>LOOKUP(D327,'US Implicit Deflator'!A:A,'US Implicit Deflator'!B:B)/100</f>
        <v>0.03</v>
      </c>
      <c r="Y327" s="154">
        <f t="shared" si="88"/>
        <v>2.4662697723036864E-3</v>
      </c>
      <c r="Z327" s="165">
        <f t="shared" ca="1" si="89"/>
        <v>3.0917096699317534</v>
      </c>
      <c r="AA327" s="152">
        <f t="shared" si="90"/>
        <v>7</v>
      </c>
      <c r="AB327" s="153">
        <f t="shared" si="91"/>
        <v>31260</v>
      </c>
      <c r="AC327" s="155">
        <f t="shared" ca="1" si="92"/>
        <v>2.2087433338010447</v>
      </c>
    </row>
    <row r="328" spans="3:29">
      <c r="C328" s="152" t="str">
        <f>'Monthly Prices'!A316</f>
        <v>1985M09</v>
      </c>
      <c r="D328" s="153">
        <f t="shared" si="81"/>
        <v>31291</v>
      </c>
      <c r="E328" s="152">
        <f t="shared" si="82"/>
        <v>309</v>
      </c>
      <c r="F328" s="152" t="b">
        <f t="shared" si="76"/>
        <v>0</v>
      </c>
      <c r="G328" s="152" t="b">
        <f t="shared" si="77"/>
        <v>1</v>
      </c>
      <c r="H328" s="152" t="b">
        <f t="shared" si="78"/>
        <v>0</v>
      </c>
      <c r="I328" s="153" t="e">
        <f t="shared" si="79"/>
        <v>#N/A</v>
      </c>
      <c r="J328" s="158">
        <f>INDEX('Monthly Prices'!B316:CB316,$G$4)</f>
        <v>101.91</v>
      </c>
      <c r="K328" s="158" t="b">
        <f>IF(H328,INDEX('Monthly Prices'!B316:CB316,$G$4)*U328,FALSE)</f>
        <v>0</v>
      </c>
      <c r="L328" s="152" t="b">
        <f t="shared" si="83"/>
        <v>1</v>
      </c>
      <c r="M328" s="158">
        <f>INDEX('Monthly Prices'!B316:CB316,$G$5)</f>
        <v>46.58</v>
      </c>
      <c r="N328" s="158" t="b">
        <f>IF(H328,INDEX('Monthly Prices'!B316:CB316,$G$5)*U328,FALSE)</f>
        <v>0</v>
      </c>
      <c r="O328" s="152" t="b">
        <f t="shared" si="80"/>
        <v>1</v>
      </c>
      <c r="P328" s="152">
        <f t="shared" si="84"/>
        <v>1985</v>
      </c>
      <c r="Q328" s="159">
        <f>'Monthly Prices'!B316</f>
        <v>26.983333333329998</v>
      </c>
      <c r="R328" s="159">
        <f t="shared" si="85"/>
        <v>27.183333333333337</v>
      </c>
      <c r="S328" s="155">
        <f>_xlfn.XLOOKUP(P328,'Annual Real'!A:A,'Annual Real'!B:B,0,0)</f>
        <v>45.542674072633098</v>
      </c>
      <c r="T328" s="155">
        <f t="shared" ca="1" si="86"/>
        <v>2.2033093784818618</v>
      </c>
      <c r="U328" s="152">
        <f t="shared" ca="1" si="87"/>
        <v>2.2033093784818618</v>
      </c>
      <c r="V328" s="152" t="b">
        <f t="shared" si="93"/>
        <v>0</v>
      </c>
      <c r="W328" s="152" t="b">
        <f t="shared" si="94"/>
        <v>0</v>
      </c>
      <c r="X328" s="154">
        <f>LOOKUP(D328,'US Implicit Deflator'!A:A,'US Implicit Deflator'!B:B)/100</f>
        <v>0.03</v>
      </c>
      <c r="Y328" s="154">
        <f t="shared" si="88"/>
        <v>2.4662697723036864E-3</v>
      </c>
      <c r="Z328" s="165">
        <f t="shared" ca="1" si="89"/>
        <v>3.0993346600354452</v>
      </c>
      <c r="AA328" s="152">
        <f t="shared" si="90"/>
        <v>7</v>
      </c>
      <c r="AB328" s="153">
        <f t="shared" si="91"/>
        <v>31291</v>
      </c>
      <c r="AC328" s="155">
        <f t="shared" ca="1" si="92"/>
        <v>2.2033093784818618</v>
      </c>
    </row>
    <row r="329" spans="3:29">
      <c r="C329" s="152" t="str">
        <f>'Monthly Prices'!A317</f>
        <v>1985M10</v>
      </c>
      <c r="D329" s="153">
        <f t="shared" si="81"/>
        <v>31321</v>
      </c>
      <c r="E329" s="152">
        <f t="shared" si="82"/>
        <v>310</v>
      </c>
      <c r="F329" s="152" t="b">
        <f t="shared" si="76"/>
        <v>0</v>
      </c>
      <c r="G329" s="152" t="b">
        <f t="shared" si="77"/>
        <v>1</v>
      </c>
      <c r="H329" s="152" t="b">
        <f t="shared" si="78"/>
        <v>0</v>
      </c>
      <c r="I329" s="153" t="e">
        <f t="shared" si="79"/>
        <v>#N/A</v>
      </c>
      <c r="J329" s="158">
        <f>INDEX('Monthly Prices'!B317:CB317,$G$4)</f>
        <v>98.58</v>
      </c>
      <c r="K329" s="158" t="b">
        <f>IF(H329,INDEX('Monthly Prices'!B317:CB317,$G$4)*U329,FALSE)</f>
        <v>0</v>
      </c>
      <c r="L329" s="152" t="b">
        <f t="shared" si="83"/>
        <v>1</v>
      </c>
      <c r="M329" s="158">
        <f>INDEX('Monthly Prices'!B317:CB317,$G$5)</f>
        <v>48.3</v>
      </c>
      <c r="N329" s="158" t="b">
        <f>IF(H329,INDEX('Monthly Prices'!B317:CB317,$G$5)*U329,FALSE)</f>
        <v>0</v>
      </c>
      <c r="O329" s="152" t="b">
        <f t="shared" si="80"/>
        <v>1</v>
      </c>
      <c r="P329" s="152">
        <f t="shared" si="84"/>
        <v>1985</v>
      </c>
      <c r="Q329" s="159">
        <f>'Monthly Prices'!B317</f>
        <v>27.816666666669999</v>
      </c>
      <c r="R329" s="159">
        <f t="shared" si="85"/>
        <v>27.183333333333337</v>
      </c>
      <c r="S329" s="155">
        <f>_xlfn.XLOOKUP(P329,'Annual Real'!A:A,'Annual Real'!B:B,0,0)</f>
        <v>45.542674072633098</v>
      </c>
      <c r="T329" s="155">
        <f t="shared" ca="1" si="86"/>
        <v>2.1984231032879489</v>
      </c>
      <c r="U329" s="152">
        <f t="shared" ca="1" si="87"/>
        <v>2.1984231032879489</v>
      </c>
      <c r="V329" s="152" t="b">
        <f t="shared" si="93"/>
        <v>0</v>
      </c>
      <c r="W329" s="152" t="b">
        <f t="shared" si="94"/>
        <v>0</v>
      </c>
      <c r="X329" s="154">
        <f>LOOKUP(D329,'US Implicit Deflator'!A:A,'US Implicit Deflator'!B:B)/100</f>
        <v>2.7000000000000003E-2</v>
      </c>
      <c r="Y329" s="154">
        <f t="shared" si="88"/>
        <v>2.2226272943570713E-3</v>
      </c>
      <c r="Z329" s="165">
        <f t="shared" ca="1" si="89"/>
        <v>3.1062233258451868</v>
      </c>
      <c r="AA329" s="152">
        <f t="shared" si="90"/>
        <v>7</v>
      </c>
      <c r="AB329" s="153">
        <f t="shared" si="91"/>
        <v>31321</v>
      </c>
      <c r="AC329" s="155">
        <f t="shared" ca="1" si="92"/>
        <v>2.1984231032879489</v>
      </c>
    </row>
    <row r="330" spans="3:29">
      <c r="C330" s="152" t="str">
        <f>'Monthly Prices'!A318</f>
        <v>1985M11</v>
      </c>
      <c r="D330" s="153">
        <f t="shared" si="81"/>
        <v>31352</v>
      </c>
      <c r="E330" s="152">
        <f t="shared" si="82"/>
        <v>311</v>
      </c>
      <c r="F330" s="152" t="b">
        <f t="shared" si="76"/>
        <v>0</v>
      </c>
      <c r="G330" s="152" t="b">
        <f t="shared" si="77"/>
        <v>1</v>
      </c>
      <c r="H330" s="152" t="b">
        <f t="shared" si="78"/>
        <v>0</v>
      </c>
      <c r="I330" s="153" t="e">
        <f t="shared" si="79"/>
        <v>#N/A</v>
      </c>
      <c r="J330" s="158">
        <f>INDEX('Monthly Prices'!B318:CB318,$G$4)</f>
        <v>106.2</v>
      </c>
      <c r="K330" s="158" t="b">
        <f>IF(H330,INDEX('Monthly Prices'!B318:CB318,$G$4)*U330,FALSE)</f>
        <v>0</v>
      </c>
      <c r="L330" s="152" t="b">
        <f t="shared" si="83"/>
        <v>1</v>
      </c>
      <c r="M330" s="158">
        <f>INDEX('Monthly Prices'!B318:CB318,$G$5)</f>
        <v>48.3</v>
      </c>
      <c r="N330" s="158" t="b">
        <f>IF(H330,INDEX('Monthly Prices'!B318:CB318,$G$5)*U330,FALSE)</f>
        <v>0</v>
      </c>
      <c r="O330" s="152" t="b">
        <f t="shared" si="80"/>
        <v>1</v>
      </c>
      <c r="P330" s="152">
        <f t="shared" si="84"/>
        <v>1985</v>
      </c>
      <c r="Q330" s="159">
        <f>'Monthly Prices'!B318</f>
        <v>28.6</v>
      </c>
      <c r="R330" s="159">
        <f t="shared" si="85"/>
        <v>27.183333333333337</v>
      </c>
      <c r="S330" s="155">
        <f>_xlfn.XLOOKUP(P330,'Annual Real'!A:A,'Annual Real'!B:B,0,0)</f>
        <v>45.542674072633098</v>
      </c>
      <c r="T330" s="155">
        <f t="shared" ca="1" si="86"/>
        <v>2.1935476643776299</v>
      </c>
      <c r="U330" s="152">
        <f t="shared" ca="1" si="87"/>
        <v>2.1935476643776299</v>
      </c>
      <c r="V330" s="152" t="b">
        <f t="shared" si="93"/>
        <v>0</v>
      </c>
      <c r="W330" s="152" t="b">
        <f t="shared" si="94"/>
        <v>0</v>
      </c>
      <c r="X330" s="154">
        <f>LOOKUP(D330,'US Implicit Deflator'!A:A,'US Implicit Deflator'!B:B)/100</f>
        <v>2.7000000000000003E-2</v>
      </c>
      <c r="Y330" s="154">
        <f t="shared" si="88"/>
        <v>2.2226272943570713E-3</v>
      </c>
      <c r="Z330" s="165">
        <f t="shared" ca="1" si="89"/>
        <v>3.1131273025915789</v>
      </c>
      <c r="AA330" s="152">
        <f t="shared" si="90"/>
        <v>7</v>
      </c>
      <c r="AB330" s="153">
        <f t="shared" si="91"/>
        <v>31352</v>
      </c>
      <c r="AC330" s="155">
        <f t="shared" ca="1" si="92"/>
        <v>2.1935476643776299</v>
      </c>
    </row>
    <row r="331" spans="3:29">
      <c r="C331" s="152" t="str">
        <f>'Monthly Prices'!A319</f>
        <v>1985M12</v>
      </c>
      <c r="D331" s="153">
        <f t="shared" si="81"/>
        <v>31382</v>
      </c>
      <c r="E331" s="152">
        <f t="shared" si="82"/>
        <v>312</v>
      </c>
      <c r="F331" s="152" t="b">
        <f t="shared" si="76"/>
        <v>0</v>
      </c>
      <c r="G331" s="152" t="b">
        <f t="shared" si="77"/>
        <v>1</v>
      </c>
      <c r="H331" s="152" t="b">
        <f t="shared" si="78"/>
        <v>0</v>
      </c>
      <c r="I331" s="153" t="e">
        <f t="shared" si="79"/>
        <v>#N/A</v>
      </c>
      <c r="J331" s="158">
        <f>INDEX('Monthly Prices'!B319:CB319,$G$4)</f>
        <v>107.87</v>
      </c>
      <c r="K331" s="158" t="b">
        <f>IF(H331,INDEX('Monthly Prices'!B319:CB319,$G$4)*U331,FALSE)</f>
        <v>0</v>
      </c>
      <c r="L331" s="152" t="b">
        <f t="shared" si="83"/>
        <v>1</v>
      </c>
      <c r="M331" s="158">
        <f>INDEX('Monthly Prices'!B319:CB319,$G$5)</f>
        <v>53.27</v>
      </c>
      <c r="N331" s="158" t="b">
        <f>IF(H331,INDEX('Monthly Prices'!B319:CB319,$G$5)*U331,FALSE)</f>
        <v>0</v>
      </c>
      <c r="O331" s="152" t="b">
        <f t="shared" si="80"/>
        <v>1</v>
      </c>
      <c r="P331" s="152">
        <f t="shared" si="84"/>
        <v>1985</v>
      </c>
      <c r="Q331" s="159">
        <f>'Monthly Prices'!B319</f>
        <v>26.5</v>
      </c>
      <c r="R331" s="159">
        <f t="shared" si="85"/>
        <v>27.183333333333337</v>
      </c>
      <c r="S331" s="155">
        <f>_xlfn.XLOOKUP(P331,'Annual Real'!A:A,'Annual Real'!B:B,0,0)</f>
        <v>45.542674072633098</v>
      </c>
      <c r="T331" s="155">
        <f t="shared" ca="1" si="86"/>
        <v>2.188683037719299</v>
      </c>
      <c r="U331" s="152">
        <f t="shared" ca="1" si="87"/>
        <v>2.188683037719299</v>
      </c>
      <c r="V331" s="152" t="b">
        <f t="shared" si="93"/>
        <v>0</v>
      </c>
      <c r="W331" s="152" t="b">
        <f t="shared" si="94"/>
        <v>0</v>
      </c>
      <c r="X331" s="154">
        <f>LOOKUP(D331,'US Implicit Deflator'!A:A,'US Implicit Deflator'!B:B)/100</f>
        <v>2.7000000000000003E-2</v>
      </c>
      <c r="Y331" s="154">
        <f t="shared" si="88"/>
        <v>2.2226272943570713E-3</v>
      </c>
      <c r="Z331" s="165">
        <f t="shared" ca="1" si="89"/>
        <v>3.120046624305127</v>
      </c>
      <c r="AA331" s="152">
        <f t="shared" si="90"/>
        <v>7</v>
      </c>
      <c r="AB331" s="153">
        <f t="shared" si="91"/>
        <v>31382</v>
      </c>
      <c r="AC331" s="155">
        <f t="shared" ca="1" si="92"/>
        <v>2.188683037719299</v>
      </c>
    </row>
    <row r="332" spans="3:29">
      <c r="C332" s="152" t="str">
        <f>'Monthly Prices'!A320</f>
        <v>1986M01</v>
      </c>
      <c r="D332" s="153">
        <f t="shared" si="81"/>
        <v>31413</v>
      </c>
      <c r="E332" s="152">
        <f t="shared" si="82"/>
        <v>313</v>
      </c>
      <c r="F332" s="152" t="b">
        <f t="shared" si="76"/>
        <v>0</v>
      </c>
      <c r="G332" s="152" t="b">
        <f t="shared" si="77"/>
        <v>1</v>
      </c>
      <c r="H332" s="152" t="b">
        <f t="shared" si="78"/>
        <v>0</v>
      </c>
      <c r="I332" s="153" t="e">
        <f t="shared" si="79"/>
        <v>#N/A</v>
      </c>
      <c r="J332" s="158">
        <f>INDEX('Monthly Prices'!B320:CB320,$G$4)</f>
        <v>107.79</v>
      </c>
      <c r="K332" s="158" t="b">
        <f>IF(H332,INDEX('Monthly Prices'!B320:CB320,$G$4)*U332,FALSE)</f>
        <v>0</v>
      </c>
      <c r="L332" s="152" t="b">
        <f t="shared" si="83"/>
        <v>1</v>
      </c>
      <c r="M332" s="158">
        <f>INDEX('Monthly Prices'!B320:CB320,$G$5)</f>
        <v>53.27</v>
      </c>
      <c r="N332" s="158" t="b">
        <f>IF(H332,INDEX('Monthly Prices'!B320:CB320,$G$5)*U332,FALSE)</f>
        <v>0</v>
      </c>
      <c r="O332" s="152" t="b">
        <f t="shared" si="80"/>
        <v>1</v>
      </c>
      <c r="P332" s="152">
        <f t="shared" si="84"/>
        <v>1986</v>
      </c>
      <c r="Q332" s="159">
        <f>'Monthly Prices'!B320</f>
        <v>24.683333333330001</v>
      </c>
      <c r="R332" s="159">
        <f t="shared" si="85"/>
        <v>14.35</v>
      </c>
      <c r="S332" s="155">
        <f>_xlfn.XLOOKUP(P332,'Annual Real'!A:A,'Annual Real'!B:B,0,0)</f>
        <v>20.902924169974199</v>
      </c>
      <c r="T332" s="155">
        <f t="shared" ca="1" si="86"/>
        <v>2.1848957856132651</v>
      </c>
      <c r="U332" s="152">
        <f t="shared" ca="1" si="87"/>
        <v>2.1848957856132651</v>
      </c>
      <c r="V332" s="152" t="b">
        <f t="shared" si="93"/>
        <v>0</v>
      </c>
      <c r="W332" s="152" t="b">
        <f t="shared" si="94"/>
        <v>0</v>
      </c>
      <c r="X332" s="154">
        <f>LOOKUP(D332,'US Implicit Deflator'!A:A,'US Implicit Deflator'!B:B)/100</f>
        <v>2.1000000000000001E-2</v>
      </c>
      <c r="Y332" s="154">
        <f t="shared" si="88"/>
        <v>1.73337883251512E-3</v>
      </c>
      <c r="Z332" s="165">
        <f t="shared" ca="1" si="89"/>
        <v>3.125454847080158</v>
      </c>
      <c r="AA332" s="152">
        <f t="shared" si="90"/>
        <v>7</v>
      </c>
      <c r="AB332" s="153">
        <f t="shared" si="91"/>
        <v>31413</v>
      </c>
      <c r="AC332" s="155">
        <f t="shared" ca="1" si="92"/>
        <v>2.1848957856132651</v>
      </c>
    </row>
    <row r="333" spans="3:29">
      <c r="C333" s="152" t="str">
        <f>'Monthly Prices'!A321</f>
        <v>1986M02</v>
      </c>
      <c r="D333" s="153">
        <f t="shared" si="81"/>
        <v>31444</v>
      </c>
      <c r="E333" s="152">
        <f t="shared" si="82"/>
        <v>314</v>
      </c>
      <c r="F333" s="152" t="b">
        <f t="shared" si="76"/>
        <v>0</v>
      </c>
      <c r="G333" s="152" t="b">
        <f t="shared" si="77"/>
        <v>1</v>
      </c>
      <c r="H333" s="152" t="b">
        <f t="shared" si="78"/>
        <v>0</v>
      </c>
      <c r="I333" s="153" t="e">
        <f t="shared" si="79"/>
        <v>#N/A</v>
      </c>
      <c r="J333" s="158">
        <f>INDEX('Monthly Prices'!B321:CB321,$G$4)</f>
        <v>103.19</v>
      </c>
      <c r="K333" s="158" t="b">
        <f>IF(H333,INDEX('Monthly Prices'!B321:CB321,$G$4)*U333,FALSE)</f>
        <v>0</v>
      </c>
      <c r="L333" s="152" t="b">
        <f t="shared" si="83"/>
        <v>1</v>
      </c>
      <c r="M333" s="158">
        <f>INDEX('Monthly Prices'!B321:CB321,$G$5)</f>
        <v>53.27</v>
      </c>
      <c r="N333" s="158" t="b">
        <f>IF(H333,INDEX('Monthly Prices'!B321:CB321,$G$5)*U333,FALSE)</f>
        <v>0</v>
      </c>
      <c r="O333" s="152" t="b">
        <f t="shared" si="80"/>
        <v>1</v>
      </c>
      <c r="P333" s="152">
        <f t="shared" si="84"/>
        <v>1986</v>
      </c>
      <c r="Q333" s="159">
        <f>'Monthly Prices'!B321</f>
        <v>15.91666666667</v>
      </c>
      <c r="R333" s="159">
        <f t="shared" si="85"/>
        <v>14.35</v>
      </c>
      <c r="S333" s="155">
        <f>_xlfn.XLOOKUP(P333,'Annual Real'!A:A,'Annual Real'!B:B,0,0)</f>
        <v>20.902924169974199</v>
      </c>
      <c r="T333" s="155">
        <f t="shared" ca="1" si="86"/>
        <v>2.1811150868903701</v>
      </c>
      <c r="U333" s="152">
        <f t="shared" ca="1" si="87"/>
        <v>2.1811150868903701</v>
      </c>
      <c r="V333" s="152" t="b">
        <f t="shared" si="93"/>
        <v>0</v>
      </c>
      <c r="W333" s="152" t="b">
        <f t="shared" si="94"/>
        <v>0</v>
      </c>
      <c r="X333" s="154">
        <f>LOOKUP(D333,'US Implicit Deflator'!A:A,'US Implicit Deflator'!B:B)/100</f>
        <v>2.1000000000000001E-2</v>
      </c>
      <c r="Y333" s="154">
        <f t="shared" si="88"/>
        <v>1.73337883251512E-3</v>
      </c>
      <c r="Z333" s="165">
        <f t="shared" ca="1" si="89"/>
        <v>3.1308724443540683</v>
      </c>
      <c r="AA333" s="152">
        <f t="shared" si="90"/>
        <v>7</v>
      </c>
      <c r="AB333" s="153">
        <f t="shared" si="91"/>
        <v>31444</v>
      </c>
      <c r="AC333" s="155">
        <f t="shared" ca="1" si="92"/>
        <v>2.1811150868903701</v>
      </c>
    </row>
    <row r="334" spans="3:29">
      <c r="C334" s="152" t="str">
        <f>'Monthly Prices'!A322</f>
        <v>1986M03</v>
      </c>
      <c r="D334" s="153">
        <f t="shared" si="81"/>
        <v>31472</v>
      </c>
      <c r="E334" s="152">
        <f t="shared" si="82"/>
        <v>315</v>
      </c>
      <c r="F334" s="152" t="b">
        <f t="shared" si="76"/>
        <v>0</v>
      </c>
      <c r="G334" s="152" t="b">
        <f t="shared" si="77"/>
        <v>1</v>
      </c>
      <c r="H334" s="152" t="b">
        <f t="shared" si="78"/>
        <v>0</v>
      </c>
      <c r="I334" s="153" t="e">
        <f t="shared" si="79"/>
        <v>#N/A</v>
      </c>
      <c r="J334" s="158">
        <f>INDEX('Monthly Prices'!B322:CB322,$G$4)</f>
        <v>100.88</v>
      </c>
      <c r="K334" s="158" t="b">
        <f>IF(H334,INDEX('Monthly Prices'!B322:CB322,$G$4)*U334,FALSE)</f>
        <v>0</v>
      </c>
      <c r="L334" s="152" t="b">
        <f t="shared" si="83"/>
        <v>1</v>
      </c>
      <c r="M334" s="158">
        <f>INDEX('Monthly Prices'!B322:CB322,$G$5)</f>
        <v>54.35</v>
      </c>
      <c r="N334" s="158" t="b">
        <f>IF(H334,INDEX('Monthly Prices'!B322:CB322,$G$5)*U334,FALSE)</f>
        <v>0</v>
      </c>
      <c r="O334" s="152" t="b">
        <f t="shared" si="80"/>
        <v>1</v>
      </c>
      <c r="P334" s="152">
        <f t="shared" si="84"/>
        <v>1986</v>
      </c>
      <c r="Q334" s="159">
        <f>'Monthly Prices'!B322</f>
        <v>12.65</v>
      </c>
      <c r="R334" s="159">
        <f t="shared" si="85"/>
        <v>14.35</v>
      </c>
      <c r="S334" s="155">
        <f>_xlfn.XLOOKUP(P334,'Annual Real'!A:A,'Annual Real'!B:B,0,0)</f>
        <v>20.902924169974199</v>
      </c>
      <c r="T334" s="155">
        <f t="shared" ca="1" si="86"/>
        <v>2.1773409302107738</v>
      </c>
      <c r="U334" s="152">
        <f t="shared" ca="1" si="87"/>
        <v>2.1773409302107738</v>
      </c>
      <c r="V334" s="152" t="b">
        <f t="shared" si="93"/>
        <v>0</v>
      </c>
      <c r="W334" s="152" t="b">
        <f t="shared" si="94"/>
        <v>0</v>
      </c>
      <c r="X334" s="154">
        <f>LOOKUP(D334,'US Implicit Deflator'!A:A,'US Implicit Deflator'!B:B)/100</f>
        <v>2.1000000000000001E-2</v>
      </c>
      <c r="Y334" s="154">
        <f t="shared" si="88"/>
        <v>1.73337883251512E-3</v>
      </c>
      <c r="Z334" s="165">
        <f t="shared" ca="1" si="89"/>
        <v>3.1362994323764166</v>
      </c>
      <c r="AA334" s="152">
        <f t="shared" si="90"/>
        <v>7</v>
      </c>
      <c r="AB334" s="153">
        <f t="shared" si="91"/>
        <v>31472</v>
      </c>
      <c r="AC334" s="155">
        <f t="shared" ca="1" si="92"/>
        <v>2.1773409302107738</v>
      </c>
    </row>
    <row r="335" spans="3:29">
      <c r="C335" s="152" t="str">
        <f>'Monthly Prices'!A323</f>
        <v>1986M04</v>
      </c>
      <c r="D335" s="153">
        <f t="shared" si="81"/>
        <v>31503</v>
      </c>
      <c r="E335" s="152">
        <f t="shared" si="82"/>
        <v>316</v>
      </c>
      <c r="F335" s="152" t="b">
        <f t="shared" si="76"/>
        <v>0</v>
      </c>
      <c r="G335" s="152" t="b">
        <f t="shared" si="77"/>
        <v>1</v>
      </c>
      <c r="H335" s="152" t="b">
        <f t="shared" si="78"/>
        <v>0</v>
      </c>
      <c r="I335" s="153" t="e">
        <f t="shared" si="79"/>
        <v>#N/A</v>
      </c>
      <c r="J335" s="158">
        <f>INDEX('Monthly Prices'!B323:CB323,$G$4)</f>
        <v>101.33</v>
      </c>
      <c r="K335" s="158" t="b">
        <f>IF(H335,INDEX('Monthly Prices'!B323:CB323,$G$4)*U335,FALSE)</f>
        <v>0</v>
      </c>
      <c r="L335" s="152" t="b">
        <f t="shared" si="83"/>
        <v>1</v>
      </c>
      <c r="M335" s="158">
        <f>INDEX('Monthly Prices'!B323:CB323,$G$5)</f>
        <v>49.64</v>
      </c>
      <c r="N335" s="158" t="b">
        <f>IF(H335,INDEX('Monthly Prices'!B323:CB323,$G$5)*U335,FALSE)</f>
        <v>0</v>
      </c>
      <c r="O335" s="152" t="b">
        <f t="shared" si="80"/>
        <v>1</v>
      </c>
      <c r="P335" s="152">
        <f t="shared" si="84"/>
        <v>1986</v>
      </c>
      <c r="Q335" s="159">
        <f>'Monthly Prices'!B323</f>
        <v>11.9</v>
      </c>
      <c r="R335" s="159">
        <f t="shared" si="85"/>
        <v>14.35</v>
      </c>
      <c r="S335" s="155">
        <f>_xlfn.XLOOKUP(P335,'Annual Real'!A:A,'Annual Real'!B:B,0,0)</f>
        <v>20.902924169974199</v>
      </c>
      <c r="T335" s="155">
        <f t="shared" ca="1" si="86"/>
        <v>2.1746411399478434</v>
      </c>
      <c r="U335" s="152">
        <f t="shared" ca="1" si="87"/>
        <v>2.1746411399478434</v>
      </c>
      <c r="V335" s="152" t="b">
        <f t="shared" si="93"/>
        <v>0</v>
      </c>
      <c r="W335" s="152" t="b">
        <f t="shared" si="94"/>
        <v>0</v>
      </c>
      <c r="X335" s="154">
        <f>LOOKUP(D335,'US Implicit Deflator'!A:A,'US Implicit Deflator'!B:B)/100</f>
        <v>1.4999999999999999E-2</v>
      </c>
      <c r="Y335" s="154">
        <f t="shared" si="88"/>
        <v>1.2414877164492744E-3</v>
      </c>
      <c r="Z335" s="165">
        <f t="shared" ca="1" si="89"/>
        <v>3.1401931095968187</v>
      </c>
      <c r="AA335" s="152">
        <f t="shared" si="90"/>
        <v>7</v>
      </c>
      <c r="AB335" s="153">
        <f t="shared" si="91"/>
        <v>31503</v>
      </c>
      <c r="AC335" s="155">
        <f t="shared" ca="1" si="92"/>
        <v>2.1746411399478434</v>
      </c>
    </row>
    <row r="336" spans="3:29">
      <c r="C336" s="152" t="str">
        <f>'Monthly Prices'!A324</f>
        <v>1986M05</v>
      </c>
      <c r="D336" s="153">
        <f t="shared" si="81"/>
        <v>31533</v>
      </c>
      <c r="E336" s="152">
        <f t="shared" si="82"/>
        <v>317</v>
      </c>
      <c r="F336" s="152" t="b">
        <f t="shared" si="76"/>
        <v>0</v>
      </c>
      <c r="G336" s="152" t="b">
        <f t="shared" si="77"/>
        <v>1</v>
      </c>
      <c r="H336" s="152" t="b">
        <f t="shared" si="78"/>
        <v>0</v>
      </c>
      <c r="I336" s="153" t="e">
        <f t="shared" si="79"/>
        <v>#N/A</v>
      </c>
      <c r="J336" s="158">
        <f>INDEX('Monthly Prices'!B324:CB324,$G$4)</f>
        <v>105.55</v>
      </c>
      <c r="K336" s="158" t="b">
        <f>IF(H336,INDEX('Monthly Prices'!B324:CB324,$G$4)*U336,FALSE)</f>
        <v>0</v>
      </c>
      <c r="L336" s="152" t="b">
        <f t="shared" si="83"/>
        <v>1</v>
      </c>
      <c r="M336" s="158">
        <f>INDEX('Monthly Prices'!B324:CB324,$G$5)</f>
        <v>49.95</v>
      </c>
      <c r="N336" s="158" t="b">
        <f>IF(H336,INDEX('Monthly Prices'!B324:CB324,$G$5)*U336,FALSE)</f>
        <v>0</v>
      </c>
      <c r="O336" s="152" t="b">
        <f t="shared" si="80"/>
        <v>1</v>
      </c>
      <c r="P336" s="152">
        <f t="shared" si="84"/>
        <v>1986</v>
      </c>
      <c r="Q336" s="159">
        <f>'Monthly Prices'!B324</f>
        <v>13.716666666669999</v>
      </c>
      <c r="R336" s="159">
        <f t="shared" si="85"/>
        <v>14.35</v>
      </c>
      <c r="S336" s="155">
        <f>_xlfn.XLOOKUP(P336,'Annual Real'!A:A,'Annual Real'!B:B,0,0)</f>
        <v>20.902924169974199</v>
      </c>
      <c r="T336" s="155">
        <f t="shared" ca="1" si="86"/>
        <v>2.1719446972853564</v>
      </c>
      <c r="U336" s="152">
        <f t="shared" ca="1" si="87"/>
        <v>2.1719446972853564</v>
      </c>
      <c r="V336" s="152" t="b">
        <f t="shared" si="93"/>
        <v>0</v>
      </c>
      <c r="W336" s="152" t="b">
        <f t="shared" si="94"/>
        <v>0</v>
      </c>
      <c r="X336" s="154">
        <f>LOOKUP(D336,'US Implicit Deflator'!A:A,'US Implicit Deflator'!B:B)/100</f>
        <v>1.4999999999999999E-2</v>
      </c>
      <c r="Y336" s="154">
        <f t="shared" si="88"/>
        <v>1.2414877164492744E-3</v>
      </c>
      <c r="Z336" s="165">
        <f t="shared" ca="1" si="89"/>
        <v>3.1440916207696619</v>
      </c>
      <c r="AA336" s="152">
        <f t="shared" si="90"/>
        <v>7</v>
      </c>
      <c r="AB336" s="153">
        <f t="shared" si="91"/>
        <v>31533</v>
      </c>
      <c r="AC336" s="155">
        <f t="shared" ca="1" si="92"/>
        <v>2.1719446972853564</v>
      </c>
    </row>
    <row r="337" spans="3:29">
      <c r="C337" s="152" t="str">
        <f>'Monthly Prices'!A325</f>
        <v>1986M06</v>
      </c>
      <c r="D337" s="153">
        <f t="shared" si="81"/>
        <v>31564</v>
      </c>
      <c r="E337" s="152">
        <f t="shared" si="82"/>
        <v>318</v>
      </c>
      <c r="F337" s="152" t="b">
        <f t="shared" si="76"/>
        <v>0</v>
      </c>
      <c r="G337" s="152" t="b">
        <f t="shared" si="77"/>
        <v>1</v>
      </c>
      <c r="H337" s="152" t="b">
        <f t="shared" si="78"/>
        <v>0</v>
      </c>
      <c r="I337" s="153" t="e">
        <f t="shared" si="79"/>
        <v>#N/A</v>
      </c>
      <c r="J337" s="158">
        <f>INDEX('Monthly Prices'!B325:CB325,$G$4)</f>
        <v>103.54</v>
      </c>
      <c r="K337" s="158" t="b">
        <f>IF(H337,INDEX('Monthly Prices'!B325:CB325,$G$4)*U337,FALSE)</f>
        <v>0</v>
      </c>
      <c r="L337" s="152" t="b">
        <f t="shared" si="83"/>
        <v>1</v>
      </c>
      <c r="M337" s="158">
        <f>INDEX('Monthly Prices'!B325:CB325,$G$5)</f>
        <v>43.26</v>
      </c>
      <c r="N337" s="158" t="b">
        <f>IF(H337,INDEX('Monthly Prices'!B325:CB325,$G$5)*U337,FALSE)</f>
        <v>0</v>
      </c>
      <c r="O337" s="152" t="b">
        <f t="shared" si="80"/>
        <v>1</v>
      </c>
      <c r="P337" s="152">
        <f t="shared" si="84"/>
        <v>1986</v>
      </c>
      <c r="Q337" s="159">
        <f>'Monthly Prices'!B325</f>
        <v>11.85</v>
      </c>
      <c r="R337" s="159">
        <f t="shared" si="85"/>
        <v>14.35</v>
      </c>
      <c r="S337" s="155">
        <f>_xlfn.XLOOKUP(P337,'Annual Real'!A:A,'Annual Real'!B:B,0,0)</f>
        <v>20.902924169974199</v>
      </c>
      <c r="T337" s="155">
        <f t="shared" ca="1" si="86"/>
        <v>2.1692515980724618</v>
      </c>
      <c r="U337" s="152">
        <f t="shared" ca="1" si="87"/>
        <v>2.1692515980724618</v>
      </c>
      <c r="V337" s="152" t="b">
        <f t="shared" si="93"/>
        <v>0</v>
      </c>
      <c r="W337" s="152" t="b">
        <f t="shared" si="94"/>
        <v>0</v>
      </c>
      <c r="X337" s="154">
        <f>LOOKUP(D337,'US Implicit Deflator'!A:A,'US Implicit Deflator'!B:B)/100</f>
        <v>1.4999999999999999E-2</v>
      </c>
      <c r="Y337" s="154">
        <f t="shared" si="88"/>
        <v>1.2414877164492744E-3</v>
      </c>
      <c r="Z337" s="165">
        <f t="shared" ca="1" si="89"/>
        <v>3.1479949718962383</v>
      </c>
      <c r="AA337" s="152">
        <f t="shared" si="90"/>
        <v>7</v>
      </c>
      <c r="AB337" s="153">
        <f t="shared" si="91"/>
        <v>31564</v>
      </c>
      <c r="AC337" s="155">
        <f t="shared" ca="1" si="92"/>
        <v>2.1692515980724618</v>
      </c>
    </row>
    <row r="338" spans="3:29">
      <c r="C338" s="152" t="str">
        <f>'Monthly Prices'!A326</f>
        <v>1986M07</v>
      </c>
      <c r="D338" s="153">
        <f t="shared" si="81"/>
        <v>31594</v>
      </c>
      <c r="E338" s="152">
        <f t="shared" si="82"/>
        <v>319</v>
      </c>
      <c r="F338" s="152" t="b">
        <f t="shared" si="76"/>
        <v>0</v>
      </c>
      <c r="G338" s="152" t="b">
        <f t="shared" si="77"/>
        <v>1</v>
      </c>
      <c r="H338" s="152" t="b">
        <f t="shared" si="78"/>
        <v>0</v>
      </c>
      <c r="I338" s="153" t="e">
        <f t="shared" si="79"/>
        <v>#N/A</v>
      </c>
      <c r="J338" s="158">
        <f>INDEX('Monthly Prices'!B326:CB326,$G$4)</f>
        <v>83.03</v>
      </c>
      <c r="K338" s="158" t="b">
        <f>IF(H338,INDEX('Monthly Prices'!B326:CB326,$G$4)*U338,FALSE)</f>
        <v>0</v>
      </c>
      <c r="L338" s="152" t="b">
        <f t="shared" si="83"/>
        <v>1</v>
      </c>
      <c r="M338" s="158">
        <f>INDEX('Monthly Prices'!B326:CB326,$G$5)</f>
        <v>39.950000000000003</v>
      </c>
      <c r="N338" s="158" t="b">
        <f>IF(H338,INDEX('Monthly Prices'!B326:CB326,$G$5)*U338,FALSE)</f>
        <v>0</v>
      </c>
      <c r="O338" s="152" t="b">
        <f t="shared" si="80"/>
        <v>1</v>
      </c>
      <c r="P338" s="152">
        <f t="shared" si="84"/>
        <v>1986</v>
      </c>
      <c r="Q338" s="159">
        <f>'Monthly Prices'!B326</f>
        <v>9.6166666666699996</v>
      </c>
      <c r="R338" s="159">
        <f t="shared" si="85"/>
        <v>14.35</v>
      </c>
      <c r="S338" s="155">
        <f>_xlfn.XLOOKUP(P338,'Annual Real'!A:A,'Annual Real'!B:B,0,0)</f>
        <v>20.902924169974199</v>
      </c>
      <c r="T338" s="155">
        <f t="shared" ca="1" si="86"/>
        <v>2.1676325414706632</v>
      </c>
      <c r="U338" s="152">
        <f t="shared" ca="1" si="87"/>
        <v>2.1676325414706632</v>
      </c>
      <c r="V338" s="152" t="b">
        <f t="shared" si="93"/>
        <v>0</v>
      </c>
      <c r="W338" s="152" t="b">
        <f t="shared" si="94"/>
        <v>0</v>
      </c>
      <c r="X338" s="154">
        <f>LOOKUP(D338,'US Implicit Deflator'!A:A,'US Implicit Deflator'!B:B)/100</f>
        <v>9.0000000000000011E-3</v>
      </c>
      <c r="Y338" s="154">
        <f t="shared" si="88"/>
        <v>7.4692392313879807E-4</v>
      </c>
      <c r="Z338" s="165">
        <f t="shared" ca="1" si="89"/>
        <v>3.1503462846506682</v>
      </c>
      <c r="AA338" s="152">
        <f t="shared" si="90"/>
        <v>7</v>
      </c>
      <c r="AB338" s="153">
        <f t="shared" si="91"/>
        <v>31594</v>
      </c>
      <c r="AC338" s="155">
        <f t="shared" ca="1" si="92"/>
        <v>2.1676325414706632</v>
      </c>
    </row>
    <row r="339" spans="3:29">
      <c r="C339" s="152" t="str">
        <f>'Monthly Prices'!A327</f>
        <v>1986M08</v>
      </c>
      <c r="D339" s="153">
        <f t="shared" si="81"/>
        <v>31625</v>
      </c>
      <c r="E339" s="152">
        <f t="shared" si="82"/>
        <v>320</v>
      </c>
      <c r="F339" s="152" t="b">
        <f t="shared" si="76"/>
        <v>0</v>
      </c>
      <c r="G339" s="152" t="b">
        <f t="shared" si="77"/>
        <v>1</v>
      </c>
      <c r="H339" s="152" t="b">
        <f t="shared" si="78"/>
        <v>0</v>
      </c>
      <c r="I339" s="153" t="e">
        <f t="shared" si="79"/>
        <v>#N/A</v>
      </c>
      <c r="J339" s="158">
        <f>INDEX('Monthly Prices'!B327:CB327,$G$4)</f>
        <v>72.31</v>
      </c>
      <c r="K339" s="158" t="b">
        <f>IF(H339,INDEX('Monthly Prices'!B327:CB327,$G$4)*U339,FALSE)</f>
        <v>0</v>
      </c>
      <c r="L339" s="152" t="b">
        <f t="shared" si="83"/>
        <v>1</v>
      </c>
      <c r="M339" s="158">
        <f>INDEX('Monthly Prices'!B327:CB327,$G$5)</f>
        <v>36.64</v>
      </c>
      <c r="N339" s="158" t="b">
        <f>IF(H339,INDEX('Monthly Prices'!B327:CB327,$G$5)*U339,FALSE)</f>
        <v>0</v>
      </c>
      <c r="O339" s="152" t="b">
        <f t="shared" si="80"/>
        <v>1</v>
      </c>
      <c r="P339" s="152">
        <f t="shared" si="84"/>
        <v>1986</v>
      </c>
      <c r="Q339" s="159">
        <f>'Monthly Prices'!B327</f>
        <v>13.7</v>
      </c>
      <c r="R339" s="159">
        <f t="shared" si="85"/>
        <v>14.35</v>
      </c>
      <c r="S339" s="155">
        <f>_xlfn.XLOOKUP(P339,'Annual Real'!A:A,'Annual Real'!B:B,0,0)</f>
        <v>20.902924169974199</v>
      </c>
      <c r="T339" s="155">
        <f t="shared" ca="1" si="86"/>
        <v>2.1660146932783833</v>
      </c>
      <c r="U339" s="152">
        <f t="shared" ca="1" si="87"/>
        <v>2.1660146932783833</v>
      </c>
      <c r="V339" s="152" t="b">
        <f t="shared" si="93"/>
        <v>0</v>
      </c>
      <c r="W339" s="152" t="b">
        <f t="shared" si="94"/>
        <v>0</v>
      </c>
      <c r="X339" s="154">
        <f>LOOKUP(D339,'US Implicit Deflator'!A:A,'US Implicit Deflator'!B:B)/100</f>
        <v>9.0000000000000011E-3</v>
      </c>
      <c r="Y339" s="154">
        <f t="shared" si="88"/>
        <v>7.4692392313879807E-4</v>
      </c>
      <c r="Z339" s="165">
        <f t="shared" ca="1" si="89"/>
        <v>3.1526993536568453</v>
      </c>
      <c r="AA339" s="152">
        <f t="shared" si="90"/>
        <v>7</v>
      </c>
      <c r="AB339" s="153">
        <f t="shared" si="91"/>
        <v>31625</v>
      </c>
      <c r="AC339" s="155">
        <f t="shared" ca="1" si="92"/>
        <v>2.1660146932783833</v>
      </c>
    </row>
    <row r="340" spans="3:29">
      <c r="C340" s="152" t="str">
        <f>'Monthly Prices'!A328</f>
        <v>1986M09</v>
      </c>
      <c r="D340" s="153">
        <f t="shared" si="81"/>
        <v>31656</v>
      </c>
      <c r="E340" s="152">
        <f t="shared" si="82"/>
        <v>321</v>
      </c>
      <c r="F340" s="152" t="b">
        <f t="shared" ref="F340:F403" si="95">AND(E340&gt;=$M$4,L340)</f>
        <v>0</v>
      </c>
      <c r="G340" s="152" t="b">
        <f t="shared" ref="G340:G403" si="96">AND(E340&lt;=$M$5,O340)</f>
        <v>1</v>
      </c>
      <c r="H340" s="152" t="b">
        <f t="shared" ref="H340:H403" si="97">AND(F340:G340)</f>
        <v>0</v>
      </c>
      <c r="I340" s="153" t="e">
        <f t="shared" ref="I340:I403" si="98">IF(H340,D340,NA)</f>
        <v>#N/A</v>
      </c>
      <c r="J340" s="158">
        <f>INDEX('Monthly Prices'!B328:CB328,$G$4)</f>
        <v>65.7</v>
      </c>
      <c r="K340" s="158" t="b">
        <f>IF(H340,INDEX('Monthly Prices'!B328:CB328,$G$4)*U340,FALSE)</f>
        <v>0</v>
      </c>
      <c r="L340" s="152" t="b">
        <f t="shared" si="83"/>
        <v>1</v>
      </c>
      <c r="M340" s="158">
        <f>INDEX('Monthly Prices'!B328:CB328,$G$5)</f>
        <v>39.950000000000003</v>
      </c>
      <c r="N340" s="158" t="b">
        <f>IF(H340,INDEX('Monthly Prices'!B328:CB328,$G$5)*U340,FALSE)</f>
        <v>0</v>
      </c>
      <c r="O340" s="152" t="b">
        <f t="shared" ref="O340:O403" si="99">AND(ISNUMBER(M340),M340&gt;0)</f>
        <v>1</v>
      </c>
      <c r="P340" s="152">
        <f t="shared" si="84"/>
        <v>1986</v>
      </c>
      <c r="Q340" s="159">
        <f>'Monthly Prices'!B328</f>
        <v>14.08333333333</v>
      </c>
      <c r="R340" s="159">
        <f t="shared" si="85"/>
        <v>14.35</v>
      </c>
      <c r="S340" s="155">
        <f>_xlfn.XLOOKUP(P340,'Annual Real'!A:A,'Annual Real'!B:B,0,0)</f>
        <v>20.902924169974199</v>
      </c>
      <c r="T340" s="155">
        <f t="shared" ca="1" si="86"/>
        <v>2.1643980525937061</v>
      </c>
      <c r="U340" s="152">
        <f t="shared" ca="1" si="87"/>
        <v>2.1643980525937061</v>
      </c>
      <c r="V340" s="152" t="b">
        <f t="shared" si="93"/>
        <v>0</v>
      </c>
      <c r="W340" s="152" t="b">
        <f t="shared" si="94"/>
        <v>0</v>
      </c>
      <c r="X340" s="154">
        <f>LOOKUP(D340,'US Implicit Deflator'!A:A,'US Implicit Deflator'!B:B)/100</f>
        <v>9.0000000000000011E-3</v>
      </c>
      <c r="Y340" s="154">
        <f t="shared" si="88"/>
        <v>7.4692392313879807E-4</v>
      </c>
      <c r="Z340" s="165">
        <f t="shared" ca="1" si="89"/>
        <v>3.1550541802265557</v>
      </c>
      <c r="AA340" s="152">
        <f t="shared" si="90"/>
        <v>7</v>
      </c>
      <c r="AB340" s="153">
        <f t="shared" si="91"/>
        <v>31656</v>
      </c>
      <c r="AC340" s="155">
        <f t="shared" ca="1" si="92"/>
        <v>2.1643980525937061</v>
      </c>
    </row>
    <row r="341" spans="3:29">
      <c r="C341" s="152" t="str">
        <f>'Monthly Prices'!A329</f>
        <v>1986M10</v>
      </c>
      <c r="D341" s="153">
        <f t="shared" ref="D341:D404" si="100">EDATE(D340,1)</f>
        <v>31686</v>
      </c>
      <c r="E341" s="152">
        <f t="shared" ref="E341:E404" si="101">E340+1</f>
        <v>322</v>
      </c>
      <c r="F341" s="152" t="b">
        <f t="shared" si="95"/>
        <v>0</v>
      </c>
      <c r="G341" s="152" t="b">
        <f t="shared" si="96"/>
        <v>1</v>
      </c>
      <c r="H341" s="152" t="b">
        <f t="shared" si="97"/>
        <v>0</v>
      </c>
      <c r="I341" s="153" t="e">
        <f t="shared" si="98"/>
        <v>#N/A</v>
      </c>
      <c r="J341" s="158">
        <f>INDEX('Monthly Prices'!B329:CB329,$G$4)</f>
        <v>65.31</v>
      </c>
      <c r="K341" s="158" t="b">
        <f>IF(H341,INDEX('Monthly Prices'!B329:CB329,$G$4)*U341,FALSE)</f>
        <v>0</v>
      </c>
      <c r="L341" s="152" t="b">
        <f t="shared" ref="L341:L404" si="102">ISNUMBER(J341)</f>
        <v>1</v>
      </c>
      <c r="M341" s="158">
        <f>INDEX('Monthly Prices'!B329:CB329,$G$5)</f>
        <v>48.3</v>
      </c>
      <c r="N341" s="158" t="b">
        <f>IF(H341,INDEX('Monthly Prices'!B329:CB329,$G$5)*U341,FALSE)</f>
        <v>0</v>
      </c>
      <c r="O341" s="152" t="b">
        <f t="shared" si="99"/>
        <v>1</v>
      </c>
      <c r="P341" s="152">
        <f t="shared" ref="P341:P404" si="103">YEAR(D341)</f>
        <v>1986</v>
      </c>
      <c r="Q341" s="159">
        <f>'Monthly Prices'!B329</f>
        <v>13.95</v>
      </c>
      <c r="R341" s="159">
        <f t="shared" ref="R341:R404" si="104">AVERAGEIF(P:P,P341,Q:Q)</f>
        <v>14.35</v>
      </c>
      <c r="S341" s="155">
        <f>_xlfn.XLOOKUP(P341,'Annual Real'!A:A,'Annual Real'!B:B,0,0)</f>
        <v>20.902924169974199</v>
      </c>
      <c r="T341" s="155">
        <f t="shared" ref="T341:T404" ca="1" si="105">AC341</f>
        <v>2.1624257530223971</v>
      </c>
      <c r="U341" s="152">
        <f t="shared" ref="U341:U404" ca="1" si="106">IF($U$19,T341,1)</f>
        <v>2.1624257530223971</v>
      </c>
      <c r="V341" s="152" t="b">
        <f t="shared" si="93"/>
        <v>0</v>
      </c>
      <c r="W341" s="152" t="b">
        <f t="shared" si="94"/>
        <v>0</v>
      </c>
      <c r="X341" s="154">
        <f>LOOKUP(D341,'US Implicit Deflator'!A:A,'US Implicit Deflator'!B:B)/100</f>
        <v>1.1000000000000001E-2</v>
      </c>
      <c r="Y341" s="154">
        <f t="shared" ref="Y341:Y404" si="107">(1+X341)^(1/12)-1</f>
        <v>9.1207735967446801E-4</v>
      </c>
      <c r="Z341" s="165">
        <f t="shared" ref="Z341:Z404" ca="1" si="108">Z340*(1+Y341)</f>
        <v>3.1579318337128868</v>
      </c>
      <c r="AA341" s="152">
        <f t="shared" ref="AA341:AA404" si="109">LEN(C341)</f>
        <v>7</v>
      </c>
      <c r="AB341" s="153">
        <f t="shared" ref="AB341:AB404" si="110">IF(AA341&gt;2,D341,0)</f>
        <v>31686</v>
      </c>
      <c r="AC341" s="155">
        <f t="shared" ref="AC341:AC404" ca="1" si="111">$AC$17/Z341</f>
        <v>2.1624257530223971</v>
      </c>
    </row>
    <row r="342" spans="3:29">
      <c r="C342" s="152" t="str">
        <f>'Monthly Prices'!A330</f>
        <v>1986M11</v>
      </c>
      <c r="D342" s="153">
        <f t="shared" si="100"/>
        <v>31717</v>
      </c>
      <c r="E342" s="152">
        <f t="shared" si="101"/>
        <v>323</v>
      </c>
      <c r="F342" s="152" t="b">
        <f t="shared" si="95"/>
        <v>0</v>
      </c>
      <c r="G342" s="152" t="b">
        <f t="shared" si="96"/>
        <v>1</v>
      </c>
      <c r="H342" s="152" t="b">
        <f t="shared" si="97"/>
        <v>0</v>
      </c>
      <c r="I342" s="153" t="e">
        <f t="shared" si="98"/>
        <v>#N/A</v>
      </c>
      <c r="J342" s="158">
        <f>INDEX('Monthly Prices'!B330:CB330,$G$4)</f>
        <v>72.430000000000007</v>
      </c>
      <c r="K342" s="158" t="b">
        <f>IF(H342,INDEX('Monthly Prices'!B330:CB330,$G$4)*U342,FALSE)</f>
        <v>0</v>
      </c>
      <c r="L342" s="152" t="b">
        <f t="shared" si="102"/>
        <v>1</v>
      </c>
      <c r="M342" s="158">
        <f>INDEX('Monthly Prices'!B330:CB330,$G$5)</f>
        <v>55.56</v>
      </c>
      <c r="N342" s="158" t="b">
        <f>IF(H342,INDEX('Monthly Prices'!B330:CB330,$G$5)*U342,FALSE)</f>
        <v>0</v>
      </c>
      <c r="O342" s="152" t="b">
        <f t="shared" si="99"/>
        <v>1</v>
      </c>
      <c r="P342" s="152">
        <f t="shared" si="103"/>
        <v>1986</v>
      </c>
      <c r="Q342" s="159">
        <f>'Monthly Prices'!B330</f>
        <v>14.45</v>
      </c>
      <c r="R342" s="159">
        <f t="shared" si="104"/>
        <v>14.35</v>
      </c>
      <c r="S342" s="155">
        <f>_xlfn.XLOOKUP(P342,'Annual Real'!A:A,'Annual Real'!B:B,0,0)</f>
        <v>20.902924169974199</v>
      </c>
      <c r="T342" s="155">
        <f t="shared" ca="1" si="105"/>
        <v>2.1604552507016423</v>
      </c>
      <c r="U342" s="152">
        <f t="shared" ca="1" si="106"/>
        <v>2.1604552507016423</v>
      </c>
      <c r="V342" s="152" t="b">
        <f t="shared" ref="V342:V405" si="112">IF(AND(H341,H342),LN(K342/K341))</f>
        <v>0</v>
      </c>
      <c r="W342" s="152" t="b">
        <f t="shared" ref="W342:W405" si="113">IF(AND($H341,$H342),LN(N342/N341))</f>
        <v>0</v>
      </c>
      <c r="X342" s="154">
        <f>LOOKUP(D342,'US Implicit Deflator'!A:A,'US Implicit Deflator'!B:B)/100</f>
        <v>1.1000000000000001E-2</v>
      </c>
      <c r="Y342" s="154">
        <f t="shared" si="107"/>
        <v>9.1207735967446801E-4</v>
      </c>
      <c r="Z342" s="165">
        <f t="shared" ca="1" si="108"/>
        <v>3.1608121118418118</v>
      </c>
      <c r="AA342" s="152">
        <f t="shared" si="109"/>
        <v>7</v>
      </c>
      <c r="AB342" s="153">
        <f t="shared" si="110"/>
        <v>31717</v>
      </c>
      <c r="AC342" s="155">
        <f t="shared" ca="1" si="111"/>
        <v>2.1604552507016423</v>
      </c>
    </row>
    <row r="343" spans="3:29">
      <c r="C343" s="152" t="str">
        <f>'Monthly Prices'!A331</f>
        <v>1986M12</v>
      </c>
      <c r="D343" s="153">
        <f t="shared" si="100"/>
        <v>31747</v>
      </c>
      <c r="E343" s="152">
        <f t="shared" si="101"/>
        <v>324</v>
      </c>
      <c r="F343" s="152" t="b">
        <f t="shared" si="95"/>
        <v>0</v>
      </c>
      <c r="G343" s="152" t="b">
        <f t="shared" si="96"/>
        <v>1</v>
      </c>
      <c r="H343" s="152" t="b">
        <f t="shared" si="97"/>
        <v>0</v>
      </c>
      <c r="I343" s="153" t="e">
        <f t="shared" si="98"/>
        <v>#N/A</v>
      </c>
      <c r="J343" s="158">
        <f>INDEX('Monthly Prices'!B331:CB331,$G$4)</f>
        <v>69.64</v>
      </c>
      <c r="K343" s="158" t="b">
        <f>IF(H343,INDEX('Monthly Prices'!B331:CB331,$G$4)*U343,FALSE)</f>
        <v>0</v>
      </c>
      <c r="L343" s="152" t="b">
        <f t="shared" si="102"/>
        <v>1</v>
      </c>
      <c r="M343" s="158">
        <f>INDEX('Monthly Prices'!B331:CB331,$G$5)</f>
        <v>46.58</v>
      </c>
      <c r="N343" s="158" t="b">
        <f>IF(H343,INDEX('Monthly Prices'!B331:CB331,$G$5)*U343,FALSE)</f>
        <v>0</v>
      </c>
      <c r="O343" s="152" t="b">
        <f t="shared" si="99"/>
        <v>1</v>
      </c>
      <c r="P343" s="152">
        <f t="shared" si="103"/>
        <v>1986</v>
      </c>
      <c r="Q343" s="159">
        <f>'Monthly Prices'!B331</f>
        <v>15.683333333329999</v>
      </c>
      <c r="R343" s="159">
        <f t="shared" si="104"/>
        <v>14.35</v>
      </c>
      <c r="S343" s="155">
        <f>_xlfn.XLOOKUP(P343,'Annual Real'!A:A,'Annual Real'!B:B,0,0)</f>
        <v>20.902924169974199</v>
      </c>
      <c r="T343" s="155">
        <f t="shared" ca="1" si="105"/>
        <v>2.1584865439937038</v>
      </c>
      <c r="U343" s="152">
        <f t="shared" ca="1" si="106"/>
        <v>2.1584865439937038</v>
      </c>
      <c r="V343" s="152" t="b">
        <f t="shared" si="112"/>
        <v>0</v>
      </c>
      <c r="W343" s="152" t="b">
        <f t="shared" si="113"/>
        <v>0</v>
      </c>
      <c r="X343" s="154">
        <f>LOOKUP(D343,'US Implicit Deflator'!A:A,'US Implicit Deflator'!B:B)/100</f>
        <v>1.1000000000000001E-2</v>
      </c>
      <c r="Y343" s="154">
        <f t="shared" si="107"/>
        <v>9.1207735967446801E-4</v>
      </c>
      <c r="Z343" s="165">
        <f t="shared" ca="1" si="108"/>
        <v>3.1636950170072073</v>
      </c>
      <c r="AA343" s="152">
        <f t="shared" si="109"/>
        <v>7</v>
      </c>
      <c r="AB343" s="153">
        <f t="shared" si="110"/>
        <v>31747</v>
      </c>
      <c r="AC343" s="155">
        <f t="shared" ca="1" si="111"/>
        <v>2.1584865439937038</v>
      </c>
    </row>
    <row r="344" spans="3:29">
      <c r="C344" s="152" t="str">
        <f>'Monthly Prices'!A332</f>
        <v>1987M01</v>
      </c>
      <c r="D344" s="153">
        <f t="shared" si="100"/>
        <v>31778</v>
      </c>
      <c r="E344" s="152">
        <f t="shared" si="101"/>
        <v>325</v>
      </c>
      <c r="F344" s="152" t="b">
        <f t="shared" si="95"/>
        <v>0</v>
      </c>
      <c r="G344" s="152" t="b">
        <f t="shared" si="96"/>
        <v>1</v>
      </c>
      <c r="H344" s="152" t="b">
        <f t="shared" si="97"/>
        <v>0</v>
      </c>
      <c r="I344" s="153" t="e">
        <f t="shared" si="98"/>
        <v>#N/A</v>
      </c>
      <c r="J344" s="158">
        <f>INDEX('Monthly Prices'!B332:CB332,$G$4)</f>
        <v>67.91</v>
      </c>
      <c r="K344" s="158" t="b">
        <f>IF(H344,INDEX('Monthly Prices'!B332:CB332,$G$4)*U344,FALSE)</f>
        <v>0</v>
      </c>
      <c r="L344" s="152" t="b">
        <f t="shared" si="102"/>
        <v>1</v>
      </c>
      <c r="M344" s="158">
        <f>INDEX('Monthly Prices'!B332:CB332,$G$5)</f>
        <v>46.45</v>
      </c>
      <c r="N344" s="158" t="b">
        <f>IF(H344,INDEX('Monthly Prices'!B332:CB332,$G$5)*U344,FALSE)</f>
        <v>0</v>
      </c>
      <c r="O344" s="152" t="b">
        <f t="shared" si="99"/>
        <v>1</v>
      </c>
      <c r="P344" s="152">
        <f t="shared" si="103"/>
        <v>1987</v>
      </c>
      <c r="Q344" s="159">
        <f>'Monthly Prices'!B332</f>
        <v>18.066666666669999</v>
      </c>
      <c r="R344" s="159">
        <f t="shared" si="104"/>
        <v>18.145833333334163</v>
      </c>
      <c r="S344" s="155">
        <f>_xlfn.XLOOKUP(P344,'Annual Real'!A:A,'Annual Real'!B:B,0,0)</f>
        <v>24.1204035057916</v>
      </c>
      <c r="T344" s="155">
        <f t="shared" ca="1" si="105"/>
        <v>2.1563419717652246</v>
      </c>
      <c r="U344" s="152">
        <f t="shared" ca="1" si="106"/>
        <v>2.1563419717652246</v>
      </c>
      <c r="V344" s="152" t="b">
        <f t="shared" si="112"/>
        <v>0</v>
      </c>
      <c r="W344" s="152" t="b">
        <f t="shared" si="113"/>
        <v>0</v>
      </c>
      <c r="X344" s="154">
        <f>LOOKUP(D344,'US Implicit Deflator'!A:A,'US Implicit Deflator'!B:B)/100</f>
        <v>1.2E-2</v>
      </c>
      <c r="Y344" s="154">
        <f t="shared" si="107"/>
        <v>9.9454180114277868E-4</v>
      </c>
      <c r="Z344" s="165">
        <f t="shared" ca="1" si="108"/>
        <v>3.1668414439476882</v>
      </c>
      <c r="AA344" s="152">
        <f t="shared" si="109"/>
        <v>7</v>
      </c>
      <c r="AB344" s="153">
        <f t="shared" si="110"/>
        <v>31778</v>
      </c>
      <c r="AC344" s="155">
        <f t="shared" ca="1" si="111"/>
        <v>2.1563419717652246</v>
      </c>
    </row>
    <row r="345" spans="3:29">
      <c r="C345" s="152" t="str">
        <f>'Monthly Prices'!A333</f>
        <v>1987M02</v>
      </c>
      <c r="D345" s="153">
        <f t="shared" si="100"/>
        <v>31809</v>
      </c>
      <c r="E345" s="152">
        <f t="shared" si="101"/>
        <v>326</v>
      </c>
      <c r="F345" s="152" t="b">
        <f t="shared" si="95"/>
        <v>0</v>
      </c>
      <c r="G345" s="152" t="b">
        <f t="shared" si="96"/>
        <v>1</v>
      </c>
      <c r="H345" s="152" t="b">
        <f t="shared" si="97"/>
        <v>0</v>
      </c>
      <c r="I345" s="153" t="e">
        <f t="shared" si="98"/>
        <v>#N/A</v>
      </c>
      <c r="J345" s="158">
        <f>INDEX('Monthly Prices'!B333:CB333,$G$4)</f>
        <v>66.14</v>
      </c>
      <c r="K345" s="158" t="b">
        <f>IF(H345,INDEX('Monthly Prices'!B333:CB333,$G$4)*U345,FALSE)</f>
        <v>0</v>
      </c>
      <c r="L345" s="152" t="b">
        <f t="shared" si="102"/>
        <v>1</v>
      </c>
      <c r="M345" s="158">
        <f>INDEX('Monthly Prices'!B333:CB333,$G$5)</f>
        <v>46.32</v>
      </c>
      <c r="N345" s="158" t="b">
        <f>IF(H345,INDEX('Monthly Prices'!B333:CB333,$G$5)*U345,FALSE)</f>
        <v>0</v>
      </c>
      <c r="O345" s="152" t="b">
        <f t="shared" si="99"/>
        <v>1</v>
      </c>
      <c r="P345" s="152">
        <f t="shared" si="103"/>
        <v>1987</v>
      </c>
      <c r="Q345" s="159">
        <f>'Monthly Prices'!B333</f>
        <v>17.25</v>
      </c>
      <c r="R345" s="159">
        <f t="shared" si="104"/>
        <v>18.145833333334163</v>
      </c>
      <c r="S345" s="155">
        <f>_xlfn.XLOOKUP(P345,'Annual Real'!A:A,'Annual Real'!B:B,0,0)</f>
        <v>24.1204035057916</v>
      </c>
      <c r="T345" s="155">
        <f t="shared" ca="1" si="105"/>
        <v>2.1541995302843544</v>
      </c>
      <c r="U345" s="152">
        <f t="shared" ca="1" si="106"/>
        <v>2.1541995302843544</v>
      </c>
      <c r="V345" s="152" t="b">
        <f t="shared" si="112"/>
        <v>0</v>
      </c>
      <c r="W345" s="152" t="b">
        <f t="shared" si="113"/>
        <v>0</v>
      </c>
      <c r="X345" s="154">
        <f>LOOKUP(D345,'US Implicit Deflator'!A:A,'US Implicit Deflator'!B:B)/100</f>
        <v>1.2E-2</v>
      </c>
      <c r="Y345" s="154">
        <f t="shared" si="107"/>
        <v>9.9454180114277868E-4</v>
      </c>
      <c r="Z345" s="165">
        <f t="shared" ca="1" si="108"/>
        <v>3.1699910001412857</v>
      </c>
      <c r="AA345" s="152">
        <f t="shared" si="109"/>
        <v>7</v>
      </c>
      <c r="AB345" s="153">
        <f t="shared" si="110"/>
        <v>31809</v>
      </c>
      <c r="AC345" s="155">
        <f t="shared" ca="1" si="111"/>
        <v>2.1541995302843544</v>
      </c>
    </row>
    <row r="346" spans="3:29">
      <c r="C346" s="152" t="str">
        <f>'Monthly Prices'!A334</f>
        <v>1987M03</v>
      </c>
      <c r="D346" s="153">
        <f t="shared" si="100"/>
        <v>31837</v>
      </c>
      <c r="E346" s="152">
        <f t="shared" si="101"/>
        <v>327</v>
      </c>
      <c r="F346" s="152" t="b">
        <f t="shared" si="95"/>
        <v>0</v>
      </c>
      <c r="G346" s="152" t="b">
        <f t="shared" si="96"/>
        <v>1</v>
      </c>
      <c r="H346" s="152" t="b">
        <f t="shared" si="97"/>
        <v>0</v>
      </c>
      <c r="I346" s="153" t="e">
        <f t="shared" si="98"/>
        <v>#N/A</v>
      </c>
      <c r="J346" s="158">
        <f>INDEX('Monthly Prices'!B334:CB334,$G$4)</f>
        <v>71.599999999999994</v>
      </c>
      <c r="K346" s="158" t="b">
        <f>IF(H346,INDEX('Monthly Prices'!B334:CB334,$G$4)*U346,FALSE)</f>
        <v>0</v>
      </c>
      <c r="L346" s="152" t="b">
        <f t="shared" si="102"/>
        <v>1</v>
      </c>
      <c r="M346" s="158">
        <f>INDEX('Monthly Prices'!B334:CB334,$G$5)</f>
        <v>46.45</v>
      </c>
      <c r="N346" s="158" t="b">
        <f>IF(H346,INDEX('Monthly Prices'!B334:CB334,$G$5)*U346,FALSE)</f>
        <v>0</v>
      </c>
      <c r="O346" s="152" t="b">
        <f t="shared" si="99"/>
        <v>1</v>
      </c>
      <c r="P346" s="152">
        <f t="shared" si="103"/>
        <v>1987</v>
      </c>
      <c r="Q346" s="159">
        <f>'Monthly Prices'!B334</f>
        <v>17.75</v>
      </c>
      <c r="R346" s="159">
        <f t="shared" si="104"/>
        <v>18.145833333334163</v>
      </c>
      <c r="S346" s="155">
        <f>_xlfn.XLOOKUP(P346,'Annual Real'!A:A,'Annual Real'!B:B,0,0)</f>
        <v>24.1204035057916</v>
      </c>
      <c r="T346" s="155">
        <f t="shared" ca="1" si="105"/>
        <v>2.1520592174340818</v>
      </c>
      <c r="U346" s="152">
        <f t="shared" ca="1" si="106"/>
        <v>2.1520592174340818</v>
      </c>
      <c r="V346" s="152" t="b">
        <f t="shared" si="112"/>
        <v>0</v>
      </c>
      <c r="W346" s="152" t="b">
        <f t="shared" si="113"/>
        <v>0</v>
      </c>
      <c r="X346" s="154">
        <f>LOOKUP(D346,'US Implicit Deflator'!A:A,'US Implicit Deflator'!B:B)/100</f>
        <v>1.2E-2</v>
      </c>
      <c r="Y346" s="154">
        <f t="shared" si="107"/>
        <v>9.9454180114277868E-4</v>
      </c>
      <c r="Z346" s="165">
        <f t="shared" ca="1" si="108"/>
        <v>3.1731436887001725</v>
      </c>
      <c r="AA346" s="152">
        <f t="shared" si="109"/>
        <v>7</v>
      </c>
      <c r="AB346" s="153">
        <f t="shared" si="110"/>
        <v>31837</v>
      </c>
      <c r="AC346" s="155">
        <f t="shared" ca="1" si="111"/>
        <v>2.1520592174340818</v>
      </c>
    </row>
    <row r="347" spans="3:29">
      <c r="C347" s="152" t="str">
        <f>'Monthly Prices'!A335</f>
        <v>1987M04</v>
      </c>
      <c r="D347" s="153">
        <f t="shared" si="100"/>
        <v>31868</v>
      </c>
      <c r="E347" s="152">
        <f t="shared" si="101"/>
        <v>328</v>
      </c>
      <c r="F347" s="152" t="b">
        <f t="shared" si="95"/>
        <v>0</v>
      </c>
      <c r="G347" s="152" t="b">
        <f t="shared" si="96"/>
        <v>1</v>
      </c>
      <c r="H347" s="152" t="b">
        <f t="shared" si="97"/>
        <v>0</v>
      </c>
      <c r="I347" s="153" t="e">
        <f t="shared" si="98"/>
        <v>#N/A</v>
      </c>
      <c r="J347" s="158">
        <f>INDEX('Monthly Prices'!B335:CB335,$G$4)</f>
        <v>74.88</v>
      </c>
      <c r="K347" s="158" t="b">
        <f>IF(H347,INDEX('Monthly Prices'!B335:CB335,$G$4)*U347,FALSE)</f>
        <v>0</v>
      </c>
      <c r="L347" s="152" t="b">
        <f t="shared" si="102"/>
        <v>1</v>
      </c>
      <c r="M347" s="158">
        <f>INDEX('Monthly Prices'!B335:CB335,$G$5)</f>
        <v>58.94</v>
      </c>
      <c r="N347" s="158" t="b">
        <f>IF(H347,INDEX('Monthly Prices'!B335:CB335,$G$5)*U347,FALSE)</f>
        <v>0</v>
      </c>
      <c r="O347" s="152" t="b">
        <f t="shared" si="99"/>
        <v>1</v>
      </c>
      <c r="P347" s="152">
        <f t="shared" si="103"/>
        <v>1987</v>
      </c>
      <c r="Q347" s="159">
        <f>'Monthly Prices'!B335</f>
        <v>17.899999999999999</v>
      </c>
      <c r="R347" s="159">
        <f t="shared" si="104"/>
        <v>18.145833333334163</v>
      </c>
      <c r="S347" s="155">
        <f>_xlfn.XLOOKUP(P347,'Annual Real'!A:A,'Annual Real'!B:B,0,0)</f>
        <v>24.1204035057916</v>
      </c>
      <c r="T347" s="155">
        <f t="shared" ca="1" si="105"/>
        <v>2.1490382136429669</v>
      </c>
      <c r="U347" s="152">
        <f t="shared" ca="1" si="106"/>
        <v>2.1490382136429669</v>
      </c>
      <c r="V347" s="152" t="b">
        <f t="shared" si="112"/>
        <v>0</v>
      </c>
      <c r="W347" s="152" t="b">
        <f t="shared" si="113"/>
        <v>0</v>
      </c>
      <c r="X347" s="154">
        <f>LOOKUP(D347,'US Implicit Deflator'!A:A,'US Implicit Deflator'!B:B)/100</f>
        <v>1.7000000000000001E-2</v>
      </c>
      <c r="Y347" s="154">
        <f t="shared" si="107"/>
        <v>1.4057468926966799E-3</v>
      </c>
      <c r="Z347" s="165">
        <f t="shared" ca="1" si="108"/>
        <v>3.177604325580643</v>
      </c>
      <c r="AA347" s="152">
        <f t="shared" si="109"/>
        <v>7</v>
      </c>
      <c r="AB347" s="153">
        <f t="shared" si="110"/>
        <v>31868</v>
      </c>
      <c r="AC347" s="155">
        <f t="shared" ca="1" si="111"/>
        <v>2.1490382136429669</v>
      </c>
    </row>
    <row r="348" spans="3:29">
      <c r="C348" s="152" t="str">
        <f>'Monthly Prices'!A336</f>
        <v>1987M05</v>
      </c>
      <c r="D348" s="153">
        <f t="shared" si="100"/>
        <v>31898</v>
      </c>
      <c r="E348" s="152">
        <f t="shared" si="101"/>
        <v>329</v>
      </c>
      <c r="F348" s="152" t="b">
        <f t="shared" si="95"/>
        <v>0</v>
      </c>
      <c r="G348" s="152" t="b">
        <f t="shared" si="96"/>
        <v>1</v>
      </c>
      <c r="H348" s="152" t="b">
        <f t="shared" si="97"/>
        <v>0</v>
      </c>
      <c r="I348" s="153" t="e">
        <f t="shared" si="98"/>
        <v>#N/A</v>
      </c>
      <c r="J348" s="158">
        <f>INDEX('Monthly Prices'!B336:CB336,$G$4)</f>
        <v>81.84</v>
      </c>
      <c r="K348" s="158" t="b">
        <f>IF(H348,INDEX('Monthly Prices'!B336:CB336,$G$4)*U348,FALSE)</f>
        <v>0</v>
      </c>
      <c r="L348" s="152" t="b">
        <f t="shared" si="102"/>
        <v>1</v>
      </c>
      <c r="M348" s="158">
        <f>INDEX('Monthly Prices'!B336:CB336,$G$5)</f>
        <v>63.91</v>
      </c>
      <c r="N348" s="158" t="b">
        <f>IF(H348,INDEX('Monthly Prices'!B336:CB336,$G$5)*U348,FALSE)</f>
        <v>0</v>
      </c>
      <c r="O348" s="152" t="b">
        <f t="shared" si="99"/>
        <v>1</v>
      </c>
      <c r="P348" s="152">
        <f t="shared" si="103"/>
        <v>1987</v>
      </c>
      <c r="Q348" s="159">
        <f>'Monthly Prices'!B336</f>
        <v>18.399999999999999</v>
      </c>
      <c r="R348" s="159">
        <f t="shared" si="104"/>
        <v>18.145833333334163</v>
      </c>
      <c r="S348" s="155">
        <f>_xlfn.XLOOKUP(P348,'Annual Real'!A:A,'Annual Real'!B:B,0,0)</f>
        <v>24.1204035057916</v>
      </c>
      <c r="T348" s="155">
        <f t="shared" ca="1" si="105"/>
        <v>2.1460214506570452</v>
      </c>
      <c r="U348" s="152">
        <f t="shared" ca="1" si="106"/>
        <v>2.1460214506570452</v>
      </c>
      <c r="V348" s="152" t="b">
        <f t="shared" si="112"/>
        <v>0</v>
      </c>
      <c r="W348" s="152" t="b">
        <f t="shared" si="113"/>
        <v>0</v>
      </c>
      <c r="X348" s="154">
        <f>LOOKUP(D348,'US Implicit Deflator'!A:A,'US Implicit Deflator'!B:B)/100</f>
        <v>1.7000000000000001E-2</v>
      </c>
      <c r="Y348" s="154">
        <f t="shared" si="107"/>
        <v>1.4057468926966799E-3</v>
      </c>
      <c r="Z348" s="165">
        <f t="shared" ca="1" si="108"/>
        <v>3.1820712329875476</v>
      </c>
      <c r="AA348" s="152">
        <f t="shared" si="109"/>
        <v>7</v>
      </c>
      <c r="AB348" s="153">
        <f t="shared" si="110"/>
        <v>31898</v>
      </c>
      <c r="AC348" s="155">
        <f t="shared" ca="1" si="111"/>
        <v>2.1460214506570452</v>
      </c>
    </row>
    <row r="349" spans="3:29">
      <c r="C349" s="152" t="str">
        <f>'Monthly Prices'!A337</f>
        <v>1987M06</v>
      </c>
      <c r="D349" s="153">
        <f t="shared" si="100"/>
        <v>31929</v>
      </c>
      <c r="E349" s="152">
        <f t="shared" si="101"/>
        <v>330</v>
      </c>
      <c r="F349" s="152" t="b">
        <f t="shared" si="95"/>
        <v>0</v>
      </c>
      <c r="G349" s="152" t="b">
        <f t="shared" si="96"/>
        <v>1</v>
      </c>
      <c r="H349" s="152" t="b">
        <f t="shared" si="97"/>
        <v>0</v>
      </c>
      <c r="I349" s="153" t="e">
        <f t="shared" si="98"/>
        <v>#N/A</v>
      </c>
      <c r="J349" s="158">
        <f>INDEX('Monthly Prices'!B337:CB337,$G$4)</f>
        <v>80.7</v>
      </c>
      <c r="K349" s="158" t="b">
        <f>IF(H349,INDEX('Monthly Prices'!B337:CB337,$G$4)*U349,FALSE)</f>
        <v>0</v>
      </c>
      <c r="L349" s="152" t="b">
        <f t="shared" si="102"/>
        <v>1</v>
      </c>
      <c r="M349" s="158">
        <f>INDEX('Monthly Prices'!B337:CB337,$G$5)</f>
        <v>56.58</v>
      </c>
      <c r="N349" s="158" t="b">
        <f>IF(H349,INDEX('Monthly Prices'!B337:CB337,$G$5)*U349,FALSE)</f>
        <v>0</v>
      </c>
      <c r="O349" s="152" t="b">
        <f t="shared" si="99"/>
        <v>1</v>
      </c>
      <c r="P349" s="152">
        <f t="shared" si="103"/>
        <v>1987</v>
      </c>
      <c r="Q349" s="159">
        <f>'Monthly Prices'!B337</f>
        <v>18.716666666670001</v>
      </c>
      <c r="R349" s="159">
        <f t="shared" si="104"/>
        <v>18.145833333334163</v>
      </c>
      <c r="S349" s="155">
        <f>_xlfn.XLOOKUP(P349,'Annual Real'!A:A,'Annual Real'!B:B,0,0)</f>
        <v>24.1204035057916</v>
      </c>
      <c r="T349" s="155">
        <f t="shared" ca="1" si="105"/>
        <v>2.1430089225231872</v>
      </c>
      <c r="U349" s="152">
        <f t="shared" ca="1" si="106"/>
        <v>2.1430089225231872</v>
      </c>
      <c r="V349" s="152" t="b">
        <f t="shared" si="112"/>
        <v>0</v>
      </c>
      <c r="W349" s="152" t="b">
        <f t="shared" si="113"/>
        <v>0</v>
      </c>
      <c r="X349" s="154">
        <f>LOOKUP(D349,'US Implicit Deflator'!A:A,'US Implicit Deflator'!B:B)/100</f>
        <v>1.7000000000000001E-2</v>
      </c>
      <c r="Y349" s="154">
        <f t="shared" si="107"/>
        <v>1.4057468926966799E-3</v>
      </c>
      <c r="Z349" s="165">
        <f t="shared" ca="1" si="108"/>
        <v>3.1865444197356592</v>
      </c>
      <c r="AA349" s="152">
        <f t="shared" si="109"/>
        <v>7</v>
      </c>
      <c r="AB349" s="153">
        <f t="shared" si="110"/>
        <v>31929</v>
      </c>
      <c r="AC349" s="155">
        <f t="shared" ca="1" si="111"/>
        <v>2.1430089225231872</v>
      </c>
    </row>
    <row r="350" spans="3:29">
      <c r="C350" s="152" t="str">
        <f>'Monthly Prices'!A338</f>
        <v>1987M07</v>
      </c>
      <c r="D350" s="153">
        <f t="shared" si="100"/>
        <v>31959</v>
      </c>
      <c r="E350" s="152">
        <f t="shared" si="101"/>
        <v>331</v>
      </c>
      <c r="F350" s="152" t="b">
        <f t="shared" si="95"/>
        <v>0</v>
      </c>
      <c r="G350" s="152" t="b">
        <f t="shared" si="96"/>
        <v>1</v>
      </c>
      <c r="H350" s="152" t="b">
        <f t="shared" si="97"/>
        <v>0</v>
      </c>
      <c r="I350" s="153" t="e">
        <f t="shared" si="98"/>
        <v>#N/A</v>
      </c>
      <c r="J350" s="158">
        <f>INDEX('Monthly Prices'!B338:CB338,$G$4)</f>
        <v>76.37</v>
      </c>
      <c r="K350" s="158" t="b">
        <f>IF(H350,INDEX('Monthly Prices'!B338:CB338,$G$4)*U350,FALSE)</f>
        <v>0</v>
      </c>
      <c r="L350" s="152" t="b">
        <f t="shared" si="102"/>
        <v>1</v>
      </c>
      <c r="M350" s="158">
        <f>INDEX('Monthly Prices'!B338:CB338,$G$5)</f>
        <v>54.92</v>
      </c>
      <c r="N350" s="158" t="b">
        <f>IF(H350,INDEX('Monthly Prices'!B338:CB338,$G$5)*U350,FALSE)</f>
        <v>0</v>
      </c>
      <c r="O350" s="152" t="b">
        <f t="shared" si="99"/>
        <v>1</v>
      </c>
      <c r="P350" s="152">
        <f t="shared" si="103"/>
        <v>1987</v>
      </c>
      <c r="Q350" s="159">
        <f>'Monthly Prices'!B338</f>
        <v>19.61666666667</v>
      </c>
      <c r="R350" s="159">
        <f t="shared" si="104"/>
        <v>18.145833333334163</v>
      </c>
      <c r="S350" s="155">
        <f>_xlfn.XLOOKUP(P350,'Annual Real'!A:A,'Annual Real'!B:B,0,0)</f>
        <v>24.1204035057916</v>
      </c>
      <c r="T350" s="155">
        <f t="shared" ca="1" si="105"/>
        <v>2.1389518574305666</v>
      </c>
      <c r="U350" s="152">
        <f t="shared" ca="1" si="106"/>
        <v>2.1389518574305666</v>
      </c>
      <c r="V350" s="152" t="b">
        <f t="shared" si="112"/>
        <v>0</v>
      </c>
      <c r="W350" s="152" t="b">
        <f t="shared" si="113"/>
        <v>0</v>
      </c>
      <c r="X350" s="154">
        <f>LOOKUP(D350,'US Implicit Deflator'!A:A,'US Implicit Deflator'!B:B)/100</f>
        <v>2.3E-2</v>
      </c>
      <c r="Y350" s="154">
        <f t="shared" si="107"/>
        <v>1.8967538135683526E-3</v>
      </c>
      <c r="Z350" s="165">
        <f t="shared" ca="1" si="108"/>
        <v>3.1925885100158977</v>
      </c>
      <c r="AA350" s="152">
        <f t="shared" si="109"/>
        <v>7</v>
      </c>
      <c r="AB350" s="153">
        <f t="shared" si="110"/>
        <v>31959</v>
      </c>
      <c r="AC350" s="155">
        <f t="shared" ca="1" si="111"/>
        <v>2.1389518574305666</v>
      </c>
    </row>
    <row r="351" spans="3:29">
      <c r="C351" s="152" t="str">
        <f>'Monthly Prices'!A339</f>
        <v>1987M08</v>
      </c>
      <c r="D351" s="153">
        <f t="shared" si="100"/>
        <v>31990</v>
      </c>
      <c r="E351" s="152">
        <f t="shared" si="101"/>
        <v>332</v>
      </c>
      <c r="F351" s="152" t="b">
        <f t="shared" si="95"/>
        <v>0</v>
      </c>
      <c r="G351" s="152" t="b">
        <f t="shared" si="96"/>
        <v>1</v>
      </c>
      <c r="H351" s="152" t="b">
        <f t="shared" si="97"/>
        <v>0</v>
      </c>
      <c r="I351" s="153" t="e">
        <f t="shared" si="98"/>
        <v>#N/A</v>
      </c>
      <c r="J351" s="158">
        <f>INDEX('Monthly Prices'!B339:CB339,$G$4)</f>
        <v>71.650000000000006</v>
      </c>
      <c r="K351" s="158" t="b">
        <f>IF(H351,INDEX('Monthly Prices'!B339:CB339,$G$4)*U351,FALSE)</f>
        <v>0</v>
      </c>
      <c r="L351" s="152" t="b">
        <f t="shared" si="102"/>
        <v>1</v>
      </c>
      <c r="M351" s="158">
        <f>INDEX('Monthly Prices'!B339:CB339,$G$5)</f>
        <v>50.59</v>
      </c>
      <c r="N351" s="158" t="b">
        <f>IF(H351,INDEX('Monthly Prices'!B339:CB339,$G$5)*U351,FALSE)</f>
        <v>0</v>
      </c>
      <c r="O351" s="152" t="b">
        <f t="shared" si="99"/>
        <v>1</v>
      </c>
      <c r="P351" s="152">
        <f t="shared" si="103"/>
        <v>1987</v>
      </c>
      <c r="Q351" s="159">
        <f>'Monthly Prices'!B339</f>
        <v>18.816666666669999</v>
      </c>
      <c r="R351" s="159">
        <f t="shared" si="104"/>
        <v>18.145833333334163</v>
      </c>
      <c r="S351" s="155">
        <f>_xlfn.XLOOKUP(P351,'Annual Real'!A:A,'Annual Real'!B:B,0,0)</f>
        <v>24.1204035057916</v>
      </c>
      <c r="T351" s="155">
        <f t="shared" ca="1" si="105"/>
        <v>2.1349024730232631</v>
      </c>
      <c r="U351" s="152">
        <f t="shared" ca="1" si="106"/>
        <v>2.1349024730232631</v>
      </c>
      <c r="V351" s="152" t="b">
        <f t="shared" si="112"/>
        <v>0</v>
      </c>
      <c r="W351" s="152" t="b">
        <f t="shared" si="113"/>
        <v>0</v>
      </c>
      <c r="X351" s="154">
        <f>LOOKUP(D351,'US Implicit Deflator'!A:A,'US Implicit Deflator'!B:B)/100</f>
        <v>2.3E-2</v>
      </c>
      <c r="Y351" s="154">
        <f t="shared" si="107"/>
        <v>1.8967538135683526E-3</v>
      </c>
      <c r="Z351" s="165">
        <f t="shared" ca="1" si="108"/>
        <v>3.198644064447425</v>
      </c>
      <c r="AA351" s="152">
        <f t="shared" si="109"/>
        <v>7</v>
      </c>
      <c r="AB351" s="153">
        <f t="shared" si="110"/>
        <v>31990</v>
      </c>
      <c r="AC351" s="155">
        <f t="shared" ca="1" si="111"/>
        <v>2.1349024730232631</v>
      </c>
    </row>
    <row r="352" spans="3:29">
      <c r="C352" s="152" t="str">
        <f>'Monthly Prices'!A340</f>
        <v>1987M09</v>
      </c>
      <c r="D352" s="153">
        <f t="shared" si="100"/>
        <v>32021</v>
      </c>
      <c r="E352" s="152">
        <f t="shared" si="101"/>
        <v>333</v>
      </c>
      <c r="F352" s="152" t="b">
        <f t="shared" si="95"/>
        <v>0</v>
      </c>
      <c r="G352" s="152" t="b">
        <f t="shared" si="96"/>
        <v>1</v>
      </c>
      <c r="H352" s="152" t="b">
        <f t="shared" si="97"/>
        <v>0</v>
      </c>
      <c r="I352" s="153" t="e">
        <f t="shared" si="98"/>
        <v>#N/A</v>
      </c>
      <c r="J352" s="158">
        <f>INDEX('Monthly Prices'!B340:CB340,$G$4)</f>
        <v>73.569999999999993</v>
      </c>
      <c r="K352" s="158" t="b">
        <f>IF(H352,INDEX('Monthly Prices'!B340:CB340,$G$4)*U352,FALSE)</f>
        <v>0</v>
      </c>
      <c r="L352" s="152" t="b">
        <f t="shared" si="102"/>
        <v>1</v>
      </c>
      <c r="M352" s="158">
        <f>INDEX('Monthly Prices'!B340:CB340,$G$5)</f>
        <v>57.6</v>
      </c>
      <c r="N352" s="158" t="b">
        <f>IF(H352,INDEX('Monthly Prices'!B340:CB340,$G$5)*U352,FALSE)</f>
        <v>0</v>
      </c>
      <c r="O352" s="152" t="b">
        <f t="shared" si="99"/>
        <v>1</v>
      </c>
      <c r="P352" s="152">
        <f t="shared" si="103"/>
        <v>1987</v>
      </c>
      <c r="Q352" s="159">
        <f>'Monthly Prices'!B340</f>
        <v>18.283333333329999</v>
      </c>
      <c r="R352" s="159">
        <f t="shared" si="104"/>
        <v>18.145833333334163</v>
      </c>
      <c r="S352" s="155">
        <f>_xlfn.XLOOKUP(P352,'Annual Real'!A:A,'Annual Real'!B:B,0,0)</f>
        <v>24.1204035057916</v>
      </c>
      <c r="T352" s="155">
        <f t="shared" ca="1" si="105"/>
        <v>2.1308607547604881</v>
      </c>
      <c r="U352" s="152">
        <f t="shared" ca="1" si="106"/>
        <v>2.1308607547604881</v>
      </c>
      <c r="V352" s="152" t="b">
        <f t="shared" si="112"/>
        <v>0</v>
      </c>
      <c r="W352" s="152" t="b">
        <f t="shared" si="113"/>
        <v>0</v>
      </c>
      <c r="X352" s="154">
        <f>LOOKUP(D352,'US Implicit Deflator'!A:A,'US Implicit Deflator'!B:B)/100</f>
        <v>2.3E-2</v>
      </c>
      <c r="Y352" s="154">
        <f t="shared" si="107"/>
        <v>1.8967538135683526E-3</v>
      </c>
      <c r="Z352" s="165">
        <f t="shared" ca="1" si="108"/>
        <v>3.2047111047749133</v>
      </c>
      <c r="AA352" s="152">
        <f t="shared" si="109"/>
        <v>7</v>
      </c>
      <c r="AB352" s="153">
        <f t="shared" si="110"/>
        <v>32021</v>
      </c>
      <c r="AC352" s="155">
        <f t="shared" ca="1" si="111"/>
        <v>2.1308607547604881</v>
      </c>
    </row>
    <row r="353" spans="3:29">
      <c r="C353" s="152" t="str">
        <f>'Monthly Prices'!A341</f>
        <v>1987M10</v>
      </c>
      <c r="D353" s="153">
        <f t="shared" si="100"/>
        <v>32051</v>
      </c>
      <c r="E353" s="152">
        <f t="shared" si="101"/>
        <v>334</v>
      </c>
      <c r="F353" s="152" t="b">
        <f t="shared" si="95"/>
        <v>0</v>
      </c>
      <c r="G353" s="152" t="b">
        <f t="shared" si="96"/>
        <v>1</v>
      </c>
      <c r="H353" s="152" t="b">
        <f t="shared" si="97"/>
        <v>0</v>
      </c>
      <c r="I353" s="153" t="e">
        <f t="shared" si="98"/>
        <v>#N/A</v>
      </c>
      <c r="J353" s="158">
        <f>INDEX('Monthly Prices'!B341:CB341,$G$4)</f>
        <v>78.849999999999994</v>
      </c>
      <c r="K353" s="158" t="b">
        <f>IF(H353,INDEX('Monthly Prices'!B341:CB341,$G$4)*U353,FALSE)</f>
        <v>0</v>
      </c>
      <c r="L353" s="152" t="b">
        <f t="shared" si="102"/>
        <v>1</v>
      </c>
      <c r="M353" s="158">
        <f>INDEX('Monthly Prices'!B341:CB341,$G$5)</f>
        <v>60.6</v>
      </c>
      <c r="N353" s="158" t="b">
        <f>IF(H353,INDEX('Monthly Prices'!B341:CB341,$G$5)*U353,FALSE)</f>
        <v>0</v>
      </c>
      <c r="O353" s="152" t="b">
        <f t="shared" si="99"/>
        <v>1</v>
      </c>
      <c r="P353" s="152">
        <f t="shared" si="103"/>
        <v>1987</v>
      </c>
      <c r="Q353" s="159">
        <f>'Monthly Prices'!B341</f>
        <v>18.566666666669999</v>
      </c>
      <c r="R353" s="159">
        <f t="shared" si="104"/>
        <v>18.145833333334163</v>
      </c>
      <c r="S353" s="155">
        <f>_xlfn.XLOOKUP(P353,'Annual Real'!A:A,'Annual Real'!B:B,0,0)</f>
        <v>24.1204035057916</v>
      </c>
      <c r="T353" s="155">
        <f t="shared" ca="1" si="105"/>
        <v>2.1268266881289803</v>
      </c>
      <c r="U353" s="152">
        <f t="shared" ca="1" si="106"/>
        <v>2.1268266881289803</v>
      </c>
      <c r="V353" s="152" t="b">
        <f t="shared" si="112"/>
        <v>0</v>
      </c>
      <c r="W353" s="152" t="b">
        <f t="shared" si="113"/>
        <v>0</v>
      </c>
      <c r="X353" s="154">
        <f>LOOKUP(D353,'US Implicit Deflator'!A:A,'US Implicit Deflator'!B:B)/100</f>
        <v>2.3E-2</v>
      </c>
      <c r="Y353" s="154">
        <f t="shared" si="107"/>
        <v>1.8967538135683526E-3</v>
      </c>
      <c r="Z353" s="165">
        <f t="shared" ca="1" si="108"/>
        <v>3.2107896527842801</v>
      </c>
      <c r="AA353" s="152">
        <f t="shared" si="109"/>
        <v>7</v>
      </c>
      <c r="AB353" s="153">
        <f t="shared" si="110"/>
        <v>32051</v>
      </c>
      <c r="AC353" s="155">
        <f t="shared" ca="1" si="111"/>
        <v>2.1268266881289803</v>
      </c>
    </row>
    <row r="354" spans="3:29">
      <c r="C354" s="152" t="str">
        <f>'Monthly Prices'!A342</f>
        <v>1987M11</v>
      </c>
      <c r="D354" s="153">
        <f t="shared" si="100"/>
        <v>32082</v>
      </c>
      <c r="E354" s="152">
        <f t="shared" si="101"/>
        <v>335</v>
      </c>
      <c r="F354" s="152" t="b">
        <f t="shared" si="95"/>
        <v>0</v>
      </c>
      <c r="G354" s="152" t="b">
        <f t="shared" si="96"/>
        <v>1</v>
      </c>
      <c r="H354" s="152" t="b">
        <f t="shared" si="97"/>
        <v>0</v>
      </c>
      <c r="I354" s="153" t="e">
        <f t="shared" si="98"/>
        <v>#N/A</v>
      </c>
      <c r="J354" s="158">
        <f>INDEX('Monthly Prices'!B342:CB342,$G$4)</f>
        <v>81.69</v>
      </c>
      <c r="K354" s="158" t="b">
        <f>IF(H354,INDEX('Monthly Prices'!B342:CB342,$G$4)*U354,FALSE)</f>
        <v>0</v>
      </c>
      <c r="L354" s="152" t="b">
        <f t="shared" si="102"/>
        <v>1</v>
      </c>
      <c r="M354" s="158">
        <f>INDEX('Monthly Prices'!B342:CB342,$G$5)</f>
        <v>59.42</v>
      </c>
      <c r="N354" s="158" t="b">
        <f>IF(H354,INDEX('Monthly Prices'!B342:CB342,$G$5)*U354,FALSE)</f>
        <v>0</v>
      </c>
      <c r="O354" s="152" t="b">
        <f t="shared" si="99"/>
        <v>1</v>
      </c>
      <c r="P354" s="152">
        <f t="shared" si="103"/>
        <v>1987</v>
      </c>
      <c r="Q354" s="159">
        <f>'Monthly Prices'!B342</f>
        <v>17.75</v>
      </c>
      <c r="R354" s="159">
        <f t="shared" si="104"/>
        <v>18.145833333334163</v>
      </c>
      <c r="S354" s="155">
        <f>_xlfn.XLOOKUP(P354,'Annual Real'!A:A,'Annual Real'!B:B,0,0)</f>
        <v>24.1204035057916</v>
      </c>
      <c r="T354" s="155">
        <f t="shared" ca="1" si="105"/>
        <v>2.1228002586429553</v>
      </c>
      <c r="U354" s="152">
        <f t="shared" ca="1" si="106"/>
        <v>2.1228002586429553</v>
      </c>
      <c r="V354" s="152" t="b">
        <f t="shared" si="112"/>
        <v>0</v>
      </c>
      <c r="W354" s="152" t="b">
        <f t="shared" si="113"/>
        <v>0</v>
      </c>
      <c r="X354" s="154">
        <f>LOOKUP(D354,'US Implicit Deflator'!A:A,'US Implicit Deflator'!B:B)/100</f>
        <v>2.3E-2</v>
      </c>
      <c r="Y354" s="154">
        <f t="shared" si="107"/>
        <v>1.8967538135683526E-3</v>
      </c>
      <c r="Z354" s="165">
        <f t="shared" ca="1" si="108"/>
        <v>3.2168797303027645</v>
      </c>
      <c r="AA354" s="152">
        <f t="shared" si="109"/>
        <v>7</v>
      </c>
      <c r="AB354" s="153">
        <f t="shared" si="110"/>
        <v>32082</v>
      </c>
      <c r="AC354" s="155">
        <f t="shared" ca="1" si="111"/>
        <v>2.1228002586429553</v>
      </c>
    </row>
    <row r="355" spans="3:29">
      <c r="C355" s="152" t="str">
        <f>'Monthly Prices'!A343</f>
        <v>1987M12</v>
      </c>
      <c r="D355" s="153">
        <f t="shared" si="100"/>
        <v>32112</v>
      </c>
      <c r="E355" s="152">
        <f t="shared" si="101"/>
        <v>336</v>
      </c>
      <c r="F355" s="152" t="b">
        <f t="shared" si="95"/>
        <v>0</v>
      </c>
      <c r="G355" s="152" t="b">
        <f t="shared" si="96"/>
        <v>1</v>
      </c>
      <c r="H355" s="152" t="b">
        <f t="shared" si="97"/>
        <v>0</v>
      </c>
      <c r="I355" s="153" t="e">
        <f t="shared" si="98"/>
        <v>#N/A</v>
      </c>
      <c r="J355" s="158">
        <f>INDEX('Monthly Prices'!B343:CB343,$G$4)</f>
        <v>83.16</v>
      </c>
      <c r="K355" s="158" t="b">
        <f>IF(H355,INDEX('Monthly Prices'!B343:CB343,$G$4)*U355,FALSE)</f>
        <v>0</v>
      </c>
      <c r="L355" s="152" t="b">
        <f t="shared" si="102"/>
        <v>1</v>
      </c>
      <c r="M355" s="158">
        <f>INDEX('Monthly Prices'!B343:CB343,$G$5)</f>
        <v>58.24</v>
      </c>
      <c r="N355" s="158" t="b">
        <f>IF(H355,INDEX('Monthly Prices'!B343:CB343,$G$5)*U355,FALSE)</f>
        <v>0</v>
      </c>
      <c r="O355" s="152" t="b">
        <f t="shared" si="99"/>
        <v>1</v>
      </c>
      <c r="P355" s="152">
        <f t="shared" si="103"/>
        <v>1987</v>
      </c>
      <c r="Q355" s="159">
        <f>'Monthly Prices'!B343</f>
        <v>16.63333333333</v>
      </c>
      <c r="R355" s="159">
        <f t="shared" si="104"/>
        <v>18.145833333334163</v>
      </c>
      <c r="S355" s="155">
        <f>_xlfn.XLOOKUP(P355,'Annual Real'!A:A,'Annual Real'!B:B,0,0)</f>
        <v>24.1204035057916</v>
      </c>
      <c r="T355" s="155">
        <f t="shared" ca="1" si="105"/>
        <v>2.1187814518440522</v>
      </c>
      <c r="U355" s="152">
        <f t="shared" ca="1" si="106"/>
        <v>2.1187814518440522</v>
      </c>
      <c r="V355" s="152" t="b">
        <f t="shared" si="112"/>
        <v>0</v>
      </c>
      <c r="W355" s="152" t="b">
        <f t="shared" si="113"/>
        <v>0</v>
      </c>
      <c r="X355" s="154">
        <f>LOOKUP(D355,'US Implicit Deflator'!A:A,'US Implicit Deflator'!B:B)/100</f>
        <v>2.3E-2</v>
      </c>
      <c r="Y355" s="154">
        <f t="shared" si="107"/>
        <v>1.8967538135683526E-3</v>
      </c>
      <c r="Z355" s="165">
        <f t="shared" ca="1" si="108"/>
        <v>3.2229813591990069</v>
      </c>
      <c r="AA355" s="152">
        <f t="shared" si="109"/>
        <v>7</v>
      </c>
      <c r="AB355" s="153">
        <f t="shared" si="110"/>
        <v>32112</v>
      </c>
      <c r="AC355" s="155">
        <f t="shared" ca="1" si="111"/>
        <v>2.1187814518440522</v>
      </c>
    </row>
    <row r="356" spans="3:29">
      <c r="C356" s="152" t="str">
        <f>'Monthly Prices'!A344</f>
        <v>1988M01</v>
      </c>
      <c r="D356" s="153">
        <f t="shared" si="100"/>
        <v>32143</v>
      </c>
      <c r="E356" s="152">
        <f t="shared" si="101"/>
        <v>337</v>
      </c>
      <c r="F356" s="152" t="b">
        <f t="shared" si="95"/>
        <v>0</v>
      </c>
      <c r="G356" s="152" t="b">
        <f t="shared" si="96"/>
        <v>1</v>
      </c>
      <c r="H356" s="152" t="b">
        <f t="shared" si="97"/>
        <v>0</v>
      </c>
      <c r="I356" s="153" t="e">
        <f t="shared" si="98"/>
        <v>#N/A</v>
      </c>
      <c r="J356" s="158">
        <f>INDEX('Monthly Prices'!B344:CB344,$G$4)</f>
        <v>85.92</v>
      </c>
      <c r="K356" s="158" t="b">
        <f>IF(H356,INDEX('Monthly Prices'!B344:CB344,$G$4)*U356,FALSE)</f>
        <v>0</v>
      </c>
      <c r="L356" s="152" t="b">
        <f t="shared" si="102"/>
        <v>1</v>
      </c>
      <c r="M356" s="158">
        <f>INDEX('Monthly Prices'!B344:CB344,$G$5)</f>
        <v>56.9</v>
      </c>
      <c r="N356" s="158" t="b">
        <f>IF(H356,INDEX('Monthly Prices'!B344:CB344,$G$5)*U356,FALSE)</f>
        <v>0</v>
      </c>
      <c r="O356" s="152" t="b">
        <f t="shared" si="99"/>
        <v>1</v>
      </c>
      <c r="P356" s="152">
        <f t="shared" si="103"/>
        <v>1988</v>
      </c>
      <c r="Q356" s="159">
        <f>'Monthly Prices'!B344</f>
        <v>16.466666666670001</v>
      </c>
      <c r="R356" s="159">
        <f t="shared" si="104"/>
        <v>14.718055555555003</v>
      </c>
      <c r="S356" s="155">
        <f>_xlfn.XLOOKUP(P356,'Annual Real'!A:A,'Annual Real'!B:B,0,0)</f>
        <v>18.371584512224601</v>
      </c>
      <c r="T356" s="155">
        <f t="shared" ca="1" si="105"/>
        <v>2.1145980757787619</v>
      </c>
      <c r="U356" s="152">
        <f t="shared" ca="1" si="106"/>
        <v>2.1145980757787619</v>
      </c>
      <c r="V356" s="152" t="b">
        <f t="shared" si="112"/>
        <v>0</v>
      </c>
      <c r="W356" s="152" t="b">
        <f t="shared" si="113"/>
        <v>0</v>
      </c>
      <c r="X356" s="154">
        <f>LOOKUP(D356,'US Implicit Deflator'!A:A,'US Implicit Deflator'!B:B)/100</f>
        <v>2.4E-2</v>
      </c>
      <c r="Y356" s="154">
        <f t="shared" si="107"/>
        <v>1.9783315388433032E-3</v>
      </c>
      <c r="Z356" s="165">
        <f t="shared" ca="1" si="108"/>
        <v>3.2293574848710143</v>
      </c>
      <c r="AA356" s="152">
        <f t="shared" si="109"/>
        <v>7</v>
      </c>
      <c r="AB356" s="153">
        <f t="shared" si="110"/>
        <v>32143</v>
      </c>
      <c r="AC356" s="155">
        <f t="shared" ca="1" si="111"/>
        <v>2.1145980757787619</v>
      </c>
    </row>
    <row r="357" spans="3:29">
      <c r="C357" s="152" t="str">
        <f>'Monthly Prices'!A345</f>
        <v>1988M02</v>
      </c>
      <c r="D357" s="153">
        <f t="shared" si="100"/>
        <v>32174</v>
      </c>
      <c r="E357" s="152">
        <f t="shared" si="101"/>
        <v>338</v>
      </c>
      <c r="F357" s="152" t="b">
        <f t="shared" si="95"/>
        <v>0</v>
      </c>
      <c r="G357" s="152" t="b">
        <f t="shared" si="96"/>
        <v>1</v>
      </c>
      <c r="H357" s="152" t="b">
        <f t="shared" si="97"/>
        <v>0</v>
      </c>
      <c r="I357" s="153" t="e">
        <f t="shared" si="98"/>
        <v>#N/A</v>
      </c>
      <c r="J357" s="158">
        <f>INDEX('Monthly Prices'!B345:CB345,$G$4)</f>
        <v>87.99</v>
      </c>
      <c r="K357" s="158" t="b">
        <f>IF(H357,INDEX('Monthly Prices'!B345:CB345,$G$4)*U357,FALSE)</f>
        <v>0</v>
      </c>
      <c r="L357" s="152" t="b">
        <f t="shared" si="102"/>
        <v>1</v>
      </c>
      <c r="M357" s="158">
        <f>INDEX('Monthly Prices'!B345:CB345,$G$5)</f>
        <v>56.9</v>
      </c>
      <c r="N357" s="158" t="b">
        <f>IF(H357,INDEX('Monthly Prices'!B345:CB345,$G$5)*U357,FALSE)</f>
        <v>0</v>
      </c>
      <c r="O357" s="152" t="b">
        <f t="shared" si="99"/>
        <v>1</v>
      </c>
      <c r="P357" s="152">
        <f t="shared" si="103"/>
        <v>1988</v>
      </c>
      <c r="Q357" s="159">
        <f>'Monthly Prices'!B345</f>
        <v>15.85</v>
      </c>
      <c r="R357" s="159">
        <f t="shared" si="104"/>
        <v>14.718055555555003</v>
      </c>
      <c r="S357" s="155">
        <f>_xlfn.XLOOKUP(P357,'Annual Real'!A:A,'Annual Real'!B:B,0,0)</f>
        <v>18.371584512224601</v>
      </c>
      <c r="T357" s="155">
        <f t="shared" ca="1" si="105"/>
        <v>2.1104229594777282</v>
      </c>
      <c r="U357" s="152">
        <f t="shared" ca="1" si="106"/>
        <v>2.1104229594777282</v>
      </c>
      <c r="V357" s="152" t="b">
        <f t="shared" si="112"/>
        <v>0</v>
      </c>
      <c r="W357" s="152" t="b">
        <f t="shared" si="113"/>
        <v>0</v>
      </c>
      <c r="X357" s="154">
        <f>LOOKUP(D357,'US Implicit Deflator'!A:A,'US Implicit Deflator'!B:B)/100</f>
        <v>2.4E-2</v>
      </c>
      <c r="Y357" s="154">
        <f t="shared" si="107"/>
        <v>1.9783315388433032E-3</v>
      </c>
      <c r="Z357" s="165">
        <f t="shared" ca="1" si="108"/>
        <v>3.2357462246335342</v>
      </c>
      <c r="AA357" s="152">
        <f t="shared" si="109"/>
        <v>7</v>
      </c>
      <c r="AB357" s="153">
        <f t="shared" si="110"/>
        <v>32174</v>
      </c>
      <c r="AC357" s="155">
        <f t="shared" ca="1" si="111"/>
        <v>2.1104229594777282</v>
      </c>
    </row>
    <row r="358" spans="3:29">
      <c r="C358" s="152" t="str">
        <f>'Monthly Prices'!A346</f>
        <v>1988M03</v>
      </c>
      <c r="D358" s="153">
        <f t="shared" si="100"/>
        <v>32203</v>
      </c>
      <c r="E358" s="152">
        <f t="shared" si="101"/>
        <v>339</v>
      </c>
      <c r="F358" s="152" t="b">
        <f t="shared" si="95"/>
        <v>0</v>
      </c>
      <c r="G358" s="152" t="b">
        <f t="shared" si="96"/>
        <v>1</v>
      </c>
      <c r="H358" s="152" t="b">
        <f t="shared" si="97"/>
        <v>0</v>
      </c>
      <c r="I358" s="153" t="e">
        <f t="shared" si="98"/>
        <v>#N/A</v>
      </c>
      <c r="J358" s="158">
        <f>INDEX('Monthly Prices'!B346:CB346,$G$4)</f>
        <v>90.23</v>
      </c>
      <c r="K358" s="158" t="b">
        <f>IF(H358,INDEX('Monthly Prices'!B346:CB346,$G$4)*U358,FALSE)</f>
        <v>0</v>
      </c>
      <c r="L358" s="152" t="b">
        <f t="shared" si="102"/>
        <v>1</v>
      </c>
      <c r="M358" s="158">
        <f>INDEX('Monthly Prices'!B346:CB346,$G$5)</f>
        <v>62.25</v>
      </c>
      <c r="N358" s="158" t="b">
        <f>IF(H358,INDEX('Monthly Prices'!B346:CB346,$G$5)*U358,FALSE)</f>
        <v>0</v>
      </c>
      <c r="O358" s="152" t="b">
        <f t="shared" si="99"/>
        <v>1</v>
      </c>
      <c r="P358" s="152">
        <f t="shared" si="103"/>
        <v>1988</v>
      </c>
      <c r="Q358" s="159">
        <f>'Monthly Prices'!B346</f>
        <v>14.783333333330001</v>
      </c>
      <c r="R358" s="159">
        <f t="shared" si="104"/>
        <v>14.718055555555003</v>
      </c>
      <c r="S358" s="155">
        <f>_xlfn.XLOOKUP(P358,'Annual Real'!A:A,'Annual Real'!B:B,0,0)</f>
        <v>18.371584512224601</v>
      </c>
      <c r="T358" s="155">
        <f t="shared" ca="1" si="105"/>
        <v>2.1062560866326621</v>
      </c>
      <c r="U358" s="152">
        <f t="shared" ca="1" si="106"/>
        <v>2.1062560866326621</v>
      </c>
      <c r="V358" s="152" t="b">
        <f t="shared" si="112"/>
        <v>0</v>
      </c>
      <c r="W358" s="152" t="b">
        <f t="shared" si="113"/>
        <v>0</v>
      </c>
      <c r="X358" s="154">
        <f>LOOKUP(D358,'US Implicit Deflator'!A:A,'US Implicit Deflator'!B:B)/100</f>
        <v>2.4E-2</v>
      </c>
      <c r="Y358" s="154">
        <f t="shared" si="107"/>
        <v>1.9783315388433032E-3</v>
      </c>
      <c r="Z358" s="165">
        <f t="shared" ca="1" si="108"/>
        <v>3.2421476034414201</v>
      </c>
      <c r="AA358" s="152">
        <f t="shared" si="109"/>
        <v>7</v>
      </c>
      <c r="AB358" s="153">
        <f t="shared" si="110"/>
        <v>32203</v>
      </c>
      <c r="AC358" s="155">
        <f t="shared" ca="1" si="111"/>
        <v>2.1062560866326621</v>
      </c>
    </row>
    <row r="359" spans="3:29">
      <c r="C359" s="152" t="str">
        <f>'Monthly Prices'!A347</f>
        <v>1988M04</v>
      </c>
      <c r="D359" s="153">
        <f t="shared" si="100"/>
        <v>32234</v>
      </c>
      <c r="E359" s="152">
        <f t="shared" si="101"/>
        <v>340</v>
      </c>
      <c r="F359" s="152" t="b">
        <f t="shared" si="95"/>
        <v>0</v>
      </c>
      <c r="G359" s="152" t="b">
        <f t="shared" si="96"/>
        <v>1</v>
      </c>
      <c r="H359" s="152" t="b">
        <f t="shared" si="97"/>
        <v>0</v>
      </c>
      <c r="I359" s="153" t="e">
        <f t="shared" si="98"/>
        <v>#N/A</v>
      </c>
      <c r="J359" s="158">
        <f>INDEX('Monthly Prices'!B347:CB347,$G$4)</f>
        <v>89.52</v>
      </c>
      <c r="K359" s="158" t="b">
        <f>IF(H359,INDEX('Monthly Prices'!B347:CB347,$G$4)*U359,FALSE)</f>
        <v>0</v>
      </c>
      <c r="L359" s="152" t="b">
        <f t="shared" si="102"/>
        <v>1</v>
      </c>
      <c r="M359" s="158">
        <f>INDEX('Monthly Prices'!B347:CB347,$G$5)</f>
        <v>67.92</v>
      </c>
      <c r="N359" s="158" t="b">
        <f>IF(H359,INDEX('Monthly Prices'!B347:CB347,$G$5)*U359,FALSE)</f>
        <v>0</v>
      </c>
      <c r="O359" s="152" t="b">
        <f t="shared" si="99"/>
        <v>1</v>
      </c>
      <c r="P359" s="152">
        <f t="shared" si="103"/>
        <v>1988</v>
      </c>
      <c r="Q359" s="159">
        <f>'Monthly Prices'!B347</f>
        <v>16.466666666670001</v>
      </c>
      <c r="R359" s="159">
        <f t="shared" si="104"/>
        <v>14.718055555555003</v>
      </c>
      <c r="S359" s="155">
        <f>_xlfn.XLOOKUP(P359,'Annual Real'!A:A,'Annual Real'!B:B,0,0)</f>
        <v>18.371584512224601</v>
      </c>
      <c r="T359" s="155">
        <f t="shared" ca="1" si="105"/>
        <v>2.1015850463472376</v>
      </c>
      <c r="U359" s="152">
        <f t="shared" ca="1" si="106"/>
        <v>2.1015850463472376</v>
      </c>
      <c r="V359" s="152" t="b">
        <f t="shared" si="112"/>
        <v>0</v>
      </c>
      <c r="W359" s="152" t="b">
        <f t="shared" si="113"/>
        <v>0</v>
      </c>
      <c r="X359" s="154">
        <f>LOOKUP(D359,'US Implicit Deflator'!A:A,'US Implicit Deflator'!B:B)/100</f>
        <v>2.7000000000000003E-2</v>
      </c>
      <c r="Y359" s="154">
        <f t="shared" si="107"/>
        <v>2.2226272943570713E-3</v>
      </c>
      <c r="Z359" s="165">
        <f t="shared" ca="1" si="108"/>
        <v>3.2493536891971635</v>
      </c>
      <c r="AA359" s="152">
        <f t="shared" si="109"/>
        <v>7</v>
      </c>
      <c r="AB359" s="153">
        <f t="shared" si="110"/>
        <v>32234</v>
      </c>
      <c r="AC359" s="155">
        <f t="shared" ca="1" si="111"/>
        <v>2.1015850463472376</v>
      </c>
    </row>
    <row r="360" spans="3:29">
      <c r="C360" s="152" t="str">
        <f>'Monthly Prices'!A348</f>
        <v>1988M05</v>
      </c>
      <c r="D360" s="153">
        <f t="shared" si="100"/>
        <v>32264</v>
      </c>
      <c r="E360" s="152">
        <f t="shared" si="101"/>
        <v>341</v>
      </c>
      <c r="F360" s="152" t="b">
        <f t="shared" si="95"/>
        <v>0</v>
      </c>
      <c r="G360" s="152" t="b">
        <f t="shared" si="96"/>
        <v>1</v>
      </c>
      <c r="H360" s="152" t="b">
        <f t="shared" si="97"/>
        <v>0</v>
      </c>
      <c r="I360" s="153" t="e">
        <f t="shared" si="98"/>
        <v>#N/A</v>
      </c>
      <c r="J360" s="158">
        <f>INDEX('Monthly Prices'!B348:CB348,$G$4)</f>
        <v>89.32</v>
      </c>
      <c r="K360" s="158" t="b">
        <f>IF(H360,INDEX('Monthly Prices'!B348:CB348,$G$4)*U360,FALSE)</f>
        <v>0</v>
      </c>
      <c r="L360" s="152" t="b">
        <f t="shared" si="102"/>
        <v>1</v>
      </c>
      <c r="M360" s="158">
        <f>INDEX('Monthly Prices'!B348:CB348,$G$5)</f>
        <v>65.25</v>
      </c>
      <c r="N360" s="158" t="b">
        <f>IF(H360,INDEX('Monthly Prices'!B348:CB348,$G$5)*U360,FALSE)</f>
        <v>0</v>
      </c>
      <c r="O360" s="152" t="b">
        <f t="shared" si="99"/>
        <v>1</v>
      </c>
      <c r="P360" s="152">
        <f t="shared" si="103"/>
        <v>1988</v>
      </c>
      <c r="Q360" s="159">
        <f>'Monthly Prices'!B348</f>
        <v>16.216666666670001</v>
      </c>
      <c r="R360" s="159">
        <f t="shared" si="104"/>
        <v>14.718055555555003</v>
      </c>
      <c r="S360" s="155">
        <f>_xlfn.XLOOKUP(P360,'Annual Real'!A:A,'Annual Real'!B:B,0,0)</f>
        <v>18.371584512224601</v>
      </c>
      <c r="T360" s="155">
        <f t="shared" ca="1" si="105"/>
        <v>2.0969243650193432</v>
      </c>
      <c r="U360" s="152">
        <f t="shared" ca="1" si="106"/>
        <v>2.0969243650193432</v>
      </c>
      <c r="V360" s="152" t="b">
        <f t="shared" si="112"/>
        <v>0</v>
      </c>
      <c r="W360" s="152" t="b">
        <f t="shared" si="113"/>
        <v>0</v>
      </c>
      <c r="X360" s="154">
        <f>LOOKUP(D360,'US Implicit Deflator'!A:A,'US Implicit Deflator'!B:B)/100</f>
        <v>2.7000000000000003E-2</v>
      </c>
      <c r="Y360" s="154">
        <f t="shared" si="107"/>
        <v>2.2226272943570713E-3</v>
      </c>
      <c r="Z360" s="165">
        <f t="shared" ca="1" si="108"/>
        <v>3.2565757913957931</v>
      </c>
      <c r="AA360" s="152">
        <f t="shared" si="109"/>
        <v>7</v>
      </c>
      <c r="AB360" s="153">
        <f t="shared" si="110"/>
        <v>32264</v>
      </c>
      <c r="AC360" s="155">
        <f t="shared" ca="1" si="111"/>
        <v>2.0969243650193432</v>
      </c>
    </row>
    <row r="361" spans="3:29">
      <c r="C361" s="152" t="str">
        <f>'Monthly Prices'!A349</f>
        <v>1988M06</v>
      </c>
      <c r="D361" s="153">
        <f t="shared" si="100"/>
        <v>32295</v>
      </c>
      <c r="E361" s="152">
        <f t="shared" si="101"/>
        <v>342</v>
      </c>
      <c r="F361" s="152" t="b">
        <f t="shared" si="95"/>
        <v>0</v>
      </c>
      <c r="G361" s="152" t="b">
        <f t="shared" si="96"/>
        <v>1</v>
      </c>
      <c r="H361" s="152" t="b">
        <f t="shared" si="97"/>
        <v>0</v>
      </c>
      <c r="I361" s="153" t="e">
        <f t="shared" si="98"/>
        <v>#N/A</v>
      </c>
      <c r="J361" s="158">
        <f>INDEX('Monthly Prices'!B349:CB349,$G$4)</f>
        <v>120.27</v>
      </c>
      <c r="K361" s="158" t="b">
        <f>IF(H361,INDEX('Monthly Prices'!B349:CB349,$G$4)*U361,FALSE)</f>
        <v>0</v>
      </c>
      <c r="L361" s="152" t="b">
        <f t="shared" si="102"/>
        <v>1</v>
      </c>
      <c r="M361" s="158">
        <f>INDEX('Monthly Prices'!B349:CB349,$G$5)</f>
        <v>79.900000000000006</v>
      </c>
      <c r="N361" s="158" t="b">
        <f>IF(H361,INDEX('Monthly Prices'!B349:CB349,$G$5)*U361,FALSE)</f>
        <v>0</v>
      </c>
      <c r="O361" s="152" t="b">
        <f t="shared" si="99"/>
        <v>1</v>
      </c>
      <c r="P361" s="152">
        <f t="shared" si="103"/>
        <v>1988</v>
      </c>
      <c r="Q361" s="159">
        <f>'Monthly Prices'!B349</f>
        <v>15.33333333333</v>
      </c>
      <c r="R361" s="159">
        <f t="shared" si="104"/>
        <v>14.718055555555003</v>
      </c>
      <c r="S361" s="155">
        <f>_xlfn.XLOOKUP(P361,'Annual Real'!A:A,'Annual Real'!B:B,0,0)</f>
        <v>18.371584512224601</v>
      </c>
      <c r="T361" s="155">
        <f t="shared" ca="1" si="105"/>
        <v>2.0922740196759375</v>
      </c>
      <c r="U361" s="152">
        <f t="shared" ca="1" si="106"/>
        <v>2.0922740196759375</v>
      </c>
      <c r="V361" s="152" t="b">
        <f t="shared" si="112"/>
        <v>0</v>
      </c>
      <c r="W361" s="152" t="b">
        <f t="shared" si="113"/>
        <v>0</v>
      </c>
      <c r="X361" s="154">
        <f>LOOKUP(D361,'US Implicit Deflator'!A:A,'US Implicit Deflator'!B:B)/100</f>
        <v>2.7000000000000003E-2</v>
      </c>
      <c r="Y361" s="154">
        <f t="shared" si="107"/>
        <v>2.2226272943570713E-3</v>
      </c>
      <c r="Z361" s="165">
        <f t="shared" ca="1" si="108"/>
        <v>3.2638139456358917</v>
      </c>
      <c r="AA361" s="152">
        <f t="shared" si="109"/>
        <v>7</v>
      </c>
      <c r="AB361" s="153">
        <f t="shared" si="110"/>
        <v>32295</v>
      </c>
      <c r="AC361" s="155">
        <f t="shared" ca="1" si="111"/>
        <v>2.0922740196759375</v>
      </c>
    </row>
    <row r="362" spans="3:29">
      <c r="C362" s="152" t="str">
        <f>'Monthly Prices'!A350</f>
        <v>1988M07</v>
      </c>
      <c r="D362" s="153">
        <f t="shared" si="100"/>
        <v>32325</v>
      </c>
      <c r="E362" s="152">
        <f t="shared" si="101"/>
        <v>343</v>
      </c>
      <c r="F362" s="152" t="b">
        <f t="shared" si="95"/>
        <v>0</v>
      </c>
      <c r="G362" s="152" t="b">
        <f t="shared" si="96"/>
        <v>1</v>
      </c>
      <c r="H362" s="152" t="b">
        <f t="shared" si="97"/>
        <v>0</v>
      </c>
      <c r="I362" s="153" t="e">
        <f t="shared" si="98"/>
        <v>#N/A</v>
      </c>
      <c r="J362" s="158">
        <f>INDEX('Monthly Prices'!B350:CB350,$G$4)</f>
        <v>125.49</v>
      </c>
      <c r="K362" s="158" t="b">
        <f>IF(H362,INDEX('Monthly Prices'!B350:CB350,$G$4)*U362,FALSE)</f>
        <v>0</v>
      </c>
      <c r="L362" s="152" t="b">
        <f t="shared" si="102"/>
        <v>1</v>
      </c>
      <c r="M362" s="158">
        <f>INDEX('Monthly Prices'!B350:CB350,$G$5)</f>
        <v>78.239999999999995</v>
      </c>
      <c r="N362" s="158" t="b">
        <f>IF(H362,INDEX('Monthly Prices'!B350:CB350,$G$5)*U362,FALSE)</f>
        <v>0</v>
      </c>
      <c r="O362" s="152" t="b">
        <f t="shared" si="99"/>
        <v>1</v>
      </c>
      <c r="P362" s="152">
        <f t="shared" si="103"/>
        <v>1988</v>
      </c>
      <c r="Q362" s="159">
        <f>'Monthly Prices'!B350</f>
        <v>14.48333333333</v>
      </c>
      <c r="R362" s="159">
        <f t="shared" si="104"/>
        <v>14.718055555555003</v>
      </c>
      <c r="S362" s="155">
        <f>_xlfn.XLOOKUP(P362,'Annual Real'!A:A,'Annual Real'!B:B,0,0)</f>
        <v>18.371584512224601</v>
      </c>
      <c r="T362" s="155">
        <f t="shared" ca="1" si="105"/>
        <v>2.0869578297924805</v>
      </c>
      <c r="U362" s="152">
        <f t="shared" ca="1" si="106"/>
        <v>2.0869578297924805</v>
      </c>
      <c r="V362" s="152" t="b">
        <f t="shared" si="112"/>
        <v>0</v>
      </c>
      <c r="W362" s="152" t="b">
        <f t="shared" si="113"/>
        <v>0</v>
      </c>
      <c r="X362" s="154">
        <f>LOOKUP(D362,'US Implicit Deflator'!A:A,'US Implicit Deflator'!B:B)/100</f>
        <v>3.1E-2</v>
      </c>
      <c r="Y362" s="154">
        <f t="shared" si="107"/>
        <v>2.5473393892132545E-3</v>
      </c>
      <c r="Z362" s="165">
        <f t="shared" ca="1" si="108"/>
        <v>3.2721279874586733</v>
      </c>
      <c r="AA362" s="152">
        <f t="shared" si="109"/>
        <v>7</v>
      </c>
      <c r="AB362" s="153">
        <f t="shared" si="110"/>
        <v>32325</v>
      </c>
      <c r="AC362" s="155">
        <f t="shared" ca="1" si="111"/>
        <v>2.0869578297924805</v>
      </c>
    </row>
    <row r="363" spans="3:29">
      <c r="C363" s="152" t="str">
        <f>'Monthly Prices'!A351</f>
        <v>1988M08</v>
      </c>
      <c r="D363" s="153">
        <f t="shared" si="100"/>
        <v>32356</v>
      </c>
      <c r="E363" s="152">
        <f t="shared" si="101"/>
        <v>344</v>
      </c>
      <c r="F363" s="152" t="b">
        <f t="shared" si="95"/>
        <v>0</v>
      </c>
      <c r="G363" s="152" t="b">
        <f t="shared" si="96"/>
        <v>1</v>
      </c>
      <c r="H363" s="152" t="b">
        <f t="shared" si="97"/>
        <v>0</v>
      </c>
      <c r="I363" s="153" t="e">
        <f t="shared" si="98"/>
        <v>#N/A</v>
      </c>
      <c r="J363" s="158">
        <f>INDEX('Monthly Prices'!B351:CB351,$G$4)</f>
        <v>119.92</v>
      </c>
      <c r="K363" s="158" t="b">
        <f>IF(H363,INDEX('Monthly Prices'!B351:CB351,$G$4)*U363,FALSE)</f>
        <v>0</v>
      </c>
      <c r="L363" s="152" t="b">
        <f t="shared" si="102"/>
        <v>1</v>
      </c>
      <c r="M363" s="158">
        <f>INDEX('Monthly Prices'!B351:CB351,$G$5)</f>
        <v>66.58</v>
      </c>
      <c r="N363" s="158" t="b">
        <f>IF(H363,INDEX('Monthly Prices'!B351:CB351,$G$5)*U363,FALSE)</f>
        <v>0</v>
      </c>
      <c r="O363" s="152" t="b">
        <f t="shared" si="99"/>
        <v>1</v>
      </c>
      <c r="P363" s="152">
        <f t="shared" si="103"/>
        <v>1988</v>
      </c>
      <c r="Q363" s="159">
        <f>'Monthly Prices'!B351</f>
        <v>14.55</v>
      </c>
      <c r="R363" s="159">
        <f t="shared" si="104"/>
        <v>14.718055555555003</v>
      </c>
      <c r="S363" s="155">
        <f>_xlfn.XLOOKUP(P363,'Annual Real'!A:A,'Annual Real'!B:B,0,0)</f>
        <v>18.371584512224601</v>
      </c>
      <c r="T363" s="155">
        <f t="shared" ca="1" si="105"/>
        <v>2.0816551476401379</v>
      </c>
      <c r="U363" s="152">
        <f t="shared" ca="1" si="106"/>
        <v>2.0816551476401379</v>
      </c>
      <c r="V363" s="152" t="b">
        <f t="shared" si="112"/>
        <v>0</v>
      </c>
      <c r="W363" s="152" t="b">
        <f t="shared" si="113"/>
        <v>0</v>
      </c>
      <c r="X363" s="154">
        <f>LOOKUP(D363,'US Implicit Deflator'!A:A,'US Implicit Deflator'!B:B)/100</f>
        <v>3.1E-2</v>
      </c>
      <c r="Y363" s="154">
        <f t="shared" si="107"/>
        <v>2.5473393892132545E-3</v>
      </c>
      <c r="Z363" s="165">
        <f t="shared" ca="1" si="108"/>
        <v>3.2804632079676739</v>
      </c>
      <c r="AA363" s="152">
        <f t="shared" si="109"/>
        <v>7</v>
      </c>
      <c r="AB363" s="153">
        <f t="shared" si="110"/>
        <v>32356</v>
      </c>
      <c r="AC363" s="155">
        <f t="shared" ca="1" si="111"/>
        <v>2.0816551476401379</v>
      </c>
    </row>
    <row r="364" spans="3:29">
      <c r="C364" s="152" t="str">
        <f>'Monthly Prices'!A352</f>
        <v>1988M09</v>
      </c>
      <c r="D364" s="153">
        <f t="shared" si="100"/>
        <v>32387</v>
      </c>
      <c r="E364" s="152">
        <f t="shared" si="101"/>
        <v>345</v>
      </c>
      <c r="F364" s="152" t="b">
        <f t="shared" si="95"/>
        <v>0</v>
      </c>
      <c r="G364" s="152" t="b">
        <f t="shared" si="96"/>
        <v>1</v>
      </c>
      <c r="H364" s="152" t="b">
        <f t="shared" si="97"/>
        <v>0</v>
      </c>
      <c r="I364" s="153" t="e">
        <f t="shared" si="98"/>
        <v>#N/A</v>
      </c>
      <c r="J364" s="158">
        <f>INDEX('Monthly Prices'!B352:CB352,$G$4)</f>
        <v>121.37</v>
      </c>
      <c r="K364" s="158" t="b">
        <f>IF(H364,INDEX('Monthly Prices'!B352:CB352,$G$4)*U364,FALSE)</f>
        <v>0</v>
      </c>
      <c r="L364" s="152" t="b">
        <f t="shared" si="102"/>
        <v>1</v>
      </c>
      <c r="M364" s="158">
        <f>INDEX('Monthly Prices'!B352:CB352,$G$5)</f>
        <v>88.38</v>
      </c>
      <c r="N364" s="158" t="b">
        <f>IF(H364,INDEX('Monthly Prices'!B352:CB352,$G$5)*U364,FALSE)</f>
        <v>0</v>
      </c>
      <c r="O364" s="152" t="b">
        <f t="shared" si="99"/>
        <v>1</v>
      </c>
      <c r="P364" s="152">
        <f t="shared" si="103"/>
        <v>1988</v>
      </c>
      <c r="Q364" s="159">
        <f>'Monthly Prices'!B352</f>
        <v>13.1</v>
      </c>
      <c r="R364" s="159">
        <f t="shared" si="104"/>
        <v>14.718055555555003</v>
      </c>
      <c r="S364" s="155">
        <f>_xlfn.XLOOKUP(P364,'Annual Real'!A:A,'Annual Real'!B:B,0,0)</f>
        <v>18.371584512224601</v>
      </c>
      <c r="T364" s="155">
        <f t="shared" ca="1" si="105"/>
        <v>2.0763659388975633</v>
      </c>
      <c r="U364" s="152">
        <f t="shared" ca="1" si="106"/>
        <v>2.0763659388975633</v>
      </c>
      <c r="V364" s="152" t="b">
        <f t="shared" si="112"/>
        <v>0</v>
      </c>
      <c r="W364" s="152" t="b">
        <f t="shared" si="113"/>
        <v>0</v>
      </c>
      <c r="X364" s="154">
        <f>LOOKUP(D364,'US Implicit Deflator'!A:A,'US Implicit Deflator'!B:B)/100</f>
        <v>3.1E-2</v>
      </c>
      <c r="Y364" s="154">
        <f t="shared" si="107"/>
        <v>2.5473393892132545E-3</v>
      </c>
      <c r="Z364" s="165">
        <f t="shared" ca="1" si="108"/>
        <v>3.2888196611121949</v>
      </c>
      <c r="AA364" s="152">
        <f t="shared" si="109"/>
        <v>7</v>
      </c>
      <c r="AB364" s="153">
        <f t="shared" si="110"/>
        <v>32387</v>
      </c>
      <c r="AC364" s="155">
        <f t="shared" ca="1" si="111"/>
        <v>2.0763659388975633</v>
      </c>
    </row>
    <row r="365" spans="3:29">
      <c r="C365" s="152" t="str">
        <f>'Monthly Prices'!A353</f>
        <v>1988M10</v>
      </c>
      <c r="D365" s="153">
        <f t="shared" si="100"/>
        <v>32417</v>
      </c>
      <c r="E365" s="152">
        <f t="shared" si="101"/>
        <v>346</v>
      </c>
      <c r="F365" s="152" t="b">
        <f t="shared" si="95"/>
        <v>0</v>
      </c>
      <c r="G365" s="152" t="b">
        <f t="shared" si="96"/>
        <v>1</v>
      </c>
      <c r="H365" s="152" t="b">
        <f t="shared" si="97"/>
        <v>0</v>
      </c>
      <c r="I365" s="153" t="e">
        <f t="shared" si="98"/>
        <v>#N/A</v>
      </c>
      <c r="J365" s="158">
        <f>INDEX('Monthly Prices'!B353:CB353,$G$4)</f>
        <v>121.35</v>
      </c>
      <c r="K365" s="158" t="b">
        <f>IF(H365,INDEX('Monthly Prices'!B353:CB353,$G$4)*U365,FALSE)</f>
        <v>0</v>
      </c>
      <c r="L365" s="152" t="b">
        <f t="shared" si="102"/>
        <v>1</v>
      </c>
      <c r="M365" s="158">
        <f>INDEX('Monthly Prices'!B353:CB353,$G$5)</f>
        <v>76.59</v>
      </c>
      <c r="N365" s="158" t="b">
        <f>IF(H365,INDEX('Monthly Prices'!B353:CB353,$G$5)*U365,FALSE)</f>
        <v>0</v>
      </c>
      <c r="O365" s="152" t="b">
        <f t="shared" si="99"/>
        <v>1</v>
      </c>
      <c r="P365" s="152">
        <f t="shared" si="103"/>
        <v>1988</v>
      </c>
      <c r="Q365" s="159">
        <f>'Monthly Prices'!B353</f>
        <v>12.183333333329999</v>
      </c>
      <c r="R365" s="159">
        <f t="shared" si="104"/>
        <v>14.718055555555003</v>
      </c>
      <c r="S365" s="155">
        <f>_xlfn.XLOOKUP(P365,'Annual Real'!A:A,'Annual Real'!B:B,0,0)</f>
        <v>18.371584512224601</v>
      </c>
      <c r="T365" s="155">
        <f t="shared" ca="1" si="105"/>
        <v>2.0695906376940778</v>
      </c>
      <c r="U365" s="152">
        <f t="shared" ca="1" si="106"/>
        <v>2.0695906376940778</v>
      </c>
      <c r="V365" s="152" t="b">
        <f t="shared" si="112"/>
        <v>0</v>
      </c>
      <c r="W365" s="152" t="b">
        <f t="shared" si="113"/>
        <v>0</v>
      </c>
      <c r="X365" s="154">
        <f>LOOKUP(D365,'US Implicit Deflator'!A:A,'US Implicit Deflator'!B:B)/100</f>
        <v>0.04</v>
      </c>
      <c r="Y365" s="154">
        <f t="shared" si="107"/>
        <v>3.2737397821989145E-3</v>
      </c>
      <c r="Z365" s="165">
        <f t="shared" ca="1" si="108"/>
        <v>3.2995864008732561</v>
      </c>
      <c r="AA365" s="152">
        <f t="shared" si="109"/>
        <v>7</v>
      </c>
      <c r="AB365" s="153">
        <f t="shared" si="110"/>
        <v>32417</v>
      </c>
      <c r="AC365" s="155">
        <f t="shared" ca="1" si="111"/>
        <v>2.0695906376940778</v>
      </c>
    </row>
    <row r="366" spans="3:29">
      <c r="C366" s="152" t="str">
        <f>'Monthly Prices'!A354</f>
        <v>1988M11</v>
      </c>
      <c r="D366" s="153">
        <f t="shared" si="100"/>
        <v>32448</v>
      </c>
      <c r="E366" s="152">
        <f t="shared" si="101"/>
        <v>347</v>
      </c>
      <c r="F366" s="152" t="b">
        <f t="shared" si="95"/>
        <v>0</v>
      </c>
      <c r="G366" s="152" t="b">
        <f t="shared" si="96"/>
        <v>1</v>
      </c>
      <c r="H366" s="152" t="b">
        <f t="shared" si="97"/>
        <v>0</v>
      </c>
      <c r="I366" s="153" t="e">
        <f t="shared" si="98"/>
        <v>#N/A</v>
      </c>
      <c r="J366" s="158">
        <f>INDEX('Monthly Prices'!B354:CB354,$G$4)</f>
        <v>114.43</v>
      </c>
      <c r="K366" s="158" t="b">
        <f>IF(H366,INDEX('Monthly Prices'!B354:CB354,$G$4)*U366,FALSE)</f>
        <v>0</v>
      </c>
      <c r="L366" s="152" t="b">
        <f t="shared" si="102"/>
        <v>1</v>
      </c>
      <c r="M366" s="158">
        <f>INDEX('Monthly Prices'!B354:CB354,$G$5)</f>
        <v>74.87</v>
      </c>
      <c r="N366" s="158" t="b">
        <f>IF(H366,INDEX('Monthly Prices'!B354:CB354,$G$5)*U366,FALSE)</f>
        <v>0</v>
      </c>
      <c r="O366" s="152" t="b">
        <f t="shared" si="99"/>
        <v>1</v>
      </c>
      <c r="P366" s="152">
        <f t="shared" si="103"/>
        <v>1988</v>
      </c>
      <c r="Q366" s="159">
        <f>'Monthly Prices'!B354</f>
        <v>12.533333333330001</v>
      </c>
      <c r="R366" s="159">
        <f t="shared" si="104"/>
        <v>14.718055555555003</v>
      </c>
      <c r="S366" s="155">
        <f>_xlfn.XLOOKUP(P366,'Annual Real'!A:A,'Annual Real'!B:B,0,0)</f>
        <v>18.371584512224601</v>
      </c>
      <c r="T366" s="155">
        <f t="shared" ca="1" si="105"/>
        <v>2.062837444687196</v>
      </c>
      <c r="U366" s="152">
        <f t="shared" ca="1" si="106"/>
        <v>2.062837444687196</v>
      </c>
      <c r="V366" s="152" t="b">
        <f t="shared" si="112"/>
        <v>0</v>
      </c>
      <c r="W366" s="152" t="b">
        <f t="shared" si="113"/>
        <v>0</v>
      </c>
      <c r="X366" s="154">
        <f>LOOKUP(D366,'US Implicit Deflator'!A:A,'US Implicit Deflator'!B:B)/100</f>
        <v>0.04</v>
      </c>
      <c r="Y366" s="154">
        <f t="shared" si="107"/>
        <v>3.2737397821989145E-3</v>
      </c>
      <c r="Z366" s="165">
        <f t="shared" ca="1" si="108"/>
        <v>3.3103883881385974</v>
      </c>
      <c r="AA366" s="152">
        <f t="shared" si="109"/>
        <v>7</v>
      </c>
      <c r="AB366" s="153">
        <f t="shared" si="110"/>
        <v>32448</v>
      </c>
      <c r="AC366" s="155">
        <f t="shared" ca="1" si="111"/>
        <v>2.062837444687196</v>
      </c>
    </row>
    <row r="367" spans="3:29">
      <c r="C367" s="152" t="str">
        <f>'Monthly Prices'!A355</f>
        <v>1988M12</v>
      </c>
      <c r="D367" s="153">
        <f t="shared" si="100"/>
        <v>32478</v>
      </c>
      <c r="E367" s="152">
        <f t="shared" si="101"/>
        <v>348</v>
      </c>
      <c r="F367" s="152" t="b">
        <f t="shared" si="95"/>
        <v>0</v>
      </c>
      <c r="G367" s="152" t="b">
        <f t="shared" si="96"/>
        <v>1</v>
      </c>
      <c r="H367" s="152" t="b">
        <f t="shared" si="97"/>
        <v>0</v>
      </c>
      <c r="I367" s="153" t="e">
        <f t="shared" si="98"/>
        <v>#N/A</v>
      </c>
      <c r="J367" s="158">
        <f>INDEX('Monthly Prices'!B355:CB355,$G$4)</f>
        <v>116.88</v>
      </c>
      <c r="K367" s="158" t="b">
        <f>IF(H367,INDEX('Monthly Prices'!B355:CB355,$G$4)*U367,FALSE)</f>
        <v>0</v>
      </c>
      <c r="L367" s="152" t="b">
        <f t="shared" si="102"/>
        <v>1</v>
      </c>
      <c r="M367" s="158">
        <f>INDEX('Monthly Prices'!B355:CB355,$G$5)</f>
        <v>70.22</v>
      </c>
      <c r="N367" s="158" t="b">
        <f>IF(H367,INDEX('Monthly Prices'!B355:CB355,$G$5)*U367,FALSE)</f>
        <v>0</v>
      </c>
      <c r="O367" s="152" t="b">
        <f t="shared" si="99"/>
        <v>1</v>
      </c>
      <c r="P367" s="152">
        <f t="shared" si="103"/>
        <v>1988</v>
      </c>
      <c r="Q367" s="159">
        <f>'Monthly Prices'!B355</f>
        <v>14.65</v>
      </c>
      <c r="R367" s="159">
        <f t="shared" si="104"/>
        <v>14.718055555555003</v>
      </c>
      <c r="S367" s="155">
        <f>_xlfn.XLOOKUP(P367,'Annual Real'!A:A,'Annual Real'!B:B,0,0)</f>
        <v>18.371584512224601</v>
      </c>
      <c r="T367" s="155">
        <f t="shared" ca="1" si="105"/>
        <v>2.0561062877366032</v>
      </c>
      <c r="U367" s="152">
        <f t="shared" ca="1" si="106"/>
        <v>2.0561062877366032</v>
      </c>
      <c r="V367" s="152" t="b">
        <f t="shared" si="112"/>
        <v>0</v>
      </c>
      <c r="W367" s="152" t="b">
        <f t="shared" si="113"/>
        <v>0</v>
      </c>
      <c r="X367" s="154">
        <f>LOOKUP(D367,'US Implicit Deflator'!A:A,'US Implicit Deflator'!B:B)/100</f>
        <v>0.04</v>
      </c>
      <c r="Y367" s="154">
        <f t="shared" si="107"/>
        <v>3.2737397821989145E-3</v>
      </c>
      <c r="Z367" s="165">
        <f t="shared" ca="1" si="108"/>
        <v>3.321225738299376</v>
      </c>
      <c r="AA367" s="152">
        <f t="shared" si="109"/>
        <v>7</v>
      </c>
      <c r="AB367" s="153">
        <f t="shared" si="110"/>
        <v>32478</v>
      </c>
      <c r="AC367" s="155">
        <f t="shared" ca="1" si="111"/>
        <v>2.0561062877366032</v>
      </c>
    </row>
    <row r="368" spans="3:29">
      <c r="C368" s="152" t="str">
        <f>'Monthly Prices'!A356</f>
        <v>1989M01</v>
      </c>
      <c r="D368" s="153">
        <f t="shared" si="100"/>
        <v>32509</v>
      </c>
      <c r="E368" s="152">
        <f t="shared" si="101"/>
        <v>349</v>
      </c>
      <c r="F368" s="152" t="b">
        <f t="shared" si="95"/>
        <v>0</v>
      </c>
      <c r="G368" s="152" t="b">
        <f t="shared" si="96"/>
        <v>1</v>
      </c>
      <c r="H368" s="152" t="b">
        <f t="shared" si="97"/>
        <v>0</v>
      </c>
      <c r="I368" s="153" t="e">
        <f t="shared" si="98"/>
        <v>#N/A</v>
      </c>
      <c r="J368" s="158">
        <f>INDEX('Monthly Prices'!B356:CB356,$G$4)</f>
        <v>118.2</v>
      </c>
      <c r="K368" s="158" t="b">
        <f>IF(H368,INDEX('Monthly Prices'!B356:CB356,$G$4)*U368,FALSE)</f>
        <v>0</v>
      </c>
      <c r="L368" s="152" t="b">
        <f t="shared" si="102"/>
        <v>1</v>
      </c>
      <c r="M368" s="158">
        <f>INDEX('Monthly Prices'!B356:CB356,$G$5)</f>
        <v>73.209999999999994</v>
      </c>
      <c r="N368" s="158" t="b">
        <f>IF(H368,INDEX('Monthly Prices'!B356:CB356,$G$5)*U368,FALSE)</f>
        <v>0</v>
      </c>
      <c r="O368" s="152" t="b">
        <f t="shared" si="99"/>
        <v>1</v>
      </c>
      <c r="P368" s="152">
        <f t="shared" si="103"/>
        <v>1989</v>
      </c>
      <c r="Q368" s="159">
        <f>'Monthly Prices'!B356</f>
        <v>16.483333333329998</v>
      </c>
      <c r="R368" s="159">
        <f t="shared" si="104"/>
        <v>17.838888888889169</v>
      </c>
      <c r="S368" s="155">
        <f>_xlfn.XLOOKUP(P368,'Annual Real'!A:A,'Annual Real'!B:B,0,0)</f>
        <v>22.401339204335201</v>
      </c>
      <c r="T368" s="155">
        <f t="shared" ca="1" si="105"/>
        <v>2.0497258665301334</v>
      </c>
      <c r="U368" s="152">
        <f t="shared" ca="1" si="106"/>
        <v>2.0497258665301334</v>
      </c>
      <c r="V368" s="152" t="b">
        <f t="shared" si="112"/>
        <v>0</v>
      </c>
      <c r="W368" s="152" t="b">
        <f t="shared" si="113"/>
        <v>0</v>
      </c>
      <c r="X368" s="154">
        <f>LOOKUP(D368,'US Implicit Deflator'!A:A,'US Implicit Deflator'!B:B)/100</f>
        <v>3.7999999999999999E-2</v>
      </c>
      <c r="Y368" s="154">
        <f t="shared" si="107"/>
        <v>3.1128168457330574E-3</v>
      </c>
      <c r="Z368" s="165">
        <f t="shared" ca="1" si="108"/>
        <v>3.3315641057260366</v>
      </c>
      <c r="AA368" s="152">
        <f t="shared" si="109"/>
        <v>7</v>
      </c>
      <c r="AB368" s="153">
        <f t="shared" si="110"/>
        <v>32509</v>
      </c>
      <c r="AC368" s="155">
        <f t="shared" ca="1" si="111"/>
        <v>2.0497258665301334</v>
      </c>
    </row>
    <row r="369" spans="3:29">
      <c r="C369" s="152" t="str">
        <f>'Monthly Prices'!A357</f>
        <v>1989M02</v>
      </c>
      <c r="D369" s="153">
        <f t="shared" si="100"/>
        <v>32540</v>
      </c>
      <c r="E369" s="152">
        <f t="shared" si="101"/>
        <v>350</v>
      </c>
      <c r="F369" s="152" t="b">
        <f t="shared" si="95"/>
        <v>0</v>
      </c>
      <c r="G369" s="152" t="b">
        <f t="shared" si="96"/>
        <v>1</v>
      </c>
      <c r="H369" s="152" t="b">
        <f t="shared" si="97"/>
        <v>0</v>
      </c>
      <c r="I369" s="153" t="e">
        <f t="shared" si="98"/>
        <v>#N/A</v>
      </c>
      <c r="J369" s="158">
        <f>INDEX('Monthly Prices'!B357:CB357,$G$4)</f>
        <v>117.42</v>
      </c>
      <c r="K369" s="158" t="b">
        <f>IF(H369,INDEX('Monthly Prices'!B357:CB357,$G$4)*U369,FALSE)</f>
        <v>0</v>
      </c>
      <c r="L369" s="152" t="b">
        <f t="shared" si="102"/>
        <v>1</v>
      </c>
      <c r="M369" s="158">
        <f>INDEX('Monthly Prices'!B357:CB357,$G$5)</f>
        <v>75.569999999999993</v>
      </c>
      <c r="N369" s="158" t="b">
        <f>IF(H369,INDEX('Monthly Prices'!B357:CB357,$G$5)*U369,FALSE)</f>
        <v>0</v>
      </c>
      <c r="O369" s="152" t="b">
        <f t="shared" si="99"/>
        <v>1</v>
      </c>
      <c r="P369" s="152">
        <f t="shared" si="103"/>
        <v>1989</v>
      </c>
      <c r="Q369" s="159">
        <f>'Monthly Prices'!B357</f>
        <v>16.350000000000001</v>
      </c>
      <c r="R369" s="159">
        <f t="shared" si="104"/>
        <v>17.838888888889169</v>
      </c>
      <c r="S369" s="155">
        <f>_xlfn.XLOOKUP(P369,'Annual Real'!A:A,'Annual Real'!B:B,0,0)</f>
        <v>22.401339204335201</v>
      </c>
      <c r="T369" s="155">
        <f t="shared" ca="1" si="105"/>
        <v>2.0433652447742148</v>
      </c>
      <c r="U369" s="152">
        <f t="shared" ca="1" si="106"/>
        <v>2.0433652447742148</v>
      </c>
      <c r="V369" s="152" t="b">
        <f t="shared" si="112"/>
        <v>0</v>
      </c>
      <c r="W369" s="152" t="b">
        <f t="shared" si="113"/>
        <v>0</v>
      </c>
      <c r="X369" s="154">
        <f>LOOKUP(D369,'US Implicit Deflator'!A:A,'US Implicit Deflator'!B:B)/100</f>
        <v>3.7999999999999999E-2</v>
      </c>
      <c r="Y369" s="154">
        <f t="shared" si="107"/>
        <v>3.1128168457330574E-3</v>
      </c>
      <c r="Z369" s="165">
        <f t="shared" ca="1" si="108"/>
        <v>3.3419346545969804</v>
      </c>
      <c r="AA369" s="152">
        <f t="shared" si="109"/>
        <v>7</v>
      </c>
      <c r="AB369" s="153">
        <f t="shared" si="110"/>
        <v>32540</v>
      </c>
      <c r="AC369" s="155">
        <f t="shared" ca="1" si="111"/>
        <v>2.0433652447742148</v>
      </c>
    </row>
    <row r="370" spans="3:29">
      <c r="C370" s="152" t="str">
        <f>'Monthly Prices'!A358</f>
        <v>1989M03</v>
      </c>
      <c r="D370" s="153">
        <f t="shared" si="100"/>
        <v>32568</v>
      </c>
      <c r="E370" s="152">
        <f t="shared" si="101"/>
        <v>351</v>
      </c>
      <c r="F370" s="152" t="b">
        <f t="shared" si="95"/>
        <v>0</v>
      </c>
      <c r="G370" s="152" t="b">
        <f t="shared" si="96"/>
        <v>1</v>
      </c>
      <c r="H370" s="152" t="b">
        <f t="shared" si="97"/>
        <v>0</v>
      </c>
      <c r="I370" s="153" t="e">
        <f t="shared" si="98"/>
        <v>#N/A</v>
      </c>
      <c r="J370" s="158">
        <f>INDEX('Monthly Prices'!B358:CB358,$G$4)</f>
        <v>118.38</v>
      </c>
      <c r="K370" s="158" t="b">
        <f>IF(H370,INDEX('Monthly Prices'!B358:CB358,$G$4)*U370,FALSE)</f>
        <v>0</v>
      </c>
      <c r="L370" s="152" t="b">
        <f t="shared" si="102"/>
        <v>1</v>
      </c>
      <c r="M370" s="158">
        <f>INDEX('Monthly Prices'!B358:CB358,$G$5)</f>
        <v>82.9</v>
      </c>
      <c r="N370" s="158" t="b">
        <f>IF(H370,INDEX('Monthly Prices'!B358:CB358,$G$5)*U370,FALSE)</f>
        <v>0</v>
      </c>
      <c r="O370" s="152" t="b">
        <f t="shared" si="99"/>
        <v>1</v>
      </c>
      <c r="P370" s="152">
        <f t="shared" si="103"/>
        <v>1989</v>
      </c>
      <c r="Q370" s="159">
        <f>'Monthly Prices'!B358</f>
        <v>18.033333333329999</v>
      </c>
      <c r="R370" s="159">
        <f t="shared" si="104"/>
        <v>17.838888888889169</v>
      </c>
      <c r="S370" s="155">
        <f>_xlfn.XLOOKUP(P370,'Annual Real'!A:A,'Annual Real'!B:B,0,0)</f>
        <v>22.401339204335201</v>
      </c>
      <c r="T370" s="155">
        <f t="shared" ca="1" si="105"/>
        <v>2.0370243610280379</v>
      </c>
      <c r="U370" s="152">
        <f t="shared" ca="1" si="106"/>
        <v>2.0370243610280379</v>
      </c>
      <c r="V370" s="152" t="b">
        <f t="shared" si="112"/>
        <v>0</v>
      </c>
      <c r="W370" s="152" t="b">
        <f t="shared" si="113"/>
        <v>0</v>
      </c>
      <c r="X370" s="154">
        <f>LOOKUP(D370,'US Implicit Deflator'!A:A,'US Implicit Deflator'!B:B)/100</f>
        <v>3.7999999999999999E-2</v>
      </c>
      <c r="Y370" s="154">
        <f t="shared" si="107"/>
        <v>3.1128168457330574E-3</v>
      </c>
      <c r="Z370" s="165">
        <f t="shared" ca="1" si="108"/>
        <v>3.352337485087149</v>
      </c>
      <c r="AA370" s="152">
        <f t="shared" si="109"/>
        <v>7</v>
      </c>
      <c r="AB370" s="153">
        <f t="shared" si="110"/>
        <v>32568</v>
      </c>
      <c r="AC370" s="155">
        <f t="shared" ca="1" si="111"/>
        <v>2.0370243610280379</v>
      </c>
    </row>
    <row r="371" spans="3:29">
      <c r="C371" s="152" t="str">
        <f>'Monthly Prices'!A359</f>
        <v>1989M04</v>
      </c>
      <c r="D371" s="153">
        <f t="shared" si="100"/>
        <v>32599</v>
      </c>
      <c r="E371" s="152">
        <f t="shared" si="101"/>
        <v>352</v>
      </c>
      <c r="F371" s="152" t="b">
        <f t="shared" si="95"/>
        <v>0</v>
      </c>
      <c r="G371" s="152" t="b">
        <f t="shared" si="96"/>
        <v>1</v>
      </c>
      <c r="H371" s="152" t="b">
        <f t="shared" si="97"/>
        <v>0</v>
      </c>
      <c r="I371" s="153" t="e">
        <f t="shared" si="98"/>
        <v>#N/A</v>
      </c>
      <c r="J371" s="158">
        <f>INDEX('Monthly Prices'!B359:CB359,$G$4)</f>
        <v>115.74</v>
      </c>
      <c r="K371" s="158" t="b">
        <f>IF(H371,INDEX('Monthly Prices'!B359:CB359,$G$4)*U371,FALSE)</f>
        <v>0</v>
      </c>
      <c r="L371" s="152" t="b">
        <f t="shared" si="102"/>
        <v>1</v>
      </c>
      <c r="M371" s="158">
        <f>INDEX('Monthly Prices'!B359:CB359,$G$5)</f>
        <v>84.23</v>
      </c>
      <c r="N371" s="158" t="b">
        <f>IF(H371,INDEX('Monthly Prices'!B359:CB359,$G$5)*U371,FALSE)</f>
        <v>0</v>
      </c>
      <c r="O371" s="152" t="b">
        <f t="shared" si="99"/>
        <v>1</v>
      </c>
      <c r="P371" s="152">
        <f t="shared" si="103"/>
        <v>1989</v>
      </c>
      <c r="Q371" s="159">
        <f>'Monthly Prices'!B359</f>
        <v>19.2</v>
      </c>
      <c r="R371" s="159">
        <f t="shared" si="104"/>
        <v>17.838888888889169</v>
      </c>
      <c r="S371" s="155">
        <f>_xlfn.XLOOKUP(P371,'Annual Real'!A:A,'Annual Real'!B:B,0,0)</f>
        <v>22.401339204335201</v>
      </c>
      <c r="T371" s="155">
        <f t="shared" ca="1" si="105"/>
        <v>2.0302148278292225</v>
      </c>
      <c r="U371" s="152">
        <f t="shared" ca="1" si="106"/>
        <v>2.0302148278292225</v>
      </c>
      <c r="V371" s="152" t="b">
        <f t="shared" si="112"/>
        <v>0</v>
      </c>
      <c r="W371" s="152" t="b">
        <f t="shared" si="113"/>
        <v>0</v>
      </c>
      <c r="X371" s="154">
        <f>LOOKUP(D371,'US Implicit Deflator'!A:A,'US Implicit Deflator'!B:B)/100</f>
        <v>4.0999999999999995E-2</v>
      </c>
      <c r="Y371" s="154">
        <f t="shared" si="107"/>
        <v>3.3540948994528197E-3</v>
      </c>
      <c r="Z371" s="165">
        <f t="shared" ca="1" si="108"/>
        <v>3.3635815431471241</v>
      </c>
      <c r="AA371" s="152">
        <f t="shared" si="109"/>
        <v>7</v>
      </c>
      <c r="AB371" s="153">
        <f t="shared" si="110"/>
        <v>32599</v>
      </c>
      <c r="AC371" s="155">
        <f t="shared" ca="1" si="111"/>
        <v>2.0302148278292225</v>
      </c>
    </row>
    <row r="372" spans="3:29">
      <c r="C372" s="152" t="str">
        <f>'Monthly Prices'!A360</f>
        <v>1989M05</v>
      </c>
      <c r="D372" s="153">
        <f t="shared" si="100"/>
        <v>32629</v>
      </c>
      <c r="E372" s="152">
        <f t="shared" si="101"/>
        <v>353</v>
      </c>
      <c r="F372" s="152" t="b">
        <f t="shared" si="95"/>
        <v>0</v>
      </c>
      <c r="G372" s="152" t="b">
        <f t="shared" si="96"/>
        <v>1</v>
      </c>
      <c r="H372" s="152" t="b">
        <f t="shared" si="97"/>
        <v>0</v>
      </c>
      <c r="I372" s="153" t="e">
        <f t="shared" si="98"/>
        <v>#N/A</v>
      </c>
      <c r="J372" s="158">
        <f>INDEX('Monthly Prices'!B360:CB360,$G$4)</f>
        <v>117.64</v>
      </c>
      <c r="K372" s="158" t="b">
        <f>IF(H372,INDEX('Monthly Prices'!B360:CB360,$G$4)*U372,FALSE)</f>
        <v>0</v>
      </c>
      <c r="L372" s="152" t="b">
        <f t="shared" si="102"/>
        <v>1</v>
      </c>
      <c r="M372" s="158">
        <f>INDEX('Monthly Prices'!B360:CB360,$G$5)</f>
        <v>83.21</v>
      </c>
      <c r="N372" s="158" t="b">
        <f>IF(H372,INDEX('Monthly Prices'!B360:CB360,$G$5)*U372,FALSE)</f>
        <v>0</v>
      </c>
      <c r="O372" s="152" t="b">
        <f t="shared" si="99"/>
        <v>1</v>
      </c>
      <c r="P372" s="152">
        <f t="shared" si="103"/>
        <v>1989</v>
      </c>
      <c r="Q372" s="159">
        <f>'Monthly Prices'!B360</f>
        <v>18.016666666670002</v>
      </c>
      <c r="R372" s="159">
        <f t="shared" si="104"/>
        <v>17.838888888889169</v>
      </c>
      <c r="S372" s="155">
        <f>_xlfn.XLOOKUP(P372,'Annual Real'!A:A,'Annual Real'!B:B,0,0)</f>
        <v>22.401339204335201</v>
      </c>
      <c r="T372" s="155">
        <f t="shared" ca="1" si="105"/>
        <v>2.0234280581001389</v>
      </c>
      <c r="U372" s="152">
        <f t="shared" ca="1" si="106"/>
        <v>2.0234280581001389</v>
      </c>
      <c r="V372" s="152" t="b">
        <f t="shared" si="112"/>
        <v>0</v>
      </c>
      <c r="W372" s="152" t="b">
        <f t="shared" si="113"/>
        <v>0</v>
      </c>
      <c r="X372" s="154">
        <f>LOOKUP(D372,'US Implicit Deflator'!A:A,'US Implicit Deflator'!B:B)/100</f>
        <v>4.0999999999999995E-2</v>
      </c>
      <c r="Y372" s="154">
        <f t="shared" si="107"/>
        <v>3.3540948994528197E-3</v>
      </c>
      <c r="Z372" s="165">
        <f t="shared" ca="1" si="108"/>
        <v>3.3748633148448874</v>
      </c>
      <c r="AA372" s="152">
        <f t="shared" si="109"/>
        <v>7</v>
      </c>
      <c r="AB372" s="153">
        <f t="shared" si="110"/>
        <v>32629</v>
      </c>
      <c r="AC372" s="155">
        <f t="shared" ca="1" si="111"/>
        <v>2.0234280581001389</v>
      </c>
    </row>
    <row r="373" spans="3:29">
      <c r="C373" s="152" t="str">
        <f>'Monthly Prices'!A361</f>
        <v>1989M06</v>
      </c>
      <c r="D373" s="153">
        <f t="shared" si="100"/>
        <v>32660</v>
      </c>
      <c r="E373" s="152">
        <f t="shared" si="101"/>
        <v>354</v>
      </c>
      <c r="F373" s="152" t="b">
        <f t="shared" si="95"/>
        <v>0</v>
      </c>
      <c r="G373" s="152" t="b">
        <f t="shared" si="96"/>
        <v>1</v>
      </c>
      <c r="H373" s="152" t="b">
        <f t="shared" si="97"/>
        <v>0</v>
      </c>
      <c r="I373" s="153" t="e">
        <f t="shared" si="98"/>
        <v>#N/A</v>
      </c>
      <c r="J373" s="158">
        <f>INDEX('Monthly Prices'!B361:CB361,$G$4)</f>
        <v>112.99</v>
      </c>
      <c r="K373" s="158" t="b">
        <f>IF(H373,INDEX('Monthly Prices'!B361:CB361,$G$4)*U373,FALSE)</f>
        <v>0</v>
      </c>
      <c r="L373" s="152" t="b">
        <f t="shared" si="102"/>
        <v>1</v>
      </c>
      <c r="M373" s="158">
        <f>INDEX('Monthly Prices'!B361:CB361,$G$5)</f>
        <v>67.92</v>
      </c>
      <c r="N373" s="158" t="b">
        <f>IF(H373,INDEX('Monthly Prices'!B361:CB361,$G$5)*U373,FALSE)</f>
        <v>0</v>
      </c>
      <c r="O373" s="152" t="b">
        <f t="shared" si="99"/>
        <v>1</v>
      </c>
      <c r="P373" s="152">
        <f t="shared" si="103"/>
        <v>1989</v>
      </c>
      <c r="Q373" s="159">
        <f>'Monthly Prices'!B361</f>
        <v>17.63333333333</v>
      </c>
      <c r="R373" s="159">
        <f t="shared" si="104"/>
        <v>17.838888888889169</v>
      </c>
      <c r="S373" s="155">
        <f>_xlfn.XLOOKUP(P373,'Annual Real'!A:A,'Annual Real'!B:B,0,0)</f>
        <v>22.401339204335201</v>
      </c>
      <c r="T373" s="155">
        <f t="shared" ca="1" si="105"/>
        <v>2.0166639757451819</v>
      </c>
      <c r="U373" s="152">
        <f t="shared" ca="1" si="106"/>
        <v>2.0166639757451819</v>
      </c>
      <c r="V373" s="152" t="b">
        <f t="shared" si="112"/>
        <v>0</v>
      </c>
      <c r="W373" s="152" t="b">
        <f t="shared" si="113"/>
        <v>0</v>
      </c>
      <c r="X373" s="154">
        <f>LOOKUP(D373,'US Implicit Deflator'!A:A,'US Implicit Deflator'!B:B)/100</f>
        <v>4.0999999999999995E-2</v>
      </c>
      <c r="Y373" s="154">
        <f t="shared" si="107"/>
        <v>3.3540948994528197E-3</v>
      </c>
      <c r="Z373" s="165">
        <f t="shared" ca="1" si="108"/>
        <v>3.3861829266755592</v>
      </c>
      <c r="AA373" s="152">
        <f t="shared" si="109"/>
        <v>7</v>
      </c>
      <c r="AB373" s="153">
        <f t="shared" si="110"/>
        <v>32660</v>
      </c>
      <c r="AC373" s="155">
        <f t="shared" ca="1" si="111"/>
        <v>2.0166639757451819</v>
      </c>
    </row>
    <row r="374" spans="3:29">
      <c r="C374" s="152" t="str">
        <f>'Monthly Prices'!A362</f>
        <v>1989M07</v>
      </c>
      <c r="D374" s="153">
        <f t="shared" si="100"/>
        <v>32690</v>
      </c>
      <c r="E374" s="152">
        <f t="shared" si="101"/>
        <v>355</v>
      </c>
      <c r="F374" s="152" t="b">
        <f t="shared" si="95"/>
        <v>0</v>
      </c>
      <c r="G374" s="152" t="b">
        <f t="shared" si="96"/>
        <v>1</v>
      </c>
      <c r="H374" s="152" t="b">
        <f t="shared" si="97"/>
        <v>0</v>
      </c>
      <c r="I374" s="153" t="e">
        <f t="shared" si="98"/>
        <v>#N/A</v>
      </c>
      <c r="J374" s="158">
        <f>INDEX('Monthly Prices'!B362:CB362,$G$4)</f>
        <v>108.7</v>
      </c>
      <c r="K374" s="158" t="b">
        <f>IF(H374,INDEX('Monthly Prices'!B362:CB362,$G$4)*U374,FALSE)</f>
        <v>0</v>
      </c>
      <c r="L374" s="152" t="b">
        <f t="shared" si="102"/>
        <v>1</v>
      </c>
      <c r="M374" s="158">
        <f>INDEX('Monthly Prices'!B362:CB362,$G$5)</f>
        <v>74.87</v>
      </c>
      <c r="N374" s="158" t="b">
        <f>IF(H374,INDEX('Monthly Prices'!B362:CB362,$G$5)*U374,FALSE)</f>
        <v>0</v>
      </c>
      <c r="O374" s="152" t="b">
        <f t="shared" si="99"/>
        <v>1</v>
      </c>
      <c r="P374" s="152">
        <f t="shared" si="103"/>
        <v>1989</v>
      </c>
      <c r="Q374" s="159">
        <f>'Monthly Prices'!B362</f>
        <v>17.66666666667</v>
      </c>
      <c r="R374" s="159">
        <f t="shared" si="104"/>
        <v>17.838888888889169</v>
      </c>
      <c r="S374" s="155">
        <f>_xlfn.XLOOKUP(P374,'Annual Real'!A:A,'Annual Real'!B:B,0,0)</f>
        <v>22.401339204335201</v>
      </c>
      <c r="T374" s="155">
        <f t="shared" ca="1" si="105"/>
        <v>2.0105674351238525</v>
      </c>
      <c r="U374" s="152">
        <f t="shared" ca="1" si="106"/>
        <v>2.0105674351238525</v>
      </c>
      <c r="V374" s="152" t="b">
        <f t="shared" si="112"/>
        <v>0</v>
      </c>
      <c r="W374" s="152" t="b">
        <f t="shared" si="113"/>
        <v>0</v>
      </c>
      <c r="X374" s="154">
        <f>LOOKUP(D374,'US Implicit Deflator'!A:A,'US Implicit Deflator'!B:B)/100</f>
        <v>3.7000000000000005E-2</v>
      </c>
      <c r="Y374" s="154">
        <f t="shared" si="107"/>
        <v>3.0322487646148311E-3</v>
      </c>
      <c r="Z374" s="165">
        <f t="shared" ca="1" si="108"/>
        <v>3.3964506756717312</v>
      </c>
      <c r="AA374" s="152">
        <f t="shared" si="109"/>
        <v>7</v>
      </c>
      <c r="AB374" s="153">
        <f t="shared" si="110"/>
        <v>32690</v>
      </c>
      <c r="AC374" s="155">
        <f t="shared" ca="1" si="111"/>
        <v>2.0105674351238525</v>
      </c>
    </row>
    <row r="375" spans="3:29">
      <c r="C375" s="152" t="str">
        <f>'Monthly Prices'!A363</f>
        <v>1989M08</v>
      </c>
      <c r="D375" s="153">
        <f t="shared" si="100"/>
        <v>32721</v>
      </c>
      <c r="E375" s="152">
        <f t="shared" si="101"/>
        <v>356</v>
      </c>
      <c r="F375" s="152" t="b">
        <f t="shared" si="95"/>
        <v>0</v>
      </c>
      <c r="G375" s="152" t="b">
        <f t="shared" si="96"/>
        <v>1</v>
      </c>
      <c r="H375" s="152" t="b">
        <f t="shared" si="97"/>
        <v>0</v>
      </c>
      <c r="I375" s="153" t="e">
        <f t="shared" si="98"/>
        <v>#N/A</v>
      </c>
      <c r="J375" s="158">
        <f>INDEX('Monthly Prices'!B363:CB363,$G$4)</f>
        <v>100.92</v>
      </c>
      <c r="K375" s="158" t="b">
        <f>IF(H375,INDEX('Monthly Prices'!B363:CB363,$G$4)*U375,FALSE)</f>
        <v>0</v>
      </c>
      <c r="L375" s="152" t="b">
        <f t="shared" si="102"/>
        <v>1</v>
      </c>
      <c r="M375" s="158">
        <f>INDEX('Monthly Prices'!B363:CB363,$G$5)</f>
        <v>73.209999999999994</v>
      </c>
      <c r="N375" s="158" t="b">
        <f>IF(H375,INDEX('Monthly Prices'!B363:CB363,$G$5)*U375,FALSE)</f>
        <v>0</v>
      </c>
      <c r="O375" s="152" t="b">
        <f t="shared" si="99"/>
        <v>1</v>
      </c>
      <c r="P375" s="152">
        <f t="shared" si="103"/>
        <v>1989</v>
      </c>
      <c r="Q375" s="159">
        <f>'Monthly Prices'!B363</f>
        <v>16.88333333333</v>
      </c>
      <c r="R375" s="159">
        <f t="shared" si="104"/>
        <v>17.838888888889169</v>
      </c>
      <c r="S375" s="155">
        <f>_xlfn.XLOOKUP(P375,'Annual Real'!A:A,'Annual Real'!B:B,0,0)</f>
        <v>22.401339204335201</v>
      </c>
      <c r="T375" s="155">
        <f t="shared" ca="1" si="105"/>
        <v>2.0044893248449078</v>
      </c>
      <c r="U375" s="152">
        <f t="shared" ca="1" si="106"/>
        <v>2.0044893248449078</v>
      </c>
      <c r="V375" s="152" t="b">
        <f t="shared" si="112"/>
        <v>0</v>
      </c>
      <c r="W375" s="152" t="b">
        <f t="shared" si="113"/>
        <v>0</v>
      </c>
      <c r="X375" s="154">
        <f>LOOKUP(D375,'US Implicit Deflator'!A:A,'US Implicit Deflator'!B:B)/100</f>
        <v>3.7000000000000005E-2</v>
      </c>
      <c r="Y375" s="154">
        <f t="shared" si="107"/>
        <v>3.0322487646148311E-3</v>
      </c>
      <c r="Z375" s="165">
        <f t="shared" ca="1" si="108"/>
        <v>3.4067495590371122</v>
      </c>
      <c r="AA375" s="152">
        <f t="shared" si="109"/>
        <v>7</v>
      </c>
      <c r="AB375" s="153">
        <f t="shared" si="110"/>
        <v>32721</v>
      </c>
      <c r="AC375" s="155">
        <f t="shared" ca="1" si="111"/>
        <v>2.0044893248449078</v>
      </c>
    </row>
    <row r="376" spans="3:29">
      <c r="C376" s="152" t="str">
        <f>'Monthly Prices'!A364</f>
        <v>1989M09</v>
      </c>
      <c r="D376" s="153">
        <f t="shared" si="100"/>
        <v>32752</v>
      </c>
      <c r="E376" s="152">
        <f t="shared" si="101"/>
        <v>357</v>
      </c>
      <c r="F376" s="152" t="b">
        <f t="shared" si="95"/>
        <v>0</v>
      </c>
      <c r="G376" s="152" t="b">
        <f t="shared" si="96"/>
        <v>1</v>
      </c>
      <c r="H376" s="152" t="b">
        <f t="shared" si="97"/>
        <v>0</v>
      </c>
      <c r="I376" s="153" t="e">
        <f t="shared" si="98"/>
        <v>#N/A</v>
      </c>
      <c r="J376" s="158">
        <f>INDEX('Monthly Prices'!B364:CB364,$G$4)</f>
        <v>103.37</v>
      </c>
      <c r="K376" s="158" t="b">
        <f>IF(H376,INDEX('Monthly Prices'!B364:CB364,$G$4)*U376,FALSE)</f>
        <v>0</v>
      </c>
      <c r="L376" s="152" t="b">
        <f t="shared" si="102"/>
        <v>1</v>
      </c>
      <c r="M376" s="158">
        <f>INDEX('Monthly Prices'!B364:CB364,$G$5)</f>
        <v>71.55</v>
      </c>
      <c r="N376" s="158" t="b">
        <f>IF(H376,INDEX('Monthly Prices'!B364:CB364,$G$5)*U376,FALSE)</f>
        <v>0</v>
      </c>
      <c r="O376" s="152" t="b">
        <f t="shared" si="99"/>
        <v>1</v>
      </c>
      <c r="P376" s="152">
        <f t="shared" si="103"/>
        <v>1989</v>
      </c>
      <c r="Q376" s="159">
        <f>'Monthly Prices'!B364</f>
        <v>17.66666666667</v>
      </c>
      <c r="R376" s="159">
        <f t="shared" si="104"/>
        <v>17.838888888889169</v>
      </c>
      <c r="S376" s="155">
        <f>_xlfn.XLOOKUP(P376,'Annual Real'!A:A,'Annual Real'!B:B,0,0)</f>
        <v>22.401339204335201</v>
      </c>
      <c r="T376" s="155">
        <f t="shared" ca="1" si="105"/>
        <v>1.9984295891919113</v>
      </c>
      <c r="U376" s="152">
        <f t="shared" ca="1" si="106"/>
        <v>1.9984295891919113</v>
      </c>
      <c r="V376" s="152" t="b">
        <f t="shared" si="112"/>
        <v>0</v>
      </c>
      <c r="W376" s="152" t="b">
        <f t="shared" si="113"/>
        <v>0</v>
      </c>
      <c r="X376" s="154">
        <f>LOOKUP(D376,'US Implicit Deflator'!A:A,'US Implicit Deflator'!B:B)/100</f>
        <v>3.7000000000000005E-2</v>
      </c>
      <c r="Y376" s="154">
        <f t="shared" si="107"/>
        <v>3.0322487646148311E-3</v>
      </c>
      <c r="Z376" s="165">
        <f t="shared" ca="1" si="108"/>
        <v>3.4170796711788545</v>
      </c>
      <c r="AA376" s="152">
        <f t="shared" si="109"/>
        <v>7</v>
      </c>
      <c r="AB376" s="153">
        <f t="shared" si="110"/>
        <v>32752</v>
      </c>
      <c r="AC376" s="155">
        <f t="shared" ca="1" si="111"/>
        <v>1.9984295891919113</v>
      </c>
    </row>
    <row r="377" spans="3:29">
      <c r="C377" s="152" t="str">
        <f>'Monthly Prices'!A365</f>
        <v>1989M10</v>
      </c>
      <c r="D377" s="153">
        <f t="shared" si="100"/>
        <v>32782</v>
      </c>
      <c r="E377" s="152">
        <f t="shared" si="101"/>
        <v>358</v>
      </c>
      <c r="F377" s="152" t="b">
        <f t="shared" si="95"/>
        <v>0</v>
      </c>
      <c r="G377" s="152" t="b">
        <f t="shared" si="96"/>
        <v>1</v>
      </c>
      <c r="H377" s="152" t="b">
        <f t="shared" si="97"/>
        <v>0</v>
      </c>
      <c r="I377" s="153" t="e">
        <f t="shared" si="98"/>
        <v>#N/A</v>
      </c>
      <c r="J377" s="158">
        <f>INDEX('Monthly Prices'!B365:CB365,$G$4)</f>
        <v>107.28</v>
      </c>
      <c r="K377" s="158" t="b">
        <f>IF(H377,INDEX('Monthly Prices'!B365:CB365,$G$4)*U377,FALSE)</f>
        <v>0</v>
      </c>
      <c r="L377" s="152" t="b">
        <f t="shared" si="102"/>
        <v>1</v>
      </c>
      <c r="M377" s="158">
        <f>INDEX('Monthly Prices'!B365:CB365,$G$5)</f>
        <v>71.87</v>
      </c>
      <c r="N377" s="158" t="b">
        <f>IF(H377,INDEX('Monthly Prices'!B365:CB365,$G$5)*U377,FALSE)</f>
        <v>0</v>
      </c>
      <c r="O377" s="152" t="b">
        <f t="shared" si="99"/>
        <v>1</v>
      </c>
      <c r="P377" s="152">
        <f t="shared" si="103"/>
        <v>1989</v>
      </c>
      <c r="Q377" s="159">
        <f>'Monthly Prices'!B365</f>
        <v>18.41666666667</v>
      </c>
      <c r="R377" s="159">
        <f t="shared" si="104"/>
        <v>17.838888888889169</v>
      </c>
      <c r="S377" s="155">
        <f>_xlfn.XLOOKUP(P377,'Annual Real'!A:A,'Annual Real'!B:B,0,0)</f>
        <v>22.401339204335201</v>
      </c>
      <c r="T377" s="155">
        <f t="shared" ca="1" si="105"/>
        <v>1.9935130482203922</v>
      </c>
      <c r="U377" s="152">
        <f t="shared" ca="1" si="106"/>
        <v>1.9935130482203922</v>
      </c>
      <c r="V377" s="152" t="b">
        <f t="shared" si="112"/>
        <v>0</v>
      </c>
      <c r="W377" s="152" t="b">
        <f t="shared" si="113"/>
        <v>0</v>
      </c>
      <c r="X377" s="154">
        <f>LOOKUP(D377,'US Implicit Deflator'!A:A,'US Implicit Deflator'!B:B)/100</f>
        <v>0.03</v>
      </c>
      <c r="Y377" s="154">
        <f t="shared" si="107"/>
        <v>2.4662697723036864E-3</v>
      </c>
      <c r="Z377" s="165">
        <f t="shared" ca="1" si="108"/>
        <v>3.4255071114814362</v>
      </c>
      <c r="AA377" s="152">
        <f t="shared" si="109"/>
        <v>7</v>
      </c>
      <c r="AB377" s="153">
        <f t="shared" si="110"/>
        <v>32782</v>
      </c>
      <c r="AC377" s="155">
        <f t="shared" ca="1" si="111"/>
        <v>1.9935130482203922</v>
      </c>
    </row>
    <row r="378" spans="3:29">
      <c r="C378" s="152" t="str">
        <f>'Monthly Prices'!A366</f>
        <v>1989M11</v>
      </c>
      <c r="D378" s="153">
        <f t="shared" si="100"/>
        <v>32813</v>
      </c>
      <c r="E378" s="152">
        <f t="shared" si="101"/>
        <v>359</v>
      </c>
      <c r="F378" s="152" t="b">
        <f t="shared" si="95"/>
        <v>0</v>
      </c>
      <c r="G378" s="152" t="b">
        <f t="shared" si="96"/>
        <v>1</v>
      </c>
      <c r="H378" s="152" t="b">
        <f t="shared" si="97"/>
        <v>0</v>
      </c>
      <c r="I378" s="153" t="e">
        <f t="shared" si="98"/>
        <v>#N/A</v>
      </c>
      <c r="J378" s="158">
        <f>INDEX('Monthly Prices'!B366:CB366,$G$4)</f>
        <v>108.48</v>
      </c>
      <c r="K378" s="158" t="b">
        <f>IF(H378,INDEX('Monthly Prices'!B366:CB366,$G$4)*U378,FALSE)</f>
        <v>0</v>
      </c>
      <c r="L378" s="152" t="b">
        <f t="shared" si="102"/>
        <v>1</v>
      </c>
      <c r="M378" s="158">
        <f>INDEX('Monthly Prices'!B366:CB366,$G$5)</f>
        <v>69.900000000000006</v>
      </c>
      <c r="N378" s="158" t="b">
        <f>IF(H378,INDEX('Monthly Prices'!B366:CB366,$G$5)*U378,FALSE)</f>
        <v>0</v>
      </c>
      <c r="O378" s="152" t="b">
        <f t="shared" si="99"/>
        <v>1</v>
      </c>
      <c r="P378" s="152">
        <f t="shared" si="103"/>
        <v>1989</v>
      </c>
      <c r="Q378" s="159">
        <f>'Monthly Prices'!B366</f>
        <v>18.36666666667</v>
      </c>
      <c r="R378" s="159">
        <f t="shared" si="104"/>
        <v>17.838888888889169</v>
      </c>
      <c r="S378" s="155">
        <f>_xlfn.XLOOKUP(P378,'Annual Real'!A:A,'Annual Real'!B:B,0,0)</f>
        <v>22.401339204335201</v>
      </c>
      <c r="T378" s="155">
        <f t="shared" ca="1" si="105"/>
        <v>1.9886086029340329</v>
      </c>
      <c r="U378" s="152">
        <f t="shared" ca="1" si="106"/>
        <v>1.9886086029340329</v>
      </c>
      <c r="V378" s="152" t="b">
        <f t="shared" si="112"/>
        <v>0</v>
      </c>
      <c r="W378" s="152" t="b">
        <f t="shared" si="113"/>
        <v>0</v>
      </c>
      <c r="X378" s="154">
        <f>LOOKUP(D378,'US Implicit Deflator'!A:A,'US Implicit Deflator'!B:B)/100</f>
        <v>0.03</v>
      </c>
      <c r="Y378" s="154">
        <f t="shared" si="107"/>
        <v>2.4662697723036864E-3</v>
      </c>
      <c r="Z378" s="165">
        <f t="shared" ca="1" si="108"/>
        <v>3.4339553361252944</v>
      </c>
      <c r="AA378" s="152">
        <f t="shared" si="109"/>
        <v>7</v>
      </c>
      <c r="AB378" s="153">
        <f t="shared" si="110"/>
        <v>32813</v>
      </c>
      <c r="AC378" s="155">
        <f t="shared" ca="1" si="111"/>
        <v>1.9886086029340329</v>
      </c>
    </row>
    <row r="379" spans="3:29">
      <c r="C379" s="152" t="str">
        <f>'Monthly Prices'!A367</f>
        <v>1989M12</v>
      </c>
      <c r="D379" s="153">
        <f t="shared" si="100"/>
        <v>32843</v>
      </c>
      <c r="E379" s="152">
        <f t="shared" si="101"/>
        <v>360</v>
      </c>
      <c r="F379" s="152" t="b">
        <f t="shared" si="95"/>
        <v>0</v>
      </c>
      <c r="G379" s="152" t="b">
        <f t="shared" si="96"/>
        <v>1</v>
      </c>
      <c r="H379" s="152" t="b">
        <f t="shared" si="97"/>
        <v>0</v>
      </c>
      <c r="I379" s="153" t="e">
        <f t="shared" si="98"/>
        <v>#N/A</v>
      </c>
      <c r="J379" s="158">
        <f>INDEX('Monthly Prices'!B367:CB367,$G$4)</f>
        <v>109.17</v>
      </c>
      <c r="K379" s="158" t="b">
        <f>IF(H379,INDEX('Monthly Prices'!B367:CB367,$G$4)*U379,FALSE)</f>
        <v>0</v>
      </c>
      <c r="L379" s="152" t="b">
        <f t="shared" si="102"/>
        <v>1</v>
      </c>
      <c r="M379" s="158">
        <f>INDEX('Monthly Prices'!B367:CB367,$G$5)</f>
        <v>73.209999999999994</v>
      </c>
      <c r="N379" s="158" t="b">
        <f>IF(H379,INDEX('Monthly Prices'!B367:CB367,$G$5)*U379,FALSE)</f>
        <v>0</v>
      </c>
      <c r="O379" s="152" t="b">
        <f t="shared" si="99"/>
        <v>1</v>
      </c>
      <c r="P379" s="152">
        <f t="shared" si="103"/>
        <v>1989</v>
      </c>
      <c r="Q379" s="159">
        <f>'Monthly Prices'!B367</f>
        <v>19.350000000000001</v>
      </c>
      <c r="R379" s="159">
        <f t="shared" si="104"/>
        <v>17.838888888889169</v>
      </c>
      <c r="S379" s="155">
        <f>_xlfn.XLOOKUP(P379,'Annual Real'!A:A,'Annual Real'!B:B,0,0)</f>
        <v>22.401339204335201</v>
      </c>
      <c r="T379" s="155">
        <f t="shared" ca="1" si="105"/>
        <v>1.9837162235750014</v>
      </c>
      <c r="U379" s="152">
        <f t="shared" ca="1" si="106"/>
        <v>1.9837162235750014</v>
      </c>
      <c r="V379" s="152" t="b">
        <f t="shared" si="112"/>
        <v>0</v>
      </c>
      <c r="W379" s="152" t="b">
        <f t="shared" si="113"/>
        <v>0</v>
      </c>
      <c r="X379" s="154">
        <f>LOOKUP(D379,'US Implicit Deflator'!A:A,'US Implicit Deflator'!B:B)/100</f>
        <v>0.03</v>
      </c>
      <c r="Y379" s="154">
        <f t="shared" si="107"/>
        <v>2.4662697723036864E-3</v>
      </c>
      <c r="Z379" s="165">
        <f t="shared" ca="1" si="108"/>
        <v>3.442424396370221</v>
      </c>
      <c r="AA379" s="152">
        <f t="shared" si="109"/>
        <v>7</v>
      </c>
      <c r="AB379" s="153">
        <f t="shared" si="110"/>
        <v>32843</v>
      </c>
      <c r="AC379" s="155">
        <f t="shared" ca="1" si="111"/>
        <v>1.9837162235750014</v>
      </c>
    </row>
    <row r="380" spans="3:29">
      <c r="C380" s="152" t="str">
        <f>'Monthly Prices'!A368</f>
        <v>1990M01</v>
      </c>
      <c r="D380" s="153">
        <f t="shared" si="100"/>
        <v>32874</v>
      </c>
      <c r="E380" s="152">
        <f t="shared" si="101"/>
        <v>361</v>
      </c>
      <c r="F380" s="152" t="b">
        <f t="shared" si="95"/>
        <v>0</v>
      </c>
      <c r="G380" s="152" t="b">
        <f t="shared" si="96"/>
        <v>1</v>
      </c>
      <c r="H380" s="152" t="b">
        <f t="shared" si="97"/>
        <v>0</v>
      </c>
      <c r="I380" s="153" t="e">
        <f t="shared" si="98"/>
        <v>#N/A</v>
      </c>
      <c r="J380" s="158">
        <f>INDEX('Monthly Prices'!B368:CB368,$G$4)</f>
        <v>105.6</v>
      </c>
      <c r="K380" s="158" t="b">
        <f>IF(H380,INDEX('Monthly Prices'!B368:CB368,$G$4)*U380,FALSE)</f>
        <v>0</v>
      </c>
      <c r="L380" s="152" t="b">
        <f t="shared" si="102"/>
        <v>1</v>
      </c>
      <c r="M380" s="158">
        <f>INDEX('Monthly Prices'!B368:CB368,$G$5)</f>
        <v>75.569999999999993</v>
      </c>
      <c r="N380" s="158" t="b">
        <f>IF(H380,INDEX('Monthly Prices'!B368:CB368,$G$5)*U380,FALSE)</f>
        <v>0</v>
      </c>
      <c r="O380" s="152" t="b">
        <f t="shared" si="99"/>
        <v>1</v>
      </c>
      <c r="P380" s="152">
        <f t="shared" si="103"/>
        <v>1990</v>
      </c>
      <c r="Q380" s="159">
        <f>'Monthly Prices'!B368</f>
        <v>20.350000000000001</v>
      </c>
      <c r="R380" s="159">
        <f t="shared" si="104"/>
        <v>22.879166666666666</v>
      </c>
      <c r="S380" s="155">
        <f>_xlfn.XLOOKUP(P380,'Annual Real'!A:A,'Annual Real'!B:B,0,0)</f>
        <v>27.6745064632835</v>
      </c>
      <c r="T380" s="155">
        <f t="shared" ca="1" si="105"/>
        <v>1.9780374783122294</v>
      </c>
      <c r="U380" s="152">
        <f t="shared" ca="1" si="106"/>
        <v>1.9780374783122294</v>
      </c>
      <c r="V380" s="152" t="b">
        <f t="shared" si="112"/>
        <v>0</v>
      </c>
      <c r="W380" s="152" t="b">
        <f t="shared" si="113"/>
        <v>0</v>
      </c>
      <c r="X380" s="154">
        <f>LOOKUP(D380,'US Implicit Deflator'!A:A,'US Implicit Deflator'!B:B)/100</f>
        <v>3.5000000000000003E-2</v>
      </c>
      <c r="Y380" s="154">
        <f t="shared" si="107"/>
        <v>2.8708987190766422E-3</v>
      </c>
      <c r="Z380" s="165">
        <f t="shared" ca="1" si="108"/>
        <v>3.4523072481602783</v>
      </c>
      <c r="AA380" s="152">
        <f t="shared" si="109"/>
        <v>7</v>
      </c>
      <c r="AB380" s="153">
        <f t="shared" si="110"/>
        <v>32874</v>
      </c>
      <c r="AC380" s="155">
        <f t="shared" ca="1" si="111"/>
        <v>1.9780374783122294</v>
      </c>
    </row>
    <row r="381" spans="3:29">
      <c r="C381" s="152" t="str">
        <f>'Monthly Prices'!A369</f>
        <v>1990M02</v>
      </c>
      <c r="D381" s="153">
        <f t="shared" si="100"/>
        <v>32905</v>
      </c>
      <c r="E381" s="152">
        <f t="shared" si="101"/>
        <v>362</v>
      </c>
      <c r="F381" s="152" t="b">
        <f t="shared" si="95"/>
        <v>0</v>
      </c>
      <c r="G381" s="152" t="b">
        <f t="shared" si="96"/>
        <v>1</v>
      </c>
      <c r="H381" s="152" t="b">
        <f t="shared" si="97"/>
        <v>0</v>
      </c>
      <c r="I381" s="153" t="e">
        <f t="shared" si="98"/>
        <v>#N/A</v>
      </c>
      <c r="J381" s="158">
        <f>INDEX('Monthly Prices'!B369:CB369,$G$4)</f>
        <v>106.07</v>
      </c>
      <c r="K381" s="158" t="b">
        <f>IF(H381,INDEX('Monthly Prices'!B369:CB369,$G$4)*U381,FALSE)</f>
        <v>0</v>
      </c>
      <c r="L381" s="152" t="b">
        <f t="shared" si="102"/>
        <v>1</v>
      </c>
      <c r="M381" s="158">
        <f>INDEX('Monthly Prices'!B369:CB369,$G$5)</f>
        <v>73.86</v>
      </c>
      <c r="N381" s="158" t="b">
        <f>IF(H381,INDEX('Monthly Prices'!B369:CB369,$G$5)*U381,FALSE)</f>
        <v>0</v>
      </c>
      <c r="O381" s="152" t="b">
        <f t="shared" si="99"/>
        <v>1</v>
      </c>
      <c r="P381" s="152">
        <f t="shared" si="103"/>
        <v>1990</v>
      </c>
      <c r="Q381" s="159">
        <f>'Monthly Prices'!B369</f>
        <v>19.600000000000001</v>
      </c>
      <c r="R381" s="159">
        <f t="shared" si="104"/>
        <v>22.879166666666666</v>
      </c>
      <c r="S381" s="155">
        <f>_xlfn.XLOOKUP(P381,'Annual Real'!A:A,'Annual Real'!B:B,0,0)</f>
        <v>27.6745064632835</v>
      </c>
      <c r="T381" s="155">
        <f t="shared" ca="1" si="105"/>
        <v>1.9723749894813885</v>
      </c>
      <c r="U381" s="152">
        <f t="shared" ca="1" si="106"/>
        <v>1.9723749894813885</v>
      </c>
      <c r="V381" s="152" t="b">
        <f t="shared" si="112"/>
        <v>0</v>
      </c>
      <c r="W381" s="152" t="b">
        <f t="shared" si="113"/>
        <v>0</v>
      </c>
      <c r="X381" s="154">
        <f>LOOKUP(D381,'US Implicit Deflator'!A:A,'US Implicit Deflator'!B:B)/100</f>
        <v>3.5000000000000003E-2</v>
      </c>
      <c r="Y381" s="154">
        <f t="shared" si="107"/>
        <v>2.8708987190766422E-3</v>
      </c>
      <c r="Z381" s="165">
        <f t="shared" ca="1" si="108"/>
        <v>3.4622184726168808</v>
      </c>
      <c r="AA381" s="152">
        <f t="shared" si="109"/>
        <v>7</v>
      </c>
      <c r="AB381" s="153">
        <f t="shared" si="110"/>
        <v>32905</v>
      </c>
      <c r="AC381" s="155">
        <f t="shared" ca="1" si="111"/>
        <v>1.9723749894813885</v>
      </c>
    </row>
    <row r="382" spans="3:29">
      <c r="C382" s="152" t="str">
        <f>'Monthly Prices'!A370</f>
        <v>1990M03</v>
      </c>
      <c r="D382" s="153">
        <f t="shared" si="100"/>
        <v>32933</v>
      </c>
      <c r="E382" s="152">
        <f t="shared" si="101"/>
        <v>363</v>
      </c>
      <c r="F382" s="152" t="b">
        <f t="shared" si="95"/>
        <v>0</v>
      </c>
      <c r="G382" s="152" t="b">
        <f t="shared" si="96"/>
        <v>1</v>
      </c>
      <c r="H382" s="152" t="b">
        <f t="shared" si="97"/>
        <v>0</v>
      </c>
      <c r="I382" s="153" t="e">
        <f t="shared" si="98"/>
        <v>#N/A</v>
      </c>
      <c r="J382" s="158">
        <f>INDEX('Monthly Prices'!B370:CB370,$G$4)</f>
        <v>109.7</v>
      </c>
      <c r="K382" s="158" t="b">
        <f>IF(H382,INDEX('Monthly Prices'!B370:CB370,$G$4)*U382,FALSE)</f>
        <v>0</v>
      </c>
      <c r="L382" s="152" t="b">
        <f t="shared" si="102"/>
        <v>1</v>
      </c>
      <c r="M382" s="158">
        <f>INDEX('Monthly Prices'!B370:CB370,$G$5)</f>
        <v>70.040000000000006</v>
      </c>
      <c r="N382" s="158" t="b">
        <f>IF(H382,INDEX('Monthly Prices'!B370:CB370,$G$5)*U382,FALSE)</f>
        <v>0</v>
      </c>
      <c r="O382" s="152" t="b">
        <f t="shared" si="99"/>
        <v>1</v>
      </c>
      <c r="P382" s="152">
        <f t="shared" si="103"/>
        <v>1990</v>
      </c>
      <c r="Q382" s="159">
        <f>'Monthly Prices'!B370</f>
        <v>18.216666666670001</v>
      </c>
      <c r="R382" s="159">
        <f t="shared" si="104"/>
        <v>22.879166666666666</v>
      </c>
      <c r="S382" s="155">
        <f>_xlfn.XLOOKUP(P382,'Annual Real'!A:A,'Annual Real'!B:B,0,0)</f>
        <v>27.6745064632835</v>
      </c>
      <c r="T382" s="155">
        <f t="shared" ca="1" si="105"/>
        <v>1.9667287105455122</v>
      </c>
      <c r="U382" s="152">
        <f t="shared" ca="1" si="106"/>
        <v>1.9667287105455122</v>
      </c>
      <c r="V382" s="152" t="b">
        <f t="shared" si="112"/>
        <v>0</v>
      </c>
      <c r="W382" s="152" t="b">
        <f t="shared" si="113"/>
        <v>0</v>
      </c>
      <c r="X382" s="154">
        <f>LOOKUP(D382,'US Implicit Deflator'!A:A,'US Implicit Deflator'!B:B)/100</f>
        <v>3.5000000000000003E-2</v>
      </c>
      <c r="Y382" s="154">
        <f t="shared" si="107"/>
        <v>2.8708987190766422E-3</v>
      </c>
      <c r="Z382" s="165">
        <f t="shared" ca="1" si="108"/>
        <v>3.4721581511950799</v>
      </c>
      <c r="AA382" s="152">
        <f t="shared" si="109"/>
        <v>7</v>
      </c>
      <c r="AB382" s="153">
        <f t="shared" si="110"/>
        <v>32933</v>
      </c>
      <c r="AC382" s="155">
        <f t="shared" ca="1" si="111"/>
        <v>1.9667287105455122</v>
      </c>
    </row>
    <row r="383" spans="3:29">
      <c r="C383" s="152" t="str">
        <f>'Monthly Prices'!A371</f>
        <v>1990M04</v>
      </c>
      <c r="D383" s="153">
        <f t="shared" si="100"/>
        <v>32964</v>
      </c>
      <c r="E383" s="152">
        <f t="shared" si="101"/>
        <v>364</v>
      </c>
      <c r="F383" s="152" t="b">
        <f t="shared" si="95"/>
        <v>0</v>
      </c>
      <c r="G383" s="152" t="b">
        <f t="shared" si="96"/>
        <v>1</v>
      </c>
      <c r="H383" s="152" t="b">
        <f t="shared" si="97"/>
        <v>0</v>
      </c>
      <c r="I383" s="153" t="e">
        <f t="shared" si="98"/>
        <v>#N/A</v>
      </c>
      <c r="J383" s="158">
        <f>INDEX('Monthly Prices'!B371:CB371,$G$4)</f>
        <v>118.82</v>
      </c>
      <c r="K383" s="158" t="b">
        <f>IF(H383,INDEX('Monthly Prices'!B371:CB371,$G$4)*U383,FALSE)</f>
        <v>0</v>
      </c>
      <c r="L383" s="152" t="b">
        <f t="shared" si="102"/>
        <v>1</v>
      </c>
      <c r="M383" s="158">
        <f>INDEX('Monthly Prices'!B371:CB371,$G$5)</f>
        <v>68.77</v>
      </c>
      <c r="N383" s="158" t="b">
        <f>IF(H383,INDEX('Monthly Prices'!B371:CB371,$G$5)*U383,FALSE)</f>
        <v>0</v>
      </c>
      <c r="O383" s="152" t="b">
        <f t="shared" si="99"/>
        <v>1</v>
      </c>
      <c r="P383" s="152">
        <f t="shared" si="103"/>
        <v>1990</v>
      </c>
      <c r="Q383" s="159">
        <f>'Monthly Prices'!B371</f>
        <v>16.55</v>
      </c>
      <c r="R383" s="159">
        <f t="shared" si="104"/>
        <v>22.879166666666666</v>
      </c>
      <c r="S383" s="155">
        <f>_xlfn.XLOOKUP(P383,'Annual Real'!A:A,'Annual Real'!B:B,0,0)</f>
        <v>27.6745064632835</v>
      </c>
      <c r="T383" s="155">
        <f t="shared" ca="1" si="105"/>
        <v>1.9615730356385881</v>
      </c>
      <c r="U383" s="152">
        <f t="shared" ca="1" si="106"/>
        <v>1.9615730356385881</v>
      </c>
      <c r="V383" s="152" t="b">
        <f t="shared" si="112"/>
        <v>0</v>
      </c>
      <c r="W383" s="152" t="b">
        <f t="shared" si="113"/>
        <v>0</v>
      </c>
      <c r="X383" s="154">
        <f>LOOKUP(D383,'US Implicit Deflator'!A:A,'US Implicit Deflator'!B:B)/100</f>
        <v>3.2000000000000001E-2</v>
      </c>
      <c r="Y383" s="154">
        <f t="shared" si="107"/>
        <v>2.6283369587845051E-3</v>
      </c>
      <c r="Z383" s="165">
        <f t="shared" ca="1" si="108"/>
        <v>3.4812841527906109</v>
      </c>
      <c r="AA383" s="152">
        <f t="shared" si="109"/>
        <v>7</v>
      </c>
      <c r="AB383" s="153">
        <f t="shared" si="110"/>
        <v>32964</v>
      </c>
      <c r="AC383" s="155">
        <f t="shared" ca="1" si="111"/>
        <v>1.9615730356385881</v>
      </c>
    </row>
    <row r="384" spans="3:29">
      <c r="C384" s="152" t="str">
        <f>'Monthly Prices'!A372</f>
        <v>1990M05</v>
      </c>
      <c r="D384" s="153">
        <f t="shared" si="100"/>
        <v>32994</v>
      </c>
      <c r="E384" s="152">
        <f t="shared" si="101"/>
        <v>365</v>
      </c>
      <c r="F384" s="152" t="b">
        <f t="shared" si="95"/>
        <v>0</v>
      </c>
      <c r="G384" s="152" t="b">
        <f t="shared" si="96"/>
        <v>1</v>
      </c>
      <c r="H384" s="152" t="b">
        <f t="shared" si="97"/>
        <v>0</v>
      </c>
      <c r="I384" s="153" t="e">
        <f t="shared" si="98"/>
        <v>#N/A</v>
      </c>
      <c r="J384" s="158">
        <f>INDEX('Monthly Prices'!B372:CB372,$G$4)</f>
        <v>121.04</v>
      </c>
      <c r="K384" s="158" t="b">
        <f>IF(H384,INDEX('Monthly Prices'!B372:CB372,$G$4)*U384,FALSE)</f>
        <v>0</v>
      </c>
      <c r="L384" s="152" t="b">
        <f t="shared" si="102"/>
        <v>1</v>
      </c>
      <c r="M384" s="158">
        <f>INDEX('Monthly Prices'!B372:CB372,$G$5)</f>
        <v>71.03</v>
      </c>
      <c r="N384" s="158" t="b">
        <f>IF(H384,INDEX('Monthly Prices'!B372:CB372,$G$5)*U384,FALSE)</f>
        <v>0</v>
      </c>
      <c r="O384" s="152" t="b">
        <f t="shared" si="99"/>
        <v>1</v>
      </c>
      <c r="P384" s="152">
        <f t="shared" si="103"/>
        <v>1990</v>
      </c>
      <c r="Q384" s="159">
        <f>'Monthly Prices'!B372</f>
        <v>16.58333333333</v>
      </c>
      <c r="R384" s="159">
        <f t="shared" si="104"/>
        <v>22.879166666666666</v>
      </c>
      <c r="S384" s="155">
        <f>_xlfn.XLOOKUP(P384,'Annual Real'!A:A,'Annual Real'!B:B,0,0)</f>
        <v>27.6745064632835</v>
      </c>
      <c r="T384" s="155">
        <f t="shared" ca="1" si="105"/>
        <v>1.9564308760597331</v>
      </c>
      <c r="U384" s="152">
        <f t="shared" ca="1" si="106"/>
        <v>1.9564308760597331</v>
      </c>
      <c r="V384" s="152" t="b">
        <f t="shared" si="112"/>
        <v>0</v>
      </c>
      <c r="W384" s="152" t="b">
        <f t="shared" si="113"/>
        <v>0</v>
      </c>
      <c r="X384" s="154">
        <f>LOOKUP(D384,'US Implicit Deflator'!A:A,'US Implicit Deflator'!B:B)/100</f>
        <v>3.2000000000000001E-2</v>
      </c>
      <c r="Y384" s="154">
        <f t="shared" si="107"/>
        <v>2.6283369587845051E-3</v>
      </c>
      <c r="Z384" s="165">
        <f t="shared" ca="1" si="108"/>
        <v>3.4904341405934214</v>
      </c>
      <c r="AA384" s="152">
        <f t="shared" si="109"/>
        <v>7</v>
      </c>
      <c r="AB384" s="153">
        <f t="shared" si="110"/>
        <v>32994</v>
      </c>
      <c r="AC384" s="155">
        <f t="shared" ca="1" si="111"/>
        <v>1.9564308760597331</v>
      </c>
    </row>
    <row r="385" spans="3:29">
      <c r="C385" s="152" t="str">
        <f>'Monthly Prices'!A373</f>
        <v>1990M06</v>
      </c>
      <c r="D385" s="153">
        <f t="shared" si="100"/>
        <v>33025</v>
      </c>
      <c r="E385" s="152">
        <f t="shared" si="101"/>
        <v>366</v>
      </c>
      <c r="F385" s="152" t="b">
        <f t="shared" si="95"/>
        <v>0</v>
      </c>
      <c r="G385" s="152" t="b">
        <f t="shared" si="96"/>
        <v>1</v>
      </c>
      <c r="H385" s="152" t="b">
        <f t="shared" si="97"/>
        <v>0</v>
      </c>
      <c r="I385" s="153" t="e">
        <f t="shared" si="98"/>
        <v>#N/A</v>
      </c>
      <c r="J385" s="158">
        <f>INDEX('Monthly Prices'!B373:CB373,$G$4)</f>
        <v>120.86</v>
      </c>
      <c r="K385" s="158" t="b">
        <f>IF(H385,INDEX('Monthly Prices'!B373:CB373,$G$4)*U385,FALSE)</f>
        <v>0</v>
      </c>
      <c r="L385" s="152" t="b">
        <f t="shared" si="102"/>
        <v>1</v>
      </c>
      <c r="M385" s="158">
        <f>INDEX('Monthly Prices'!B373:CB373,$G$5)</f>
        <v>80.23</v>
      </c>
      <c r="N385" s="158" t="b">
        <f>IF(H385,INDEX('Monthly Prices'!B373:CB373,$G$5)*U385,FALSE)</f>
        <v>0</v>
      </c>
      <c r="O385" s="152" t="b">
        <f t="shared" si="99"/>
        <v>1</v>
      </c>
      <c r="P385" s="152">
        <f t="shared" si="103"/>
        <v>1990</v>
      </c>
      <c r="Q385" s="159">
        <f>'Monthly Prices'!B373</f>
        <v>15.26666666667</v>
      </c>
      <c r="R385" s="159">
        <f t="shared" si="104"/>
        <v>22.879166666666666</v>
      </c>
      <c r="S385" s="155">
        <f>_xlfn.XLOOKUP(P385,'Annual Real'!A:A,'Annual Real'!B:B,0,0)</f>
        <v>27.6745064632835</v>
      </c>
      <c r="T385" s="155">
        <f t="shared" ca="1" si="105"/>
        <v>1.9513021963792321</v>
      </c>
      <c r="U385" s="152">
        <f t="shared" ca="1" si="106"/>
        <v>1.9513021963792321</v>
      </c>
      <c r="V385" s="152" t="b">
        <f t="shared" si="112"/>
        <v>0</v>
      </c>
      <c r="W385" s="152" t="b">
        <f t="shared" si="113"/>
        <v>0</v>
      </c>
      <c r="X385" s="154">
        <f>LOOKUP(D385,'US Implicit Deflator'!A:A,'US Implicit Deflator'!B:B)/100</f>
        <v>3.2000000000000001E-2</v>
      </c>
      <c r="Y385" s="154">
        <f t="shared" si="107"/>
        <v>2.6283369587845051E-3</v>
      </c>
      <c r="Z385" s="165">
        <f t="shared" ca="1" si="108"/>
        <v>3.4996081776473464</v>
      </c>
      <c r="AA385" s="152">
        <f t="shared" si="109"/>
        <v>7</v>
      </c>
      <c r="AB385" s="153">
        <f t="shared" si="110"/>
        <v>33025</v>
      </c>
      <c r="AC385" s="155">
        <f t="shared" ca="1" si="111"/>
        <v>1.9513021963792321</v>
      </c>
    </row>
    <row r="386" spans="3:29">
      <c r="C386" s="152" t="str">
        <f>'Monthly Prices'!A374</f>
        <v>1990M07</v>
      </c>
      <c r="D386" s="153">
        <f t="shared" si="100"/>
        <v>33055</v>
      </c>
      <c r="E386" s="152">
        <f t="shared" si="101"/>
        <v>367</v>
      </c>
      <c r="F386" s="152" t="b">
        <f t="shared" si="95"/>
        <v>0</v>
      </c>
      <c r="G386" s="152" t="b">
        <f t="shared" si="96"/>
        <v>1</v>
      </c>
      <c r="H386" s="152" t="b">
        <f t="shared" si="97"/>
        <v>0</v>
      </c>
      <c r="I386" s="153" t="e">
        <f t="shared" si="98"/>
        <v>#N/A</v>
      </c>
      <c r="J386" s="158">
        <f>INDEX('Monthly Prices'!B374:CB374,$G$4)</f>
        <v>114.91</v>
      </c>
      <c r="K386" s="158" t="b">
        <f>IF(H386,INDEX('Monthly Prices'!B374:CB374,$G$4)*U386,FALSE)</f>
        <v>0</v>
      </c>
      <c r="L386" s="152" t="b">
        <f t="shared" si="102"/>
        <v>1</v>
      </c>
      <c r="M386" s="158">
        <f>INDEX('Monthly Prices'!B374:CB374,$G$5)</f>
        <v>77.989999999999995</v>
      </c>
      <c r="N386" s="158" t="b">
        <f>IF(H386,INDEX('Monthly Prices'!B374:CB374,$G$5)*U386,FALSE)</f>
        <v>0</v>
      </c>
      <c r="O386" s="152" t="b">
        <f t="shared" si="99"/>
        <v>1</v>
      </c>
      <c r="P386" s="152">
        <f t="shared" si="103"/>
        <v>1990</v>
      </c>
      <c r="Q386" s="159">
        <f>'Monthly Prices'!B374</f>
        <v>17.16666666667</v>
      </c>
      <c r="R386" s="159">
        <f t="shared" si="104"/>
        <v>22.879166666666666</v>
      </c>
      <c r="S386" s="155">
        <f>_xlfn.XLOOKUP(P386,'Annual Real'!A:A,'Annual Real'!B:B,0,0)</f>
        <v>27.6745064632835</v>
      </c>
      <c r="T386" s="155">
        <f t="shared" ca="1" si="105"/>
        <v>1.9460298903500881</v>
      </c>
      <c r="U386" s="152">
        <f t="shared" ca="1" si="106"/>
        <v>1.9460298903500881</v>
      </c>
      <c r="V386" s="152" t="b">
        <f t="shared" si="112"/>
        <v>0</v>
      </c>
      <c r="W386" s="152" t="b">
        <f t="shared" si="113"/>
        <v>0</v>
      </c>
      <c r="X386" s="154">
        <f>LOOKUP(D386,'US Implicit Deflator'!A:A,'US Implicit Deflator'!B:B)/100</f>
        <v>3.3000000000000002E-2</v>
      </c>
      <c r="Y386" s="154">
        <f t="shared" si="107"/>
        <v>2.7092626147666721E-3</v>
      </c>
      <c r="Z386" s="165">
        <f t="shared" ca="1" si="108"/>
        <v>3.5090895352493781</v>
      </c>
      <c r="AA386" s="152">
        <f t="shared" si="109"/>
        <v>7</v>
      </c>
      <c r="AB386" s="153">
        <f t="shared" si="110"/>
        <v>33055</v>
      </c>
      <c r="AC386" s="155">
        <f t="shared" ca="1" si="111"/>
        <v>1.9460298903500881</v>
      </c>
    </row>
    <row r="387" spans="3:29">
      <c r="C387" s="152" t="str">
        <f>'Monthly Prices'!A375</f>
        <v>1990M08</v>
      </c>
      <c r="D387" s="153">
        <f t="shared" si="100"/>
        <v>33086</v>
      </c>
      <c r="E387" s="152">
        <f t="shared" si="101"/>
        <v>368</v>
      </c>
      <c r="F387" s="152" t="b">
        <f t="shared" si="95"/>
        <v>0</v>
      </c>
      <c r="G387" s="152" t="b">
        <f t="shared" si="96"/>
        <v>1</v>
      </c>
      <c r="H387" s="152" t="b">
        <f t="shared" si="97"/>
        <v>0</v>
      </c>
      <c r="I387" s="153" t="e">
        <f t="shared" si="98"/>
        <v>#N/A</v>
      </c>
      <c r="J387" s="158">
        <f>INDEX('Monthly Prices'!B375:CB375,$G$4)</f>
        <v>110.05</v>
      </c>
      <c r="K387" s="158" t="b">
        <f>IF(H387,INDEX('Monthly Prices'!B375:CB375,$G$4)*U387,FALSE)</f>
        <v>0</v>
      </c>
      <c r="L387" s="152" t="b">
        <f t="shared" si="102"/>
        <v>1</v>
      </c>
      <c r="M387" s="158">
        <f>INDEX('Monthly Prices'!B375:CB375,$G$5)</f>
        <v>83.78</v>
      </c>
      <c r="N387" s="158" t="b">
        <f>IF(H387,INDEX('Monthly Prices'!B375:CB375,$G$5)*U387,FALSE)</f>
        <v>0</v>
      </c>
      <c r="O387" s="152" t="b">
        <f t="shared" si="99"/>
        <v>1</v>
      </c>
      <c r="P387" s="152">
        <f t="shared" si="103"/>
        <v>1990</v>
      </c>
      <c r="Q387" s="159">
        <f>'Monthly Prices'!B375</f>
        <v>26.4</v>
      </c>
      <c r="R387" s="159">
        <f t="shared" si="104"/>
        <v>22.879166666666666</v>
      </c>
      <c r="S387" s="155">
        <f>_xlfn.XLOOKUP(P387,'Annual Real'!A:A,'Annual Real'!B:B,0,0)</f>
        <v>27.6745064632835</v>
      </c>
      <c r="T387" s="155">
        <f t="shared" ca="1" si="105"/>
        <v>1.9407718297878516</v>
      </c>
      <c r="U387" s="152">
        <f t="shared" ca="1" si="106"/>
        <v>1.9407718297878516</v>
      </c>
      <c r="V387" s="152" t="b">
        <f t="shared" si="112"/>
        <v>0</v>
      </c>
      <c r="W387" s="152" t="b">
        <f t="shared" si="113"/>
        <v>0</v>
      </c>
      <c r="X387" s="154">
        <f>LOOKUP(D387,'US Implicit Deflator'!A:A,'US Implicit Deflator'!B:B)/100</f>
        <v>3.3000000000000002E-2</v>
      </c>
      <c r="Y387" s="154">
        <f t="shared" si="107"/>
        <v>2.7092626147666721E-3</v>
      </c>
      <c r="Z387" s="165">
        <f t="shared" ca="1" si="108"/>
        <v>3.5185965803390982</v>
      </c>
      <c r="AA387" s="152">
        <f t="shared" si="109"/>
        <v>7</v>
      </c>
      <c r="AB387" s="153">
        <f t="shared" si="110"/>
        <v>33086</v>
      </c>
      <c r="AC387" s="155">
        <f t="shared" ca="1" si="111"/>
        <v>1.9407718297878516</v>
      </c>
    </row>
    <row r="388" spans="3:29">
      <c r="C388" s="152" t="str">
        <f>'Monthly Prices'!A376</f>
        <v>1990M09</v>
      </c>
      <c r="D388" s="153">
        <f t="shared" si="100"/>
        <v>33117</v>
      </c>
      <c r="E388" s="152">
        <f t="shared" si="101"/>
        <v>369</v>
      </c>
      <c r="F388" s="152" t="b">
        <f t="shared" si="95"/>
        <v>0</v>
      </c>
      <c r="G388" s="152" t="b">
        <f t="shared" si="96"/>
        <v>1</v>
      </c>
      <c r="H388" s="152" t="b">
        <f t="shared" si="97"/>
        <v>0</v>
      </c>
      <c r="I388" s="153" t="e">
        <f t="shared" si="98"/>
        <v>#N/A</v>
      </c>
      <c r="J388" s="158">
        <f>INDEX('Monthly Prices'!B376:CB376,$G$4)</f>
        <v>101.52</v>
      </c>
      <c r="K388" s="158" t="b">
        <f>IF(H388,INDEX('Monthly Prices'!B376:CB376,$G$4)*U388,FALSE)</f>
        <v>0</v>
      </c>
      <c r="L388" s="152" t="b">
        <f t="shared" si="102"/>
        <v>1</v>
      </c>
      <c r="M388" s="158">
        <f>INDEX('Monthly Prices'!B376:CB376,$G$5)</f>
        <v>88.39</v>
      </c>
      <c r="N388" s="158" t="b">
        <f>IF(H388,INDEX('Monthly Prices'!B376:CB376,$G$5)*U388,FALSE)</f>
        <v>0</v>
      </c>
      <c r="O388" s="152" t="b">
        <f t="shared" si="99"/>
        <v>1</v>
      </c>
      <c r="P388" s="152">
        <f t="shared" si="103"/>
        <v>1990</v>
      </c>
      <c r="Q388" s="159">
        <f>'Monthly Prices'!B376</f>
        <v>32.700000000000003</v>
      </c>
      <c r="R388" s="159">
        <f t="shared" si="104"/>
        <v>22.879166666666666</v>
      </c>
      <c r="S388" s="155">
        <f>_xlfn.XLOOKUP(P388,'Annual Real'!A:A,'Annual Real'!B:B,0,0)</f>
        <v>27.6745064632835</v>
      </c>
      <c r="T388" s="155">
        <f t="shared" ca="1" si="105"/>
        <v>1.9355279762020923</v>
      </c>
      <c r="U388" s="152">
        <f t="shared" ca="1" si="106"/>
        <v>1.9355279762020923</v>
      </c>
      <c r="V388" s="152" t="b">
        <f t="shared" si="112"/>
        <v>0</v>
      </c>
      <c r="W388" s="152" t="b">
        <f t="shared" si="113"/>
        <v>0</v>
      </c>
      <c r="X388" s="154">
        <f>LOOKUP(D388,'US Implicit Deflator'!A:A,'US Implicit Deflator'!B:B)/100</f>
        <v>3.3000000000000002E-2</v>
      </c>
      <c r="Y388" s="154">
        <f t="shared" si="107"/>
        <v>2.7092626147666721E-3</v>
      </c>
      <c r="Z388" s="165">
        <f t="shared" ca="1" si="108"/>
        <v>3.5281293825106568</v>
      </c>
      <c r="AA388" s="152">
        <f t="shared" si="109"/>
        <v>7</v>
      </c>
      <c r="AB388" s="153">
        <f t="shared" si="110"/>
        <v>33117</v>
      </c>
      <c r="AC388" s="155">
        <f t="shared" ca="1" si="111"/>
        <v>1.9355279762020923</v>
      </c>
    </row>
    <row r="389" spans="3:29">
      <c r="C389" s="152" t="str">
        <f>'Monthly Prices'!A377</f>
        <v>1990M10</v>
      </c>
      <c r="D389" s="153">
        <f t="shared" si="100"/>
        <v>33147</v>
      </c>
      <c r="E389" s="152">
        <f t="shared" si="101"/>
        <v>370</v>
      </c>
      <c r="F389" s="152" t="b">
        <f t="shared" si="95"/>
        <v>0</v>
      </c>
      <c r="G389" s="152" t="b">
        <f t="shared" si="96"/>
        <v>1</v>
      </c>
      <c r="H389" s="152" t="b">
        <f t="shared" si="97"/>
        <v>0</v>
      </c>
      <c r="I389" s="153" t="e">
        <f t="shared" si="98"/>
        <v>#N/A</v>
      </c>
      <c r="J389" s="158">
        <f>INDEX('Monthly Prices'!B377:CB377,$G$4)</f>
        <v>100.34</v>
      </c>
      <c r="K389" s="158" t="b">
        <f>IF(H389,INDEX('Monthly Prices'!B377:CB377,$G$4)*U389,FALSE)</f>
        <v>0</v>
      </c>
      <c r="L389" s="152" t="b">
        <f t="shared" si="102"/>
        <v>1</v>
      </c>
      <c r="M389" s="158">
        <f>INDEX('Monthly Prices'!B377:CB377,$G$5)</f>
        <v>88.16</v>
      </c>
      <c r="N389" s="158" t="b">
        <f>IF(H389,INDEX('Monthly Prices'!B377:CB377,$G$5)*U389,FALSE)</f>
        <v>0</v>
      </c>
      <c r="O389" s="152" t="b">
        <f t="shared" si="99"/>
        <v>1</v>
      </c>
      <c r="P389" s="152">
        <f t="shared" si="103"/>
        <v>1990</v>
      </c>
      <c r="Q389" s="159">
        <f>'Monthly Prices'!B377</f>
        <v>34.5</v>
      </c>
      <c r="R389" s="159">
        <f t="shared" si="104"/>
        <v>22.879166666666666</v>
      </c>
      <c r="S389" s="155">
        <f>_xlfn.XLOOKUP(P389,'Annual Real'!A:A,'Annual Real'!B:B,0,0)</f>
        <v>27.6745064632835</v>
      </c>
      <c r="T389" s="155">
        <f t="shared" ca="1" si="105"/>
        <v>1.9295217284615291</v>
      </c>
      <c r="U389" s="152">
        <f t="shared" ca="1" si="106"/>
        <v>1.9295217284615291</v>
      </c>
      <c r="V389" s="152" t="b">
        <f t="shared" si="112"/>
        <v>0</v>
      </c>
      <c r="W389" s="152" t="b">
        <f t="shared" si="113"/>
        <v>0</v>
      </c>
      <c r="X389" s="154">
        <f>LOOKUP(D389,'US Implicit Deflator'!A:A,'US Implicit Deflator'!B:B)/100</f>
        <v>3.7999999999999999E-2</v>
      </c>
      <c r="Y389" s="154">
        <f t="shared" si="107"/>
        <v>3.1128168457330574E-3</v>
      </c>
      <c r="Z389" s="165">
        <f t="shared" ca="1" si="108"/>
        <v>3.5391118030864619</v>
      </c>
      <c r="AA389" s="152">
        <f t="shared" si="109"/>
        <v>7</v>
      </c>
      <c r="AB389" s="153">
        <f t="shared" si="110"/>
        <v>33147</v>
      </c>
      <c r="AC389" s="155">
        <f t="shared" ca="1" si="111"/>
        <v>1.9295217284615291</v>
      </c>
    </row>
    <row r="390" spans="3:29">
      <c r="C390" s="152" t="str">
        <f>'Monthly Prices'!A378</f>
        <v>1990M11</v>
      </c>
      <c r="D390" s="153">
        <f t="shared" si="100"/>
        <v>33178</v>
      </c>
      <c r="E390" s="152">
        <f t="shared" si="101"/>
        <v>371</v>
      </c>
      <c r="F390" s="152" t="b">
        <f t="shared" si="95"/>
        <v>0</v>
      </c>
      <c r="G390" s="152" t="b">
        <f t="shared" si="96"/>
        <v>1</v>
      </c>
      <c r="H390" s="152" t="b">
        <f t="shared" si="97"/>
        <v>0</v>
      </c>
      <c r="I390" s="153" t="e">
        <f t="shared" si="98"/>
        <v>#N/A</v>
      </c>
      <c r="J390" s="158">
        <f>INDEX('Monthly Prices'!B378:CB378,$G$4)</f>
        <v>100.39</v>
      </c>
      <c r="K390" s="158" t="b">
        <f>IF(H390,INDEX('Monthly Prices'!B378:CB378,$G$4)*U390,FALSE)</f>
        <v>0</v>
      </c>
      <c r="L390" s="152" t="b">
        <f t="shared" si="102"/>
        <v>1</v>
      </c>
      <c r="M390" s="158">
        <f>INDEX('Monthly Prices'!B378:CB378,$G$5)</f>
        <v>91.47</v>
      </c>
      <c r="N390" s="158" t="b">
        <f>IF(H390,INDEX('Monthly Prices'!B378:CB378,$G$5)*U390,FALSE)</f>
        <v>0</v>
      </c>
      <c r="O390" s="152" t="b">
        <f t="shared" si="99"/>
        <v>1</v>
      </c>
      <c r="P390" s="152">
        <f t="shared" si="103"/>
        <v>1990</v>
      </c>
      <c r="Q390" s="159">
        <f>'Monthly Prices'!B378</f>
        <v>31.08333333333</v>
      </c>
      <c r="R390" s="159">
        <f t="shared" si="104"/>
        <v>22.879166666666666</v>
      </c>
      <c r="S390" s="155">
        <f>_xlfn.XLOOKUP(P390,'Annual Real'!A:A,'Annual Real'!B:B,0,0)</f>
        <v>27.6745064632835</v>
      </c>
      <c r="T390" s="155">
        <f t="shared" ca="1" si="105"/>
        <v>1.9235341190524007</v>
      </c>
      <c r="U390" s="152">
        <f t="shared" ca="1" si="106"/>
        <v>1.9235341190524007</v>
      </c>
      <c r="V390" s="152" t="b">
        <f t="shared" si="112"/>
        <v>0</v>
      </c>
      <c r="W390" s="152" t="b">
        <f t="shared" si="113"/>
        <v>0</v>
      </c>
      <c r="X390" s="154">
        <f>LOOKUP(D390,'US Implicit Deflator'!A:A,'US Implicit Deflator'!B:B)/100</f>
        <v>3.7999999999999999E-2</v>
      </c>
      <c r="Y390" s="154">
        <f t="shared" si="107"/>
        <v>3.1128168457330574E-3</v>
      </c>
      <c r="Z390" s="165">
        <f t="shared" ca="1" si="108"/>
        <v>3.550128409926042</v>
      </c>
      <c r="AA390" s="152">
        <f t="shared" si="109"/>
        <v>7</v>
      </c>
      <c r="AB390" s="153">
        <f t="shared" si="110"/>
        <v>33178</v>
      </c>
      <c r="AC390" s="155">
        <f t="shared" ca="1" si="111"/>
        <v>1.9235341190524007</v>
      </c>
    </row>
    <row r="391" spans="3:29">
      <c r="C391" s="152" t="str">
        <f>'Monthly Prices'!A379</f>
        <v>1990M12</v>
      </c>
      <c r="D391" s="153">
        <f t="shared" si="100"/>
        <v>33208</v>
      </c>
      <c r="E391" s="152">
        <f t="shared" si="101"/>
        <v>372</v>
      </c>
      <c r="F391" s="152" t="b">
        <f t="shared" si="95"/>
        <v>0</v>
      </c>
      <c r="G391" s="152" t="b">
        <f t="shared" si="96"/>
        <v>1</v>
      </c>
      <c r="H391" s="152" t="b">
        <f t="shared" si="97"/>
        <v>0</v>
      </c>
      <c r="I391" s="153" t="e">
        <f t="shared" si="98"/>
        <v>#N/A</v>
      </c>
      <c r="J391" s="158">
        <f>INDEX('Monthly Prices'!B379:CB379,$G$4)</f>
        <v>102.01</v>
      </c>
      <c r="K391" s="158" t="b">
        <f>IF(H391,INDEX('Monthly Prices'!B379:CB379,$G$4)*U391,FALSE)</f>
        <v>0</v>
      </c>
      <c r="L391" s="152" t="b">
        <f t="shared" si="102"/>
        <v>1</v>
      </c>
      <c r="M391" s="158">
        <f>INDEX('Monthly Prices'!B379:CB379,$G$5)</f>
        <v>89.81</v>
      </c>
      <c r="N391" s="158" t="b">
        <f>IF(H391,INDEX('Monthly Prices'!B379:CB379,$G$5)*U391,FALSE)</f>
        <v>0</v>
      </c>
      <c r="O391" s="152" t="b">
        <f t="shared" si="99"/>
        <v>1</v>
      </c>
      <c r="P391" s="152">
        <f t="shared" si="103"/>
        <v>1990</v>
      </c>
      <c r="Q391" s="159">
        <f>'Monthly Prices'!B379</f>
        <v>26.13333333333</v>
      </c>
      <c r="R391" s="159">
        <f t="shared" si="104"/>
        <v>22.879166666666666</v>
      </c>
      <c r="S391" s="155">
        <f>_xlfn.XLOOKUP(P391,'Annual Real'!A:A,'Annual Real'!B:B,0,0)</f>
        <v>27.6745064632835</v>
      </c>
      <c r="T391" s="155">
        <f t="shared" ca="1" si="105"/>
        <v>1.9175650901370325</v>
      </c>
      <c r="U391" s="152">
        <f t="shared" ca="1" si="106"/>
        <v>1.9175650901370325</v>
      </c>
      <c r="V391" s="152" t="b">
        <f t="shared" si="112"/>
        <v>0</v>
      </c>
      <c r="W391" s="152" t="b">
        <f t="shared" si="113"/>
        <v>0</v>
      </c>
      <c r="X391" s="154">
        <f>LOOKUP(D391,'US Implicit Deflator'!A:A,'US Implicit Deflator'!B:B)/100</f>
        <v>3.7999999999999999E-2</v>
      </c>
      <c r="Y391" s="154">
        <f t="shared" si="107"/>
        <v>3.1128168457330574E-3</v>
      </c>
      <c r="Z391" s="165">
        <f t="shared" ca="1" si="108"/>
        <v>3.5611793094449751</v>
      </c>
      <c r="AA391" s="152">
        <f t="shared" si="109"/>
        <v>7</v>
      </c>
      <c r="AB391" s="153">
        <f t="shared" si="110"/>
        <v>33208</v>
      </c>
      <c r="AC391" s="155">
        <f t="shared" ca="1" si="111"/>
        <v>1.9175650901370325</v>
      </c>
    </row>
    <row r="392" spans="3:29">
      <c r="C392" s="152" t="str">
        <f>'Monthly Prices'!A380</f>
        <v>1991M01</v>
      </c>
      <c r="D392" s="153">
        <f t="shared" si="100"/>
        <v>33239</v>
      </c>
      <c r="E392" s="152">
        <f t="shared" si="101"/>
        <v>373</v>
      </c>
      <c r="F392" s="152" t="b">
        <f t="shared" si="95"/>
        <v>0</v>
      </c>
      <c r="G392" s="152" t="b">
        <f t="shared" si="96"/>
        <v>1</v>
      </c>
      <c r="H392" s="152" t="b">
        <f t="shared" si="97"/>
        <v>0</v>
      </c>
      <c r="I392" s="153" t="e">
        <f t="shared" si="98"/>
        <v>#N/A</v>
      </c>
      <c r="J392" s="158">
        <f>INDEX('Monthly Prices'!B380:CB380,$G$4)</f>
        <v>105.67</v>
      </c>
      <c r="K392" s="158" t="b">
        <f>IF(H392,INDEX('Monthly Prices'!B380:CB380,$G$4)*U392,FALSE)</f>
        <v>0</v>
      </c>
      <c r="L392" s="152" t="b">
        <f t="shared" si="102"/>
        <v>1</v>
      </c>
      <c r="M392" s="158">
        <f>INDEX('Monthly Prices'!B380:CB380,$G$5)</f>
        <v>93.88</v>
      </c>
      <c r="N392" s="158" t="b">
        <f>IF(H392,INDEX('Monthly Prices'!B380:CB380,$G$5)*U392,FALSE)</f>
        <v>0</v>
      </c>
      <c r="O392" s="152" t="b">
        <f t="shared" si="99"/>
        <v>1</v>
      </c>
      <c r="P392" s="152">
        <f t="shared" si="103"/>
        <v>1991</v>
      </c>
      <c r="Q392" s="159">
        <f>'Monthly Prices'!B380</f>
        <v>22.58333333333</v>
      </c>
      <c r="R392" s="159">
        <f t="shared" si="104"/>
        <v>19.370833333334168</v>
      </c>
      <c r="S392" s="155">
        <f>_xlfn.XLOOKUP(P392,'Annual Real'!A:A,'Annual Real'!B:B,0,0)</f>
        <v>23.6483093945284</v>
      </c>
      <c r="T392" s="155">
        <f t="shared" ca="1" si="105"/>
        <v>1.9117681335757675</v>
      </c>
      <c r="U392" s="152">
        <f t="shared" ca="1" si="106"/>
        <v>1.9117681335757675</v>
      </c>
      <c r="V392" s="152" t="b">
        <f t="shared" si="112"/>
        <v>0</v>
      </c>
      <c r="W392" s="152" t="b">
        <f t="shared" si="113"/>
        <v>0</v>
      </c>
      <c r="X392" s="154">
        <f>LOOKUP(D392,'US Implicit Deflator'!A:A,'US Implicit Deflator'!B:B)/100</f>
        <v>3.7000000000000005E-2</v>
      </c>
      <c r="Y392" s="154">
        <f t="shared" si="107"/>
        <v>3.0322487646148311E-3</v>
      </c>
      <c r="Z392" s="165">
        <f t="shared" ca="1" si="108"/>
        <v>3.5719776910066114</v>
      </c>
      <c r="AA392" s="152">
        <f t="shared" si="109"/>
        <v>7</v>
      </c>
      <c r="AB392" s="153">
        <f t="shared" si="110"/>
        <v>33239</v>
      </c>
      <c r="AC392" s="155">
        <f t="shared" ca="1" si="111"/>
        <v>1.9117681335757675</v>
      </c>
    </row>
    <row r="393" spans="3:29">
      <c r="C393" s="152" t="str">
        <f>'Monthly Prices'!A381</f>
        <v>1991M02</v>
      </c>
      <c r="D393" s="153">
        <f t="shared" si="100"/>
        <v>33270</v>
      </c>
      <c r="E393" s="152">
        <f t="shared" si="101"/>
        <v>374</v>
      </c>
      <c r="F393" s="152" t="b">
        <f t="shared" si="95"/>
        <v>0</v>
      </c>
      <c r="G393" s="152" t="b">
        <f t="shared" si="96"/>
        <v>1</v>
      </c>
      <c r="H393" s="152" t="b">
        <f t="shared" si="97"/>
        <v>0</v>
      </c>
      <c r="I393" s="153" t="e">
        <f t="shared" si="98"/>
        <v>#N/A</v>
      </c>
      <c r="J393" s="158">
        <f>INDEX('Monthly Prices'!B381:CB381,$G$4)</f>
        <v>106.1</v>
      </c>
      <c r="K393" s="158" t="b">
        <f>IF(H393,INDEX('Monthly Prices'!B381:CB381,$G$4)*U393,FALSE)</f>
        <v>0</v>
      </c>
      <c r="L393" s="152" t="b">
        <f t="shared" si="102"/>
        <v>1</v>
      </c>
      <c r="M393" s="158">
        <f>INDEX('Monthly Prices'!B381:CB381,$G$5)</f>
        <v>92.04</v>
      </c>
      <c r="N393" s="158" t="b">
        <f>IF(H393,INDEX('Monthly Prices'!B381:CB381,$G$5)*U393,FALSE)</f>
        <v>0</v>
      </c>
      <c r="O393" s="152" t="b">
        <f t="shared" si="99"/>
        <v>1</v>
      </c>
      <c r="P393" s="152">
        <f t="shared" si="103"/>
        <v>1991</v>
      </c>
      <c r="Q393" s="159">
        <f>'Monthly Prices'!B381</f>
        <v>18.13333333333</v>
      </c>
      <c r="R393" s="159">
        <f t="shared" si="104"/>
        <v>19.370833333334168</v>
      </c>
      <c r="S393" s="155">
        <f>_xlfn.XLOOKUP(P393,'Annual Real'!A:A,'Annual Real'!B:B,0,0)</f>
        <v>23.6483093945284</v>
      </c>
      <c r="T393" s="155">
        <f t="shared" ca="1" si="105"/>
        <v>1.905988701689699</v>
      </c>
      <c r="U393" s="152">
        <f t="shared" ca="1" si="106"/>
        <v>1.905988701689699</v>
      </c>
      <c r="V393" s="152" t="b">
        <f t="shared" si="112"/>
        <v>0</v>
      </c>
      <c r="W393" s="152" t="b">
        <f t="shared" si="113"/>
        <v>0</v>
      </c>
      <c r="X393" s="154">
        <f>LOOKUP(D393,'US Implicit Deflator'!A:A,'US Implicit Deflator'!B:B)/100</f>
        <v>3.7000000000000005E-2</v>
      </c>
      <c r="Y393" s="154">
        <f t="shared" si="107"/>
        <v>3.0322487646148311E-3</v>
      </c>
      <c r="Z393" s="165">
        <f t="shared" ca="1" si="108"/>
        <v>3.5828088159473981</v>
      </c>
      <c r="AA393" s="152">
        <f t="shared" si="109"/>
        <v>7</v>
      </c>
      <c r="AB393" s="153">
        <f t="shared" si="110"/>
        <v>33270</v>
      </c>
      <c r="AC393" s="155">
        <f t="shared" ca="1" si="111"/>
        <v>1.905988701689699</v>
      </c>
    </row>
    <row r="394" spans="3:29">
      <c r="C394" s="152" t="str">
        <f>'Monthly Prices'!A382</f>
        <v>1991M03</v>
      </c>
      <c r="D394" s="153">
        <f t="shared" si="100"/>
        <v>33298</v>
      </c>
      <c r="E394" s="152">
        <f t="shared" si="101"/>
        <v>375</v>
      </c>
      <c r="F394" s="152" t="b">
        <f t="shared" si="95"/>
        <v>0</v>
      </c>
      <c r="G394" s="152" t="b">
        <f t="shared" si="96"/>
        <v>1</v>
      </c>
      <c r="H394" s="152" t="b">
        <f t="shared" si="97"/>
        <v>0</v>
      </c>
      <c r="I394" s="153" t="e">
        <f t="shared" si="98"/>
        <v>#N/A</v>
      </c>
      <c r="J394" s="158">
        <f>INDEX('Monthly Prices'!B382:CB382,$G$4)</f>
        <v>109.54</v>
      </c>
      <c r="K394" s="158" t="b">
        <f>IF(H394,INDEX('Monthly Prices'!B382:CB382,$G$4)*U394,FALSE)</f>
        <v>0</v>
      </c>
      <c r="L394" s="152" t="b">
        <f t="shared" si="102"/>
        <v>1</v>
      </c>
      <c r="M394" s="158">
        <f>INDEX('Monthly Prices'!B382:CB382,$G$5)</f>
        <v>88.09</v>
      </c>
      <c r="N394" s="158" t="b">
        <f>IF(H394,INDEX('Monthly Prices'!B382:CB382,$G$5)*U394,FALSE)</f>
        <v>0</v>
      </c>
      <c r="O394" s="152" t="b">
        <f t="shared" si="99"/>
        <v>1</v>
      </c>
      <c r="P394" s="152">
        <f t="shared" si="103"/>
        <v>1991</v>
      </c>
      <c r="Q394" s="159">
        <f>'Monthly Prices'!B382</f>
        <v>18.066666666669999</v>
      </c>
      <c r="R394" s="159">
        <f t="shared" si="104"/>
        <v>19.370833333334168</v>
      </c>
      <c r="S394" s="155">
        <f>_xlfn.XLOOKUP(P394,'Annual Real'!A:A,'Annual Real'!B:B,0,0)</f>
        <v>23.6483093945284</v>
      </c>
      <c r="T394" s="155">
        <f t="shared" ca="1" si="105"/>
        <v>1.9002267415002965</v>
      </c>
      <c r="U394" s="152">
        <f t="shared" ca="1" si="106"/>
        <v>1.9002267415002965</v>
      </c>
      <c r="V394" s="152" t="b">
        <f t="shared" si="112"/>
        <v>0</v>
      </c>
      <c r="W394" s="152" t="b">
        <f t="shared" si="113"/>
        <v>0</v>
      </c>
      <c r="X394" s="154">
        <f>LOOKUP(D394,'US Implicit Deflator'!A:A,'US Implicit Deflator'!B:B)/100</f>
        <v>3.7000000000000005E-2</v>
      </c>
      <c r="Y394" s="154">
        <f t="shared" si="107"/>
        <v>3.0322487646148311E-3</v>
      </c>
      <c r="Z394" s="165">
        <f t="shared" ca="1" si="108"/>
        <v>3.5936727835534059</v>
      </c>
      <c r="AA394" s="152">
        <f t="shared" si="109"/>
        <v>7</v>
      </c>
      <c r="AB394" s="153">
        <f t="shared" si="110"/>
        <v>33298</v>
      </c>
      <c r="AC394" s="155">
        <f t="shared" ca="1" si="111"/>
        <v>1.9002267415002965</v>
      </c>
    </row>
    <row r="395" spans="3:29">
      <c r="C395" s="152" t="str">
        <f>'Monthly Prices'!A383</f>
        <v>1991M04</v>
      </c>
      <c r="D395" s="153">
        <f t="shared" si="100"/>
        <v>33329</v>
      </c>
      <c r="E395" s="152">
        <f t="shared" si="101"/>
        <v>376</v>
      </c>
      <c r="F395" s="152" t="b">
        <f t="shared" si="95"/>
        <v>0</v>
      </c>
      <c r="G395" s="152" t="b">
        <f t="shared" si="96"/>
        <v>1</v>
      </c>
      <c r="H395" s="152" t="b">
        <f t="shared" si="97"/>
        <v>0</v>
      </c>
      <c r="I395" s="153" t="e">
        <f t="shared" si="98"/>
        <v>#N/A</v>
      </c>
      <c r="J395" s="158">
        <f>INDEX('Monthly Prices'!B383:CB383,$G$4)</f>
        <v>110.33</v>
      </c>
      <c r="K395" s="158" t="b">
        <f>IF(H395,INDEX('Monthly Prices'!B383:CB383,$G$4)*U395,FALSE)</f>
        <v>0</v>
      </c>
      <c r="L395" s="152" t="b">
        <f t="shared" si="102"/>
        <v>1</v>
      </c>
      <c r="M395" s="158">
        <f>INDEX('Monthly Prices'!B383:CB383,$G$5)</f>
        <v>85.15</v>
      </c>
      <c r="N395" s="158" t="b">
        <f>IF(H395,INDEX('Monthly Prices'!B383:CB383,$G$5)*U395,FALSE)</f>
        <v>0</v>
      </c>
      <c r="O395" s="152" t="b">
        <f t="shared" si="99"/>
        <v>1</v>
      </c>
      <c r="P395" s="152">
        <f t="shared" si="103"/>
        <v>1991</v>
      </c>
      <c r="Q395" s="159">
        <f>'Monthly Prices'!B383</f>
        <v>18.466666666670001</v>
      </c>
      <c r="R395" s="159">
        <f t="shared" si="104"/>
        <v>19.370833333334168</v>
      </c>
      <c r="S395" s="155">
        <f>_xlfn.XLOOKUP(P395,'Annual Real'!A:A,'Annual Real'!B:B,0,0)</f>
        <v>23.6483093945284</v>
      </c>
      <c r="T395" s="155">
        <f t="shared" ca="1" si="105"/>
        <v>1.8952453979748332</v>
      </c>
      <c r="U395" s="152">
        <f t="shared" ca="1" si="106"/>
        <v>1.8952453979748332</v>
      </c>
      <c r="V395" s="152" t="b">
        <f t="shared" si="112"/>
        <v>0</v>
      </c>
      <c r="W395" s="152" t="b">
        <f t="shared" si="113"/>
        <v>0</v>
      </c>
      <c r="X395" s="154">
        <f>LOOKUP(D395,'US Implicit Deflator'!A:A,'US Implicit Deflator'!B:B)/100</f>
        <v>3.2000000000000001E-2</v>
      </c>
      <c r="Y395" s="154">
        <f t="shared" si="107"/>
        <v>2.6283369587845051E-3</v>
      </c>
      <c r="Z395" s="165">
        <f t="shared" ca="1" si="108"/>
        <v>3.6031181665481973</v>
      </c>
      <c r="AA395" s="152">
        <f t="shared" si="109"/>
        <v>7</v>
      </c>
      <c r="AB395" s="153">
        <f t="shared" si="110"/>
        <v>33329</v>
      </c>
      <c r="AC395" s="155">
        <f t="shared" ca="1" si="111"/>
        <v>1.8952453979748332</v>
      </c>
    </row>
    <row r="396" spans="3:29">
      <c r="C396" s="152" t="str">
        <f>'Monthly Prices'!A384</f>
        <v>1991M05</v>
      </c>
      <c r="D396" s="153">
        <f t="shared" si="100"/>
        <v>33359</v>
      </c>
      <c r="E396" s="152">
        <f t="shared" si="101"/>
        <v>377</v>
      </c>
      <c r="F396" s="152" t="b">
        <f t="shared" si="95"/>
        <v>0</v>
      </c>
      <c r="G396" s="152" t="b">
        <f t="shared" si="96"/>
        <v>1</v>
      </c>
      <c r="H396" s="152" t="b">
        <f t="shared" si="97"/>
        <v>0</v>
      </c>
      <c r="I396" s="153" t="e">
        <f t="shared" si="98"/>
        <v>#N/A</v>
      </c>
      <c r="J396" s="158">
        <f>INDEX('Monthly Prices'!B384:CB384,$G$4)</f>
        <v>105.7</v>
      </c>
      <c r="K396" s="158" t="b">
        <f>IF(H396,INDEX('Monthly Prices'!B384:CB384,$G$4)*U396,FALSE)</f>
        <v>0</v>
      </c>
      <c r="L396" s="152" t="b">
        <f t="shared" si="102"/>
        <v>1</v>
      </c>
      <c r="M396" s="158">
        <f>INDEX('Monthly Prices'!B384:CB384,$G$5)</f>
        <v>85.3</v>
      </c>
      <c r="N396" s="158" t="b">
        <f>IF(H396,INDEX('Monthly Prices'!B384:CB384,$G$5)*U396,FALSE)</f>
        <v>0</v>
      </c>
      <c r="O396" s="152" t="b">
        <f t="shared" si="99"/>
        <v>1</v>
      </c>
      <c r="P396" s="152">
        <f t="shared" si="103"/>
        <v>1991</v>
      </c>
      <c r="Q396" s="159">
        <f>'Monthly Prices'!B384</f>
        <v>18.816666666669999</v>
      </c>
      <c r="R396" s="159">
        <f t="shared" si="104"/>
        <v>19.370833333334168</v>
      </c>
      <c r="S396" s="155">
        <f>_xlfn.XLOOKUP(P396,'Annual Real'!A:A,'Annual Real'!B:B,0,0)</f>
        <v>23.6483093945284</v>
      </c>
      <c r="T396" s="155">
        <f t="shared" ca="1" si="105"/>
        <v>1.8902771127769769</v>
      </c>
      <c r="U396" s="152">
        <f t="shared" ca="1" si="106"/>
        <v>1.8902771127769769</v>
      </c>
      <c r="V396" s="152" t="b">
        <f t="shared" si="112"/>
        <v>0</v>
      </c>
      <c r="W396" s="152" t="b">
        <f t="shared" si="113"/>
        <v>0</v>
      </c>
      <c r="X396" s="154">
        <f>LOOKUP(D396,'US Implicit Deflator'!A:A,'US Implicit Deflator'!B:B)/100</f>
        <v>3.2000000000000001E-2</v>
      </c>
      <c r="Y396" s="154">
        <f t="shared" si="107"/>
        <v>2.6283369587845051E-3</v>
      </c>
      <c r="Z396" s="165">
        <f t="shared" ca="1" si="108"/>
        <v>3.6125883751922037</v>
      </c>
      <c r="AA396" s="152">
        <f t="shared" si="109"/>
        <v>7</v>
      </c>
      <c r="AB396" s="153">
        <f t="shared" si="110"/>
        <v>33359</v>
      </c>
      <c r="AC396" s="155">
        <f t="shared" ca="1" si="111"/>
        <v>1.8902771127769769</v>
      </c>
    </row>
    <row r="397" spans="3:29">
      <c r="C397" s="152" t="str">
        <f>'Monthly Prices'!A385</f>
        <v>1991M06</v>
      </c>
      <c r="D397" s="153">
        <f t="shared" si="100"/>
        <v>33390</v>
      </c>
      <c r="E397" s="152">
        <f t="shared" si="101"/>
        <v>378</v>
      </c>
      <c r="F397" s="152" t="b">
        <f t="shared" si="95"/>
        <v>0</v>
      </c>
      <c r="G397" s="152" t="b">
        <f t="shared" si="96"/>
        <v>1</v>
      </c>
      <c r="H397" s="152" t="b">
        <f t="shared" si="97"/>
        <v>0</v>
      </c>
      <c r="I397" s="153" t="e">
        <f t="shared" si="98"/>
        <v>#N/A</v>
      </c>
      <c r="J397" s="158">
        <f>INDEX('Monthly Prices'!B385:CB385,$G$4)</f>
        <v>104.21</v>
      </c>
      <c r="K397" s="158" t="b">
        <f>IF(H397,INDEX('Monthly Prices'!B385:CB385,$G$4)*U397,FALSE)</f>
        <v>0</v>
      </c>
      <c r="L397" s="152" t="b">
        <f t="shared" si="102"/>
        <v>1</v>
      </c>
      <c r="M397" s="158">
        <f>INDEX('Monthly Prices'!B385:CB385,$G$5)</f>
        <v>71.28</v>
      </c>
      <c r="N397" s="158" t="b">
        <f>IF(H397,INDEX('Monthly Prices'!B385:CB385,$G$5)*U397,FALSE)</f>
        <v>0</v>
      </c>
      <c r="O397" s="152" t="b">
        <f t="shared" si="99"/>
        <v>1</v>
      </c>
      <c r="P397" s="152">
        <f t="shared" si="103"/>
        <v>1991</v>
      </c>
      <c r="Q397" s="159">
        <f>'Monthly Prices'!B385</f>
        <v>17.933333333330001</v>
      </c>
      <c r="R397" s="159">
        <f t="shared" si="104"/>
        <v>19.370833333334168</v>
      </c>
      <c r="S397" s="155">
        <f>_xlfn.XLOOKUP(P397,'Annual Real'!A:A,'Annual Real'!B:B,0,0)</f>
        <v>23.6483093945284</v>
      </c>
      <c r="T397" s="155">
        <f t="shared" ca="1" si="105"/>
        <v>1.8853218516750154</v>
      </c>
      <c r="U397" s="152">
        <f t="shared" ca="1" si="106"/>
        <v>1.8853218516750154</v>
      </c>
      <c r="V397" s="152" t="b">
        <f t="shared" si="112"/>
        <v>0</v>
      </c>
      <c r="W397" s="152" t="b">
        <f t="shared" si="113"/>
        <v>0</v>
      </c>
      <c r="X397" s="154">
        <f>LOOKUP(D397,'US Implicit Deflator'!A:A,'US Implicit Deflator'!B:B)/100</f>
        <v>3.2000000000000001E-2</v>
      </c>
      <c r="Y397" s="154">
        <f t="shared" si="107"/>
        <v>2.6283369587845051E-3</v>
      </c>
      <c r="Z397" s="165">
        <f t="shared" ca="1" si="108"/>
        <v>3.6220834747355966</v>
      </c>
      <c r="AA397" s="152">
        <f t="shared" si="109"/>
        <v>7</v>
      </c>
      <c r="AB397" s="153">
        <f t="shared" si="110"/>
        <v>33390</v>
      </c>
      <c r="AC397" s="155">
        <f t="shared" ca="1" si="111"/>
        <v>1.8853218516750154</v>
      </c>
    </row>
    <row r="398" spans="3:29">
      <c r="C398" s="152" t="str">
        <f>'Monthly Prices'!A386</f>
        <v>1991M07</v>
      </c>
      <c r="D398" s="153">
        <f t="shared" si="100"/>
        <v>33420</v>
      </c>
      <c r="E398" s="152">
        <f t="shared" si="101"/>
        <v>379</v>
      </c>
      <c r="F398" s="152" t="b">
        <f t="shared" si="95"/>
        <v>0</v>
      </c>
      <c r="G398" s="152" t="b">
        <f t="shared" si="96"/>
        <v>1</v>
      </c>
      <c r="H398" s="152" t="b">
        <f t="shared" si="97"/>
        <v>0</v>
      </c>
      <c r="I398" s="153" t="e">
        <f t="shared" si="98"/>
        <v>#N/A</v>
      </c>
      <c r="J398" s="158">
        <f>INDEX('Monthly Prices'!B386:CB386,$G$4)</f>
        <v>105.11</v>
      </c>
      <c r="K398" s="158" t="b">
        <f>IF(H398,INDEX('Monthly Prices'!B386:CB386,$G$4)*U398,FALSE)</f>
        <v>0</v>
      </c>
      <c r="L398" s="152" t="b">
        <f t="shared" si="102"/>
        <v>1</v>
      </c>
      <c r="M398" s="158">
        <f>INDEX('Monthly Prices'!B386:CB386,$G$5)</f>
        <v>72.27</v>
      </c>
      <c r="N398" s="158" t="b">
        <f>IF(H398,INDEX('Monthly Prices'!B386:CB386,$G$5)*U398,FALSE)</f>
        <v>0</v>
      </c>
      <c r="O398" s="152" t="b">
        <f t="shared" si="99"/>
        <v>1</v>
      </c>
      <c r="P398" s="152">
        <f t="shared" si="103"/>
        <v>1991</v>
      </c>
      <c r="Q398" s="159">
        <f>'Monthly Prices'!B386</f>
        <v>19.05</v>
      </c>
      <c r="R398" s="159">
        <f t="shared" si="104"/>
        <v>19.370833333334168</v>
      </c>
      <c r="S398" s="155">
        <f>_xlfn.XLOOKUP(P398,'Annual Real'!A:A,'Annual Real'!B:B,0,0)</f>
        <v>23.6483093945284</v>
      </c>
      <c r="T398" s="155">
        <f t="shared" ca="1" si="105"/>
        <v>1.8806835786138123</v>
      </c>
      <c r="U398" s="152">
        <f t="shared" ca="1" si="106"/>
        <v>1.8806835786138123</v>
      </c>
      <c r="V398" s="152" t="b">
        <f t="shared" si="112"/>
        <v>0</v>
      </c>
      <c r="W398" s="152" t="b">
        <f t="shared" si="113"/>
        <v>0</v>
      </c>
      <c r="X398" s="154">
        <f>LOOKUP(D398,'US Implicit Deflator'!A:A,'US Implicit Deflator'!B:B)/100</f>
        <v>0.03</v>
      </c>
      <c r="Y398" s="154">
        <f t="shared" si="107"/>
        <v>2.4662697723036864E-3</v>
      </c>
      <c r="Z398" s="165">
        <f t="shared" ca="1" si="108"/>
        <v>3.6310165097220977</v>
      </c>
      <c r="AA398" s="152">
        <f t="shared" si="109"/>
        <v>7</v>
      </c>
      <c r="AB398" s="153">
        <f t="shared" si="110"/>
        <v>33420</v>
      </c>
      <c r="AC398" s="155">
        <f t="shared" ca="1" si="111"/>
        <v>1.8806835786138123</v>
      </c>
    </row>
    <row r="399" spans="3:29">
      <c r="C399" s="152" t="str">
        <f>'Monthly Prices'!A387</f>
        <v>1991M08</v>
      </c>
      <c r="D399" s="153">
        <f t="shared" si="100"/>
        <v>33451</v>
      </c>
      <c r="E399" s="152">
        <f t="shared" si="101"/>
        <v>380</v>
      </c>
      <c r="F399" s="152" t="b">
        <f t="shared" si="95"/>
        <v>0</v>
      </c>
      <c r="G399" s="152" t="b">
        <f t="shared" si="96"/>
        <v>1</v>
      </c>
      <c r="H399" s="152" t="b">
        <f t="shared" si="97"/>
        <v>0</v>
      </c>
      <c r="I399" s="153" t="e">
        <f t="shared" si="98"/>
        <v>#N/A</v>
      </c>
      <c r="J399" s="158">
        <f>INDEX('Monthly Prices'!B387:CB387,$G$4)</f>
        <v>110.43</v>
      </c>
      <c r="K399" s="158" t="b">
        <f>IF(H399,INDEX('Monthly Prices'!B387:CB387,$G$4)*U399,FALSE)</f>
        <v>0</v>
      </c>
      <c r="L399" s="152" t="b">
        <f t="shared" si="102"/>
        <v>1</v>
      </c>
      <c r="M399" s="158">
        <f>INDEX('Monthly Prices'!B387:CB387,$G$5)</f>
        <v>67.06</v>
      </c>
      <c r="N399" s="158" t="b">
        <f>IF(H399,INDEX('Monthly Prices'!B387:CB387,$G$5)*U399,FALSE)</f>
        <v>0</v>
      </c>
      <c r="O399" s="152" t="b">
        <f t="shared" si="99"/>
        <v>1</v>
      </c>
      <c r="P399" s="152">
        <f t="shared" si="103"/>
        <v>1991</v>
      </c>
      <c r="Q399" s="159">
        <f>'Monthly Prices'!B387</f>
        <v>19.36666666667</v>
      </c>
      <c r="R399" s="159">
        <f t="shared" si="104"/>
        <v>19.370833333334168</v>
      </c>
      <c r="S399" s="155">
        <f>_xlfn.XLOOKUP(P399,'Annual Real'!A:A,'Annual Real'!B:B,0,0)</f>
        <v>23.6483093945284</v>
      </c>
      <c r="T399" s="155">
        <f t="shared" ca="1" si="105"/>
        <v>1.8760567166424296</v>
      </c>
      <c r="U399" s="152">
        <f t="shared" ca="1" si="106"/>
        <v>1.8760567166424296</v>
      </c>
      <c r="V399" s="152" t="b">
        <f t="shared" si="112"/>
        <v>0</v>
      </c>
      <c r="W399" s="152" t="b">
        <f t="shared" si="113"/>
        <v>0</v>
      </c>
      <c r="X399" s="154">
        <f>LOOKUP(D399,'US Implicit Deflator'!A:A,'US Implicit Deflator'!B:B)/100</f>
        <v>0.03</v>
      </c>
      <c r="Y399" s="154">
        <f t="shared" si="107"/>
        <v>2.4662697723036864E-3</v>
      </c>
      <c r="Z399" s="165">
        <f t="shared" ca="1" si="108"/>
        <v>3.6399715759827611</v>
      </c>
      <c r="AA399" s="152">
        <f t="shared" si="109"/>
        <v>7</v>
      </c>
      <c r="AB399" s="153">
        <f t="shared" si="110"/>
        <v>33451</v>
      </c>
      <c r="AC399" s="155">
        <f t="shared" ca="1" si="111"/>
        <v>1.8760567166424296</v>
      </c>
    </row>
    <row r="400" spans="3:29">
      <c r="C400" s="152" t="str">
        <f>'Monthly Prices'!A388</f>
        <v>1991M09</v>
      </c>
      <c r="D400" s="153">
        <f t="shared" si="100"/>
        <v>33482</v>
      </c>
      <c r="E400" s="152">
        <f t="shared" si="101"/>
        <v>381</v>
      </c>
      <c r="F400" s="152" t="b">
        <f t="shared" si="95"/>
        <v>0</v>
      </c>
      <c r="G400" s="152" t="b">
        <f t="shared" si="96"/>
        <v>1</v>
      </c>
      <c r="H400" s="152" t="b">
        <f t="shared" si="97"/>
        <v>0</v>
      </c>
      <c r="I400" s="153" t="e">
        <f t="shared" si="98"/>
        <v>#N/A</v>
      </c>
      <c r="J400" s="158">
        <f>INDEX('Monthly Prices'!B388:CB388,$G$4)</f>
        <v>108.85</v>
      </c>
      <c r="K400" s="158" t="b">
        <f>IF(H400,INDEX('Monthly Prices'!B388:CB388,$G$4)*U400,FALSE)</f>
        <v>0</v>
      </c>
      <c r="L400" s="152" t="b">
        <f t="shared" si="102"/>
        <v>1</v>
      </c>
      <c r="M400" s="158">
        <f>INDEX('Monthly Prices'!B388:CB388,$G$5)</f>
        <v>67.430000000000007</v>
      </c>
      <c r="N400" s="158" t="b">
        <f>IF(H400,INDEX('Monthly Prices'!B388:CB388,$G$5)*U400,FALSE)</f>
        <v>0</v>
      </c>
      <c r="O400" s="152" t="b">
        <f t="shared" si="99"/>
        <v>1</v>
      </c>
      <c r="P400" s="152">
        <f t="shared" si="103"/>
        <v>1991</v>
      </c>
      <c r="Q400" s="159">
        <f>'Monthly Prices'!B388</f>
        <v>20.05</v>
      </c>
      <c r="R400" s="159">
        <f t="shared" si="104"/>
        <v>19.370833333334168</v>
      </c>
      <c r="S400" s="155">
        <f>_xlfn.XLOOKUP(P400,'Annual Real'!A:A,'Annual Real'!B:B,0,0)</f>
        <v>23.6483093945284</v>
      </c>
      <c r="T400" s="155">
        <f t="shared" ca="1" si="105"/>
        <v>1.8714412376872791</v>
      </c>
      <c r="U400" s="152">
        <f t="shared" ca="1" si="106"/>
        <v>1.8714412376872791</v>
      </c>
      <c r="V400" s="152" t="b">
        <f t="shared" si="112"/>
        <v>0</v>
      </c>
      <c r="W400" s="152" t="b">
        <f t="shared" si="113"/>
        <v>0</v>
      </c>
      <c r="X400" s="154">
        <f>LOOKUP(D400,'US Implicit Deflator'!A:A,'US Implicit Deflator'!B:B)/100</f>
        <v>0.03</v>
      </c>
      <c r="Y400" s="154">
        <f t="shared" si="107"/>
        <v>2.4662697723036864E-3</v>
      </c>
      <c r="Z400" s="165">
        <f t="shared" ca="1" si="108"/>
        <v>3.6489487278526518</v>
      </c>
      <c r="AA400" s="152">
        <f t="shared" si="109"/>
        <v>7</v>
      </c>
      <c r="AB400" s="153">
        <f t="shared" si="110"/>
        <v>33482</v>
      </c>
      <c r="AC400" s="155">
        <f t="shared" ca="1" si="111"/>
        <v>1.8714412376872791</v>
      </c>
    </row>
    <row r="401" spans="3:29">
      <c r="C401" s="152" t="str">
        <f>'Monthly Prices'!A389</f>
        <v>1991M10</v>
      </c>
      <c r="D401" s="153">
        <f t="shared" si="100"/>
        <v>33512</v>
      </c>
      <c r="E401" s="152">
        <f t="shared" si="101"/>
        <v>382</v>
      </c>
      <c r="F401" s="152" t="b">
        <f t="shared" si="95"/>
        <v>0</v>
      </c>
      <c r="G401" s="152" t="b">
        <f t="shared" si="96"/>
        <v>1</v>
      </c>
      <c r="H401" s="152" t="b">
        <f t="shared" si="97"/>
        <v>0</v>
      </c>
      <c r="I401" s="153" t="e">
        <f t="shared" si="98"/>
        <v>#N/A</v>
      </c>
      <c r="J401" s="158">
        <f>INDEX('Monthly Prices'!B389:CB389,$G$4)</f>
        <v>109.7</v>
      </c>
      <c r="K401" s="158" t="b">
        <f>IF(H401,INDEX('Monthly Prices'!B389:CB389,$G$4)*U401,FALSE)</f>
        <v>0</v>
      </c>
      <c r="L401" s="152" t="b">
        <f t="shared" si="102"/>
        <v>1</v>
      </c>
      <c r="M401" s="158">
        <f>INDEX('Monthly Prices'!B389:CB389,$G$5)</f>
        <v>68.209999999999994</v>
      </c>
      <c r="N401" s="158" t="b">
        <f>IF(H401,INDEX('Monthly Prices'!B389:CB389,$G$5)*U401,FALSE)</f>
        <v>0</v>
      </c>
      <c r="O401" s="152" t="b">
        <f t="shared" si="99"/>
        <v>1</v>
      </c>
      <c r="P401" s="152">
        <f t="shared" si="103"/>
        <v>1991</v>
      </c>
      <c r="Q401" s="159">
        <f>'Monthly Prices'!B389</f>
        <v>21.466666666670001</v>
      </c>
      <c r="R401" s="159">
        <f t="shared" si="104"/>
        <v>19.370833333334168</v>
      </c>
      <c r="S401" s="155">
        <f>_xlfn.XLOOKUP(P401,'Annual Real'!A:A,'Annual Real'!B:B,0,0)</f>
        <v>23.6483093945284</v>
      </c>
      <c r="T401" s="155">
        <f t="shared" ca="1" si="105"/>
        <v>1.8675942992124099</v>
      </c>
      <c r="U401" s="152">
        <f t="shared" ca="1" si="106"/>
        <v>1.8675942992124099</v>
      </c>
      <c r="V401" s="152" t="b">
        <f t="shared" si="112"/>
        <v>0</v>
      </c>
      <c r="W401" s="152" t="b">
        <f t="shared" si="113"/>
        <v>0</v>
      </c>
      <c r="X401" s="154">
        <f>LOOKUP(D401,'US Implicit Deflator'!A:A,'US Implicit Deflator'!B:B)/100</f>
        <v>2.5000000000000001E-2</v>
      </c>
      <c r="Y401" s="154">
        <f t="shared" si="107"/>
        <v>2.0598362698427408E-3</v>
      </c>
      <c r="Z401" s="165">
        <f t="shared" ca="1" si="108"/>
        <v>3.656464964789079</v>
      </c>
      <c r="AA401" s="152">
        <f t="shared" si="109"/>
        <v>7</v>
      </c>
      <c r="AB401" s="153">
        <f t="shared" si="110"/>
        <v>33512</v>
      </c>
      <c r="AC401" s="155">
        <f t="shared" ca="1" si="111"/>
        <v>1.8675942992124099</v>
      </c>
    </row>
    <row r="402" spans="3:29">
      <c r="C402" s="152" t="str">
        <f>'Monthly Prices'!A390</f>
        <v>1991M11</v>
      </c>
      <c r="D402" s="153">
        <f t="shared" si="100"/>
        <v>33543</v>
      </c>
      <c r="E402" s="152">
        <f t="shared" si="101"/>
        <v>383</v>
      </c>
      <c r="F402" s="152" t="b">
        <f t="shared" si="95"/>
        <v>0</v>
      </c>
      <c r="G402" s="152" t="b">
        <f t="shared" si="96"/>
        <v>1</v>
      </c>
      <c r="H402" s="152" t="b">
        <f t="shared" si="97"/>
        <v>0</v>
      </c>
      <c r="I402" s="153" t="e">
        <f t="shared" si="98"/>
        <v>#N/A</v>
      </c>
      <c r="J402" s="158">
        <f>INDEX('Monthly Prices'!B390:CB390,$G$4)</f>
        <v>106.49</v>
      </c>
      <c r="K402" s="158" t="b">
        <f>IF(H402,INDEX('Monthly Prices'!B390:CB390,$G$4)*U402,FALSE)</f>
        <v>0</v>
      </c>
      <c r="L402" s="152" t="b">
        <f t="shared" si="102"/>
        <v>1</v>
      </c>
      <c r="M402" s="158">
        <f>INDEX('Monthly Prices'!B390:CB390,$G$5)</f>
        <v>73.3</v>
      </c>
      <c r="N402" s="158" t="b">
        <f>IF(H402,INDEX('Monthly Prices'!B390:CB390,$G$5)*U402,FALSE)</f>
        <v>0</v>
      </c>
      <c r="O402" s="152" t="b">
        <f t="shared" si="99"/>
        <v>1</v>
      </c>
      <c r="P402" s="152">
        <f t="shared" si="103"/>
        <v>1991</v>
      </c>
      <c r="Q402" s="159">
        <f>'Monthly Prices'!B390</f>
        <v>20.766666666670002</v>
      </c>
      <c r="R402" s="159">
        <f t="shared" si="104"/>
        <v>19.370833333334168</v>
      </c>
      <c r="S402" s="155">
        <f>_xlfn.XLOOKUP(P402,'Annual Real'!A:A,'Annual Real'!B:B,0,0)</f>
        <v>23.6483093945284</v>
      </c>
      <c r="T402" s="155">
        <f t="shared" ca="1" si="105"/>
        <v>1.8637552685122178</v>
      </c>
      <c r="U402" s="152">
        <f t="shared" ca="1" si="106"/>
        <v>1.8637552685122178</v>
      </c>
      <c r="V402" s="152" t="b">
        <f t="shared" si="112"/>
        <v>0</v>
      </c>
      <c r="W402" s="152" t="b">
        <f t="shared" si="113"/>
        <v>0</v>
      </c>
      <c r="X402" s="154">
        <f>LOOKUP(D402,'US Implicit Deflator'!A:A,'US Implicit Deflator'!B:B)/100</f>
        <v>2.5000000000000001E-2</v>
      </c>
      <c r="Y402" s="154">
        <f t="shared" si="107"/>
        <v>2.0598362698427408E-3</v>
      </c>
      <c r="Z402" s="165">
        <f t="shared" ca="1" si="108"/>
        <v>3.663996683942961</v>
      </c>
      <c r="AA402" s="152">
        <f t="shared" si="109"/>
        <v>7</v>
      </c>
      <c r="AB402" s="153">
        <f t="shared" si="110"/>
        <v>33543</v>
      </c>
      <c r="AC402" s="155">
        <f t="shared" ca="1" si="111"/>
        <v>1.8637552685122178</v>
      </c>
    </row>
    <row r="403" spans="3:29">
      <c r="C403" s="152" t="str">
        <f>'Monthly Prices'!A391</f>
        <v>1991M12</v>
      </c>
      <c r="D403" s="153">
        <f t="shared" si="100"/>
        <v>33573</v>
      </c>
      <c r="E403" s="152">
        <f t="shared" si="101"/>
        <v>384</v>
      </c>
      <c r="F403" s="152" t="b">
        <f t="shared" si="95"/>
        <v>0</v>
      </c>
      <c r="G403" s="152" t="b">
        <f t="shared" si="96"/>
        <v>1</v>
      </c>
      <c r="H403" s="152" t="b">
        <f t="shared" si="97"/>
        <v>0</v>
      </c>
      <c r="I403" s="153" t="e">
        <f t="shared" si="98"/>
        <v>#N/A</v>
      </c>
      <c r="J403" s="158">
        <f>INDEX('Monthly Prices'!B391:CB391,$G$4)</f>
        <v>106.91</v>
      </c>
      <c r="K403" s="158" t="b">
        <f>IF(H403,INDEX('Monthly Prices'!B391:CB391,$G$4)*U403,FALSE)</f>
        <v>0</v>
      </c>
      <c r="L403" s="152" t="b">
        <f t="shared" si="102"/>
        <v>1</v>
      </c>
      <c r="M403" s="158">
        <f>INDEX('Monthly Prices'!B391:CB391,$G$5)</f>
        <v>75.430000000000007</v>
      </c>
      <c r="N403" s="158" t="b">
        <f>IF(H403,INDEX('Monthly Prices'!B391:CB391,$G$5)*U403,FALSE)</f>
        <v>0</v>
      </c>
      <c r="O403" s="152" t="b">
        <f t="shared" si="99"/>
        <v>1</v>
      </c>
      <c r="P403" s="152">
        <f t="shared" si="103"/>
        <v>1991</v>
      </c>
      <c r="Q403" s="159">
        <f>'Monthly Prices'!B391</f>
        <v>17.75</v>
      </c>
      <c r="R403" s="159">
        <f t="shared" si="104"/>
        <v>19.370833333334168</v>
      </c>
      <c r="S403" s="155">
        <f>_xlfn.XLOOKUP(P403,'Annual Real'!A:A,'Annual Real'!B:B,0,0)</f>
        <v>23.6483093945284</v>
      </c>
      <c r="T403" s="155">
        <f t="shared" ca="1" si="105"/>
        <v>1.8599241293314652</v>
      </c>
      <c r="U403" s="152">
        <f t="shared" ca="1" si="106"/>
        <v>1.8599241293314652</v>
      </c>
      <c r="V403" s="152" t="b">
        <f t="shared" si="112"/>
        <v>0</v>
      </c>
      <c r="W403" s="152" t="b">
        <f t="shared" si="113"/>
        <v>0</v>
      </c>
      <c r="X403" s="154">
        <f>LOOKUP(D403,'US Implicit Deflator'!A:A,'US Implicit Deflator'!B:B)/100</f>
        <v>2.5000000000000001E-2</v>
      </c>
      <c r="Y403" s="154">
        <f t="shared" si="107"/>
        <v>2.0598362698427408E-3</v>
      </c>
      <c r="Z403" s="165">
        <f t="shared" ca="1" si="108"/>
        <v>3.6715439172051303</v>
      </c>
      <c r="AA403" s="152">
        <f t="shared" si="109"/>
        <v>7</v>
      </c>
      <c r="AB403" s="153">
        <f t="shared" si="110"/>
        <v>33573</v>
      </c>
      <c r="AC403" s="155">
        <f t="shared" ca="1" si="111"/>
        <v>1.8599241293314652</v>
      </c>
    </row>
    <row r="404" spans="3:29">
      <c r="C404" s="152" t="str">
        <f>'Monthly Prices'!A392</f>
        <v>1992M01</v>
      </c>
      <c r="D404" s="153">
        <f t="shared" si="100"/>
        <v>33604</v>
      </c>
      <c r="E404" s="152">
        <f t="shared" si="101"/>
        <v>385</v>
      </c>
      <c r="F404" s="152" t="b">
        <f t="shared" ref="F404:F467" si="114">AND(E404&gt;=$M$4,L404)</f>
        <v>0</v>
      </c>
      <c r="G404" s="152" t="b">
        <f t="shared" ref="G404:G467" si="115">AND(E404&lt;=$M$5,O404)</f>
        <v>1</v>
      </c>
      <c r="H404" s="152" t="b">
        <f t="shared" ref="H404:H467" si="116">AND(F404:G404)</f>
        <v>0</v>
      </c>
      <c r="I404" s="153" t="e">
        <f t="shared" ref="I404:I467" si="117">IF(H404,D404,NA)</f>
        <v>#N/A</v>
      </c>
      <c r="J404" s="158">
        <f>INDEX('Monthly Prices'!B392:CB392,$G$4)</f>
        <v>109.31</v>
      </c>
      <c r="K404" s="158" t="b">
        <f>IF(H404,INDEX('Monthly Prices'!B392:CB392,$G$4)*U404,FALSE)</f>
        <v>0</v>
      </c>
      <c r="L404" s="152" t="b">
        <f t="shared" si="102"/>
        <v>1</v>
      </c>
      <c r="M404" s="158">
        <f>INDEX('Monthly Prices'!B392:CB392,$G$5)</f>
        <v>73.42</v>
      </c>
      <c r="N404" s="158" t="b">
        <f>IF(H404,INDEX('Monthly Prices'!B392:CB392,$G$5)*U404,FALSE)</f>
        <v>0</v>
      </c>
      <c r="O404" s="152" t="b">
        <f t="shared" ref="O404:O467" si="118">AND(ISNUMBER(M404),M404&gt;0)</f>
        <v>1</v>
      </c>
      <c r="P404" s="152">
        <f t="shared" si="103"/>
        <v>1992</v>
      </c>
      <c r="Q404" s="159">
        <f>'Monthly Prices'!B392</f>
        <v>17.38333333333</v>
      </c>
      <c r="R404" s="159">
        <f t="shared" si="104"/>
        <v>19.020833333332501</v>
      </c>
      <c r="S404" s="155">
        <f>_xlfn.XLOOKUP(P404,'Annual Real'!A:A,'Annual Real'!B:B,0,0)</f>
        <v>22.794962095071899</v>
      </c>
      <c r="T404" s="155">
        <f t="shared" ca="1" si="105"/>
        <v>1.8573132170478357</v>
      </c>
      <c r="U404" s="152">
        <f t="shared" ca="1" si="106"/>
        <v>1.8573132170478357</v>
      </c>
      <c r="V404" s="152" t="b">
        <f t="shared" si="112"/>
        <v>0</v>
      </c>
      <c r="W404" s="152" t="b">
        <f t="shared" si="113"/>
        <v>0</v>
      </c>
      <c r="X404" s="154">
        <f>LOOKUP(D404,'US Implicit Deflator'!A:A,'US Implicit Deflator'!B:B)/100</f>
        <v>1.7000000000000001E-2</v>
      </c>
      <c r="Y404" s="154">
        <f t="shared" si="107"/>
        <v>1.4057468926966799E-3</v>
      </c>
      <c r="Z404" s="165">
        <f t="shared" ca="1" si="108"/>
        <v>3.6767051786581408</v>
      </c>
      <c r="AA404" s="152">
        <f t="shared" si="109"/>
        <v>7</v>
      </c>
      <c r="AB404" s="153">
        <f t="shared" si="110"/>
        <v>33604</v>
      </c>
      <c r="AC404" s="155">
        <f t="shared" ca="1" si="111"/>
        <v>1.8573132170478357</v>
      </c>
    </row>
    <row r="405" spans="3:29">
      <c r="C405" s="152" t="str">
        <f>'Monthly Prices'!A393</f>
        <v>1992M02</v>
      </c>
      <c r="D405" s="153">
        <f t="shared" ref="D405:D468" si="119">EDATE(D404,1)</f>
        <v>33635</v>
      </c>
      <c r="E405" s="152">
        <f t="shared" ref="E405:E468" si="120">E404+1</f>
        <v>386</v>
      </c>
      <c r="F405" s="152" t="b">
        <f t="shared" si="114"/>
        <v>0</v>
      </c>
      <c r="G405" s="152" t="b">
        <f t="shared" si="115"/>
        <v>1</v>
      </c>
      <c r="H405" s="152" t="b">
        <f t="shared" si="116"/>
        <v>0</v>
      </c>
      <c r="I405" s="153" t="e">
        <f t="shared" si="117"/>
        <v>#N/A</v>
      </c>
      <c r="J405" s="158">
        <f>INDEX('Monthly Prices'!B393:CB393,$G$4)</f>
        <v>113.62</v>
      </c>
      <c r="K405" s="158" t="b">
        <f>IF(H405,INDEX('Monthly Prices'!B393:CB393,$G$4)*U405,FALSE)</f>
        <v>0</v>
      </c>
      <c r="L405" s="152" t="b">
        <f t="shared" ref="L405:L468" si="121">ISNUMBER(J405)</f>
        <v>1</v>
      </c>
      <c r="M405" s="158">
        <f>INDEX('Monthly Prices'!B393:CB393,$G$5)</f>
        <v>71.28</v>
      </c>
      <c r="N405" s="158" t="b">
        <f>IF(H405,INDEX('Monthly Prices'!B393:CB393,$G$5)*U405,FALSE)</f>
        <v>0</v>
      </c>
      <c r="O405" s="152" t="b">
        <f t="shared" si="118"/>
        <v>1</v>
      </c>
      <c r="P405" s="152">
        <f t="shared" ref="P405:P468" si="122">YEAR(D405)</f>
        <v>1992</v>
      </c>
      <c r="Q405" s="159">
        <f>'Monthly Prices'!B393</f>
        <v>17.61666666667</v>
      </c>
      <c r="R405" s="159">
        <f t="shared" ref="R405:R468" si="123">AVERAGEIF(P:P,P405,Q:Q)</f>
        <v>19.020833333332501</v>
      </c>
      <c r="S405" s="155">
        <f>_xlfn.XLOOKUP(P405,'Annual Real'!A:A,'Annual Real'!B:B,0,0)</f>
        <v>22.794962095071899</v>
      </c>
      <c r="T405" s="155">
        <f t="shared" ref="T405:T468" ca="1" si="124">AC405</f>
        <v>1.8547059698937913</v>
      </c>
      <c r="U405" s="152">
        <f t="shared" ref="U405:U468" ca="1" si="125">IF($U$19,T405,1)</f>
        <v>1.8547059698937913</v>
      </c>
      <c r="V405" s="152" t="b">
        <f t="shared" si="112"/>
        <v>0</v>
      </c>
      <c r="W405" s="152" t="b">
        <f t="shared" si="113"/>
        <v>0</v>
      </c>
      <c r="X405" s="154">
        <f>LOOKUP(D405,'US Implicit Deflator'!A:A,'US Implicit Deflator'!B:B)/100</f>
        <v>1.7000000000000001E-2</v>
      </c>
      <c r="Y405" s="154">
        <f t="shared" ref="Y405:Y468" si="126">(1+X405)^(1/12)-1</f>
        <v>1.4057468926966799E-3</v>
      </c>
      <c r="Z405" s="165">
        <f t="shared" ref="Z405:Z468" ca="1" si="127">Z404*(1+Y405)</f>
        <v>3.6818736955384015</v>
      </c>
      <c r="AA405" s="152">
        <f t="shared" ref="AA405:AA468" si="128">LEN(C405)</f>
        <v>7</v>
      </c>
      <c r="AB405" s="153">
        <f t="shared" ref="AB405:AB468" si="129">IF(AA405&gt;2,D405,0)</f>
        <v>33635</v>
      </c>
      <c r="AC405" s="155">
        <f t="shared" ref="AC405:AC468" ca="1" si="130">$AC$17/Z405</f>
        <v>1.8547059698937913</v>
      </c>
    </row>
    <row r="406" spans="3:29">
      <c r="C406" s="152" t="str">
        <f>'Monthly Prices'!A394</f>
        <v>1992M03</v>
      </c>
      <c r="D406" s="153">
        <f t="shared" si="119"/>
        <v>33664</v>
      </c>
      <c r="E406" s="152">
        <f t="shared" si="120"/>
        <v>387</v>
      </c>
      <c r="F406" s="152" t="b">
        <f t="shared" si="114"/>
        <v>0</v>
      </c>
      <c r="G406" s="152" t="b">
        <f t="shared" si="115"/>
        <v>1</v>
      </c>
      <c r="H406" s="152" t="b">
        <f t="shared" si="116"/>
        <v>0</v>
      </c>
      <c r="I406" s="153" t="e">
        <f t="shared" si="117"/>
        <v>#N/A</v>
      </c>
      <c r="J406" s="158">
        <f>INDEX('Monthly Prices'!B394:CB394,$G$4)</f>
        <v>117</v>
      </c>
      <c r="K406" s="158" t="b">
        <f>IF(H406,INDEX('Monthly Prices'!B394:CB394,$G$4)*U406,FALSE)</f>
        <v>0</v>
      </c>
      <c r="L406" s="152" t="b">
        <f t="shared" si="121"/>
        <v>1</v>
      </c>
      <c r="M406" s="158">
        <f>INDEX('Monthly Prices'!B394:CB394,$G$5)</f>
        <v>72.64</v>
      </c>
      <c r="N406" s="158" t="b">
        <f>IF(H406,INDEX('Monthly Prices'!B394:CB394,$G$5)*U406,FALSE)</f>
        <v>0</v>
      </c>
      <c r="O406" s="152" t="b">
        <f t="shared" si="118"/>
        <v>1</v>
      </c>
      <c r="P406" s="152">
        <f t="shared" si="122"/>
        <v>1992</v>
      </c>
      <c r="Q406" s="159">
        <f>'Monthly Prices'!B394</f>
        <v>17.45</v>
      </c>
      <c r="R406" s="159">
        <f t="shared" si="123"/>
        <v>19.020833333332501</v>
      </c>
      <c r="S406" s="155">
        <f>_xlfn.XLOOKUP(P406,'Annual Real'!A:A,'Annual Real'!B:B,0,0)</f>
        <v>22.794962095071899</v>
      </c>
      <c r="T406" s="155">
        <f t="shared" ca="1" si="124"/>
        <v>1.8521023827243206</v>
      </c>
      <c r="U406" s="152">
        <f t="shared" ca="1" si="125"/>
        <v>1.8521023827243206</v>
      </c>
      <c r="V406" s="152" t="b">
        <f t="shared" ref="V406:V469" si="131">IF(AND(H405,H406),LN(K406/K405))</f>
        <v>0</v>
      </c>
      <c r="W406" s="152" t="b">
        <f t="shared" ref="W406:W469" si="132">IF(AND($H405,$H406),LN(N406/N405))</f>
        <v>0</v>
      </c>
      <c r="X406" s="154">
        <f>LOOKUP(D406,'US Implicit Deflator'!A:A,'US Implicit Deflator'!B:B)/100</f>
        <v>1.7000000000000001E-2</v>
      </c>
      <c r="Y406" s="154">
        <f t="shared" si="126"/>
        <v>1.4057468926966799E-3</v>
      </c>
      <c r="Z406" s="165">
        <f t="shared" ca="1" si="127"/>
        <v>3.6870494780452061</v>
      </c>
      <c r="AA406" s="152">
        <f t="shared" si="128"/>
        <v>7</v>
      </c>
      <c r="AB406" s="153">
        <f t="shared" si="129"/>
        <v>33664</v>
      </c>
      <c r="AC406" s="155">
        <f t="shared" ca="1" si="130"/>
        <v>1.8521023827243206</v>
      </c>
    </row>
    <row r="407" spans="3:29">
      <c r="C407" s="152" t="str">
        <f>'Monthly Prices'!A395</f>
        <v>1992M04</v>
      </c>
      <c r="D407" s="153">
        <f t="shared" si="119"/>
        <v>33695</v>
      </c>
      <c r="E407" s="152">
        <f t="shared" si="120"/>
        <v>388</v>
      </c>
      <c r="F407" s="152" t="b">
        <f t="shared" si="114"/>
        <v>0</v>
      </c>
      <c r="G407" s="152" t="b">
        <f t="shared" si="115"/>
        <v>1</v>
      </c>
      <c r="H407" s="152" t="b">
        <f t="shared" si="116"/>
        <v>0</v>
      </c>
      <c r="I407" s="153" t="e">
        <f t="shared" si="117"/>
        <v>#N/A</v>
      </c>
      <c r="J407" s="158">
        <f>INDEX('Monthly Prices'!B395:CB395,$G$4)</f>
        <v>108.52</v>
      </c>
      <c r="K407" s="158" t="b">
        <f>IF(H407,INDEX('Monthly Prices'!B395:CB395,$G$4)*U407,FALSE)</f>
        <v>0</v>
      </c>
      <c r="L407" s="152" t="b">
        <f t="shared" si="121"/>
        <v>1</v>
      </c>
      <c r="M407" s="158">
        <f>INDEX('Monthly Prices'!B395:CB395,$G$5)</f>
        <v>75.23</v>
      </c>
      <c r="N407" s="158" t="b">
        <f>IF(H407,INDEX('Monthly Prices'!B395:CB395,$G$5)*U407,FALSE)</f>
        <v>0</v>
      </c>
      <c r="O407" s="152" t="b">
        <f t="shared" si="118"/>
        <v>1</v>
      </c>
      <c r="P407" s="152">
        <f t="shared" si="122"/>
        <v>1992</v>
      </c>
      <c r="Q407" s="159">
        <f>'Monthly Prices'!B395</f>
        <v>18.63333333333</v>
      </c>
      <c r="R407" s="159">
        <f t="shared" si="123"/>
        <v>19.020833333332501</v>
      </c>
      <c r="S407" s="155">
        <f>_xlfn.XLOOKUP(P407,'Annual Real'!A:A,'Annual Real'!B:B,0,0)</f>
        <v>22.794962095071899</v>
      </c>
      <c r="T407" s="155">
        <f t="shared" ca="1" si="124"/>
        <v>1.8496540800469323</v>
      </c>
      <c r="U407" s="152">
        <f t="shared" ca="1" si="125"/>
        <v>1.8496540800469323</v>
      </c>
      <c r="V407" s="152" t="b">
        <f t="shared" si="131"/>
        <v>0</v>
      </c>
      <c r="W407" s="152" t="b">
        <f t="shared" si="132"/>
        <v>0</v>
      </c>
      <c r="X407" s="154">
        <f>LOOKUP(D407,'US Implicit Deflator'!A:A,'US Implicit Deflator'!B:B)/100</f>
        <v>1.6E-2</v>
      </c>
      <c r="Y407" s="154">
        <f t="shared" si="126"/>
        <v>1.323654354508319E-3</v>
      </c>
      <c r="Z407" s="165">
        <f t="shared" ca="1" si="127"/>
        <v>3.6919298571421084</v>
      </c>
      <c r="AA407" s="152">
        <f t="shared" si="128"/>
        <v>7</v>
      </c>
      <c r="AB407" s="153">
        <f t="shared" si="129"/>
        <v>33695</v>
      </c>
      <c r="AC407" s="155">
        <f t="shared" ca="1" si="130"/>
        <v>1.8496540800469323</v>
      </c>
    </row>
    <row r="408" spans="3:29">
      <c r="C408" s="152" t="str">
        <f>'Monthly Prices'!A396</f>
        <v>1992M05</v>
      </c>
      <c r="D408" s="153">
        <f t="shared" si="119"/>
        <v>33725</v>
      </c>
      <c r="E408" s="152">
        <f t="shared" si="120"/>
        <v>389</v>
      </c>
      <c r="F408" s="152" t="b">
        <f t="shared" si="114"/>
        <v>0</v>
      </c>
      <c r="G408" s="152" t="b">
        <f t="shared" si="115"/>
        <v>1</v>
      </c>
      <c r="H408" s="152" t="b">
        <f t="shared" si="116"/>
        <v>0</v>
      </c>
      <c r="I408" s="153" t="e">
        <f t="shared" si="117"/>
        <v>#N/A</v>
      </c>
      <c r="J408" s="158">
        <f>INDEX('Monthly Prices'!B396:CB396,$G$4)</f>
        <v>109.64</v>
      </c>
      <c r="K408" s="158" t="b">
        <f>IF(H408,INDEX('Monthly Prices'!B396:CB396,$G$4)*U408,FALSE)</f>
        <v>0</v>
      </c>
      <c r="L408" s="152" t="b">
        <f t="shared" si="121"/>
        <v>1</v>
      </c>
      <c r="M408" s="158">
        <f>INDEX('Monthly Prices'!B396:CB396,$G$5)</f>
        <v>84.78</v>
      </c>
      <c r="N408" s="158" t="b">
        <f>IF(H408,INDEX('Monthly Prices'!B396:CB396,$G$5)*U408,FALSE)</f>
        <v>0</v>
      </c>
      <c r="O408" s="152" t="b">
        <f t="shared" si="118"/>
        <v>1</v>
      </c>
      <c r="P408" s="152">
        <f t="shared" si="122"/>
        <v>1992</v>
      </c>
      <c r="Q408" s="159">
        <f>'Monthly Prices'!B396</f>
        <v>19.5</v>
      </c>
      <c r="R408" s="159">
        <f t="shared" si="123"/>
        <v>19.020833333332501</v>
      </c>
      <c r="S408" s="155">
        <f>_xlfn.XLOOKUP(P408,'Annual Real'!A:A,'Annual Real'!B:B,0,0)</f>
        <v>22.794962095071899</v>
      </c>
      <c r="T408" s="155">
        <f t="shared" ca="1" si="124"/>
        <v>1.8472090137921393</v>
      </c>
      <c r="U408" s="152">
        <f t="shared" ca="1" si="125"/>
        <v>1.8472090137921393</v>
      </c>
      <c r="V408" s="152" t="b">
        <f t="shared" si="131"/>
        <v>0</v>
      </c>
      <c r="W408" s="152" t="b">
        <f t="shared" si="132"/>
        <v>0</v>
      </c>
      <c r="X408" s="154">
        <f>LOOKUP(D408,'US Implicit Deflator'!A:A,'US Implicit Deflator'!B:B)/100</f>
        <v>1.6E-2</v>
      </c>
      <c r="Y408" s="154">
        <f t="shared" si="126"/>
        <v>1.323654354508319E-3</v>
      </c>
      <c r="Z408" s="165">
        <f t="shared" ca="1" si="127"/>
        <v>3.6968166961740541</v>
      </c>
      <c r="AA408" s="152">
        <f t="shared" si="128"/>
        <v>7</v>
      </c>
      <c r="AB408" s="153">
        <f t="shared" si="129"/>
        <v>33725</v>
      </c>
      <c r="AC408" s="155">
        <f t="shared" ca="1" si="130"/>
        <v>1.8472090137921393</v>
      </c>
    </row>
    <row r="409" spans="3:29">
      <c r="C409" s="152" t="str">
        <f>'Monthly Prices'!A397</f>
        <v>1992M06</v>
      </c>
      <c r="D409" s="153">
        <f t="shared" si="119"/>
        <v>33756</v>
      </c>
      <c r="E409" s="152">
        <f t="shared" si="120"/>
        <v>390</v>
      </c>
      <c r="F409" s="152" t="b">
        <f t="shared" si="114"/>
        <v>0</v>
      </c>
      <c r="G409" s="152" t="b">
        <f t="shared" si="115"/>
        <v>1</v>
      </c>
      <c r="H409" s="152" t="b">
        <f t="shared" si="116"/>
        <v>0</v>
      </c>
      <c r="I409" s="153" t="e">
        <f t="shared" si="117"/>
        <v>#N/A</v>
      </c>
      <c r="J409" s="158">
        <f>INDEX('Monthly Prices'!B397:CB397,$G$4)</f>
        <v>110.9</v>
      </c>
      <c r="K409" s="158" t="b">
        <f>IF(H409,INDEX('Monthly Prices'!B397:CB397,$G$4)*U409,FALSE)</f>
        <v>0</v>
      </c>
      <c r="L409" s="152" t="b">
        <f t="shared" si="121"/>
        <v>1</v>
      </c>
      <c r="M409" s="158">
        <f>INDEX('Monthly Prices'!B397:CB397,$G$5)</f>
        <v>84.89</v>
      </c>
      <c r="N409" s="158" t="b">
        <f>IF(H409,INDEX('Monthly Prices'!B397:CB397,$G$5)*U409,FALSE)</f>
        <v>0</v>
      </c>
      <c r="O409" s="152" t="b">
        <f t="shared" si="118"/>
        <v>1</v>
      </c>
      <c r="P409" s="152">
        <f t="shared" si="122"/>
        <v>1992</v>
      </c>
      <c r="Q409" s="159">
        <f>'Monthly Prices'!B397</f>
        <v>20.83333333333</v>
      </c>
      <c r="R409" s="159">
        <f t="shared" si="123"/>
        <v>19.020833333332501</v>
      </c>
      <c r="S409" s="155">
        <f>_xlfn.XLOOKUP(P409,'Annual Real'!A:A,'Annual Real'!B:B,0,0)</f>
        <v>22.794962095071899</v>
      </c>
      <c r="T409" s="155">
        <f t="shared" ca="1" si="124"/>
        <v>1.8447671796816996</v>
      </c>
      <c r="U409" s="152">
        <f t="shared" ca="1" si="125"/>
        <v>1.8447671796816996</v>
      </c>
      <c r="V409" s="152" t="b">
        <f t="shared" si="131"/>
        <v>0</v>
      </c>
      <c r="W409" s="152" t="b">
        <f t="shared" si="132"/>
        <v>0</v>
      </c>
      <c r="X409" s="154">
        <f>LOOKUP(D409,'US Implicit Deflator'!A:A,'US Implicit Deflator'!B:B)/100</f>
        <v>1.6E-2</v>
      </c>
      <c r="Y409" s="154">
        <f t="shared" si="126"/>
        <v>1.323654354508319E-3</v>
      </c>
      <c r="Z409" s="165">
        <f t="shared" ca="1" si="127"/>
        <v>3.7017100036917641</v>
      </c>
      <c r="AA409" s="152">
        <f t="shared" si="128"/>
        <v>7</v>
      </c>
      <c r="AB409" s="153">
        <f t="shared" si="129"/>
        <v>33756</v>
      </c>
      <c r="AC409" s="155">
        <f t="shared" ca="1" si="130"/>
        <v>1.8447671796816996</v>
      </c>
    </row>
    <row r="410" spans="3:29">
      <c r="C410" s="152" t="str">
        <f>'Monthly Prices'!A398</f>
        <v>1992M07</v>
      </c>
      <c r="D410" s="153">
        <f t="shared" si="119"/>
        <v>33786</v>
      </c>
      <c r="E410" s="152">
        <f t="shared" si="120"/>
        <v>391</v>
      </c>
      <c r="F410" s="152" t="b">
        <f t="shared" si="114"/>
        <v>0</v>
      </c>
      <c r="G410" s="152" t="b">
        <f t="shared" si="115"/>
        <v>1</v>
      </c>
      <c r="H410" s="152" t="b">
        <f t="shared" si="116"/>
        <v>0</v>
      </c>
      <c r="I410" s="153" t="e">
        <f t="shared" si="117"/>
        <v>#N/A</v>
      </c>
      <c r="J410" s="158">
        <f>INDEX('Monthly Prices'!B398:CB398,$G$4)</f>
        <v>102.75</v>
      </c>
      <c r="K410" s="158" t="b">
        <f>IF(H410,INDEX('Monthly Prices'!B398:CB398,$G$4)*U410,FALSE)</f>
        <v>0</v>
      </c>
      <c r="L410" s="152" t="b">
        <f t="shared" si="121"/>
        <v>1</v>
      </c>
      <c r="M410" s="158">
        <f>INDEX('Monthly Prices'!B398:CB398,$G$5)</f>
        <v>77.37</v>
      </c>
      <c r="N410" s="158" t="b">
        <f>IF(H410,INDEX('Monthly Prices'!B398:CB398,$G$5)*U410,FALSE)</f>
        <v>0</v>
      </c>
      <c r="O410" s="152" t="b">
        <f t="shared" si="118"/>
        <v>1</v>
      </c>
      <c r="P410" s="152">
        <f t="shared" si="122"/>
        <v>1992</v>
      </c>
      <c r="Q410" s="159">
        <f>'Monthly Prices'!B398</f>
        <v>20.16666666667</v>
      </c>
      <c r="R410" s="159">
        <f t="shared" si="123"/>
        <v>19.020833333332501</v>
      </c>
      <c r="S410" s="155">
        <f>_xlfn.XLOOKUP(P410,'Annual Real'!A:A,'Annual Real'!B:B,0,0)</f>
        <v>22.794962095071899</v>
      </c>
      <c r="T410" s="155">
        <f t="shared" ca="1" si="124"/>
        <v>1.8426311153866091</v>
      </c>
      <c r="U410" s="152">
        <f t="shared" ca="1" si="125"/>
        <v>1.8426311153866091</v>
      </c>
      <c r="V410" s="152" t="b">
        <f t="shared" si="131"/>
        <v>0</v>
      </c>
      <c r="W410" s="152" t="b">
        <f t="shared" si="132"/>
        <v>0</v>
      </c>
      <c r="X410" s="154">
        <f>LOOKUP(D410,'US Implicit Deflator'!A:A,'US Implicit Deflator'!B:B)/100</f>
        <v>1.3999999999999999E-2</v>
      </c>
      <c r="Y410" s="154">
        <f t="shared" si="126"/>
        <v>1.1592468385308585E-3</v>
      </c>
      <c r="Z410" s="165">
        <f t="shared" ca="1" si="127"/>
        <v>3.7060011993107018</v>
      </c>
      <c r="AA410" s="152">
        <f t="shared" si="128"/>
        <v>7</v>
      </c>
      <c r="AB410" s="153">
        <f t="shared" si="129"/>
        <v>33786</v>
      </c>
      <c r="AC410" s="155">
        <f t="shared" ca="1" si="130"/>
        <v>1.8426311153866091</v>
      </c>
    </row>
    <row r="411" spans="3:29">
      <c r="C411" s="152" t="str">
        <f>'Monthly Prices'!A399</f>
        <v>1992M08</v>
      </c>
      <c r="D411" s="153">
        <f t="shared" si="119"/>
        <v>33817</v>
      </c>
      <c r="E411" s="152">
        <f t="shared" si="120"/>
        <v>392</v>
      </c>
      <c r="F411" s="152" t="b">
        <f t="shared" si="114"/>
        <v>0</v>
      </c>
      <c r="G411" s="152" t="b">
        <f t="shared" si="115"/>
        <v>1</v>
      </c>
      <c r="H411" s="152" t="b">
        <f t="shared" si="116"/>
        <v>0</v>
      </c>
      <c r="I411" s="153" t="e">
        <f t="shared" si="117"/>
        <v>#N/A</v>
      </c>
      <c r="J411" s="158">
        <f>INDEX('Monthly Prices'!B399:CB399,$G$4)</f>
        <v>96.96</v>
      </c>
      <c r="K411" s="158" t="b">
        <f>IF(H411,INDEX('Monthly Prices'!B399:CB399,$G$4)*U411,FALSE)</f>
        <v>0</v>
      </c>
      <c r="L411" s="152" t="b">
        <f t="shared" si="121"/>
        <v>1</v>
      </c>
      <c r="M411" s="158">
        <f>INDEX('Monthly Prices'!B399:CB399,$G$5)</f>
        <v>77.040000000000006</v>
      </c>
      <c r="N411" s="158" t="b">
        <f>IF(H411,INDEX('Monthly Prices'!B399:CB399,$G$5)*U411,FALSE)</f>
        <v>0</v>
      </c>
      <c r="O411" s="152" t="b">
        <f t="shared" si="118"/>
        <v>1</v>
      </c>
      <c r="P411" s="152">
        <f t="shared" si="122"/>
        <v>1992</v>
      </c>
      <c r="Q411" s="159">
        <f>'Monthly Prices'!B399</f>
        <v>19.61666666667</v>
      </c>
      <c r="R411" s="159">
        <f t="shared" si="123"/>
        <v>19.020833333332501</v>
      </c>
      <c r="S411" s="155">
        <f>_xlfn.XLOOKUP(P411,'Annual Real'!A:A,'Annual Real'!B:B,0,0)</f>
        <v>22.794962095071899</v>
      </c>
      <c r="T411" s="155">
        <f t="shared" ca="1" si="124"/>
        <v>1.8404975244500663</v>
      </c>
      <c r="U411" s="152">
        <f t="shared" ca="1" si="125"/>
        <v>1.8404975244500663</v>
      </c>
      <c r="V411" s="152" t="b">
        <f t="shared" si="131"/>
        <v>0</v>
      </c>
      <c r="W411" s="152" t="b">
        <f t="shared" si="132"/>
        <v>0</v>
      </c>
      <c r="X411" s="154">
        <f>LOOKUP(D411,'US Implicit Deflator'!A:A,'US Implicit Deflator'!B:B)/100</f>
        <v>1.3999999999999999E-2</v>
      </c>
      <c r="Y411" s="154">
        <f t="shared" si="126"/>
        <v>1.1592468385308585E-3</v>
      </c>
      <c r="Z411" s="165">
        <f t="shared" ca="1" si="127"/>
        <v>3.7102973694845942</v>
      </c>
      <c r="AA411" s="152">
        <f t="shared" si="128"/>
        <v>7</v>
      </c>
      <c r="AB411" s="153">
        <f t="shared" si="129"/>
        <v>33817</v>
      </c>
      <c r="AC411" s="155">
        <f t="shared" ca="1" si="130"/>
        <v>1.8404975244500663</v>
      </c>
    </row>
    <row r="412" spans="3:29">
      <c r="C412" s="152" t="str">
        <f>'Monthly Prices'!A400</f>
        <v>1992M09</v>
      </c>
      <c r="D412" s="153">
        <f t="shared" si="119"/>
        <v>33848</v>
      </c>
      <c r="E412" s="152">
        <f t="shared" si="120"/>
        <v>393</v>
      </c>
      <c r="F412" s="152" t="b">
        <f t="shared" si="114"/>
        <v>0</v>
      </c>
      <c r="G412" s="152" t="b">
        <f t="shared" si="115"/>
        <v>1</v>
      </c>
      <c r="H412" s="152" t="b">
        <f t="shared" si="116"/>
        <v>0</v>
      </c>
      <c r="I412" s="153" t="e">
        <f t="shared" si="117"/>
        <v>#N/A</v>
      </c>
      <c r="J412" s="158">
        <f>INDEX('Monthly Prices'!B400:CB400,$G$4)</f>
        <v>98.05</v>
      </c>
      <c r="K412" s="158" t="b">
        <f>IF(H412,INDEX('Monthly Prices'!B400:CB400,$G$4)*U412,FALSE)</f>
        <v>0</v>
      </c>
      <c r="L412" s="152" t="b">
        <f t="shared" si="121"/>
        <v>1</v>
      </c>
      <c r="M412" s="158">
        <f>INDEX('Monthly Prices'!B400:CB400,$G$5)</f>
        <v>83.57</v>
      </c>
      <c r="N412" s="158" t="b">
        <f>IF(H412,INDEX('Monthly Prices'!B400:CB400,$G$5)*U412,FALSE)</f>
        <v>0</v>
      </c>
      <c r="O412" s="152" t="b">
        <f t="shared" si="118"/>
        <v>1</v>
      </c>
      <c r="P412" s="152">
        <f t="shared" si="122"/>
        <v>1992</v>
      </c>
      <c r="Q412" s="159">
        <f>'Monthly Prices'!B400</f>
        <v>20.149999999999999</v>
      </c>
      <c r="R412" s="159">
        <f t="shared" si="123"/>
        <v>19.020833333332501</v>
      </c>
      <c r="S412" s="155">
        <f>_xlfn.XLOOKUP(P412,'Annual Real'!A:A,'Annual Real'!B:B,0,0)</f>
        <v>22.794962095071899</v>
      </c>
      <c r="T412" s="155">
        <f t="shared" ca="1" si="124"/>
        <v>1.8383664040081586</v>
      </c>
      <c r="U412" s="152">
        <f t="shared" ca="1" si="125"/>
        <v>1.8383664040081586</v>
      </c>
      <c r="V412" s="152" t="b">
        <f t="shared" si="131"/>
        <v>0</v>
      </c>
      <c r="W412" s="152" t="b">
        <f t="shared" si="132"/>
        <v>0</v>
      </c>
      <c r="X412" s="154">
        <f>LOOKUP(D412,'US Implicit Deflator'!A:A,'US Implicit Deflator'!B:B)/100</f>
        <v>1.3999999999999999E-2</v>
      </c>
      <c r="Y412" s="154">
        <f t="shared" si="126"/>
        <v>1.1592468385308585E-3</v>
      </c>
      <c r="Z412" s="165">
        <f t="shared" ca="1" si="127"/>
        <v>3.7145985199801785</v>
      </c>
      <c r="AA412" s="152">
        <f t="shared" si="128"/>
        <v>7</v>
      </c>
      <c r="AB412" s="153">
        <f t="shared" si="129"/>
        <v>33848</v>
      </c>
      <c r="AC412" s="155">
        <f t="shared" ca="1" si="130"/>
        <v>1.8383664040081586</v>
      </c>
    </row>
    <row r="413" spans="3:29">
      <c r="C413" s="152" t="str">
        <f>'Monthly Prices'!A401</f>
        <v>1992M10</v>
      </c>
      <c r="D413" s="153">
        <f t="shared" si="119"/>
        <v>33878</v>
      </c>
      <c r="E413" s="152">
        <f t="shared" si="120"/>
        <v>394</v>
      </c>
      <c r="F413" s="152" t="b">
        <f t="shared" si="114"/>
        <v>0</v>
      </c>
      <c r="G413" s="152" t="b">
        <f t="shared" si="115"/>
        <v>1</v>
      </c>
      <c r="H413" s="152" t="b">
        <f t="shared" si="116"/>
        <v>0</v>
      </c>
      <c r="I413" s="153" t="e">
        <f t="shared" si="117"/>
        <v>#N/A</v>
      </c>
      <c r="J413" s="158">
        <f>INDEX('Monthly Prices'!B401:CB401,$G$4)</f>
        <v>95.11</v>
      </c>
      <c r="K413" s="158" t="b">
        <f>IF(H413,INDEX('Monthly Prices'!B401:CB401,$G$4)*U413,FALSE)</f>
        <v>0</v>
      </c>
      <c r="L413" s="152" t="b">
        <f t="shared" si="121"/>
        <v>1</v>
      </c>
      <c r="M413" s="158">
        <f>INDEX('Monthly Prices'!B401:CB401,$G$5)</f>
        <v>82.21</v>
      </c>
      <c r="N413" s="158" t="b">
        <f>IF(H413,INDEX('Monthly Prices'!B401:CB401,$G$5)*U413,FALSE)</f>
        <v>0</v>
      </c>
      <c r="O413" s="152" t="b">
        <f t="shared" si="118"/>
        <v>1</v>
      </c>
      <c r="P413" s="152">
        <f t="shared" si="122"/>
        <v>1992</v>
      </c>
      <c r="Q413" s="159">
        <f>'Monthly Prices'!B401</f>
        <v>20.08333333333</v>
      </c>
      <c r="R413" s="159">
        <f t="shared" si="123"/>
        <v>19.020833333332501</v>
      </c>
      <c r="S413" s="155">
        <f>_xlfn.XLOOKUP(P413,'Annual Real'!A:A,'Annual Real'!B:B,0,0)</f>
        <v>22.794962095071899</v>
      </c>
      <c r="T413" s="155">
        <f t="shared" ca="1" si="124"/>
        <v>1.835485224079654</v>
      </c>
      <c r="U413" s="152">
        <f t="shared" ca="1" si="125"/>
        <v>1.835485224079654</v>
      </c>
      <c r="V413" s="152" t="b">
        <f t="shared" si="131"/>
        <v>0</v>
      </c>
      <c r="W413" s="152" t="b">
        <f t="shared" si="132"/>
        <v>0</v>
      </c>
      <c r="X413" s="154">
        <f>LOOKUP(D413,'US Implicit Deflator'!A:A,'US Implicit Deflator'!B:B)/100</f>
        <v>1.9E-2</v>
      </c>
      <c r="Y413" s="154">
        <f t="shared" si="126"/>
        <v>1.5697102274137009E-3</v>
      </c>
      <c r="Z413" s="165">
        <f t="shared" ca="1" si="127"/>
        <v>3.7204293632677272</v>
      </c>
      <c r="AA413" s="152">
        <f t="shared" si="128"/>
        <v>7</v>
      </c>
      <c r="AB413" s="153">
        <f t="shared" si="129"/>
        <v>33878</v>
      </c>
      <c r="AC413" s="155">
        <f t="shared" ca="1" si="130"/>
        <v>1.835485224079654</v>
      </c>
    </row>
    <row r="414" spans="3:29">
      <c r="C414" s="152" t="str">
        <f>'Monthly Prices'!A402</f>
        <v>1992M11</v>
      </c>
      <c r="D414" s="153">
        <f t="shared" si="119"/>
        <v>33909</v>
      </c>
      <c r="E414" s="152">
        <f t="shared" si="120"/>
        <v>395</v>
      </c>
      <c r="F414" s="152" t="b">
        <f t="shared" si="114"/>
        <v>0</v>
      </c>
      <c r="G414" s="152" t="b">
        <f t="shared" si="115"/>
        <v>1</v>
      </c>
      <c r="H414" s="152" t="b">
        <f t="shared" si="116"/>
        <v>0</v>
      </c>
      <c r="I414" s="153" t="e">
        <f t="shared" si="117"/>
        <v>#N/A</v>
      </c>
      <c r="J414" s="158">
        <f>INDEX('Monthly Prices'!B402:CB402,$G$4)</f>
        <v>94.48</v>
      </c>
      <c r="K414" s="158" t="b">
        <f>IF(H414,INDEX('Monthly Prices'!B402:CB402,$G$4)*U414,FALSE)</f>
        <v>0</v>
      </c>
      <c r="L414" s="152" t="b">
        <f t="shared" si="121"/>
        <v>1</v>
      </c>
      <c r="M414" s="158">
        <f>INDEX('Monthly Prices'!B402:CB402,$G$5)</f>
        <v>82.12</v>
      </c>
      <c r="N414" s="158" t="b">
        <f>IF(H414,INDEX('Monthly Prices'!B402:CB402,$G$5)*U414,FALSE)</f>
        <v>0</v>
      </c>
      <c r="O414" s="152" t="b">
        <f t="shared" si="118"/>
        <v>1</v>
      </c>
      <c r="P414" s="152">
        <f t="shared" si="122"/>
        <v>1992</v>
      </c>
      <c r="Q414" s="159">
        <f>'Monthly Prices'!B402</f>
        <v>18.88333333333</v>
      </c>
      <c r="R414" s="159">
        <f t="shared" si="123"/>
        <v>19.020833333332501</v>
      </c>
      <c r="S414" s="155">
        <f>_xlfn.XLOOKUP(P414,'Annual Real'!A:A,'Annual Real'!B:B,0,0)</f>
        <v>22.794962095071899</v>
      </c>
      <c r="T414" s="155">
        <f t="shared" ca="1" si="124"/>
        <v>1.8326085596806774</v>
      </c>
      <c r="U414" s="152">
        <f t="shared" ca="1" si="125"/>
        <v>1.8326085596806774</v>
      </c>
      <c r="V414" s="152" t="b">
        <f t="shared" si="131"/>
        <v>0</v>
      </c>
      <c r="W414" s="152" t="b">
        <f t="shared" si="132"/>
        <v>0</v>
      </c>
      <c r="X414" s="154">
        <f>LOOKUP(D414,'US Implicit Deflator'!A:A,'US Implicit Deflator'!B:B)/100</f>
        <v>1.9E-2</v>
      </c>
      <c r="Y414" s="154">
        <f t="shared" si="126"/>
        <v>1.5697102274137009E-3</v>
      </c>
      <c r="Z414" s="165">
        <f t="shared" ca="1" si="127"/>
        <v>3.7262693592896188</v>
      </c>
      <c r="AA414" s="152">
        <f t="shared" si="128"/>
        <v>7</v>
      </c>
      <c r="AB414" s="153">
        <f t="shared" si="129"/>
        <v>33909</v>
      </c>
      <c r="AC414" s="155">
        <f t="shared" ca="1" si="130"/>
        <v>1.8326085596806774</v>
      </c>
    </row>
    <row r="415" spans="3:29">
      <c r="C415" s="152" t="str">
        <f>'Monthly Prices'!A403</f>
        <v>1992M12</v>
      </c>
      <c r="D415" s="153">
        <f t="shared" si="119"/>
        <v>33939</v>
      </c>
      <c r="E415" s="152">
        <f t="shared" si="120"/>
        <v>396</v>
      </c>
      <c r="F415" s="152" t="b">
        <f t="shared" si="114"/>
        <v>0</v>
      </c>
      <c r="G415" s="152" t="b">
        <f t="shared" si="115"/>
        <v>1</v>
      </c>
      <c r="H415" s="152" t="b">
        <f t="shared" si="116"/>
        <v>0</v>
      </c>
      <c r="I415" s="153" t="e">
        <f t="shared" si="117"/>
        <v>#N/A</v>
      </c>
      <c r="J415" s="158">
        <f>INDEX('Monthly Prices'!B403:CB403,$G$4)</f>
        <v>94.61</v>
      </c>
      <c r="K415" s="158" t="b">
        <f>IF(H415,INDEX('Monthly Prices'!B403:CB403,$G$4)*U415,FALSE)</f>
        <v>0</v>
      </c>
      <c r="L415" s="152" t="b">
        <f t="shared" si="121"/>
        <v>1</v>
      </c>
      <c r="M415" s="158">
        <f>INDEX('Monthly Prices'!B403:CB403,$G$5)</f>
        <v>79.55</v>
      </c>
      <c r="N415" s="158" t="b">
        <f>IF(H415,INDEX('Monthly Prices'!B403:CB403,$G$5)*U415,FALSE)</f>
        <v>0</v>
      </c>
      <c r="O415" s="152" t="b">
        <f t="shared" si="118"/>
        <v>1</v>
      </c>
      <c r="P415" s="152">
        <f t="shared" si="122"/>
        <v>1992</v>
      </c>
      <c r="Q415" s="159">
        <f>'Monthly Prices'!B403</f>
        <v>17.933333333330001</v>
      </c>
      <c r="R415" s="159">
        <f t="shared" si="123"/>
        <v>19.020833333332501</v>
      </c>
      <c r="S415" s="155">
        <f>_xlfn.XLOOKUP(P415,'Annual Real'!A:A,'Annual Real'!B:B,0,0)</f>
        <v>22.794962095071899</v>
      </c>
      <c r="T415" s="155">
        <f t="shared" ca="1" si="124"/>
        <v>1.8297364037342645</v>
      </c>
      <c r="U415" s="152">
        <f t="shared" ca="1" si="125"/>
        <v>1.8297364037342645</v>
      </c>
      <c r="V415" s="152" t="b">
        <f t="shared" si="131"/>
        <v>0</v>
      </c>
      <c r="W415" s="152" t="b">
        <f t="shared" si="132"/>
        <v>0</v>
      </c>
      <c r="X415" s="154">
        <f>LOOKUP(D415,'US Implicit Deflator'!A:A,'US Implicit Deflator'!B:B)/100</f>
        <v>1.9E-2</v>
      </c>
      <c r="Y415" s="154">
        <f t="shared" si="126"/>
        <v>1.5697102274137009E-3</v>
      </c>
      <c r="Z415" s="165">
        <f t="shared" ca="1" si="127"/>
        <v>3.732118522412994</v>
      </c>
      <c r="AA415" s="152">
        <f t="shared" si="128"/>
        <v>7</v>
      </c>
      <c r="AB415" s="153">
        <f t="shared" si="129"/>
        <v>33939</v>
      </c>
      <c r="AC415" s="155">
        <f t="shared" ca="1" si="130"/>
        <v>1.8297364037342645</v>
      </c>
    </row>
    <row r="416" spans="3:29">
      <c r="C416" s="152" t="str">
        <f>'Monthly Prices'!A404</f>
        <v>1993M01</v>
      </c>
      <c r="D416" s="153">
        <f t="shared" si="119"/>
        <v>33970</v>
      </c>
      <c r="E416" s="152">
        <f t="shared" si="120"/>
        <v>397</v>
      </c>
      <c r="F416" s="152" t="b">
        <f t="shared" si="114"/>
        <v>0</v>
      </c>
      <c r="G416" s="152" t="b">
        <f t="shared" si="115"/>
        <v>1</v>
      </c>
      <c r="H416" s="152" t="b">
        <f t="shared" si="116"/>
        <v>0</v>
      </c>
      <c r="I416" s="153" t="e">
        <f t="shared" si="117"/>
        <v>#N/A</v>
      </c>
      <c r="J416" s="158">
        <f>INDEX('Monthly Prices'!B404:CB404,$G$4)</f>
        <v>94.21</v>
      </c>
      <c r="K416" s="158" t="b">
        <f>IF(H416,INDEX('Monthly Prices'!B404:CB404,$G$4)*U416,FALSE)</f>
        <v>0</v>
      </c>
      <c r="L416" s="152" t="b">
        <f t="shared" si="121"/>
        <v>1</v>
      </c>
      <c r="M416" s="158">
        <f>INDEX('Monthly Prices'!B404:CB404,$G$5)</f>
        <v>75.08</v>
      </c>
      <c r="N416" s="158" t="b">
        <f>IF(H416,INDEX('Monthly Prices'!B404:CB404,$G$5)*U416,FALSE)</f>
        <v>0</v>
      </c>
      <c r="O416" s="152" t="b">
        <f t="shared" si="118"/>
        <v>1</v>
      </c>
      <c r="P416" s="152">
        <f t="shared" si="122"/>
        <v>1993</v>
      </c>
      <c r="Q416" s="159">
        <f>'Monthly Prices'!B404</f>
        <v>17.216666666670001</v>
      </c>
      <c r="R416" s="159">
        <f t="shared" si="123"/>
        <v>16.841666666668335</v>
      </c>
      <c r="S416" s="155">
        <f>_xlfn.XLOOKUP(P416,'Annual Real'!A:A,'Annual Real'!B:B,0,0)</f>
        <v>19.510145387289</v>
      </c>
      <c r="T416" s="155">
        <f t="shared" ca="1" si="124"/>
        <v>1.8261237255741314</v>
      </c>
      <c r="U416" s="152">
        <f t="shared" ca="1" si="125"/>
        <v>1.8261237255741314</v>
      </c>
      <c r="V416" s="152" t="b">
        <f t="shared" si="131"/>
        <v>0</v>
      </c>
      <c r="W416" s="152" t="b">
        <f t="shared" si="132"/>
        <v>0</v>
      </c>
      <c r="X416" s="154">
        <f>LOOKUP(D416,'US Implicit Deflator'!A:A,'US Implicit Deflator'!B:B)/100</f>
        <v>2.4E-2</v>
      </c>
      <c r="Y416" s="154">
        <f t="shared" si="126"/>
        <v>1.9783315388433032E-3</v>
      </c>
      <c r="Z416" s="165">
        <f t="shared" ca="1" si="127"/>
        <v>3.7395018901925847</v>
      </c>
      <c r="AA416" s="152">
        <f t="shared" si="128"/>
        <v>7</v>
      </c>
      <c r="AB416" s="153">
        <f t="shared" si="129"/>
        <v>33970</v>
      </c>
      <c r="AC416" s="155">
        <f t="shared" ca="1" si="130"/>
        <v>1.8261237255741314</v>
      </c>
    </row>
    <row r="417" spans="3:29">
      <c r="C417" s="152" t="str">
        <f>'Monthly Prices'!A405</f>
        <v>1993M02</v>
      </c>
      <c r="D417" s="153">
        <f t="shared" si="119"/>
        <v>34001</v>
      </c>
      <c r="E417" s="152">
        <f t="shared" si="120"/>
        <v>398</v>
      </c>
      <c r="F417" s="152" t="b">
        <f t="shared" si="114"/>
        <v>0</v>
      </c>
      <c r="G417" s="152" t="b">
        <f t="shared" si="115"/>
        <v>1</v>
      </c>
      <c r="H417" s="152" t="b">
        <f t="shared" si="116"/>
        <v>0</v>
      </c>
      <c r="I417" s="153" t="e">
        <f t="shared" si="117"/>
        <v>#N/A</v>
      </c>
      <c r="J417" s="158">
        <f>INDEX('Monthly Prices'!B405:CB405,$G$4)</f>
        <v>94.38</v>
      </c>
      <c r="K417" s="158" t="b">
        <f>IF(H417,INDEX('Monthly Prices'!B405:CB405,$G$4)*U417,FALSE)</f>
        <v>0</v>
      </c>
      <c r="L417" s="152" t="b">
        <f t="shared" si="121"/>
        <v>1</v>
      </c>
      <c r="M417" s="158">
        <f>INDEX('Monthly Prices'!B405:CB405,$G$5)</f>
        <v>74.83</v>
      </c>
      <c r="N417" s="158" t="b">
        <f>IF(H417,INDEX('Monthly Prices'!B405:CB405,$G$5)*U417,FALSE)</f>
        <v>0</v>
      </c>
      <c r="O417" s="152" t="b">
        <f t="shared" si="118"/>
        <v>1</v>
      </c>
      <c r="P417" s="152">
        <f t="shared" si="122"/>
        <v>1993</v>
      </c>
      <c r="Q417" s="159">
        <f>'Monthly Prices'!B405</f>
        <v>18.16666666667</v>
      </c>
      <c r="R417" s="159">
        <f t="shared" si="123"/>
        <v>16.841666666668335</v>
      </c>
      <c r="S417" s="155">
        <f>_xlfn.XLOOKUP(P417,'Annual Real'!A:A,'Annual Real'!B:B,0,0)</f>
        <v>19.510145387289</v>
      </c>
      <c r="T417" s="155">
        <f t="shared" ca="1" si="124"/>
        <v>1.8225181803777746</v>
      </c>
      <c r="U417" s="152">
        <f t="shared" ca="1" si="125"/>
        <v>1.8225181803777746</v>
      </c>
      <c r="V417" s="152" t="b">
        <f t="shared" si="131"/>
        <v>0</v>
      </c>
      <c r="W417" s="152" t="b">
        <f t="shared" si="132"/>
        <v>0</v>
      </c>
      <c r="X417" s="154">
        <f>LOOKUP(D417,'US Implicit Deflator'!A:A,'US Implicit Deflator'!B:B)/100</f>
        <v>2.4E-2</v>
      </c>
      <c r="Y417" s="154">
        <f t="shared" si="126"/>
        <v>1.9783315388433032E-3</v>
      </c>
      <c r="Z417" s="165">
        <f t="shared" ca="1" si="127"/>
        <v>3.746899864721517</v>
      </c>
      <c r="AA417" s="152">
        <f t="shared" si="128"/>
        <v>7</v>
      </c>
      <c r="AB417" s="153">
        <f t="shared" si="129"/>
        <v>34001</v>
      </c>
      <c r="AC417" s="155">
        <f t="shared" ca="1" si="130"/>
        <v>1.8225181803777746</v>
      </c>
    </row>
    <row r="418" spans="3:29">
      <c r="C418" s="152" t="str">
        <f>'Monthly Prices'!A406</f>
        <v>1993M03</v>
      </c>
      <c r="D418" s="153">
        <f t="shared" si="119"/>
        <v>34029</v>
      </c>
      <c r="E418" s="152">
        <f t="shared" si="120"/>
        <v>399</v>
      </c>
      <c r="F418" s="152" t="b">
        <f t="shared" si="114"/>
        <v>0</v>
      </c>
      <c r="G418" s="152" t="b">
        <f t="shared" si="115"/>
        <v>1</v>
      </c>
      <c r="H418" s="152" t="b">
        <f t="shared" si="116"/>
        <v>0</v>
      </c>
      <c r="I418" s="153" t="e">
        <f t="shared" si="117"/>
        <v>#N/A</v>
      </c>
      <c r="J418" s="158">
        <f>INDEX('Monthly Prices'!B406:CB406,$G$4)</f>
        <v>97.14</v>
      </c>
      <c r="K418" s="158" t="b">
        <f>IF(H418,INDEX('Monthly Prices'!B406:CB406,$G$4)*U418,FALSE)</f>
        <v>0</v>
      </c>
      <c r="L418" s="152" t="b">
        <f t="shared" si="121"/>
        <v>1</v>
      </c>
      <c r="M418" s="158">
        <f>INDEX('Monthly Prices'!B406:CB406,$G$5)</f>
        <v>75.16</v>
      </c>
      <c r="N418" s="158" t="b">
        <f>IF(H418,INDEX('Monthly Prices'!B406:CB406,$G$5)*U418,FALSE)</f>
        <v>0</v>
      </c>
      <c r="O418" s="152" t="b">
        <f t="shared" si="118"/>
        <v>1</v>
      </c>
      <c r="P418" s="152">
        <f t="shared" si="122"/>
        <v>1993</v>
      </c>
      <c r="Q418" s="159">
        <f>'Monthly Prices'!B406</f>
        <v>18.466666666670001</v>
      </c>
      <c r="R418" s="159">
        <f t="shared" si="123"/>
        <v>16.841666666668335</v>
      </c>
      <c r="S418" s="155">
        <f>_xlfn.XLOOKUP(P418,'Annual Real'!A:A,'Annual Real'!B:B,0,0)</f>
        <v>19.510145387289</v>
      </c>
      <c r="T418" s="155">
        <f t="shared" ca="1" si="124"/>
        <v>1.8189197540616893</v>
      </c>
      <c r="U418" s="152">
        <f t="shared" ca="1" si="125"/>
        <v>1.8189197540616893</v>
      </c>
      <c r="V418" s="152" t="b">
        <f t="shared" si="131"/>
        <v>0</v>
      </c>
      <c r="W418" s="152" t="b">
        <f t="shared" si="132"/>
        <v>0</v>
      </c>
      <c r="X418" s="154">
        <f>LOOKUP(D418,'US Implicit Deflator'!A:A,'US Implicit Deflator'!B:B)/100</f>
        <v>2.4E-2</v>
      </c>
      <c r="Y418" s="154">
        <f t="shared" si="126"/>
        <v>1.9783315388433032E-3</v>
      </c>
      <c r="Z418" s="165">
        <f t="shared" ca="1" si="127"/>
        <v>3.7543124748967833</v>
      </c>
      <c r="AA418" s="152">
        <f t="shared" si="128"/>
        <v>7</v>
      </c>
      <c r="AB418" s="153">
        <f t="shared" si="129"/>
        <v>34029</v>
      </c>
      <c r="AC418" s="155">
        <f t="shared" ca="1" si="130"/>
        <v>1.8189197540616893</v>
      </c>
    </row>
    <row r="419" spans="3:29">
      <c r="C419" s="152" t="str">
        <f>'Monthly Prices'!A407</f>
        <v>1993M04</v>
      </c>
      <c r="D419" s="153">
        <f t="shared" si="119"/>
        <v>34060</v>
      </c>
      <c r="E419" s="152">
        <f t="shared" si="120"/>
        <v>400</v>
      </c>
      <c r="F419" s="152" t="b">
        <f t="shared" si="114"/>
        <v>0</v>
      </c>
      <c r="G419" s="152" t="b">
        <f t="shared" si="115"/>
        <v>1</v>
      </c>
      <c r="H419" s="152" t="b">
        <f t="shared" si="116"/>
        <v>0</v>
      </c>
      <c r="I419" s="153" t="e">
        <f t="shared" si="117"/>
        <v>#N/A</v>
      </c>
      <c r="J419" s="158">
        <f>INDEX('Monthly Prices'!B407:CB407,$G$4)</f>
        <v>100.55</v>
      </c>
      <c r="K419" s="158" t="b">
        <f>IF(H419,INDEX('Monthly Prices'!B407:CB407,$G$4)*U419,FALSE)</f>
        <v>0</v>
      </c>
      <c r="L419" s="152" t="b">
        <f t="shared" si="121"/>
        <v>1</v>
      </c>
      <c r="M419" s="158">
        <f>INDEX('Monthly Prices'!B407:CB407,$G$5)</f>
        <v>77.45</v>
      </c>
      <c r="N419" s="158" t="b">
        <f>IF(H419,INDEX('Monthly Prices'!B407:CB407,$G$5)*U419,FALSE)</f>
        <v>0</v>
      </c>
      <c r="O419" s="152" t="b">
        <f t="shared" si="118"/>
        <v>1</v>
      </c>
      <c r="P419" s="152">
        <f t="shared" si="122"/>
        <v>1993</v>
      </c>
      <c r="Q419" s="159">
        <f>'Monthly Prices'!B407</f>
        <v>18.433333333330001</v>
      </c>
      <c r="R419" s="159">
        <f t="shared" si="123"/>
        <v>16.841666666668335</v>
      </c>
      <c r="S419" s="155">
        <f>_xlfn.XLOOKUP(P419,'Annual Real'!A:A,'Annual Real'!B:B,0,0)</f>
        <v>19.510145387289</v>
      </c>
      <c r="T419" s="155">
        <f t="shared" ca="1" si="124"/>
        <v>1.815180778857078</v>
      </c>
      <c r="U419" s="152">
        <f t="shared" ca="1" si="125"/>
        <v>1.815180778857078</v>
      </c>
      <c r="V419" s="152" t="b">
        <f t="shared" si="131"/>
        <v>0</v>
      </c>
      <c r="W419" s="152" t="b">
        <f t="shared" si="132"/>
        <v>0</v>
      </c>
      <c r="X419" s="154">
        <f>LOOKUP(D419,'US Implicit Deflator'!A:A,'US Implicit Deflator'!B:B)/100</f>
        <v>2.5000000000000001E-2</v>
      </c>
      <c r="Y419" s="154">
        <f t="shared" si="126"/>
        <v>2.0598362698427408E-3</v>
      </c>
      <c r="Z419" s="165">
        <f t="shared" ca="1" si="127"/>
        <v>3.7620457439008987</v>
      </c>
      <c r="AA419" s="152">
        <f t="shared" si="128"/>
        <v>7</v>
      </c>
      <c r="AB419" s="153">
        <f t="shared" si="129"/>
        <v>34060</v>
      </c>
      <c r="AC419" s="155">
        <f t="shared" ca="1" si="130"/>
        <v>1.815180778857078</v>
      </c>
    </row>
    <row r="420" spans="3:29">
      <c r="C420" s="152" t="str">
        <f>'Monthly Prices'!A408</f>
        <v>1993M05</v>
      </c>
      <c r="D420" s="153">
        <f t="shared" si="119"/>
        <v>34090</v>
      </c>
      <c r="E420" s="152">
        <f t="shared" si="120"/>
        <v>401</v>
      </c>
      <c r="F420" s="152" t="b">
        <f t="shared" si="114"/>
        <v>0</v>
      </c>
      <c r="G420" s="152" t="b">
        <f t="shared" si="115"/>
        <v>1</v>
      </c>
      <c r="H420" s="152" t="b">
        <f t="shared" si="116"/>
        <v>0</v>
      </c>
      <c r="I420" s="153" t="e">
        <f t="shared" si="117"/>
        <v>#N/A</v>
      </c>
      <c r="J420" s="158">
        <f>INDEX('Monthly Prices'!B408:CB408,$G$4)</f>
        <v>98.59</v>
      </c>
      <c r="K420" s="158" t="b">
        <f>IF(H420,INDEX('Monthly Prices'!B408:CB408,$G$4)*U420,FALSE)</f>
        <v>0</v>
      </c>
      <c r="L420" s="152" t="b">
        <f t="shared" si="121"/>
        <v>1</v>
      </c>
      <c r="M420" s="158">
        <f>INDEX('Monthly Prices'!B408:CB408,$G$5)</f>
        <v>77.459999999999994</v>
      </c>
      <c r="N420" s="158" t="b">
        <f>IF(H420,INDEX('Monthly Prices'!B408:CB408,$G$5)*U420,FALSE)</f>
        <v>0</v>
      </c>
      <c r="O420" s="152" t="b">
        <f t="shared" si="118"/>
        <v>1</v>
      </c>
      <c r="P420" s="152">
        <f t="shared" si="122"/>
        <v>1993</v>
      </c>
      <c r="Q420" s="159">
        <f>'Monthly Prices'!B408</f>
        <v>18.16666666667</v>
      </c>
      <c r="R420" s="159">
        <f t="shared" si="123"/>
        <v>16.841666666668335</v>
      </c>
      <c r="S420" s="155">
        <f>_xlfn.XLOOKUP(P420,'Annual Real'!A:A,'Annual Real'!B:B,0,0)</f>
        <v>19.510145387289</v>
      </c>
      <c r="T420" s="155">
        <f t="shared" ca="1" si="124"/>
        <v>1.8114494894976227</v>
      </c>
      <c r="U420" s="152">
        <f t="shared" ca="1" si="125"/>
        <v>1.8114494894976227</v>
      </c>
      <c r="V420" s="152" t="b">
        <f t="shared" si="131"/>
        <v>0</v>
      </c>
      <c r="W420" s="152" t="b">
        <f t="shared" si="132"/>
        <v>0</v>
      </c>
      <c r="X420" s="154">
        <f>LOOKUP(D420,'US Implicit Deflator'!A:A,'US Implicit Deflator'!B:B)/100</f>
        <v>2.5000000000000001E-2</v>
      </c>
      <c r="Y420" s="154">
        <f t="shared" si="126"/>
        <v>2.0598362698427408E-3</v>
      </c>
      <c r="Z420" s="165">
        <f t="shared" ca="1" si="127"/>
        <v>3.7697949421729935</v>
      </c>
      <c r="AA420" s="152">
        <f t="shared" si="128"/>
        <v>7</v>
      </c>
      <c r="AB420" s="153">
        <f t="shared" si="129"/>
        <v>34090</v>
      </c>
      <c r="AC420" s="155">
        <f t="shared" ca="1" si="130"/>
        <v>1.8114494894976227</v>
      </c>
    </row>
    <row r="421" spans="3:29">
      <c r="C421" s="152" t="str">
        <f>'Monthly Prices'!A409</f>
        <v>1993M06</v>
      </c>
      <c r="D421" s="153">
        <f t="shared" si="119"/>
        <v>34121</v>
      </c>
      <c r="E421" s="152">
        <f t="shared" si="120"/>
        <v>402</v>
      </c>
      <c r="F421" s="152" t="b">
        <f t="shared" si="114"/>
        <v>0</v>
      </c>
      <c r="G421" s="152" t="b">
        <f t="shared" si="115"/>
        <v>1</v>
      </c>
      <c r="H421" s="152" t="b">
        <f t="shared" si="116"/>
        <v>0</v>
      </c>
      <c r="I421" s="153" t="e">
        <f t="shared" si="117"/>
        <v>#N/A</v>
      </c>
      <c r="J421" s="158">
        <f>INDEX('Monthly Prices'!B409:CB409,$G$4)</f>
        <v>92.76</v>
      </c>
      <c r="K421" s="158" t="b">
        <f>IF(H421,INDEX('Monthly Prices'!B409:CB409,$G$4)*U421,FALSE)</f>
        <v>0</v>
      </c>
      <c r="L421" s="152" t="b">
        <f t="shared" si="121"/>
        <v>1</v>
      </c>
      <c r="M421" s="158">
        <f>INDEX('Monthly Prices'!B409:CB409,$G$5)</f>
        <v>75.3</v>
      </c>
      <c r="N421" s="158" t="b">
        <f>IF(H421,INDEX('Monthly Prices'!B409:CB409,$G$5)*U421,FALSE)</f>
        <v>0</v>
      </c>
      <c r="O421" s="152" t="b">
        <f t="shared" si="118"/>
        <v>1</v>
      </c>
      <c r="P421" s="152">
        <f t="shared" si="122"/>
        <v>1993</v>
      </c>
      <c r="Q421" s="159">
        <f>'Monthly Prices'!B409</f>
        <v>17.466666666670001</v>
      </c>
      <c r="R421" s="159">
        <f t="shared" si="123"/>
        <v>16.841666666668335</v>
      </c>
      <c r="S421" s="155">
        <f>_xlfn.XLOOKUP(P421,'Annual Real'!A:A,'Annual Real'!B:B,0,0)</f>
        <v>19.510145387289</v>
      </c>
      <c r="T421" s="155">
        <f t="shared" ca="1" si="124"/>
        <v>1.807725870184284</v>
      </c>
      <c r="U421" s="152">
        <f t="shared" ca="1" si="125"/>
        <v>1.807725870184284</v>
      </c>
      <c r="V421" s="152" t="b">
        <f t="shared" si="131"/>
        <v>0</v>
      </c>
      <c r="W421" s="152" t="b">
        <f t="shared" si="132"/>
        <v>0</v>
      </c>
      <c r="X421" s="154">
        <f>LOOKUP(D421,'US Implicit Deflator'!A:A,'US Implicit Deflator'!B:B)/100</f>
        <v>2.5000000000000001E-2</v>
      </c>
      <c r="Y421" s="154">
        <f t="shared" si="126"/>
        <v>2.0598362698427408E-3</v>
      </c>
      <c r="Z421" s="165">
        <f t="shared" ca="1" si="127"/>
        <v>3.7775601025247512</v>
      </c>
      <c r="AA421" s="152">
        <f t="shared" si="128"/>
        <v>7</v>
      </c>
      <c r="AB421" s="153">
        <f t="shared" si="129"/>
        <v>34121</v>
      </c>
      <c r="AC421" s="155">
        <f t="shared" ca="1" si="130"/>
        <v>1.807725870184284</v>
      </c>
    </row>
    <row r="422" spans="3:29">
      <c r="C422" s="152" t="str">
        <f>'Monthly Prices'!A410</f>
        <v>1993M07</v>
      </c>
      <c r="D422" s="153">
        <f t="shared" si="119"/>
        <v>34151</v>
      </c>
      <c r="E422" s="152">
        <f t="shared" si="120"/>
        <v>403</v>
      </c>
      <c r="F422" s="152" t="b">
        <f t="shared" si="114"/>
        <v>0</v>
      </c>
      <c r="G422" s="152" t="b">
        <f t="shared" si="115"/>
        <v>1</v>
      </c>
      <c r="H422" s="152" t="b">
        <f t="shared" si="116"/>
        <v>0</v>
      </c>
      <c r="I422" s="153" t="e">
        <f t="shared" si="117"/>
        <v>#N/A</v>
      </c>
      <c r="J422" s="158">
        <f>INDEX('Monthly Prices'!B410:CB410,$G$4)</f>
        <v>101.25</v>
      </c>
      <c r="K422" s="158" t="b">
        <f>IF(H422,INDEX('Monthly Prices'!B410:CB410,$G$4)*U422,FALSE)</f>
        <v>0</v>
      </c>
      <c r="L422" s="152" t="b">
        <f t="shared" si="121"/>
        <v>1</v>
      </c>
      <c r="M422" s="158">
        <f>INDEX('Monthly Prices'!B410:CB410,$G$5)</f>
        <v>74.03</v>
      </c>
      <c r="N422" s="158" t="b">
        <f>IF(H422,INDEX('Monthly Prices'!B410:CB410,$G$5)*U422,FALSE)</f>
        <v>0</v>
      </c>
      <c r="O422" s="152" t="b">
        <f t="shared" si="118"/>
        <v>1</v>
      </c>
      <c r="P422" s="152">
        <f t="shared" si="122"/>
        <v>1993</v>
      </c>
      <c r="Q422" s="159">
        <f>'Monthly Prices'!B410</f>
        <v>16.316666666669999</v>
      </c>
      <c r="R422" s="159">
        <f t="shared" si="123"/>
        <v>16.841666666668335</v>
      </c>
      <c r="S422" s="155">
        <f>_xlfn.XLOOKUP(P422,'Annual Real'!A:A,'Annual Real'!B:B,0,0)</f>
        <v>19.510145387289</v>
      </c>
      <c r="T422" s="155">
        <f t="shared" ca="1" si="124"/>
        <v>1.8043035505439549</v>
      </c>
      <c r="U422" s="152">
        <f t="shared" ca="1" si="125"/>
        <v>1.8043035505439549</v>
      </c>
      <c r="V422" s="152" t="b">
        <f t="shared" si="131"/>
        <v>0</v>
      </c>
      <c r="W422" s="152" t="b">
        <f t="shared" si="132"/>
        <v>0</v>
      </c>
      <c r="X422" s="154">
        <f>LOOKUP(D422,'US Implicit Deflator'!A:A,'US Implicit Deflator'!B:B)/100</f>
        <v>2.3E-2</v>
      </c>
      <c r="Y422" s="154">
        <f t="shared" si="126"/>
        <v>1.8967538135683526E-3</v>
      </c>
      <c r="Z422" s="165">
        <f t="shared" ca="1" si="127"/>
        <v>3.7847252040551989</v>
      </c>
      <c r="AA422" s="152">
        <f t="shared" si="128"/>
        <v>7</v>
      </c>
      <c r="AB422" s="153">
        <f t="shared" si="129"/>
        <v>34151</v>
      </c>
      <c r="AC422" s="155">
        <f t="shared" ca="1" si="130"/>
        <v>1.8043035505439549</v>
      </c>
    </row>
    <row r="423" spans="3:29">
      <c r="C423" s="152" t="str">
        <f>'Monthly Prices'!A411</f>
        <v>1993M08</v>
      </c>
      <c r="D423" s="153">
        <f t="shared" si="119"/>
        <v>34182</v>
      </c>
      <c r="E423" s="152">
        <f t="shared" si="120"/>
        <v>404</v>
      </c>
      <c r="F423" s="152" t="b">
        <f t="shared" si="114"/>
        <v>0</v>
      </c>
      <c r="G423" s="152" t="b">
        <f t="shared" si="115"/>
        <v>1</v>
      </c>
      <c r="H423" s="152" t="b">
        <f t="shared" si="116"/>
        <v>0</v>
      </c>
      <c r="I423" s="153" t="e">
        <f t="shared" si="117"/>
        <v>#N/A</v>
      </c>
      <c r="J423" s="158">
        <f>INDEX('Monthly Prices'!B411:CB411,$G$4)</f>
        <v>100.31</v>
      </c>
      <c r="K423" s="158" t="b">
        <f>IF(H423,INDEX('Monthly Prices'!B411:CB411,$G$4)*U423,FALSE)</f>
        <v>0</v>
      </c>
      <c r="L423" s="152" t="b">
        <f t="shared" si="121"/>
        <v>1</v>
      </c>
      <c r="M423" s="158">
        <f>INDEX('Monthly Prices'!B411:CB411,$G$5)</f>
        <v>69.69</v>
      </c>
      <c r="N423" s="158" t="b">
        <f>IF(H423,INDEX('Monthly Prices'!B411:CB411,$G$5)*U423,FALSE)</f>
        <v>0</v>
      </c>
      <c r="O423" s="152" t="b">
        <f t="shared" si="118"/>
        <v>1</v>
      </c>
      <c r="P423" s="152">
        <f t="shared" si="122"/>
        <v>1993</v>
      </c>
      <c r="Q423" s="159">
        <f>'Monthly Prices'!B411</f>
        <v>16.483333333329998</v>
      </c>
      <c r="R423" s="159">
        <f t="shared" si="123"/>
        <v>16.841666666668335</v>
      </c>
      <c r="S423" s="155">
        <f>_xlfn.XLOOKUP(P423,'Annual Real'!A:A,'Annual Real'!B:B,0,0)</f>
        <v>19.510145387289</v>
      </c>
      <c r="T423" s="155">
        <f t="shared" ca="1" si="124"/>
        <v>1.8008877099123701</v>
      </c>
      <c r="U423" s="152">
        <f t="shared" ca="1" si="125"/>
        <v>1.8008877099123701</v>
      </c>
      <c r="V423" s="152" t="b">
        <f t="shared" si="131"/>
        <v>0</v>
      </c>
      <c r="W423" s="152" t="b">
        <f t="shared" si="132"/>
        <v>0</v>
      </c>
      <c r="X423" s="154">
        <f>LOOKUP(D423,'US Implicit Deflator'!A:A,'US Implicit Deflator'!B:B)/100</f>
        <v>2.3E-2</v>
      </c>
      <c r="Y423" s="154">
        <f t="shared" si="126"/>
        <v>1.8967538135683526E-3</v>
      </c>
      <c r="Z423" s="165">
        <f t="shared" ca="1" si="127"/>
        <v>3.7919038960192988</v>
      </c>
      <c r="AA423" s="152">
        <f t="shared" si="128"/>
        <v>7</v>
      </c>
      <c r="AB423" s="153">
        <f t="shared" si="129"/>
        <v>34182</v>
      </c>
      <c r="AC423" s="155">
        <f t="shared" ca="1" si="130"/>
        <v>1.8008877099123701</v>
      </c>
    </row>
    <row r="424" spans="3:29">
      <c r="C424" s="152" t="str">
        <f>'Monthly Prices'!A412</f>
        <v>1993M09</v>
      </c>
      <c r="D424" s="153">
        <f t="shared" si="119"/>
        <v>34213</v>
      </c>
      <c r="E424" s="152">
        <f t="shared" si="120"/>
        <v>405</v>
      </c>
      <c r="F424" s="152" t="b">
        <f t="shared" si="114"/>
        <v>0</v>
      </c>
      <c r="G424" s="152" t="b">
        <f t="shared" si="115"/>
        <v>1</v>
      </c>
      <c r="H424" s="152" t="b">
        <f t="shared" si="116"/>
        <v>0</v>
      </c>
      <c r="I424" s="153" t="e">
        <f t="shared" si="117"/>
        <v>#N/A</v>
      </c>
      <c r="J424" s="158">
        <f>INDEX('Monthly Prices'!B412:CB412,$G$4)</f>
        <v>100.9</v>
      </c>
      <c r="K424" s="158" t="b">
        <f>IF(H424,INDEX('Monthly Prices'!B412:CB412,$G$4)*U424,FALSE)</f>
        <v>0</v>
      </c>
      <c r="L424" s="152" t="b">
        <f t="shared" si="121"/>
        <v>1</v>
      </c>
      <c r="M424" s="158">
        <f>INDEX('Monthly Prices'!B412:CB412,$G$5)</f>
        <v>64.41</v>
      </c>
      <c r="N424" s="158" t="b">
        <f>IF(H424,INDEX('Monthly Prices'!B412:CB412,$G$5)*U424,FALSE)</f>
        <v>0</v>
      </c>
      <c r="O424" s="152" t="b">
        <f t="shared" si="118"/>
        <v>1</v>
      </c>
      <c r="P424" s="152">
        <f t="shared" si="122"/>
        <v>1993</v>
      </c>
      <c r="Q424" s="159">
        <f>'Monthly Prices'!B412</f>
        <v>15.9</v>
      </c>
      <c r="R424" s="159">
        <f t="shared" si="123"/>
        <v>16.841666666668335</v>
      </c>
      <c r="S424" s="155">
        <f>_xlfn.XLOOKUP(P424,'Annual Real'!A:A,'Annual Real'!B:B,0,0)</f>
        <v>19.510145387289</v>
      </c>
      <c r="T424" s="155">
        <f t="shared" ca="1" si="124"/>
        <v>1.7974783360237108</v>
      </c>
      <c r="U424" s="152">
        <f t="shared" ca="1" si="125"/>
        <v>1.7974783360237108</v>
      </c>
      <c r="V424" s="152" t="b">
        <f t="shared" si="131"/>
        <v>0</v>
      </c>
      <c r="W424" s="152" t="b">
        <f t="shared" si="132"/>
        <v>0</v>
      </c>
      <c r="X424" s="154">
        <f>LOOKUP(D424,'US Implicit Deflator'!A:A,'US Implicit Deflator'!B:B)/100</f>
        <v>2.3E-2</v>
      </c>
      <c r="Y424" s="154">
        <f t="shared" si="126"/>
        <v>1.8967538135683526E-3</v>
      </c>
      <c r="Z424" s="165">
        <f t="shared" ca="1" si="127"/>
        <v>3.799096204194758</v>
      </c>
      <c r="AA424" s="152">
        <f t="shared" si="128"/>
        <v>7</v>
      </c>
      <c r="AB424" s="153">
        <f t="shared" si="129"/>
        <v>34213</v>
      </c>
      <c r="AC424" s="155">
        <f t="shared" ca="1" si="130"/>
        <v>1.7974783360237108</v>
      </c>
    </row>
    <row r="425" spans="3:29">
      <c r="C425" s="152" t="str">
        <f>'Monthly Prices'!A413</f>
        <v>1993M10</v>
      </c>
      <c r="D425" s="153">
        <f t="shared" si="119"/>
        <v>34243</v>
      </c>
      <c r="E425" s="152">
        <f t="shared" si="120"/>
        <v>406</v>
      </c>
      <c r="F425" s="152" t="b">
        <f t="shared" si="114"/>
        <v>0</v>
      </c>
      <c r="G425" s="152" t="b">
        <f t="shared" si="115"/>
        <v>1</v>
      </c>
      <c r="H425" s="152" t="b">
        <f t="shared" si="116"/>
        <v>0</v>
      </c>
      <c r="I425" s="153" t="e">
        <f t="shared" si="117"/>
        <v>#N/A</v>
      </c>
      <c r="J425" s="158">
        <f>INDEX('Monthly Prices'!B413:CB413,$G$4)</f>
        <v>106.53</v>
      </c>
      <c r="K425" s="158" t="b">
        <f>IF(H425,INDEX('Monthly Prices'!B413:CB413,$G$4)*U425,FALSE)</f>
        <v>0</v>
      </c>
      <c r="L425" s="152" t="b">
        <f t="shared" si="121"/>
        <v>1</v>
      </c>
      <c r="M425" s="158">
        <f>INDEX('Monthly Prices'!B413:CB413,$G$5)</f>
        <v>60.95</v>
      </c>
      <c r="N425" s="158" t="b">
        <f>IF(H425,INDEX('Monthly Prices'!B413:CB413,$G$5)*U425,FALSE)</f>
        <v>0</v>
      </c>
      <c r="O425" s="152" t="b">
        <f t="shared" si="118"/>
        <v>1</v>
      </c>
      <c r="P425" s="152">
        <f t="shared" si="122"/>
        <v>1993</v>
      </c>
      <c r="Q425" s="159">
        <f>'Monthly Prices'!B413</f>
        <v>16.516666666670002</v>
      </c>
      <c r="R425" s="159">
        <f t="shared" si="123"/>
        <v>16.841666666668335</v>
      </c>
      <c r="S425" s="155">
        <f>_xlfn.XLOOKUP(P425,'Annual Real'!A:A,'Annual Real'!B:B,0,0)</f>
        <v>19.510145387289</v>
      </c>
      <c r="T425" s="155">
        <f t="shared" ca="1" si="124"/>
        <v>1.7943680164861915</v>
      </c>
      <c r="U425" s="152">
        <f t="shared" ca="1" si="125"/>
        <v>1.7943680164861915</v>
      </c>
      <c r="V425" s="152" t="b">
        <f t="shared" si="131"/>
        <v>0</v>
      </c>
      <c r="W425" s="152" t="b">
        <f t="shared" si="132"/>
        <v>0</v>
      </c>
      <c r="X425" s="154">
        <f>LOOKUP(D425,'US Implicit Deflator'!A:A,'US Implicit Deflator'!B:B)/100</f>
        <v>2.1000000000000001E-2</v>
      </c>
      <c r="Y425" s="154">
        <f t="shared" si="126"/>
        <v>1.73337883251512E-3</v>
      </c>
      <c r="Z425" s="165">
        <f t="shared" ca="1" si="127"/>
        <v>3.8056814771377976</v>
      </c>
      <c r="AA425" s="152">
        <f t="shared" si="128"/>
        <v>7</v>
      </c>
      <c r="AB425" s="153">
        <f t="shared" si="129"/>
        <v>34243</v>
      </c>
      <c r="AC425" s="155">
        <f t="shared" ca="1" si="130"/>
        <v>1.7943680164861915</v>
      </c>
    </row>
    <row r="426" spans="3:29">
      <c r="C426" s="152" t="str">
        <f>'Monthly Prices'!A414</f>
        <v>1993M11</v>
      </c>
      <c r="D426" s="153">
        <f t="shared" si="119"/>
        <v>34274</v>
      </c>
      <c r="E426" s="152">
        <f t="shared" si="120"/>
        <v>407</v>
      </c>
      <c r="F426" s="152" t="b">
        <f t="shared" si="114"/>
        <v>0</v>
      </c>
      <c r="G426" s="152" t="b">
        <f t="shared" si="115"/>
        <v>1</v>
      </c>
      <c r="H426" s="152" t="b">
        <f t="shared" si="116"/>
        <v>0</v>
      </c>
      <c r="I426" s="153" t="e">
        <f t="shared" si="117"/>
        <v>#N/A</v>
      </c>
      <c r="J426" s="158">
        <f>INDEX('Monthly Prices'!B414:CB414,$G$4)</f>
        <v>116.67</v>
      </c>
      <c r="K426" s="158" t="b">
        <f>IF(H426,INDEX('Monthly Prices'!B414:CB414,$G$4)*U426,FALSE)</f>
        <v>0</v>
      </c>
      <c r="L426" s="152" t="b">
        <f t="shared" si="121"/>
        <v>1</v>
      </c>
      <c r="M426" s="158">
        <f>INDEX('Monthly Prices'!B414:CB414,$G$5)</f>
        <v>63.85</v>
      </c>
      <c r="N426" s="158" t="b">
        <f>IF(H426,INDEX('Monthly Prices'!B414:CB414,$G$5)*U426,FALSE)</f>
        <v>0</v>
      </c>
      <c r="O426" s="152" t="b">
        <f t="shared" si="118"/>
        <v>1</v>
      </c>
      <c r="P426" s="152">
        <f t="shared" si="122"/>
        <v>1993</v>
      </c>
      <c r="Q426" s="159">
        <f>'Monthly Prices'!B414</f>
        <v>15.2</v>
      </c>
      <c r="R426" s="159">
        <f t="shared" si="123"/>
        <v>16.841666666668335</v>
      </c>
      <c r="S426" s="155">
        <f>_xlfn.XLOOKUP(P426,'Annual Real'!A:A,'Annual Real'!B:B,0,0)</f>
        <v>19.510145387289</v>
      </c>
      <c r="T426" s="155">
        <f t="shared" ca="1" si="124"/>
        <v>1.7912630789816189</v>
      </c>
      <c r="U426" s="152">
        <f t="shared" ca="1" si="125"/>
        <v>1.7912630789816189</v>
      </c>
      <c r="V426" s="152" t="b">
        <f t="shared" si="131"/>
        <v>0</v>
      </c>
      <c r="W426" s="152" t="b">
        <f t="shared" si="132"/>
        <v>0</v>
      </c>
      <c r="X426" s="154">
        <f>LOOKUP(D426,'US Implicit Deflator'!A:A,'US Implicit Deflator'!B:B)/100</f>
        <v>2.1000000000000001E-2</v>
      </c>
      <c r="Y426" s="154">
        <f t="shared" si="126"/>
        <v>1.73337883251512E-3</v>
      </c>
      <c r="Z426" s="165">
        <f t="shared" ca="1" si="127"/>
        <v>3.8122781648535633</v>
      </c>
      <c r="AA426" s="152">
        <f t="shared" si="128"/>
        <v>7</v>
      </c>
      <c r="AB426" s="153">
        <f t="shared" si="129"/>
        <v>34274</v>
      </c>
      <c r="AC426" s="155">
        <f t="shared" ca="1" si="130"/>
        <v>1.7912630789816189</v>
      </c>
    </row>
    <row r="427" spans="3:29">
      <c r="C427" s="152" t="str">
        <f>'Monthly Prices'!A415</f>
        <v>1993M12</v>
      </c>
      <c r="D427" s="153">
        <f t="shared" si="119"/>
        <v>34304</v>
      </c>
      <c r="E427" s="152">
        <f t="shared" si="120"/>
        <v>408</v>
      </c>
      <c r="F427" s="152" t="b">
        <f t="shared" si="114"/>
        <v>0</v>
      </c>
      <c r="G427" s="152" t="b">
        <f t="shared" si="115"/>
        <v>1</v>
      </c>
      <c r="H427" s="152" t="b">
        <f t="shared" si="116"/>
        <v>0</v>
      </c>
      <c r="I427" s="153" t="e">
        <f t="shared" si="117"/>
        <v>#N/A</v>
      </c>
      <c r="J427" s="158">
        <f>INDEX('Monthly Prices'!B415:CB415,$G$4)</f>
        <v>121.79</v>
      </c>
      <c r="K427" s="158" t="b">
        <f>IF(H427,INDEX('Monthly Prices'!B415:CB415,$G$4)*U427,FALSE)</f>
        <v>0</v>
      </c>
      <c r="L427" s="152" t="b">
        <f t="shared" si="121"/>
        <v>1</v>
      </c>
      <c r="M427" s="158">
        <f>INDEX('Monthly Prices'!B415:CB415,$G$5)</f>
        <v>68.31</v>
      </c>
      <c r="N427" s="158" t="b">
        <f>IF(H427,INDEX('Monthly Prices'!B415:CB415,$G$5)*U427,FALSE)</f>
        <v>0</v>
      </c>
      <c r="O427" s="152" t="b">
        <f t="shared" si="118"/>
        <v>1</v>
      </c>
      <c r="P427" s="152">
        <f t="shared" si="122"/>
        <v>1993</v>
      </c>
      <c r="Q427" s="159">
        <f>'Monthly Prices'!B415</f>
        <v>13.76666666667</v>
      </c>
      <c r="R427" s="159">
        <f t="shared" si="123"/>
        <v>16.841666666668335</v>
      </c>
      <c r="S427" s="155">
        <f>_xlfn.XLOOKUP(P427,'Annual Real'!A:A,'Annual Real'!B:B,0,0)</f>
        <v>19.510145387289</v>
      </c>
      <c r="T427" s="155">
        <f t="shared" ca="1" si="124"/>
        <v>1.7881635141970338</v>
      </c>
      <c r="U427" s="152">
        <f t="shared" ca="1" si="125"/>
        <v>1.7881635141970338</v>
      </c>
      <c r="V427" s="152" t="b">
        <f t="shared" si="131"/>
        <v>0</v>
      </c>
      <c r="W427" s="152" t="b">
        <f t="shared" si="132"/>
        <v>0</v>
      </c>
      <c r="X427" s="154">
        <f>LOOKUP(D427,'US Implicit Deflator'!A:A,'US Implicit Deflator'!B:B)/100</f>
        <v>2.1000000000000001E-2</v>
      </c>
      <c r="Y427" s="154">
        <f t="shared" si="126"/>
        <v>1.73337883251512E-3</v>
      </c>
      <c r="Z427" s="165">
        <f t="shared" ca="1" si="127"/>
        <v>3.8188862871281799</v>
      </c>
      <c r="AA427" s="152">
        <f t="shared" si="128"/>
        <v>7</v>
      </c>
      <c r="AB427" s="153">
        <f t="shared" si="129"/>
        <v>34304</v>
      </c>
      <c r="AC427" s="155">
        <f t="shared" ca="1" si="130"/>
        <v>1.7881635141970338</v>
      </c>
    </row>
    <row r="428" spans="3:29">
      <c r="C428" s="152" t="str">
        <f>'Monthly Prices'!A416</f>
        <v>1994M01</v>
      </c>
      <c r="D428" s="153">
        <f t="shared" si="119"/>
        <v>34335</v>
      </c>
      <c r="E428" s="152">
        <f t="shared" si="120"/>
        <v>409</v>
      </c>
      <c r="F428" s="152" t="b">
        <f t="shared" si="114"/>
        <v>0</v>
      </c>
      <c r="G428" s="152" t="b">
        <f t="shared" si="115"/>
        <v>1</v>
      </c>
      <c r="H428" s="152" t="b">
        <f t="shared" si="116"/>
        <v>0</v>
      </c>
      <c r="I428" s="153" t="e">
        <f t="shared" si="117"/>
        <v>#N/A</v>
      </c>
      <c r="J428" s="158">
        <f>INDEX('Monthly Prices'!B416:CB416,$G$4)</f>
        <v>127.23</v>
      </c>
      <c r="K428" s="158" t="b">
        <f>IF(H428,INDEX('Monthly Prices'!B416:CB416,$G$4)*U428,FALSE)</f>
        <v>0</v>
      </c>
      <c r="L428" s="152" t="b">
        <f t="shared" si="121"/>
        <v>1</v>
      </c>
      <c r="M428" s="158">
        <f>INDEX('Monthly Prices'!B416:CB416,$G$5)</f>
        <v>74.62</v>
      </c>
      <c r="N428" s="158" t="b">
        <f>IF(H428,INDEX('Monthly Prices'!B416:CB416,$G$5)*U428,FALSE)</f>
        <v>0</v>
      </c>
      <c r="O428" s="152" t="b">
        <f t="shared" si="118"/>
        <v>1</v>
      </c>
      <c r="P428" s="152">
        <f t="shared" si="122"/>
        <v>1994</v>
      </c>
      <c r="Q428" s="159">
        <f>'Monthly Prices'!B416</f>
        <v>14.13333333333</v>
      </c>
      <c r="R428" s="159">
        <f t="shared" si="123"/>
        <v>15.886666666665832</v>
      </c>
      <c r="S428" s="155">
        <f>_xlfn.XLOOKUP(P428,'Annual Real'!A:A,'Annual Real'!B:B,0,0)</f>
        <v>18.973704773054401</v>
      </c>
      <c r="T428" s="155">
        <f t="shared" ca="1" si="124"/>
        <v>1.7855070983885357</v>
      </c>
      <c r="U428" s="152">
        <f t="shared" ca="1" si="125"/>
        <v>1.7855070983885357</v>
      </c>
      <c r="V428" s="152" t="b">
        <f t="shared" si="131"/>
        <v>0</v>
      </c>
      <c r="W428" s="152" t="b">
        <f t="shared" si="132"/>
        <v>0</v>
      </c>
      <c r="X428" s="154">
        <f>LOOKUP(D428,'US Implicit Deflator'!A:A,'US Implicit Deflator'!B:B)/100</f>
        <v>1.8000000000000002E-2</v>
      </c>
      <c r="Y428" s="154">
        <f t="shared" si="126"/>
        <v>1.4877654706024757E-3</v>
      </c>
      <c r="Z428" s="165">
        <f t="shared" ca="1" si="127"/>
        <v>3.8245678942823265</v>
      </c>
      <c r="AA428" s="152">
        <f t="shared" si="128"/>
        <v>7</v>
      </c>
      <c r="AB428" s="153">
        <f t="shared" si="129"/>
        <v>34335</v>
      </c>
      <c r="AC428" s="155">
        <f t="shared" ca="1" si="130"/>
        <v>1.7855070983885357</v>
      </c>
    </row>
    <row r="429" spans="3:29">
      <c r="C429" s="152" t="str">
        <f>'Monthly Prices'!A417</f>
        <v>1994M02</v>
      </c>
      <c r="D429" s="153">
        <f t="shared" si="119"/>
        <v>34366</v>
      </c>
      <c r="E429" s="152">
        <f t="shared" si="120"/>
        <v>410</v>
      </c>
      <c r="F429" s="152" t="b">
        <f t="shared" si="114"/>
        <v>0</v>
      </c>
      <c r="G429" s="152" t="b">
        <f t="shared" si="115"/>
        <v>1</v>
      </c>
      <c r="H429" s="152" t="b">
        <f t="shared" si="116"/>
        <v>0</v>
      </c>
      <c r="I429" s="153" t="e">
        <f t="shared" si="117"/>
        <v>#N/A</v>
      </c>
      <c r="J429" s="158">
        <f>INDEX('Monthly Prices'!B417:CB417,$G$4)</f>
        <v>123.22</v>
      </c>
      <c r="K429" s="158" t="b">
        <f>IF(H429,INDEX('Monthly Prices'!B417:CB417,$G$4)*U429,FALSE)</f>
        <v>0</v>
      </c>
      <c r="L429" s="152" t="b">
        <f t="shared" si="121"/>
        <v>1</v>
      </c>
      <c r="M429" s="158">
        <f>INDEX('Monthly Prices'!B417:CB417,$G$5)</f>
        <v>72.290000000000006</v>
      </c>
      <c r="N429" s="158" t="b">
        <f>IF(H429,INDEX('Monthly Prices'!B417:CB417,$G$5)*U429,FALSE)</f>
        <v>0</v>
      </c>
      <c r="O429" s="152" t="b">
        <f t="shared" si="118"/>
        <v>1</v>
      </c>
      <c r="P429" s="152">
        <f t="shared" si="122"/>
        <v>1994</v>
      </c>
      <c r="Q429" s="159">
        <f>'Monthly Prices'!B417</f>
        <v>13.783333333330001</v>
      </c>
      <c r="R429" s="159">
        <f t="shared" si="123"/>
        <v>15.886666666665832</v>
      </c>
      <c r="S429" s="155">
        <f>_xlfn.XLOOKUP(P429,'Annual Real'!A:A,'Annual Real'!B:B,0,0)</f>
        <v>18.973704773054401</v>
      </c>
      <c r="T429" s="155">
        <f t="shared" ca="1" si="124"/>
        <v>1.7828546288326548</v>
      </c>
      <c r="U429" s="152">
        <f t="shared" ca="1" si="125"/>
        <v>1.7828546288326548</v>
      </c>
      <c r="V429" s="152" t="b">
        <f t="shared" si="131"/>
        <v>0</v>
      </c>
      <c r="W429" s="152" t="b">
        <f t="shared" si="132"/>
        <v>0</v>
      </c>
      <c r="X429" s="154">
        <f>LOOKUP(D429,'US Implicit Deflator'!A:A,'US Implicit Deflator'!B:B)/100</f>
        <v>1.8000000000000002E-2</v>
      </c>
      <c r="Y429" s="154">
        <f t="shared" si="126"/>
        <v>1.4877654706024757E-3</v>
      </c>
      <c r="Z429" s="165">
        <f t="shared" ca="1" si="127"/>
        <v>3.8302579543354147</v>
      </c>
      <c r="AA429" s="152">
        <f t="shared" si="128"/>
        <v>7</v>
      </c>
      <c r="AB429" s="153">
        <f t="shared" si="129"/>
        <v>34366</v>
      </c>
      <c r="AC429" s="155">
        <f t="shared" ca="1" si="130"/>
        <v>1.7828546288326548</v>
      </c>
    </row>
    <row r="430" spans="3:29">
      <c r="C430" s="152" t="str">
        <f>'Monthly Prices'!A418</f>
        <v>1994M03</v>
      </c>
      <c r="D430" s="153">
        <f t="shared" si="119"/>
        <v>34394</v>
      </c>
      <c r="E430" s="152">
        <f t="shared" si="120"/>
        <v>411</v>
      </c>
      <c r="F430" s="152" t="b">
        <f t="shared" si="114"/>
        <v>0</v>
      </c>
      <c r="G430" s="152" t="b">
        <f t="shared" si="115"/>
        <v>1</v>
      </c>
      <c r="H430" s="152" t="b">
        <f t="shared" si="116"/>
        <v>0</v>
      </c>
      <c r="I430" s="153" t="e">
        <f t="shared" si="117"/>
        <v>#N/A</v>
      </c>
      <c r="J430" s="158">
        <f>INDEX('Monthly Prices'!B418:CB418,$G$4)</f>
        <v>119.4</v>
      </c>
      <c r="K430" s="158" t="b">
        <f>IF(H430,INDEX('Monthly Prices'!B418:CB418,$G$4)*U430,FALSE)</f>
        <v>0</v>
      </c>
      <c r="L430" s="152" t="b">
        <f t="shared" si="121"/>
        <v>1</v>
      </c>
      <c r="M430" s="158">
        <f>INDEX('Monthly Prices'!B418:CB418,$G$5)</f>
        <v>68.290000000000006</v>
      </c>
      <c r="N430" s="158" t="b">
        <f>IF(H430,INDEX('Monthly Prices'!B418:CB418,$G$5)*U430,FALSE)</f>
        <v>0</v>
      </c>
      <c r="O430" s="152" t="b">
        <f t="shared" si="118"/>
        <v>1</v>
      </c>
      <c r="P430" s="152">
        <f t="shared" si="122"/>
        <v>1994</v>
      </c>
      <c r="Q430" s="159">
        <f>'Monthly Prices'!B418</f>
        <v>13.61666666667</v>
      </c>
      <c r="R430" s="159">
        <f t="shared" si="123"/>
        <v>15.886666666665832</v>
      </c>
      <c r="S430" s="155">
        <f>_xlfn.XLOOKUP(P430,'Annual Real'!A:A,'Annual Real'!B:B,0,0)</f>
        <v>18.973704773054401</v>
      </c>
      <c r="T430" s="155">
        <f t="shared" ca="1" si="124"/>
        <v>1.7802060996670142</v>
      </c>
      <c r="U430" s="152">
        <f t="shared" ca="1" si="125"/>
        <v>1.7802060996670142</v>
      </c>
      <c r="V430" s="152" t="b">
        <f t="shared" si="131"/>
        <v>0</v>
      </c>
      <c r="W430" s="152" t="b">
        <f t="shared" si="132"/>
        <v>0</v>
      </c>
      <c r="X430" s="154">
        <f>LOOKUP(D430,'US Implicit Deflator'!A:A,'US Implicit Deflator'!B:B)/100</f>
        <v>1.8000000000000002E-2</v>
      </c>
      <c r="Y430" s="154">
        <f t="shared" si="126"/>
        <v>1.4877654706024757E-3</v>
      </c>
      <c r="Z430" s="165">
        <f t="shared" ca="1" si="127"/>
        <v>3.8359564798633756</v>
      </c>
      <c r="AA430" s="152">
        <f t="shared" si="128"/>
        <v>7</v>
      </c>
      <c r="AB430" s="153">
        <f t="shared" si="129"/>
        <v>34394</v>
      </c>
      <c r="AC430" s="155">
        <f t="shared" ca="1" si="130"/>
        <v>1.7802060996670142</v>
      </c>
    </row>
    <row r="431" spans="3:29">
      <c r="C431" s="152" t="str">
        <f>'Monthly Prices'!A419</f>
        <v>1994M04</v>
      </c>
      <c r="D431" s="153">
        <f t="shared" si="119"/>
        <v>34425</v>
      </c>
      <c r="E431" s="152">
        <f t="shared" si="120"/>
        <v>412</v>
      </c>
      <c r="F431" s="152" t="b">
        <f t="shared" si="114"/>
        <v>0</v>
      </c>
      <c r="G431" s="152" t="b">
        <f t="shared" si="115"/>
        <v>1</v>
      </c>
      <c r="H431" s="152" t="b">
        <f t="shared" si="116"/>
        <v>0</v>
      </c>
      <c r="I431" s="153" t="e">
        <f t="shared" si="117"/>
        <v>#N/A</v>
      </c>
      <c r="J431" s="158">
        <f>INDEX('Monthly Prices'!B419:CB419,$G$4)</f>
        <v>113.23</v>
      </c>
      <c r="K431" s="158" t="b">
        <f>IF(H431,INDEX('Monthly Prices'!B419:CB419,$G$4)*U431,FALSE)</f>
        <v>0</v>
      </c>
      <c r="L431" s="152" t="b">
        <f t="shared" si="121"/>
        <v>1</v>
      </c>
      <c r="M431" s="158">
        <f>INDEX('Monthly Prices'!B419:CB419,$G$5)</f>
        <v>66.89</v>
      </c>
      <c r="N431" s="158" t="b">
        <f>IF(H431,INDEX('Monthly Prices'!B419:CB419,$G$5)*U431,FALSE)</f>
        <v>0</v>
      </c>
      <c r="O431" s="152" t="b">
        <f t="shared" si="118"/>
        <v>1</v>
      </c>
      <c r="P431" s="152">
        <f t="shared" si="122"/>
        <v>1994</v>
      </c>
      <c r="Q431" s="159">
        <f>'Monthly Prices'!B419</f>
        <v>15.08333333333</v>
      </c>
      <c r="R431" s="159">
        <f t="shared" si="123"/>
        <v>15.886666666665832</v>
      </c>
      <c r="S431" s="155">
        <f>_xlfn.XLOOKUP(P431,'Annual Real'!A:A,'Annual Real'!B:B,0,0)</f>
        <v>18.973704773054401</v>
      </c>
      <c r="T431" s="155">
        <f t="shared" ca="1" si="124"/>
        <v>1.77770709344428</v>
      </c>
      <c r="U431" s="152">
        <f t="shared" ca="1" si="125"/>
        <v>1.77770709344428</v>
      </c>
      <c r="V431" s="152" t="b">
        <f t="shared" si="131"/>
        <v>0</v>
      </c>
      <c r="W431" s="152" t="b">
        <f t="shared" si="132"/>
        <v>0</v>
      </c>
      <c r="X431" s="154">
        <f>LOOKUP(D431,'US Implicit Deflator'!A:A,'US Implicit Deflator'!B:B)/100</f>
        <v>1.7000000000000001E-2</v>
      </c>
      <c r="Y431" s="154">
        <f t="shared" si="126"/>
        <v>1.4057468926966799E-3</v>
      </c>
      <c r="Z431" s="165">
        <f t="shared" ca="1" si="127"/>
        <v>3.8413488637654631</v>
      </c>
      <c r="AA431" s="152">
        <f t="shared" si="128"/>
        <v>7</v>
      </c>
      <c r="AB431" s="153">
        <f t="shared" si="129"/>
        <v>34425</v>
      </c>
      <c r="AC431" s="155">
        <f t="shared" ca="1" si="130"/>
        <v>1.77770709344428</v>
      </c>
    </row>
    <row r="432" spans="3:29">
      <c r="C432" s="152" t="str">
        <f>'Monthly Prices'!A420</f>
        <v>1994M05</v>
      </c>
      <c r="D432" s="153">
        <f t="shared" si="119"/>
        <v>34455</v>
      </c>
      <c r="E432" s="152">
        <f t="shared" si="120"/>
        <v>413</v>
      </c>
      <c r="F432" s="152" t="b">
        <f t="shared" si="114"/>
        <v>0</v>
      </c>
      <c r="G432" s="152" t="b">
        <f t="shared" si="115"/>
        <v>1</v>
      </c>
      <c r="H432" s="152" t="b">
        <f t="shared" si="116"/>
        <v>0</v>
      </c>
      <c r="I432" s="153" t="e">
        <f t="shared" si="117"/>
        <v>#N/A</v>
      </c>
      <c r="J432" s="158">
        <f>INDEX('Monthly Prices'!B420:CB420,$G$4)</f>
        <v>109.59</v>
      </c>
      <c r="K432" s="158" t="b">
        <f>IF(H432,INDEX('Monthly Prices'!B420:CB420,$G$4)*U432,FALSE)</f>
        <v>0</v>
      </c>
      <c r="L432" s="152" t="b">
        <f t="shared" si="121"/>
        <v>1</v>
      </c>
      <c r="M432" s="158">
        <f>INDEX('Monthly Prices'!B420:CB420,$G$5)</f>
        <v>68.55</v>
      </c>
      <c r="N432" s="158" t="b">
        <f>IF(H432,INDEX('Monthly Prices'!B420:CB420,$G$5)*U432,FALSE)</f>
        <v>0</v>
      </c>
      <c r="O432" s="152" t="b">
        <f t="shared" si="118"/>
        <v>1</v>
      </c>
      <c r="P432" s="152">
        <f t="shared" si="122"/>
        <v>1994</v>
      </c>
      <c r="Q432" s="159">
        <f>'Monthly Prices'!B420</f>
        <v>16.283333333329999</v>
      </c>
      <c r="R432" s="159">
        <f t="shared" si="123"/>
        <v>15.886666666665832</v>
      </c>
      <c r="S432" s="155">
        <f>_xlfn.XLOOKUP(P432,'Annual Real'!A:A,'Annual Real'!B:B,0,0)</f>
        <v>18.973704773054401</v>
      </c>
      <c r="T432" s="155">
        <f t="shared" ca="1" si="124"/>
        <v>1.7752115952603638</v>
      </c>
      <c r="U432" s="152">
        <f t="shared" ca="1" si="125"/>
        <v>1.7752115952603638</v>
      </c>
      <c r="V432" s="152" t="b">
        <f t="shared" si="131"/>
        <v>0</v>
      </c>
      <c r="W432" s="152" t="b">
        <f t="shared" si="132"/>
        <v>0</v>
      </c>
      <c r="X432" s="154">
        <f>LOOKUP(D432,'US Implicit Deflator'!A:A,'US Implicit Deflator'!B:B)/100</f>
        <v>1.7000000000000001E-2</v>
      </c>
      <c r="Y432" s="154">
        <f t="shared" si="126"/>
        <v>1.4057468926966799E-3</v>
      </c>
      <c r="Z432" s="165">
        <f t="shared" ca="1" si="127"/>
        <v>3.8467488279944653</v>
      </c>
      <c r="AA432" s="152">
        <f t="shared" si="128"/>
        <v>7</v>
      </c>
      <c r="AB432" s="153">
        <f t="shared" si="129"/>
        <v>34455</v>
      </c>
      <c r="AC432" s="155">
        <f t="shared" ca="1" si="130"/>
        <v>1.7752115952603638</v>
      </c>
    </row>
    <row r="433" spans="3:29">
      <c r="C433" s="152" t="str">
        <f>'Monthly Prices'!A421</f>
        <v>1994M06</v>
      </c>
      <c r="D433" s="153">
        <f t="shared" si="119"/>
        <v>34486</v>
      </c>
      <c r="E433" s="152">
        <f t="shared" si="120"/>
        <v>414</v>
      </c>
      <c r="F433" s="152" t="b">
        <f t="shared" si="114"/>
        <v>0</v>
      </c>
      <c r="G433" s="152" t="b">
        <f t="shared" si="115"/>
        <v>1</v>
      </c>
      <c r="H433" s="152" t="b">
        <f t="shared" si="116"/>
        <v>0</v>
      </c>
      <c r="I433" s="153" t="e">
        <f t="shared" si="117"/>
        <v>#N/A</v>
      </c>
      <c r="J433" s="158">
        <f>INDEX('Monthly Prices'!B421:CB421,$G$4)</f>
        <v>112.16</v>
      </c>
      <c r="K433" s="158" t="b">
        <f>IF(H433,INDEX('Monthly Prices'!B421:CB421,$G$4)*U433,FALSE)</f>
        <v>0</v>
      </c>
      <c r="L433" s="152" t="b">
        <f t="shared" si="121"/>
        <v>1</v>
      </c>
      <c r="M433" s="158">
        <f>INDEX('Monthly Prices'!B421:CB421,$G$5)</f>
        <v>67.78</v>
      </c>
      <c r="N433" s="158" t="b">
        <f>IF(H433,INDEX('Monthly Prices'!B421:CB421,$G$5)*U433,FALSE)</f>
        <v>0</v>
      </c>
      <c r="O433" s="152" t="b">
        <f t="shared" si="118"/>
        <v>1</v>
      </c>
      <c r="P433" s="152">
        <f t="shared" si="122"/>
        <v>1994</v>
      </c>
      <c r="Q433" s="159">
        <f>'Monthly Prices'!B421</f>
        <v>17.16666666667</v>
      </c>
      <c r="R433" s="159">
        <f t="shared" si="123"/>
        <v>15.886666666665832</v>
      </c>
      <c r="S433" s="155">
        <f>_xlfn.XLOOKUP(P433,'Annual Real'!A:A,'Annual Real'!B:B,0,0)</f>
        <v>18.973704773054401</v>
      </c>
      <c r="T433" s="155">
        <f t="shared" ca="1" si="124"/>
        <v>1.772719600190773</v>
      </c>
      <c r="U433" s="152">
        <f t="shared" ca="1" si="125"/>
        <v>1.772719600190773</v>
      </c>
      <c r="V433" s="152" t="b">
        <f t="shared" si="131"/>
        <v>0</v>
      </c>
      <c r="W433" s="152" t="b">
        <f t="shared" si="132"/>
        <v>0</v>
      </c>
      <c r="X433" s="154">
        <f>LOOKUP(D433,'US Implicit Deflator'!A:A,'US Implicit Deflator'!B:B)/100</f>
        <v>1.7000000000000001E-2</v>
      </c>
      <c r="Y433" s="154">
        <f t="shared" si="126"/>
        <v>1.4057468926966799E-3</v>
      </c>
      <c r="Z433" s="165">
        <f t="shared" ca="1" si="127"/>
        <v>3.852156383206403</v>
      </c>
      <c r="AA433" s="152">
        <f t="shared" si="128"/>
        <v>7</v>
      </c>
      <c r="AB433" s="153">
        <f t="shared" si="129"/>
        <v>34486</v>
      </c>
      <c r="AC433" s="155">
        <f t="shared" ca="1" si="130"/>
        <v>1.772719600190773</v>
      </c>
    </row>
    <row r="434" spans="3:29">
      <c r="C434" s="152" t="str">
        <f>'Monthly Prices'!A422</f>
        <v>1994M07</v>
      </c>
      <c r="D434" s="153">
        <f t="shared" si="119"/>
        <v>34516</v>
      </c>
      <c r="E434" s="152">
        <f t="shared" si="120"/>
        <v>415</v>
      </c>
      <c r="F434" s="152" t="b">
        <f t="shared" si="114"/>
        <v>0</v>
      </c>
      <c r="G434" s="152" t="b">
        <f t="shared" si="115"/>
        <v>1</v>
      </c>
      <c r="H434" s="152" t="b">
        <f t="shared" si="116"/>
        <v>0</v>
      </c>
      <c r="I434" s="153" t="e">
        <f t="shared" si="117"/>
        <v>#N/A</v>
      </c>
      <c r="J434" s="158">
        <f>INDEX('Monthly Prices'!B422:CB422,$G$4)</f>
        <v>97.83</v>
      </c>
      <c r="K434" s="158" t="b">
        <f>IF(H434,INDEX('Monthly Prices'!B422:CB422,$G$4)*U434,FALSE)</f>
        <v>0</v>
      </c>
      <c r="L434" s="152" t="b">
        <f t="shared" si="121"/>
        <v>1</v>
      </c>
      <c r="M434" s="158">
        <f>INDEX('Monthly Prices'!B422:CB422,$G$5)</f>
        <v>64.319999999999993</v>
      </c>
      <c r="N434" s="158" t="b">
        <f>IF(H434,INDEX('Monthly Prices'!B422:CB422,$G$5)*U434,FALSE)</f>
        <v>0</v>
      </c>
      <c r="O434" s="152" t="b">
        <f t="shared" si="118"/>
        <v>1</v>
      </c>
      <c r="P434" s="152">
        <f t="shared" si="122"/>
        <v>1994</v>
      </c>
      <c r="Q434" s="159">
        <f>'Monthly Prices'!B422</f>
        <v>17.88333333333</v>
      </c>
      <c r="R434" s="159">
        <f t="shared" si="123"/>
        <v>15.886666666665832</v>
      </c>
      <c r="S434" s="155">
        <f>_xlfn.XLOOKUP(P434,'Annual Real'!A:A,'Annual Real'!B:B,0,0)</f>
        <v>18.973704773054401</v>
      </c>
      <c r="T434" s="155">
        <f t="shared" ca="1" si="124"/>
        <v>1.7697966371566438</v>
      </c>
      <c r="U434" s="152">
        <f t="shared" ca="1" si="125"/>
        <v>1.7697966371566438</v>
      </c>
      <c r="V434" s="152" t="b">
        <f t="shared" si="131"/>
        <v>0</v>
      </c>
      <c r="W434" s="152" t="b">
        <f t="shared" si="132"/>
        <v>0</v>
      </c>
      <c r="X434" s="154">
        <f>LOOKUP(D434,'US Implicit Deflator'!A:A,'US Implicit Deflator'!B:B)/100</f>
        <v>0.02</v>
      </c>
      <c r="Y434" s="154">
        <f t="shared" si="126"/>
        <v>1.6515813019202241E-3</v>
      </c>
      <c r="Z434" s="165">
        <f t="shared" ca="1" si="127"/>
        <v>3.8585185326609794</v>
      </c>
      <c r="AA434" s="152">
        <f t="shared" si="128"/>
        <v>7</v>
      </c>
      <c r="AB434" s="153">
        <f t="shared" si="129"/>
        <v>34516</v>
      </c>
      <c r="AC434" s="155">
        <f t="shared" ca="1" si="130"/>
        <v>1.7697966371566438</v>
      </c>
    </row>
    <row r="435" spans="3:29">
      <c r="C435" s="152" t="str">
        <f>'Monthly Prices'!A423</f>
        <v>1994M08</v>
      </c>
      <c r="D435" s="153">
        <f t="shared" si="119"/>
        <v>34547</v>
      </c>
      <c r="E435" s="152">
        <f t="shared" si="120"/>
        <v>416</v>
      </c>
      <c r="F435" s="152" t="b">
        <f t="shared" si="114"/>
        <v>0</v>
      </c>
      <c r="G435" s="152" t="b">
        <f t="shared" si="115"/>
        <v>1</v>
      </c>
      <c r="H435" s="152" t="b">
        <f t="shared" si="116"/>
        <v>0</v>
      </c>
      <c r="I435" s="153" t="e">
        <f t="shared" si="117"/>
        <v>#N/A</v>
      </c>
      <c r="J435" s="158">
        <f>INDEX('Monthly Prices'!B423:CB423,$G$4)</f>
        <v>95.99</v>
      </c>
      <c r="K435" s="158" t="b">
        <f>IF(H435,INDEX('Monthly Prices'!B423:CB423,$G$4)*U435,FALSE)</f>
        <v>0</v>
      </c>
      <c r="L435" s="152" t="b">
        <f t="shared" si="121"/>
        <v>1</v>
      </c>
      <c r="M435" s="158">
        <f>INDEX('Monthly Prices'!B423:CB423,$G$5)</f>
        <v>66.16</v>
      </c>
      <c r="N435" s="158" t="b">
        <f>IF(H435,INDEX('Monthly Prices'!B423:CB423,$G$5)*U435,FALSE)</f>
        <v>0</v>
      </c>
      <c r="O435" s="152" t="b">
        <f t="shared" si="118"/>
        <v>1</v>
      </c>
      <c r="P435" s="152">
        <f t="shared" si="122"/>
        <v>1994</v>
      </c>
      <c r="Q435" s="159">
        <f>'Monthly Prices'!B423</f>
        <v>17</v>
      </c>
      <c r="R435" s="159">
        <f t="shared" si="123"/>
        <v>15.886666666665832</v>
      </c>
      <c r="S435" s="155">
        <f>_xlfn.XLOOKUP(P435,'Annual Real'!A:A,'Annual Real'!B:B,0,0)</f>
        <v>18.973704773054401</v>
      </c>
      <c r="T435" s="155">
        <f t="shared" ca="1" si="124"/>
        <v>1.7668784936737272</v>
      </c>
      <c r="U435" s="152">
        <f t="shared" ca="1" si="125"/>
        <v>1.7668784936737272</v>
      </c>
      <c r="V435" s="152" t="b">
        <f t="shared" si="131"/>
        <v>0</v>
      </c>
      <c r="W435" s="152" t="b">
        <f t="shared" si="132"/>
        <v>0</v>
      </c>
      <c r="X435" s="154">
        <f>LOOKUP(D435,'US Implicit Deflator'!A:A,'US Implicit Deflator'!B:B)/100</f>
        <v>0.02</v>
      </c>
      <c r="Y435" s="154">
        <f t="shared" si="126"/>
        <v>1.6515813019202241E-3</v>
      </c>
      <c r="Z435" s="165">
        <f t="shared" ca="1" si="127"/>
        <v>3.864891189722635</v>
      </c>
      <c r="AA435" s="152">
        <f t="shared" si="128"/>
        <v>7</v>
      </c>
      <c r="AB435" s="153">
        <f t="shared" si="129"/>
        <v>34547</v>
      </c>
      <c r="AC435" s="155">
        <f t="shared" ca="1" si="130"/>
        <v>1.7668784936737272</v>
      </c>
    </row>
    <row r="436" spans="3:29">
      <c r="C436" s="152" t="str">
        <f>'Monthly Prices'!A424</f>
        <v>1994M09</v>
      </c>
      <c r="D436" s="153">
        <f t="shared" si="119"/>
        <v>34578</v>
      </c>
      <c r="E436" s="152">
        <f t="shared" si="120"/>
        <v>417</v>
      </c>
      <c r="F436" s="152" t="b">
        <f t="shared" si="114"/>
        <v>0</v>
      </c>
      <c r="G436" s="152" t="b">
        <f t="shared" si="115"/>
        <v>1</v>
      </c>
      <c r="H436" s="152" t="b">
        <f t="shared" si="116"/>
        <v>0</v>
      </c>
      <c r="I436" s="153" t="e">
        <f t="shared" si="117"/>
        <v>#N/A</v>
      </c>
      <c r="J436" s="158">
        <f>INDEX('Monthly Prices'!B424:CB424,$G$4)</f>
        <v>97.51</v>
      </c>
      <c r="K436" s="158" t="b">
        <f>IF(H436,INDEX('Monthly Prices'!B424:CB424,$G$4)*U436,FALSE)</f>
        <v>0</v>
      </c>
      <c r="L436" s="152" t="b">
        <f t="shared" si="121"/>
        <v>1</v>
      </c>
      <c r="M436" s="158">
        <f>INDEX('Monthly Prices'!B424:CB424,$G$5)</f>
        <v>72.27</v>
      </c>
      <c r="N436" s="158" t="b">
        <f>IF(H436,INDEX('Monthly Prices'!B424:CB424,$G$5)*U436,FALSE)</f>
        <v>0</v>
      </c>
      <c r="O436" s="152" t="b">
        <f t="shared" si="118"/>
        <v>1</v>
      </c>
      <c r="P436" s="152">
        <f t="shared" si="122"/>
        <v>1994</v>
      </c>
      <c r="Q436" s="159">
        <f>'Monthly Prices'!B424</f>
        <v>16.2</v>
      </c>
      <c r="R436" s="159">
        <f t="shared" si="123"/>
        <v>15.886666666665832</v>
      </c>
      <c r="S436" s="155">
        <f>_xlfn.XLOOKUP(P436,'Annual Real'!A:A,'Annual Real'!B:B,0,0)</f>
        <v>18.973704773054401</v>
      </c>
      <c r="T436" s="155">
        <f t="shared" ca="1" si="124"/>
        <v>1.7639651617952674</v>
      </c>
      <c r="U436" s="152">
        <f t="shared" ca="1" si="125"/>
        <v>1.7639651617952674</v>
      </c>
      <c r="V436" s="152" t="b">
        <f t="shared" si="131"/>
        <v>0</v>
      </c>
      <c r="W436" s="152" t="b">
        <f t="shared" si="132"/>
        <v>0</v>
      </c>
      <c r="X436" s="154">
        <f>LOOKUP(D436,'US Implicit Deflator'!A:A,'US Implicit Deflator'!B:B)/100</f>
        <v>0.02</v>
      </c>
      <c r="Y436" s="154">
        <f t="shared" si="126"/>
        <v>1.6515813019202241E-3</v>
      </c>
      <c r="Z436" s="165">
        <f t="shared" ca="1" si="127"/>
        <v>3.8712743717455371</v>
      </c>
      <c r="AA436" s="152">
        <f t="shared" si="128"/>
        <v>7</v>
      </c>
      <c r="AB436" s="153">
        <f t="shared" si="129"/>
        <v>34578</v>
      </c>
      <c r="AC436" s="155">
        <f t="shared" ca="1" si="130"/>
        <v>1.7639651617952674</v>
      </c>
    </row>
    <row r="437" spans="3:29">
      <c r="C437" s="152" t="str">
        <f>'Monthly Prices'!A425</f>
        <v>1994M10</v>
      </c>
      <c r="D437" s="153">
        <f t="shared" si="119"/>
        <v>34608</v>
      </c>
      <c r="E437" s="152">
        <f t="shared" si="120"/>
        <v>418</v>
      </c>
      <c r="F437" s="152" t="b">
        <f t="shared" si="114"/>
        <v>0</v>
      </c>
      <c r="G437" s="152" t="b">
        <f t="shared" si="115"/>
        <v>1</v>
      </c>
      <c r="H437" s="152" t="b">
        <f t="shared" si="116"/>
        <v>0</v>
      </c>
      <c r="I437" s="153" t="e">
        <f t="shared" si="117"/>
        <v>#N/A</v>
      </c>
      <c r="J437" s="158">
        <f>INDEX('Monthly Prices'!B425:CB425,$G$4)</f>
        <v>96.48</v>
      </c>
      <c r="K437" s="158" t="b">
        <f>IF(H437,INDEX('Monthly Prices'!B425:CB425,$G$4)*U437,FALSE)</f>
        <v>0</v>
      </c>
      <c r="L437" s="152" t="b">
        <f t="shared" si="121"/>
        <v>1</v>
      </c>
      <c r="M437" s="158">
        <f>INDEX('Monthly Prices'!B425:CB425,$G$5)</f>
        <v>80.14</v>
      </c>
      <c r="N437" s="158" t="b">
        <f>IF(H437,INDEX('Monthly Prices'!B425:CB425,$G$5)*U437,FALSE)</f>
        <v>0</v>
      </c>
      <c r="O437" s="152" t="b">
        <f t="shared" si="118"/>
        <v>1</v>
      </c>
      <c r="P437" s="152">
        <f t="shared" si="122"/>
        <v>1994</v>
      </c>
      <c r="Q437" s="159">
        <f>'Monthly Prices'!B425</f>
        <v>16.466666666670001</v>
      </c>
      <c r="R437" s="159">
        <f t="shared" si="123"/>
        <v>15.886666666665832</v>
      </c>
      <c r="S437" s="155">
        <f>_xlfn.XLOOKUP(P437,'Annual Real'!A:A,'Annual Real'!B:B,0,0)</f>
        <v>18.973704773054401</v>
      </c>
      <c r="T437" s="155">
        <f t="shared" ca="1" si="124"/>
        <v>1.7610566335876117</v>
      </c>
      <c r="U437" s="152">
        <f t="shared" ca="1" si="125"/>
        <v>1.7610566335876117</v>
      </c>
      <c r="V437" s="152" t="b">
        <f t="shared" si="131"/>
        <v>0</v>
      </c>
      <c r="W437" s="152" t="b">
        <f t="shared" si="132"/>
        <v>0</v>
      </c>
      <c r="X437" s="154">
        <f>LOOKUP(D437,'US Implicit Deflator'!A:A,'US Implicit Deflator'!B:B)/100</f>
        <v>0.02</v>
      </c>
      <c r="Y437" s="154">
        <f t="shared" si="126"/>
        <v>1.6515813019202241E-3</v>
      </c>
      <c r="Z437" s="165">
        <f t="shared" ca="1" si="127"/>
        <v>3.8776680961125152</v>
      </c>
      <c r="AA437" s="152">
        <f t="shared" si="128"/>
        <v>7</v>
      </c>
      <c r="AB437" s="153">
        <f t="shared" si="129"/>
        <v>34608</v>
      </c>
      <c r="AC437" s="155">
        <f t="shared" ca="1" si="130"/>
        <v>1.7610566335876117</v>
      </c>
    </row>
    <row r="438" spans="3:29">
      <c r="C438" s="152" t="str">
        <f>'Monthly Prices'!A426</f>
        <v>1994M11</v>
      </c>
      <c r="D438" s="153">
        <f t="shared" si="119"/>
        <v>34639</v>
      </c>
      <c r="E438" s="152">
        <f t="shared" si="120"/>
        <v>419</v>
      </c>
      <c r="F438" s="152" t="b">
        <f t="shared" si="114"/>
        <v>0</v>
      </c>
      <c r="G438" s="152" t="b">
        <f t="shared" si="115"/>
        <v>1</v>
      </c>
      <c r="H438" s="152" t="b">
        <f t="shared" si="116"/>
        <v>0</v>
      </c>
      <c r="I438" s="153" t="e">
        <f t="shared" si="117"/>
        <v>#N/A</v>
      </c>
      <c r="J438" s="158">
        <f>INDEX('Monthly Prices'!B426:CB426,$G$4)</f>
        <v>95.47</v>
      </c>
      <c r="K438" s="158" t="b">
        <f>IF(H438,INDEX('Monthly Prices'!B426:CB426,$G$4)*U438,FALSE)</f>
        <v>0</v>
      </c>
      <c r="L438" s="152" t="b">
        <f t="shared" si="121"/>
        <v>1</v>
      </c>
      <c r="M438" s="158">
        <f>INDEX('Monthly Prices'!B426:CB426,$G$5)</f>
        <v>83.98</v>
      </c>
      <c r="N438" s="158" t="b">
        <f>IF(H438,INDEX('Monthly Prices'!B426:CB426,$G$5)*U438,FALSE)</f>
        <v>0</v>
      </c>
      <c r="O438" s="152" t="b">
        <f t="shared" si="118"/>
        <v>1</v>
      </c>
      <c r="P438" s="152">
        <f t="shared" si="122"/>
        <v>1994</v>
      </c>
      <c r="Q438" s="159">
        <f>'Monthly Prices'!B426</f>
        <v>17.08333333333</v>
      </c>
      <c r="R438" s="159">
        <f t="shared" si="123"/>
        <v>15.886666666665832</v>
      </c>
      <c r="S438" s="155">
        <f>_xlfn.XLOOKUP(P438,'Annual Real'!A:A,'Annual Real'!B:B,0,0)</f>
        <v>18.973704773054401</v>
      </c>
      <c r="T438" s="155">
        <f t="shared" ca="1" si="124"/>
        <v>1.7581529011301882</v>
      </c>
      <c r="U438" s="152">
        <f t="shared" ca="1" si="125"/>
        <v>1.7581529011301882</v>
      </c>
      <c r="V438" s="152" t="b">
        <f t="shared" si="131"/>
        <v>0</v>
      </c>
      <c r="W438" s="152" t="b">
        <f t="shared" si="132"/>
        <v>0</v>
      </c>
      <c r="X438" s="154">
        <f>LOOKUP(D438,'US Implicit Deflator'!A:A,'US Implicit Deflator'!B:B)/100</f>
        <v>0.02</v>
      </c>
      <c r="Y438" s="154">
        <f t="shared" si="126"/>
        <v>1.6515813019202241E-3</v>
      </c>
      <c r="Z438" s="165">
        <f t="shared" ca="1" si="127"/>
        <v>3.8840723802351071</v>
      </c>
      <c r="AA438" s="152">
        <f t="shared" si="128"/>
        <v>7</v>
      </c>
      <c r="AB438" s="153">
        <f t="shared" si="129"/>
        <v>34639</v>
      </c>
      <c r="AC438" s="155">
        <f t="shared" ca="1" si="130"/>
        <v>1.7581529011301882</v>
      </c>
    </row>
    <row r="439" spans="3:29">
      <c r="C439" s="152" t="str">
        <f>'Monthly Prices'!A427</f>
        <v>1994M12</v>
      </c>
      <c r="D439" s="153">
        <f t="shared" si="119"/>
        <v>34669</v>
      </c>
      <c r="E439" s="152">
        <f t="shared" si="120"/>
        <v>420</v>
      </c>
      <c r="F439" s="152" t="b">
        <f t="shared" si="114"/>
        <v>0</v>
      </c>
      <c r="G439" s="152" t="b">
        <f t="shared" si="115"/>
        <v>1</v>
      </c>
      <c r="H439" s="152" t="b">
        <f t="shared" si="116"/>
        <v>0</v>
      </c>
      <c r="I439" s="153" t="e">
        <f t="shared" si="117"/>
        <v>#N/A</v>
      </c>
      <c r="J439" s="158">
        <f>INDEX('Monthly Prices'!B427:CB427,$G$4)</f>
        <v>102.49</v>
      </c>
      <c r="K439" s="158" t="b">
        <f>IF(H439,INDEX('Monthly Prices'!B427:CB427,$G$4)*U439,FALSE)</f>
        <v>0</v>
      </c>
      <c r="L439" s="152" t="b">
        <f t="shared" si="121"/>
        <v>1</v>
      </c>
      <c r="M439" s="158">
        <f>INDEX('Monthly Prices'!B427:CB427,$G$5)</f>
        <v>86.49</v>
      </c>
      <c r="N439" s="158" t="b">
        <f>IF(H439,INDEX('Monthly Prices'!B427:CB427,$G$5)*U439,FALSE)</f>
        <v>0</v>
      </c>
      <c r="O439" s="152" t="b">
        <f t="shared" si="118"/>
        <v>1</v>
      </c>
      <c r="P439" s="152">
        <f t="shared" si="122"/>
        <v>1994</v>
      </c>
      <c r="Q439" s="159">
        <f>'Monthly Prices'!B427</f>
        <v>15.94</v>
      </c>
      <c r="R439" s="159">
        <f t="shared" si="123"/>
        <v>15.886666666665832</v>
      </c>
      <c r="S439" s="155">
        <f>_xlfn.XLOOKUP(P439,'Annual Real'!A:A,'Annual Real'!B:B,0,0)</f>
        <v>18.973704773054401</v>
      </c>
      <c r="T439" s="155">
        <f t="shared" ca="1" si="124"/>
        <v>1.7552539565154859</v>
      </c>
      <c r="U439" s="152">
        <f t="shared" ca="1" si="125"/>
        <v>1.7552539565154859</v>
      </c>
      <c r="V439" s="152" t="b">
        <f t="shared" si="131"/>
        <v>0</v>
      </c>
      <c r="W439" s="152" t="b">
        <f t="shared" si="132"/>
        <v>0</v>
      </c>
      <c r="X439" s="154">
        <f>LOOKUP(D439,'US Implicit Deflator'!A:A,'US Implicit Deflator'!B:B)/100</f>
        <v>0.02</v>
      </c>
      <c r="Y439" s="154">
        <f t="shared" si="126"/>
        <v>1.6515813019202241E-3</v>
      </c>
      <c r="Z439" s="165">
        <f t="shared" ca="1" si="127"/>
        <v>3.890487241553608</v>
      </c>
      <c r="AA439" s="152">
        <f t="shared" si="128"/>
        <v>7</v>
      </c>
      <c r="AB439" s="153">
        <f t="shared" si="129"/>
        <v>34669</v>
      </c>
      <c r="AC439" s="155">
        <f t="shared" ca="1" si="130"/>
        <v>1.7552539565154859</v>
      </c>
    </row>
    <row r="440" spans="3:29">
      <c r="C440" s="152" t="str">
        <f>'Monthly Prices'!A428</f>
        <v>1995M01</v>
      </c>
      <c r="D440" s="153">
        <f t="shared" si="119"/>
        <v>34700</v>
      </c>
      <c r="E440" s="152">
        <f t="shared" si="120"/>
        <v>421</v>
      </c>
      <c r="F440" s="152" t="b">
        <f t="shared" si="114"/>
        <v>0</v>
      </c>
      <c r="G440" s="152" t="b">
        <f t="shared" si="115"/>
        <v>1</v>
      </c>
      <c r="H440" s="152" t="b">
        <f t="shared" si="116"/>
        <v>0</v>
      </c>
      <c r="I440" s="153" t="e">
        <f t="shared" si="117"/>
        <v>#N/A</v>
      </c>
      <c r="J440" s="158">
        <f>INDEX('Monthly Prices'!B428:CB428,$G$4)</f>
        <v>106.96</v>
      </c>
      <c r="K440" s="158" t="b">
        <f>IF(H440,INDEX('Monthly Prices'!B428:CB428,$G$4)*U440,FALSE)</f>
        <v>0</v>
      </c>
      <c r="L440" s="152" t="b">
        <f t="shared" si="121"/>
        <v>1</v>
      </c>
      <c r="M440" s="158">
        <f>INDEX('Monthly Prices'!B428:CB428,$G$5)</f>
        <v>85.45</v>
      </c>
      <c r="N440" s="158" t="b">
        <f>IF(H440,INDEX('Monthly Prices'!B428:CB428,$G$5)*U440,FALSE)</f>
        <v>0</v>
      </c>
      <c r="O440" s="152" t="b">
        <f t="shared" si="118"/>
        <v>1</v>
      </c>
      <c r="P440" s="152">
        <f t="shared" si="122"/>
        <v>1995</v>
      </c>
      <c r="Q440" s="159">
        <f>'Monthly Prices'!B428</f>
        <v>16.899999999999999</v>
      </c>
      <c r="R440" s="159">
        <f t="shared" si="123"/>
        <v>17.183333333333334</v>
      </c>
      <c r="S440" s="155">
        <f>_xlfn.XLOOKUP(P440,'Annual Real'!A:A,'Annual Real'!B:B,0,0)</f>
        <v>18.693784194409002</v>
      </c>
      <c r="T440" s="155">
        <f t="shared" ca="1" si="124"/>
        <v>1.752359791849031</v>
      </c>
      <c r="U440" s="152">
        <f t="shared" ca="1" si="125"/>
        <v>1.752359791849031</v>
      </c>
      <c r="V440" s="152" t="b">
        <f t="shared" si="131"/>
        <v>0</v>
      </c>
      <c r="W440" s="152" t="b">
        <f t="shared" si="132"/>
        <v>0</v>
      </c>
      <c r="X440" s="154">
        <f>LOOKUP(D440,'US Implicit Deflator'!A:A,'US Implicit Deflator'!B:B)/100</f>
        <v>0.02</v>
      </c>
      <c r="Y440" s="154">
        <f t="shared" si="126"/>
        <v>1.6515813019202241E-3</v>
      </c>
      <c r="Z440" s="165">
        <f t="shared" ca="1" si="127"/>
        <v>3.8969126975371173</v>
      </c>
      <c r="AA440" s="152">
        <f t="shared" si="128"/>
        <v>7</v>
      </c>
      <c r="AB440" s="153">
        <f t="shared" si="129"/>
        <v>34700</v>
      </c>
      <c r="AC440" s="155">
        <f t="shared" ca="1" si="130"/>
        <v>1.752359791849031</v>
      </c>
    </row>
    <row r="441" spans="3:29">
      <c r="C441" s="152" t="str">
        <f>'Monthly Prices'!A429</f>
        <v>1995M02</v>
      </c>
      <c r="D441" s="153">
        <f t="shared" si="119"/>
        <v>34731</v>
      </c>
      <c r="E441" s="152">
        <f t="shared" si="120"/>
        <v>422</v>
      </c>
      <c r="F441" s="152" t="b">
        <f t="shared" si="114"/>
        <v>0</v>
      </c>
      <c r="G441" s="152" t="b">
        <f t="shared" si="115"/>
        <v>1</v>
      </c>
      <c r="H441" s="152" t="b">
        <f t="shared" si="116"/>
        <v>0</v>
      </c>
      <c r="I441" s="153" t="e">
        <f t="shared" si="117"/>
        <v>#N/A</v>
      </c>
      <c r="J441" s="158">
        <f>INDEX('Monthly Prices'!B429:CB429,$G$4)</f>
        <v>106.69</v>
      </c>
      <c r="K441" s="158" t="b">
        <f>IF(H441,INDEX('Monthly Prices'!B429:CB429,$G$4)*U441,FALSE)</f>
        <v>0</v>
      </c>
      <c r="L441" s="152" t="b">
        <f t="shared" si="121"/>
        <v>1</v>
      </c>
      <c r="M441" s="158">
        <f>INDEX('Monthly Prices'!B429:CB429,$G$5)</f>
        <v>85.77</v>
      </c>
      <c r="N441" s="158" t="b">
        <f>IF(H441,INDEX('Monthly Prices'!B429:CB429,$G$5)*U441,FALSE)</f>
        <v>0</v>
      </c>
      <c r="O441" s="152" t="b">
        <f t="shared" si="118"/>
        <v>1</v>
      </c>
      <c r="P441" s="152">
        <f t="shared" si="122"/>
        <v>1995</v>
      </c>
      <c r="Q441" s="159">
        <f>'Monthly Prices'!B429</f>
        <v>17.41666666667</v>
      </c>
      <c r="R441" s="159">
        <f t="shared" si="123"/>
        <v>17.183333333333334</v>
      </c>
      <c r="S441" s="155">
        <f>_xlfn.XLOOKUP(P441,'Annual Real'!A:A,'Annual Real'!B:B,0,0)</f>
        <v>18.693784194409002</v>
      </c>
      <c r="T441" s="155">
        <f t="shared" ca="1" si="124"/>
        <v>1.7494703992493679</v>
      </c>
      <c r="U441" s="152">
        <f t="shared" ca="1" si="125"/>
        <v>1.7494703992493679</v>
      </c>
      <c r="V441" s="152" t="b">
        <f t="shared" si="131"/>
        <v>0</v>
      </c>
      <c r="W441" s="152" t="b">
        <f t="shared" si="132"/>
        <v>0</v>
      </c>
      <c r="X441" s="154">
        <f>LOOKUP(D441,'US Implicit Deflator'!A:A,'US Implicit Deflator'!B:B)/100</f>
        <v>0.02</v>
      </c>
      <c r="Y441" s="154">
        <f t="shared" si="126"/>
        <v>1.6515813019202241E-3</v>
      </c>
      <c r="Z441" s="165">
        <f t="shared" ca="1" si="127"/>
        <v>3.9033487656835852</v>
      </c>
      <c r="AA441" s="152">
        <f t="shared" si="128"/>
        <v>7</v>
      </c>
      <c r="AB441" s="153">
        <f t="shared" si="129"/>
        <v>34731</v>
      </c>
      <c r="AC441" s="155">
        <f t="shared" ca="1" si="130"/>
        <v>1.7494703992493679</v>
      </c>
    </row>
    <row r="442" spans="3:29">
      <c r="C442" s="152" t="str">
        <f>'Monthly Prices'!A430</f>
        <v>1995M03</v>
      </c>
      <c r="D442" s="153">
        <f t="shared" si="119"/>
        <v>34759</v>
      </c>
      <c r="E442" s="152">
        <f t="shared" si="120"/>
        <v>423</v>
      </c>
      <c r="F442" s="152" t="b">
        <f t="shared" si="114"/>
        <v>0</v>
      </c>
      <c r="G442" s="152" t="b">
        <f t="shared" si="115"/>
        <v>1</v>
      </c>
      <c r="H442" s="152" t="b">
        <f t="shared" si="116"/>
        <v>0</v>
      </c>
      <c r="I442" s="153" t="e">
        <f t="shared" si="117"/>
        <v>#N/A</v>
      </c>
      <c r="J442" s="158">
        <f>INDEX('Monthly Prices'!B430:CB430,$G$4)</f>
        <v>109.7</v>
      </c>
      <c r="K442" s="158" t="b">
        <f>IF(H442,INDEX('Monthly Prices'!B430:CB430,$G$4)*U442,FALSE)</f>
        <v>0</v>
      </c>
      <c r="L442" s="152" t="b">
        <f t="shared" si="121"/>
        <v>1</v>
      </c>
      <c r="M442" s="158">
        <f>INDEX('Monthly Prices'!B430:CB430,$G$5)</f>
        <v>90.83</v>
      </c>
      <c r="N442" s="158" t="b">
        <f>IF(H442,INDEX('Monthly Prices'!B430:CB430,$G$5)*U442,FALSE)</f>
        <v>0</v>
      </c>
      <c r="O442" s="152" t="b">
        <f t="shared" si="118"/>
        <v>1</v>
      </c>
      <c r="P442" s="152">
        <f t="shared" si="122"/>
        <v>1995</v>
      </c>
      <c r="Q442" s="159">
        <f>'Monthly Prices'!B430</f>
        <v>17.34666666667</v>
      </c>
      <c r="R442" s="159">
        <f t="shared" si="123"/>
        <v>17.183333333333334</v>
      </c>
      <c r="S442" s="155">
        <f>_xlfn.XLOOKUP(P442,'Annual Real'!A:A,'Annual Real'!B:B,0,0)</f>
        <v>18.693784194409002</v>
      </c>
      <c r="T442" s="155">
        <f t="shared" ca="1" si="124"/>
        <v>1.7465857708480355</v>
      </c>
      <c r="U442" s="152">
        <f t="shared" ca="1" si="125"/>
        <v>1.7465857708480355</v>
      </c>
      <c r="V442" s="152" t="b">
        <f t="shared" si="131"/>
        <v>0</v>
      </c>
      <c r="W442" s="152" t="b">
        <f t="shared" si="132"/>
        <v>0</v>
      </c>
      <c r="X442" s="154">
        <f>LOOKUP(D442,'US Implicit Deflator'!A:A,'US Implicit Deflator'!B:B)/100</f>
        <v>0.02</v>
      </c>
      <c r="Y442" s="154">
        <f t="shared" si="126"/>
        <v>1.6515813019202241E-3</v>
      </c>
      <c r="Z442" s="165">
        <f t="shared" ca="1" si="127"/>
        <v>3.9097954635198615</v>
      </c>
      <c r="AA442" s="152">
        <f t="shared" si="128"/>
        <v>7</v>
      </c>
      <c r="AB442" s="153">
        <f t="shared" si="129"/>
        <v>34759</v>
      </c>
      <c r="AC442" s="155">
        <f t="shared" ca="1" si="130"/>
        <v>1.7465857708480355</v>
      </c>
    </row>
    <row r="443" spans="3:29">
      <c r="C443" s="152" t="str">
        <f>'Monthly Prices'!A431</f>
        <v>1995M04</v>
      </c>
      <c r="D443" s="153">
        <f t="shared" si="119"/>
        <v>34790</v>
      </c>
      <c r="E443" s="152">
        <f t="shared" si="120"/>
        <v>424</v>
      </c>
      <c r="F443" s="152" t="b">
        <f t="shared" si="114"/>
        <v>0</v>
      </c>
      <c r="G443" s="152" t="b">
        <f t="shared" si="115"/>
        <v>1</v>
      </c>
      <c r="H443" s="152" t="b">
        <f t="shared" si="116"/>
        <v>0</v>
      </c>
      <c r="I443" s="153" t="e">
        <f t="shared" si="117"/>
        <v>#N/A</v>
      </c>
      <c r="J443" s="158">
        <f>INDEX('Monthly Prices'!B431:CB431,$G$4)</f>
        <v>109.3</v>
      </c>
      <c r="K443" s="158" t="b">
        <f>IF(H443,INDEX('Monthly Prices'!B431:CB431,$G$4)*U443,FALSE)</f>
        <v>0</v>
      </c>
      <c r="L443" s="152" t="b">
        <f t="shared" si="121"/>
        <v>1</v>
      </c>
      <c r="M443" s="158">
        <f>INDEX('Monthly Prices'!B431:CB431,$G$5)</f>
        <v>93.4</v>
      </c>
      <c r="N443" s="158" t="b">
        <f>IF(H443,INDEX('Monthly Prices'!B431:CB431,$G$5)*U443,FALSE)</f>
        <v>0</v>
      </c>
      <c r="O443" s="152" t="b">
        <f t="shared" si="118"/>
        <v>1</v>
      </c>
      <c r="P443" s="152">
        <f t="shared" si="122"/>
        <v>1995</v>
      </c>
      <c r="Q443" s="159">
        <f>'Monthly Prices'!B431</f>
        <v>18.646666666670001</v>
      </c>
      <c r="R443" s="159">
        <f t="shared" si="123"/>
        <v>17.183333333333334</v>
      </c>
      <c r="S443" s="155">
        <f>_xlfn.XLOOKUP(P443,'Annual Real'!A:A,'Annual Real'!B:B,0,0)</f>
        <v>18.693784194409002</v>
      </c>
      <c r="T443" s="155">
        <f t="shared" ca="1" si="124"/>
        <v>1.7437058987895466</v>
      </c>
      <c r="U443" s="152">
        <f t="shared" ca="1" si="125"/>
        <v>1.7437058987895466</v>
      </c>
      <c r="V443" s="152" t="b">
        <f t="shared" si="131"/>
        <v>0</v>
      </c>
      <c r="W443" s="152" t="b">
        <f t="shared" si="132"/>
        <v>0</v>
      </c>
      <c r="X443" s="154">
        <f>LOOKUP(D443,'US Implicit Deflator'!A:A,'US Implicit Deflator'!B:B)/100</f>
        <v>0.02</v>
      </c>
      <c r="Y443" s="154">
        <f t="shared" si="126"/>
        <v>1.6515813019202241E-3</v>
      </c>
      <c r="Z443" s="165">
        <f t="shared" ca="1" si="127"/>
        <v>3.9162528086017434</v>
      </c>
      <c r="AA443" s="152">
        <f t="shared" si="128"/>
        <v>7</v>
      </c>
      <c r="AB443" s="153">
        <f t="shared" si="129"/>
        <v>34790</v>
      </c>
      <c r="AC443" s="155">
        <f t="shared" ca="1" si="130"/>
        <v>1.7437058987895466</v>
      </c>
    </row>
    <row r="444" spans="3:29">
      <c r="C444" s="152" t="str">
        <f>'Monthly Prices'!A432</f>
        <v>1995M05</v>
      </c>
      <c r="D444" s="153">
        <f t="shared" si="119"/>
        <v>34820</v>
      </c>
      <c r="E444" s="152">
        <f t="shared" si="120"/>
        <v>425</v>
      </c>
      <c r="F444" s="152" t="b">
        <f t="shared" si="114"/>
        <v>0</v>
      </c>
      <c r="G444" s="152" t="b">
        <f t="shared" si="115"/>
        <v>1</v>
      </c>
      <c r="H444" s="152" t="b">
        <f t="shared" si="116"/>
        <v>0</v>
      </c>
      <c r="I444" s="153" t="e">
        <f t="shared" si="117"/>
        <v>#N/A</v>
      </c>
      <c r="J444" s="158">
        <f>INDEX('Monthly Prices'!B432:CB432,$G$4)</f>
        <v>111.97</v>
      </c>
      <c r="K444" s="158" t="b">
        <f>IF(H444,INDEX('Monthly Prices'!B432:CB432,$G$4)*U444,FALSE)</f>
        <v>0</v>
      </c>
      <c r="L444" s="152" t="b">
        <f t="shared" si="121"/>
        <v>1</v>
      </c>
      <c r="M444" s="158">
        <f>INDEX('Monthly Prices'!B432:CB432,$G$5)</f>
        <v>100.79</v>
      </c>
      <c r="N444" s="158" t="b">
        <f>IF(H444,INDEX('Monthly Prices'!B432:CB432,$G$5)*U444,FALSE)</f>
        <v>0</v>
      </c>
      <c r="O444" s="152" t="b">
        <f t="shared" si="118"/>
        <v>1</v>
      </c>
      <c r="P444" s="152">
        <f t="shared" si="122"/>
        <v>1995</v>
      </c>
      <c r="Q444" s="159">
        <f>'Monthly Prices'!B432</f>
        <v>18.42333333333</v>
      </c>
      <c r="R444" s="159">
        <f t="shared" si="123"/>
        <v>17.183333333333334</v>
      </c>
      <c r="S444" s="155">
        <f>_xlfn.XLOOKUP(P444,'Annual Real'!A:A,'Annual Real'!B:B,0,0)</f>
        <v>18.693784194409002</v>
      </c>
      <c r="T444" s="155">
        <f t="shared" ca="1" si="124"/>
        <v>1.740830775231367</v>
      </c>
      <c r="U444" s="152">
        <f t="shared" ca="1" si="125"/>
        <v>1.740830775231367</v>
      </c>
      <c r="V444" s="152" t="b">
        <f t="shared" si="131"/>
        <v>0</v>
      </c>
      <c r="W444" s="152" t="b">
        <f t="shared" si="132"/>
        <v>0</v>
      </c>
      <c r="X444" s="154">
        <f>LOOKUP(D444,'US Implicit Deflator'!A:A,'US Implicit Deflator'!B:B)/100</f>
        <v>0.02</v>
      </c>
      <c r="Y444" s="154">
        <f t="shared" si="126"/>
        <v>1.6515813019202241E-3</v>
      </c>
      <c r="Z444" s="165">
        <f t="shared" ca="1" si="127"/>
        <v>3.9227208185140228</v>
      </c>
      <c r="AA444" s="152">
        <f t="shared" si="128"/>
        <v>7</v>
      </c>
      <c r="AB444" s="153">
        <f t="shared" si="129"/>
        <v>34820</v>
      </c>
      <c r="AC444" s="155">
        <f t="shared" ca="1" si="130"/>
        <v>1.740830775231367</v>
      </c>
    </row>
    <row r="445" spans="3:29">
      <c r="C445" s="152" t="str">
        <f>'Monthly Prices'!A433</f>
        <v>1995M06</v>
      </c>
      <c r="D445" s="153">
        <f t="shared" si="119"/>
        <v>34851</v>
      </c>
      <c r="E445" s="152">
        <f t="shared" si="120"/>
        <v>426</v>
      </c>
      <c r="F445" s="152" t="b">
        <f t="shared" si="114"/>
        <v>0</v>
      </c>
      <c r="G445" s="152" t="b">
        <f t="shared" si="115"/>
        <v>1</v>
      </c>
      <c r="H445" s="152" t="b">
        <f t="shared" si="116"/>
        <v>0</v>
      </c>
      <c r="I445" s="153" t="e">
        <f t="shared" si="117"/>
        <v>#N/A</v>
      </c>
      <c r="J445" s="158">
        <f>INDEX('Monthly Prices'!B433:CB433,$G$4)</f>
        <v>119.86</v>
      </c>
      <c r="K445" s="158" t="b">
        <f>IF(H445,INDEX('Monthly Prices'!B433:CB433,$G$4)*U445,FALSE)</f>
        <v>0</v>
      </c>
      <c r="L445" s="152" t="b">
        <f t="shared" si="121"/>
        <v>1</v>
      </c>
      <c r="M445" s="158">
        <f>INDEX('Monthly Prices'!B433:CB433,$G$5)</f>
        <v>105.77</v>
      </c>
      <c r="N445" s="158" t="b">
        <f>IF(H445,INDEX('Monthly Prices'!B433:CB433,$G$5)*U445,FALSE)</f>
        <v>0</v>
      </c>
      <c r="O445" s="152" t="b">
        <f t="shared" si="118"/>
        <v>1</v>
      </c>
      <c r="P445" s="152">
        <f t="shared" si="122"/>
        <v>1995</v>
      </c>
      <c r="Q445" s="159">
        <f>'Monthly Prices'!B433</f>
        <v>17.363333333330001</v>
      </c>
      <c r="R445" s="159">
        <f t="shared" si="123"/>
        <v>17.183333333333334</v>
      </c>
      <c r="S445" s="155">
        <f>_xlfn.XLOOKUP(P445,'Annual Real'!A:A,'Annual Real'!B:B,0,0)</f>
        <v>18.693784194409002</v>
      </c>
      <c r="T445" s="155">
        <f t="shared" ca="1" si="124"/>
        <v>1.737960392343894</v>
      </c>
      <c r="U445" s="152">
        <f t="shared" ca="1" si="125"/>
        <v>1.737960392343894</v>
      </c>
      <c r="V445" s="152" t="b">
        <f t="shared" si="131"/>
        <v>0</v>
      </c>
      <c r="W445" s="152" t="b">
        <f t="shared" si="132"/>
        <v>0</v>
      </c>
      <c r="X445" s="154">
        <f>LOOKUP(D445,'US Implicit Deflator'!A:A,'US Implicit Deflator'!B:B)/100</f>
        <v>0.02</v>
      </c>
      <c r="Y445" s="154">
        <f t="shared" si="126"/>
        <v>1.6515813019202241E-3</v>
      </c>
      <c r="Z445" s="165">
        <f t="shared" ca="1" si="127"/>
        <v>3.9291995108705335</v>
      </c>
      <c r="AA445" s="152">
        <f t="shared" si="128"/>
        <v>7</v>
      </c>
      <c r="AB445" s="153">
        <f t="shared" si="129"/>
        <v>34851</v>
      </c>
      <c r="AC445" s="155">
        <f t="shared" ca="1" si="130"/>
        <v>1.737960392343894</v>
      </c>
    </row>
    <row r="446" spans="3:29">
      <c r="C446" s="152" t="str">
        <f>'Monthly Prices'!A434</f>
        <v>1995M07</v>
      </c>
      <c r="D446" s="153">
        <f t="shared" si="119"/>
        <v>34881</v>
      </c>
      <c r="E446" s="152">
        <f t="shared" si="120"/>
        <v>427</v>
      </c>
      <c r="F446" s="152" t="b">
        <f t="shared" si="114"/>
        <v>0</v>
      </c>
      <c r="G446" s="152" t="b">
        <f t="shared" si="115"/>
        <v>1</v>
      </c>
      <c r="H446" s="152" t="b">
        <f t="shared" si="116"/>
        <v>0</v>
      </c>
      <c r="I446" s="153" t="e">
        <f t="shared" si="117"/>
        <v>#N/A</v>
      </c>
      <c r="J446" s="158">
        <f>INDEX('Monthly Prices'!B434:CB434,$G$4)</f>
        <v>126.99</v>
      </c>
      <c r="K446" s="158" t="b">
        <f>IF(H446,INDEX('Monthly Prices'!B434:CB434,$G$4)*U446,FALSE)</f>
        <v>0</v>
      </c>
      <c r="L446" s="152" t="b">
        <f t="shared" si="121"/>
        <v>1</v>
      </c>
      <c r="M446" s="158">
        <f>INDEX('Monthly Prices'!B434:CB434,$G$5)</f>
        <v>112.97</v>
      </c>
      <c r="N446" s="158" t="b">
        <f>IF(H446,INDEX('Monthly Prices'!B434:CB434,$G$5)*U446,FALSE)</f>
        <v>0</v>
      </c>
      <c r="O446" s="152" t="b">
        <f t="shared" si="118"/>
        <v>1</v>
      </c>
      <c r="P446" s="152">
        <f t="shared" si="122"/>
        <v>1995</v>
      </c>
      <c r="Q446" s="159">
        <f>'Monthly Prices'!B434</f>
        <v>16.08333333333</v>
      </c>
      <c r="R446" s="159">
        <f t="shared" si="123"/>
        <v>17.183333333333334</v>
      </c>
      <c r="S446" s="155">
        <f>_xlfn.XLOOKUP(P446,'Annual Real'!A:A,'Annual Real'!B:B,0,0)</f>
        <v>18.693784194409002</v>
      </c>
      <c r="T446" s="155">
        <f t="shared" ca="1" si="124"/>
        <v>1.73552068952738</v>
      </c>
      <c r="U446" s="152">
        <f t="shared" ca="1" si="125"/>
        <v>1.73552068952738</v>
      </c>
      <c r="V446" s="152" t="b">
        <f t="shared" si="131"/>
        <v>0</v>
      </c>
      <c r="W446" s="152" t="b">
        <f t="shared" si="132"/>
        <v>0</v>
      </c>
      <c r="X446" s="154">
        <f>LOOKUP(D446,'US Implicit Deflator'!A:A,'US Implicit Deflator'!B:B)/100</f>
        <v>1.7000000000000001E-2</v>
      </c>
      <c r="Y446" s="154">
        <f t="shared" si="126"/>
        <v>1.4057468926966799E-3</v>
      </c>
      <c r="Z446" s="165">
        <f t="shared" ca="1" si="127"/>
        <v>3.9347229708737252</v>
      </c>
      <c r="AA446" s="152">
        <f t="shared" si="128"/>
        <v>7</v>
      </c>
      <c r="AB446" s="153">
        <f t="shared" si="129"/>
        <v>34881</v>
      </c>
      <c r="AC446" s="155">
        <f t="shared" ca="1" si="130"/>
        <v>1.73552068952738</v>
      </c>
    </row>
    <row r="447" spans="3:29">
      <c r="C447" s="152" t="str">
        <f>'Monthly Prices'!A435</f>
        <v>1995M08</v>
      </c>
      <c r="D447" s="153">
        <f t="shared" si="119"/>
        <v>34912</v>
      </c>
      <c r="E447" s="152">
        <f t="shared" si="120"/>
        <v>428</v>
      </c>
      <c r="F447" s="152" t="b">
        <f t="shared" si="114"/>
        <v>0</v>
      </c>
      <c r="G447" s="152" t="b">
        <f t="shared" si="115"/>
        <v>1</v>
      </c>
      <c r="H447" s="152" t="b">
        <f t="shared" si="116"/>
        <v>0</v>
      </c>
      <c r="I447" s="153" t="e">
        <f t="shared" si="117"/>
        <v>#N/A</v>
      </c>
      <c r="J447" s="158">
        <f>INDEX('Monthly Prices'!B435:CB435,$G$4)</f>
        <v>126.44</v>
      </c>
      <c r="K447" s="158" t="b">
        <f>IF(H447,INDEX('Monthly Prices'!B435:CB435,$G$4)*U447,FALSE)</f>
        <v>0</v>
      </c>
      <c r="L447" s="152" t="b">
        <f t="shared" si="121"/>
        <v>1</v>
      </c>
      <c r="M447" s="158">
        <f>INDEX('Monthly Prices'!B435:CB435,$G$5)</f>
        <v>104.87</v>
      </c>
      <c r="N447" s="158" t="b">
        <f>IF(H447,INDEX('Monthly Prices'!B435:CB435,$G$5)*U447,FALSE)</f>
        <v>0</v>
      </c>
      <c r="O447" s="152" t="b">
        <f t="shared" si="118"/>
        <v>1</v>
      </c>
      <c r="P447" s="152">
        <f t="shared" si="122"/>
        <v>1995</v>
      </c>
      <c r="Q447" s="159">
        <f>'Monthly Prices'!B435</f>
        <v>16.466666666670001</v>
      </c>
      <c r="R447" s="159">
        <f t="shared" si="123"/>
        <v>17.183333333333334</v>
      </c>
      <c r="S447" s="155">
        <f>_xlfn.XLOOKUP(P447,'Annual Real'!A:A,'Annual Real'!B:B,0,0)</f>
        <v>18.693784194409002</v>
      </c>
      <c r="T447" s="155">
        <f t="shared" ca="1" si="124"/>
        <v>1.7330844115011312</v>
      </c>
      <c r="U447" s="152">
        <f t="shared" ca="1" si="125"/>
        <v>1.7330844115011312</v>
      </c>
      <c r="V447" s="152" t="b">
        <f t="shared" si="131"/>
        <v>0</v>
      </c>
      <c r="W447" s="152" t="b">
        <f t="shared" si="132"/>
        <v>0</v>
      </c>
      <c r="X447" s="154">
        <f>LOOKUP(D447,'US Implicit Deflator'!A:A,'US Implicit Deflator'!B:B)/100</f>
        <v>1.7000000000000001E-2</v>
      </c>
      <c r="Y447" s="154">
        <f t="shared" si="126"/>
        <v>1.4057468926966799E-3</v>
      </c>
      <c r="Z447" s="165">
        <f t="shared" ca="1" si="127"/>
        <v>3.9402541954636532</v>
      </c>
      <c r="AA447" s="152">
        <f t="shared" si="128"/>
        <v>7</v>
      </c>
      <c r="AB447" s="153">
        <f t="shared" si="129"/>
        <v>34912</v>
      </c>
      <c r="AC447" s="155">
        <f t="shared" ca="1" si="130"/>
        <v>1.7330844115011312</v>
      </c>
    </row>
    <row r="448" spans="3:29">
      <c r="C448" s="152" t="str">
        <f>'Monthly Prices'!A436</f>
        <v>1995M09</v>
      </c>
      <c r="D448" s="153">
        <f t="shared" si="119"/>
        <v>34943</v>
      </c>
      <c r="E448" s="152">
        <f t="shared" si="120"/>
        <v>429</v>
      </c>
      <c r="F448" s="152" t="b">
        <f t="shared" si="114"/>
        <v>0</v>
      </c>
      <c r="G448" s="152" t="b">
        <f t="shared" si="115"/>
        <v>1</v>
      </c>
      <c r="H448" s="152" t="b">
        <f t="shared" si="116"/>
        <v>0</v>
      </c>
      <c r="I448" s="153" t="e">
        <f t="shared" si="117"/>
        <v>#N/A</v>
      </c>
      <c r="J448" s="158">
        <f>INDEX('Monthly Prices'!B436:CB436,$G$4)</f>
        <v>130.47999999999999</v>
      </c>
      <c r="K448" s="158" t="b">
        <f>IF(H448,INDEX('Monthly Prices'!B436:CB436,$G$4)*U448,FALSE)</f>
        <v>0</v>
      </c>
      <c r="L448" s="152" t="b">
        <f t="shared" si="121"/>
        <v>1</v>
      </c>
      <c r="M448" s="158">
        <f>INDEX('Monthly Prices'!B436:CB436,$G$5)</f>
        <v>104.82</v>
      </c>
      <c r="N448" s="158" t="b">
        <f>IF(H448,INDEX('Monthly Prices'!B436:CB436,$G$5)*U448,FALSE)</f>
        <v>0</v>
      </c>
      <c r="O448" s="152" t="b">
        <f t="shared" si="118"/>
        <v>1</v>
      </c>
      <c r="P448" s="152">
        <f t="shared" si="122"/>
        <v>1995</v>
      </c>
      <c r="Q448" s="159">
        <f>'Monthly Prices'!B436</f>
        <v>16.82</v>
      </c>
      <c r="R448" s="159">
        <f t="shared" si="123"/>
        <v>17.183333333333334</v>
      </c>
      <c r="S448" s="155">
        <f>_xlfn.XLOOKUP(P448,'Annual Real'!A:A,'Annual Real'!B:B,0,0)</f>
        <v>18.693784194409002</v>
      </c>
      <c r="T448" s="155">
        <f t="shared" ca="1" si="124"/>
        <v>1.7306515534575178</v>
      </c>
      <c r="U448" s="152">
        <f t="shared" ca="1" si="125"/>
        <v>1.7306515534575178</v>
      </c>
      <c r="V448" s="152" t="b">
        <f t="shared" si="131"/>
        <v>0</v>
      </c>
      <c r="W448" s="152" t="b">
        <f t="shared" si="132"/>
        <v>0</v>
      </c>
      <c r="X448" s="154">
        <f>LOOKUP(D448,'US Implicit Deflator'!A:A,'US Implicit Deflator'!B:B)/100</f>
        <v>1.7000000000000001E-2</v>
      </c>
      <c r="Y448" s="154">
        <f t="shared" si="126"/>
        <v>1.4057468926966799E-3</v>
      </c>
      <c r="Z448" s="165">
        <f t="shared" ca="1" si="127"/>
        <v>3.9457931955553613</v>
      </c>
      <c r="AA448" s="152">
        <f t="shared" si="128"/>
        <v>7</v>
      </c>
      <c r="AB448" s="153">
        <f t="shared" si="129"/>
        <v>34943</v>
      </c>
      <c r="AC448" s="155">
        <f t="shared" ca="1" si="130"/>
        <v>1.7306515534575178</v>
      </c>
    </row>
    <row r="449" spans="3:29">
      <c r="C449" s="152" t="str">
        <f>'Monthly Prices'!A437</f>
        <v>1995M10</v>
      </c>
      <c r="D449" s="153">
        <f t="shared" si="119"/>
        <v>34973</v>
      </c>
      <c r="E449" s="152">
        <f t="shared" si="120"/>
        <v>430</v>
      </c>
      <c r="F449" s="152" t="b">
        <f t="shared" si="114"/>
        <v>0</v>
      </c>
      <c r="G449" s="152" t="b">
        <f t="shared" si="115"/>
        <v>1</v>
      </c>
      <c r="H449" s="152" t="b">
        <f t="shared" si="116"/>
        <v>0</v>
      </c>
      <c r="I449" s="153" t="e">
        <f t="shared" si="117"/>
        <v>#N/A</v>
      </c>
      <c r="J449" s="158">
        <f>INDEX('Monthly Prices'!B437:CB437,$G$4)</f>
        <v>140.86000000000001</v>
      </c>
      <c r="K449" s="158" t="b">
        <f>IF(H449,INDEX('Monthly Prices'!B437:CB437,$G$4)*U449,FALSE)</f>
        <v>0</v>
      </c>
      <c r="L449" s="152" t="b">
        <f t="shared" si="121"/>
        <v>1</v>
      </c>
      <c r="M449" s="158">
        <f>INDEX('Monthly Prices'!B437:CB437,$G$5)</f>
        <v>112.7</v>
      </c>
      <c r="N449" s="158" t="b">
        <f>IF(H449,INDEX('Monthly Prices'!B437:CB437,$G$5)*U449,FALSE)</f>
        <v>0</v>
      </c>
      <c r="O449" s="152" t="b">
        <f t="shared" si="118"/>
        <v>1</v>
      </c>
      <c r="P449" s="152">
        <f t="shared" si="122"/>
        <v>1995</v>
      </c>
      <c r="Q449" s="159">
        <f>'Monthly Prices'!B437</f>
        <v>16.123333333329999</v>
      </c>
      <c r="R449" s="159">
        <f t="shared" si="123"/>
        <v>17.183333333333334</v>
      </c>
      <c r="S449" s="155">
        <f>_xlfn.XLOOKUP(P449,'Annual Real'!A:A,'Annual Real'!B:B,0,0)</f>
        <v>18.693784194409002</v>
      </c>
      <c r="T449" s="155">
        <f t="shared" ca="1" si="124"/>
        <v>1.7286476241642714</v>
      </c>
      <c r="U449" s="152">
        <f t="shared" ca="1" si="125"/>
        <v>1.7286476241642714</v>
      </c>
      <c r="V449" s="152" t="b">
        <f t="shared" si="131"/>
        <v>0</v>
      </c>
      <c r="W449" s="152" t="b">
        <f t="shared" si="132"/>
        <v>0</v>
      </c>
      <c r="X449" s="154">
        <f>LOOKUP(D449,'US Implicit Deflator'!A:A,'US Implicit Deflator'!B:B)/100</f>
        <v>1.3999999999999999E-2</v>
      </c>
      <c r="Y449" s="154">
        <f t="shared" si="126"/>
        <v>1.1592468385308585E-3</v>
      </c>
      <c r="Z449" s="165">
        <f t="shared" ca="1" si="127"/>
        <v>3.9503673438428053</v>
      </c>
      <c r="AA449" s="152">
        <f t="shared" si="128"/>
        <v>7</v>
      </c>
      <c r="AB449" s="153">
        <f t="shared" si="129"/>
        <v>34973</v>
      </c>
      <c r="AC449" s="155">
        <f t="shared" ca="1" si="130"/>
        <v>1.7286476241642714</v>
      </c>
    </row>
    <row r="450" spans="3:29">
      <c r="C450" s="152" t="str">
        <f>'Monthly Prices'!A438</f>
        <v>1995M11</v>
      </c>
      <c r="D450" s="153">
        <f t="shared" si="119"/>
        <v>35004</v>
      </c>
      <c r="E450" s="152">
        <f t="shared" si="120"/>
        <v>431</v>
      </c>
      <c r="F450" s="152" t="b">
        <f t="shared" si="114"/>
        <v>0</v>
      </c>
      <c r="G450" s="152" t="b">
        <f t="shared" si="115"/>
        <v>1</v>
      </c>
      <c r="H450" s="152" t="b">
        <f t="shared" si="116"/>
        <v>0</v>
      </c>
      <c r="I450" s="153" t="e">
        <f t="shared" si="117"/>
        <v>#N/A</v>
      </c>
      <c r="J450" s="158">
        <f>INDEX('Monthly Prices'!B438:CB438,$G$4)</f>
        <v>143.94999999999999</v>
      </c>
      <c r="K450" s="158" t="b">
        <f>IF(H450,INDEX('Monthly Prices'!B438:CB438,$G$4)*U450,FALSE)</f>
        <v>0</v>
      </c>
      <c r="L450" s="152" t="b">
        <f t="shared" si="121"/>
        <v>1</v>
      </c>
      <c r="M450" s="158">
        <f>INDEX('Monthly Prices'!B438:CB438,$G$5)</f>
        <v>125.76</v>
      </c>
      <c r="N450" s="158" t="b">
        <f>IF(H450,INDEX('Monthly Prices'!B438:CB438,$G$5)*U450,FALSE)</f>
        <v>0</v>
      </c>
      <c r="O450" s="152" t="b">
        <f t="shared" si="118"/>
        <v>1</v>
      </c>
      <c r="P450" s="152">
        <f t="shared" si="122"/>
        <v>1995</v>
      </c>
      <c r="Q450" s="159">
        <f>'Monthly Prices'!B438</f>
        <v>16.74333333333</v>
      </c>
      <c r="R450" s="159">
        <f t="shared" si="123"/>
        <v>17.183333333333334</v>
      </c>
      <c r="S450" s="155">
        <f>_xlfn.XLOOKUP(P450,'Annual Real'!A:A,'Annual Real'!B:B,0,0)</f>
        <v>18.693784194409002</v>
      </c>
      <c r="T450" s="155">
        <f t="shared" ca="1" si="124"/>
        <v>1.7266460152298542</v>
      </c>
      <c r="U450" s="152">
        <f t="shared" ca="1" si="125"/>
        <v>1.7266460152298542</v>
      </c>
      <c r="V450" s="152" t="b">
        <f t="shared" si="131"/>
        <v>0</v>
      </c>
      <c r="W450" s="152" t="b">
        <f t="shared" si="132"/>
        <v>0</v>
      </c>
      <c r="X450" s="154">
        <f>LOOKUP(D450,'US Implicit Deflator'!A:A,'US Implicit Deflator'!B:B)/100</f>
        <v>1.3999999999999999E-2</v>
      </c>
      <c r="Y450" s="154">
        <f t="shared" si="126"/>
        <v>1.1592468385308585E-3</v>
      </c>
      <c r="Z450" s="165">
        <f t="shared" ca="1" si="127"/>
        <v>3.9549467946971908</v>
      </c>
      <c r="AA450" s="152">
        <f t="shared" si="128"/>
        <v>7</v>
      </c>
      <c r="AB450" s="153">
        <f t="shared" si="129"/>
        <v>35004</v>
      </c>
      <c r="AC450" s="155">
        <f t="shared" ca="1" si="130"/>
        <v>1.7266460152298542</v>
      </c>
    </row>
    <row r="451" spans="3:29">
      <c r="C451" s="152" t="str">
        <f>'Monthly Prices'!A439</f>
        <v>1995M12</v>
      </c>
      <c r="D451" s="153">
        <f t="shared" si="119"/>
        <v>35034</v>
      </c>
      <c r="E451" s="152">
        <f t="shared" si="120"/>
        <v>432</v>
      </c>
      <c r="F451" s="152" t="b">
        <f t="shared" si="114"/>
        <v>0</v>
      </c>
      <c r="G451" s="152" t="b">
        <f t="shared" si="115"/>
        <v>1</v>
      </c>
      <c r="H451" s="152" t="b">
        <f t="shared" si="116"/>
        <v>0</v>
      </c>
      <c r="I451" s="153" t="e">
        <f t="shared" si="117"/>
        <v>#N/A</v>
      </c>
      <c r="J451" s="158">
        <f>INDEX('Monthly Prices'!B439:CB439,$G$4)</f>
        <v>148.65</v>
      </c>
      <c r="K451" s="158" t="b">
        <f>IF(H451,INDEX('Monthly Prices'!B439:CB439,$G$4)*U451,FALSE)</f>
        <v>0</v>
      </c>
      <c r="L451" s="152" t="b">
        <f t="shared" si="121"/>
        <v>1</v>
      </c>
      <c r="M451" s="158">
        <f>INDEX('Monthly Prices'!B439:CB439,$G$5)</f>
        <v>125</v>
      </c>
      <c r="N451" s="158" t="b">
        <f>IF(H451,INDEX('Monthly Prices'!B439:CB439,$G$5)*U451,FALSE)</f>
        <v>0</v>
      </c>
      <c r="O451" s="152" t="b">
        <f t="shared" si="118"/>
        <v>1</v>
      </c>
      <c r="P451" s="152">
        <f t="shared" si="122"/>
        <v>1995</v>
      </c>
      <c r="Q451" s="159">
        <f>'Monthly Prices'!B439</f>
        <v>17.86666666667</v>
      </c>
      <c r="R451" s="159">
        <f t="shared" si="123"/>
        <v>17.183333333333334</v>
      </c>
      <c r="S451" s="155">
        <f>_xlfn.XLOOKUP(P451,'Annual Real'!A:A,'Annual Real'!B:B,0,0)</f>
        <v>18.693784194409002</v>
      </c>
      <c r="T451" s="155">
        <f t="shared" ca="1" si="124"/>
        <v>1.7246467239675123</v>
      </c>
      <c r="U451" s="152">
        <f t="shared" ca="1" si="125"/>
        <v>1.7246467239675123</v>
      </c>
      <c r="V451" s="152" t="b">
        <f t="shared" si="131"/>
        <v>0</v>
      </c>
      <c r="W451" s="152" t="b">
        <f t="shared" si="132"/>
        <v>0</v>
      </c>
      <c r="X451" s="154">
        <f>LOOKUP(D451,'US Implicit Deflator'!A:A,'US Implicit Deflator'!B:B)/100</f>
        <v>1.3999999999999999E-2</v>
      </c>
      <c r="Y451" s="154">
        <f t="shared" si="126"/>
        <v>1.1592468385308585E-3</v>
      </c>
      <c r="Z451" s="165">
        <f t="shared" ca="1" si="127"/>
        <v>3.9595315542655012</v>
      </c>
      <c r="AA451" s="152">
        <f t="shared" si="128"/>
        <v>7</v>
      </c>
      <c r="AB451" s="153">
        <f t="shared" si="129"/>
        <v>35034</v>
      </c>
      <c r="AC451" s="155">
        <f t="shared" ca="1" si="130"/>
        <v>1.7246467239675123</v>
      </c>
    </row>
    <row r="452" spans="3:29">
      <c r="C452" s="152" t="str">
        <f>'Monthly Prices'!A440</f>
        <v>1996M01</v>
      </c>
      <c r="D452" s="153">
        <f t="shared" si="119"/>
        <v>35065</v>
      </c>
      <c r="E452" s="152">
        <f t="shared" si="120"/>
        <v>433</v>
      </c>
      <c r="F452" s="152" t="b">
        <f t="shared" si="114"/>
        <v>0</v>
      </c>
      <c r="G452" s="152" t="b">
        <f t="shared" si="115"/>
        <v>1</v>
      </c>
      <c r="H452" s="152" t="b">
        <f t="shared" si="116"/>
        <v>0</v>
      </c>
      <c r="I452" s="153" t="e">
        <f t="shared" si="117"/>
        <v>#N/A</v>
      </c>
      <c r="J452" s="158">
        <f>INDEX('Monthly Prices'!B440:CB440,$G$4)</f>
        <v>156.13</v>
      </c>
      <c r="K452" s="158" t="b">
        <f>IF(H452,INDEX('Monthly Prices'!B440:CB440,$G$4)*U452,FALSE)</f>
        <v>0</v>
      </c>
      <c r="L452" s="152" t="b">
        <f t="shared" si="121"/>
        <v>1</v>
      </c>
      <c r="M452" s="158">
        <f>INDEX('Monthly Prices'!B440:CB440,$G$5)</f>
        <v>124.93</v>
      </c>
      <c r="N452" s="158" t="b">
        <f>IF(H452,INDEX('Monthly Prices'!B440:CB440,$G$5)*U452,FALSE)</f>
        <v>0</v>
      </c>
      <c r="O452" s="152" t="b">
        <f t="shared" si="118"/>
        <v>1</v>
      </c>
      <c r="P452" s="152">
        <f t="shared" si="122"/>
        <v>1996</v>
      </c>
      <c r="Q452" s="159">
        <f>'Monthly Prices'!B440</f>
        <v>17.8</v>
      </c>
      <c r="R452" s="159">
        <f t="shared" si="123"/>
        <v>20.419999999999998</v>
      </c>
      <c r="S452" s="155">
        <f>_xlfn.XLOOKUP(P452,'Annual Real'!A:A,'Annual Real'!B:B,0,0)</f>
        <v>22.646459037869501</v>
      </c>
      <c r="T452" s="155">
        <f t="shared" ca="1" si="124"/>
        <v>1.7227913955073169</v>
      </c>
      <c r="U452" s="152">
        <f t="shared" ca="1" si="125"/>
        <v>1.7227913955073169</v>
      </c>
      <c r="V452" s="152" t="b">
        <f t="shared" si="131"/>
        <v>0</v>
      </c>
      <c r="W452" s="152" t="b">
        <f t="shared" si="132"/>
        <v>0</v>
      </c>
      <c r="X452" s="154">
        <f>LOOKUP(D452,'US Implicit Deflator'!A:A,'US Implicit Deflator'!B:B)/100</f>
        <v>1.3000000000000001E-2</v>
      </c>
      <c r="Y452" s="154">
        <f t="shared" si="126"/>
        <v>1.0769315803607071E-3</v>
      </c>
      <c r="Z452" s="165">
        <f t="shared" ca="1" si="127"/>
        <v>3.9637956988397245</v>
      </c>
      <c r="AA452" s="152">
        <f t="shared" si="128"/>
        <v>7</v>
      </c>
      <c r="AB452" s="153">
        <f t="shared" si="129"/>
        <v>35065</v>
      </c>
      <c r="AC452" s="155">
        <f t="shared" ca="1" si="130"/>
        <v>1.7227913955073169</v>
      </c>
    </row>
    <row r="453" spans="3:29">
      <c r="C453" s="152" t="str">
        <f>'Monthly Prices'!A441</f>
        <v>1996M02</v>
      </c>
      <c r="D453" s="153">
        <f t="shared" si="119"/>
        <v>35096</v>
      </c>
      <c r="E453" s="152">
        <f t="shared" si="120"/>
        <v>434</v>
      </c>
      <c r="F453" s="152" t="b">
        <f t="shared" si="114"/>
        <v>0</v>
      </c>
      <c r="G453" s="152" t="b">
        <f t="shared" si="115"/>
        <v>1</v>
      </c>
      <c r="H453" s="152" t="b">
        <f t="shared" si="116"/>
        <v>0</v>
      </c>
      <c r="I453" s="153" t="e">
        <f t="shared" si="117"/>
        <v>#N/A</v>
      </c>
      <c r="J453" s="158">
        <f>INDEX('Monthly Prices'!B441:CB441,$G$4)</f>
        <v>164.81</v>
      </c>
      <c r="K453" s="158" t="b">
        <f>IF(H453,INDEX('Monthly Prices'!B441:CB441,$G$4)*U453,FALSE)</f>
        <v>0</v>
      </c>
      <c r="L453" s="152" t="b">
        <f t="shared" si="121"/>
        <v>1</v>
      </c>
      <c r="M453" s="158">
        <f>INDEX('Monthly Prices'!B441:CB441,$G$5)</f>
        <v>123.31</v>
      </c>
      <c r="N453" s="158" t="b">
        <f>IF(H453,INDEX('Monthly Prices'!B441:CB441,$G$5)*U453,FALSE)</f>
        <v>0</v>
      </c>
      <c r="O453" s="152" t="b">
        <f t="shared" si="118"/>
        <v>1</v>
      </c>
      <c r="P453" s="152">
        <f t="shared" si="122"/>
        <v>1996</v>
      </c>
      <c r="Q453" s="159">
        <f>'Monthly Prices'!B441</f>
        <v>17.696666666670001</v>
      </c>
      <c r="R453" s="159">
        <f t="shared" si="123"/>
        <v>20.419999999999998</v>
      </c>
      <c r="S453" s="155">
        <f>_xlfn.XLOOKUP(P453,'Annual Real'!A:A,'Annual Real'!B:B,0,0)</f>
        <v>22.646459037869501</v>
      </c>
      <c r="T453" s="155">
        <f t="shared" ca="1" si="124"/>
        <v>1.720938062959471</v>
      </c>
      <c r="U453" s="152">
        <f t="shared" ca="1" si="125"/>
        <v>1.720938062959471</v>
      </c>
      <c r="V453" s="152" t="b">
        <f t="shared" si="131"/>
        <v>0</v>
      </c>
      <c r="W453" s="152" t="b">
        <f t="shared" si="132"/>
        <v>0</v>
      </c>
      <c r="X453" s="154">
        <f>LOOKUP(D453,'US Implicit Deflator'!A:A,'US Implicit Deflator'!B:B)/100</f>
        <v>1.3000000000000001E-2</v>
      </c>
      <c r="Y453" s="154">
        <f t="shared" si="126"/>
        <v>1.0769315803607071E-3</v>
      </c>
      <c r="Z453" s="165">
        <f t="shared" ca="1" si="127"/>
        <v>3.9680644356059029</v>
      </c>
      <c r="AA453" s="152">
        <f t="shared" si="128"/>
        <v>7</v>
      </c>
      <c r="AB453" s="153">
        <f t="shared" si="129"/>
        <v>35096</v>
      </c>
      <c r="AC453" s="155">
        <f t="shared" ca="1" si="130"/>
        <v>1.720938062959471</v>
      </c>
    </row>
    <row r="454" spans="3:29">
      <c r="C454" s="152" t="str">
        <f>'Monthly Prices'!A442</f>
        <v>1996M03</v>
      </c>
      <c r="D454" s="153">
        <f t="shared" si="119"/>
        <v>35125</v>
      </c>
      <c r="E454" s="152">
        <f t="shared" si="120"/>
        <v>435</v>
      </c>
      <c r="F454" s="152" t="b">
        <f t="shared" si="114"/>
        <v>0</v>
      </c>
      <c r="G454" s="152" t="b">
        <f t="shared" si="115"/>
        <v>1</v>
      </c>
      <c r="H454" s="152" t="b">
        <f t="shared" si="116"/>
        <v>0</v>
      </c>
      <c r="I454" s="153" t="e">
        <f t="shared" si="117"/>
        <v>#N/A</v>
      </c>
      <c r="J454" s="158">
        <f>INDEX('Monthly Prices'!B442:CB442,$G$4)</f>
        <v>184.86</v>
      </c>
      <c r="K454" s="158" t="b">
        <f>IF(H454,INDEX('Monthly Prices'!B442:CB442,$G$4)*U454,FALSE)</f>
        <v>0</v>
      </c>
      <c r="L454" s="152" t="b">
        <f t="shared" si="121"/>
        <v>1</v>
      </c>
      <c r="M454" s="158">
        <f>INDEX('Monthly Prices'!B442:CB442,$G$5)</f>
        <v>124.47</v>
      </c>
      <c r="N454" s="158" t="b">
        <f>IF(H454,INDEX('Monthly Prices'!B442:CB442,$G$5)*U454,FALSE)</f>
        <v>0</v>
      </c>
      <c r="O454" s="152" t="b">
        <f t="shared" si="118"/>
        <v>1</v>
      </c>
      <c r="P454" s="152">
        <f t="shared" si="122"/>
        <v>1996</v>
      </c>
      <c r="Q454" s="159">
        <f>'Monthly Prices'!B442</f>
        <v>19.399999999999999</v>
      </c>
      <c r="R454" s="159">
        <f t="shared" si="123"/>
        <v>20.419999999999998</v>
      </c>
      <c r="S454" s="155">
        <f>_xlfn.XLOOKUP(P454,'Annual Real'!A:A,'Annual Real'!B:B,0,0)</f>
        <v>22.646459037869501</v>
      </c>
      <c r="T454" s="155">
        <f t="shared" ca="1" si="124"/>
        <v>1.7190867241768262</v>
      </c>
      <c r="U454" s="152">
        <f t="shared" ca="1" si="125"/>
        <v>1.7190867241768262</v>
      </c>
      <c r="V454" s="152" t="b">
        <f t="shared" si="131"/>
        <v>0</v>
      </c>
      <c r="W454" s="152" t="b">
        <f t="shared" si="132"/>
        <v>0</v>
      </c>
      <c r="X454" s="154">
        <f>LOOKUP(D454,'US Implicit Deflator'!A:A,'US Implicit Deflator'!B:B)/100</f>
        <v>1.3000000000000001E-2</v>
      </c>
      <c r="Y454" s="154">
        <f t="shared" si="126"/>
        <v>1.0769315803607071E-3</v>
      </c>
      <c r="Z454" s="165">
        <f t="shared" ca="1" si="127"/>
        <v>3.972337769509513</v>
      </c>
      <c r="AA454" s="152">
        <f t="shared" si="128"/>
        <v>7</v>
      </c>
      <c r="AB454" s="153">
        <f t="shared" si="129"/>
        <v>35125</v>
      </c>
      <c r="AC454" s="155">
        <f t="shared" ca="1" si="130"/>
        <v>1.7190867241768262</v>
      </c>
    </row>
    <row r="455" spans="3:29">
      <c r="C455" s="152" t="str">
        <f>'Monthly Prices'!A443</f>
        <v>1996M04</v>
      </c>
      <c r="D455" s="153">
        <f t="shared" si="119"/>
        <v>35156</v>
      </c>
      <c r="E455" s="152">
        <f t="shared" si="120"/>
        <v>436</v>
      </c>
      <c r="F455" s="152" t="b">
        <f t="shared" si="114"/>
        <v>0</v>
      </c>
      <c r="G455" s="152" t="b">
        <f t="shared" si="115"/>
        <v>1</v>
      </c>
      <c r="H455" s="152" t="b">
        <f t="shared" si="116"/>
        <v>0</v>
      </c>
      <c r="I455" s="153" t="e">
        <f t="shared" si="117"/>
        <v>#N/A</v>
      </c>
      <c r="J455" s="158">
        <f>INDEX('Monthly Prices'!B443:CB443,$G$4)</f>
        <v>190.37</v>
      </c>
      <c r="K455" s="158" t="b">
        <f>IF(H455,INDEX('Monthly Prices'!B443:CB443,$G$4)*U455,FALSE)</f>
        <v>0</v>
      </c>
      <c r="L455" s="152" t="b">
        <f t="shared" si="121"/>
        <v>1</v>
      </c>
      <c r="M455" s="158">
        <f>INDEX('Monthly Prices'!B443:CB443,$G$5)</f>
        <v>132.69</v>
      </c>
      <c r="N455" s="158" t="b">
        <f>IF(H455,INDEX('Monthly Prices'!B443:CB443,$G$5)*U455,FALSE)</f>
        <v>0</v>
      </c>
      <c r="O455" s="152" t="b">
        <f t="shared" si="118"/>
        <v>1</v>
      </c>
      <c r="P455" s="152">
        <f t="shared" si="122"/>
        <v>1996</v>
      </c>
      <c r="Q455" s="159">
        <f>'Monthly Prices'!B443</f>
        <v>20.66</v>
      </c>
      <c r="R455" s="159">
        <f t="shared" si="123"/>
        <v>20.419999999999998</v>
      </c>
      <c r="S455" s="155">
        <f>_xlfn.XLOOKUP(P455,'Annual Real'!A:A,'Annual Real'!B:B,0,0)</f>
        <v>22.646459037869501</v>
      </c>
      <c r="T455" s="155">
        <f t="shared" ca="1" si="124"/>
        <v>1.7172373770145433</v>
      </c>
      <c r="U455" s="152">
        <f t="shared" ca="1" si="125"/>
        <v>1.7172373770145433</v>
      </c>
      <c r="V455" s="152" t="b">
        <f t="shared" si="131"/>
        <v>0</v>
      </c>
      <c r="W455" s="152" t="b">
        <f t="shared" si="132"/>
        <v>0</v>
      </c>
      <c r="X455" s="154">
        <f>LOOKUP(D455,'US Implicit Deflator'!A:A,'US Implicit Deflator'!B:B)/100</f>
        <v>1.3000000000000001E-2</v>
      </c>
      <c r="Y455" s="154">
        <f t="shared" si="126"/>
        <v>1.0769315803607071E-3</v>
      </c>
      <c r="Z455" s="165">
        <f t="shared" ca="1" si="127"/>
        <v>3.9766157055013576</v>
      </c>
      <c r="AA455" s="152">
        <f t="shared" si="128"/>
        <v>7</v>
      </c>
      <c r="AB455" s="153">
        <f t="shared" si="129"/>
        <v>35156</v>
      </c>
      <c r="AC455" s="155">
        <f t="shared" ca="1" si="130"/>
        <v>1.7172373770145433</v>
      </c>
    </row>
    <row r="456" spans="3:29">
      <c r="C456" s="152" t="str">
        <f>'Monthly Prices'!A444</f>
        <v>1996M05</v>
      </c>
      <c r="D456" s="153">
        <f t="shared" si="119"/>
        <v>35186</v>
      </c>
      <c r="E456" s="152">
        <f t="shared" si="120"/>
        <v>437</v>
      </c>
      <c r="F456" s="152" t="b">
        <f t="shared" si="114"/>
        <v>0</v>
      </c>
      <c r="G456" s="152" t="b">
        <f t="shared" si="115"/>
        <v>1</v>
      </c>
      <c r="H456" s="152" t="b">
        <f t="shared" si="116"/>
        <v>0</v>
      </c>
      <c r="I456" s="153" t="e">
        <f t="shared" si="117"/>
        <v>#N/A</v>
      </c>
      <c r="J456" s="158">
        <f>INDEX('Monthly Prices'!B444:CB444,$G$4)</f>
        <v>204.02</v>
      </c>
      <c r="K456" s="158" t="b">
        <f>IF(H456,INDEX('Monthly Prices'!B444:CB444,$G$4)*U456,FALSE)</f>
        <v>0</v>
      </c>
      <c r="L456" s="152" t="b">
        <f t="shared" si="121"/>
        <v>1</v>
      </c>
      <c r="M456" s="158">
        <f>INDEX('Monthly Prices'!B444:CB444,$G$5)</f>
        <v>137.79</v>
      </c>
      <c r="N456" s="158" t="b">
        <f>IF(H456,INDEX('Monthly Prices'!B444:CB444,$G$5)*U456,FALSE)</f>
        <v>0</v>
      </c>
      <c r="O456" s="152" t="b">
        <f t="shared" si="118"/>
        <v>1</v>
      </c>
      <c r="P456" s="152">
        <f t="shared" si="122"/>
        <v>1996</v>
      </c>
      <c r="Q456" s="159">
        <f>'Monthly Prices'!B444</f>
        <v>19.06333333333</v>
      </c>
      <c r="R456" s="159">
        <f t="shared" si="123"/>
        <v>20.419999999999998</v>
      </c>
      <c r="S456" s="155">
        <f>_xlfn.XLOOKUP(P456,'Annual Real'!A:A,'Annual Real'!B:B,0,0)</f>
        <v>22.646459037869501</v>
      </c>
      <c r="T456" s="155">
        <f t="shared" ca="1" si="124"/>
        <v>1.7153900193300913</v>
      </c>
      <c r="U456" s="152">
        <f t="shared" ca="1" si="125"/>
        <v>1.7153900193300913</v>
      </c>
      <c r="V456" s="152" t="b">
        <f t="shared" si="131"/>
        <v>0</v>
      </c>
      <c r="W456" s="152" t="b">
        <f t="shared" si="132"/>
        <v>0</v>
      </c>
      <c r="X456" s="154">
        <f>LOOKUP(D456,'US Implicit Deflator'!A:A,'US Implicit Deflator'!B:B)/100</f>
        <v>1.3000000000000001E-2</v>
      </c>
      <c r="Y456" s="154">
        <f t="shared" si="126"/>
        <v>1.0769315803607071E-3</v>
      </c>
      <c r="Z456" s="165">
        <f t="shared" ca="1" si="127"/>
        <v>3.9808982485375703</v>
      </c>
      <c r="AA456" s="152">
        <f t="shared" si="128"/>
        <v>7</v>
      </c>
      <c r="AB456" s="153">
        <f t="shared" si="129"/>
        <v>35186</v>
      </c>
      <c r="AC456" s="155">
        <f t="shared" ca="1" si="130"/>
        <v>1.7153900193300913</v>
      </c>
    </row>
    <row r="457" spans="3:29">
      <c r="C457" s="152" t="str">
        <f>'Monthly Prices'!A445</f>
        <v>1996M06</v>
      </c>
      <c r="D457" s="153">
        <f t="shared" si="119"/>
        <v>35217</v>
      </c>
      <c r="E457" s="152">
        <f t="shared" si="120"/>
        <v>438</v>
      </c>
      <c r="F457" s="152" t="b">
        <f t="shared" si="114"/>
        <v>0</v>
      </c>
      <c r="G457" s="152" t="b">
        <f t="shared" si="115"/>
        <v>1</v>
      </c>
      <c r="H457" s="152" t="b">
        <f t="shared" si="116"/>
        <v>0</v>
      </c>
      <c r="I457" s="153" t="e">
        <f t="shared" si="117"/>
        <v>#N/A</v>
      </c>
      <c r="J457" s="158">
        <f>INDEX('Monthly Prices'!B445:CB445,$G$4)</f>
        <v>197.55</v>
      </c>
      <c r="K457" s="158" t="b">
        <f>IF(H457,INDEX('Monthly Prices'!B445:CB445,$G$4)*U457,FALSE)</f>
        <v>0</v>
      </c>
      <c r="L457" s="152" t="b">
        <f t="shared" si="121"/>
        <v>1</v>
      </c>
      <c r="M457" s="158">
        <f>INDEX('Monthly Prices'!B445:CB445,$G$5)</f>
        <v>138.13999999999999</v>
      </c>
      <c r="N457" s="158" t="b">
        <f>IF(H457,INDEX('Monthly Prices'!B445:CB445,$G$5)*U457,FALSE)</f>
        <v>0</v>
      </c>
      <c r="O457" s="152" t="b">
        <f t="shared" si="118"/>
        <v>1</v>
      </c>
      <c r="P457" s="152">
        <f t="shared" si="122"/>
        <v>1996</v>
      </c>
      <c r="Q457" s="159">
        <f>'Monthly Prices'!B445</f>
        <v>18.513333333329999</v>
      </c>
      <c r="R457" s="159">
        <f t="shared" si="123"/>
        <v>20.419999999999998</v>
      </c>
      <c r="S457" s="155">
        <f>_xlfn.XLOOKUP(P457,'Annual Real'!A:A,'Annual Real'!B:B,0,0)</f>
        <v>22.646459037869501</v>
      </c>
      <c r="T457" s="155">
        <f t="shared" ca="1" si="124"/>
        <v>1.7135446489832431</v>
      </c>
      <c r="U457" s="152">
        <f t="shared" ca="1" si="125"/>
        <v>1.7135446489832431</v>
      </c>
      <c r="V457" s="152" t="b">
        <f t="shared" si="131"/>
        <v>0</v>
      </c>
      <c r="W457" s="152" t="b">
        <f t="shared" si="132"/>
        <v>0</v>
      </c>
      <c r="X457" s="154">
        <f>LOOKUP(D457,'US Implicit Deflator'!A:A,'US Implicit Deflator'!B:B)/100</f>
        <v>1.3000000000000001E-2</v>
      </c>
      <c r="Y457" s="154">
        <f t="shared" si="126"/>
        <v>1.0769315803607071E-3</v>
      </c>
      <c r="Z457" s="165">
        <f t="shared" ca="1" si="127"/>
        <v>3.985185403579623</v>
      </c>
      <c r="AA457" s="152">
        <f t="shared" si="128"/>
        <v>7</v>
      </c>
      <c r="AB457" s="153">
        <f t="shared" si="129"/>
        <v>35217</v>
      </c>
      <c r="AC457" s="155">
        <f t="shared" ca="1" si="130"/>
        <v>1.7135446489832431</v>
      </c>
    </row>
    <row r="458" spans="3:29">
      <c r="C458" s="152" t="str">
        <f>'Monthly Prices'!A446</f>
        <v>1996M07</v>
      </c>
      <c r="D458" s="153">
        <f t="shared" si="119"/>
        <v>35247</v>
      </c>
      <c r="E458" s="152">
        <f t="shared" si="120"/>
        <v>439</v>
      </c>
      <c r="F458" s="152" t="b">
        <f t="shared" si="114"/>
        <v>0</v>
      </c>
      <c r="G458" s="152" t="b">
        <f t="shared" si="115"/>
        <v>1</v>
      </c>
      <c r="H458" s="152" t="b">
        <f t="shared" si="116"/>
        <v>0</v>
      </c>
      <c r="I458" s="153" t="e">
        <f t="shared" si="117"/>
        <v>#N/A</v>
      </c>
      <c r="J458" s="158">
        <f>INDEX('Monthly Prices'!B446:CB446,$G$4)</f>
        <v>197.8</v>
      </c>
      <c r="K458" s="158" t="b">
        <f>IF(H458,INDEX('Monthly Prices'!B446:CB446,$G$4)*U458,FALSE)</f>
        <v>0</v>
      </c>
      <c r="L458" s="152" t="b">
        <f t="shared" si="121"/>
        <v>1</v>
      </c>
      <c r="M458" s="158">
        <f>INDEX('Monthly Prices'!B446:CB446,$G$5)</f>
        <v>133.09</v>
      </c>
      <c r="N458" s="158" t="b">
        <f>IF(H458,INDEX('Monthly Prices'!B446:CB446,$G$5)*U458,FALSE)</f>
        <v>0</v>
      </c>
      <c r="O458" s="152" t="b">
        <f t="shared" si="118"/>
        <v>1</v>
      </c>
      <c r="P458" s="152">
        <f t="shared" si="122"/>
        <v>1996</v>
      </c>
      <c r="Q458" s="159">
        <f>'Monthly Prices'!B446</f>
        <v>19.586666666669998</v>
      </c>
      <c r="R458" s="159">
        <f t="shared" si="123"/>
        <v>20.419999999999998</v>
      </c>
      <c r="S458" s="155">
        <f>_xlfn.XLOOKUP(P458,'Annual Real'!A:A,'Annual Real'!B:B,0,0)</f>
        <v>22.646459037869501</v>
      </c>
      <c r="T458" s="155">
        <f t="shared" ca="1" si="124"/>
        <v>1.7117012638360747</v>
      </c>
      <c r="U458" s="152">
        <f t="shared" ca="1" si="125"/>
        <v>1.7117012638360747</v>
      </c>
      <c r="V458" s="152" t="b">
        <f t="shared" si="131"/>
        <v>0</v>
      </c>
      <c r="W458" s="152" t="b">
        <f t="shared" si="132"/>
        <v>0</v>
      </c>
      <c r="X458" s="154">
        <f>LOOKUP(D458,'US Implicit Deflator'!A:A,'US Implicit Deflator'!B:B)/100</f>
        <v>1.3000000000000001E-2</v>
      </c>
      <c r="Y458" s="154">
        <f t="shared" si="126"/>
        <v>1.0769315803607071E-3</v>
      </c>
      <c r="Z458" s="165">
        <f t="shared" ca="1" si="127"/>
        <v>3.9894771755943306</v>
      </c>
      <c r="AA458" s="152">
        <f t="shared" si="128"/>
        <v>7</v>
      </c>
      <c r="AB458" s="153">
        <f t="shared" si="129"/>
        <v>35247</v>
      </c>
      <c r="AC458" s="155">
        <f t="shared" ca="1" si="130"/>
        <v>1.7117012638360747</v>
      </c>
    </row>
    <row r="459" spans="3:29">
      <c r="C459" s="152" t="str">
        <f>'Monthly Prices'!A447</f>
        <v>1996M08</v>
      </c>
      <c r="D459" s="153">
        <f t="shared" si="119"/>
        <v>35278</v>
      </c>
      <c r="E459" s="152">
        <f t="shared" si="120"/>
        <v>440</v>
      </c>
      <c r="F459" s="152" t="b">
        <f t="shared" si="114"/>
        <v>0</v>
      </c>
      <c r="G459" s="152" t="b">
        <f t="shared" si="115"/>
        <v>1</v>
      </c>
      <c r="H459" s="152" t="b">
        <f t="shared" si="116"/>
        <v>0</v>
      </c>
      <c r="I459" s="153" t="e">
        <f t="shared" si="117"/>
        <v>#N/A</v>
      </c>
      <c r="J459" s="158">
        <f>INDEX('Monthly Prices'!B447:CB447,$G$4)</f>
        <v>185.5</v>
      </c>
      <c r="K459" s="158" t="b">
        <f>IF(H459,INDEX('Monthly Prices'!B447:CB447,$G$4)*U459,FALSE)</f>
        <v>0</v>
      </c>
      <c r="L459" s="152" t="b">
        <f t="shared" si="121"/>
        <v>1</v>
      </c>
      <c r="M459" s="158">
        <f>INDEX('Monthly Prices'!B447:CB447,$G$5)</f>
        <v>115.01</v>
      </c>
      <c r="N459" s="158" t="b">
        <f>IF(H459,INDEX('Monthly Prices'!B447:CB447,$G$5)*U459,FALSE)</f>
        <v>0</v>
      </c>
      <c r="O459" s="152" t="b">
        <f t="shared" si="118"/>
        <v>1</v>
      </c>
      <c r="P459" s="152">
        <f t="shared" si="122"/>
        <v>1996</v>
      </c>
      <c r="Q459" s="159">
        <f>'Monthly Prices'!B447</f>
        <v>20.440000000000001</v>
      </c>
      <c r="R459" s="159">
        <f t="shared" si="123"/>
        <v>20.419999999999998</v>
      </c>
      <c r="S459" s="155">
        <f>_xlfn.XLOOKUP(P459,'Annual Real'!A:A,'Annual Real'!B:B,0,0)</f>
        <v>22.646459037869501</v>
      </c>
      <c r="T459" s="155">
        <f t="shared" ca="1" si="124"/>
        <v>1.7098598617529617</v>
      </c>
      <c r="U459" s="152">
        <f t="shared" ca="1" si="125"/>
        <v>1.7098598617529617</v>
      </c>
      <c r="V459" s="152" t="b">
        <f t="shared" si="131"/>
        <v>0</v>
      </c>
      <c r="W459" s="152" t="b">
        <f t="shared" si="132"/>
        <v>0</v>
      </c>
      <c r="X459" s="154">
        <f>LOOKUP(D459,'US Implicit Deflator'!A:A,'US Implicit Deflator'!B:B)/100</f>
        <v>1.3000000000000001E-2</v>
      </c>
      <c r="Y459" s="154">
        <f t="shared" si="126"/>
        <v>1.0769315803607071E-3</v>
      </c>
      <c r="Z459" s="165">
        <f t="shared" ca="1" si="127"/>
        <v>3.9937735695538565</v>
      </c>
      <c r="AA459" s="152">
        <f t="shared" si="128"/>
        <v>7</v>
      </c>
      <c r="AB459" s="153">
        <f t="shared" si="129"/>
        <v>35278</v>
      </c>
      <c r="AC459" s="155">
        <f t="shared" ca="1" si="130"/>
        <v>1.7098598617529617</v>
      </c>
    </row>
    <row r="460" spans="3:29">
      <c r="C460" s="152" t="str">
        <f>'Monthly Prices'!A448</f>
        <v>1996M09</v>
      </c>
      <c r="D460" s="153">
        <f t="shared" si="119"/>
        <v>35309</v>
      </c>
      <c r="E460" s="152">
        <f t="shared" si="120"/>
        <v>441</v>
      </c>
      <c r="F460" s="152" t="b">
        <f t="shared" si="114"/>
        <v>0</v>
      </c>
      <c r="G460" s="152" t="b">
        <f t="shared" si="115"/>
        <v>1</v>
      </c>
      <c r="H460" s="152" t="b">
        <f t="shared" si="116"/>
        <v>0</v>
      </c>
      <c r="I460" s="153" t="e">
        <f t="shared" si="117"/>
        <v>#N/A</v>
      </c>
      <c r="J460" s="158">
        <f>INDEX('Monthly Prices'!B448:CB448,$G$4)</f>
        <v>145.38999999999999</v>
      </c>
      <c r="K460" s="158" t="b">
        <f>IF(H460,INDEX('Monthly Prices'!B448:CB448,$G$4)*U460,FALSE)</f>
        <v>0</v>
      </c>
      <c r="L460" s="152" t="b">
        <f t="shared" si="121"/>
        <v>1</v>
      </c>
      <c r="M460" s="158">
        <f>INDEX('Monthly Prices'!B448:CB448,$G$5)</f>
        <v>103.4</v>
      </c>
      <c r="N460" s="158" t="b">
        <f>IF(H460,INDEX('Monthly Prices'!B448:CB448,$G$5)*U460,FALSE)</f>
        <v>0</v>
      </c>
      <c r="O460" s="152" t="b">
        <f t="shared" si="118"/>
        <v>1</v>
      </c>
      <c r="P460" s="152">
        <f t="shared" si="122"/>
        <v>1996</v>
      </c>
      <c r="Q460" s="159">
        <f>'Monthly Prices'!B448</f>
        <v>22.25666666667</v>
      </c>
      <c r="R460" s="159">
        <f t="shared" si="123"/>
        <v>20.419999999999998</v>
      </c>
      <c r="S460" s="155">
        <f>_xlfn.XLOOKUP(P460,'Annual Real'!A:A,'Annual Real'!B:B,0,0)</f>
        <v>22.646459037869501</v>
      </c>
      <c r="T460" s="155">
        <f t="shared" ca="1" si="124"/>
        <v>1.7080204406005772</v>
      </c>
      <c r="U460" s="152">
        <f t="shared" ca="1" si="125"/>
        <v>1.7080204406005772</v>
      </c>
      <c r="V460" s="152" t="b">
        <f t="shared" si="131"/>
        <v>0</v>
      </c>
      <c r="W460" s="152" t="b">
        <f t="shared" si="132"/>
        <v>0</v>
      </c>
      <c r="X460" s="154">
        <f>LOOKUP(D460,'US Implicit Deflator'!A:A,'US Implicit Deflator'!B:B)/100</f>
        <v>1.3000000000000001E-2</v>
      </c>
      <c r="Y460" s="154">
        <f t="shared" si="126"/>
        <v>1.0769315803607071E-3</v>
      </c>
      <c r="Z460" s="165">
        <f t="shared" ca="1" si="127"/>
        <v>3.9980745904357189</v>
      </c>
      <c r="AA460" s="152">
        <f t="shared" si="128"/>
        <v>7</v>
      </c>
      <c r="AB460" s="153">
        <f t="shared" si="129"/>
        <v>35309</v>
      </c>
      <c r="AC460" s="155">
        <f t="shared" ca="1" si="130"/>
        <v>1.7080204406005772</v>
      </c>
    </row>
    <row r="461" spans="3:29">
      <c r="C461" s="152" t="str">
        <f>'Monthly Prices'!A449</f>
        <v>1996M10</v>
      </c>
      <c r="D461" s="153">
        <f t="shared" si="119"/>
        <v>35339</v>
      </c>
      <c r="E461" s="152">
        <f t="shared" si="120"/>
        <v>442</v>
      </c>
      <c r="F461" s="152" t="b">
        <f t="shared" si="114"/>
        <v>0</v>
      </c>
      <c r="G461" s="152" t="b">
        <f t="shared" si="115"/>
        <v>1</v>
      </c>
      <c r="H461" s="152" t="b">
        <f t="shared" si="116"/>
        <v>0</v>
      </c>
      <c r="I461" s="153" t="e">
        <f t="shared" si="117"/>
        <v>#N/A</v>
      </c>
      <c r="J461" s="158">
        <f>INDEX('Monthly Prices'!B449:CB449,$G$4)</f>
        <v>127.85</v>
      </c>
      <c r="K461" s="158" t="b">
        <f>IF(H461,INDEX('Monthly Prices'!B449:CB449,$G$4)*U461,FALSE)</f>
        <v>0</v>
      </c>
      <c r="L461" s="152" t="b">
        <f t="shared" si="121"/>
        <v>1</v>
      </c>
      <c r="M461" s="158">
        <f>INDEX('Monthly Prices'!B449:CB449,$G$5)</f>
        <v>102.41</v>
      </c>
      <c r="N461" s="158" t="b">
        <f>IF(H461,INDEX('Monthly Prices'!B449:CB449,$G$5)*U461,FALSE)</f>
        <v>0</v>
      </c>
      <c r="O461" s="152" t="b">
        <f t="shared" si="118"/>
        <v>1</v>
      </c>
      <c r="P461" s="152">
        <f t="shared" si="122"/>
        <v>1996</v>
      </c>
      <c r="Q461" s="159">
        <f>'Monthly Prices'!B449</f>
        <v>23.61</v>
      </c>
      <c r="R461" s="159">
        <f t="shared" si="123"/>
        <v>20.419999999999998</v>
      </c>
      <c r="S461" s="155">
        <f>_xlfn.XLOOKUP(P461,'Annual Real'!A:A,'Annual Real'!B:B,0,0)</f>
        <v>22.646459037869501</v>
      </c>
      <c r="T461" s="155">
        <f t="shared" ca="1" si="124"/>
        <v>1.7057626005066593</v>
      </c>
      <c r="U461" s="152">
        <f t="shared" ca="1" si="125"/>
        <v>1.7057626005066593</v>
      </c>
      <c r="V461" s="152" t="b">
        <f t="shared" si="131"/>
        <v>0</v>
      </c>
      <c r="W461" s="152" t="b">
        <f t="shared" si="132"/>
        <v>0</v>
      </c>
      <c r="X461" s="154">
        <f>LOOKUP(D461,'US Implicit Deflator'!A:A,'US Implicit Deflator'!B:B)/100</f>
        <v>1.6E-2</v>
      </c>
      <c r="Y461" s="154">
        <f t="shared" si="126"/>
        <v>1.323654354508319E-3</v>
      </c>
      <c r="Z461" s="165">
        <f t="shared" ca="1" si="127"/>
        <v>4.0033666592769981</v>
      </c>
      <c r="AA461" s="152">
        <f t="shared" si="128"/>
        <v>7</v>
      </c>
      <c r="AB461" s="153">
        <f t="shared" si="129"/>
        <v>35339</v>
      </c>
      <c r="AC461" s="155">
        <f t="shared" ca="1" si="130"/>
        <v>1.7057626005066593</v>
      </c>
    </row>
    <row r="462" spans="3:29">
      <c r="C462" s="152" t="str">
        <f>'Monthly Prices'!A450</f>
        <v>1996M11</v>
      </c>
      <c r="D462" s="153">
        <f t="shared" si="119"/>
        <v>35370</v>
      </c>
      <c r="E462" s="152">
        <f t="shared" si="120"/>
        <v>443</v>
      </c>
      <c r="F462" s="152" t="b">
        <f t="shared" si="114"/>
        <v>0</v>
      </c>
      <c r="G462" s="152" t="b">
        <f t="shared" si="115"/>
        <v>1</v>
      </c>
      <c r="H462" s="152" t="b">
        <f t="shared" si="116"/>
        <v>0</v>
      </c>
      <c r="I462" s="153" t="e">
        <f t="shared" si="117"/>
        <v>#N/A</v>
      </c>
      <c r="J462" s="158">
        <f>INDEX('Monthly Prices'!B450:CB450,$G$4)</f>
        <v>117.74</v>
      </c>
      <c r="K462" s="158" t="b">
        <f>IF(H462,INDEX('Monthly Prices'!B450:CB450,$G$4)*U462,FALSE)</f>
        <v>0</v>
      </c>
      <c r="L462" s="152" t="b">
        <f t="shared" si="121"/>
        <v>1</v>
      </c>
      <c r="M462" s="158">
        <f>INDEX('Monthly Prices'!B450:CB450,$G$5)</f>
        <v>99.99</v>
      </c>
      <c r="N462" s="158" t="b">
        <f>IF(H462,INDEX('Monthly Prices'!B450:CB450,$G$5)*U462,FALSE)</f>
        <v>0</v>
      </c>
      <c r="O462" s="152" t="b">
        <f t="shared" si="118"/>
        <v>1</v>
      </c>
      <c r="P462" s="152">
        <f t="shared" si="122"/>
        <v>1996</v>
      </c>
      <c r="Q462" s="159">
        <f>'Monthly Prices'!B450</f>
        <v>22.39</v>
      </c>
      <c r="R462" s="159">
        <f t="shared" si="123"/>
        <v>20.419999999999998</v>
      </c>
      <c r="S462" s="155">
        <f>_xlfn.XLOOKUP(P462,'Annual Real'!A:A,'Annual Real'!B:B,0,0)</f>
        <v>22.646459037869501</v>
      </c>
      <c r="T462" s="155">
        <f t="shared" ca="1" si="124"/>
        <v>1.7035077450619696</v>
      </c>
      <c r="U462" s="152">
        <f t="shared" ca="1" si="125"/>
        <v>1.7035077450619696</v>
      </c>
      <c r="V462" s="152" t="b">
        <f t="shared" si="131"/>
        <v>0</v>
      </c>
      <c r="W462" s="152" t="b">
        <f t="shared" si="132"/>
        <v>0</v>
      </c>
      <c r="X462" s="154">
        <f>LOOKUP(D462,'US Implicit Deflator'!A:A,'US Implicit Deflator'!B:B)/100</f>
        <v>1.6E-2</v>
      </c>
      <c r="Y462" s="154">
        <f t="shared" si="126"/>
        <v>1.323654354508319E-3</v>
      </c>
      <c r="Z462" s="165">
        <f t="shared" ca="1" si="127"/>
        <v>4.0086657329882431</v>
      </c>
      <c r="AA462" s="152">
        <f t="shared" si="128"/>
        <v>7</v>
      </c>
      <c r="AB462" s="153">
        <f t="shared" si="129"/>
        <v>35370</v>
      </c>
      <c r="AC462" s="155">
        <f t="shared" ca="1" si="130"/>
        <v>1.7035077450619696</v>
      </c>
    </row>
    <row r="463" spans="3:29">
      <c r="C463" s="152" t="str">
        <f>'Monthly Prices'!A451</f>
        <v>1996M12</v>
      </c>
      <c r="D463" s="153">
        <f t="shared" si="119"/>
        <v>35400</v>
      </c>
      <c r="E463" s="152">
        <f t="shared" si="120"/>
        <v>444</v>
      </c>
      <c r="F463" s="152" t="b">
        <f t="shared" si="114"/>
        <v>0</v>
      </c>
      <c r="G463" s="152" t="b">
        <f t="shared" si="115"/>
        <v>1</v>
      </c>
      <c r="H463" s="152" t="b">
        <f t="shared" si="116"/>
        <v>0</v>
      </c>
      <c r="I463" s="153" t="e">
        <f t="shared" si="117"/>
        <v>#N/A</v>
      </c>
      <c r="J463" s="158">
        <f>INDEX('Monthly Prices'!B451:CB451,$G$4)</f>
        <v>117.69</v>
      </c>
      <c r="K463" s="158" t="b">
        <f>IF(H463,INDEX('Monthly Prices'!B451:CB451,$G$4)*U463,FALSE)</f>
        <v>0</v>
      </c>
      <c r="L463" s="152" t="b">
        <f t="shared" si="121"/>
        <v>1</v>
      </c>
      <c r="M463" s="158">
        <f>INDEX('Monthly Prices'!B451:CB451,$G$5)</f>
        <v>100.76</v>
      </c>
      <c r="N463" s="158" t="b">
        <f>IF(H463,INDEX('Monthly Prices'!B451:CB451,$G$5)*U463,FALSE)</f>
        <v>0</v>
      </c>
      <c r="O463" s="152" t="b">
        <f t="shared" si="118"/>
        <v>1</v>
      </c>
      <c r="P463" s="152">
        <f t="shared" si="122"/>
        <v>1996</v>
      </c>
      <c r="Q463" s="159">
        <f>'Monthly Prices'!B451</f>
        <v>23.623333333329999</v>
      </c>
      <c r="R463" s="159">
        <f t="shared" si="123"/>
        <v>20.419999999999998</v>
      </c>
      <c r="S463" s="155">
        <f>_xlfn.XLOOKUP(P463,'Annual Real'!A:A,'Annual Real'!B:B,0,0)</f>
        <v>22.646459037869501</v>
      </c>
      <c r="T463" s="155">
        <f t="shared" ca="1" si="124"/>
        <v>1.7012558703210861</v>
      </c>
      <c r="U463" s="152">
        <f t="shared" ca="1" si="125"/>
        <v>1.7012558703210861</v>
      </c>
      <c r="V463" s="152" t="b">
        <f t="shared" si="131"/>
        <v>0</v>
      </c>
      <c r="W463" s="152" t="b">
        <f t="shared" si="132"/>
        <v>0</v>
      </c>
      <c r="X463" s="154">
        <f>LOOKUP(D463,'US Implicit Deflator'!A:A,'US Implicit Deflator'!B:B)/100</f>
        <v>1.6E-2</v>
      </c>
      <c r="Y463" s="154">
        <f t="shared" si="126"/>
        <v>1.323654354508319E-3</v>
      </c>
      <c r="Z463" s="165">
        <f t="shared" ca="1" si="127"/>
        <v>4.0139718208414816</v>
      </c>
      <c r="AA463" s="152">
        <f t="shared" si="128"/>
        <v>7</v>
      </c>
      <c r="AB463" s="153">
        <f t="shared" si="129"/>
        <v>35400</v>
      </c>
      <c r="AC463" s="155">
        <f t="shared" ca="1" si="130"/>
        <v>1.7012558703210861</v>
      </c>
    </row>
    <row r="464" spans="3:29">
      <c r="C464" s="152" t="str">
        <f>'Monthly Prices'!A452</f>
        <v>1997M01</v>
      </c>
      <c r="D464" s="153">
        <f t="shared" si="119"/>
        <v>35431</v>
      </c>
      <c r="E464" s="152">
        <f t="shared" si="120"/>
        <v>445</v>
      </c>
      <c r="F464" s="152" t="b">
        <f t="shared" si="114"/>
        <v>0</v>
      </c>
      <c r="G464" s="152" t="b">
        <f t="shared" si="115"/>
        <v>1</v>
      </c>
      <c r="H464" s="152" t="b">
        <f t="shared" si="116"/>
        <v>0</v>
      </c>
      <c r="I464" s="153" t="e">
        <f t="shared" si="117"/>
        <v>#N/A</v>
      </c>
      <c r="J464" s="158">
        <f>INDEX('Monthly Prices'!B452:CB452,$G$4)</f>
        <v>118.36</v>
      </c>
      <c r="K464" s="158" t="b">
        <f>IF(H464,INDEX('Monthly Prices'!B452:CB452,$G$4)*U464,FALSE)</f>
        <v>0</v>
      </c>
      <c r="L464" s="152" t="b">
        <f t="shared" si="121"/>
        <v>1</v>
      </c>
      <c r="M464" s="158">
        <f>INDEX('Monthly Prices'!B452:CB452,$G$5)</f>
        <v>98.97</v>
      </c>
      <c r="N464" s="158" t="b">
        <f>IF(H464,INDEX('Monthly Prices'!B452:CB452,$G$5)*U464,FALSE)</f>
        <v>0</v>
      </c>
      <c r="O464" s="152" t="b">
        <f t="shared" si="118"/>
        <v>1</v>
      </c>
      <c r="P464" s="152">
        <f t="shared" si="122"/>
        <v>1997</v>
      </c>
      <c r="Q464" s="159">
        <f>'Monthly Prices'!B452</f>
        <v>23.226666666669999</v>
      </c>
      <c r="R464" s="159">
        <f t="shared" si="123"/>
        <v>19.171042724868332</v>
      </c>
      <c r="S464" s="155">
        <f>_xlfn.XLOOKUP(P464,'Annual Real'!A:A,'Annual Real'!B:B,0,0)</f>
        <v>22.312112752439901</v>
      </c>
      <c r="T464" s="155">
        <f t="shared" ca="1" si="124"/>
        <v>1.6985895768900634</v>
      </c>
      <c r="U464" s="152">
        <f t="shared" ca="1" si="125"/>
        <v>1.6985895768900634</v>
      </c>
      <c r="V464" s="152" t="b">
        <f t="shared" si="131"/>
        <v>0</v>
      </c>
      <c r="W464" s="152" t="b">
        <f t="shared" si="132"/>
        <v>0</v>
      </c>
      <c r="X464" s="154">
        <f>LOOKUP(D464,'US Implicit Deflator'!A:A,'US Implicit Deflator'!B:B)/100</f>
        <v>1.9E-2</v>
      </c>
      <c r="Y464" s="154">
        <f t="shared" si="126"/>
        <v>1.5697102274137009E-3</v>
      </c>
      <c r="Z464" s="165">
        <f t="shared" ca="1" si="127"/>
        <v>4.0202725934612067</v>
      </c>
      <c r="AA464" s="152">
        <f t="shared" si="128"/>
        <v>7</v>
      </c>
      <c r="AB464" s="153">
        <f t="shared" si="129"/>
        <v>35431</v>
      </c>
      <c r="AC464" s="155">
        <f t="shared" ca="1" si="130"/>
        <v>1.6985895768900634</v>
      </c>
    </row>
    <row r="465" spans="3:29">
      <c r="C465" s="152" t="str">
        <f>'Monthly Prices'!A453</f>
        <v>1997M02</v>
      </c>
      <c r="D465" s="153">
        <f t="shared" si="119"/>
        <v>35462</v>
      </c>
      <c r="E465" s="152">
        <f t="shared" si="120"/>
        <v>446</v>
      </c>
      <c r="F465" s="152" t="b">
        <f t="shared" si="114"/>
        <v>0</v>
      </c>
      <c r="G465" s="152" t="b">
        <f t="shared" si="115"/>
        <v>1</v>
      </c>
      <c r="H465" s="152" t="b">
        <f t="shared" si="116"/>
        <v>0</v>
      </c>
      <c r="I465" s="153" t="e">
        <f t="shared" si="117"/>
        <v>#N/A</v>
      </c>
      <c r="J465" s="158">
        <f>INDEX('Monthly Prices'!B453:CB453,$G$4)</f>
        <v>121.67</v>
      </c>
      <c r="K465" s="158" t="b">
        <f>IF(H465,INDEX('Monthly Prices'!B453:CB453,$G$4)*U465,FALSE)</f>
        <v>0</v>
      </c>
      <c r="L465" s="152" t="b">
        <f t="shared" si="121"/>
        <v>1</v>
      </c>
      <c r="M465" s="158">
        <f>INDEX('Monthly Prices'!B453:CB453,$G$5)</f>
        <v>97.73</v>
      </c>
      <c r="N465" s="158" t="b">
        <f>IF(H465,INDEX('Monthly Prices'!B453:CB453,$G$5)*U465,FALSE)</f>
        <v>0</v>
      </c>
      <c r="O465" s="152" t="b">
        <f t="shared" si="118"/>
        <v>1</v>
      </c>
      <c r="P465" s="152">
        <f t="shared" si="122"/>
        <v>1997</v>
      </c>
      <c r="Q465" s="159">
        <f>'Monthly Prices'!B453</f>
        <v>20.420000000000002</v>
      </c>
      <c r="R465" s="159">
        <f t="shared" si="123"/>
        <v>19.171042724868332</v>
      </c>
      <c r="S465" s="155">
        <f>_xlfn.XLOOKUP(P465,'Annual Real'!A:A,'Annual Real'!B:B,0,0)</f>
        <v>22.312112752439901</v>
      </c>
      <c r="T465" s="155">
        <f t="shared" ca="1" si="124"/>
        <v>1.6959274622076843</v>
      </c>
      <c r="U465" s="152">
        <f t="shared" ca="1" si="125"/>
        <v>1.6959274622076843</v>
      </c>
      <c r="V465" s="152" t="b">
        <f t="shared" si="131"/>
        <v>0</v>
      </c>
      <c r="W465" s="152" t="b">
        <f t="shared" si="132"/>
        <v>0</v>
      </c>
      <c r="X465" s="154">
        <f>LOOKUP(D465,'US Implicit Deflator'!A:A,'US Implicit Deflator'!B:B)/100</f>
        <v>1.9E-2</v>
      </c>
      <c r="Y465" s="154">
        <f t="shared" si="126"/>
        <v>1.5697102274137009E-3</v>
      </c>
      <c r="Z465" s="165">
        <f t="shared" ca="1" si="127"/>
        <v>4.0265832564681538</v>
      </c>
      <c r="AA465" s="152">
        <f t="shared" si="128"/>
        <v>7</v>
      </c>
      <c r="AB465" s="153">
        <f t="shared" si="129"/>
        <v>35462</v>
      </c>
      <c r="AC465" s="155">
        <f t="shared" ca="1" si="130"/>
        <v>1.6959274622076843</v>
      </c>
    </row>
    <row r="466" spans="3:29">
      <c r="C466" s="152" t="str">
        <f>'Monthly Prices'!A454</f>
        <v>1997M03</v>
      </c>
      <c r="D466" s="153">
        <f t="shared" si="119"/>
        <v>35490</v>
      </c>
      <c r="E466" s="152">
        <f t="shared" si="120"/>
        <v>447</v>
      </c>
      <c r="F466" s="152" t="b">
        <f t="shared" si="114"/>
        <v>0</v>
      </c>
      <c r="G466" s="152" t="b">
        <f t="shared" si="115"/>
        <v>1</v>
      </c>
      <c r="H466" s="152" t="b">
        <f t="shared" si="116"/>
        <v>0</v>
      </c>
      <c r="I466" s="153" t="e">
        <f t="shared" si="117"/>
        <v>#N/A</v>
      </c>
      <c r="J466" s="158">
        <f>INDEX('Monthly Prices'!B454:CB454,$G$4)</f>
        <v>127.6</v>
      </c>
      <c r="K466" s="158" t="b">
        <f>IF(H466,INDEX('Monthly Prices'!B454:CB454,$G$4)*U466,FALSE)</f>
        <v>0</v>
      </c>
      <c r="L466" s="152" t="b">
        <f t="shared" si="121"/>
        <v>1</v>
      </c>
      <c r="M466" s="158">
        <f>INDEX('Monthly Prices'!B454:CB454,$G$5)</f>
        <v>99.75</v>
      </c>
      <c r="N466" s="158" t="b">
        <f>IF(H466,INDEX('Monthly Prices'!B454:CB454,$G$5)*U466,FALSE)</f>
        <v>0</v>
      </c>
      <c r="O466" s="152" t="b">
        <f t="shared" si="118"/>
        <v>1</v>
      </c>
      <c r="P466" s="152">
        <f t="shared" si="122"/>
        <v>1997</v>
      </c>
      <c r="Q466" s="159">
        <f>'Monthly Prices'!B454</f>
        <v>19.329999999999998</v>
      </c>
      <c r="R466" s="159">
        <f t="shared" si="123"/>
        <v>19.171042724868332</v>
      </c>
      <c r="S466" s="155">
        <f>_xlfn.XLOOKUP(P466,'Annual Real'!A:A,'Annual Real'!B:B,0,0)</f>
        <v>22.312112752439901</v>
      </c>
      <c r="T466" s="155">
        <f t="shared" ca="1" si="124"/>
        <v>1.6932695197248042</v>
      </c>
      <c r="U466" s="152">
        <f t="shared" ca="1" si="125"/>
        <v>1.6932695197248042</v>
      </c>
      <c r="V466" s="152" t="b">
        <f t="shared" si="131"/>
        <v>0</v>
      </c>
      <c r="W466" s="152" t="b">
        <f t="shared" si="132"/>
        <v>0</v>
      </c>
      <c r="X466" s="154">
        <f>LOOKUP(D466,'US Implicit Deflator'!A:A,'US Implicit Deflator'!B:B)/100</f>
        <v>1.9E-2</v>
      </c>
      <c r="Y466" s="154">
        <f t="shared" si="126"/>
        <v>1.5697102274137009E-3</v>
      </c>
      <c r="Z466" s="165">
        <f t="shared" ca="1" si="127"/>
        <v>4.0329038253873648</v>
      </c>
      <c r="AA466" s="152">
        <f t="shared" si="128"/>
        <v>7</v>
      </c>
      <c r="AB466" s="153">
        <f t="shared" si="129"/>
        <v>35490</v>
      </c>
      <c r="AC466" s="155">
        <f t="shared" ca="1" si="130"/>
        <v>1.6932695197248042</v>
      </c>
    </row>
    <row r="467" spans="3:29">
      <c r="C467" s="152" t="str">
        <f>'Monthly Prices'!A455</f>
        <v>1997M04</v>
      </c>
      <c r="D467" s="153">
        <f t="shared" si="119"/>
        <v>35521</v>
      </c>
      <c r="E467" s="152">
        <f t="shared" si="120"/>
        <v>448</v>
      </c>
      <c r="F467" s="152" t="b">
        <f t="shared" si="114"/>
        <v>0</v>
      </c>
      <c r="G467" s="152" t="b">
        <f t="shared" si="115"/>
        <v>1</v>
      </c>
      <c r="H467" s="152" t="b">
        <f t="shared" si="116"/>
        <v>0</v>
      </c>
      <c r="I467" s="153" t="e">
        <f t="shared" si="117"/>
        <v>#N/A</v>
      </c>
      <c r="J467" s="158">
        <f>INDEX('Monthly Prices'!B455:CB455,$G$4)</f>
        <v>124.4</v>
      </c>
      <c r="K467" s="158" t="b">
        <f>IF(H467,INDEX('Monthly Prices'!B455:CB455,$G$4)*U467,FALSE)</f>
        <v>0</v>
      </c>
      <c r="L467" s="152" t="b">
        <f t="shared" si="121"/>
        <v>1</v>
      </c>
      <c r="M467" s="158">
        <f>INDEX('Monthly Prices'!B455:CB455,$G$5)</f>
        <v>97.87</v>
      </c>
      <c r="N467" s="158" t="b">
        <f>IF(H467,INDEX('Monthly Prices'!B455:CB455,$G$5)*U467,FALSE)</f>
        <v>0</v>
      </c>
      <c r="O467" s="152" t="b">
        <f t="shared" si="118"/>
        <v>1</v>
      </c>
      <c r="P467" s="152">
        <f t="shared" si="122"/>
        <v>1997</v>
      </c>
      <c r="Q467" s="159">
        <f>'Monthly Prices'!B455</f>
        <v>17.88</v>
      </c>
      <c r="R467" s="159">
        <f t="shared" si="123"/>
        <v>19.171042724868332</v>
      </c>
      <c r="S467" s="155">
        <f>_xlfn.XLOOKUP(P467,'Annual Real'!A:A,'Annual Real'!B:B,0,0)</f>
        <v>22.312112752439901</v>
      </c>
      <c r="T467" s="155">
        <f t="shared" ca="1" si="124"/>
        <v>1.6907540741939382</v>
      </c>
      <c r="U467" s="152">
        <f t="shared" ca="1" si="125"/>
        <v>1.6907540741939382</v>
      </c>
      <c r="V467" s="152" t="b">
        <f t="shared" si="131"/>
        <v>0</v>
      </c>
      <c r="W467" s="152" t="b">
        <f t="shared" si="132"/>
        <v>0</v>
      </c>
      <c r="X467" s="154">
        <f>LOOKUP(D467,'US Implicit Deflator'!A:A,'US Implicit Deflator'!B:B)/100</f>
        <v>1.8000000000000002E-2</v>
      </c>
      <c r="Y467" s="154">
        <f t="shared" si="126"/>
        <v>1.4877654706024757E-3</v>
      </c>
      <c r="Z467" s="165">
        <f t="shared" ca="1" si="127"/>
        <v>4.0389038404450366</v>
      </c>
      <c r="AA467" s="152">
        <f t="shared" si="128"/>
        <v>7</v>
      </c>
      <c r="AB467" s="153">
        <f t="shared" si="129"/>
        <v>35521</v>
      </c>
      <c r="AC467" s="155">
        <f t="shared" ca="1" si="130"/>
        <v>1.6907540741939382</v>
      </c>
    </row>
    <row r="468" spans="3:29">
      <c r="C468" s="152" t="str">
        <f>'Monthly Prices'!A456</f>
        <v>1997M05</v>
      </c>
      <c r="D468" s="153">
        <f t="shared" si="119"/>
        <v>35551</v>
      </c>
      <c r="E468" s="152">
        <f t="shared" si="120"/>
        <v>449</v>
      </c>
      <c r="F468" s="152" t="b">
        <f t="shared" ref="F468:F531" si="133">AND(E468&gt;=$M$4,L468)</f>
        <v>0</v>
      </c>
      <c r="G468" s="152" t="b">
        <f t="shared" ref="G468:G531" si="134">AND(E468&lt;=$M$5,O468)</f>
        <v>1</v>
      </c>
      <c r="H468" s="152" t="b">
        <f t="shared" ref="H468:H531" si="135">AND(F468:G468)</f>
        <v>0</v>
      </c>
      <c r="I468" s="153" t="e">
        <f t="shared" ref="I468:I531" si="136">IF(H468,D468,NA)</f>
        <v>#N/A</v>
      </c>
      <c r="J468" s="158">
        <f>INDEX('Monthly Prices'!B456:CB456,$G$4)</f>
        <v>118.77</v>
      </c>
      <c r="K468" s="158" t="b">
        <f>IF(H468,INDEX('Monthly Prices'!B456:CB456,$G$4)*U468,FALSE)</f>
        <v>0</v>
      </c>
      <c r="L468" s="152" t="b">
        <f t="shared" si="121"/>
        <v>1</v>
      </c>
      <c r="M468" s="158">
        <f>INDEX('Monthly Prices'!B456:CB456,$G$5)</f>
        <v>100.07</v>
      </c>
      <c r="N468" s="158" t="b">
        <f>IF(H468,INDEX('Monthly Prices'!B456:CB456,$G$5)*U468,FALSE)</f>
        <v>0</v>
      </c>
      <c r="O468" s="152" t="b">
        <f t="shared" ref="O468:O531" si="137">AND(ISNUMBER(M468),M468&gt;0)</f>
        <v>1</v>
      </c>
      <c r="P468" s="152">
        <f t="shared" si="122"/>
        <v>1997</v>
      </c>
      <c r="Q468" s="159">
        <f>'Monthly Prices'!B456</f>
        <v>19.367433333329998</v>
      </c>
      <c r="R468" s="159">
        <f t="shared" si="123"/>
        <v>19.171042724868332</v>
      </c>
      <c r="S468" s="155">
        <f>_xlfn.XLOOKUP(P468,'Annual Real'!A:A,'Annual Real'!B:B,0,0)</f>
        <v>22.312112752439901</v>
      </c>
      <c r="T468" s="155">
        <f t="shared" ca="1" si="124"/>
        <v>1.6882423654965444</v>
      </c>
      <c r="U468" s="152">
        <f t="shared" ca="1" si="125"/>
        <v>1.6882423654965444</v>
      </c>
      <c r="V468" s="152" t="b">
        <f t="shared" si="131"/>
        <v>0</v>
      </c>
      <c r="W468" s="152" t="b">
        <f t="shared" si="132"/>
        <v>0</v>
      </c>
      <c r="X468" s="154">
        <f>LOOKUP(D468,'US Implicit Deflator'!A:A,'US Implicit Deflator'!B:B)/100</f>
        <v>1.8000000000000002E-2</v>
      </c>
      <c r="Y468" s="154">
        <f t="shared" si="126"/>
        <v>1.4877654706024757E-3</v>
      </c>
      <c r="Z468" s="165">
        <f t="shared" ca="1" si="127"/>
        <v>4.044912782117934</v>
      </c>
      <c r="AA468" s="152">
        <f t="shared" si="128"/>
        <v>7</v>
      </c>
      <c r="AB468" s="153">
        <f t="shared" si="129"/>
        <v>35551</v>
      </c>
      <c r="AC468" s="155">
        <f t="shared" ca="1" si="130"/>
        <v>1.6882423654965444</v>
      </c>
    </row>
    <row r="469" spans="3:29">
      <c r="C469" s="152" t="str">
        <f>'Monthly Prices'!A457</f>
        <v>1997M06</v>
      </c>
      <c r="D469" s="153">
        <f t="shared" ref="D469:D532" si="138">EDATE(D468,1)</f>
        <v>35582</v>
      </c>
      <c r="E469" s="152">
        <f t="shared" ref="E469:E532" si="139">E468+1</f>
        <v>450</v>
      </c>
      <c r="F469" s="152" t="b">
        <f t="shared" si="133"/>
        <v>0</v>
      </c>
      <c r="G469" s="152" t="b">
        <f t="shared" si="134"/>
        <v>1</v>
      </c>
      <c r="H469" s="152" t="b">
        <f t="shared" si="135"/>
        <v>0</v>
      </c>
      <c r="I469" s="153" t="e">
        <f t="shared" si="136"/>
        <v>#N/A</v>
      </c>
      <c r="J469" s="158">
        <f>INDEX('Monthly Prices'!B457:CB457,$G$4)</f>
        <v>112.05</v>
      </c>
      <c r="K469" s="158" t="b">
        <f>IF(H469,INDEX('Monthly Prices'!B457:CB457,$G$4)*U469,FALSE)</f>
        <v>0</v>
      </c>
      <c r="L469" s="152" t="b">
        <f t="shared" ref="L469:L532" si="140">ISNUMBER(J469)</f>
        <v>1</v>
      </c>
      <c r="M469" s="158">
        <f>INDEX('Monthly Prices'!B457:CB457,$G$5)</f>
        <v>94.94</v>
      </c>
      <c r="N469" s="158" t="b">
        <f>IF(H469,INDEX('Monthly Prices'!B457:CB457,$G$5)*U469,FALSE)</f>
        <v>0</v>
      </c>
      <c r="O469" s="152" t="b">
        <f t="shared" si="137"/>
        <v>1</v>
      </c>
      <c r="P469" s="152">
        <f t="shared" ref="P469:P532" si="141">YEAR(D469)</f>
        <v>1997</v>
      </c>
      <c r="Q469" s="159">
        <f>'Monthly Prices'!B457</f>
        <v>17.920000000000002</v>
      </c>
      <c r="R469" s="159">
        <f t="shared" ref="R469:R532" si="142">AVERAGEIF(P:P,P469,Q:Q)</f>
        <v>19.171042724868332</v>
      </c>
      <c r="S469" s="155">
        <f>_xlfn.XLOOKUP(P469,'Annual Real'!A:A,'Annual Real'!B:B,0,0)</f>
        <v>22.312112752439901</v>
      </c>
      <c r="T469" s="155">
        <f t="shared" ref="T469:T532" ca="1" si="143">AC469</f>
        <v>1.6857343880813496</v>
      </c>
      <c r="U469" s="152">
        <f t="shared" ref="U469:U532" ca="1" si="144">IF($U$19,T469,1)</f>
        <v>1.6857343880813496</v>
      </c>
      <c r="V469" s="152" t="b">
        <f t="shared" si="131"/>
        <v>0</v>
      </c>
      <c r="W469" s="152" t="b">
        <f t="shared" si="132"/>
        <v>0</v>
      </c>
      <c r="X469" s="154">
        <f>LOOKUP(D469,'US Implicit Deflator'!A:A,'US Implicit Deflator'!B:B)/100</f>
        <v>1.8000000000000002E-2</v>
      </c>
      <c r="Y469" s="154">
        <f t="shared" ref="Y469:Y532" si="145">(1+X469)^(1/12)-1</f>
        <v>1.4877654706024757E-3</v>
      </c>
      <c r="Z469" s="165">
        <f t="shared" ref="Z469:Z532" ca="1" si="146">Z468*(1+Y469)</f>
        <v>4.0509306636867679</v>
      </c>
      <c r="AA469" s="152">
        <f t="shared" ref="AA469:AA532" si="147">LEN(C469)</f>
        <v>7</v>
      </c>
      <c r="AB469" s="153">
        <f t="shared" ref="AB469:AB532" si="148">IF(AA469&gt;2,D469,0)</f>
        <v>35582</v>
      </c>
      <c r="AC469" s="155">
        <f t="shared" ref="AC469:AC532" ca="1" si="149">$AC$17/Z469</f>
        <v>1.6857343880813496</v>
      </c>
    </row>
    <row r="470" spans="3:29">
      <c r="C470" s="152" t="str">
        <f>'Monthly Prices'!A458</f>
        <v>1997M07</v>
      </c>
      <c r="D470" s="153">
        <f t="shared" si="138"/>
        <v>35612</v>
      </c>
      <c r="E470" s="152">
        <f t="shared" si="139"/>
        <v>451</v>
      </c>
      <c r="F470" s="152" t="b">
        <f t="shared" si="133"/>
        <v>0</v>
      </c>
      <c r="G470" s="152" t="b">
        <f t="shared" si="134"/>
        <v>1</v>
      </c>
      <c r="H470" s="152" t="b">
        <f t="shared" si="135"/>
        <v>0</v>
      </c>
      <c r="I470" s="153" t="e">
        <f t="shared" si="136"/>
        <v>#N/A</v>
      </c>
      <c r="J470" s="158">
        <f>INDEX('Monthly Prices'!B458:CB458,$G$4)</f>
        <v>106.06</v>
      </c>
      <c r="K470" s="158" t="b">
        <f>IF(H470,INDEX('Monthly Prices'!B458:CB458,$G$4)*U470,FALSE)</f>
        <v>0</v>
      </c>
      <c r="L470" s="152" t="b">
        <f t="shared" si="140"/>
        <v>1</v>
      </c>
      <c r="M470" s="158">
        <f>INDEX('Monthly Prices'!B458:CB458,$G$5)</f>
        <v>91.66</v>
      </c>
      <c r="N470" s="158" t="b">
        <f>IF(H470,INDEX('Monthly Prices'!B458:CB458,$G$5)*U470,FALSE)</f>
        <v>0</v>
      </c>
      <c r="O470" s="152" t="b">
        <f t="shared" si="137"/>
        <v>1</v>
      </c>
      <c r="P470" s="152">
        <f t="shared" si="141"/>
        <v>1997</v>
      </c>
      <c r="Q470" s="159">
        <f>'Monthly Prices'!B458</f>
        <v>18.329999999999998</v>
      </c>
      <c r="R470" s="159">
        <f t="shared" si="142"/>
        <v>19.171042724868332</v>
      </c>
      <c r="S470" s="155">
        <f>_xlfn.XLOOKUP(P470,'Annual Real'!A:A,'Annual Real'!B:B,0,0)</f>
        <v>22.312112752439901</v>
      </c>
      <c r="T470" s="155">
        <f t="shared" ca="1" si="143"/>
        <v>1.6832301364053284</v>
      </c>
      <c r="U470" s="152">
        <f t="shared" ca="1" si="144"/>
        <v>1.6832301364053284</v>
      </c>
      <c r="V470" s="152" t="b">
        <f t="shared" ref="V470:V533" si="150">IF(AND(H469,H470),LN(K470/K469))</f>
        <v>0</v>
      </c>
      <c r="W470" s="152" t="b">
        <f t="shared" ref="W470:W533" si="151">IF(AND($H469,$H470),LN(N470/N469))</f>
        <v>0</v>
      </c>
      <c r="X470" s="154">
        <f>LOOKUP(D470,'US Implicit Deflator'!A:A,'US Implicit Deflator'!B:B)/100</f>
        <v>1.8000000000000002E-2</v>
      </c>
      <c r="Y470" s="154">
        <f t="shared" si="145"/>
        <v>1.4877654706024757E-3</v>
      </c>
      <c r="Z470" s="165">
        <f t="shared" ca="1" si="146"/>
        <v>4.0569574984520056</v>
      </c>
      <c r="AA470" s="152">
        <f t="shared" si="147"/>
        <v>7</v>
      </c>
      <c r="AB470" s="153">
        <f t="shared" si="148"/>
        <v>35612</v>
      </c>
      <c r="AC470" s="155">
        <f t="shared" ca="1" si="149"/>
        <v>1.6832301364053284</v>
      </c>
    </row>
    <row r="471" spans="3:29">
      <c r="C471" s="152" t="str">
        <f>'Monthly Prices'!A459</f>
        <v>1997M08</v>
      </c>
      <c r="D471" s="153">
        <f t="shared" si="138"/>
        <v>35643</v>
      </c>
      <c r="E471" s="152">
        <f t="shared" si="139"/>
        <v>452</v>
      </c>
      <c r="F471" s="152" t="b">
        <f t="shared" si="133"/>
        <v>0</v>
      </c>
      <c r="G471" s="152" t="b">
        <f t="shared" si="134"/>
        <v>1</v>
      </c>
      <c r="H471" s="152" t="b">
        <f t="shared" si="135"/>
        <v>0</v>
      </c>
      <c r="I471" s="153" t="e">
        <f t="shared" si="136"/>
        <v>#N/A</v>
      </c>
      <c r="J471" s="158">
        <f>INDEX('Monthly Prices'!B459:CB459,$G$4)</f>
        <v>112.92</v>
      </c>
      <c r="K471" s="158" t="b">
        <f>IF(H471,INDEX('Monthly Prices'!B459:CB459,$G$4)*U471,FALSE)</f>
        <v>0</v>
      </c>
      <c r="L471" s="152" t="b">
        <f t="shared" si="140"/>
        <v>1</v>
      </c>
      <c r="M471" s="158">
        <f>INDEX('Monthly Prices'!B459:CB459,$G$5)</f>
        <v>91.3</v>
      </c>
      <c r="N471" s="158" t="b">
        <f>IF(H471,INDEX('Monthly Prices'!B459:CB459,$G$5)*U471,FALSE)</f>
        <v>0</v>
      </c>
      <c r="O471" s="152" t="b">
        <f t="shared" si="137"/>
        <v>1</v>
      </c>
      <c r="P471" s="152">
        <f t="shared" si="141"/>
        <v>1997</v>
      </c>
      <c r="Q471" s="159">
        <f>'Monthly Prices'!B459</f>
        <v>18.7</v>
      </c>
      <c r="R471" s="159">
        <f t="shared" si="142"/>
        <v>19.171042724868332</v>
      </c>
      <c r="S471" s="155">
        <f>_xlfn.XLOOKUP(P471,'Annual Real'!A:A,'Annual Real'!B:B,0,0)</f>
        <v>22.312112752439901</v>
      </c>
      <c r="T471" s="155">
        <f t="shared" ca="1" si="143"/>
        <v>1.6807296049336888</v>
      </c>
      <c r="U471" s="152">
        <f t="shared" ca="1" si="144"/>
        <v>1.6807296049336888</v>
      </c>
      <c r="V471" s="152" t="b">
        <f t="shared" si="150"/>
        <v>0</v>
      </c>
      <c r="W471" s="152" t="b">
        <f t="shared" si="151"/>
        <v>0</v>
      </c>
      <c r="X471" s="154">
        <f>LOOKUP(D471,'US Implicit Deflator'!A:A,'US Implicit Deflator'!B:B)/100</f>
        <v>1.8000000000000002E-2</v>
      </c>
      <c r="Y471" s="154">
        <f t="shared" si="145"/>
        <v>1.4877654706024757E-3</v>
      </c>
      <c r="Z471" s="165">
        <f t="shared" ca="1" si="146"/>
        <v>4.062993299733904</v>
      </c>
      <c r="AA471" s="152">
        <f t="shared" si="147"/>
        <v>7</v>
      </c>
      <c r="AB471" s="153">
        <f t="shared" si="148"/>
        <v>35643</v>
      </c>
      <c r="AC471" s="155">
        <f t="shared" ca="1" si="149"/>
        <v>1.6807296049336888</v>
      </c>
    </row>
    <row r="472" spans="3:29">
      <c r="C472" s="152" t="str">
        <f>'Monthly Prices'!A460</f>
        <v>1997M09</v>
      </c>
      <c r="D472" s="153">
        <f t="shared" si="138"/>
        <v>35674</v>
      </c>
      <c r="E472" s="152">
        <f t="shared" si="139"/>
        <v>453</v>
      </c>
      <c r="F472" s="152" t="b">
        <f t="shared" si="133"/>
        <v>0</v>
      </c>
      <c r="G472" s="152" t="b">
        <f t="shared" si="134"/>
        <v>1</v>
      </c>
      <c r="H472" s="152" t="b">
        <f t="shared" si="135"/>
        <v>0</v>
      </c>
      <c r="I472" s="153" t="e">
        <f t="shared" si="136"/>
        <v>#N/A</v>
      </c>
      <c r="J472" s="158">
        <f>INDEX('Monthly Prices'!B460:CB460,$G$4)</f>
        <v>112.24</v>
      </c>
      <c r="K472" s="158" t="b">
        <f>IF(H472,INDEX('Monthly Prices'!B460:CB460,$G$4)*U472,FALSE)</f>
        <v>0</v>
      </c>
      <c r="L472" s="152" t="b">
        <f t="shared" si="140"/>
        <v>1</v>
      </c>
      <c r="M472" s="158">
        <f>INDEX('Monthly Prices'!B460:CB460,$G$5)</f>
        <v>92.51</v>
      </c>
      <c r="N472" s="158" t="b">
        <f>IF(H472,INDEX('Monthly Prices'!B460:CB460,$G$5)*U472,FALSE)</f>
        <v>0</v>
      </c>
      <c r="O472" s="152" t="b">
        <f t="shared" si="137"/>
        <v>1</v>
      </c>
      <c r="P472" s="152">
        <f t="shared" si="141"/>
        <v>1997</v>
      </c>
      <c r="Q472" s="159">
        <f>'Monthly Prices'!B460</f>
        <v>18.661746031749999</v>
      </c>
      <c r="R472" s="159">
        <f t="shared" si="142"/>
        <v>19.171042724868332</v>
      </c>
      <c r="S472" s="155">
        <f>_xlfn.XLOOKUP(P472,'Annual Real'!A:A,'Annual Real'!B:B,0,0)</f>
        <v>22.312112752439901</v>
      </c>
      <c r="T472" s="155">
        <f t="shared" ca="1" si="143"/>
        <v>1.6782327881398615</v>
      </c>
      <c r="U472" s="152">
        <f t="shared" ca="1" si="144"/>
        <v>1.6782327881398615</v>
      </c>
      <c r="V472" s="152" t="b">
        <f t="shared" si="150"/>
        <v>0</v>
      </c>
      <c r="W472" s="152" t="b">
        <f t="shared" si="151"/>
        <v>0</v>
      </c>
      <c r="X472" s="154">
        <f>LOOKUP(D472,'US Implicit Deflator'!A:A,'US Implicit Deflator'!B:B)/100</f>
        <v>1.8000000000000002E-2</v>
      </c>
      <c r="Y472" s="154">
        <f t="shared" si="145"/>
        <v>1.4877654706024757E-3</v>
      </c>
      <c r="Z472" s="165">
        <f t="shared" ca="1" si="146"/>
        <v>4.069038080872537</v>
      </c>
      <c r="AA472" s="152">
        <f t="shared" si="147"/>
        <v>7</v>
      </c>
      <c r="AB472" s="153">
        <f t="shared" si="148"/>
        <v>35674</v>
      </c>
      <c r="AC472" s="155">
        <f t="shared" ca="1" si="149"/>
        <v>1.6782327881398615</v>
      </c>
    </row>
    <row r="473" spans="3:29">
      <c r="C473" s="152" t="str">
        <f>'Monthly Prices'!A461</f>
        <v>1997M10</v>
      </c>
      <c r="D473" s="153">
        <f t="shared" si="138"/>
        <v>35704</v>
      </c>
      <c r="E473" s="152">
        <f t="shared" si="139"/>
        <v>454</v>
      </c>
      <c r="F473" s="152" t="b">
        <f t="shared" si="133"/>
        <v>0</v>
      </c>
      <c r="G473" s="152" t="b">
        <f t="shared" si="134"/>
        <v>1</v>
      </c>
      <c r="H473" s="152" t="b">
        <f t="shared" si="135"/>
        <v>0</v>
      </c>
      <c r="I473" s="153" t="e">
        <f t="shared" si="136"/>
        <v>#N/A</v>
      </c>
      <c r="J473" s="158">
        <f>INDEX('Monthly Prices'!B461:CB461,$G$4)</f>
        <v>120.36</v>
      </c>
      <c r="K473" s="158" t="b">
        <f>IF(H473,INDEX('Monthly Prices'!B461:CB461,$G$4)*U473,FALSE)</f>
        <v>0</v>
      </c>
      <c r="L473" s="152" t="b">
        <f t="shared" si="140"/>
        <v>1</v>
      </c>
      <c r="M473" s="158">
        <f>INDEX('Monthly Prices'!B461:CB461,$G$5)</f>
        <v>102.71</v>
      </c>
      <c r="N473" s="158" t="b">
        <f>IF(H473,INDEX('Monthly Prices'!B461:CB461,$G$5)*U473,FALSE)</f>
        <v>0</v>
      </c>
      <c r="O473" s="152" t="b">
        <f t="shared" si="137"/>
        <v>1</v>
      </c>
      <c r="P473" s="152">
        <f t="shared" si="141"/>
        <v>1997</v>
      </c>
      <c r="Q473" s="159">
        <f>'Monthly Prices'!B461</f>
        <v>20.04</v>
      </c>
      <c r="R473" s="159">
        <f t="shared" si="142"/>
        <v>19.171042724868332</v>
      </c>
      <c r="S473" s="155">
        <f>_xlfn.XLOOKUP(P473,'Annual Real'!A:A,'Annual Real'!B:B,0,0)</f>
        <v>22.312112752439901</v>
      </c>
      <c r="T473" s="155">
        <f t="shared" ca="1" si="143"/>
        <v>1.6761518661870867</v>
      </c>
      <c r="U473" s="152">
        <f t="shared" ca="1" si="144"/>
        <v>1.6761518661870867</v>
      </c>
      <c r="V473" s="152" t="b">
        <f t="shared" si="150"/>
        <v>0</v>
      </c>
      <c r="W473" s="152" t="b">
        <f t="shared" si="151"/>
        <v>0</v>
      </c>
      <c r="X473" s="154">
        <f>LOOKUP(D473,'US Implicit Deflator'!A:A,'US Implicit Deflator'!B:B)/100</f>
        <v>1.4999999999999999E-2</v>
      </c>
      <c r="Y473" s="154">
        <f t="shared" si="145"/>
        <v>1.2414877164492744E-3</v>
      </c>
      <c r="Z473" s="165">
        <f t="shared" ca="1" si="146"/>
        <v>4.0740897416677049</v>
      </c>
      <c r="AA473" s="152">
        <f t="shared" si="147"/>
        <v>7</v>
      </c>
      <c r="AB473" s="153">
        <f t="shared" si="148"/>
        <v>35704</v>
      </c>
      <c r="AC473" s="155">
        <f t="shared" ca="1" si="149"/>
        <v>1.6761518661870867</v>
      </c>
    </row>
    <row r="474" spans="3:29">
      <c r="C474" s="152" t="str">
        <f>'Monthly Prices'!A462</f>
        <v>1997M11</v>
      </c>
      <c r="D474" s="153">
        <f t="shared" si="138"/>
        <v>35735</v>
      </c>
      <c r="E474" s="152">
        <f t="shared" si="139"/>
        <v>455</v>
      </c>
      <c r="F474" s="152" t="b">
        <f t="shared" si="133"/>
        <v>0</v>
      </c>
      <c r="G474" s="152" t="b">
        <f t="shared" si="134"/>
        <v>1</v>
      </c>
      <c r="H474" s="152" t="b">
        <f t="shared" si="135"/>
        <v>0</v>
      </c>
      <c r="I474" s="153" t="e">
        <f t="shared" si="136"/>
        <v>#N/A</v>
      </c>
      <c r="J474" s="158">
        <f>INDEX('Monthly Prices'!B462:CB462,$G$4)</f>
        <v>117.22</v>
      </c>
      <c r="K474" s="158" t="b">
        <f>IF(H474,INDEX('Monthly Prices'!B462:CB462,$G$4)*U474,FALSE)</f>
        <v>0</v>
      </c>
      <c r="L474" s="152" t="b">
        <f t="shared" si="140"/>
        <v>1</v>
      </c>
      <c r="M474" s="158">
        <f>INDEX('Monthly Prices'!B462:CB462,$G$5)</f>
        <v>102.27</v>
      </c>
      <c r="N474" s="158" t="b">
        <f>IF(H474,INDEX('Monthly Prices'!B462:CB462,$G$5)*U474,FALSE)</f>
        <v>0</v>
      </c>
      <c r="O474" s="152" t="b">
        <f t="shared" si="137"/>
        <v>1</v>
      </c>
      <c r="P474" s="152">
        <f t="shared" si="141"/>
        <v>1997</v>
      </c>
      <c r="Q474" s="159">
        <f>'Monthly Prices'!B462</f>
        <v>19.086666666669998</v>
      </c>
      <c r="R474" s="159">
        <f t="shared" si="142"/>
        <v>19.171042724868332</v>
      </c>
      <c r="S474" s="155">
        <f>_xlfn.XLOOKUP(P474,'Annual Real'!A:A,'Annual Real'!B:B,0,0)</f>
        <v>22.312112752439901</v>
      </c>
      <c r="T474" s="155">
        <f t="shared" ca="1" si="143"/>
        <v>1.674073524470024</v>
      </c>
      <c r="U474" s="152">
        <f t="shared" ca="1" si="144"/>
        <v>1.674073524470024</v>
      </c>
      <c r="V474" s="152" t="b">
        <f t="shared" si="150"/>
        <v>0</v>
      </c>
      <c r="W474" s="152" t="b">
        <f t="shared" si="151"/>
        <v>0</v>
      </c>
      <c r="X474" s="154">
        <f>LOOKUP(D474,'US Implicit Deflator'!A:A,'US Implicit Deflator'!B:B)/100</f>
        <v>1.4999999999999999E-2</v>
      </c>
      <c r="Y474" s="154">
        <f t="shared" si="145"/>
        <v>1.2414877164492744E-3</v>
      </c>
      <c r="Z474" s="165">
        <f t="shared" ca="1" si="146"/>
        <v>4.0791476740376975</v>
      </c>
      <c r="AA474" s="152">
        <f t="shared" si="147"/>
        <v>7</v>
      </c>
      <c r="AB474" s="153">
        <f t="shared" si="148"/>
        <v>35735</v>
      </c>
      <c r="AC474" s="155">
        <f t="shared" ca="1" si="149"/>
        <v>1.674073524470024</v>
      </c>
    </row>
    <row r="475" spans="3:29">
      <c r="C475" s="152" t="str">
        <f>'Monthly Prices'!A463</f>
        <v>1997M12</v>
      </c>
      <c r="D475" s="153">
        <f t="shared" si="138"/>
        <v>35765</v>
      </c>
      <c r="E475" s="152">
        <f t="shared" si="139"/>
        <v>456</v>
      </c>
      <c r="F475" s="152" t="b">
        <f t="shared" si="133"/>
        <v>0</v>
      </c>
      <c r="G475" s="152" t="b">
        <f t="shared" si="134"/>
        <v>1</v>
      </c>
      <c r="H475" s="152" t="b">
        <f t="shared" si="135"/>
        <v>0</v>
      </c>
      <c r="I475" s="153" t="e">
        <f t="shared" si="136"/>
        <v>#N/A</v>
      </c>
      <c r="J475" s="158">
        <f>INDEX('Monthly Prices'!B463:CB463,$G$4)</f>
        <v>113.45</v>
      </c>
      <c r="K475" s="158" t="b">
        <f>IF(H475,INDEX('Monthly Prices'!B463:CB463,$G$4)*U475,FALSE)</f>
        <v>0</v>
      </c>
      <c r="L475" s="152" t="b">
        <f t="shared" si="140"/>
        <v>1</v>
      </c>
      <c r="M475" s="158">
        <f>INDEX('Monthly Prices'!B463:CB463,$G$5)</f>
        <v>97.08</v>
      </c>
      <c r="N475" s="158" t="b">
        <f>IF(H475,INDEX('Monthly Prices'!B463:CB463,$G$5)*U475,FALSE)</f>
        <v>0</v>
      </c>
      <c r="O475" s="152" t="b">
        <f t="shared" si="137"/>
        <v>1</v>
      </c>
      <c r="P475" s="152">
        <f t="shared" si="141"/>
        <v>1997</v>
      </c>
      <c r="Q475" s="159">
        <f>'Monthly Prices'!B463</f>
        <v>17.09</v>
      </c>
      <c r="R475" s="159">
        <f t="shared" si="142"/>
        <v>19.171042724868332</v>
      </c>
      <c r="S475" s="155">
        <f>_xlfn.XLOOKUP(P475,'Annual Real'!A:A,'Annual Real'!B:B,0,0)</f>
        <v>22.312112752439901</v>
      </c>
      <c r="T475" s="155">
        <f t="shared" ca="1" si="143"/>
        <v>1.671997759789315</v>
      </c>
      <c r="U475" s="152">
        <f t="shared" ca="1" si="144"/>
        <v>1.671997759789315</v>
      </c>
      <c r="V475" s="152" t="b">
        <f t="shared" si="150"/>
        <v>0</v>
      </c>
      <c r="W475" s="152" t="b">
        <f t="shared" si="151"/>
        <v>0</v>
      </c>
      <c r="X475" s="154">
        <f>LOOKUP(D475,'US Implicit Deflator'!A:A,'US Implicit Deflator'!B:B)/100</f>
        <v>1.4999999999999999E-2</v>
      </c>
      <c r="Y475" s="154">
        <f t="shared" si="145"/>
        <v>1.2414877164492744E-3</v>
      </c>
      <c r="Z475" s="165">
        <f t="shared" ca="1" si="146"/>
        <v>4.0842118857685978</v>
      </c>
      <c r="AA475" s="152">
        <f t="shared" si="147"/>
        <v>7</v>
      </c>
      <c r="AB475" s="153">
        <f t="shared" si="148"/>
        <v>35765</v>
      </c>
      <c r="AC475" s="155">
        <f t="shared" ca="1" si="149"/>
        <v>1.671997759789315</v>
      </c>
    </row>
    <row r="476" spans="3:29">
      <c r="C476" s="152" t="str">
        <f>'Monthly Prices'!A464</f>
        <v>1998M01</v>
      </c>
      <c r="D476" s="153">
        <f t="shared" si="138"/>
        <v>35796</v>
      </c>
      <c r="E476" s="152">
        <f t="shared" si="139"/>
        <v>457</v>
      </c>
      <c r="F476" s="152" t="b">
        <f t="shared" si="133"/>
        <v>0</v>
      </c>
      <c r="G476" s="152" t="b">
        <f t="shared" si="134"/>
        <v>1</v>
      </c>
      <c r="H476" s="152" t="b">
        <f t="shared" si="135"/>
        <v>0</v>
      </c>
      <c r="I476" s="153" t="e">
        <f t="shared" si="136"/>
        <v>#N/A</v>
      </c>
      <c r="J476" s="158">
        <f>INDEX('Monthly Prices'!B464:CB464,$G$4)</f>
        <v>114.71</v>
      </c>
      <c r="K476" s="158" t="b">
        <f>IF(H476,INDEX('Monthly Prices'!B464:CB464,$G$4)*U476,FALSE)</f>
        <v>0</v>
      </c>
      <c r="L476" s="152" t="b">
        <f t="shared" si="140"/>
        <v>1</v>
      </c>
      <c r="M476" s="158">
        <f>INDEX('Monthly Prices'!B464:CB464,$G$5)</f>
        <v>95.77</v>
      </c>
      <c r="N476" s="158" t="b">
        <f>IF(H476,INDEX('Monthly Prices'!B464:CB464,$G$5)*U476,FALSE)</f>
        <v>0</v>
      </c>
      <c r="O476" s="152" t="b">
        <f t="shared" si="137"/>
        <v>1</v>
      </c>
      <c r="P476" s="152">
        <f t="shared" si="141"/>
        <v>1998</v>
      </c>
      <c r="Q476" s="159">
        <f>'Monthly Prices'!B464</f>
        <v>15</v>
      </c>
      <c r="R476" s="159">
        <f t="shared" si="142"/>
        <v>13.064441666666667</v>
      </c>
      <c r="S476" s="155">
        <f>_xlfn.XLOOKUP(P476,'Annual Real'!A:A,'Annual Real'!B:B,0,0)</f>
        <v>15.899104081414</v>
      </c>
      <c r="T476" s="155">
        <f t="shared" ca="1" si="143"/>
        <v>1.6710261080161153</v>
      </c>
      <c r="U476" s="152">
        <f t="shared" ca="1" si="144"/>
        <v>1.6710261080161153</v>
      </c>
      <c r="V476" s="152" t="b">
        <f t="shared" si="150"/>
        <v>0</v>
      </c>
      <c r="W476" s="152" t="b">
        <f t="shared" si="151"/>
        <v>0</v>
      </c>
      <c r="X476" s="154">
        <f>LOOKUP(D476,'US Implicit Deflator'!A:A,'US Implicit Deflator'!B:B)/100</f>
        <v>6.9999999999999993E-3</v>
      </c>
      <c r="Y476" s="154">
        <f t="shared" si="145"/>
        <v>5.8147013295517525E-4</v>
      </c>
      <c r="Z476" s="165">
        <f t="shared" ca="1" si="146"/>
        <v>4.0865867329968326</v>
      </c>
      <c r="AA476" s="152">
        <f t="shared" si="147"/>
        <v>7</v>
      </c>
      <c r="AB476" s="153">
        <f t="shared" si="148"/>
        <v>35796</v>
      </c>
      <c r="AC476" s="155">
        <f t="shared" ca="1" si="149"/>
        <v>1.6710261080161153</v>
      </c>
    </row>
    <row r="477" spans="3:29">
      <c r="C477" s="152" t="str">
        <f>'Monthly Prices'!A465</f>
        <v>1998M02</v>
      </c>
      <c r="D477" s="153">
        <f t="shared" si="138"/>
        <v>35827</v>
      </c>
      <c r="E477" s="152">
        <f t="shared" si="139"/>
        <v>458</v>
      </c>
      <c r="F477" s="152" t="b">
        <f t="shared" si="133"/>
        <v>0</v>
      </c>
      <c r="G477" s="152" t="b">
        <f t="shared" si="134"/>
        <v>1</v>
      </c>
      <c r="H477" s="152" t="b">
        <f t="shared" si="135"/>
        <v>0</v>
      </c>
      <c r="I477" s="153" t="e">
        <f t="shared" si="136"/>
        <v>#N/A</v>
      </c>
      <c r="J477" s="158">
        <f>INDEX('Monthly Prices'!B465:CB465,$G$4)</f>
        <v>113.38</v>
      </c>
      <c r="K477" s="158" t="b">
        <f>IF(H477,INDEX('Monthly Prices'!B465:CB465,$G$4)*U477,FALSE)</f>
        <v>0</v>
      </c>
      <c r="L477" s="152" t="b">
        <f t="shared" si="140"/>
        <v>1</v>
      </c>
      <c r="M477" s="158">
        <f>INDEX('Monthly Prices'!B465:CB465,$G$5)</f>
        <v>91.49</v>
      </c>
      <c r="N477" s="158" t="b">
        <f>IF(H477,INDEX('Monthly Prices'!B465:CB465,$G$5)*U477,FALSE)</f>
        <v>0</v>
      </c>
      <c r="O477" s="152" t="b">
        <f t="shared" si="137"/>
        <v>1</v>
      </c>
      <c r="P477" s="152">
        <f t="shared" si="141"/>
        <v>1998</v>
      </c>
      <c r="Q477" s="159">
        <f>'Monthly Prices'!B465</f>
        <v>14.1</v>
      </c>
      <c r="R477" s="159">
        <f t="shared" si="142"/>
        <v>13.064441666666667</v>
      </c>
      <c r="S477" s="155">
        <f>_xlfn.XLOOKUP(P477,'Annual Real'!A:A,'Annual Real'!B:B,0,0)</f>
        <v>15.899104081414</v>
      </c>
      <c r="T477" s="155">
        <f t="shared" ca="1" si="143"/>
        <v>1.6700550209010696</v>
      </c>
      <c r="U477" s="152">
        <f t="shared" ca="1" si="144"/>
        <v>1.6700550209010696</v>
      </c>
      <c r="V477" s="152" t="b">
        <f t="shared" si="150"/>
        <v>0</v>
      </c>
      <c r="W477" s="152" t="b">
        <f t="shared" si="151"/>
        <v>0</v>
      </c>
      <c r="X477" s="154">
        <f>LOOKUP(D477,'US Implicit Deflator'!A:A,'US Implicit Deflator'!B:B)/100</f>
        <v>6.9999999999999993E-3</v>
      </c>
      <c r="Y477" s="154">
        <f t="shared" si="145"/>
        <v>5.8147013295517525E-4</v>
      </c>
      <c r="Z477" s="165">
        <f t="shared" ca="1" si="146"/>
        <v>4.0889629611278009</v>
      </c>
      <c r="AA477" s="152">
        <f t="shared" si="147"/>
        <v>7</v>
      </c>
      <c r="AB477" s="153">
        <f t="shared" si="148"/>
        <v>35827</v>
      </c>
      <c r="AC477" s="155">
        <f t="shared" ca="1" si="149"/>
        <v>1.6700550209010696</v>
      </c>
    </row>
    <row r="478" spans="3:29">
      <c r="C478" s="152" t="str">
        <f>'Monthly Prices'!A466</f>
        <v>1998M03</v>
      </c>
      <c r="D478" s="153">
        <f t="shared" si="138"/>
        <v>35855</v>
      </c>
      <c r="E478" s="152">
        <f t="shared" si="139"/>
        <v>459</v>
      </c>
      <c r="F478" s="152" t="b">
        <f t="shared" si="133"/>
        <v>0</v>
      </c>
      <c r="G478" s="152" t="b">
        <f t="shared" si="134"/>
        <v>1</v>
      </c>
      <c r="H478" s="152" t="b">
        <f t="shared" si="135"/>
        <v>0</v>
      </c>
      <c r="I478" s="153" t="e">
        <f t="shared" si="136"/>
        <v>#N/A</v>
      </c>
      <c r="J478" s="158">
        <f>INDEX('Monthly Prices'!B466:CB466,$G$4)</f>
        <v>114.21</v>
      </c>
      <c r="K478" s="158" t="b">
        <f>IF(H478,INDEX('Monthly Prices'!B466:CB466,$G$4)*U478,FALSE)</f>
        <v>0</v>
      </c>
      <c r="L478" s="152" t="b">
        <f t="shared" si="140"/>
        <v>1</v>
      </c>
      <c r="M478" s="158">
        <f>INDEX('Monthly Prices'!B466:CB466,$G$5)</f>
        <v>93.04</v>
      </c>
      <c r="N478" s="158" t="b">
        <f>IF(H478,INDEX('Monthly Prices'!B466:CB466,$G$5)*U478,FALSE)</f>
        <v>0</v>
      </c>
      <c r="O478" s="152" t="b">
        <f t="shared" si="137"/>
        <v>1</v>
      </c>
      <c r="P478" s="152">
        <f t="shared" si="141"/>
        <v>1998</v>
      </c>
      <c r="Q478" s="159">
        <f>'Monthly Prices'!B466</f>
        <v>13.123333333330001</v>
      </c>
      <c r="R478" s="159">
        <f t="shared" si="142"/>
        <v>13.064441666666667</v>
      </c>
      <c r="S478" s="155">
        <f>_xlfn.XLOOKUP(P478,'Annual Real'!A:A,'Annual Real'!B:B,0,0)</f>
        <v>15.899104081414</v>
      </c>
      <c r="T478" s="155">
        <f t="shared" ca="1" si="143"/>
        <v>1.6690844981160367</v>
      </c>
      <c r="U478" s="152">
        <f t="shared" ca="1" si="144"/>
        <v>1.6690844981160367</v>
      </c>
      <c r="V478" s="152" t="b">
        <f t="shared" si="150"/>
        <v>0</v>
      </c>
      <c r="W478" s="152" t="b">
        <f t="shared" si="151"/>
        <v>0</v>
      </c>
      <c r="X478" s="154">
        <f>LOOKUP(D478,'US Implicit Deflator'!A:A,'US Implicit Deflator'!B:B)/100</f>
        <v>6.9999999999999993E-3</v>
      </c>
      <c r="Y478" s="154">
        <f t="shared" si="145"/>
        <v>5.8147013295517525E-4</v>
      </c>
      <c r="Z478" s="165">
        <f t="shared" ca="1" si="146"/>
        <v>4.0913405709644568</v>
      </c>
      <c r="AA478" s="152">
        <f t="shared" si="147"/>
        <v>7</v>
      </c>
      <c r="AB478" s="153">
        <f t="shared" si="148"/>
        <v>35855</v>
      </c>
      <c r="AC478" s="155">
        <f t="shared" ca="1" si="149"/>
        <v>1.6690844981160367</v>
      </c>
    </row>
    <row r="479" spans="3:29">
      <c r="C479" s="152" t="str">
        <f>'Monthly Prices'!A467</f>
        <v>1998M04</v>
      </c>
      <c r="D479" s="153">
        <f t="shared" si="138"/>
        <v>35886</v>
      </c>
      <c r="E479" s="152">
        <f t="shared" si="139"/>
        <v>460</v>
      </c>
      <c r="F479" s="152" t="b">
        <f t="shared" si="133"/>
        <v>0</v>
      </c>
      <c r="G479" s="152" t="b">
        <f t="shared" si="134"/>
        <v>1</v>
      </c>
      <c r="H479" s="152" t="b">
        <f t="shared" si="135"/>
        <v>0</v>
      </c>
      <c r="I479" s="153" t="e">
        <f t="shared" si="136"/>
        <v>#N/A</v>
      </c>
      <c r="J479" s="158">
        <f>INDEX('Monthly Prices'!B467:CB467,$G$4)</f>
        <v>107.12</v>
      </c>
      <c r="K479" s="158" t="b">
        <f>IF(H479,INDEX('Monthly Prices'!B467:CB467,$G$4)*U479,FALSE)</f>
        <v>0</v>
      </c>
      <c r="L479" s="152" t="b">
        <f t="shared" si="140"/>
        <v>1</v>
      </c>
      <c r="M479" s="158">
        <f>INDEX('Monthly Prices'!B467:CB467,$G$5)</f>
        <v>91.85</v>
      </c>
      <c r="N479" s="158" t="b">
        <f>IF(H479,INDEX('Monthly Prices'!B467:CB467,$G$5)*U479,FALSE)</f>
        <v>0</v>
      </c>
      <c r="O479" s="152" t="b">
        <f t="shared" si="137"/>
        <v>1</v>
      </c>
      <c r="P479" s="152">
        <f t="shared" si="141"/>
        <v>1998</v>
      </c>
      <c r="Q479" s="159">
        <f>'Monthly Prices'!B467</f>
        <v>13.5</v>
      </c>
      <c r="R479" s="159">
        <f t="shared" si="142"/>
        <v>13.064441666666667</v>
      </c>
      <c r="S479" s="155">
        <f>_xlfn.XLOOKUP(P479,'Annual Real'!A:A,'Annual Real'!B:B,0,0)</f>
        <v>15.899104081414</v>
      </c>
      <c r="T479" s="155">
        <f t="shared" ca="1" si="143"/>
        <v>1.6685293387283988</v>
      </c>
      <c r="U479" s="152">
        <f t="shared" ca="1" si="144"/>
        <v>1.6685293387283988</v>
      </c>
      <c r="V479" s="152" t="b">
        <f t="shared" si="150"/>
        <v>0</v>
      </c>
      <c r="W479" s="152" t="b">
        <f t="shared" si="151"/>
        <v>0</v>
      </c>
      <c r="X479" s="154">
        <f>LOOKUP(D479,'US Implicit Deflator'!A:A,'US Implicit Deflator'!B:B)/100</f>
        <v>4.0000000000000001E-3</v>
      </c>
      <c r="Y479" s="154">
        <f t="shared" si="145"/>
        <v>3.3272377940973819E-4</v>
      </c>
      <c r="Z479" s="165">
        <f t="shared" ca="1" si="146"/>
        <v>4.0927018572620808</v>
      </c>
      <c r="AA479" s="152">
        <f t="shared" si="147"/>
        <v>7</v>
      </c>
      <c r="AB479" s="153">
        <f t="shared" si="148"/>
        <v>35886</v>
      </c>
      <c r="AC479" s="155">
        <f t="shared" ca="1" si="149"/>
        <v>1.6685293387283988</v>
      </c>
    </row>
    <row r="480" spans="3:29">
      <c r="C480" s="152" t="str">
        <f>'Monthly Prices'!A468</f>
        <v>1998M05</v>
      </c>
      <c r="D480" s="153">
        <f t="shared" si="138"/>
        <v>35916</v>
      </c>
      <c r="E480" s="152">
        <f t="shared" si="139"/>
        <v>461</v>
      </c>
      <c r="F480" s="152" t="b">
        <f t="shared" si="133"/>
        <v>0</v>
      </c>
      <c r="G480" s="152" t="b">
        <f t="shared" si="134"/>
        <v>1</v>
      </c>
      <c r="H480" s="152" t="b">
        <f t="shared" si="135"/>
        <v>0</v>
      </c>
      <c r="I480" s="153" t="e">
        <f t="shared" si="136"/>
        <v>#N/A</v>
      </c>
      <c r="J480" s="158">
        <f>INDEX('Monthly Prices'!B468:CB468,$G$4)</f>
        <v>106.1</v>
      </c>
      <c r="K480" s="158" t="b">
        <f>IF(H480,INDEX('Monthly Prices'!B468:CB468,$G$4)*U480,FALSE)</f>
        <v>0</v>
      </c>
      <c r="L480" s="152" t="b">
        <f t="shared" si="140"/>
        <v>1</v>
      </c>
      <c r="M480" s="158">
        <f>INDEX('Monthly Prices'!B468:CB468,$G$5)</f>
        <v>93.01</v>
      </c>
      <c r="N480" s="158" t="b">
        <f>IF(H480,INDEX('Monthly Prices'!B468:CB468,$G$5)*U480,FALSE)</f>
        <v>0</v>
      </c>
      <c r="O480" s="152" t="b">
        <f t="shared" si="137"/>
        <v>1</v>
      </c>
      <c r="P480" s="152">
        <f t="shared" si="141"/>
        <v>1998</v>
      </c>
      <c r="Q480" s="159">
        <f>'Monthly Prices'!B468</f>
        <v>14.02666666667</v>
      </c>
      <c r="R480" s="159">
        <f t="shared" si="142"/>
        <v>13.064441666666667</v>
      </c>
      <c r="S480" s="155">
        <f>_xlfn.XLOOKUP(P480,'Annual Real'!A:A,'Annual Real'!B:B,0,0)</f>
        <v>15.899104081414</v>
      </c>
      <c r="T480" s="155">
        <f t="shared" ca="1" si="143"/>
        <v>1.6679743639940519</v>
      </c>
      <c r="U480" s="152">
        <f t="shared" ca="1" si="144"/>
        <v>1.6679743639940519</v>
      </c>
      <c r="V480" s="152" t="b">
        <f t="shared" si="150"/>
        <v>0</v>
      </c>
      <c r="W480" s="152" t="b">
        <f t="shared" si="151"/>
        <v>0</v>
      </c>
      <c r="X480" s="154">
        <f>LOOKUP(D480,'US Implicit Deflator'!A:A,'US Implicit Deflator'!B:B)/100</f>
        <v>4.0000000000000001E-3</v>
      </c>
      <c r="Y480" s="154">
        <f t="shared" si="145"/>
        <v>3.3272377940973819E-4</v>
      </c>
      <c r="Z480" s="165">
        <f t="shared" ca="1" si="146"/>
        <v>4.0940635964920267</v>
      </c>
      <c r="AA480" s="152">
        <f t="shared" si="147"/>
        <v>7</v>
      </c>
      <c r="AB480" s="153">
        <f t="shared" si="148"/>
        <v>35916</v>
      </c>
      <c r="AC480" s="155">
        <f t="shared" ca="1" si="149"/>
        <v>1.6679743639940519</v>
      </c>
    </row>
    <row r="481" spans="3:29">
      <c r="C481" s="152" t="str">
        <f>'Monthly Prices'!A469</f>
        <v>1998M06</v>
      </c>
      <c r="D481" s="153">
        <f t="shared" si="138"/>
        <v>35947</v>
      </c>
      <c r="E481" s="152">
        <f t="shared" si="139"/>
        <v>462</v>
      </c>
      <c r="F481" s="152" t="b">
        <f t="shared" si="133"/>
        <v>0</v>
      </c>
      <c r="G481" s="152" t="b">
        <f t="shared" si="134"/>
        <v>1</v>
      </c>
      <c r="H481" s="152" t="b">
        <f t="shared" si="135"/>
        <v>0</v>
      </c>
      <c r="I481" s="153" t="e">
        <f t="shared" si="136"/>
        <v>#N/A</v>
      </c>
      <c r="J481" s="158">
        <f>INDEX('Monthly Prices'!B469:CB469,$G$4)</f>
        <v>104.23</v>
      </c>
      <c r="K481" s="158" t="b">
        <f>IF(H481,INDEX('Monthly Prices'!B469:CB469,$G$4)*U481,FALSE)</f>
        <v>0</v>
      </c>
      <c r="L481" s="152" t="b">
        <f t="shared" si="140"/>
        <v>1</v>
      </c>
      <c r="M481" s="158">
        <f>INDEX('Monthly Prices'!B469:CB469,$G$5)</f>
        <v>91.57</v>
      </c>
      <c r="N481" s="158" t="b">
        <f>IF(H481,INDEX('Monthly Prices'!B469:CB469,$G$5)*U481,FALSE)</f>
        <v>0</v>
      </c>
      <c r="O481" s="152" t="b">
        <f t="shared" si="137"/>
        <v>1</v>
      </c>
      <c r="P481" s="152">
        <f t="shared" si="141"/>
        <v>1998</v>
      </c>
      <c r="Q481" s="159">
        <f>'Monthly Prices'!B469</f>
        <v>12.478999999999999</v>
      </c>
      <c r="R481" s="159">
        <f t="shared" si="142"/>
        <v>13.064441666666667</v>
      </c>
      <c r="S481" s="155">
        <f>_xlfn.XLOOKUP(P481,'Annual Real'!A:A,'Annual Real'!B:B,0,0)</f>
        <v>15.899104081414</v>
      </c>
      <c r="T481" s="155">
        <f t="shared" ca="1" si="143"/>
        <v>1.6674195738515782</v>
      </c>
      <c r="U481" s="152">
        <f t="shared" ca="1" si="144"/>
        <v>1.6674195738515782</v>
      </c>
      <c r="V481" s="152" t="b">
        <f t="shared" si="150"/>
        <v>0</v>
      </c>
      <c r="W481" s="152" t="b">
        <f t="shared" si="151"/>
        <v>0</v>
      </c>
      <c r="X481" s="154">
        <f>LOOKUP(D481,'US Implicit Deflator'!A:A,'US Implicit Deflator'!B:B)/100</f>
        <v>4.0000000000000001E-3</v>
      </c>
      <c r="Y481" s="154">
        <f t="shared" si="145"/>
        <v>3.3272377940973819E-4</v>
      </c>
      <c r="Z481" s="165">
        <f t="shared" ca="1" si="146"/>
        <v>4.0954257888049952</v>
      </c>
      <c r="AA481" s="152">
        <f t="shared" si="147"/>
        <v>7</v>
      </c>
      <c r="AB481" s="153">
        <f t="shared" si="148"/>
        <v>35947</v>
      </c>
      <c r="AC481" s="155">
        <f t="shared" ca="1" si="149"/>
        <v>1.6674195738515782</v>
      </c>
    </row>
    <row r="482" spans="3:29">
      <c r="C482" s="152" t="str">
        <f>'Monthly Prices'!A470</f>
        <v>1998M07</v>
      </c>
      <c r="D482" s="153">
        <f t="shared" si="138"/>
        <v>35977</v>
      </c>
      <c r="E482" s="152">
        <f t="shared" si="139"/>
        <v>463</v>
      </c>
      <c r="F482" s="152" t="b">
        <f t="shared" si="133"/>
        <v>0</v>
      </c>
      <c r="G482" s="152" t="b">
        <f t="shared" si="134"/>
        <v>1</v>
      </c>
      <c r="H482" s="152" t="b">
        <f t="shared" si="135"/>
        <v>0</v>
      </c>
      <c r="I482" s="153" t="e">
        <f t="shared" si="136"/>
        <v>#N/A</v>
      </c>
      <c r="J482" s="158">
        <f>INDEX('Monthly Prices'!B470:CB470,$G$4)</f>
        <v>100.51</v>
      </c>
      <c r="K482" s="158" t="b">
        <f>IF(H482,INDEX('Monthly Prices'!B470:CB470,$G$4)*U482,FALSE)</f>
        <v>0</v>
      </c>
      <c r="L482" s="152" t="b">
        <f t="shared" si="140"/>
        <v>1</v>
      </c>
      <c r="M482" s="158">
        <f>INDEX('Monthly Prices'!B470:CB470,$G$5)</f>
        <v>85.2</v>
      </c>
      <c r="N482" s="158" t="b">
        <f>IF(H482,INDEX('Monthly Prices'!B470:CB470,$G$5)*U482,FALSE)</f>
        <v>0</v>
      </c>
      <c r="O482" s="152" t="b">
        <f t="shared" si="137"/>
        <v>1</v>
      </c>
      <c r="P482" s="152">
        <f t="shared" si="141"/>
        <v>1998</v>
      </c>
      <c r="Q482" s="159">
        <f>'Monthly Prices'!B470</f>
        <v>12.69966666667</v>
      </c>
      <c r="R482" s="159">
        <f t="shared" si="142"/>
        <v>13.064441666666667</v>
      </c>
      <c r="S482" s="155">
        <f>_xlfn.XLOOKUP(P482,'Annual Real'!A:A,'Annual Real'!B:B,0,0)</f>
        <v>15.899104081414</v>
      </c>
      <c r="T482" s="155">
        <f t="shared" ca="1" si="143"/>
        <v>1.66686496823958</v>
      </c>
      <c r="U482" s="152">
        <f t="shared" ca="1" si="144"/>
        <v>1.66686496823958</v>
      </c>
      <c r="V482" s="152" t="b">
        <f t="shared" si="150"/>
        <v>0</v>
      </c>
      <c r="W482" s="152" t="b">
        <f t="shared" si="151"/>
        <v>0</v>
      </c>
      <c r="X482" s="154">
        <f>LOOKUP(D482,'US Implicit Deflator'!A:A,'US Implicit Deflator'!B:B)/100</f>
        <v>4.0000000000000001E-3</v>
      </c>
      <c r="Y482" s="154">
        <f t="shared" si="145"/>
        <v>3.3272377940973819E-4</v>
      </c>
      <c r="Z482" s="165">
        <f t="shared" ca="1" si="146"/>
        <v>4.0967884343517387</v>
      </c>
      <c r="AA482" s="152">
        <f t="shared" si="147"/>
        <v>7</v>
      </c>
      <c r="AB482" s="153">
        <f t="shared" si="148"/>
        <v>35977</v>
      </c>
      <c r="AC482" s="155">
        <f t="shared" ca="1" si="149"/>
        <v>1.66686496823958</v>
      </c>
    </row>
    <row r="483" spans="3:29">
      <c r="C483" s="152" t="str">
        <f>'Monthly Prices'!A471</f>
        <v>1998M08</v>
      </c>
      <c r="D483" s="153">
        <f t="shared" si="138"/>
        <v>36008</v>
      </c>
      <c r="E483" s="152">
        <f t="shared" si="139"/>
        <v>464</v>
      </c>
      <c r="F483" s="152" t="b">
        <f t="shared" si="133"/>
        <v>0</v>
      </c>
      <c r="G483" s="152" t="b">
        <f t="shared" si="134"/>
        <v>1</v>
      </c>
      <c r="H483" s="152" t="b">
        <f t="shared" si="135"/>
        <v>0</v>
      </c>
      <c r="I483" s="153" t="e">
        <f t="shared" si="136"/>
        <v>#N/A</v>
      </c>
      <c r="J483" s="158">
        <f>INDEX('Monthly Prices'!B471:CB471,$G$4)</f>
        <v>87.86</v>
      </c>
      <c r="K483" s="158" t="b">
        <f>IF(H483,INDEX('Monthly Prices'!B471:CB471,$G$4)*U483,FALSE)</f>
        <v>0</v>
      </c>
      <c r="L483" s="152" t="b">
        <f t="shared" si="140"/>
        <v>1</v>
      </c>
      <c r="M483" s="158">
        <f>INDEX('Monthly Prices'!B471:CB471,$G$5)</f>
        <v>73.2</v>
      </c>
      <c r="N483" s="158" t="b">
        <f>IF(H483,INDEX('Monthly Prices'!B471:CB471,$G$5)*U483,FALSE)</f>
        <v>0</v>
      </c>
      <c r="O483" s="152" t="b">
        <f t="shared" si="137"/>
        <v>1</v>
      </c>
      <c r="P483" s="152">
        <f t="shared" si="141"/>
        <v>1998</v>
      </c>
      <c r="Q483" s="159">
        <f>'Monthly Prices'!B471</f>
        <v>12.487966666669999</v>
      </c>
      <c r="R483" s="159">
        <f t="shared" si="142"/>
        <v>13.064441666666667</v>
      </c>
      <c r="S483" s="155">
        <f>_xlfn.XLOOKUP(P483,'Annual Real'!A:A,'Annual Real'!B:B,0,0)</f>
        <v>15.899104081414</v>
      </c>
      <c r="T483" s="155">
        <f t="shared" ca="1" si="143"/>
        <v>1.6663105470966795</v>
      </c>
      <c r="U483" s="152">
        <f t="shared" ca="1" si="144"/>
        <v>1.6663105470966795</v>
      </c>
      <c r="V483" s="152" t="b">
        <f t="shared" si="150"/>
        <v>0</v>
      </c>
      <c r="W483" s="152" t="b">
        <f t="shared" si="151"/>
        <v>0</v>
      </c>
      <c r="X483" s="154">
        <f>LOOKUP(D483,'US Implicit Deflator'!A:A,'US Implicit Deflator'!B:B)/100</f>
        <v>4.0000000000000001E-3</v>
      </c>
      <c r="Y483" s="154">
        <f t="shared" si="145"/>
        <v>3.3272377940973819E-4</v>
      </c>
      <c r="Z483" s="165">
        <f t="shared" ca="1" si="146"/>
        <v>4.0981515332830583</v>
      </c>
      <c r="AA483" s="152">
        <f t="shared" si="147"/>
        <v>7</v>
      </c>
      <c r="AB483" s="153">
        <f t="shared" si="148"/>
        <v>36008</v>
      </c>
      <c r="AC483" s="155">
        <f t="shared" ca="1" si="149"/>
        <v>1.6663105470966795</v>
      </c>
    </row>
    <row r="484" spans="3:29">
      <c r="C484" s="152" t="str">
        <f>'Monthly Prices'!A472</f>
        <v>1998M09</v>
      </c>
      <c r="D484" s="153">
        <f t="shared" si="138"/>
        <v>36039</v>
      </c>
      <c r="E484" s="152">
        <f t="shared" si="139"/>
        <v>465</v>
      </c>
      <c r="F484" s="152" t="b">
        <f t="shared" si="133"/>
        <v>0</v>
      </c>
      <c r="G484" s="152" t="b">
        <f t="shared" si="134"/>
        <v>1</v>
      </c>
      <c r="H484" s="152" t="b">
        <f t="shared" si="135"/>
        <v>0</v>
      </c>
      <c r="I484" s="153" t="e">
        <f t="shared" si="136"/>
        <v>#N/A</v>
      </c>
      <c r="J484" s="158">
        <f>INDEX('Monthly Prices'!B472:CB472,$G$4)</f>
        <v>86.31</v>
      </c>
      <c r="K484" s="158" t="b">
        <f>IF(H484,INDEX('Monthly Prices'!B472:CB472,$G$4)*U484,FALSE)</f>
        <v>0</v>
      </c>
      <c r="L484" s="152" t="b">
        <f t="shared" si="140"/>
        <v>1</v>
      </c>
      <c r="M484" s="158">
        <f>INDEX('Monthly Prices'!B472:CB472,$G$5)</f>
        <v>73.12</v>
      </c>
      <c r="N484" s="158" t="b">
        <f>IF(H484,INDEX('Monthly Prices'!B472:CB472,$G$5)*U484,FALSE)</f>
        <v>0</v>
      </c>
      <c r="O484" s="152" t="b">
        <f t="shared" si="137"/>
        <v>1</v>
      </c>
      <c r="P484" s="152">
        <f t="shared" si="141"/>
        <v>1998</v>
      </c>
      <c r="Q484" s="159">
        <f>'Monthly Prices'!B472</f>
        <v>13.80333333333</v>
      </c>
      <c r="R484" s="159">
        <f t="shared" si="142"/>
        <v>13.064441666666667</v>
      </c>
      <c r="S484" s="155">
        <f>_xlfn.XLOOKUP(P484,'Annual Real'!A:A,'Annual Real'!B:B,0,0)</f>
        <v>15.899104081414</v>
      </c>
      <c r="T484" s="155">
        <f t="shared" ca="1" si="143"/>
        <v>1.6657563103615205</v>
      </c>
      <c r="U484" s="152">
        <f t="shared" ca="1" si="144"/>
        <v>1.6657563103615205</v>
      </c>
      <c r="V484" s="152" t="b">
        <f t="shared" si="150"/>
        <v>0</v>
      </c>
      <c r="W484" s="152" t="b">
        <f t="shared" si="151"/>
        <v>0</v>
      </c>
      <c r="X484" s="154">
        <f>LOOKUP(D484,'US Implicit Deflator'!A:A,'US Implicit Deflator'!B:B)/100</f>
        <v>4.0000000000000001E-3</v>
      </c>
      <c r="Y484" s="154">
        <f t="shared" si="145"/>
        <v>3.3272377940973819E-4</v>
      </c>
      <c r="Z484" s="165">
        <f t="shared" ca="1" si="146"/>
        <v>4.0995150857498057</v>
      </c>
      <c r="AA484" s="152">
        <f t="shared" si="147"/>
        <v>7</v>
      </c>
      <c r="AB484" s="153">
        <f t="shared" si="148"/>
        <v>36039</v>
      </c>
      <c r="AC484" s="155">
        <f t="shared" ca="1" si="149"/>
        <v>1.6657563103615205</v>
      </c>
    </row>
    <row r="485" spans="3:29">
      <c r="C485" s="152" t="str">
        <f>'Monthly Prices'!A473</f>
        <v>1998M10</v>
      </c>
      <c r="D485" s="153">
        <f t="shared" si="138"/>
        <v>36069</v>
      </c>
      <c r="E485" s="152">
        <f t="shared" si="139"/>
        <v>466</v>
      </c>
      <c r="F485" s="152" t="b">
        <f t="shared" si="133"/>
        <v>0</v>
      </c>
      <c r="G485" s="152" t="b">
        <f t="shared" si="134"/>
        <v>1</v>
      </c>
      <c r="H485" s="152" t="b">
        <f t="shared" si="135"/>
        <v>0</v>
      </c>
      <c r="I485" s="153" t="e">
        <f t="shared" si="136"/>
        <v>#N/A</v>
      </c>
      <c r="J485" s="158">
        <f>INDEX('Monthly Prices'!B473:CB473,$G$4)</f>
        <v>95.53</v>
      </c>
      <c r="K485" s="158" t="b">
        <f>IF(H485,INDEX('Monthly Prices'!B473:CB473,$G$4)*U485,FALSE)</f>
        <v>0</v>
      </c>
      <c r="L485" s="152" t="b">
        <f t="shared" si="140"/>
        <v>1</v>
      </c>
      <c r="M485" s="158">
        <f>INDEX('Monthly Prices'!B473:CB473,$G$5)</f>
        <v>74.739999999999995</v>
      </c>
      <c r="N485" s="158" t="b">
        <f>IF(H485,INDEX('Monthly Prices'!B473:CB473,$G$5)*U485,FALSE)</f>
        <v>0</v>
      </c>
      <c r="O485" s="152" t="b">
        <f t="shared" si="137"/>
        <v>1</v>
      </c>
      <c r="P485" s="152">
        <f t="shared" si="141"/>
        <v>1998</v>
      </c>
      <c r="Q485" s="159">
        <f>'Monthly Prices'!B473</f>
        <v>13.263333333329999</v>
      </c>
      <c r="R485" s="159">
        <f t="shared" si="142"/>
        <v>13.064441666666667</v>
      </c>
      <c r="S485" s="155">
        <f>_xlfn.XLOOKUP(P485,'Annual Real'!A:A,'Annual Real'!B:B,0,0)</f>
        <v>15.899104081414</v>
      </c>
      <c r="T485" s="155">
        <f t="shared" ca="1" si="143"/>
        <v>1.6657563103615205</v>
      </c>
      <c r="U485" s="152">
        <f t="shared" ca="1" si="144"/>
        <v>1.6657563103615205</v>
      </c>
      <c r="V485" s="152" t="b">
        <f t="shared" si="150"/>
        <v>0</v>
      </c>
      <c r="W485" s="152" t="b">
        <f t="shared" si="151"/>
        <v>0</v>
      </c>
      <c r="X485" s="154">
        <f>LOOKUP(D485,'US Implicit Deflator'!A:A,'US Implicit Deflator'!B:B)/100</f>
        <v>0</v>
      </c>
      <c r="Y485" s="154">
        <f t="shared" si="145"/>
        <v>0</v>
      </c>
      <c r="Z485" s="165">
        <f t="shared" ca="1" si="146"/>
        <v>4.0995150857498057</v>
      </c>
      <c r="AA485" s="152">
        <f t="shared" si="147"/>
        <v>7</v>
      </c>
      <c r="AB485" s="153">
        <f t="shared" si="148"/>
        <v>36069</v>
      </c>
      <c r="AC485" s="155">
        <f t="shared" ca="1" si="149"/>
        <v>1.6657563103615205</v>
      </c>
    </row>
    <row r="486" spans="3:29">
      <c r="C486" s="152" t="str">
        <f>'Monthly Prices'!A474</f>
        <v>1998M11</v>
      </c>
      <c r="D486" s="153">
        <f t="shared" si="138"/>
        <v>36100</v>
      </c>
      <c r="E486" s="152">
        <f t="shared" si="139"/>
        <v>467</v>
      </c>
      <c r="F486" s="152" t="b">
        <f t="shared" si="133"/>
        <v>0</v>
      </c>
      <c r="G486" s="152" t="b">
        <f t="shared" si="134"/>
        <v>1</v>
      </c>
      <c r="H486" s="152" t="b">
        <f t="shared" si="135"/>
        <v>0</v>
      </c>
      <c r="I486" s="153" t="e">
        <f t="shared" si="136"/>
        <v>#N/A</v>
      </c>
      <c r="J486" s="158">
        <f>INDEX('Monthly Prices'!B474:CB474,$G$4)</f>
        <v>98.12</v>
      </c>
      <c r="K486" s="158" t="b">
        <f>IF(H486,INDEX('Monthly Prices'!B474:CB474,$G$4)*U486,FALSE)</f>
        <v>0</v>
      </c>
      <c r="L486" s="152" t="b">
        <f t="shared" si="140"/>
        <v>1</v>
      </c>
      <c r="M486" s="158">
        <f>INDEX('Monthly Prices'!B474:CB474,$G$5)</f>
        <v>79.260000000000005</v>
      </c>
      <c r="N486" s="158" t="b">
        <f>IF(H486,INDEX('Monthly Prices'!B474:CB474,$G$5)*U486,FALSE)</f>
        <v>0</v>
      </c>
      <c r="O486" s="152" t="b">
        <f t="shared" si="137"/>
        <v>1</v>
      </c>
      <c r="P486" s="152">
        <f t="shared" si="141"/>
        <v>1998</v>
      </c>
      <c r="Q486" s="159">
        <f>'Monthly Prices'!B474</f>
        <v>11.88</v>
      </c>
      <c r="R486" s="159">
        <f t="shared" si="142"/>
        <v>13.064441666666667</v>
      </c>
      <c r="S486" s="155">
        <f>_xlfn.XLOOKUP(P486,'Annual Real'!A:A,'Annual Real'!B:B,0,0)</f>
        <v>15.899104081414</v>
      </c>
      <c r="T486" s="155">
        <f t="shared" ca="1" si="143"/>
        <v>1.6657563103615205</v>
      </c>
      <c r="U486" s="152">
        <f t="shared" ca="1" si="144"/>
        <v>1.6657563103615205</v>
      </c>
      <c r="V486" s="152" t="b">
        <f t="shared" si="150"/>
        <v>0</v>
      </c>
      <c r="W486" s="152" t="b">
        <f t="shared" si="151"/>
        <v>0</v>
      </c>
      <c r="X486" s="154">
        <f>LOOKUP(D486,'US Implicit Deflator'!A:A,'US Implicit Deflator'!B:B)/100</f>
        <v>0</v>
      </c>
      <c r="Y486" s="154">
        <f t="shared" si="145"/>
        <v>0</v>
      </c>
      <c r="Z486" s="165">
        <f t="shared" ca="1" si="146"/>
        <v>4.0995150857498057</v>
      </c>
      <c r="AA486" s="152">
        <f t="shared" si="147"/>
        <v>7</v>
      </c>
      <c r="AB486" s="153">
        <f t="shared" si="148"/>
        <v>36100</v>
      </c>
      <c r="AC486" s="155">
        <f t="shared" ca="1" si="149"/>
        <v>1.6657563103615205</v>
      </c>
    </row>
    <row r="487" spans="3:29">
      <c r="C487" s="152" t="str">
        <f>'Monthly Prices'!A475</f>
        <v>1998M12</v>
      </c>
      <c r="D487" s="153">
        <f t="shared" si="138"/>
        <v>36130</v>
      </c>
      <c r="E487" s="152">
        <f t="shared" si="139"/>
        <v>468</v>
      </c>
      <c r="F487" s="152" t="b">
        <f t="shared" si="133"/>
        <v>0</v>
      </c>
      <c r="G487" s="152" t="b">
        <f t="shared" si="134"/>
        <v>1</v>
      </c>
      <c r="H487" s="152" t="b">
        <f t="shared" si="135"/>
        <v>0</v>
      </c>
      <c r="I487" s="153" t="e">
        <f t="shared" si="136"/>
        <v>#N/A</v>
      </c>
      <c r="J487" s="158">
        <f>INDEX('Monthly Prices'!B475:CB475,$G$4)</f>
        <v>95.76</v>
      </c>
      <c r="K487" s="158" t="b">
        <f>IF(H487,INDEX('Monthly Prices'!B475:CB475,$G$4)*U487,FALSE)</f>
        <v>0</v>
      </c>
      <c r="L487" s="152" t="b">
        <f t="shared" si="140"/>
        <v>1</v>
      </c>
      <c r="M487" s="158">
        <f>INDEX('Monthly Prices'!B475:CB475,$G$5)</f>
        <v>78.39</v>
      </c>
      <c r="N487" s="158" t="b">
        <f>IF(H487,INDEX('Monthly Prices'!B475:CB475,$G$5)*U487,FALSE)</f>
        <v>0</v>
      </c>
      <c r="O487" s="152" t="b">
        <f t="shared" si="137"/>
        <v>1</v>
      </c>
      <c r="P487" s="152">
        <f t="shared" si="141"/>
        <v>1998</v>
      </c>
      <c r="Q487" s="159">
        <f>'Monthly Prices'!B475</f>
        <v>10.41</v>
      </c>
      <c r="R487" s="159">
        <f t="shared" si="142"/>
        <v>13.064441666666667</v>
      </c>
      <c r="S487" s="155">
        <f>_xlfn.XLOOKUP(P487,'Annual Real'!A:A,'Annual Real'!B:B,0,0)</f>
        <v>15.899104081414</v>
      </c>
      <c r="T487" s="155">
        <f t="shared" ca="1" si="143"/>
        <v>1.6657563103615205</v>
      </c>
      <c r="U487" s="152">
        <f t="shared" ca="1" si="144"/>
        <v>1.6657563103615205</v>
      </c>
      <c r="V487" s="152" t="b">
        <f t="shared" si="150"/>
        <v>0</v>
      </c>
      <c r="W487" s="152" t="b">
        <f t="shared" si="151"/>
        <v>0</v>
      </c>
      <c r="X487" s="154">
        <f>LOOKUP(D487,'US Implicit Deflator'!A:A,'US Implicit Deflator'!B:B)/100</f>
        <v>0</v>
      </c>
      <c r="Y487" s="154">
        <f t="shared" si="145"/>
        <v>0</v>
      </c>
      <c r="Z487" s="165">
        <f t="shared" ca="1" si="146"/>
        <v>4.0995150857498057</v>
      </c>
      <c r="AA487" s="152">
        <f t="shared" si="147"/>
        <v>7</v>
      </c>
      <c r="AB487" s="153">
        <f t="shared" si="148"/>
        <v>36130</v>
      </c>
      <c r="AC487" s="155">
        <f t="shared" ca="1" si="149"/>
        <v>1.6657563103615205</v>
      </c>
    </row>
    <row r="488" spans="3:29">
      <c r="C488" s="152" t="str">
        <f>'Monthly Prices'!A476</f>
        <v>1999M01</v>
      </c>
      <c r="D488" s="153">
        <f t="shared" si="138"/>
        <v>36161</v>
      </c>
      <c r="E488" s="152">
        <f t="shared" si="139"/>
        <v>469</v>
      </c>
      <c r="F488" s="152" t="b">
        <f t="shared" si="133"/>
        <v>0</v>
      </c>
      <c r="G488" s="152" t="b">
        <f t="shared" si="134"/>
        <v>1</v>
      </c>
      <c r="H488" s="152" t="b">
        <f t="shared" si="135"/>
        <v>0</v>
      </c>
      <c r="I488" s="153" t="e">
        <f t="shared" si="136"/>
        <v>#N/A</v>
      </c>
      <c r="J488" s="158">
        <f>INDEX('Monthly Prices'!B476:CB476,$G$4)</f>
        <v>97.44</v>
      </c>
      <c r="K488" s="158" t="b">
        <f>IF(H488,INDEX('Monthly Prices'!B476:CB476,$G$4)*U488,FALSE)</f>
        <v>0</v>
      </c>
      <c r="L488" s="152" t="b">
        <f t="shared" si="140"/>
        <v>1</v>
      </c>
      <c r="M488" s="158">
        <f>INDEX('Monthly Prices'!B476:CB476,$G$5)</f>
        <v>77.709999999999994</v>
      </c>
      <c r="N488" s="158" t="b">
        <f>IF(H488,INDEX('Monthly Prices'!B476:CB476,$G$5)*U488,FALSE)</f>
        <v>0</v>
      </c>
      <c r="O488" s="152" t="b">
        <f t="shared" si="137"/>
        <v>1</v>
      </c>
      <c r="P488" s="152">
        <f t="shared" si="141"/>
        <v>1999</v>
      </c>
      <c r="Q488" s="159">
        <f>'Monthly Prices'!B476</f>
        <v>11.443333333329999</v>
      </c>
      <c r="R488" s="159">
        <f t="shared" si="142"/>
        <v>18.071388888888333</v>
      </c>
      <c r="S488" s="155">
        <f>_xlfn.XLOOKUP(P488,'Annual Real'!A:A,'Annual Real'!B:B,0,0)</f>
        <v>22.423473941765899</v>
      </c>
      <c r="T488" s="155">
        <f t="shared" ca="1" si="143"/>
        <v>1.6652022579727663</v>
      </c>
      <c r="U488" s="152">
        <f t="shared" ca="1" si="144"/>
        <v>1.6652022579727663</v>
      </c>
      <c r="V488" s="152" t="b">
        <f t="shared" si="150"/>
        <v>0</v>
      </c>
      <c r="W488" s="152" t="b">
        <f t="shared" si="151"/>
        <v>0</v>
      </c>
      <c r="X488" s="154">
        <f>LOOKUP(D488,'US Implicit Deflator'!A:A,'US Implicit Deflator'!B:B)/100</f>
        <v>4.0000000000000001E-3</v>
      </c>
      <c r="Y488" s="154">
        <f t="shared" si="145"/>
        <v>3.3272377940973819E-4</v>
      </c>
      <c r="Z488" s="165">
        <f t="shared" ca="1" si="146"/>
        <v>4.1008790919028835</v>
      </c>
      <c r="AA488" s="152">
        <f t="shared" si="147"/>
        <v>7</v>
      </c>
      <c r="AB488" s="153">
        <f t="shared" si="148"/>
        <v>36161</v>
      </c>
      <c r="AC488" s="155">
        <f t="shared" ca="1" si="149"/>
        <v>1.6652022579727663</v>
      </c>
    </row>
    <row r="489" spans="3:29">
      <c r="C489" s="152" t="str">
        <f>'Monthly Prices'!A477</f>
        <v>1999M02</v>
      </c>
      <c r="D489" s="153">
        <f t="shared" si="138"/>
        <v>36192</v>
      </c>
      <c r="E489" s="152">
        <f t="shared" si="139"/>
        <v>470</v>
      </c>
      <c r="F489" s="152" t="b">
        <f t="shared" si="133"/>
        <v>0</v>
      </c>
      <c r="G489" s="152" t="b">
        <f t="shared" si="134"/>
        <v>1</v>
      </c>
      <c r="H489" s="152" t="b">
        <f t="shared" si="135"/>
        <v>0</v>
      </c>
      <c r="I489" s="153" t="e">
        <f t="shared" si="136"/>
        <v>#N/A</v>
      </c>
      <c r="J489" s="158">
        <f>INDEX('Monthly Prices'!B477:CB477,$G$4)</f>
        <v>94.19</v>
      </c>
      <c r="K489" s="158" t="b">
        <f>IF(H489,INDEX('Monthly Prices'!B477:CB477,$G$4)*U489,FALSE)</f>
        <v>0</v>
      </c>
      <c r="L489" s="152" t="b">
        <f t="shared" si="140"/>
        <v>1</v>
      </c>
      <c r="M489" s="158">
        <f>INDEX('Monthly Prices'!B477:CB477,$G$5)</f>
        <v>75.31</v>
      </c>
      <c r="N489" s="158" t="b">
        <f>IF(H489,INDEX('Monthly Prices'!B477:CB477,$G$5)*U489,FALSE)</f>
        <v>0</v>
      </c>
      <c r="O489" s="152" t="b">
        <f t="shared" si="137"/>
        <v>1</v>
      </c>
      <c r="P489" s="152">
        <f t="shared" si="141"/>
        <v>1999</v>
      </c>
      <c r="Q489" s="159">
        <f>'Monthly Prices'!B477</f>
        <v>10.75333333333</v>
      </c>
      <c r="R489" s="159">
        <f t="shared" si="142"/>
        <v>18.071388888888333</v>
      </c>
      <c r="S489" s="155">
        <f>_xlfn.XLOOKUP(P489,'Annual Real'!A:A,'Annual Real'!B:B,0,0)</f>
        <v>22.423473941765899</v>
      </c>
      <c r="T489" s="155">
        <f t="shared" ca="1" si="143"/>
        <v>1.6646483898691007</v>
      </c>
      <c r="U489" s="152">
        <f t="shared" ca="1" si="144"/>
        <v>1.6646483898691007</v>
      </c>
      <c r="V489" s="152" t="b">
        <f t="shared" si="150"/>
        <v>0</v>
      </c>
      <c r="W489" s="152" t="b">
        <f t="shared" si="151"/>
        <v>0</v>
      </c>
      <c r="X489" s="154">
        <f>LOOKUP(D489,'US Implicit Deflator'!A:A,'US Implicit Deflator'!B:B)/100</f>
        <v>4.0000000000000001E-3</v>
      </c>
      <c r="Y489" s="154">
        <f t="shared" si="145"/>
        <v>3.3272377940973819E-4</v>
      </c>
      <c r="Z489" s="165">
        <f t="shared" ca="1" si="146"/>
        <v>4.1022435518932436</v>
      </c>
      <c r="AA489" s="152">
        <f t="shared" si="147"/>
        <v>7</v>
      </c>
      <c r="AB489" s="153">
        <f t="shared" si="148"/>
        <v>36192</v>
      </c>
      <c r="AC489" s="155">
        <f t="shared" ca="1" si="149"/>
        <v>1.6646483898691007</v>
      </c>
    </row>
    <row r="490" spans="3:29">
      <c r="C490" s="152" t="str">
        <f>'Monthly Prices'!A478</f>
        <v>1999M03</v>
      </c>
      <c r="D490" s="153">
        <f t="shared" si="138"/>
        <v>36220</v>
      </c>
      <c r="E490" s="152">
        <f t="shared" si="139"/>
        <v>471</v>
      </c>
      <c r="F490" s="152" t="b">
        <f t="shared" si="133"/>
        <v>0</v>
      </c>
      <c r="G490" s="152" t="b">
        <f t="shared" si="134"/>
        <v>1</v>
      </c>
      <c r="H490" s="152" t="b">
        <f t="shared" si="135"/>
        <v>0</v>
      </c>
      <c r="I490" s="153" t="e">
        <f t="shared" si="136"/>
        <v>#N/A</v>
      </c>
      <c r="J490" s="158">
        <f>INDEX('Monthly Prices'!B478:CB478,$G$4)</f>
        <v>96.18</v>
      </c>
      <c r="K490" s="158" t="b">
        <f>IF(H490,INDEX('Monthly Prices'!B478:CB478,$G$4)*U490,FALSE)</f>
        <v>0</v>
      </c>
      <c r="L490" s="152" t="b">
        <f t="shared" si="140"/>
        <v>1</v>
      </c>
      <c r="M490" s="158">
        <f>INDEX('Monthly Prices'!B478:CB478,$G$5)</f>
        <v>75.2</v>
      </c>
      <c r="N490" s="158" t="b">
        <f>IF(H490,INDEX('Monthly Prices'!B478:CB478,$G$5)*U490,FALSE)</f>
        <v>0</v>
      </c>
      <c r="O490" s="152" t="b">
        <f t="shared" si="137"/>
        <v>1</v>
      </c>
      <c r="P490" s="152">
        <f t="shared" si="141"/>
        <v>1999</v>
      </c>
      <c r="Q490" s="159">
        <f>'Monthly Prices'!B478</f>
        <v>13.16666666667</v>
      </c>
      <c r="R490" s="159">
        <f t="shared" si="142"/>
        <v>18.071388888888333</v>
      </c>
      <c r="S490" s="155">
        <f>_xlfn.XLOOKUP(P490,'Annual Real'!A:A,'Annual Real'!B:B,0,0)</f>
        <v>22.423473941765899</v>
      </c>
      <c r="T490" s="155">
        <f t="shared" ca="1" si="143"/>
        <v>1.6640947059892282</v>
      </c>
      <c r="U490" s="152">
        <f t="shared" ca="1" si="144"/>
        <v>1.6640947059892282</v>
      </c>
      <c r="V490" s="152" t="b">
        <f t="shared" si="150"/>
        <v>0</v>
      </c>
      <c r="W490" s="152" t="b">
        <f t="shared" si="151"/>
        <v>0</v>
      </c>
      <c r="X490" s="154">
        <f>LOOKUP(D490,'US Implicit Deflator'!A:A,'US Implicit Deflator'!B:B)/100</f>
        <v>4.0000000000000001E-3</v>
      </c>
      <c r="Y490" s="154">
        <f t="shared" si="145"/>
        <v>3.3272377940973819E-4</v>
      </c>
      <c r="Z490" s="165">
        <f t="shared" ca="1" si="146"/>
        <v>4.103608465871889</v>
      </c>
      <c r="AA490" s="152">
        <f t="shared" si="147"/>
        <v>7</v>
      </c>
      <c r="AB490" s="153">
        <f t="shared" si="148"/>
        <v>36220</v>
      </c>
      <c r="AC490" s="155">
        <f t="shared" ca="1" si="149"/>
        <v>1.6640947059892282</v>
      </c>
    </row>
    <row r="491" spans="3:29">
      <c r="C491" s="152" t="str">
        <f>'Monthly Prices'!A479</f>
        <v>1999M04</v>
      </c>
      <c r="D491" s="153">
        <f t="shared" si="138"/>
        <v>36251</v>
      </c>
      <c r="E491" s="152">
        <f t="shared" si="139"/>
        <v>472</v>
      </c>
      <c r="F491" s="152" t="b">
        <f t="shared" si="133"/>
        <v>0</v>
      </c>
      <c r="G491" s="152" t="b">
        <f t="shared" si="134"/>
        <v>1</v>
      </c>
      <c r="H491" s="152" t="b">
        <f t="shared" si="135"/>
        <v>0</v>
      </c>
      <c r="I491" s="153" t="e">
        <f t="shared" si="136"/>
        <v>#N/A</v>
      </c>
      <c r="J491" s="158">
        <f>INDEX('Monthly Prices'!B479:CB479,$G$4)</f>
        <v>94.13</v>
      </c>
      <c r="K491" s="158" t="b">
        <f>IF(H491,INDEX('Monthly Prices'!B479:CB479,$G$4)*U491,FALSE)</f>
        <v>0</v>
      </c>
      <c r="L491" s="152" t="b">
        <f t="shared" si="140"/>
        <v>1</v>
      </c>
      <c r="M491" s="158">
        <f>INDEX('Monthly Prices'!B479:CB479,$G$5)</f>
        <v>79.73</v>
      </c>
      <c r="N491" s="158" t="b">
        <f>IF(H491,INDEX('Monthly Prices'!B479:CB479,$G$5)*U491,FALSE)</f>
        <v>0</v>
      </c>
      <c r="O491" s="152" t="b">
        <f t="shared" si="137"/>
        <v>1</v>
      </c>
      <c r="P491" s="152">
        <f t="shared" si="141"/>
        <v>1999</v>
      </c>
      <c r="Q491" s="159">
        <f>'Monthly Prices'!B479</f>
        <v>15.86666666667</v>
      </c>
      <c r="R491" s="159">
        <f t="shared" si="142"/>
        <v>18.071388888888333</v>
      </c>
      <c r="S491" s="155">
        <f>_xlfn.XLOOKUP(P491,'Annual Real'!A:A,'Annual Real'!B:B,0,0)</f>
        <v>22.423473941765899</v>
      </c>
      <c r="T491" s="155">
        <f t="shared" ca="1" si="143"/>
        <v>1.66326535157468</v>
      </c>
      <c r="U491" s="152">
        <f t="shared" ca="1" si="144"/>
        <v>1.66326535157468</v>
      </c>
      <c r="V491" s="152" t="b">
        <f t="shared" si="150"/>
        <v>0</v>
      </c>
      <c r="W491" s="152" t="b">
        <f t="shared" si="151"/>
        <v>0</v>
      </c>
      <c r="X491" s="154">
        <f>LOOKUP(D491,'US Implicit Deflator'!A:A,'US Implicit Deflator'!B:B)/100</f>
        <v>6.0000000000000001E-3</v>
      </c>
      <c r="Y491" s="154">
        <f t="shared" si="145"/>
        <v>4.9863024788132648E-4</v>
      </c>
      <c r="Z491" s="165">
        <f t="shared" ca="1" si="146"/>
        <v>4.1056546491784349</v>
      </c>
      <c r="AA491" s="152">
        <f t="shared" si="147"/>
        <v>7</v>
      </c>
      <c r="AB491" s="153">
        <f t="shared" si="148"/>
        <v>36251</v>
      </c>
      <c r="AC491" s="155">
        <f t="shared" ca="1" si="149"/>
        <v>1.66326535157468</v>
      </c>
    </row>
    <row r="492" spans="3:29">
      <c r="C492" s="152" t="str">
        <f>'Monthly Prices'!A480</f>
        <v>1999M05</v>
      </c>
      <c r="D492" s="153">
        <f t="shared" si="138"/>
        <v>36281</v>
      </c>
      <c r="E492" s="152">
        <f t="shared" si="139"/>
        <v>473</v>
      </c>
      <c r="F492" s="152" t="b">
        <f t="shared" si="133"/>
        <v>0</v>
      </c>
      <c r="G492" s="152" t="b">
        <f t="shared" si="134"/>
        <v>1</v>
      </c>
      <c r="H492" s="152" t="b">
        <f t="shared" si="135"/>
        <v>0</v>
      </c>
      <c r="I492" s="153" t="e">
        <f t="shared" si="136"/>
        <v>#N/A</v>
      </c>
      <c r="J492" s="158">
        <f>INDEX('Monthly Prices'!B480:CB480,$G$4)</f>
        <v>92.49</v>
      </c>
      <c r="K492" s="158" t="b">
        <f>IF(H492,INDEX('Monthly Prices'!B480:CB480,$G$4)*U492,FALSE)</f>
        <v>0</v>
      </c>
      <c r="L492" s="152" t="b">
        <f t="shared" si="140"/>
        <v>1</v>
      </c>
      <c r="M492" s="158">
        <f>INDEX('Monthly Prices'!B480:CB480,$G$5)</f>
        <v>81.53</v>
      </c>
      <c r="N492" s="158" t="b">
        <f>IF(H492,INDEX('Monthly Prices'!B480:CB480,$G$5)*U492,FALSE)</f>
        <v>0</v>
      </c>
      <c r="O492" s="152" t="b">
        <f t="shared" si="137"/>
        <v>1</v>
      </c>
      <c r="P492" s="152">
        <f t="shared" si="141"/>
        <v>1999</v>
      </c>
      <c r="Q492" s="159">
        <f>'Monthly Prices'!B480</f>
        <v>16.06333333333</v>
      </c>
      <c r="R492" s="159">
        <f t="shared" si="142"/>
        <v>18.071388888888333</v>
      </c>
      <c r="S492" s="155">
        <f>_xlfn.XLOOKUP(P492,'Annual Real'!A:A,'Annual Real'!B:B,0,0)</f>
        <v>22.423473941765899</v>
      </c>
      <c r="T492" s="155">
        <f t="shared" ca="1" si="143"/>
        <v>1.6624364104952278</v>
      </c>
      <c r="U492" s="152">
        <f t="shared" ca="1" si="144"/>
        <v>1.6624364104952278</v>
      </c>
      <c r="V492" s="152" t="b">
        <f t="shared" si="150"/>
        <v>0</v>
      </c>
      <c r="W492" s="152" t="b">
        <f t="shared" si="151"/>
        <v>0</v>
      </c>
      <c r="X492" s="154">
        <f>LOOKUP(D492,'US Implicit Deflator'!A:A,'US Implicit Deflator'!B:B)/100</f>
        <v>6.0000000000000001E-3</v>
      </c>
      <c r="Y492" s="154">
        <f t="shared" si="145"/>
        <v>4.9863024788132648E-4</v>
      </c>
      <c r="Z492" s="165">
        <f t="shared" ca="1" si="146"/>
        <v>4.1077018527738698</v>
      </c>
      <c r="AA492" s="152">
        <f t="shared" si="147"/>
        <v>7</v>
      </c>
      <c r="AB492" s="153">
        <f t="shared" si="148"/>
        <v>36281</v>
      </c>
      <c r="AC492" s="155">
        <f t="shared" ca="1" si="149"/>
        <v>1.6624364104952278</v>
      </c>
    </row>
    <row r="493" spans="3:29">
      <c r="C493" s="152" t="str">
        <f>'Monthly Prices'!A481</f>
        <v>1999M06</v>
      </c>
      <c r="D493" s="153">
        <f t="shared" si="138"/>
        <v>36312</v>
      </c>
      <c r="E493" s="152">
        <f t="shared" si="139"/>
        <v>474</v>
      </c>
      <c r="F493" s="152" t="b">
        <f t="shared" si="133"/>
        <v>0</v>
      </c>
      <c r="G493" s="152" t="b">
        <f t="shared" si="134"/>
        <v>1</v>
      </c>
      <c r="H493" s="152" t="b">
        <f t="shared" si="135"/>
        <v>0</v>
      </c>
      <c r="I493" s="153" t="e">
        <f t="shared" si="136"/>
        <v>#N/A</v>
      </c>
      <c r="J493" s="158">
        <f>INDEX('Monthly Prices'!B481:CB481,$G$4)</f>
        <v>93.65</v>
      </c>
      <c r="K493" s="158" t="b">
        <f>IF(H493,INDEX('Monthly Prices'!B481:CB481,$G$4)*U493,FALSE)</f>
        <v>0</v>
      </c>
      <c r="L493" s="152" t="b">
        <f t="shared" si="140"/>
        <v>1</v>
      </c>
      <c r="M493" s="158">
        <f>INDEX('Monthly Prices'!B481:CB481,$G$5)</f>
        <v>80.540000000000006</v>
      </c>
      <c r="N493" s="158" t="b">
        <f>IF(H493,INDEX('Monthly Prices'!B481:CB481,$G$5)*U493,FALSE)</f>
        <v>0</v>
      </c>
      <c r="O493" s="152" t="b">
        <f t="shared" si="137"/>
        <v>1</v>
      </c>
      <c r="P493" s="152">
        <f t="shared" si="141"/>
        <v>1999</v>
      </c>
      <c r="Q493" s="159">
        <f>'Monthly Prices'!B481</f>
        <v>16.393333333329998</v>
      </c>
      <c r="R493" s="159">
        <f t="shared" si="142"/>
        <v>18.071388888888333</v>
      </c>
      <c r="S493" s="155">
        <f>_xlfn.XLOOKUP(P493,'Annual Real'!A:A,'Annual Real'!B:B,0,0)</f>
        <v>22.423473941765899</v>
      </c>
      <c r="T493" s="155">
        <f t="shared" ca="1" si="143"/>
        <v>1.6616078825448728</v>
      </c>
      <c r="U493" s="152">
        <f t="shared" ca="1" si="144"/>
        <v>1.6616078825448728</v>
      </c>
      <c r="V493" s="152" t="b">
        <f t="shared" si="150"/>
        <v>0</v>
      </c>
      <c r="W493" s="152" t="b">
        <f t="shared" si="151"/>
        <v>0</v>
      </c>
      <c r="X493" s="154">
        <f>LOOKUP(D493,'US Implicit Deflator'!A:A,'US Implicit Deflator'!B:B)/100</f>
        <v>6.0000000000000001E-3</v>
      </c>
      <c r="Y493" s="154">
        <f t="shared" si="145"/>
        <v>4.9863024788132648E-4</v>
      </c>
      <c r="Z493" s="165">
        <f t="shared" ca="1" si="146"/>
        <v>4.1097500771669413</v>
      </c>
      <c r="AA493" s="152">
        <f t="shared" si="147"/>
        <v>7</v>
      </c>
      <c r="AB493" s="153">
        <f t="shared" si="148"/>
        <v>36312</v>
      </c>
      <c r="AC493" s="155">
        <f t="shared" ca="1" si="149"/>
        <v>1.6616078825448728</v>
      </c>
    </row>
    <row r="494" spans="3:29">
      <c r="C494" s="152" t="str">
        <f>'Monthly Prices'!A482</f>
        <v>1999M07</v>
      </c>
      <c r="D494" s="153">
        <f t="shared" si="138"/>
        <v>36342</v>
      </c>
      <c r="E494" s="152">
        <f t="shared" si="139"/>
        <v>475</v>
      </c>
      <c r="F494" s="152" t="b">
        <f t="shared" si="133"/>
        <v>0</v>
      </c>
      <c r="G494" s="152" t="b">
        <f t="shared" si="134"/>
        <v>1</v>
      </c>
      <c r="H494" s="152" t="b">
        <f t="shared" si="135"/>
        <v>0</v>
      </c>
      <c r="I494" s="153" t="e">
        <f t="shared" si="136"/>
        <v>#N/A</v>
      </c>
      <c r="J494" s="158">
        <f>INDEX('Monthly Prices'!B482:CB482,$G$4)</f>
        <v>83.99</v>
      </c>
      <c r="K494" s="158" t="b">
        <f>IF(H494,INDEX('Monthly Prices'!B482:CB482,$G$4)*U494,FALSE)</f>
        <v>0</v>
      </c>
      <c r="L494" s="152" t="b">
        <f t="shared" si="140"/>
        <v>1</v>
      </c>
      <c r="M494" s="158">
        <f>INDEX('Monthly Prices'!B482:CB482,$G$5)</f>
        <v>76.86</v>
      </c>
      <c r="N494" s="158" t="b">
        <f>IF(H494,INDEX('Monthly Prices'!B482:CB482,$G$5)*U494,FALSE)</f>
        <v>0</v>
      </c>
      <c r="O494" s="152" t="b">
        <f t="shared" si="137"/>
        <v>1</v>
      </c>
      <c r="P494" s="152">
        <f t="shared" si="141"/>
        <v>1999</v>
      </c>
      <c r="Q494" s="159">
        <f>'Monthly Prices'!B482</f>
        <v>18.986666666670001</v>
      </c>
      <c r="R494" s="159">
        <f t="shared" si="142"/>
        <v>18.071388888888333</v>
      </c>
      <c r="S494" s="155">
        <f>_xlfn.XLOOKUP(P494,'Annual Real'!A:A,'Annual Real'!B:B,0,0)</f>
        <v>22.423473941765899</v>
      </c>
      <c r="T494" s="155">
        <f t="shared" ca="1" si="143"/>
        <v>1.6607797675177192</v>
      </c>
      <c r="U494" s="152">
        <f t="shared" ca="1" si="144"/>
        <v>1.6607797675177192</v>
      </c>
      <c r="V494" s="152" t="b">
        <f t="shared" si="150"/>
        <v>0</v>
      </c>
      <c r="W494" s="152" t="b">
        <f t="shared" si="151"/>
        <v>0</v>
      </c>
      <c r="X494" s="154">
        <f>LOOKUP(D494,'US Implicit Deflator'!A:A,'US Implicit Deflator'!B:B)/100</f>
        <v>6.0000000000000001E-3</v>
      </c>
      <c r="Y494" s="154">
        <f t="shared" si="145"/>
        <v>4.9863024788132648E-4</v>
      </c>
      <c r="Z494" s="165">
        <f t="shared" ca="1" si="146"/>
        <v>4.1117993228666494</v>
      </c>
      <c r="AA494" s="152">
        <f t="shared" si="147"/>
        <v>7</v>
      </c>
      <c r="AB494" s="153">
        <f t="shared" si="148"/>
        <v>36342</v>
      </c>
      <c r="AC494" s="155">
        <f t="shared" ca="1" si="149"/>
        <v>1.6607797675177192</v>
      </c>
    </row>
    <row r="495" spans="3:29">
      <c r="C495" s="152" t="str">
        <f>'Monthly Prices'!A483</f>
        <v>1999M08</v>
      </c>
      <c r="D495" s="153">
        <f t="shared" si="138"/>
        <v>36373</v>
      </c>
      <c r="E495" s="152">
        <f t="shared" si="139"/>
        <v>476</v>
      </c>
      <c r="F495" s="152" t="b">
        <f t="shared" si="133"/>
        <v>0</v>
      </c>
      <c r="G495" s="152" t="b">
        <f t="shared" si="134"/>
        <v>1</v>
      </c>
      <c r="H495" s="152" t="b">
        <f t="shared" si="135"/>
        <v>0</v>
      </c>
      <c r="I495" s="153" t="e">
        <f t="shared" si="136"/>
        <v>#N/A</v>
      </c>
      <c r="J495" s="158">
        <f>INDEX('Monthly Prices'!B483:CB483,$G$4)</f>
        <v>85.65</v>
      </c>
      <c r="K495" s="158" t="b">
        <f>IF(H495,INDEX('Monthly Prices'!B483:CB483,$G$4)*U495,FALSE)</f>
        <v>0</v>
      </c>
      <c r="L495" s="152" t="b">
        <f t="shared" si="140"/>
        <v>1</v>
      </c>
      <c r="M495" s="158">
        <f>INDEX('Monthly Prices'!B483:CB483,$G$5)</f>
        <v>75.150000000000006</v>
      </c>
      <c r="N495" s="158" t="b">
        <f>IF(H495,INDEX('Monthly Prices'!B483:CB483,$G$5)*U495,FALSE)</f>
        <v>0</v>
      </c>
      <c r="O495" s="152" t="b">
        <f t="shared" si="137"/>
        <v>1</v>
      </c>
      <c r="P495" s="152">
        <f t="shared" si="141"/>
        <v>1999</v>
      </c>
      <c r="Q495" s="159">
        <f>'Monthly Prices'!B483</f>
        <v>20.27</v>
      </c>
      <c r="R495" s="159">
        <f t="shared" si="142"/>
        <v>18.071388888888333</v>
      </c>
      <c r="S495" s="155">
        <f>_xlfn.XLOOKUP(P495,'Annual Real'!A:A,'Annual Real'!B:B,0,0)</f>
        <v>22.423473941765899</v>
      </c>
      <c r="T495" s="155">
        <f t="shared" ca="1" si="143"/>
        <v>1.6599520652079733</v>
      </c>
      <c r="U495" s="152">
        <f t="shared" ca="1" si="144"/>
        <v>1.6599520652079733</v>
      </c>
      <c r="V495" s="152" t="b">
        <f t="shared" si="150"/>
        <v>0</v>
      </c>
      <c r="W495" s="152" t="b">
        <f t="shared" si="151"/>
        <v>0</v>
      </c>
      <c r="X495" s="154">
        <f>LOOKUP(D495,'US Implicit Deflator'!A:A,'US Implicit Deflator'!B:B)/100</f>
        <v>6.0000000000000001E-3</v>
      </c>
      <c r="Y495" s="154">
        <f t="shared" si="145"/>
        <v>4.9863024788132648E-4</v>
      </c>
      <c r="Z495" s="165">
        <f t="shared" ca="1" si="146"/>
        <v>4.113849590382249</v>
      </c>
      <c r="AA495" s="152">
        <f t="shared" si="147"/>
        <v>7</v>
      </c>
      <c r="AB495" s="153">
        <f t="shared" si="148"/>
        <v>36373</v>
      </c>
      <c r="AC495" s="155">
        <f t="shared" ca="1" si="149"/>
        <v>1.6599520652079733</v>
      </c>
    </row>
    <row r="496" spans="3:29">
      <c r="C496" s="152" t="str">
        <f>'Monthly Prices'!A484</f>
        <v>1999M09</v>
      </c>
      <c r="D496" s="153">
        <f t="shared" si="138"/>
        <v>36404</v>
      </c>
      <c r="E496" s="152">
        <f t="shared" si="139"/>
        <v>477</v>
      </c>
      <c r="F496" s="152" t="b">
        <f t="shared" si="133"/>
        <v>0</v>
      </c>
      <c r="G496" s="152" t="b">
        <f t="shared" si="134"/>
        <v>1</v>
      </c>
      <c r="H496" s="152" t="b">
        <f t="shared" si="135"/>
        <v>0</v>
      </c>
      <c r="I496" s="153" t="e">
        <f t="shared" si="136"/>
        <v>#N/A</v>
      </c>
      <c r="J496" s="158">
        <f>INDEX('Monthly Prices'!B484:CB484,$G$4)</f>
        <v>86.47</v>
      </c>
      <c r="K496" s="158" t="b">
        <f>IF(H496,INDEX('Monthly Prices'!B484:CB484,$G$4)*U496,FALSE)</f>
        <v>0</v>
      </c>
      <c r="L496" s="152" t="b">
        <f t="shared" si="140"/>
        <v>1</v>
      </c>
      <c r="M496" s="158">
        <f>INDEX('Monthly Prices'!B484:CB484,$G$5)</f>
        <v>71.44</v>
      </c>
      <c r="N496" s="158" t="b">
        <f>IF(H496,INDEX('Monthly Prices'!B484:CB484,$G$5)*U496,FALSE)</f>
        <v>0</v>
      </c>
      <c r="O496" s="152" t="b">
        <f t="shared" si="137"/>
        <v>1</v>
      </c>
      <c r="P496" s="152">
        <f t="shared" si="141"/>
        <v>1999</v>
      </c>
      <c r="Q496" s="159">
        <f>'Monthly Prices'!B484</f>
        <v>22.7</v>
      </c>
      <c r="R496" s="159">
        <f t="shared" si="142"/>
        <v>18.071388888888333</v>
      </c>
      <c r="S496" s="155">
        <f>_xlfn.XLOOKUP(P496,'Annual Real'!A:A,'Annual Real'!B:B,0,0)</f>
        <v>22.423473941765899</v>
      </c>
      <c r="T496" s="155">
        <f t="shared" ca="1" si="143"/>
        <v>1.6591247754099445</v>
      </c>
      <c r="U496" s="152">
        <f t="shared" ca="1" si="144"/>
        <v>1.6591247754099445</v>
      </c>
      <c r="V496" s="152" t="b">
        <f t="shared" si="150"/>
        <v>0</v>
      </c>
      <c r="W496" s="152" t="b">
        <f t="shared" si="151"/>
        <v>0</v>
      </c>
      <c r="X496" s="154">
        <f>LOOKUP(D496,'US Implicit Deflator'!A:A,'US Implicit Deflator'!B:B)/100</f>
        <v>6.0000000000000001E-3</v>
      </c>
      <c r="Y496" s="154">
        <f t="shared" si="145"/>
        <v>4.9863024788132648E-4</v>
      </c>
      <c r="Z496" s="165">
        <f t="shared" ca="1" si="146"/>
        <v>4.115900880223248</v>
      </c>
      <c r="AA496" s="152">
        <f t="shared" si="147"/>
        <v>7</v>
      </c>
      <c r="AB496" s="153">
        <f t="shared" si="148"/>
        <v>36404</v>
      </c>
      <c r="AC496" s="155">
        <f t="shared" ca="1" si="149"/>
        <v>1.6591247754099445</v>
      </c>
    </row>
    <row r="497" spans="3:29">
      <c r="C497" s="152" t="str">
        <f>'Monthly Prices'!A485</f>
        <v>1999M10</v>
      </c>
      <c r="D497" s="153">
        <f t="shared" si="138"/>
        <v>36434</v>
      </c>
      <c r="E497" s="152">
        <f t="shared" si="139"/>
        <v>478</v>
      </c>
      <c r="F497" s="152" t="b">
        <f t="shared" si="133"/>
        <v>0</v>
      </c>
      <c r="G497" s="152" t="b">
        <f t="shared" si="134"/>
        <v>1</v>
      </c>
      <c r="H497" s="152" t="b">
        <f t="shared" si="135"/>
        <v>0</v>
      </c>
      <c r="I497" s="153" t="e">
        <f t="shared" si="136"/>
        <v>#N/A</v>
      </c>
      <c r="J497" s="158">
        <f>INDEX('Monthly Prices'!B485:CB485,$G$4)</f>
        <v>85.8</v>
      </c>
      <c r="K497" s="158" t="b">
        <f>IF(H497,INDEX('Monthly Prices'!B485:CB485,$G$4)*U497,FALSE)</f>
        <v>0</v>
      </c>
      <c r="L497" s="152" t="b">
        <f t="shared" si="140"/>
        <v>1</v>
      </c>
      <c r="M497" s="158">
        <f>INDEX('Monthly Prices'!B485:CB485,$G$5)</f>
        <v>72.290000000000006</v>
      </c>
      <c r="N497" s="158" t="b">
        <f>IF(H497,INDEX('Monthly Prices'!B485:CB485,$G$5)*U497,FALSE)</f>
        <v>0</v>
      </c>
      <c r="O497" s="152" t="b">
        <f t="shared" si="137"/>
        <v>1</v>
      </c>
      <c r="P497" s="152">
        <f t="shared" si="141"/>
        <v>1999</v>
      </c>
      <c r="Q497" s="159">
        <f>'Monthly Prices'!B485</f>
        <v>21.95</v>
      </c>
      <c r="R497" s="159">
        <f t="shared" si="142"/>
        <v>18.071388888888333</v>
      </c>
      <c r="S497" s="155">
        <f>_xlfn.XLOOKUP(P497,'Annual Real'!A:A,'Annual Real'!B:B,0,0)</f>
        <v>22.423473941765899</v>
      </c>
      <c r="T497" s="155">
        <f t="shared" ca="1" si="143"/>
        <v>1.6574763458995418</v>
      </c>
      <c r="U497" s="152">
        <f t="shared" ca="1" si="144"/>
        <v>1.6574763458995418</v>
      </c>
      <c r="V497" s="152" t="b">
        <f t="shared" si="150"/>
        <v>0</v>
      </c>
      <c r="W497" s="152" t="b">
        <f t="shared" si="151"/>
        <v>0</v>
      </c>
      <c r="X497" s="154">
        <f>LOOKUP(D497,'US Implicit Deflator'!A:A,'US Implicit Deflator'!B:B)/100</f>
        <v>1.2E-2</v>
      </c>
      <c r="Y497" s="154">
        <f t="shared" si="145"/>
        <v>9.9454180114277868E-4</v>
      </c>
      <c r="Z497" s="165">
        <f t="shared" ca="1" si="146"/>
        <v>4.1199943156979906</v>
      </c>
      <c r="AA497" s="152">
        <f t="shared" si="147"/>
        <v>7</v>
      </c>
      <c r="AB497" s="153">
        <f t="shared" si="148"/>
        <v>36434</v>
      </c>
      <c r="AC497" s="155">
        <f t="shared" ca="1" si="149"/>
        <v>1.6574763458995418</v>
      </c>
    </row>
    <row r="498" spans="3:29">
      <c r="C498" s="152" t="str">
        <f>'Monthly Prices'!A486</f>
        <v>1999M11</v>
      </c>
      <c r="D498" s="153">
        <f t="shared" si="138"/>
        <v>36465</v>
      </c>
      <c r="E498" s="152">
        <f t="shared" si="139"/>
        <v>479</v>
      </c>
      <c r="F498" s="152" t="b">
        <f t="shared" si="133"/>
        <v>0</v>
      </c>
      <c r="G498" s="152" t="b">
        <f t="shared" si="134"/>
        <v>1</v>
      </c>
      <c r="H498" s="152" t="b">
        <f t="shared" si="135"/>
        <v>0</v>
      </c>
      <c r="I498" s="153" t="e">
        <f t="shared" si="136"/>
        <v>#N/A</v>
      </c>
      <c r="J498" s="158">
        <f>INDEX('Monthly Prices'!B486:CB486,$G$4)</f>
        <v>85.43</v>
      </c>
      <c r="K498" s="158" t="b">
        <f>IF(H498,INDEX('Monthly Prices'!B486:CB486,$G$4)*U498,FALSE)</f>
        <v>0</v>
      </c>
      <c r="L498" s="152" t="b">
        <f t="shared" si="140"/>
        <v>1</v>
      </c>
      <c r="M498" s="158">
        <f>INDEX('Monthly Prices'!B486:CB486,$G$5)</f>
        <v>73.14</v>
      </c>
      <c r="N498" s="158" t="b">
        <f>IF(H498,INDEX('Monthly Prices'!B486:CB486,$G$5)*U498,FALSE)</f>
        <v>0</v>
      </c>
      <c r="O498" s="152" t="b">
        <f t="shared" si="137"/>
        <v>1</v>
      </c>
      <c r="P498" s="152">
        <f t="shared" si="141"/>
        <v>1999</v>
      </c>
      <c r="Q498" s="159">
        <f>'Monthly Prices'!B486</f>
        <v>24.163333333330002</v>
      </c>
      <c r="R498" s="159">
        <f t="shared" si="142"/>
        <v>18.071388888888333</v>
      </c>
      <c r="S498" s="155">
        <f>_xlfn.XLOOKUP(P498,'Annual Real'!A:A,'Annual Real'!B:B,0,0)</f>
        <v>22.423473941765899</v>
      </c>
      <c r="T498" s="155">
        <f t="shared" ca="1" si="143"/>
        <v>1.65582955419233</v>
      </c>
      <c r="U498" s="152">
        <f t="shared" ca="1" si="144"/>
        <v>1.65582955419233</v>
      </c>
      <c r="V498" s="152" t="b">
        <f t="shared" si="150"/>
        <v>0</v>
      </c>
      <c r="W498" s="152" t="b">
        <f t="shared" si="151"/>
        <v>0</v>
      </c>
      <c r="X498" s="154">
        <f>LOOKUP(D498,'US Implicit Deflator'!A:A,'US Implicit Deflator'!B:B)/100</f>
        <v>1.2E-2</v>
      </c>
      <c r="Y498" s="154">
        <f t="shared" si="145"/>
        <v>9.9454180114277868E-4</v>
      </c>
      <c r="Z498" s="165">
        <f t="shared" ca="1" si="146"/>
        <v>4.1240918222654228</v>
      </c>
      <c r="AA498" s="152">
        <f t="shared" si="147"/>
        <v>7</v>
      </c>
      <c r="AB498" s="153">
        <f t="shared" si="148"/>
        <v>36465</v>
      </c>
      <c r="AC498" s="155">
        <f t="shared" ca="1" si="149"/>
        <v>1.65582955419233</v>
      </c>
    </row>
    <row r="499" spans="3:29">
      <c r="C499" s="152" t="str">
        <f>'Monthly Prices'!A487</f>
        <v>1999M12</v>
      </c>
      <c r="D499" s="153">
        <f t="shared" si="138"/>
        <v>36495</v>
      </c>
      <c r="E499" s="152">
        <f t="shared" si="139"/>
        <v>480</v>
      </c>
      <c r="F499" s="152" t="b">
        <f t="shared" si="133"/>
        <v>0</v>
      </c>
      <c r="G499" s="152" t="b">
        <f t="shared" si="134"/>
        <v>1</v>
      </c>
      <c r="H499" s="152" t="b">
        <f t="shared" si="135"/>
        <v>0</v>
      </c>
      <c r="I499" s="153" t="e">
        <f t="shared" si="136"/>
        <v>#N/A</v>
      </c>
      <c r="J499" s="158">
        <f>INDEX('Monthly Prices'!B487:CB487,$G$4)</f>
        <v>87.18</v>
      </c>
      <c r="K499" s="158" t="b">
        <f>IF(H499,INDEX('Monthly Prices'!B487:CB487,$G$4)*U499,FALSE)</f>
        <v>0</v>
      </c>
      <c r="L499" s="152" t="b">
        <f t="shared" si="140"/>
        <v>1</v>
      </c>
      <c r="M499" s="158">
        <f>INDEX('Monthly Prices'!B487:CB487,$G$5)</f>
        <v>72.36</v>
      </c>
      <c r="N499" s="158" t="b">
        <f>IF(H499,INDEX('Monthly Prices'!B487:CB487,$G$5)*U499,FALSE)</f>
        <v>0</v>
      </c>
      <c r="O499" s="152" t="b">
        <f t="shared" si="137"/>
        <v>1</v>
      </c>
      <c r="P499" s="152">
        <f t="shared" si="141"/>
        <v>1999</v>
      </c>
      <c r="Q499" s="159">
        <f>'Monthly Prices'!B487</f>
        <v>25.1</v>
      </c>
      <c r="R499" s="159">
        <f t="shared" si="142"/>
        <v>18.071388888888333</v>
      </c>
      <c r="S499" s="155">
        <f>_xlfn.XLOOKUP(P499,'Annual Real'!A:A,'Annual Real'!B:B,0,0)</f>
        <v>22.423473941765899</v>
      </c>
      <c r="T499" s="155">
        <f t="shared" ca="1" si="143"/>
        <v>1.6541843986610634</v>
      </c>
      <c r="U499" s="152">
        <f t="shared" ca="1" si="144"/>
        <v>1.6541843986610634</v>
      </c>
      <c r="V499" s="152" t="b">
        <f t="shared" si="150"/>
        <v>0</v>
      </c>
      <c r="W499" s="152" t="b">
        <f t="shared" si="151"/>
        <v>0</v>
      </c>
      <c r="X499" s="154">
        <f>LOOKUP(D499,'US Implicit Deflator'!A:A,'US Implicit Deflator'!B:B)/100</f>
        <v>1.2E-2</v>
      </c>
      <c r="Y499" s="154">
        <f t="shared" si="145"/>
        <v>9.9454180114277868E-4</v>
      </c>
      <c r="Z499" s="165">
        <f t="shared" ca="1" si="146"/>
        <v>4.128193403974417</v>
      </c>
      <c r="AA499" s="152">
        <f t="shared" si="147"/>
        <v>7</v>
      </c>
      <c r="AB499" s="153">
        <f t="shared" si="148"/>
        <v>36495</v>
      </c>
      <c r="AC499" s="155">
        <f t="shared" ca="1" si="149"/>
        <v>1.6541843986610634</v>
      </c>
    </row>
    <row r="500" spans="3:29">
      <c r="C500" s="152" t="str">
        <f>'Monthly Prices'!A488</f>
        <v>2000M01</v>
      </c>
      <c r="D500" s="153">
        <f t="shared" si="138"/>
        <v>36526</v>
      </c>
      <c r="E500" s="152">
        <f t="shared" si="139"/>
        <v>481</v>
      </c>
      <c r="F500" s="152" t="b">
        <f t="shared" si="133"/>
        <v>0</v>
      </c>
      <c r="G500" s="152" t="b">
        <f t="shared" si="134"/>
        <v>1</v>
      </c>
      <c r="H500" s="152" t="b">
        <f t="shared" si="135"/>
        <v>0</v>
      </c>
      <c r="I500" s="153" t="e">
        <f t="shared" si="136"/>
        <v>#N/A</v>
      </c>
      <c r="J500" s="158">
        <f>INDEX('Monthly Prices'!B488:CB488,$G$4)</f>
        <v>93.29</v>
      </c>
      <c r="K500" s="158" t="b">
        <f>IF(H500,INDEX('Monthly Prices'!B488:CB488,$G$4)*U500,FALSE)</f>
        <v>0</v>
      </c>
      <c r="L500" s="152" t="b">
        <f t="shared" si="140"/>
        <v>1</v>
      </c>
      <c r="M500" s="158">
        <f>INDEX('Monthly Prices'!B488:CB488,$G$5)</f>
        <v>73.13</v>
      </c>
      <c r="N500" s="158" t="b">
        <f>IF(H500,INDEX('Monthly Prices'!B488:CB488,$G$5)*U500,FALSE)</f>
        <v>0</v>
      </c>
      <c r="O500" s="152" t="b">
        <f t="shared" si="137"/>
        <v>1</v>
      </c>
      <c r="P500" s="152">
        <f t="shared" si="141"/>
        <v>2000</v>
      </c>
      <c r="Q500" s="159">
        <f>'Monthly Prices'!B488</f>
        <v>25.31</v>
      </c>
      <c r="R500" s="159">
        <f t="shared" si="142"/>
        <v>28.229719444445834</v>
      </c>
      <c r="S500" s="155">
        <f>_xlfn.XLOOKUP(P500,'Annual Real'!A:A,'Annual Real'!B:B,0,0)</f>
        <v>35.482467945725197</v>
      </c>
      <c r="T500" s="155">
        <f t="shared" ca="1" si="143"/>
        <v>1.6518622983679696</v>
      </c>
      <c r="U500" s="152">
        <f t="shared" ca="1" si="144"/>
        <v>1.6518622983679696</v>
      </c>
      <c r="V500" s="152" t="b">
        <f t="shared" si="150"/>
        <v>0</v>
      </c>
      <c r="W500" s="152" t="b">
        <f t="shared" si="151"/>
        <v>0</v>
      </c>
      <c r="X500" s="154">
        <f>LOOKUP(D500,'US Implicit Deflator'!A:A,'US Implicit Deflator'!B:B)/100</f>
        <v>1.7000000000000001E-2</v>
      </c>
      <c r="Y500" s="154">
        <f t="shared" si="145"/>
        <v>1.4057468926966799E-3</v>
      </c>
      <c r="Z500" s="165">
        <f t="shared" ca="1" si="146"/>
        <v>4.1339965990245053</v>
      </c>
      <c r="AA500" s="152">
        <f t="shared" si="147"/>
        <v>7</v>
      </c>
      <c r="AB500" s="153">
        <f t="shared" si="148"/>
        <v>36526</v>
      </c>
      <c r="AC500" s="155">
        <f t="shared" ca="1" si="149"/>
        <v>1.6518622983679696</v>
      </c>
    </row>
    <row r="501" spans="3:29">
      <c r="C501" s="152" t="str">
        <f>'Monthly Prices'!A489</f>
        <v>2000M02</v>
      </c>
      <c r="D501" s="153">
        <f t="shared" si="138"/>
        <v>36557</v>
      </c>
      <c r="E501" s="152">
        <f t="shared" si="139"/>
        <v>482</v>
      </c>
      <c r="F501" s="152" t="b">
        <f t="shared" si="133"/>
        <v>0</v>
      </c>
      <c r="G501" s="152" t="b">
        <f t="shared" si="134"/>
        <v>1</v>
      </c>
      <c r="H501" s="152" t="b">
        <f t="shared" si="135"/>
        <v>0</v>
      </c>
      <c r="I501" s="153" t="e">
        <f t="shared" si="136"/>
        <v>#N/A</v>
      </c>
      <c r="J501" s="158">
        <f>INDEX('Monthly Prices'!B489:CB489,$G$4)</f>
        <v>95.15</v>
      </c>
      <c r="K501" s="158" t="b">
        <f>IF(H501,INDEX('Monthly Prices'!B489:CB489,$G$4)*U501,FALSE)</f>
        <v>0</v>
      </c>
      <c r="L501" s="152" t="b">
        <f t="shared" si="140"/>
        <v>1</v>
      </c>
      <c r="M501" s="158">
        <f>INDEX('Monthly Prices'!B489:CB489,$G$5)</f>
        <v>73.36</v>
      </c>
      <c r="N501" s="158" t="b">
        <f>IF(H501,INDEX('Monthly Prices'!B489:CB489,$G$5)*U501,FALSE)</f>
        <v>0</v>
      </c>
      <c r="O501" s="152" t="b">
        <f t="shared" si="137"/>
        <v>1</v>
      </c>
      <c r="P501" s="152">
        <f t="shared" si="141"/>
        <v>2000</v>
      </c>
      <c r="Q501" s="159">
        <f>'Monthly Prices'!B489</f>
        <v>27.220966666670002</v>
      </c>
      <c r="R501" s="159">
        <f t="shared" si="142"/>
        <v>28.229719444445834</v>
      </c>
      <c r="S501" s="155">
        <f>_xlfn.XLOOKUP(P501,'Annual Real'!A:A,'Annual Real'!B:B,0,0)</f>
        <v>35.482467945725197</v>
      </c>
      <c r="T501" s="155">
        <f t="shared" ca="1" si="143"/>
        <v>1.6495434577778303</v>
      </c>
      <c r="U501" s="152">
        <f t="shared" ca="1" si="144"/>
        <v>1.6495434577778303</v>
      </c>
      <c r="V501" s="152" t="b">
        <f t="shared" si="150"/>
        <v>0</v>
      </c>
      <c r="W501" s="152" t="b">
        <f t="shared" si="151"/>
        <v>0</v>
      </c>
      <c r="X501" s="154">
        <f>LOOKUP(D501,'US Implicit Deflator'!A:A,'US Implicit Deflator'!B:B)/100</f>
        <v>1.7000000000000001E-2</v>
      </c>
      <c r="Y501" s="154">
        <f t="shared" si="145"/>
        <v>1.4057468926966799E-3</v>
      </c>
      <c r="Z501" s="165">
        <f t="shared" ca="1" si="146"/>
        <v>4.1398079518980024</v>
      </c>
      <c r="AA501" s="152">
        <f t="shared" si="147"/>
        <v>7</v>
      </c>
      <c r="AB501" s="153">
        <f t="shared" si="148"/>
        <v>36557</v>
      </c>
      <c r="AC501" s="155">
        <f t="shared" ca="1" si="149"/>
        <v>1.6495434577778303</v>
      </c>
    </row>
    <row r="502" spans="3:29">
      <c r="C502" s="152" t="str">
        <f>'Monthly Prices'!A490</f>
        <v>2000M03</v>
      </c>
      <c r="D502" s="153">
        <f t="shared" si="138"/>
        <v>36586</v>
      </c>
      <c r="E502" s="152">
        <f t="shared" si="139"/>
        <v>483</v>
      </c>
      <c r="F502" s="152" t="b">
        <f t="shared" si="133"/>
        <v>0</v>
      </c>
      <c r="G502" s="152" t="b">
        <f t="shared" si="134"/>
        <v>1</v>
      </c>
      <c r="H502" s="152" t="b">
        <f t="shared" si="135"/>
        <v>0</v>
      </c>
      <c r="I502" s="153" t="e">
        <f t="shared" si="136"/>
        <v>#N/A</v>
      </c>
      <c r="J502" s="158">
        <f>INDEX('Monthly Prices'!B490:CB490,$G$4)</f>
        <v>95.05</v>
      </c>
      <c r="K502" s="158" t="b">
        <f>IF(H502,INDEX('Monthly Prices'!B490:CB490,$G$4)*U502,FALSE)</f>
        <v>0</v>
      </c>
      <c r="L502" s="152" t="b">
        <f t="shared" si="140"/>
        <v>1</v>
      </c>
      <c r="M502" s="158">
        <f>INDEX('Monthly Prices'!B490:CB490,$G$5)</f>
        <v>74.400000000000006</v>
      </c>
      <c r="N502" s="158" t="b">
        <f>IF(H502,INDEX('Monthly Prices'!B490:CB490,$G$5)*U502,FALSE)</f>
        <v>0</v>
      </c>
      <c r="O502" s="152" t="b">
        <f t="shared" si="137"/>
        <v>1</v>
      </c>
      <c r="P502" s="152">
        <f t="shared" si="141"/>
        <v>2000</v>
      </c>
      <c r="Q502" s="159">
        <f>'Monthly Prices'!B490</f>
        <v>27.49</v>
      </c>
      <c r="R502" s="159">
        <f t="shared" si="142"/>
        <v>28.229719444445834</v>
      </c>
      <c r="S502" s="155">
        <f>_xlfn.XLOOKUP(P502,'Annual Real'!A:A,'Annual Real'!B:B,0,0)</f>
        <v>35.482467945725197</v>
      </c>
      <c r="T502" s="155">
        <f t="shared" ca="1" si="143"/>
        <v>1.6472278723147606</v>
      </c>
      <c r="U502" s="152">
        <f t="shared" ca="1" si="144"/>
        <v>1.6472278723147606</v>
      </c>
      <c r="V502" s="152" t="b">
        <f t="shared" si="150"/>
        <v>0</v>
      </c>
      <c r="W502" s="152" t="b">
        <f t="shared" si="151"/>
        <v>0</v>
      </c>
      <c r="X502" s="154">
        <f>LOOKUP(D502,'US Implicit Deflator'!A:A,'US Implicit Deflator'!B:B)/100</f>
        <v>1.7000000000000001E-2</v>
      </c>
      <c r="Y502" s="154">
        <f t="shared" si="145"/>
        <v>1.4057468926966799E-3</v>
      </c>
      <c r="Z502" s="165">
        <f t="shared" ca="1" si="146"/>
        <v>4.1456274740627439</v>
      </c>
      <c r="AA502" s="152">
        <f t="shared" si="147"/>
        <v>7</v>
      </c>
      <c r="AB502" s="153">
        <f t="shared" si="148"/>
        <v>36586</v>
      </c>
      <c r="AC502" s="155">
        <f t="shared" ca="1" si="149"/>
        <v>1.6472278723147606</v>
      </c>
    </row>
    <row r="503" spans="3:29">
      <c r="C503" s="152" t="str">
        <f>'Monthly Prices'!A491</f>
        <v>2000M04</v>
      </c>
      <c r="D503" s="153">
        <f t="shared" si="138"/>
        <v>36617</v>
      </c>
      <c r="E503" s="152">
        <f t="shared" si="139"/>
        <v>484</v>
      </c>
      <c r="F503" s="152" t="b">
        <f t="shared" si="133"/>
        <v>0</v>
      </c>
      <c r="G503" s="152" t="b">
        <f t="shared" si="134"/>
        <v>1</v>
      </c>
      <c r="H503" s="152" t="b">
        <f t="shared" si="135"/>
        <v>0</v>
      </c>
      <c r="I503" s="153" t="e">
        <f t="shared" si="136"/>
        <v>#N/A</v>
      </c>
      <c r="J503" s="158">
        <f>INDEX('Monthly Prices'!B491:CB491,$G$4)</f>
        <v>95.2</v>
      </c>
      <c r="K503" s="158" t="b">
        <f>IF(H503,INDEX('Monthly Prices'!B491:CB491,$G$4)*U503,FALSE)</f>
        <v>0</v>
      </c>
      <c r="L503" s="152" t="b">
        <f t="shared" si="140"/>
        <v>1</v>
      </c>
      <c r="M503" s="158">
        <f>INDEX('Monthly Prices'!B491:CB491,$G$5)</f>
        <v>76.95</v>
      </c>
      <c r="N503" s="158" t="b">
        <f>IF(H503,INDEX('Monthly Prices'!B491:CB491,$G$5)*U503,FALSE)</f>
        <v>0</v>
      </c>
      <c r="O503" s="152" t="b">
        <f t="shared" si="137"/>
        <v>1</v>
      </c>
      <c r="P503" s="152">
        <f t="shared" si="141"/>
        <v>2000</v>
      </c>
      <c r="Q503" s="159">
        <f>'Monthly Prices'!B491</f>
        <v>23.47</v>
      </c>
      <c r="R503" s="159">
        <f t="shared" si="142"/>
        <v>28.229719444445834</v>
      </c>
      <c r="S503" s="155">
        <f>_xlfn.XLOOKUP(P503,'Annual Real'!A:A,'Annual Real'!B:B,0,0)</f>
        <v>35.482467945725197</v>
      </c>
      <c r="T503" s="155">
        <f t="shared" ca="1" si="143"/>
        <v>1.6446462542689571</v>
      </c>
      <c r="U503" s="152">
        <f t="shared" ca="1" si="144"/>
        <v>1.6446462542689571</v>
      </c>
      <c r="V503" s="152" t="b">
        <f t="shared" si="150"/>
        <v>0</v>
      </c>
      <c r="W503" s="152" t="b">
        <f t="shared" si="151"/>
        <v>0</v>
      </c>
      <c r="X503" s="154">
        <f>LOOKUP(D503,'US Implicit Deflator'!A:A,'US Implicit Deflator'!B:B)/100</f>
        <v>1.9E-2</v>
      </c>
      <c r="Y503" s="154">
        <f t="shared" si="145"/>
        <v>1.5697102274137009E-3</v>
      </c>
      <c r="Z503" s="165">
        <f t="shared" ca="1" si="146"/>
        <v>4.1521349079078274</v>
      </c>
      <c r="AA503" s="152">
        <f t="shared" si="147"/>
        <v>7</v>
      </c>
      <c r="AB503" s="153">
        <f t="shared" si="148"/>
        <v>36617</v>
      </c>
      <c r="AC503" s="155">
        <f t="shared" ca="1" si="149"/>
        <v>1.6446462542689571</v>
      </c>
    </row>
    <row r="504" spans="3:29">
      <c r="C504" s="152" t="str">
        <f>'Monthly Prices'!A492</f>
        <v>2000M05</v>
      </c>
      <c r="D504" s="153">
        <f t="shared" si="138"/>
        <v>36647</v>
      </c>
      <c r="E504" s="152">
        <f t="shared" si="139"/>
        <v>485</v>
      </c>
      <c r="F504" s="152" t="b">
        <f t="shared" si="133"/>
        <v>0</v>
      </c>
      <c r="G504" s="152" t="b">
        <f t="shared" si="134"/>
        <v>1</v>
      </c>
      <c r="H504" s="152" t="b">
        <f t="shared" si="135"/>
        <v>0</v>
      </c>
      <c r="I504" s="153" t="e">
        <f t="shared" si="136"/>
        <v>#N/A</v>
      </c>
      <c r="J504" s="158">
        <f>INDEX('Monthly Prices'!B492:CB492,$G$4)</f>
        <v>96.35</v>
      </c>
      <c r="K504" s="158" t="b">
        <f>IF(H504,INDEX('Monthly Prices'!B492:CB492,$G$4)*U504,FALSE)</f>
        <v>0</v>
      </c>
      <c r="L504" s="152" t="b">
        <f t="shared" si="140"/>
        <v>1</v>
      </c>
      <c r="M504" s="158">
        <f>INDEX('Monthly Prices'!B492:CB492,$G$5)</f>
        <v>78.260000000000005</v>
      </c>
      <c r="N504" s="158" t="b">
        <f>IF(H504,INDEX('Monthly Prices'!B492:CB492,$G$5)*U504,FALSE)</f>
        <v>0</v>
      </c>
      <c r="O504" s="152" t="b">
        <f t="shared" si="137"/>
        <v>1</v>
      </c>
      <c r="P504" s="152">
        <f t="shared" si="141"/>
        <v>2000</v>
      </c>
      <c r="Q504" s="159">
        <f>'Monthly Prices'!B492</f>
        <v>27.18666666667</v>
      </c>
      <c r="R504" s="159">
        <f t="shared" si="142"/>
        <v>28.229719444445834</v>
      </c>
      <c r="S504" s="155">
        <f>_xlfn.XLOOKUP(P504,'Annual Real'!A:A,'Annual Real'!B:B,0,0)</f>
        <v>35.482467945725197</v>
      </c>
      <c r="T504" s="155">
        <f t="shared" ca="1" si="143"/>
        <v>1.6420686822642909</v>
      </c>
      <c r="U504" s="152">
        <f t="shared" ca="1" si="144"/>
        <v>1.6420686822642909</v>
      </c>
      <c r="V504" s="152" t="b">
        <f t="shared" si="150"/>
        <v>0</v>
      </c>
      <c r="W504" s="152" t="b">
        <f t="shared" si="151"/>
        <v>0</v>
      </c>
      <c r="X504" s="154">
        <f>LOOKUP(D504,'US Implicit Deflator'!A:A,'US Implicit Deflator'!B:B)/100</f>
        <v>1.9E-2</v>
      </c>
      <c r="Y504" s="154">
        <f t="shared" si="145"/>
        <v>1.5697102274137009E-3</v>
      </c>
      <c r="Z504" s="165">
        <f t="shared" ca="1" si="146"/>
        <v>4.1586525565383718</v>
      </c>
      <c r="AA504" s="152">
        <f t="shared" si="147"/>
        <v>7</v>
      </c>
      <c r="AB504" s="153">
        <f t="shared" si="148"/>
        <v>36647</v>
      </c>
      <c r="AC504" s="155">
        <f t="shared" ca="1" si="149"/>
        <v>1.6420686822642909</v>
      </c>
    </row>
    <row r="505" spans="3:29">
      <c r="C505" s="152" t="str">
        <f>'Monthly Prices'!A493</f>
        <v>2000M06</v>
      </c>
      <c r="D505" s="153">
        <f t="shared" si="138"/>
        <v>36678</v>
      </c>
      <c r="E505" s="152">
        <f t="shared" si="139"/>
        <v>486</v>
      </c>
      <c r="F505" s="152" t="b">
        <f t="shared" si="133"/>
        <v>0</v>
      </c>
      <c r="G505" s="152" t="b">
        <f t="shared" si="134"/>
        <v>1</v>
      </c>
      <c r="H505" s="152" t="b">
        <f t="shared" si="135"/>
        <v>0</v>
      </c>
      <c r="I505" s="153" t="e">
        <f t="shared" si="136"/>
        <v>#N/A</v>
      </c>
      <c r="J505" s="158">
        <f>INDEX('Monthly Prices'!B493:CB493,$G$4)</f>
        <v>84.33</v>
      </c>
      <c r="K505" s="158" t="b">
        <f>IF(H505,INDEX('Monthly Prices'!B493:CB493,$G$4)*U505,FALSE)</f>
        <v>0</v>
      </c>
      <c r="L505" s="152" t="b">
        <f t="shared" si="140"/>
        <v>1</v>
      </c>
      <c r="M505" s="158">
        <f>INDEX('Monthly Prices'!B493:CB493,$G$5)</f>
        <v>78.48</v>
      </c>
      <c r="N505" s="158" t="b">
        <f>IF(H505,INDEX('Monthly Prices'!B493:CB493,$G$5)*U505,FALSE)</f>
        <v>0</v>
      </c>
      <c r="O505" s="152" t="b">
        <f t="shared" si="137"/>
        <v>1</v>
      </c>
      <c r="P505" s="152">
        <f t="shared" si="141"/>
        <v>2000</v>
      </c>
      <c r="Q505" s="159">
        <f>'Monthly Prices'!B493</f>
        <v>29.620766666670001</v>
      </c>
      <c r="R505" s="159">
        <f t="shared" si="142"/>
        <v>28.229719444445834</v>
      </c>
      <c r="S505" s="155">
        <f>_xlfn.XLOOKUP(P505,'Annual Real'!A:A,'Annual Real'!B:B,0,0)</f>
        <v>35.482467945725197</v>
      </c>
      <c r="T505" s="155">
        <f t="shared" ca="1" si="143"/>
        <v>1.6394951499596042</v>
      </c>
      <c r="U505" s="152">
        <f t="shared" ca="1" si="144"/>
        <v>1.6394951499596042</v>
      </c>
      <c r="V505" s="152" t="b">
        <f t="shared" si="150"/>
        <v>0</v>
      </c>
      <c r="W505" s="152" t="b">
        <f t="shared" si="151"/>
        <v>0</v>
      </c>
      <c r="X505" s="154">
        <f>LOOKUP(D505,'US Implicit Deflator'!A:A,'US Implicit Deflator'!B:B)/100</f>
        <v>1.9E-2</v>
      </c>
      <c r="Y505" s="154">
        <f t="shared" si="145"/>
        <v>1.5697102274137009E-3</v>
      </c>
      <c r="Z505" s="165">
        <f t="shared" ca="1" si="146"/>
        <v>4.1651804359886304</v>
      </c>
      <c r="AA505" s="152">
        <f t="shared" si="147"/>
        <v>7</v>
      </c>
      <c r="AB505" s="153">
        <f t="shared" si="148"/>
        <v>36678</v>
      </c>
      <c r="AC505" s="155">
        <f t="shared" ca="1" si="149"/>
        <v>1.6394951499596042</v>
      </c>
    </row>
    <row r="506" spans="3:29">
      <c r="C506" s="152" t="str">
        <f>'Monthly Prices'!A494</f>
        <v>2000M07</v>
      </c>
      <c r="D506" s="153">
        <f t="shared" si="138"/>
        <v>36708</v>
      </c>
      <c r="E506" s="152">
        <f t="shared" si="139"/>
        <v>487</v>
      </c>
      <c r="F506" s="152" t="b">
        <f t="shared" si="133"/>
        <v>0</v>
      </c>
      <c r="G506" s="152" t="b">
        <f t="shared" si="134"/>
        <v>1</v>
      </c>
      <c r="H506" s="152" t="b">
        <f t="shared" si="135"/>
        <v>0</v>
      </c>
      <c r="I506" s="153" t="e">
        <f t="shared" si="136"/>
        <v>#N/A</v>
      </c>
      <c r="J506" s="158">
        <f>INDEX('Monthly Prices'!B494:CB494,$G$4)</f>
        <v>75.27</v>
      </c>
      <c r="K506" s="158" t="b">
        <f>IF(H506,INDEX('Monthly Prices'!B494:CB494,$G$4)*U506,FALSE)</f>
        <v>0</v>
      </c>
      <c r="L506" s="152" t="b">
        <f t="shared" si="140"/>
        <v>1</v>
      </c>
      <c r="M506" s="158">
        <f>INDEX('Monthly Prices'!B494:CB494,$G$5)</f>
        <v>78.680000000000007</v>
      </c>
      <c r="N506" s="158" t="b">
        <f>IF(H506,INDEX('Monthly Prices'!B494:CB494,$G$5)*U506,FALSE)</f>
        <v>0</v>
      </c>
      <c r="O506" s="152" t="b">
        <f t="shared" si="137"/>
        <v>1</v>
      </c>
      <c r="P506" s="152">
        <f t="shared" si="141"/>
        <v>2000</v>
      </c>
      <c r="Q506" s="159">
        <f>'Monthly Prices'!B494</f>
        <v>28.176666666669998</v>
      </c>
      <c r="R506" s="159">
        <f t="shared" si="142"/>
        <v>28.229719444445834</v>
      </c>
      <c r="S506" s="155">
        <f>_xlfn.XLOOKUP(P506,'Annual Real'!A:A,'Annual Real'!B:B,0,0)</f>
        <v>35.482467945725197</v>
      </c>
      <c r="T506" s="155">
        <f t="shared" ca="1" si="143"/>
        <v>1.6365246891567906</v>
      </c>
      <c r="U506" s="152">
        <f t="shared" ca="1" si="144"/>
        <v>1.6365246891567906</v>
      </c>
      <c r="V506" s="152" t="b">
        <f t="shared" si="150"/>
        <v>0</v>
      </c>
      <c r="W506" s="152" t="b">
        <f t="shared" si="151"/>
        <v>0</v>
      </c>
      <c r="X506" s="154">
        <f>LOOKUP(D506,'US Implicit Deflator'!A:A,'US Implicit Deflator'!B:B)/100</f>
        <v>2.2000000000000002E-2</v>
      </c>
      <c r="Y506" s="154">
        <f t="shared" si="145"/>
        <v>1.8151029571964461E-3</v>
      </c>
      <c r="Z506" s="165">
        <f t="shared" ca="1" si="146"/>
        <v>4.1727406673152503</v>
      </c>
      <c r="AA506" s="152">
        <f t="shared" si="147"/>
        <v>7</v>
      </c>
      <c r="AB506" s="153">
        <f t="shared" si="148"/>
        <v>36708</v>
      </c>
      <c r="AC506" s="155">
        <f t="shared" ca="1" si="149"/>
        <v>1.6365246891567906</v>
      </c>
    </row>
    <row r="507" spans="3:29">
      <c r="C507" s="152" t="str">
        <f>'Monthly Prices'!A495</f>
        <v>2000M08</v>
      </c>
      <c r="D507" s="153">
        <f t="shared" si="138"/>
        <v>36739</v>
      </c>
      <c r="E507" s="152">
        <f t="shared" si="139"/>
        <v>488</v>
      </c>
      <c r="F507" s="152" t="b">
        <f t="shared" si="133"/>
        <v>0</v>
      </c>
      <c r="G507" s="152" t="b">
        <f t="shared" si="134"/>
        <v>1</v>
      </c>
      <c r="H507" s="152" t="b">
        <f t="shared" si="135"/>
        <v>0</v>
      </c>
      <c r="I507" s="153" t="e">
        <f t="shared" si="136"/>
        <v>#N/A</v>
      </c>
      <c r="J507" s="158">
        <f>INDEX('Monthly Prices'!B495:CB495,$G$4)</f>
        <v>75.58</v>
      </c>
      <c r="K507" s="158" t="b">
        <f>IF(H507,INDEX('Monthly Prices'!B495:CB495,$G$4)*U507,FALSE)</f>
        <v>0</v>
      </c>
      <c r="L507" s="152" t="b">
        <f t="shared" si="140"/>
        <v>1</v>
      </c>
      <c r="M507" s="158">
        <f>INDEX('Monthly Prices'!B495:CB495,$G$5)</f>
        <v>75.13</v>
      </c>
      <c r="N507" s="158" t="b">
        <f>IF(H507,INDEX('Monthly Prices'!B495:CB495,$G$5)*U507,FALSE)</f>
        <v>0</v>
      </c>
      <c r="O507" s="152" t="b">
        <f t="shared" si="137"/>
        <v>1</v>
      </c>
      <c r="P507" s="152">
        <f t="shared" si="141"/>
        <v>2000</v>
      </c>
      <c r="Q507" s="159">
        <f>'Monthly Prices'!B495</f>
        <v>29.262899999999998</v>
      </c>
      <c r="R507" s="159">
        <f t="shared" si="142"/>
        <v>28.229719444445834</v>
      </c>
      <c r="S507" s="155">
        <f>_xlfn.XLOOKUP(P507,'Annual Real'!A:A,'Annual Real'!B:B,0,0)</f>
        <v>35.482467945725197</v>
      </c>
      <c r="T507" s="155">
        <f t="shared" ca="1" si="143"/>
        <v>1.6335596102774192</v>
      </c>
      <c r="U507" s="152">
        <f t="shared" ca="1" si="144"/>
        <v>1.6335596102774192</v>
      </c>
      <c r="V507" s="152" t="b">
        <f t="shared" si="150"/>
        <v>0</v>
      </c>
      <c r="W507" s="152" t="b">
        <f t="shared" si="151"/>
        <v>0</v>
      </c>
      <c r="X507" s="154">
        <f>LOOKUP(D507,'US Implicit Deflator'!A:A,'US Implicit Deflator'!B:B)/100</f>
        <v>2.2000000000000002E-2</v>
      </c>
      <c r="Y507" s="154">
        <f t="shared" si="145"/>
        <v>1.8151029571964461E-3</v>
      </c>
      <c r="Z507" s="165">
        <f t="shared" ca="1" si="146"/>
        <v>4.1803146212401083</v>
      </c>
      <c r="AA507" s="152">
        <f t="shared" si="147"/>
        <v>7</v>
      </c>
      <c r="AB507" s="153">
        <f t="shared" si="148"/>
        <v>36739</v>
      </c>
      <c r="AC507" s="155">
        <f t="shared" ca="1" si="149"/>
        <v>1.6335596102774192</v>
      </c>
    </row>
    <row r="508" spans="3:29">
      <c r="C508" s="152" t="str">
        <f>'Monthly Prices'!A496</f>
        <v>2000M09</v>
      </c>
      <c r="D508" s="153">
        <f t="shared" si="138"/>
        <v>36770</v>
      </c>
      <c r="E508" s="152">
        <f t="shared" si="139"/>
        <v>489</v>
      </c>
      <c r="F508" s="152" t="b">
        <f t="shared" si="133"/>
        <v>0</v>
      </c>
      <c r="G508" s="152" t="b">
        <f t="shared" si="134"/>
        <v>1</v>
      </c>
      <c r="H508" s="152" t="b">
        <f t="shared" si="135"/>
        <v>0</v>
      </c>
      <c r="I508" s="153" t="e">
        <f t="shared" si="136"/>
        <v>#N/A</v>
      </c>
      <c r="J508" s="158">
        <f>INDEX('Monthly Prices'!B496:CB496,$G$4)</f>
        <v>80.430000000000007</v>
      </c>
      <c r="K508" s="158" t="b">
        <f>IF(H508,INDEX('Monthly Prices'!B496:CB496,$G$4)*U508,FALSE)</f>
        <v>0</v>
      </c>
      <c r="L508" s="152" t="b">
        <f t="shared" si="140"/>
        <v>1</v>
      </c>
      <c r="M508" s="158">
        <f>INDEX('Monthly Prices'!B496:CB496,$G$5)</f>
        <v>73.209999999999994</v>
      </c>
      <c r="N508" s="158" t="b">
        <f>IF(H508,INDEX('Monthly Prices'!B496:CB496,$G$5)*U508,FALSE)</f>
        <v>0</v>
      </c>
      <c r="O508" s="152" t="b">
        <f t="shared" si="137"/>
        <v>1</v>
      </c>
      <c r="P508" s="152">
        <f t="shared" si="141"/>
        <v>2000</v>
      </c>
      <c r="Q508" s="159">
        <f>'Monthly Prices'!B496</f>
        <v>32.082833333330001</v>
      </c>
      <c r="R508" s="159">
        <f t="shared" si="142"/>
        <v>28.229719444445834</v>
      </c>
      <c r="S508" s="155">
        <f>_xlfn.XLOOKUP(P508,'Annual Real'!A:A,'Annual Real'!B:B,0,0)</f>
        <v>35.482467945725197</v>
      </c>
      <c r="T508" s="155">
        <f t="shared" ca="1" si="143"/>
        <v>1.6305999035704444</v>
      </c>
      <c r="U508" s="152">
        <f t="shared" ca="1" si="144"/>
        <v>1.6305999035704444</v>
      </c>
      <c r="V508" s="152" t="b">
        <f t="shared" si="150"/>
        <v>0</v>
      </c>
      <c r="W508" s="152" t="b">
        <f t="shared" si="151"/>
        <v>0</v>
      </c>
      <c r="X508" s="154">
        <f>LOOKUP(D508,'US Implicit Deflator'!A:A,'US Implicit Deflator'!B:B)/100</f>
        <v>2.2000000000000002E-2</v>
      </c>
      <c r="Y508" s="154">
        <f t="shared" si="145"/>
        <v>1.8151029571964461E-3</v>
      </c>
      <c r="Z508" s="165">
        <f t="shared" ca="1" si="146"/>
        <v>4.1879023226711327</v>
      </c>
      <c r="AA508" s="152">
        <f t="shared" si="147"/>
        <v>7</v>
      </c>
      <c r="AB508" s="153">
        <f t="shared" si="148"/>
        <v>36770</v>
      </c>
      <c r="AC508" s="155">
        <f t="shared" ca="1" si="149"/>
        <v>1.6305999035704444</v>
      </c>
    </row>
    <row r="509" spans="3:29">
      <c r="C509" s="152" t="str">
        <f>'Monthly Prices'!A497</f>
        <v>2000M10</v>
      </c>
      <c r="D509" s="153">
        <f t="shared" si="138"/>
        <v>36800</v>
      </c>
      <c r="E509" s="152">
        <f t="shared" si="139"/>
        <v>490</v>
      </c>
      <c r="F509" s="152" t="b">
        <f t="shared" si="133"/>
        <v>0</v>
      </c>
      <c r="G509" s="152" t="b">
        <f t="shared" si="134"/>
        <v>1</v>
      </c>
      <c r="H509" s="152" t="b">
        <f t="shared" si="135"/>
        <v>0</v>
      </c>
      <c r="I509" s="153" t="e">
        <f t="shared" si="136"/>
        <v>#N/A</v>
      </c>
      <c r="J509" s="158">
        <f>INDEX('Monthly Prices'!B497:CB497,$G$4)</f>
        <v>85.03</v>
      </c>
      <c r="K509" s="158" t="b">
        <f>IF(H509,INDEX('Monthly Prices'!B497:CB497,$G$4)*U509,FALSE)</f>
        <v>0</v>
      </c>
      <c r="L509" s="152" t="b">
        <f t="shared" si="140"/>
        <v>1</v>
      </c>
      <c r="M509" s="158">
        <f>INDEX('Monthly Prices'!B497:CB497,$G$5)</f>
        <v>76.150000000000006</v>
      </c>
      <c r="N509" s="158" t="b">
        <f>IF(H509,INDEX('Monthly Prices'!B497:CB497,$G$5)*U509,FALSE)</f>
        <v>0</v>
      </c>
      <c r="O509" s="152" t="b">
        <f t="shared" si="137"/>
        <v>1</v>
      </c>
      <c r="P509" s="152">
        <f t="shared" si="141"/>
        <v>2000</v>
      </c>
      <c r="Q509" s="159">
        <f>'Monthly Prices'!B497</f>
        <v>31.40016666667</v>
      </c>
      <c r="R509" s="159">
        <f t="shared" si="142"/>
        <v>28.229719444445834</v>
      </c>
      <c r="S509" s="155">
        <f>_xlfn.XLOOKUP(P509,'Annual Real'!A:A,'Annual Real'!B:B,0,0)</f>
        <v>35.482467945725197</v>
      </c>
      <c r="T509" s="155">
        <f t="shared" ca="1" si="143"/>
        <v>1.6279112757462368</v>
      </c>
      <c r="U509" s="152">
        <f t="shared" ca="1" si="144"/>
        <v>1.6279112757462368</v>
      </c>
      <c r="V509" s="152" t="b">
        <f t="shared" si="150"/>
        <v>0</v>
      </c>
      <c r="W509" s="152" t="b">
        <f t="shared" si="151"/>
        <v>0</v>
      </c>
      <c r="X509" s="154">
        <f>LOOKUP(D509,'US Implicit Deflator'!A:A,'US Implicit Deflator'!B:B)/100</f>
        <v>0.02</v>
      </c>
      <c r="Y509" s="154">
        <f t="shared" si="145"/>
        <v>1.6515813019202241E-3</v>
      </c>
      <c r="Z509" s="165">
        <f t="shared" ca="1" si="146"/>
        <v>4.1948189838415244</v>
      </c>
      <c r="AA509" s="152">
        <f t="shared" si="147"/>
        <v>7</v>
      </c>
      <c r="AB509" s="153">
        <f t="shared" si="148"/>
        <v>36800</v>
      </c>
      <c r="AC509" s="155">
        <f t="shared" ca="1" si="149"/>
        <v>1.6279112757462368</v>
      </c>
    </row>
    <row r="510" spans="3:29">
      <c r="C510" s="152" t="str">
        <f>'Monthly Prices'!A498</f>
        <v>2000M11</v>
      </c>
      <c r="D510" s="153">
        <f t="shared" si="138"/>
        <v>36831</v>
      </c>
      <c r="E510" s="152">
        <f t="shared" si="139"/>
        <v>491</v>
      </c>
      <c r="F510" s="152" t="b">
        <f t="shared" si="133"/>
        <v>1</v>
      </c>
      <c r="G510" s="152" t="b">
        <f t="shared" si="134"/>
        <v>1</v>
      </c>
      <c r="H510" s="152" t="b">
        <f t="shared" si="135"/>
        <v>1</v>
      </c>
      <c r="I510" s="153">
        <f t="shared" si="136"/>
        <v>36831</v>
      </c>
      <c r="J510" s="158">
        <f>INDEX('Monthly Prices'!B498:CB498,$G$4)</f>
        <v>89.17</v>
      </c>
      <c r="K510" s="158">
        <f ca="1">IF(H510,INDEX('Monthly Prices'!B498:CB498,$G$4)*U510,FALSE)</f>
        <v>144.9214988205936</v>
      </c>
      <c r="L510" s="152" t="b">
        <f t="shared" si="140"/>
        <v>1</v>
      </c>
      <c r="M510" s="158">
        <f>INDEX('Monthly Prices'!B498:CB498,$G$5)</f>
        <v>82.46</v>
      </c>
      <c r="N510" s="158">
        <f ca="1">IF(H510,INDEX('Monthly Prices'!B498:CB498,$G$5)*U510,FALSE)</f>
        <v>134.01622510649486</v>
      </c>
      <c r="O510" s="152" t="b">
        <f t="shared" si="137"/>
        <v>1</v>
      </c>
      <c r="P510" s="152">
        <f t="shared" si="141"/>
        <v>2000</v>
      </c>
      <c r="Q510" s="159">
        <f>'Monthly Prices'!B498</f>
        <v>32.331000000000003</v>
      </c>
      <c r="R510" s="159">
        <f t="shared" si="142"/>
        <v>28.229719444445834</v>
      </c>
      <c r="S510" s="155">
        <f>_xlfn.XLOOKUP(P510,'Annual Real'!A:A,'Annual Real'!B:B,0,0)</f>
        <v>35.482467945725197</v>
      </c>
      <c r="T510" s="155">
        <f t="shared" ca="1" si="143"/>
        <v>1.6252270810877378</v>
      </c>
      <c r="U510" s="152">
        <f t="shared" ca="1" si="144"/>
        <v>1.6252270810877378</v>
      </c>
      <c r="V510" s="152" t="b">
        <f t="shared" si="150"/>
        <v>0</v>
      </c>
      <c r="W510" s="152" t="b">
        <f t="shared" si="151"/>
        <v>0</v>
      </c>
      <c r="X510" s="154">
        <f>LOOKUP(D510,'US Implicit Deflator'!A:A,'US Implicit Deflator'!B:B)/100</f>
        <v>0.02</v>
      </c>
      <c r="Y510" s="154">
        <f t="shared" si="145"/>
        <v>1.6515813019202241E-3</v>
      </c>
      <c r="Z510" s="165">
        <f t="shared" ca="1" si="146"/>
        <v>4.2017470684401772</v>
      </c>
      <c r="AA510" s="152">
        <f t="shared" si="147"/>
        <v>7</v>
      </c>
      <c r="AB510" s="153">
        <f t="shared" si="148"/>
        <v>36831</v>
      </c>
      <c r="AC510" s="155">
        <f t="shared" ca="1" si="149"/>
        <v>1.6252270810877378</v>
      </c>
    </row>
    <row r="511" spans="3:29">
      <c r="C511" s="152" t="str">
        <f>'Monthly Prices'!A499</f>
        <v>2000M12</v>
      </c>
      <c r="D511" s="153">
        <f t="shared" si="138"/>
        <v>36861</v>
      </c>
      <c r="E511" s="152">
        <f t="shared" si="139"/>
        <v>492</v>
      </c>
      <c r="F511" s="152" t="b">
        <f t="shared" si="133"/>
        <v>1</v>
      </c>
      <c r="G511" s="152" t="b">
        <f t="shared" si="134"/>
        <v>1</v>
      </c>
      <c r="H511" s="152" t="b">
        <f t="shared" si="135"/>
        <v>1</v>
      </c>
      <c r="I511" s="153">
        <f t="shared" si="136"/>
        <v>36861</v>
      </c>
      <c r="J511" s="158">
        <f>INDEX('Monthly Prices'!B499:CB499,$G$4)</f>
        <v>97.56</v>
      </c>
      <c r="K511" s="158">
        <f ca="1">IF(H511,INDEX('Monthly Prices'!B499:CB499,$G$4)*U511,FALSE)</f>
        <v>158.29571578655256</v>
      </c>
      <c r="L511" s="152" t="b">
        <f t="shared" si="140"/>
        <v>1</v>
      </c>
      <c r="M511" s="158">
        <f>INDEX('Monthly Prices'!B499:CB499,$G$5)</f>
        <v>86.6</v>
      </c>
      <c r="N511" s="158">
        <f ca="1">IF(H511,INDEX('Monthly Prices'!B499:CB499,$G$5)*U511,FALSE)</f>
        <v>140.51259724390582</v>
      </c>
      <c r="O511" s="152" t="b">
        <f t="shared" si="137"/>
        <v>1</v>
      </c>
      <c r="P511" s="152">
        <f t="shared" si="141"/>
        <v>2000</v>
      </c>
      <c r="Q511" s="159">
        <f>'Monthly Prices'!B499</f>
        <v>25.204666666670001</v>
      </c>
      <c r="R511" s="159">
        <f t="shared" si="142"/>
        <v>28.229719444445834</v>
      </c>
      <c r="S511" s="155">
        <f>_xlfn.XLOOKUP(P511,'Annual Real'!A:A,'Annual Real'!B:B,0,0)</f>
        <v>35.482467945725197</v>
      </c>
      <c r="T511" s="155">
        <f t="shared" ca="1" si="143"/>
        <v>1.6225473122852867</v>
      </c>
      <c r="U511" s="152">
        <f t="shared" ca="1" si="144"/>
        <v>1.6225473122852867</v>
      </c>
      <c r="V511" s="152">
        <f t="shared" ca="1" si="150"/>
        <v>8.8272694259582951E-2</v>
      </c>
      <c r="W511" s="152">
        <f t="shared" ca="1" si="151"/>
        <v>4.7336269348287184E-2</v>
      </c>
      <c r="X511" s="154">
        <f>LOOKUP(D511,'US Implicit Deflator'!A:A,'US Implicit Deflator'!B:B)/100</f>
        <v>0.02</v>
      </c>
      <c r="Y511" s="154">
        <f t="shared" si="145"/>
        <v>1.6515813019202241E-3</v>
      </c>
      <c r="Z511" s="165">
        <f t="shared" ca="1" si="146"/>
        <v>4.2086865953338108</v>
      </c>
      <c r="AA511" s="152">
        <f t="shared" si="147"/>
        <v>7</v>
      </c>
      <c r="AB511" s="153">
        <f t="shared" si="148"/>
        <v>36861</v>
      </c>
      <c r="AC511" s="155">
        <f t="shared" ca="1" si="149"/>
        <v>1.6225473122852867</v>
      </c>
    </row>
    <row r="512" spans="3:29">
      <c r="C512" s="152" t="str">
        <f>'Monthly Prices'!A500</f>
        <v>2001M01</v>
      </c>
      <c r="D512" s="153">
        <f t="shared" si="138"/>
        <v>36892</v>
      </c>
      <c r="E512" s="152">
        <f t="shared" si="139"/>
        <v>493</v>
      </c>
      <c r="F512" s="152" t="b">
        <f t="shared" si="133"/>
        <v>1</v>
      </c>
      <c r="G512" s="152" t="b">
        <f t="shared" si="134"/>
        <v>1</v>
      </c>
      <c r="H512" s="152" t="b">
        <f t="shared" si="135"/>
        <v>1</v>
      </c>
      <c r="I512" s="153">
        <f t="shared" si="136"/>
        <v>36892</v>
      </c>
      <c r="J512" s="158">
        <f>INDEX('Monthly Prices'!B500:CB500,$G$4)</f>
        <v>95.15</v>
      </c>
      <c r="K512" s="158">
        <f ca="1">IF(H512,INDEX('Monthly Prices'!B500:CB500,$G$4)*U512,FALSE)</f>
        <v>154.13081718822727</v>
      </c>
      <c r="L512" s="152" t="b">
        <f t="shared" si="140"/>
        <v>1</v>
      </c>
      <c r="M512" s="158">
        <f>INDEX('Monthly Prices'!B500:CB500,$G$5)</f>
        <v>85.75</v>
      </c>
      <c r="N512" s="158">
        <f ca="1">IF(H512,INDEX('Monthly Prices'!B500:CB500,$G$5)*U512,FALSE)</f>
        <v>138.90402074503928</v>
      </c>
      <c r="O512" s="152" t="b">
        <f t="shared" si="137"/>
        <v>1</v>
      </c>
      <c r="P512" s="152">
        <f t="shared" si="141"/>
        <v>2001</v>
      </c>
      <c r="Q512" s="159">
        <f>'Monthly Prices'!B500</f>
        <v>25.957272727269999</v>
      </c>
      <c r="R512" s="159">
        <f t="shared" si="142"/>
        <v>24.351825004292504</v>
      </c>
      <c r="S512" s="155">
        <f>_xlfn.XLOOKUP(P512,'Annual Real'!A:A,'Annual Real'!B:B,0,0)</f>
        <v>31.800493397500201</v>
      </c>
      <c r="T512" s="155">
        <f t="shared" ca="1" si="143"/>
        <v>1.6198719620412745</v>
      </c>
      <c r="U512" s="152">
        <f t="shared" ca="1" si="144"/>
        <v>1.6198719620412745</v>
      </c>
      <c r="V512" s="152">
        <f t="shared" ca="1" si="150"/>
        <v>-2.6663198546909309E-2</v>
      </c>
      <c r="W512" s="152">
        <f t="shared" ca="1" si="151"/>
        <v>-1.1513948463688518E-2</v>
      </c>
      <c r="X512" s="154">
        <f>LOOKUP(D512,'US Implicit Deflator'!A:A,'US Implicit Deflator'!B:B)/100</f>
        <v>0.02</v>
      </c>
      <c r="Y512" s="154">
        <f t="shared" si="145"/>
        <v>1.6515813019202241E-3</v>
      </c>
      <c r="Z512" s="165">
        <f t="shared" ca="1" si="146"/>
        <v>4.2156375834203068</v>
      </c>
      <c r="AA512" s="152">
        <f t="shared" si="147"/>
        <v>7</v>
      </c>
      <c r="AB512" s="153">
        <f t="shared" si="148"/>
        <v>36892</v>
      </c>
      <c r="AC512" s="155">
        <f t="shared" ca="1" si="149"/>
        <v>1.6198719620412745</v>
      </c>
    </row>
    <row r="513" spans="3:29">
      <c r="C513" s="152" t="str">
        <f>'Monthly Prices'!A501</f>
        <v>2001M02</v>
      </c>
      <c r="D513" s="153">
        <f t="shared" si="138"/>
        <v>36923</v>
      </c>
      <c r="E513" s="152">
        <f t="shared" si="139"/>
        <v>494</v>
      </c>
      <c r="F513" s="152" t="b">
        <f t="shared" si="133"/>
        <v>1</v>
      </c>
      <c r="G513" s="152" t="b">
        <f t="shared" si="134"/>
        <v>1</v>
      </c>
      <c r="H513" s="152" t="b">
        <f t="shared" si="135"/>
        <v>1</v>
      </c>
      <c r="I513" s="153">
        <f t="shared" si="136"/>
        <v>36923</v>
      </c>
      <c r="J513" s="158">
        <f>INDEX('Monthly Prices'!B501:CB501,$G$4)</f>
        <v>91.97</v>
      </c>
      <c r="K513" s="158">
        <f ca="1">IF(H513,INDEX('Monthly Prices'!B501:CB501,$G$4)*U513,FALSE)</f>
        <v>148.73397809175944</v>
      </c>
      <c r="L513" s="152" t="b">
        <f t="shared" si="140"/>
        <v>1</v>
      </c>
      <c r="M513" s="158">
        <f>INDEX('Monthly Prices'!B501:CB501,$G$5)</f>
        <v>82.31</v>
      </c>
      <c r="N513" s="158">
        <f ca="1">IF(H513,INDEX('Monthly Prices'!B501:CB501,$G$5)*U513,FALSE)</f>
        <v>133.11181620890204</v>
      </c>
      <c r="O513" s="152" t="b">
        <f t="shared" si="137"/>
        <v>1</v>
      </c>
      <c r="P513" s="152">
        <f t="shared" si="141"/>
        <v>2001</v>
      </c>
      <c r="Q513" s="159">
        <f>'Monthly Prices'!B501</f>
        <v>27.23883333333</v>
      </c>
      <c r="R513" s="159">
        <f t="shared" si="142"/>
        <v>24.351825004292504</v>
      </c>
      <c r="S513" s="155">
        <f>_xlfn.XLOOKUP(P513,'Annual Real'!A:A,'Annual Real'!B:B,0,0)</f>
        <v>31.800493397500201</v>
      </c>
      <c r="T513" s="155">
        <f t="shared" ca="1" si="143"/>
        <v>1.6172010230701255</v>
      </c>
      <c r="U513" s="152">
        <f t="shared" ca="1" si="144"/>
        <v>1.6172010230701255</v>
      </c>
      <c r="V513" s="152">
        <f t="shared" ca="1" si="150"/>
        <v>-3.5642375768900662E-2</v>
      </c>
      <c r="W513" s="152">
        <f t="shared" ca="1" si="151"/>
        <v>-4.259369800284498E-2</v>
      </c>
      <c r="X513" s="154">
        <f>LOOKUP(D513,'US Implicit Deflator'!A:A,'US Implicit Deflator'!B:B)/100</f>
        <v>0.02</v>
      </c>
      <c r="Y513" s="154">
        <f t="shared" si="145"/>
        <v>1.6515813019202241E-3</v>
      </c>
      <c r="Z513" s="165">
        <f t="shared" ca="1" si="146"/>
        <v>4.2226000516287563</v>
      </c>
      <c r="AA513" s="152">
        <f t="shared" si="147"/>
        <v>7</v>
      </c>
      <c r="AB513" s="153">
        <f t="shared" si="148"/>
        <v>36923</v>
      </c>
      <c r="AC513" s="155">
        <f t="shared" ca="1" si="149"/>
        <v>1.6172010230701255</v>
      </c>
    </row>
    <row r="514" spans="3:29">
      <c r="C514" s="152" t="str">
        <f>'Monthly Prices'!A502</f>
        <v>2001M03</v>
      </c>
      <c r="D514" s="153">
        <f t="shared" si="138"/>
        <v>36951</v>
      </c>
      <c r="E514" s="152">
        <f t="shared" si="139"/>
        <v>495</v>
      </c>
      <c r="F514" s="152" t="b">
        <f t="shared" si="133"/>
        <v>1</v>
      </c>
      <c r="G514" s="152" t="b">
        <f t="shared" si="134"/>
        <v>1</v>
      </c>
      <c r="H514" s="152" t="b">
        <f t="shared" si="135"/>
        <v>1</v>
      </c>
      <c r="I514" s="153">
        <f t="shared" si="136"/>
        <v>36951</v>
      </c>
      <c r="J514" s="158">
        <f>INDEX('Monthly Prices'!B502:CB502,$G$4)</f>
        <v>90.25</v>
      </c>
      <c r="K514" s="158">
        <f ca="1">IF(H514,INDEX('Monthly Prices'!B502:CB502,$G$4)*U514,FALSE)</f>
        <v>145.71173755086951</v>
      </c>
      <c r="L514" s="152" t="b">
        <f t="shared" si="140"/>
        <v>1</v>
      </c>
      <c r="M514" s="158">
        <f>INDEX('Monthly Prices'!B502:CB502,$G$5)</f>
        <v>83.07</v>
      </c>
      <c r="N514" s="158">
        <f ca="1">IF(H514,INDEX('Monthly Prices'!B502:CB502,$G$5)*U514,FALSE)</f>
        <v>134.11937992632386</v>
      </c>
      <c r="O514" s="152" t="b">
        <f t="shared" si="137"/>
        <v>1</v>
      </c>
      <c r="P514" s="152">
        <f t="shared" si="141"/>
        <v>2001</v>
      </c>
      <c r="Q514" s="159">
        <f>'Monthly Prices'!B502</f>
        <v>25.02257575758</v>
      </c>
      <c r="R514" s="159">
        <f t="shared" si="142"/>
        <v>24.351825004292504</v>
      </c>
      <c r="S514" s="155">
        <f>_xlfn.XLOOKUP(P514,'Annual Real'!A:A,'Annual Real'!B:B,0,0)</f>
        <v>31.800493397500201</v>
      </c>
      <c r="T514" s="155">
        <f t="shared" ca="1" si="143"/>
        <v>1.614534488098277</v>
      </c>
      <c r="U514" s="152">
        <f t="shared" ca="1" si="144"/>
        <v>1.614534488098277</v>
      </c>
      <c r="V514" s="152">
        <f t="shared" ca="1" si="150"/>
        <v>-2.0529058642964171E-2</v>
      </c>
      <c r="W514" s="152">
        <f t="shared" ca="1" si="151"/>
        <v>7.540799925079061E-3</v>
      </c>
      <c r="X514" s="154">
        <f>LOOKUP(D514,'US Implicit Deflator'!A:A,'US Implicit Deflator'!B:B)/100</f>
        <v>0.02</v>
      </c>
      <c r="Y514" s="154">
        <f t="shared" si="145"/>
        <v>1.6515813019202241E-3</v>
      </c>
      <c r="Z514" s="165">
        <f t="shared" ca="1" si="146"/>
        <v>4.2295740189195135</v>
      </c>
      <c r="AA514" s="152">
        <f t="shared" si="147"/>
        <v>7</v>
      </c>
      <c r="AB514" s="153">
        <f t="shared" si="148"/>
        <v>36951</v>
      </c>
      <c r="AC514" s="155">
        <f t="shared" ca="1" si="149"/>
        <v>1.614534488098277</v>
      </c>
    </row>
    <row r="515" spans="3:29">
      <c r="C515" s="152" t="str">
        <f>'Monthly Prices'!A503</f>
        <v>2001M04</v>
      </c>
      <c r="D515" s="153">
        <f t="shared" si="138"/>
        <v>36982</v>
      </c>
      <c r="E515" s="152">
        <f t="shared" si="139"/>
        <v>496</v>
      </c>
      <c r="F515" s="152" t="b">
        <f t="shared" si="133"/>
        <v>1</v>
      </c>
      <c r="G515" s="152" t="b">
        <f t="shared" si="134"/>
        <v>1</v>
      </c>
      <c r="H515" s="152" t="b">
        <f t="shared" si="135"/>
        <v>1</v>
      </c>
      <c r="I515" s="153">
        <f t="shared" si="136"/>
        <v>36982</v>
      </c>
      <c r="J515" s="158">
        <f>INDEX('Monthly Prices'!B503:CB503,$G$4)</f>
        <v>87.99</v>
      </c>
      <c r="K515" s="158">
        <f ca="1">IF(H515,INDEX('Monthly Prices'!B503:CB503,$G$4)*U515,FALSE)</f>
        <v>141.84024152997893</v>
      </c>
      <c r="L515" s="152" t="b">
        <f t="shared" si="140"/>
        <v>1</v>
      </c>
      <c r="M515" s="158">
        <f>INDEX('Monthly Prices'!B503:CB503,$G$5)</f>
        <v>84.72</v>
      </c>
      <c r="N515" s="158">
        <f ca="1">IF(H515,INDEX('Monthly Prices'!B503:CB503,$G$5)*U515,FALSE)</f>
        <v>136.56898809432681</v>
      </c>
      <c r="O515" s="152" t="b">
        <f t="shared" si="137"/>
        <v>1</v>
      </c>
      <c r="P515" s="152">
        <f t="shared" si="141"/>
        <v>2001</v>
      </c>
      <c r="Q515" s="159">
        <f>'Monthly Prices'!B503</f>
        <v>25.718</v>
      </c>
      <c r="R515" s="159">
        <f t="shared" si="142"/>
        <v>24.351825004292504</v>
      </c>
      <c r="S515" s="155">
        <f>_xlfn.XLOOKUP(P515,'Annual Real'!A:A,'Annual Real'!B:B,0,0)</f>
        <v>31.800493397500201</v>
      </c>
      <c r="T515" s="155">
        <f t="shared" ca="1" si="143"/>
        <v>1.61200410876212</v>
      </c>
      <c r="U515" s="152">
        <f t="shared" ca="1" si="144"/>
        <v>1.61200410876212</v>
      </c>
      <c r="V515" s="152">
        <f t="shared" ca="1" si="150"/>
        <v>-2.692890507557023E-2</v>
      </c>
      <c r="W515" s="152">
        <f t="shared" ca="1" si="151"/>
        <v>1.8099595922121927E-2</v>
      </c>
      <c r="X515" s="154">
        <f>LOOKUP(D515,'US Implicit Deflator'!A:A,'US Implicit Deflator'!B:B)/100</f>
        <v>1.9E-2</v>
      </c>
      <c r="Y515" s="154">
        <f t="shared" si="145"/>
        <v>1.5697102274137009E-3</v>
      </c>
      <c r="Z515" s="165">
        <f t="shared" ca="1" si="146"/>
        <v>4.2362132245146151</v>
      </c>
      <c r="AA515" s="152">
        <f t="shared" si="147"/>
        <v>7</v>
      </c>
      <c r="AB515" s="153">
        <f t="shared" si="148"/>
        <v>36982</v>
      </c>
      <c r="AC515" s="155">
        <f t="shared" ca="1" si="149"/>
        <v>1.61200410876212</v>
      </c>
    </row>
    <row r="516" spans="3:29">
      <c r="C516" s="152" t="str">
        <f>'Monthly Prices'!A504</f>
        <v>2001M05</v>
      </c>
      <c r="D516" s="153">
        <f t="shared" si="138"/>
        <v>37012</v>
      </c>
      <c r="E516" s="152">
        <f t="shared" si="139"/>
        <v>497</v>
      </c>
      <c r="F516" s="152" t="b">
        <f t="shared" si="133"/>
        <v>1</v>
      </c>
      <c r="G516" s="152" t="b">
        <f t="shared" si="134"/>
        <v>1</v>
      </c>
      <c r="H516" s="152" t="b">
        <f t="shared" si="135"/>
        <v>1</v>
      </c>
      <c r="I516" s="153">
        <f t="shared" si="136"/>
        <v>37012</v>
      </c>
      <c r="J516" s="158">
        <f>INDEX('Monthly Prices'!B504:CB504,$G$4)</f>
        <v>84.09</v>
      </c>
      <c r="K516" s="158">
        <f ca="1">IF(H516,INDEX('Monthly Prices'!B504:CB504,$G$4)*U516,FALSE)</f>
        <v>135.34097938627585</v>
      </c>
      <c r="L516" s="152" t="b">
        <f t="shared" si="140"/>
        <v>1</v>
      </c>
      <c r="M516" s="158">
        <f>INDEX('Monthly Prices'!B504:CB504,$G$5)</f>
        <v>89.73</v>
      </c>
      <c r="N516" s="158">
        <f ca="1">IF(H516,INDEX('Monthly Prices'!B504:CB504,$G$5)*U516,FALSE)</f>
        <v>144.41843358699646</v>
      </c>
      <c r="O516" s="152" t="b">
        <f t="shared" si="137"/>
        <v>1</v>
      </c>
      <c r="P516" s="152">
        <f t="shared" si="141"/>
        <v>2001</v>
      </c>
      <c r="Q516" s="159">
        <f>'Monthly Prices'!B504</f>
        <v>27.546825396829998</v>
      </c>
      <c r="R516" s="159">
        <f t="shared" si="142"/>
        <v>24.351825004292504</v>
      </c>
      <c r="S516" s="155">
        <f>_xlfn.XLOOKUP(P516,'Annual Real'!A:A,'Annual Real'!B:B,0,0)</f>
        <v>31.800493397500201</v>
      </c>
      <c r="T516" s="155">
        <f t="shared" ca="1" si="143"/>
        <v>1.6094776951632281</v>
      </c>
      <c r="U516" s="152">
        <f t="shared" ca="1" si="144"/>
        <v>1.6094776951632281</v>
      </c>
      <c r="V516" s="152">
        <f t="shared" ca="1" si="150"/>
        <v>-4.6903997332711625E-2</v>
      </c>
      <c r="W516" s="152">
        <f t="shared" ca="1" si="151"/>
        <v>5.5884980496766344E-2</v>
      </c>
      <c r="X516" s="154">
        <f>LOOKUP(D516,'US Implicit Deflator'!A:A,'US Implicit Deflator'!B:B)/100</f>
        <v>1.9E-2</v>
      </c>
      <c r="Y516" s="154">
        <f t="shared" si="145"/>
        <v>1.5697102274137009E-3</v>
      </c>
      <c r="Z516" s="165">
        <f t="shared" ca="1" si="146"/>
        <v>4.2428628517386411</v>
      </c>
      <c r="AA516" s="152">
        <f t="shared" si="147"/>
        <v>7</v>
      </c>
      <c r="AB516" s="153">
        <f t="shared" si="148"/>
        <v>37012</v>
      </c>
      <c r="AC516" s="155">
        <f t="shared" ca="1" si="149"/>
        <v>1.6094776951632281</v>
      </c>
    </row>
    <row r="517" spans="3:29">
      <c r="C517" s="152" t="str">
        <f>'Monthly Prices'!A505</f>
        <v>2001M06</v>
      </c>
      <c r="D517" s="153">
        <f t="shared" si="138"/>
        <v>37043</v>
      </c>
      <c r="E517" s="152">
        <f t="shared" si="139"/>
        <v>498</v>
      </c>
      <c r="F517" s="152" t="b">
        <f t="shared" si="133"/>
        <v>1</v>
      </c>
      <c r="G517" s="152" t="b">
        <f t="shared" si="134"/>
        <v>1</v>
      </c>
      <c r="H517" s="152" t="b">
        <f t="shared" si="135"/>
        <v>1</v>
      </c>
      <c r="I517" s="153">
        <f t="shared" si="136"/>
        <v>37043</v>
      </c>
      <c r="J517" s="158">
        <f>INDEX('Monthly Prices'!B505:CB505,$G$4)</f>
        <v>83.31</v>
      </c>
      <c r="K517" s="158">
        <f ca="1">IF(H517,INDEX('Monthly Prices'!B505:CB505,$G$4)*U517,FALSE)</f>
        <v>133.87544113489955</v>
      </c>
      <c r="L517" s="152" t="b">
        <f t="shared" si="140"/>
        <v>1</v>
      </c>
      <c r="M517" s="158">
        <f>INDEX('Monthly Prices'!B505:CB505,$G$5)</f>
        <v>95.06</v>
      </c>
      <c r="N517" s="158">
        <f ca="1">IF(H517,INDEX('Monthly Prices'!B505:CB505,$G$5)*U517,FALSE)</f>
        <v>152.75716521766358</v>
      </c>
      <c r="O517" s="152" t="b">
        <f t="shared" si="137"/>
        <v>1</v>
      </c>
      <c r="P517" s="152">
        <f t="shared" si="141"/>
        <v>2001</v>
      </c>
      <c r="Q517" s="159">
        <f>'Monthly Prices'!B505</f>
        <v>26.966031746030001</v>
      </c>
      <c r="R517" s="159">
        <f t="shared" si="142"/>
        <v>24.351825004292504</v>
      </c>
      <c r="S517" s="155">
        <f>_xlfn.XLOOKUP(P517,'Annual Real'!A:A,'Annual Real'!B:B,0,0)</f>
        <v>31.800493397500201</v>
      </c>
      <c r="T517" s="155">
        <f t="shared" ca="1" si="143"/>
        <v>1.6069552410862988</v>
      </c>
      <c r="U517" s="152">
        <f t="shared" ca="1" si="144"/>
        <v>1.6069552410862988</v>
      </c>
      <c r="V517" s="152">
        <f t="shared" ca="1" si="150"/>
        <v>-1.0887543378037818E-2</v>
      </c>
      <c r="W517" s="152">
        <f t="shared" ca="1" si="151"/>
        <v>5.6134630355848064E-2</v>
      </c>
      <c r="X517" s="154">
        <f>LOOKUP(D517,'US Implicit Deflator'!A:A,'US Implicit Deflator'!B:B)/100</f>
        <v>1.9E-2</v>
      </c>
      <c r="Y517" s="154">
        <f t="shared" si="145"/>
        <v>1.5697102274137009E-3</v>
      </c>
      <c r="Z517" s="165">
        <f t="shared" ca="1" si="146"/>
        <v>4.2495229169505286</v>
      </c>
      <c r="AA517" s="152">
        <f t="shared" si="147"/>
        <v>7</v>
      </c>
      <c r="AB517" s="153">
        <f t="shared" si="148"/>
        <v>37043</v>
      </c>
      <c r="AC517" s="155">
        <f t="shared" ca="1" si="149"/>
        <v>1.6069552410862988</v>
      </c>
    </row>
    <row r="518" spans="3:29">
      <c r="C518" s="152" t="str">
        <f>'Monthly Prices'!A506</f>
        <v>2001M07</v>
      </c>
      <c r="D518" s="153">
        <f t="shared" si="138"/>
        <v>37073</v>
      </c>
      <c r="E518" s="152">
        <f t="shared" si="139"/>
        <v>499</v>
      </c>
      <c r="F518" s="152" t="b">
        <f t="shared" si="133"/>
        <v>1</v>
      </c>
      <c r="G518" s="152" t="b">
        <f t="shared" si="134"/>
        <v>1</v>
      </c>
      <c r="H518" s="152" t="b">
        <f t="shared" si="135"/>
        <v>1</v>
      </c>
      <c r="I518" s="153">
        <f t="shared" si="136"/>
        <v>37073</v>
      </c>
      <c r="J518" s="158">
        <f>INDEX('Monthly Prices'!B506:CB506,$G$4)</f>
        <v>91.73</v>
      </c>
      <c r="K518" s="158">
        <f ca="1">IF(H518,INDEX('Monthly Prices'!B506:CB506,$G$4)*U518,FALSE)</f>
        <v>147.2353221830854</v>
      </c>
      <c r="L518" s="152" t="b">
        <f t="shared" si="140"/>
        <v>1</v>
      </c>
      <c r="M518" s="158">
        <f>INDEX('Monthly Prices'!B506:CB506,$G$5)</f>
        <v>101.98</v>
      </c>
      <c r="N518" s="158">
        <f ca="1">IF(H518,INDEX('Monthly Prices'!B506:CB506,$G$5)*U518,FALSE)</f>
        <v>163.68754122131307</v>
      </c>
      <c r="O518" s="152" t="b">
        <f t="shared" si="137"/>
        <v>1</v>
      </c>
      <c r="P518" s="152">
        <f t="shared" si="141"/>
        <v>2001</v>
      </c>
      <c r="Q518" s="159">
        <f>'Monthly Prices'!B506</f>
        <v>24.80367965368</v>
      </c>
      <c r="R518" s="159">
        <f t="shared" si="142"/>
        <v>24.351825004292504</v>
      </c>
      <c r="S518" s="155">
        <f>_xlfn.XLOOKUP(P518,'Annual Real'!A:A,'Annual Real'!B:B,0,0)</f>
        <v>31.800493397500201</v>
      </c>
      <c r="T518" s="155">
        <f t="shared" ca="1" si="143"/>
        <v>1.6050945403148957</v>
      </c>
      <c r="U518" s="152">
        <f t="shared" ca="1" si="144"/>
        <v>1.6050945403148957</v>
      </c>
      <c r="V518" s="152">
        <f t="shared" ca="1" si="150"/>
        <v>9.5122314103997158E-2</v>
      </c>
      <c r="W518" s="152">
        <f t="shared" ca="1" si="151"/>
        <v>6.9109869010396965E-2</v>
      </c>
      <c r="X518" s="154">
        <f>LOOKUP(D518,'US Implicit Deflator'!A:A,'US Implicit Deflator'!B:B)/100</f>
        <v>1.3999999999999999E-2</v>
      </c>
      <c r="Y518" s="154">
        <f t="shared" si="145"/>
        <v>1.1592468385308585E-3</v>
      </c>
      <c r="Z518" s="165">
        <f t="shared" ca="1" si="146"/>
        <v>4.2544491629572683</v>
      </c>
      <c r="AA518" s="152">
        <f t="shared" si="147"/>
        <v>7</v>
      </c>
      <c r="AB518" s="153">
        <f t="shared" si="148"/>
        <v>37073</v>
      </c>
      <c r="AC518" s="155">
        <f t="shared" ca="1" si="149"/>
        <v>1.6050945403148957</v>
      </c>
    </row>
    <row r="519" spans="3:29">
      <c r="C519" s="152" t="str">
        <f>'Monthly Prices'!A507</f>
        <v>2001M08</v>
      </c>
      <c r="D519" s="153">
        <f t="shared" si="138"/>
        <v>37104</v>
      </c>
      <c r="E519" s="152">
        <f t="shared" si="139"/>
        <v>500</v>
      </c>
      <c r="F519" s="152" t="b">
        <f t="shared" si="133"/>
        <v>1</v>
      </c>
      <c r="G519" s="152" t="b">
        <f t="shared" si="134"/>
        <v>1</v>
      </c>
      <c r="H519" s="152" t="b">
        <f t="shared" si="135"/>
        <v>1</v>
      </c>
      <c r="I519" s="153">
        <f t="shared" si="136"/>
        <v>37104</v>
      </c>
      <c r="J519" s="158">
        <f>INDEX('Monthly Prices'!B507:CB507,$G$4)</f>
        <v>93.14</v>
      </c>
      <c r="K519" s="158">
        <f ca="1">IF(H519,INDEX('Monthly Prices'!B507:CB507,$G$4)*U519,FALSE)</f>
        <v>149.32540048650304</v>
      </c>
      <c r="L519" s="152" t="b">
        <f t="shared" si="140"/>
        <v>1</v>
      </c>
      <c r="M519" s="158">
        <f>INDEX('Monthly Prices'!B507:CB507,$G$5)</f>
        <v>99.39</v>
      </c>
      <c r="N519" s="158">
        <f ca="1">IF(H519,INDEX('Monthly Prices'!B507:CB507,$G$5)*U519,FALSE)</f>
        <v>159.34562544936159</v>
      </c>
      <c r="O519" s="152" t="b">
        <f t="shared" si="137"/>
        <v>1</v>
      </c>
      <c r="P519" s="152">
        <f t="shared" si="141"/>
        <v>2001</v>
      </c>
      <c r="Q519" s="159">
        <f>'Monthly Prices'!B507</f>
        <v>25.821159420290002</v>
      </c>
      <c r="R519" s="159">
        <f t="shared" si="142"/>
        <v>24.351825004292504</v>
      </c>
      <c r="S519" s="155">
        <f>_xlfn.XLOOKUP(P519,'Annual Real'!A:A,'Annual Real'!B:B,0,0)</f>
        <v>31.800493397500201</v>
      </c>
      <c r="T519" s="155">
        <f t="shared" ca="1" si="143"/>
        <v>1.6032359940573657</v>
      </c>
      <c r="U519" s="152">
        <f t="shared" ca="1" si="144"/>
        <v>1.6032359940573657</v>
      </c>
      <c r="V519" s="152">
        <f t="shared" ca="1" si="150"/>
        <v>1.4095682601917386E-2</v>
      </c>
      <c r="W519" s="152">
        <f t="shared" ca="1" si="151"/>
        <v>-2.6883786077844831E-2</v>
      </c>
      <c r="X519" s="154">
        <f>LOOKUP(D519,'US Implicit Deflator'!A:A,'US Implicit Deflator'!B:B)/100</f>
        <v>1.3999999999999999E-2</v>
      </c>
      <c r="Y519" s="154">
        <f t="shared" si="145"/>
        <v>1.1592468385308585E-3</v>
      </c>
      <c r="Z519" s="165">
        <f t="shared" ca="1" si="146"/>
        <v>4.2593811196991167</v>
      </c>
      <c r="AA519" s="152">
        <f t="shared" si="147"/>
        <v>7</v>
      </c>
      <c r="AB519" s="153">
        <f t="shared" si="148"/>
        <v>37104</v>
      </c>
      <c r="AC519" s="155">
        <f t="shared" ca="1" si="149"/>
        <v>1.6032359940573657</v>
      </c>
    </row>
    <row r="520" spans="3:29">
      <c r="C520" s="152" t="str">
        <f>'Monthly Prices'!A508</f>
        <v>2001M09</v>
      </c>
      <c r="D520" s="153">
        <f t="shared" si="138"/>
        <v>37135</v>
      </c>
      <c r="E520" s="152">
        <f t="shared" si="139"/>
        <v>501</v>
      </c>
      <c r="F520" s="152" t="b">
        <f t="shared" si="133"/>
        <v>1</v>
      </c>
      <c r="G520" s="152" t="b">
        <f t="shared" si="134"/>
        <v>1</v>
      </c>
      <c r="H520" s="152" t="b">
        <f t="shared" si="135"/>
        <v>1</v>
      </c>
      <c r="I520" s="153">
        <f t="shared" si="136"/>
        <v>37135</v>
      </c>
      <c r="J520" s="158">
        <f>INDEX('Monthly Prices'!B508:CB508,$G$4)</f>
        <v>90.08</v>
      </c>
      <c r="K520" s="158">
        <f ca="1">IF(H520,INDEX('Monthly Prices'!B508:CB508,$G$4)*U520,FALSE)</f>
        <v>144.25227435169441</v>
      </c>
      <c r="L520" s="152" t="b">
        <f t="shared" si="140"/>
        <v>1</v>
      </c>
      <c r="M520" s="158">
        <f>INDEX('Monthly Prices'!B508:CB508,$G$5)</f>
        <v>99.61</v>
      </c>
      <c r="N520" s="158">
        <f ca="1">IF(H520,INDEX('Monthly Prices'!B508:CB508,$G$5)*U520,FALSE)</f>
        <v>159.51342193796935</v>
      </c>
      <c r="O520" s="152" t="b">
        <f t="shared" si="137"/>
        <v>1</v>
      </c>
      <c r="P520" s="152">
        <f t="shared" si="141"/>
        <v>2001</v>
      </c>
      <c r="Q520" s="159">
        <f>'Monthly Prices'!B508</f>
        <v>25.207666666670001</v>
      </c>
      <c r="R520" s="159">
        <f t="shared" si="142"/>
        <v>24.351825004292504</v>
      </c>
      <c r="S520" s="155">
        <f>_xlfn.XLOOKUP(P520,'Annual Real'!A:A,'Annual Real'!B:B,0,0)</f>
        <v>31.800493397500201</v>
      </c>
      <c r="T520" s="155">
        <f t="shared" ca="1" si="143"/>
        <v>1.6013795998189877</v>
      </c>
      <c r="U520" s="152">
        <f t="shared" ca="1" si="144"/>
        <v>1.6013795998189877</v>
      </c>
      <c r="V520" s="152">
        <f t="shared" ca="1" si="150"/>
        <v>-3.4564148593600311E-2</v>
      </c>
      <c r="W520" s="152">
        <f t="shared" ca="1" si="151"/>
        <v>1.0524807464106717E-3</v>
      </c>
      <c r="X520" s="154">
        <f>LOOKUP(D520,'US Implicit Deflator'!A:A,'US Implicit Deflator'!B:B)/100</f>
        <v>1.3999999999999999E-2</v>
      </c>
      <c r="Y520" s="154">
        <f t="shared" si="145"/>
        <v>1.1592468385308585E-3</v>
      </c>
      <c r="Z520" s="165">
        <f t="shared" ca="1" si="146"/>
        <v>4.2643187937962264</v>
      </c>
      <c r="AA520" s="152">
        <f t="shared" si="147"/>
        <v>7</v>
      </c>
      <c r="AB520" s="153">
        <f t="shared" si="148"/>
        <v>37135</v>
      </c>
      <c r="AC520" s="155">
        <f t="shared" ca="1" si="149"/>
        <v>1.6013795998189877</v>
      </c>
    </row>
    <row r="521" spans="3:29">
      <c r="C521" s="152" t="str">
        <f>'Monthly Prices'!A509</f>
        <v>2001M10</v>
      </c>
      <c r="D521" s="153">
        <f t="shared" si="138"/>
        <v>37165</v>
      </c>
      <c r="E521" s="152">
        <f t="shared" si="139"/>
        <v>502</v>
      </c>
      <c r="F521" s="152" t="b">
        <f t="shared" si="133"/>
        <v>1</v>
      </c>
      <c r="G521" s="152" t="b">
        <f t="shared" si="134"/>
        <v>1</v>
      </c>
      <c r="H521" s="152" t="b">
        <f t="shared" si="135"/>
        <v>1</v>
      </c>
      <c r="I521" s="153">
        <f t="shared" si="136"/>
        <v>37165</v>
      </c>
      <c r="J521" s="158">
        <f>INDEX('Monthly Prices'!B509:CB509,$G$4)</f>
        <v>86.56</v>
      </c>
      <c r="K521" s="158">
        <f ca="1">IF(H521,INDEX('Monthly Prices'!B509:CB509,$G$4)*U521,FALSE)</f>
        <v>138.47769630283244</v>
      </c>
      <c r="L521" s="152" t="b">
        <f t="shared" si="140"/>
        <v>1</v>
      </c>
      <c r="M521" s="158">
        <f>INDEX('Monthly Prices'!B509:CB509,$G$5)</f>
        <v>101.79</v>
      </c>
      <c r="N521" s="158">
        <f ca="1">IF(H521,INDEX('Monthly Prices'!B509:CB509,$G$5)*U521,FALSE)</f>
        <v>162.84247581637379</v>
      </c>
      <c r="O521" s="152" t="b">
        <f t="shared" si="137"/>
        <v>1</v>
      </c>
      <c r="P521" s="152">
        <f t="shared" si="141"/>
        <v>2001</v>
      </c>
      <c r="Q521" s="159">
        <f>'Monthly Prices'!B509</f>
        <v>20.731884057969999</v>
      </c>
      <c r="R521" s="159">
        <f t="shared" si="142"/>
        <v>24.351825004292504</v>
      </c>
      <c r="S521" s="155">
        <f>_xlfn.XLOOKUP(P521,'Annual Real'!A:A,'Annual Real'!B:B,0,0)</f>
        <v>31.800493397500201</v>
      </c>
      <c r="T521" s="155">
        <f t="shared" ca="1" si="143"/>
        <v>1.5997885432397463</v>
      </c>
      <c r="U521" s="152">
        <f t="shared" ca="1" si="144"/>
        <v>1.5997885432397463</v>
      </c>
      <c r="V521" s="152">
        <f t="shared" ca="1" si="150"/>
        <v>-4.0854396865315112E-2</v>
      </c>
      <c r="W521" s="152">
        <f t="shared" ca="1" si="151"/>
        <v>2.0655258735067995E-2</v>
      </c>
      <c r="X521" s="154">
        <f>LOOKUP(D521,'US Implicit Deflator'!A:A,'US Implicit Deflator'!B:B)/100</f>
        <v>1.2E-2</v>
      </c>
      <c r="Y521" s="154">
        <f t="shared" si="145"/>
        <v>9.9454180114277868E-4</v>
      </c>
      <c r="Z521" s="165">
        <f t="shared" ca="1" si="146"/>
        <v>4.2685598370900557</v>
      </c>
      <c r="AA521" s="152">
        <f t="shared" si="147"/>
        <v>7</v>
      </c>
      <c r="AB521" s="153">
        <f t="shared" si="148"/>
        <v>37165</v>
      </c>
      <c r="AC521" s="155">
        <f t="shared" ca="1" si="149"/>
        <v>1.5997885432397463</v>
      </c>
    </row>
    <row r="522" spans="3:29">
      <c r="C522" s="152" t="str">
        <f>'Monthly Prices'!A510</f>
        <v>2001M11</v>
      </c>
      <c r="D522" s="153">
        <f t="shared" si="138"/>
        <v>37196</v>
      </c>
      <c r="E522" s="152">
        <f t="shared" si="139"/>
        <v>503</v>
      </c>
      <c r="F522" s="152" t="b">
        <f t="shared" si="133"/>
        <v>1</v>
      </c>
      <c r="G522" s="152" t="b">
        <f t="shared" si="134"/>
        <v>1</v>
      </c>
      <c r="H522" s="152" t="b">
        <f t="shared" si="135"/>
        <v>1</v>
      </c>
      <c r="I522" s="153">
        <f t="shared" si="136"/>
        <v>37196</v>
      </c>
      <c r="J522" s="158">
        <f>INDEX('Monthly Prices'!B510:CB510,$G$4)</f>
        <v>89.54</v>
      </c>
      <c r="K522" s="158">
        <f ca="1">IF(H522,INDEX('Monthly Prices'!B510:CB510,$G$4)*U522,FALSE)</f>
        <v>143.10274450042297</v>
      </c>
      <c r="L522" s="152" t="b">
        <f t="shared" si="140"/>
        <v>1</v>
      </c>
      <c r="M522" s="158">
        <f>INDEX('Monthly Prices'!B510:CB510,$G$5)</f>
        <v>100.97</v>
      </c>
      <c r="N522" s="158">
        <f ca="1">IF(H522,INDEX('Monthly Prices'!B510:CB510,$G$5)*U522,FALSE)</f>
        <v>161.37015984149772</v>
      </c>
      <c r="O522" s="152" t="b">
        <f t="shared" si="137"/>
        <v>1</v>
      </c>
      <c r="P522" s="152">
        <f t="shared" si="141"/>
        <v>2001</v>
      </c>
      <c r="Q522" s="159">
        <f>'Monthly Prices'!B510</f>
        <v>18.688181818179999</v>
      </c>
      <c r="R522" s="159">
        <f t="shared" si="142"/>
        <v>24.351825004292504</v>
      </c>
      <c r="S522" s="155">
        <f>_xlfn.XLOOKUP(P522,'Annual Real'!A:A,'Annual Real'!B:B,0,0)</f>
        <v>31.800493397500201</v>
      </c>
      <c r="T522" s="155">
        <f t="shared" ca="1" si="143"/>
        <v>1.5981990674606092</v>
      </c>
      <c r="U522" s="152">
        <f t="shared" ca="1" si="144"/>
        <v>1.5981990674606092</v>
      </c>
      <c r="V522" s="152">
        <f t="shared" ca="1" si="150"/>
        <v>3.2853590142541966E-2</v>
      </c>
      <c r="W522" s="152">
        <f t="shared" ca="1" si="151"/>
        <v>-9.0824720201250729E-3</v>
      </c>
      <c r="X522" s="154">
        <f>LOOKUP(D522,'US Implicit Deflator'!A:A,'US Implicit Deflator'!B:B)/100</f>
        <v>1.2E-2</v>
      </c>
      <c r="Y522" s="154">
        <f t="shared" si="145"/>
        <v>9.9454180114277868E-4</v>
      </c>
      <c r="Z522" s="165">
        <f t="shared" ca="1" si="146"/>
        <v>4.2728050982787211</v>
      </c>
      <c r="AA522" s="152">
        <f t="shared" si="147"/>
        <v>7</v>
      </c>
      <c r="AB522" s="153">
        <f t="shared" si="148"/>
        <v>37196</v>
      </c>
      <c r="AC522" s="155">
        <f t="shared" ca="1" si="149"/>
        <v>1.5981990674606092</v>
      </c>
    </row>
    <row r="523" spans="3:29">
      <c r="C523" s="152" t="str">
        <f>'Monthly Prices'!A511</f>
        <v>2001M12</v>
      </c>
      <c r="D523" s="153">
        <f t="shared" si="138"/>
        <v>37226</v>
      </c>
      <c r="E523" s="152">
        <f t="shared" si="139"/>
        <v>504</v>
      </c>
      <c r="F523" s="152" t="b">
        <f t="shared" si="133"/>
        <v>1</v>
      </c>
      <c r="G523" s="152" t="b">
        <f t="shared" si="134"/>
        <v>1</v>
      </c>
      <c r="H523" s="152" t="b">
        <f t="shared" si="135"/>
        <v>1</v>
      </c>
      <c r="I523" s="153">
        <f t="shared" si="136"/>
        <v>37226</v>
      </c>
      <c r="J523" s="158">
        <f>INDEX('Monthly Prices'!B511:CB511,$G$4)</f>
        <v>91.88</v>
      </c>
      <c r="K523" s="158">
        <f ca="1">IF(H523,INDEX('Monthly Prices'!B511:CB511,$G$4)*U523,FALSE)</f>
        <v>146.69663438329962</v>
      </c>
      <c r="L523" s="152" t="b">
        <f t="shared" si="140"/>
        <v>1</v>
      </c>
      <c r="M523" s="158">
        <f>INDEX('Monthly Prices'!B511:CB511,$G$5)</f>
        <v>102.86</v>
      </c>
      <c r="N523" s="158">
        <f ca="1">IF(H523,INDEX('Monthly Prices'!B511:CB511,$G$5)*U523,FALSE)</f>
        <v>164.22742503990204</v>
      </c>
      <c r="O523" s="152" t="b">
        <f t="shared" si="137"/>
        <v>1</v>
      </c>
      <c r="P523" s="152">
        <f t="shared" si="141"/>
        <v>2001</v>
      </c>
      <c r="Q523" s="159">
        <f>'Monthly Prices'!B511</f>
        <v>18.51978947368</v>
      </c>
      <c r="R523" s="159">
        <f t="shared" si="142"/>
        <v>24.351825004292504</v>
      </c>
      <c r="S523" s="155">
        <f>_xlfn.XLOOKUP(P523,'Annual Real'!A:A,'Annual Real'!B:B,0,0)</f>
        <v>31.800493397500201</v>
      </c>
      <c r="T523" s="155">
        <f t="shared" ca="1" si="143"/>
        <v>1.5966111709109667</v>
      </c>
      <c r="U523" s="152">
        <f t="shared" ca="1" si="144"/>
        <v>1.5966111709109667</v>
      </c>
      <c r="V523" s="152">
        <f t="shared" ca="1" si="150"/>
        <v>2.4803877435971823E-2</v>
      </c>
      <c r="W523" s="152">
        <f t="shared" ca="1" si="151"/>
        <v>1.7551349758434222E-2</v>
      </c>
      <c r="X523" s="154">
        <f>LOOKUP(D523,'US Implicit Deflator'!A:A,'US Implicit Deflator'!B:B)/100</f>
        <v>1.2E-2</v>
      </c>
      <c r="Y523" s="154">
        <f t="shared" si="145"/>
        <v>9.9454180114277868E-4</v>
      </c>
      <c r="Z523" s="165">
        <f t="shared" ca="1" si="146"/>
        <v>4.2770545815570955</v>
      </c>
      <c r="AA523" s="152">
        <f t="shared" si="147"/>
        <v>7</v>
      </c>
      <c r="AB523" s="153">
        <f t="shared" si="148"/>
        <v>37226</v>
      </c>
      <c r="AC523" s="155">
        <f t="shared" ca="1" si="149"/>
        <v>1.5966111709109667</v>
      </c>
    </row>
    <row r="524" spans="3:29">
      <c r="C524" s="152" t="str">
        <f>'Monthly Prices'!A512</f>
        <v>2002M01</v>
      </c>
      <c r="D524" s="153">
        <f t="shared" si="138"/>
        <v>37257</v>
      </c>
      <c r="E524" s="152">
        <f t="shared" si="139"/>
        <v>505</v>
      </c>
      <c r="F524" s="152" t="b">
        <f t="shared" si="133"/>
        <v>1</v>
      </c>
      <c r="G524" s="152" t="b">
        <f t="shared" si="134"/>
        <v>1</v>
      </c>
      <c r="H524" s="152" t="b">
        <f t="shared" si="135"/>
        <v>1</v>
      </c>
      <c r="I524" s="153">
        <f t="shared" si="136"/>
        <v>37257</v>
      </c>
      <c r="J524" s="158">
        <f>INDEX('Monthly Prices'!B512:CB512,$G$4)</f>
        <v>91.98</v>
      </c>
      <c r="K524" s="158">
        <f ca="1">IF(H524,INDEX('Monthly Prices'!B512:CB512,$G$4)*U524,FALSE)</f>
        <v>146.77095257508293</v>
      </c>
      <c r="L524" s="152" t="b">
        <f t="shared" si="140"/>
        <v>1</v>
      </c>
      <c r="M524" s="158">
        <f>INDEX('Monthly Prices'!B512:CB512,$G$5)</f>
        <v>99.27</v>
      </c>
      <c r="N524" s="158">
        <f ca="1">IF(H524,INDEX('Monthly Prices'!B512:CB512,$G$5)*U524,FALSE)</f>
        <v>158.40348404140553</v>
      </c>
      <c r="O524" s="152" t="b">
        <f t="shared" si="137"/>
        <v>1</v>
      </c>
      <c r="P524" s="152">
        <f t="shared" si="141"/>
        <v>2002</v>
      </c>
      <c r="Q524" s="159">
        <f>'Monthly Prices'!B512</f>
        <v>19.154812409809999</v>
      </c>
      <c r="R524" s="159">
        <f t="shared" si="142"/>
        <v>24.927748381805003</v>
      </c>
      <c r="S524" s="155">
        <f>_xlfn.XLOOKUP(P524,'Annual Real'!A:A,'Annual Real'!B:B,0,0)</f>
        <v>32.937134394780102</v>
      </c>
      <c r="T524" s="155">
        <f t="shared" ca="1" si="143"/>
        <v>1.5956833287136651</v>
      </c>
      <c r="U524" s="152">
        <f t="shared" ca="1" si="144"/>
        <v>1.5956833287136651</v>
      </c>
      <c r="V524" s="152">
        <f t="shared" ca="1" si="150"/>
        <v>5.0648314617826107E-4</v>
      </c>
      <c r="W524" s="152">
        <f t="shared" ca="1" si="151"/>
        <v>-3.6106730889841766E-2</v>
      </c>
      <c r="X524" s="154">
        <f>LOOKUP(D524,'US Implicit Deflator'!A:A,'US Implicit Deflator'!B:B)/100</f>
        <v>6.9999999999999993E-3</v>
      </c>
      <c r="Y524" s="154">
        <f t="shared" si="145"/>
        <v>5.8147013295517525E-4</v>
      </c>
      <c r="Z524" s="165">
        <f t="shared" ca="1" si="146"/>
        <v>4.2795415610532901</v>
      </c>
      <c r="AA524" s="152">
        <f t="shared" si="147"/>
        <v>7</v>
      </c>
      <c r="AB524" s="153">
        <f t="shared" si="148"/>
        <v>37257</v>
      </c>
      <c r="AC524" s="155">
        <f t="shared" ca="1" si="149"/>
        <v>1.5956833287136651</v>
      </c>
    </row>
    <row r="525" spans="3:29">
      <c r="C525" s="152" t="str">
        <f>'Monthly Prices'!A513</f>
        <v>2002M02</v>
      </c>
      <c r="D525" s="153">
        <f t="shared" si="138"/>
        <v>37288</v>
      </c>
      <c r="E525" s="152">
        <f t="shared" si="139"/>
        <v>506</v>
      </c>
      <c r="F525" s="152" t="b">
        <f t="shared" si="133"/>
        <v>1</v>
      </c>
      <c r="G525" s="152" t="b">
        <f t="shared" si="134"/>
        <v>1</v>
      </c>
      <c r="H525" s="152" t="b">
        <f t="shared" si="135"/>
        <v>1</v>
      </c>
      <c r="I525" s="153">
        <f t="shared" si="136"/>
        <v>37288</v>
      </c>
      <c r="J525" s="158">
        <f>INDEX('Monthly Prices'!B513:CB513,$G$4)</f>
        <v>90.82</v>
      </c>
      <c r="K525" s="158">
        <f ca="1">IF(H525,INDEX('Monthly Prices'!B513:CB513,$G$4)*U525,FALSE)</f>
        <v>144.83574225546909</v>
      </c>
      <c r="L525" s="152" t="b">
        <f t="shared" si="140"/>
        <v>1</v>
      </c>
      <c r="M525" s="158">
        <f>INDEX('Monthly Prices'!B513:CB513,$G$5)</f>
        <v>99.01</v>
      </c>
      <c r="N525" s="158">
        <f ca="1">IF(H525,INDEX('Monthly Prices'!B513:CB513,$G$5)*U525,FALSE)</f>
        <v>157.89679410607792</v>
      </c>
      <c r="O525" s="152" t="b">
        <f t="shared" si="137"/>
        <v>1</v>
      </c>
      <c r="P525" s="152">
        <f t="shared" si="141"/>
        <v>2002</v>
      </c>
      <c r="Q525" s="159">
        <f>'Monthly Prices'!B513</f>
        <v>19.97523684211</v>
      </c>
      <c r="R525" s="159">
        <f t="shared" si="142"/>
        <v>24.927748381805003</v>
      </c>
      <c r="S525" s="155">
        <f>_xlfn.XLOOKUP(P525,'Annual Real'!A:A,'Annual Real'!B:B,0,0)</f>
        <v>32.937134394780102</v>
      </c>
      <c r="T525" s="155">
        <f t="shared" ca="1" si="143"/>
        <v>1.5947560257153612</v>
      </c>
      <c r="U525" s="152">
        <f t="shared" ca="1" si="144"/>
        <v>1.5947560257153612</v>
      </c>
      <c r="V525" s="152">
        <f t="shared" ca="1" si="150"/>
        <v>-1.3272937586674935E-2</v>
      </c>
      <c r="W525" s="152">
        <f t="shared" ca="1" si="151"/>
        <v>-3.2038566119091923E-3</v>
      </c>
      <c r="X525" s="154">
        <f>LOOKUP(D525,'US Implicit Deflator'!A:A,'US Implicit Deflator'!B:B)/100</f>
        <v>6.9999999999999993E-3</v>
      </c>
      <c r="Y525" s="154">
        <f t="shared" si="145"/>
        <v>5.8147013295517525E-4</v>
      </c>
      <c r="Z525" s="165">
        <f t="shared" ca="1" si="146"/>
        <v>4.2820299866537832</v>
      </c>
      <c r="AA525" s="152">
        <f t="shared" si="147"/>
        <v>7</v>
      </c>
      <c r="AB525" s="153">
        <f t="shared" si="148"/>
        <v>37288</v>
      </c>
      <c r="AC525" s="155">
        <f t="shared" ca="1" si="149"/>
        <v>1.5947560257153612</v>
      </c>
    </row>
    <row r="526" spans="3:29">
      <c r="C526" s="152" t="str">
        <f>'Monthly Prices'!A514</f>
        <v>2002M03</v>
      </c>
      <c r="D526" s="153">
        <f t="shared" si="138"/>
        <v>37316</v>
      </c>
      <c r="E526" s="152">
        <f t="shared" si="139"/>
        <v>507</v>
      </c>
      <c r="F526" s="152" t="b">
        <f t="shared" si="133"/>
        <v>1</v>
      </c>
      <c r="G526" s="152" t="b">
        <f t="shared" si="134"/>
        <v>1</v>
      </c>
      <c r="H526" s="152" t="b">
        <f t="shared" si="135"/>
        <v>1</v>
      </c>
      <c r="I526" s="153">
        <f t="shared" si="136"/>
        <v>37316</v>
      </c>
      <c r="J526" s="158">
        <f>INDEX('Monthly Prices'!B514:CB514,$G$4)</f>
        <v>89.61</v>
      </c>
      <c r="K526" s="158">
        <f ca="1">IF(H526,INDEX('Monthly Prices'!B514:CB514,$G$4)*U526,FALSE)</f>
        <v>142.82304013221878</v>
      </c>
      <c r="L526" s="152" t="b">
        <f t="shared" si="140"/>
        <v>1</v>
      </c>
      <c r="M526" s="158">
        <f>INDEX('Monthly Prices'!B514:CB514,$G$5)</f>
        <v>98.95</v>
      </c>
      <c r="N526" s="158">
        <f ca="1">IF(H526,INDEX('Monthly Prices'!B514:CB514,$G$5)*U526,FALSE)</f>
        <v>157.70940543558811</v>
      </c>
      <c r="O526" s="152" t="b">
        <f t="shared" si="137"/>
        <v>1</v>
      </c>
      <c r="P526" s="152">
        <f t="shared" si="141"/>
        <v>2002</v>
      </c>
      <c r="Q526" s="159">
        <f>'Monthly Prices'!B514</f>
        <v>23.64066666667</v>
      </c>
      <c r="R526" s="159">
        <f t="shared" si="142"/>
        <v>24.927748381805003</v>
      </c>
      <c r="S526" s="155">
        <f>_xlfn.XLOOKUP(P526,'Annual Real'!A:A,'Annual Real'!B:B,0,0)</f>
        <v>32.937134394780102</v>
      </c>
      <c r="T526" s="155">
        <f t="shared" ca="1" si="143"/>
        <v>1.5938292616027094</v>
      </c>
      <c r="U526" s="152">
        <f t="shared" ca="1" si="144"/>
        <v>1.5938292616027094</v>
      </c>
      <c r="V526" s="152">
        <f t="shared" ca="1" si="150"/>
        <v>-1.3993905918378761E-2</v>
      </c>
      <c r="W526" s="152">
        <f t="shared" ca="1" si="151"/>
        <v>-1.1874842305504276E-3</v>
      </c>
      <c r="X526" s="154">
        <f>LOOKUP(D526,'US Implicit Deflator'!A:A,'US Implicit Deflator'!B:B)/100</f>
        <v>6.9999999999999993E-3</v>
      </c>
      <c r="Y526" s="154">
        <f t="shared" si="145"/>
        <v>5.8147013295517525E-4</v>
      </c>
      <c r="Z526" s="165">
        <f t="shared" ca="1" si="146"/>
        <v>4.2845198591994409</v>
      </c>
      <c r="AA526" s="152">
        <f t="shared" si="147"/>
        <v>7</v>
      </c>
      <c r="AB526" s="153">
        <f t="shared" si="148"/>
        <v>37316</v>
      </c>
      <c r="AC526" s="155">
        <f t="shared" ca="1" si="149"/>
        <v>1.5938292616027094</v>
      </c>
    </row>
    <row r="527" spans="3:29">
      <c r="C527" s="152" t="str">
        <f>'Monthly Prices'!A515</f>
        <v>2002M04</v>
      </c>
      <c r="D527" s="153">
        <f t="shared" si="138"/>
        <v>37347</v>
      </c>
      <c r="E527" s="152">
        <f t="shared" si="139"/>
        <v>508</v>
      </c>
      <c r="F527" s="152" t="b">
        <f t="shared" si="133"/>
        <v>1</v>
      </c>
      <c r="G527" s="152" t="b">
        <f t="shared" si="134"/>
        <v>1</v>
      </c>
      <c r="H527" s="152" t="b">
        <f t="shared" si="135"/>
        <v>1</v>
      </c>
      <c r="I527" s="153">
        <f t="shared" si="136"/>
        <v>37347</v>
      </c>
      <c r="J527" s="158">
        <f>INDEX('Monthly Prices'!B515:CB515,$G$4)</f>
        <v>87.13</v>
      </c>
      <c r="K527" s="158">
        <f ca="1">IF(H527,INDEX('Monthly Prices'!B515:CB515,$G$4)*U527,FALSE)</f>
        <v>138.78964153212956</v>
      </c>
      <c r="L527" s="152" t="b">
        <f t="shared" si="140"/>
        <v>1</v>
      </c>
      <c r="M527" s="158">
        <f>INDEX('Monthly Prices'!B515:CB515,$G$5)</f>
        <v>95.82</v>
      </c>
      <c r="N527" s="158">
        <f ca="1">IF(H527,INDEX('Monthly Prices'!B515:CB515,$G$5)*U527,FALSE)</f>
        <v>152.63196891551308</v>
      </c>
      <c r="O527" s="152" t="b">
        <f t="shared" si="137"/>
        <v>1</v>
      </c>
      <c r="P527" s="152">
        <f t="shared" si="141"/>
        <v>2002</v>
      </c>
      <c r="Q527" s="159">
        <f>'Monthly Prices'!B515</f>
        <v>25.434242424240001</v>
      </c>
      <c r="R527" s="159">
        <f t="shared" si="142"/>
        <v>24.927748381805003</v>
      </c>
      <c r="S527" s="155">
        <f>_xlfn.XLOOKUP(P527,'Annual Real'!A:A,'Annual Real'!B:B,0,0)</f>
        <v>32.937134394780102</v>
      </c>
      <c r="T527" s="155">
        <f t="shared" ca="1" si="143"/>
        <v>1.5929030360625454</v>
      </c>
      <c r="U527" s="152">
        <f t="shared" ca="1" si="144"/>
        <v>1.5929030360625454</v>
      </c>
      <c r="V527" s="152">
        <f t="shared" ca="1" si="150"/>
        <v>-2.8646965797634698E-2</v>
      </c>
      <c r="W527" s="152">
        <f t="shared" ca="1" si="151"/>
        <v>-3.2724541738300882E-2</v>
      </c>
      <c r="X527" s="154">
        <f>LOOKUP(D527,'US Implicit Deflator'!A:A,'US Implicit Deflator'!B:B)/100</f>
        <v>6.9999999999999993E-3</v>
      </c>
      <c r="Y527" s="154">
        <f t="shared" si="145"/>
        <v>5.8147013295517525E-4</v>
      </c>
      <c r="Z527" s="165">
        <f t="shared" ca="1" si="146"/>
        <v>4.2870111795316186</v>
      </c>
      <c r="AA527" s="152">
        <f t="shared" si="147"/>
        <v>7</v>
      </c>
      <c r="AB527" s="153">
        <f t="shared" si="148"/>
        <v>37347</v>
      </c>
      <c r="AC527" s="155">
        <f t="shared" ca="1" si="149"/>
        <v>1.5929030360625454</v>
      </c>
    </row>
    <row r="528" spans="3:29">
      <c r="C528" s="152" t="str">
        <f>'Monthly Prices'!A516</f>
        <v>2002M05</v>
      </c>
      <c r="D528" s="153">
        <f t="shared" si="138"/>
        <v>37377</v>
      </c>
      <c r="E528" s="152">
        <f t="shared" si="139"/>
        <v>509</v>
      </c>
      <c r="F528" s="152" t="b">
        <f t="shared" si="133"/>
        <v>1</v>
      </c>
      <c r="G528" s="152" t="b">
        <f t="shared" si="134"/>
        <v>1</v>
      </c>
      <c r="H528" s="152" t="b">
        <f t="shared" si="135"/>
        <v>1</v>
      </c>
      <c r="I528" s="153">
        <f t="shared" si="136"/>
        <v>37377</v>
      </c>
      <c r="J528" s="158">
        <f>INDEX('Monthly Prices'!B516:CB516,$G$4)</f>
        <v>90.27</v>
      </c>
      <c r="K528" s="158">
        <f ca="1">IF(H528,INDEX('Monthly Prices'!B516:CB516,$G$4)*U528,FALSE)</f>
        <v>143.70779527454098</v>
      </c>
      <c r="L528" s="152" t="b">
        <f t="shared" si="140"/>
        <v>1</v>
      </c>
      <c r="M528" s="158">
        <f>INDEX('Monthly Prices'!B516:CB516,$G$5)</f>
        <v>97.55</v>
      </c>
      <c r="N528" s="158">
        <f ca="1">IF(H528,INDEX('Monthly Prices'!B516:CB516,$G$5)*U528,FALSE)</f>
        <v>155.29739037367312</v>
      </c>
      <c r="O528" s="152" t="b">
        <f t="shared" si="137"/>
        <v>1</v>
      </c>
      <c r="P528" s="152">
        <f t="shared" si="141"/>
        <v>2002</v>
      </c>
      <c r="Q528" s="159">
        <f>'Monthly Prices'!B516</f>
        <v>25.672345191040002</v>
      </c>
      <c r="R528" s="159">
        <f t="shared" si="142"/>
        <v>24.927748381805003</v>
      </c>
      <c r="S528" s="155">
        <f>_xlfn.XLOOKUP(P528,'Annual Real'!A:A,'Annual Real'!B:B,0,0)</f>
        <v>32.937134394780102</v>
      </c>
      <c r="T528" s="155">
        <f t="shared" ca="1" si="143"/>
        <v>1.5919773487818876</v>
      </c>
      <c r="U528" s="152">
        <f t="shared" ca="1" si="144"/>
        <v>1.5919773487818876</v>
      </c>
      <c r="V528" s="152">
        <f t="shared" ca="1" si="150"/>
        <v>3.4822621922166126E-2</v>
      </c>
      <c r="W528" s="152">
        <f t="shared" ca="1" si="151"/>
        <v>1.731233446944232E-2</v>
      </c>
      <c r="X528" s="154">
        <f>LOOKUP(D528,'US Implicit Deflator'!A:A,'US Implicit Deflator'!B:B)/100</f>
        <v>6.9999999999999993E-3</v>
      </c>
      <c r="Y528" s="154">
        <f t="shared" si="145"/>
        <v>5.8147013295517525E-4</v>
      </c>
      <c r="Z528" s="165">
        <f t="shared" ca="1" si="146"/>
        <v>4.2895039484921611</v>
      </c>
      <c r="AA528" s="152">
        <f t="shared" si="147"/>
        <v>7</v>
      </c>
      <c r="AB528" s="153">
        <f t="shared" si="148"/>
        <v>37377</v>
      </c>
      <c r="AC528" s="155">
        <f t="shared" ca="1" si="149"/>
        <v>1.5919773487818876</v>
      </c>
    </row>
    <row r="529" spans="3:29">
      <c r="C529" s="152" t="str">
        <f>'Monthly Prices'!A517</f>
        <v>2002M06</v>
      </c>
      <c r="D529" s="153">
        <f t="shared" si="138"/>
        <v>37408</v>
      </c>
      <c r="E529" s="152">
        <f t="shared" si="139"/>
        <v>510</v>
      </c>
      <c r="F529" s="152" t="b">
        <f t="shared" si="133"/>
        <v>1</v>
      </c>
      <c r="G529" s="152" t="b">
        <f t="shared" si="134"/>
        <v>1</v>
      </c>
      <c r="H529" s="152" t="b">
        <f t="shared" si="135"/>
        <v>1</v>
      </c>
      <c r="I529" s="153">
        <f t="shared" si="136"/>
        <v>37408</v>
      </c>
      <c r="J529" s="158">
        <f>INDEX('Monthly Prices'!B517:CB517,$G$4)</f>
        <v>94.09</v>
      </c>
      <c r="K529" s="158">
        <f ca="1">IF(H529,INDEX('Monthly Prices'!B517:CB517,$G$4)*U529,FALSE)</f>
        <v>149.7021014460563</v>
      </c>
      <c r="L529" s="152" t="b">
        <f t="shared" si="140"/>
        <v>1</v>
      </c>
      <c r="M529" s="158">
        <f>INDEX('Monthly Prices'!B517:CB517,$G$5)</f>
        <v>104.11</v>
      </c>
      <c r="N529" s="158">
        <f ca="1">IF(H529,INDEX('Monthly Prices'!B517:CB517,$G$5)*U529,FALSE)</f>
        <v>165.6444444845246</v>
      </c>
      <c r="O529" s="152" t="b">
        <f t="shared" si="137"/>
        <v>1</v>
      </c>
      <c r="P529" s="152">
        <f t="shared" si="141"/>
        <v>2002</v>
      </c>
      <c r="Q529" s="159">
        <f>'Monthly Prices'!B517</f>
        <v>24.48805750487</v>
      </c>
      <c r="R529" s="159">
        <f t="shared" si="142"/>
        <v>24.927748381805003</v>
      </c>
      <c r="S529" s="155">
        <f>_xlfn.XLOOKUP(P529,'Annual Real'!A:A,'Annual Real'!B:B,0,0)</f>
        <v>32.937134394780102</v>
      </c>
      <c r="T529" s="155">
        <f t="shared" ca="1" si="143"/>
        <v>1.5910521994479359</v>
      </c>
      <c r="U529" s="152">
        <f t="shared" ca="1" si="144"/>
        <v>1.5910521994479359</v>
      </c>
      <c r="V529" s="152">
        <f t="shared" ca="1" si="150"/>
        <v>4.086529056390887E-2</v>
      </c>
      <c r="W529" s="152">
        <f t="shared" ca="1" si="151"/>
        <v>6.4501664272839251E-2</v>
      </c>
      <c r="X529" s="154">
        <f>LOOKUP(D529,'US Implicit Deflator'!A:A,'US Implicit Deflator'!B:B)/100</f>
        <v>6.9999999999999993E-3</v>
      </c>
      <c r="Y529" s="154">
        <f t="shared" si="145"/>
        <v>5.8147013295517525E-4</v>
      </c>
      <c r="Z529" s="165">
        <f t="shared" ca="1" si="146"/>
        <v>4.2919981669234026</v>
      </c>
      <c r="AA529" s="152">
        <f t="shared" si="147"/>
        <v>7</v>
      </c>
      <c r="AB529" s="153">
        <f t="shared" si="148"/>
        <v>37408</v>
      </c>
      <c r="AC529" s="155">
        <f t="shared" ca="1" si="149"/>
        <v>1.5910521994479359</v>
      </c>
    </row>
    <row r="530" spans="3:29">
      <c r="C530" s="152" t="str">
        <f>'Monthly Prices'!A518</f>
        <v>2002M07</v>
      </c>
      <c r="D530" s="153">
        <f t="shared" si="138"/>
        <v>37438</v>
      </c>
      <c r="E530" s="152">
        <f t="shared" si="139"/>
        <v>511</v>
      </c>
      <c r="F530" s="152" t="b">
        <f t="shared" si="133"/>
        <v>1</v>
      </c>
      <c r="G530" s="152" t="b">
        <f t="shared" si="134"/>
        <v>1</v>
      </c>
      <c r="H530" s="152" t="b">
        <f t="shared" si="135"/>
        <v>1</v>
      </c>
      <c r="I530" s="153">
        <f t="shared" si="136"/>
        <v>37438</v>
      </c>
      <c r="J530" s="158">
        <f>INDEX('Monthly Prices'!B518:CB518,$G$4)</f>
        <v>98.69</v>
      </c>
      <c r="K530" s="158">
        <f ca="1">IF(H530,INDEX('Monthly Prices'!B518:CB518,$G$4)*U530,FALSE)</f>
        <v>156.90374640169927</v>
      </c>
      <c r="L530" s="152" t="b">
        <f t="shared" si="140"/>
        <v>1</v>
      </c>
      <c r="M530" s="158">
        <f>INDEX('Monthly Prices'!B518:CB518,$G$5)</f>
        <v>114.23</v>
      </c>
      <c r="N530" s="158">
        <f ca="1">IF(H530,INDEX('Monthly Prices'!B518:CB518,$G$5)*U530,FALSE)</f>
        <v>181.61024370722575</v>
      </c>
      <c r="O530" s="152" t="b">
        <f t="shared" si="137"/>
        <v>1</v>
      </c>
      <c r="P530" s="152">
        <f t="shared" si="141"/>
        <v>2002</v>
      </c>
      <c r="Q530" s="159">
        <f>'Monthly Prices'!B518</f>
        <v>25.754748102139999</v>
      </c>
      <c r="R530" s="159">
        <f t="shared" si="142"/>
        <v>24.927748381805003</v>
      </c>
      <c r="S530" s="155">
        <f>_xlfn.XLOOKUP(P530,'Annual Real'!A:A,'Annual Real'!B:B,0,0)</f>
        <v>32.937134394780102</v>
      </c>
      <c r="T530" s="155">
        <f t="shared" ca="1" si="143"/>
        <v>1.5898646914753194</v>
      </c>
      <c r="U530" s="152">
        <f t="shared" ca="1" si="144"/>
        <v>1.5898646914753194</v>
      </c>
      <c r="V530" s="152">
        <f t="shared" ca="1" si="150"/>
        <v>4.6985208050952111E-2</v>
      </c>
      <c r="W530" s="152">
        <f t="shared" ca="1" si="151"/>
        <v>9.2019282144904985E-2</v>
      </c>
      <c r="X530" s="154">
        <f>LOOKUP(D530,'US Implicit Deflator'!A:A,'US Implicit Deflator'!B:B)/100</f>
        <v>9.0000000000000011E-3</v>
      </c>
      <c r="Y530" s="154">
        <f t="shared" si="145"/>
        <v>7.4692392313879807E-4</v>
      </c>
      <c r="Z530" s="165">
        <f t="shared" ca="1" si="146"/>
        <v>4.2952039630323453</v>
      </c>
      <c r="AA530" s="152">
        <f t="shared" si="147"/>
        <v>7</v>
      </c>
      <c r="AB530" s="153">
        <f t="shared" si="148"/>
        <v>37438</v>
      </c>
      <c r="AC530" s="155">
        <f t="shared" ca="1" si="149"/>
        <v>1.5898646914753194</v>
      </c>
    </row>
    <row r="531" spans="3:29">
      <c r="C531" s="152" t="str">
        <f>'Monthly Prices'!A519</f>
        <v>2002M08</v>
      </c>
      <c r="D531" s="153">
        <f t="shared" si="138"/>
        <v>37469</v>
      </c>
      <c r="E531" s="152">
        <f t="shared" si="139"/>
        <v>512</v>
      </c>
      <c r="F531" s="152" t="b">
        <f t="shared" si="133"/>
        <v>1</v>
      </c>
      <c r="G531" s="152" t="b">
        <f t="shared" si="134"/>
        <v>1</v>
      </c>
      <c r="H531" s="152" t="b">
        <f t="shared" si="135"/>
        <v>1</v>
      </c>
      <c r="I531" s="153">
        <f t="shared" si="136"/>
        <v>37469</v>
      </c>
      <c r="J531" s="158">
        <f>INDEX('Monthly Prices'!B519:CB519,$G$4)</f>
        <v>108.93</v>
      </c>
      <c r="K531" s="158">
        <f ca="1">IF(H531,INDEX('Monthly Prices'!B519:CB519,$G$4)*U531,FALSE)</f>
        <v>173.05470214536251</v>
      </c>
      <c r="L531" s="152" t="b">
        <f t="shared" si="140"/>
        <v>1</v>
      </c>
      <c r="M531" s="158">
        <f>INDEX('Monthly Prices'!B519:CB519,$G$5)</f>
        <v>120.99</v>
      </c>
      <c r="N531" s="158">
        <f ca="1">IF(H531,INDEX('Monthly Prices'!B519:CB519,$G$5)*U531,FALSE)</f>
        <v>192.21415966737729</v>
      </c>
      <c r="O531" s="152" t="b">
        <f t="shared" si="137"/>
        <v>1</v>
      </c>
      <c r="P531" s="152">
        <f t="shared" si="141"/>
        <v>2002</v>
      </c>
      <c r="Q531" s="159">
        <f>'Monthly Prices'!B519</f>
        <v>26.775800865800001</v>
      </c>
      <c r="R531" s="159">
        <f t="shared" si="142"/>
        <v>24.927748381805003</v>
      </c>
      <c r="S531" s="155">
        <f>_xlfn.XLOOKUP(P531,'Annual Real'!A:A,'Annual Real'!B:B,0,0)</f>
        <v>32.937134394780102</v>
      </c>
      <c r="T531" s="155">
        <f t="shared" ca="1" si="143"/>
        <v>1.5886780698188057</v>
      </c>
      <c r="U531" s="152">
        <f t="shared" ca="1" si="144"/>
        <v>1.5886780698188057</v>
      </c>
      <c r="V531" s="152">
        <f t="shared" ca="1" si="150"/>
        <v>9.7975204796149018E-2</v>
      </c>
      <c r="W531" s="152">
        <f t="shared" ca="1" si="151"/>
        <v>5.6747292693241205E-2</v>
      </c>
      <c r="X531" s="154">
        <f>LOOKUP(D531,'US Implicit Deflator'!A:A,'US Implicit Deflator'!B:B)/100</f>
        <v>9.0000000000000011E-3</v>
      </c>
      <c r="Y531" s="154">
        <f t="shared" si="145"/>
        <v>7.4692392313879807E-4</v>
      </c>
      <c r="Z531" s="165">
        <f t="shared" ca="1" si="146"/>
        <v>4.2984121536270949</v>
      </c>
      <c r="AA531" s="152">
        <f t="shared" si="147"/>
        <v>7</v>
      </c>
      <c r="AB531" s="153">
        <f t="shared" si="148"/>
        <v>37469</v>
      </c>
      <c r="AC531" s="155">
        <f t="shared" ca="1" si="149"/>
        <v>1.5886780698188057</v>
      </c>
    </row>
    <row r="532" spans="3:29">
      <c r="C532" s="152" t="str">
        <f>'Monthly Prices'!A520</f>
        <v>2002M09</v>
      </c>
      <c r="D532" s="153">
        <f t="shared" si="138"/>
        <v>37500</v>
      </c>
      <c r="E532" s="152">
        <f t="shared" si="139"/>
        <v>513</v>
      </c>
      <c r="F532" s="152" t="b">
        <f t="shared" ref="F532:F595" si="152">AND(E532&gt;=$M$4,L532)</f>
        <v>1</v>
      </c>
      <c r="G532" s="152" t="b">
        <f t="shared" ref="G532:G595" si="153">AND(E532&lt;=$M$5,O532)</f>
        <v>1</v>
      </c>
      <c r="H532" s="152" t="b">
        <f t="shared" ref="H532:H595" si="154">AND(F532:G532)</f>
        <v>1</v>
      </c>
      <c r="I532" s="153">
        <f t="shared" ref="I532:I595" si="155">IF(H532,D532,NA)</f>
        <v>37500</v>
      </c>
      <c r="J532" s="158">
        <f>INDEX('Monthly Prices'!B520:CB520,$G$4)</f>
        <v>114.14</v>
      </c>
      <c r="K532" s="158">
        <f ca="1">IF(H532,INDEX('Monthly Prices'!B520:CB520,$G$4)*U532,FALSE)</f>
        <v>181.1963749818585</v>
      </c>
      <c r="L532" s="152" t="b">
        <f t="shared" si="140"/>
        <v>1</v>
      </c>
      <c r="M532" s="158">
        <f>INDEX('Monthly Prices'!B520:CB520,$G$5)</f>
        <v>119.75</v>
      </c>
      <c r="N532" s="158">
        <f ca="1">IF(H532,INDEX('Monthly Prices'!B520:CB520,$G$5)*U532,FALSE)</f>
        <v>190.1022069745712</v>
      </c>
      <c r="O532" s="152" t="b">
        <f t="shared" ref="O532:O595" si="156">AND(ISNUMBER(M532),M532&gt;0)</f>
        <v>1</v>
      </c>
      <c r="P532" s="152">
        <f t="shared" si="141"/>
        <v>2002</v>
      </c>
      <c r="Q532" s="159">
        <f>'Monthly Prices'!B520</f>
        <v>28.280793650789999</v>
      </c>
      <c r="R532" s="159">
        <f t="shared" si="142"/>
        <v>24.927748381805003</v>
      </c>
      <c r="S532" s="155">
        <f>_xlfn.XLOOKUP(P532,'Annual Real'!A:A,'Annual Real'!B:B,0,0)</f>
        <v>32.937134394780102</v>
      </c>
      <c r="T532" s="155">
        <f t="shared" ca="1" si="143"/>
        <v>1.5874923338168785</v>
      </c>
      <c r="U532" s="152">
        <f t="shared" ca="1" si="144"/>
        <v>1.5874923338168785</v>
      </c>
      <c r="V532" s="152">
        <f t="shared" ca="1" si="150"/>
        <v>4.5973645899918564E-2</v>
      </c>
      <c r="W532" s="152">
        <f t="shared" ca="1" si="151"/>
        <v>-1.1048306376651103E-2</v>
      </c>
      <c r="X532" s="154">
        <f>LOOKUP(D532,'US Implicit Deflator'!A:A,'US Implicit Deflator'!B:B)/100</f>
        <v>9.0000000000000011E-3</v>
      </c>
      <c r="Y532" s="154">
        <f t="shared" si="145"/>
        <v>7.4692392313879807E-4</v>
      </c>
      <c r="Z532" s="165">
        <f t="shared" ca="1" si="146"/>
        <v>4.3016227404961498</v>
      </c>
      <c r="AA532" s="152">
        <f t="shared" si="147"/>
        <v>7</v>
      </c>
      <c r="AB532" s="153">
        <f t="shared" si="148"/>
        <v>37500</v>
      </c>
      <c r="AC532" s="155">
        <f t="shared" ca="1" si="149"/>
        <v>1.5874923338168785</v>
      </c>
    </row>
    <row r="533" spans="3:29">
      <c r="C533" s="152" t="str">
        <f>'Monthly Prices'!A521</f>
        <v>2002M10</v>
      </c>
      <c r="D533" s="153">
        <f t="shared" ref="D533:D596" si="157">EDATE(D532,1)</f>
        <v>37530</v>
      </c>
      <c r="E533" s="152">
        <f t="shared" ref="E533:E596" si="158">E532+1</f>
        <v>514</v>
      </c>
      <c r="F533" s="152" t="b">
        <f t="shared" si="152"/>
        <v>1</v>
      </c>
      <c r="G533" s="152" t="b">
        <f t="shared" si="153"/>
        <v>1</v>
      </c>
      <c r="H533" s="152" t="b">
        <f t="shared" si="154"/>
        <v>1</v>
      </c>
      <c r="I533" s="153">
        <f t="shared" si="155"/>
        <v>37530</v>
      </c>
      <c r="J533" s="158">
        <f>INDEX('Monthly Prices'!B521:CB521,$G$4)</f>
        <v>109.7</v>
      </c>
      <c r="K533" s="158">
        <f ca="1">IF(H533,INDEX('Monthly Prices'!B521:CB521,$G$4)*U533,FALSE)</f>
        <v>173.98921739369931</v>
      </c>
      <c r="L533" s="152" t="b">
        <f t="shared" ref="L533:L596" si="159">ISNUMBER(J533)</f>
        <v>1</v>
      </c>
      <c r="M533" s="158">
        <f>INDEX('Monthly Prices'!B521:CB521,$G$5)</f>
        <v>120.61</v>
      </c>
      <c r="N533" s="158">
        <f ca="1">IF(H533,INDEX('Monthly Prices'!B521:CB521,$G$5)*U533,FALSE)</f>
        <v>191.29297638882471</v>
      </c>
      <c r="O533" s="152" t="b">
        <f t="shared" si="156"/>
        <v>1</v>
      </c>
      <c r="P533" s="152">
        <f t="shared" ref="P533:P596" si="160">YEAR(D533)</f>
        <v>2002</v>
      </c>
      <c r="Q533" s="159">
        <f>'Monthly Prices'!B521</f>
        <v>27.526811594200002</v>
      </c>
      <c r="R533" s="159">
        <f t="shared" ref="R533:R596" si="161">AVERAGEIF(P:P,P533,Q:Q)</f>
        <v>24.927748381805003</v>
      </c>
      <c r="S533" s="155">
        <f>_xlfn.XLOOKUP(P533,'Annual Real'!A:A,'Annual Real'!B:B,0,0)</f>
        <v>32.937134394780102</v>
      </c>
      <c r="T533" s="155">
        <f t="shared" ref="T533:T596" ca="1" si="162">AC533</f>
        <v>1.5860457374083801</v>
      </c>
      <c r="U533" s="152">
        <f t="shared" ref="U533:U596" ca="1" si="163">IF($U$19,T533,1)</f>
        <v>1.5860457374083801</v>
      </c>
      <c r="V533" s="152">
        <f t="shared" ca="1" si="150"/>
        <v>-4.0588059497238392E-2</v>
      </c>
      <c r="W533" s="152">
        <f t="shared" ca="1" si="151"/>
        <v>6.2443016342656719E-3</v>
      </c>
      <c r="X533" s="154">
        <f>LOOKUP(D533,'US Implicit Deflator'!A:A,'US Implicit Deflator'!B:B)/100</f>
        <v>1.1000000000000001E-2</v>
      </c>
      <c r="Y533" s="154">
        <f t="shared" ref="Y533:Y596" si="164">(1+X533)^(1/12)-1</f>
        <v>9.1207735967446801E-4</v>
      </c>
      <c r="Z533" s="165">
        <f t="shared" ref="Z533:Z596" ca="1" si="165">Z532*(1+Y533)</f>
        <v>4.3055461532076169</v>
      </c>
      <c r="AA533" s="152">
        <f t="shared" ref="AA533:AA596" si="166">LEN(C533)</f>
        <v>7</v>
      </c>
      <c r="AB533" s="153">
        <f t="shared" ref="AB533:AB596" si="167">IF(AA533&gt;2,D533,0)</f>
        <v>37530</v>
      </c>
      <c r="AC533" s="155">
        <f t="shared" ref="AC533:AC596" ca="1" si="168">$AC$17/Z533</f>
        <v>1.5860457374083801</v>
      </c>
    </row>
    <row r="534" spans="3:29">
      <c r="C534" s="152" t="str">
        <f>'Monthly Prices'!A522</f>
        <v>2002M11</v>
      </c>
      <c r="D534" s="153">
        <f t="shared" si="157"/>
        <v>37561</v>
      </c>
      <c r="E534" s="152">
        <f t="shared" si="158"/>
        <v>515</v>
      </c>
      <c r="F534" s="152" t="b">
        <f t="shared" si="152"/>
        <v>1</v>
      </c>
      <c r="G534" s="152" t="b">
        <f t="shared" si="153"/>
        <v>1</v>
      </c>
      <c r="H534" s="152" t="b">
        <f t="shared" si="154"/>
        <v>1</v>
      </c>
      <c r="I534" s="153">
        <f t="shared" si="155"/>
        <v>37561</v>
      </c>
      <c r="J534" s="158">
        <f>INDEX('Monthly Prices'!B522:CB522,$G$4)</f>
        <v>108.93</v>
      </c>
      <c r="K534" s="158">
        <f ca="1">IF(H534,INDEX('Monthly Prices'!B522:CB522,$G$4)*U534,FALSE)</f>
        <v>172.61052802124524</v>
      </c>
      <c r="L534" s="152" t="b">
        <f t="shared" si="159"/>
        <v>1</v>
      </c>
      <c r="M534" s="158">
        <f>INDEX('Monthly Prices'!B522:CB522,$G$5)</f>
        <v>120.13</v>
      </c>
      <c r="N534" s="158">
        <f ca="1">IF(H534,INDEX('Monthly Prices'!B522:CB522,$G$5)*U534,FALSE)</f>
        <v>190.35805316434582</v>
      </c>
      <c r="O534" s="152" t="b">
        <f t="shared" si="156"/>
        <v>1</v>
      </c>
      <c r="P534" s="152">
        <f t="shared" si="160"/>
        <v>2002</v>
      </c>
      <c r="Q534" s="159">
        <f>'Monthly Prices'!B522</f>
        <v>24.542481203009999</v>
      </c>
      <c r="R534" s="159">
        <f t="shared" si="161"/>
        <v>24.927748381805003</v>
      </c>
      <c r="S534" s="155">
        <f>_xlfn.XLOOKUP(P534,'Annual Real'!A:A,'Annual Real'!B:B,0,0)</f>
        <v>32.937134394780102</v>
      </c>
      <c r="T534" s="155">
        <f t="shared" ca="1" si="162"/>
        <v>1.5846004592054093</v>
      </c>
      <c r="U534" s="152">
        <f t="shared" ca="1" si="163"/>
        <v>1.5846004592054093</v>
      </c>
      <c r="V534" s="152">
        <f t="shared" ref="V534:V597" ca="1" si="169">IF(AND(H533,H534),LN(K534/K533))</f>
        <v>-7.9555548566914262E-3</v>
      </c>
      <c r="W534" s="152">
        <f t="shared" ref="W534:W597" ca="1" si="170">IF(AND($H533,$H534),LN(N534/N533))</f>
        <v>-4.8993715317286659E-3</v>
      </c>
      <c r="X534" s="154">
        <f>LOOKUP(D534,'US Implicit Deflator'!A:A,'US Implicit Deflator'!B:B)/100</f>
        <v>1.1000000000000001E-2</v>
      </c>
      <c r="Y534" s="154">
        <f t="shared" si="164"/>
        <v>9.1207735967446801E-4</v>
      </c>
      <c r="Z534" s="165">
        <f t="shared" ca="1" si="165"/>
        <v>4.3094731443749907</v>
      </c>
      <c r="AA534" s="152">
        <f t="shared" si="166"/>
        <v>7</v>
      </c>
      <c r="AB534" s="153">
        <f t="shared" si="167"/>
        <v>37561</v>
      </c>
      <c r="AC534" s="155">
        <f t="shared" ca="1" si="168"/>
        <v>1.5846004592054093</v>
      </c>
    </row>
    <row r="535" spans="3:29">
      <c r="C535" s="152" t="str">
        <f>'Monthly Prices'!A523</f>
        <v>2002M12</v>
      </c>
      <c r="D535" s="153">
        <f t="shared" si="157"/>
        <v>37591</v>
      </c>
      <c r="E535" s="152">
        <f t="shared" si="158"/>
        <v>516</v>
      </c>
      <c r="F535" s="152" t="b">
        <f t="shared" si="152"/>
        <v>1</v>
      </c>
      <c r="G535" s="152" t="b">
        <f t="shared" si="153"/>
        <v>1</v>
      </c>
      <c r="H535" s="152" t="b">
        <f t="shared" si="154"/>
        <v>1</v>
      </c>
      <c r="I535" s="153">
        <f t="shared" si="155"/>
        <v>37591</v>
      </c>
      <c r="J535" s="158">
        <f>INDEX('Monthly Prices'!B523:CB523,$G$4)</f>
        <v>106.96</v>
      </c>
      <c r="K535" s="158">
        <f ca="1">IF(H535,INDEX('Monthly Prices'!B523:CB523,$G$4)*U535,FALSE)</f>
        <v>169.33441902680258</v>
      </c>
      <c r="L535" s="152" t="b">
        <f t="shared" si="159"/>
        <v>1</v>
      </c>
      <c r="M535" s="158">
        <f>INDEX('Monthly Prices'!B523:CB523,$G$5)</f>
        <v>117.19</v>
      </c>
      <c r="N535" s="158">
        <f ca="1">IF(H535,INDEX('Monthly Prices'!B523:CB523,$G$5)*U535,FALSE)</f>
        <v>185.53011000141169</v>
      </c>
      <c r="O535" s="152" t="b">
        <f t="shared" si="156"/>
        <v>1</v>
      </c>
      <c r="P535" s="152">
        <f t="shared" si="160"/>
        <v>2002</v>
      </c>
      <c r="Q535" s="159">
        <f>'Monthly Prices'!B523</f>
        <v>27.88698412698</v>
      </c>
      <c r="R535" s="159">
        <f t="shared" si="161"/>
        <v>24.927748381805003</v>
      </c>
      <c r="S535" s="155">
        <f>_xlfn.XLOOKUP(P535,'Annual Real'!A:A,'Annual Real'!B:B,0,0)</f>
        <v>32.937134394780102</v>
      </c>
      <c r="T535" s="155">
        <f t="shared" ca="1" si="162"/>
        <v>1.5831564980067556</v>
      </c>
      <c r="U535" s="152">
        <f t="shared" ca="1" si="163"/>
        <v>1.5831564980067556</v>
      </c>
      <c r="V535" s="152">
        <f t="shared" ca="1" si="169"/>
        <v>-1.9162202970527627E-2</v>
      </c>
      <c r="W535" s="152">
        <f t="shared" ca="1" si="170"/>
        <v>-2.5689602132634059E-2</v>
      </c>
      <c r="X535" s="154">
        <f>LOOKUP(D535,'US Implicit Deflator'!A:A,'US Implicit Deflator'!B:B)/100</f>
        <v>1.1000000000000001E-2</v>
      </c>
      <c r="Y535" s="154">
        <f t="shared" si="164"/>
        <v>9.1207735967446801E-4</v>
      </c>
      <c r="Z535" s="165">
        <f t="shared" ca="1" si="165"/>
        <v>4.3134037172621005</v>
      </c>
      <c r="AA535" s="152">
        <f t="shared" si="166"/>
        <v>7</v>
      </c>
      <c r="AB535" s="153">
        <f t="shared" si="167"/>
        <v>37591</v>
      </c>
      <c r="AC535" s="155">
        <f t="shared" ca="1" si="168"/>
        <v>1.5831564980067556</v>
      </c>
    </row>
    <row r="536" spans="3:29">
      <c r="C536" s="152" t="str">
        <f>'Monthly Prices'!A524</f>
        <v>2003M01</v>
      </c>
      <c r="D536" s="153">
        <f t="shared" si="157"/>
        <v>37622</v>
      </c>
      <c r="E536" s="152">
        <f t="shared" si="158"/>
        <v>517</v>
      </c>
      <c r="F536" s="152" t="b">
        <f t="shared" si="152"/>
        <v>1</v>
      </c>
      <c r="G536" s="152" t="b">
        <f t="shared" si="153"/>
        <v>1</v>
      </c>
      <c r="H536" s="152" t="b">
        <f t="shared" si="154"/>
        <v>1</v>
      </c>
      <c r="I536" s="153">
        <f t="shared" si="155"/>
        <v>37622</v>
      </c>
      <c r="J536" s="158">
        <f>INDEX('Monthly Prices'!B524:CB524,$G$4)</f>
        <v>106.1361</v>
      </c>
      <c r="K536" s="158">
        <f ca="1">IF(H536,INDEX('Monthly Prices'!B524:CB524,$G$4)*U536,FALSE)</f>
        <v>167.82170779930843</v>
      </c>
      <c r="L536" s="152" t="b">
        <f t="shared" si="159"/>
        <v>1</v>
      </c>
      <c r="M536" s="158">
        <f>INDEX('Monthly Prices'!B524:CB524,$G$5)</f>
        <v>113.7</v>
      </c>
      <c r="N536" s="158">
        <f ca="1">IF(H536,INDEX('Monthly Prices'!B524:CB524,$G$5)*U536,FALSE)</f>
        <v>179.78169705483211</v>
      </c>
      <c r="O536" s="152" t="b">
        <f t="shared" si="156"/>
        <v>1</v>
      </c>
      <c r="P536" s="152">
        <f t="shared" si="160"/>
        <v>2003</v>
      </c>
      <c r="Q536" s="159">
        <f>'Monthly Prices'!B524</f>
        <v>30.750317460320002</v>
      </c>
      <c r="R536" s="159">
        <f t="shared" si="161"/>
        <v>28.898903189480837</v>
      </c>
      <c r="S536" s="155">
        <f>_xlfn.XLOOKUP(P536,'Annual Real'!A:A,'Annual Real'!B:B,0,0)</f>
        <v>36.296960712154601</v>
      </c>
      <c r="T536" s="155">
        <f t="shared" ca="1" si="162"/>
        <v>1.5811934657417073</v>
      </c>
      <c r="U536" s="152">
        <f t="shared" ca="1" si="163"/>
        <v>1.5811934657417073</v>
      </c>
      <c r="V536" s="152">
        <f t="shared" ca="1" si="169"/>
        <v>-8.973417699946239E-3</v>
      </c>
      <c r="W536" s="152">
        <f t="shared" ca="1" si="170"/>
        <v>-3.1473866221833194E-2</v>
      </c>
      <c r="X536" s="154">
        <f>LOOKUP(D536,'US Implicit Deflator'!A:A,'US Implicit Deflator'!B:B)/100</f>
        <v>1.4999999999999999E-2</v>
      </c>
      <c r="Y536" s="154">
        <f t="shared" si="164"/>
        <v>1.2414877164492744E-3</v>
      </c>
      <c r="Z536" s="165">
        <f t="shared" ca="1" si="165"/>
        <v>4.3187587549931683</v>
      </c>
      <c r="AA536" s="152">
        <f t="shared" si="166"/>
        <v>7</v>
      </c>
      <c r="AB536" s="153">
        <f t="shared" si="167"/>
        <v>37622</v>
      </c>
      <c r="AC536" s="155">
        <f t="shared" ca="1" si="168"/>
        <v>1.5811934657417073</v>
      </c>
    </row>
    <row r="537" spans="3:29">
      <c r="C537" s="152" t="str">
        <f>'Monthly Prices'!A525</f>
        <v>2003M02</v>
      </c>
      <c r="D537" s="153">
        <f t="shared" si="157"/>
        <v>37653</v>
      </c>
      <c r="E537" s="152">
        <f t="shared" si="158"/>
        <v>518</v>
      </c>
      <c r="F537" s="152" t="b">
        <f t="shared" si="152"/>
        <v>1</v>
      </c>
      <c r="G537" s="152" t="b">
        <f t="shared" si="153"/>
        <v>1</v>
      </c>
      <c r="H537" s="152" t="b">
        <f t="shared" si="154"/>
        <v>1</v>
      </c>
      <c r="I537" s="153">
        <f t="shared" si="155"/>
        <v>37653</v>
      </c>
      <c r="J537" s="158">
        <f>INDEX('Monthly Prices'!B525:CB525,$G$4)</f>
        <v>105.8507</v>
      </c>
      <c r="K537" s="158">
        <f ca="1">IF(H537,INDEX('Monthly Prices'!B525:CB525,$G$4)*U537,FALSE)</f>
        <v>167.16290449161343</v>
      </c>
      <c r="L537" s="152" t="b">
        <f t="shared" si="159"/>
        <v>1</v>
      </c>
      <c r="M537" s="158">
        <f>INDEX('Monthly Prices'!B525:CB525,$G$5)</f>
        <v>114.15</v>
      </c>
      <c r="N537" s="158">
        <f ca="1">IF(H537,INDEX('Monthly Prices'!B525:CB525,$G$5)*U537,FALSE)</f>
        <v>180.26943182914871</v>
      </c>
      <c r="O537" s="152" t="b">
        <f t="shared" si="156"/>
        <v>1</v>
      </c>
      <c r="P537" s="152">
        <f t="shared" si="160"/>
        <v>2003</v>
      </c>
      <c r="Q537" s="159">
        <f>'Monthly Prices'!B525</f>
        <v>32.883377192979999</v>
      </c>
      <c r="R537" s="159">
        <f t="shared" si="161"/>
        <v>28.898903189480837</v>
      </c>
      <c r="S537" s="155">
        <f>_xlfn.XLOOKUP(P537,'Annual Real'!A:A,'Annual Real'!B:B,0,0)</f>
        <v>36.296960712154601</v>
      </c>
      <c r="T537" s="155">
        <f t="shared" ca="1" si="162"/>
        <v>1.5792328675352494</v>
      </c>
      <c r="U537" s="152">
        <f t="shared" ca="1" si="163"/>
        <v>1.5792328675352494</v>
      </c>
      <c r="V537" s="152">
        <f t="shared" ca="1" si="169"/>
        <v>-3.9333398185686557E-3</v>
      </c>
      <c r="W537" s="152">
        <f t="shared" ca="1" si="170"/>
        <v>2.7092545115018347E-3</v>
      </c>
      <c r="X537" s="154">
        <f>LOOKUP(D537,'US Implicit Deflator'!A:A,'US Implicit Deflator'!B:B)/100</f>
        <v>1.4999999999999999E-2</v>
      </c>
      <c r="Y537" s="154">
        <f t="shared" si="164"/>
        <v>1.2414877164492744E-3</v>
      </c>
      <c r="Z537" s="165">
        <f t="shared" ca="1" si="165"/>
        <v>4.3241204409377998</v>
      </c>
      <c r="AA537" s="152">
        <f t="shared" si="166"/>
        <v>7</v>
      </c>
      <c r="AB537" s="153">
        <f t="shared" si="167"/>
        <v>37653</v>
      </c>
      <c r="AC537" s="155">
        <f t="shared" ca="1" si="168"/>
        <v>1.5792328675352494</v>
      </c>
    </row>
    <row r="538" spans="3:29">
      <c r="C538" s="152" t="str">
        <f>'Monthly Prices'!A526</f>
        <v>2003M03</v>
      </c>
      <c r="D538" s="153">
        <f t="shared" si="157"/>
        <v>37681</v>
      </c>
      <c r="E538" s="152">
        <f t="shared" si="158"/>
        <v>519</v>
      </c>
      <c r="F538" s="152" t="b">
        <f t="shared" si="152"/>
        <v>1</v>
      </c>
      <c r="G538" s="152" t="b">
        <f t="shared" si="153"/>
        <v>1</v>
      </c>
      <c r="H538" s="152" t="b">
        <f t="shared" si="154"/>
        <v>1</v>
      </c>
      <c r="I538" s="153">
        <f t="shared" si="155"/>
        <v>37681</v>
      </c>
      <c r="J538" s="158">
        <f>INDEX('Monthly Prices'!B526:CB526,$G$4)</f>
        <v>105.60469999999999</v>
      </c>
      <c r="K538" s="158">
        <f ca="1">IF(H538,INDEX('Monthly Prices'!B526:CB526,$G$4)*U538,FALSE)</f>
        <v>166.56762155008715</v>
      </c>
      <c r="L538" s="152" t="b">
        <f t="shared" si="159"/>
        <v>1</v>
      </c>
      <c r="M538" s="158">
        <f>INDEX('Monthly Prices'!B526:CB526,$G$5)</f>
        <v>113.65</v>
      </c>
      <c r="N538" s="158">
        <f ca="1">IF(H538,INDEX('Monthly Prices'!B526:CB526,$G$5)*U538,FALSE)</f>
        <v>179.25726969696811</v>
      </c>
      <c r="O538" s="152" t="b">
        <f t="shared" si="156"/>
        <v>1</v>
      </c>
      <c r="P538" s="152">
        <f t="shared" si="160"/>
        <v>2003</v>
      </c>
      <c r="Q538" s="159">
        <f>'Monthly Prices'!B526</f>
        <v>30.359206349210002</v>
      </c>
      <c r="R538" s="159">
        <f t="shared" si="161"/>
        <v>28.898903189480837</v>
      </c>
      <c r="S538" s="155">
        <f>_xlfn.XLOOKUP(P538,'Annual Real'!A:A,'Annual Real'!B:B,0,0)</f>
        <v>36.296960712154601</v>
      </c>
      <c r="T538" s="155">
        <f t="shared" ca="1" si="162"/>
        <v>1.5772747003692749</v>
      </c>
      <c r="U538" s="152">
        <f t="shared" ca="1" si="163"/>
        <v>1.5772747003692749</v>
      </c>
      <c r="V538" s="152">
        <f t="shared" ca="1" si="169"/>
        <v>-3.5674505411243626E-3</v>
      </c>
      <c r="W538" s="152">
        <f t="shared" ca="1" si="170"/>
        <v>-5.6305403850645773E-3</v>
      </c>
      <c r="X538" s="154">
        <f>LOOKUP(D538,'US Implicit Deflator'!A:A,'US Implicit Deflator'!B:B)/100</f>
        <v>1.4999999999999999E-2</v>
      </c>
      <c r="Y538" s="154">
        <f t="shared" si="164"/>
        <v>1.2414877164492744E-3</v>
      </c>
      <c r="Z538" s="165">
        <f t="shared" ca="1" si="165"/>
        <v>4.3294887833496709</v>
      </c>
      <c r="AA538" s="152">
        <f t="shared" si="166"/>
        <v>7</v>
      </c>
      <c r="AB538" s="153">
        <f t="shared" si="167"/>
        <v>37681</v>
      </c>
      <c r="AC538" s="155">
        <f t="shared" ca="1" si="168"/>
        <v>1.5772747003692749</v>
      </c>
    </row>
    <row r="539" spans="3:29">
      <c r="C539" s="152" t="str">
        <f>'Monthly Prices'!A527</f>
        <v>2003M04</v>
      </c>
      <c r="D539" s="153">
        <f t="shared" si="157"/>
        <v>37712</v>
      </c>
      <c r="E539" s="152">
        <f t="shared" si="158"/>
        <v>520</v>
      </c>
      <c r="F539" s="152" t="b">
        <f t="shared" si="152"/>
        <v>1</v>
      </c>
      <c r="G539" s="152" t="b">
        <f t="shared" si="153"/>
        <v>1</v>
      </c>
      <c r="H539" s="152" t="b">
        <f t="shared" si="154"/>
        <v>1</v>
      </c>
      <c r="I539" s="153">
        <f t="shared" si="155"/>
        <v>37712</v>
      </c>
      <c r="J539" s="158">
        <f>INDEX('Monthly Prices'!B527:CB527,$G$4)</f>
        <v>105.45699999999999</v>
      </c>
      <c r="K539" s="158">
        <f ca="1">IF(H539,INDEX('Monthly Prices'!B527:CB527,$G$4)*U539,FALSE)</f>
        <v>166.15571973500246</v>
      </c>
      <c r="L539" s="152" t="b">
        <f t="shared" si="159"/>
        <v>1</v>
      </c>
      <c r="M539" s="158">
        <f>INDEX('Monthly Prices'!B527:CB527,$G$5)</f>
        <v>114.59</v>
      </c>
      <c r="N539" s="158">
        <f ca="1">IF(H539,INDEX('Monthly Prices'!B527:CB527,$G$5)*U539,FALSE)</f>
        <v>180.54547279397227</v>
      </c>
      <c r="O539" s="152" t="b">
        <f t="shared" si="156"/>
        <v>1</v>
      </c>
      <c r="P539" s="152">
        <f t="shared" si="160"/>
        <v>2003</v>
      </c>
      <c r="Q539" s="159">
        <f>'Monthly Prices'!B527</f>
        <v>25.555968253970001</v>
      </c>
      <c r="R539" s="159">
        <f t="shared" si="161"/>
        <v>28.898903189480837</v>
      </c>
      <c r="S539" s="155">
        <f>_xlfn.XLOOKUP(P539,'Annual Real'!A:A,'Annual Real'!B:B,0,0)</f>
        <v>36.296960712154601</v>
      </c>
      <c r="T539" s="155">
        <f t="shared" ca="1" si="162"/>
        <v>1.5755779107598591</v>
      </c>
      <c r="U539" s="152">
        <f t="shared" ca="1" si="163"/>
        <v>1.5755779107598591</v>
      </c>
      <c r="V539" s="152">
        <f t="shared" ca="1" si="169"/>
        <v>-2.4759430698011045E-3</v>
      </c>
      <c r="W539" s="152">
        <f t="shared" ca="1" si="170"/>
        <v>7.1606380342591871E-3</v>
      </c>
      <c r="X539" s="154">
        <f>LOOKUP(D539,'US Implicit Deflator'!A:A,'US Implicit Deflator'!B:B)/100</f>
        <v>1.3000000000000001E-2</v>
      </c>
      <c r="Y539" s="154">
        <f t="shared" si="164"/>
        <v>1.0769315803607071E-3</v>
      </c>
      <c r="Z539" s="165">
        <f t="shared" ca="1" si="165"/>
        <v>4.3341513465472774</v>
      </c>
      <c r="AA539" s="152">
        <f t="shared" si="166"/>
        <v>7</v>
      </c>
      <c r="AB539" s="153">
        <f t="shared" si="167"/>
        <v>37712</v>
      </c>
      <c r="AC539" s="155">
        <f t="shared" ca="1" si="168"/>
        <v>1.5755779107598591</v>
      </c>
    </row>
    <row r="540" spans="3:29">
      <c r="C540" s="152" t="str">
        <f>'Monthly Prices'!A528</f>
        <v>2003M05</v>
      </c>
      <c r="D540" s="153">
        <f t="shared" si="157"/>
        <v>37742</v>
      </c>
      <c r="E540" s="152">
        <f t="shared" si="158"/>
        <v>521</v>
      </c>
      <c r="F540" s="152" t="b">
        <f t="shared" si="152"/>
        <v>1</v>
      </c>
      <c r="G540" s="152" t="b">
        <f t="shared" si="153"/>
        <v>1</v>
      </c>
      <c r="H540" s="152" t="b">
        <f t="shared" si="154"/>
        <v>1</v>
      </c>
      <c r="I540" s="153">
        <f t="shared" si="155"/>
        <v>37742</v>
      </c>
      <c r="J540" s="158">
        <f>INDEX('Monthly Prices'!B528:CB528,$G$4)</f>
        <v>107.4943</v>
      </c>
      <c r="K540" s="158">
        <f ca="1">IF(H540,INDEX('Monthly Prices'!B528:CB528,$G$4)*U540,FALSE)</f>
        <v>169.1834456171342</v>
      </c>
      <c r="L540" s="152" t="b">
        <f t="shared" si="159"/>
        <v>1</v>
      </c>
      <c r="M540" s="158">
        <f>INDEX('Monthly Prices'!B528:CB528,$G$5)</f>
        <v>115.5</v>
      </c>
      <c r="N540" s="158">
        <f ca="1">IF(H540,INDEX('Monthly Prices'!B528:CB528,$G$5)*U540,FALSE)</f>
        <v>181.78348032201706</v>
      </c>
      <c r="O540" s="152" t="b">
        <f t="shared" si="156"/>
        <v>1</v>
      </c>
      <c r="P540" s="152">
        <f t="shared" si="160"/>
        <v>2003</v>
      </c>
      <c r="Q540" s="159">
        <f>'Monthly Prices'!B528</f>
        <v>26.064912698410001</v>
      </c>
      <c r="R540" s="159">
        <f t="shared" si="161"/>
        <v>28.898903189480837</v>
      </c>
      <c r="S540" s="155">
        <f>_xlfn.XLOOKUP(P540,'Annual Real'!A:A,'Annual Real'!B:B,0,0)</f>
        <v>36.296960712154601</v>
      </c>
      <c r="T540" s="155">
        <f t="shared" ca="1" si="162"/>
        <v>1.5738829465109703</v>
      </c>
      <c r="U540" s="152">
        <f t="shared" ca="1" si="163"/>
        <v>1.5738829465109703</v>
      </c>
      <c r="V540" s="152">
        <f t="shared" ca="1" si="169"/>
        <v>1.805818390734542E-2</v>
      </c>
      <c r="W540" s="152">
        <f t="shared" ca="1" si="170"/>
        <v>6.833637417945777E-3</v>
      </c>
      <c r="X540" s="154">
        <f>LOOKUP(D540,'US Implicit Deflator'!A:A,'US Implicit Deflator'!B:B)/100</f>
        <v>1.3000000000000001E-2</v>
      </c>
      <c r="Y540" s="154">
        <f t="shared" si="164"/>
        <v>1.0769315803607071E-3</v>
      </c>
      <c r="Z540" s="165">
        <f t="shared" ca="1" si="165"/>
        <v>4.3388189310064371</v>
      </c>
      <c r="AA540" s="152">
        <f t="shared" si="166"/>
        <v>7</v>
      </c>
      <c r="AB540" s="153">
        <f t="shared" si="167"/>
        <v>37742</v>
      </c>
      <c r="AC540" s="155">
        <f t="shared" ca="1" si="168"/>
        <v>1.5738829465109703</v>
      </c>
    </row>
    <row r="541" spans="3:29">
      <c r="C541" s="152" t="str">
        <f>'Monthly Prices'!A529</f>
        <v>2003M06</v>
      </c>
      <c r="D541" s="153">
        <f t="shared" si="157"/>
        <v>37773</v>
      </c>
      <c r="E541" s="152">
        <f t="shared" si="158"/>
        <v>522</v>
      </c>
      <c r="F541" s="152" t="b">
        <f t="shared" si="152"/>
        <v>1</v>
      </c>
      <c r="G541" s="152" t="b">
        <f t="shared" si="153"/>
        <v>1</v>
      </c>
      <c r="H541" s="152" t="b">
        <f t="shared" si="154"/>
        <v>1</v>
      </c>
      <c r="I541" s="153">
        <f t="shared" si="155"/>
        <v>37773</v>
      </c>
      <c r="J541" s="158">
        <f>INDEX('Monthly Prices'!B529:CB529,$G$4)</f>
        <v>107.327</v>
      </c>
      <c r="K541" s="158">
        <f ca="1">IF(H541,INDEX('Monthly Prices'!B529:CB529,$G$4)*U541,FALSE)</f>
        <v>168.73841527195651</v>
      </c>
      <c r="L541" s="152" t="b">
        <f t="shared" si="159"/>
        <v>1</v>
      </c>
      <c r="M541" s="158">
        <f>INDEX('Monthly Prices'!B529:CB529,$G$5)</f>
        <v>111.48</v>
      </c>
      <c r="N541" s="158">
        <f ca="1">IF(H541,INDEX('Monthly Prices'!B529:CB529,$G$5)*U541,FALSE)</f>
        <v>175.26771953485809</v>
      </c>
      <c r="O541" s="152" t="b">
        <f t="shared" si="156"/>
        <v>1</v>
      </c>
      <c r="P541" s="152">
        <f t="shared" si="160"/>
        <v>2003</v>
      </c>
      <c r="Q541" s="159">
        <f>'Monthly Prices'!B529</f>
        <v>27.91714285714</v>
      </c>
      <c r="R541" s="159">
        <f t="shared" si="161"/>
        <v>28.898903189480837</v>
      </c>
      <c r="S541" s="155">
        <f>_xlfn.XLOOKUP(P541,'Annual Real'!A:A,'Annual Real'!B:B,0,0)</f>
        <v>36.296960712154601</v>
      </c>
      <c r="T541" s="155">
        <f t="shared" ca="1" si="162"/>
        <v>1.572189805658935</v>
      </c>
      <c r="U541" s="152">
        <f t="shared" ca="1" si="163"/>
        <v>1.572189805658935</v>
      </c>
      <c r="V541" s="152">
        <f t="shared" ca="1" si="169"/>
        <v>-2.6339260874830095E-3</v>
      </c>
      <c r="W541" s="152">
        <f t="shared" ca="1" si="170"/>
        <v>-3.6501679453646164E-2</v>
      </c>
      <c r="X541" s="154">
        <f>LOOKUP(D541,'US Implicit Deflator'!A:A,'US Implicit Deflator'!B:B)/100</f>
        <v>1.3000000000000001E-2</v>
      </c>
      <c r="Y541" s="154">
        <f t="shared" si="164"/>
        <v>1.0769315803607071E-3</v>
      </c>
      <c r="Z541" s="165">
        <f t="shared" ca="1" si="165"/>
        <v>4.3434915421347045</v>
      </c>
      <c r="AA541" s="152">
        <f t="shared" si="166"/>
        <v>7</v>
      </c>
      <c r="AB541" s="153">
        <f t="shared" si="167"/>
        <v>37773</v>
      </c>
      <c r="AC541" s="155">
        <f t="shared" ca="1" si="168"/>
        <v>1.572189805658935</v>
      </c>
    </row>
    <row r="542" spans="3:29">
      <c r="C542" s="152" t="str">
        <f>'Monthly Prices'!A530</f>
        <v>2003M07</v>
      </c>
      <c r="D542" s="153">
        <f t="shared" si="157"/>
        <v>37803</v>
      </c>
      <c r="E542" s="152">
        <f t="shared" si="158"/>
        <v>523</v>
      </c>
      <c r="F542" s="152" t="b">
        <f t="shared" si="152"/>
        <v>1</v>
      </c>
      <c r="G542" s="152" t="b">
        <f t="shared" si="153"/>
        <v>1</v>
      </c>
      <c r="H542" s="152" t="b">
        <f t="shared" si="154"/>
        <v>1</v>
      </c>
      <c r="I542" s="153">
        <f t="shared" si="155"/>
        <v>37803</v>
      </c>
      <c r="J542" s="158">
        <f>INDEX('Monthly Prices'!B530:CB530,$G$4)</f>
        <v>96.805909999999997</v>
      </c>
      <c r="K542" s="158">
        <f ca="1">IF(H542,INDEX('Monthly Prices'!B530:CB530,$G$4)*U542,FALSE)</f>
        <v>152.03353511429788</v>
      </c>
      <c r="L542" s="152" t="b">
        <f t="shared" si="159"/>
        <v>1</v>
      </c>
      <c r="M542" s="158">
        <f>INDEX('Monthly Prices'!B530:CB530,$G$5)</f>
        <v>96.62</v>
      </c>
      <c r="N542" s="158">
        <f ca="1">IF(H542,INDEX('Monthly Prices'!B530:CB530,$G$5)*U542,FALSE)</f>
        <v>151.74156374072061</v>
      </c>
      <c r="O542" s="152" t="b">
        <f t="shared" si="156"/>
        <v>1</v>
      </c>
      <c r="P542" s="152">
        <f t="shared" si="160"/>
        <v>2003</v>
      </c>
      <c r="Q542" s="159">
        <f>'Monthly Prices'!B530</f>
        <v>28.591587615280002</v>
      </c>
      <c r="R542" s="159">
        <f t="shared" si="161"/>
        <v>28.898903189480837</v>
      </c>
      <c r="S542" s="155">
        <f>_xlfn.XLOOKUP(P542,'Annual Real'!A:A,'Annual Real'!B:B,0,0)</f>
        <v>36.296960712154601</v>
      </c>
      <c r="T542" s="155">
        <f t="shared" ca="1" si="162"/>
        <v>1.570498486242192</v>
      </c>
      <c r="U542" s="152">
        <f t="shared" ca="1" si="163"/>
        <v>1.570498486242192</v>
      </c>
      <c r="V542" s="152">
        <f t="shared" ca="1" si="169"/>
        <v>-0.10424855489189187</v>
      </c>
      <c r="W542" s="152">
        <f t="shared" ca="1" si="170"/>
        <v>-0.14413579559303233</v>
      </c>
      <c r="X542" s="154">
        <f>LOOKUP(D542,'US Implicit Deflator'!A:A,'US Implicit Deflator'!B:B)/100</f>
        <v>1.3000000000000001E-2</v>
      </c>
      <c r="Y542" s="154">
        <f t="shared" si="164"/>
        <v>1.0769315803607071E-3</v>
      </c>
      <c r="Z542" s="165">
        <f t="shared" ca="1" si="165"/>
        <v>4.3481691853454594</v>
      </c>
      <c r="AA542" s="152">
        <f t="shared" si="166"/>
        <v>7</v>
      </c>
      <c r="AB542" s="153">
        <f t="shared" si="167"/>
        <v>37803</v>
      </c>
      <c r="AC542" s="155">
        <f t="shared" ca="1" si="168"/>
        <v>1.570498486242192</v>
      </c>
    </row>
    <row r="543" spans="3:29">
      <c r="C543" s="152" t="str">
        <f>'Monthly Prices'!A531</f>
        <v>2003M08</v>
      </c>
      <c r="D543" s="153">
        <f t="shared" si="157"/>
        <v>37834</v>
      </c>
      <c r="E543" s="152">
        <f t="shared" si="158"/>
        <v>524</v>
      </c>
      <c r="F543" s="152" t="b">
        <f t="shared" si="152"/>
        <v>1</v>
      </c>
      <c r="G543" s="152" t="b">
        <f t="shared" si="153"/>
        <v>1</v>
      </c>
      <c r="H543" s="152" t="b">
        <f t="shared" si="154"/>
        <v>1</v>
      </c>
      <c r="I543" s="153">
        <f t="shared" si="155"/>
        <v>37834</v>
      </c>
      <c r="J543" s="158">
        <f>INDEX('Monthly Prices'!B531:CB531,$G$4)</f>
        <v>100.6591</v>
      </c>
      <c r="K543" s="158">
        <f ca="1">IF(H543,INDEX('Monthly Prices'!B531:CB531,$G$4)*U543,FALSE)</f>
        <v>157.9149006330002</v>
      </c>
      <c r="L543" s="152" t="b">
        <f t="shared" si="159"/>
        <v>1</v>
      </c>
      <c r="M543" s="158">
        <f>INDEX('Monthly Prices'!B531:CB531,$G$5)</f>
        <v>88.07</v>
      </c>
      <c r="N543" s="158">
        <f ca="1">IF(H543,INDEX('Monthly Prices'!B531:CB531,$G$5)*U543,FALSE)</f>
        <v>138.16500742355464</v>
      </c>
      <c r="O543" s="152" t="b">
        <f t="shared" si="156"/>
        <v>1</v>
      </c>
      <c r="P543" s="152">
        <f t="shared" si="160"/>
        <v>2003</v>
      </c>
      <c r="Q543" s="159">
        <f>'Monthly Prices'!B531</f>
        <v>29.675555555559999</v>
      </c>
      <c r="R543" s="159">
        <f t="shared" si="161"/>
        <v>28.898903189480837</v>
      </c>
      <c r="S543" s="155">
        <f>_xlfn.XLOOKUP(P543,'Annual Real'!A:A,'Annual Real'!B:B,0,0)</f>
        <v>36.296960712154601</v>
      </c>
      <c r="T543" s="155">
        <f t="shared" ca="1" si="162"/>
        <v>1.5688089863012904</v>
      </c>
      <c r="U543" s="152">
        <f t="shared" ca="1" si="163"/>
        <v>1.5688089863012904</v>
      </c>
      <c r="V543" s="152">
        <f t="shared" ca="1" si="169"/>
        <v>3.7955162075390715E-2</v>
      </c>
      <c r="W543" s="152">
        <f t="shared" ca="1" si="170"/>
        <v>-9.3730158414438214E-2</v>
      </c>
      <c r="X543" s="154">
        <f>LOOKUP(D543,'US Implicit Deflator'!A:A,'US Implicit Deflator'!B:B)/100</f>
        <v>1.3000000000000001E-2</v>
      </c>
      <c r="Y543" s="154">
        <f t="shared" si="164"/>
        <v>1.0769315803607071E-3</v>
      </c>
      <c r="Z543" s="165">
        <f t="shared" ca="1" si="165"/>
        <v>4.3528518660579092</v>
      </c>
      <c r="AA543" s="152">
        <f t="shared" si="166"/>
        <v>7</v>
      </c>
      <c r="AB543" s="153">
        <f t="shared" si="167"/>
        <v>37834</v>
      </c>
      <c r="AC543" s="155">
        <f t="shared" ca="1" si="168"/>
        <v>1.5688089863012904</v>
      </c>
    </row>
    <row r="544" spans="3:29">
      <c r="C544" s="152" t="str">
        <f>'Monthly Prices'!A532</f>
        <v>2003M09</v>
      </c>
      <c r="D544" s="153">
        <f t="shared" si="157"/>
        <v>37865</v>
      </c>
      <c r="E544" s="152">
        <f t="shared" si="158"/>
        <v>525</v>
      </c>
      <c r="F544" s="152" t="b">
        <f t="shared" si="152"/>
        <v>1</v>
      </c>
      <c r="G544" s="152" t="b">
        <f t="shared" si="153"/>
        <v>1</v>
      </c>
      <c r="H544" s="152" t="b">
        <f t="shared" si="154"/>
        <v>1</v>
      </c>
      <c r="I544" s="153">
        <f t="shared" si="155"/>
        <v>37865</v>
      </c>
      <c r="J544" s="158">
        <f>INDEX('Monthly Prices'!B532:CB532,$G$4)</f>
        <v>104.0791</v>
      </c>
      <c r="K544" s="158">
        <f ca="1">IF(H544,INDEX('Monthly Prices'!B532:CB532,$G$4)*U544,FALSE)</f>
        <v>163.10457489854107</v>
      </c>
      <c r="L544" s="152" t="b">
        <f t="shared" si="159"/>
        <v>1</v>
      </c>
      <c r="M544" s="158">
        <f>INDEX('Monthly Prices'!B532:CB532,$G$5)</f>
        <v>90.63</v>
      </c>
      <c r="N544" s="158">
        <f ca="1">IF(H544,INDEX('Monthly Prices'!B532:CB532,$G$5)*U544,FALSE)</f>
        <v>142.02820377054354</v>
      </c>
      <c r="O544" s="152" t="b">
        <f t="shared" si="156"/>
        <v>1</v>
      </c>
      <c r="P544" s="152">
        <f t="shared" si="160"/>
        <v>2003</v>
      </c>
      <c r="Q544" s="159">
        <f>'Monthly Prices'!B532</f>
        <v>26.882330447329998</v>
      </c>
      <c r="R544" s="159">
        <f t="shared" si="161"/>
        <v>28.898903189480837</v>
      </c>
      <c r="S544" s="155">
        <f>_xlfn.XLOOKUP(P544,'Annual Real'!A:A,'Annual Real'!B:B,0,0)</f>
        <v>36.296960712154601</v>
      </c>
      <c r="T544" s="155">
        <f t="shared" ca="1" si="162"/>
        <v>1.5671213038788872</v>
      </c>
      <c r="U544" s="152">
        <f t="shared" ca="1" si="163"/>
        <v>1.5671213038788872</v>
      </c>
      <c r="V544" s="152">
        <f t="shared" ca="1" si="169"/>
        <v>3.2335274548077844E-2</v>
      </c>
      <c r="W544" s="152">
        <f t="shared" ca="1" si="170"/>
        <v>2.757697914377677E-2</v>
      </c>
      <c r="X544" s="154">
        <f>LOOKUP(D544,'US Implicit Deflator'!A:A,'US Implicit Deflator'!B:B)/100</f>
        <v>1.3000000000000001E-2</v>
      </c>
      <c r="Y544" s="154">
        <f t="shared" si="164"/>
        <v>1.0769315803607071E-3</v>
      </c>
      <c r="Z544" s="165">
        <f t="shared" ca="1" si="165"/>
        <v>4.3575395896970992</v>
      </c>
      <c r="AA544" s="152">
        <f t="shared" si="166"/>
        <v>7</v>
      </c>
      <c r="AB544" s="153">
        <f t="shared" si="167"/>
        <v>37865</v>
      </c>
      <c r="AC544" s="155">
        <f t="shared" ca="1" si="168"/>
        <v>1.5671213038788872</v>
      </c>
    </row>
    <row r="545" spans="3:29">
      <c r="C545" s="152" t="str">
        <f>'Monthly Prices'!A533</f>
        <v>2003M10</v>
      </c>
      <c r="D545" s="153">
        <f t="shared" si="157"/>
        <v>37895</v>
      </c>
      <c r="E545" s="152">
        <f t="shared" si="158"/>
        <v>526</v>
      </c>
      <c r="F545" s="152" t="b">
        <f t="shared" si="152"/>
        <v>1</v>
      </c>
      <c r="G545" s="152" t="b">
        <f t="shared" si="153"/>
        <v>1</v>
      </c>
      <c r="H545" s="152" t="b">
        <f t="shared" si="154"/>
        <v>1</v>
      </c>
      <c r="I545" s="153">
        <f t="shared" si="155"/>
        <v>37895</v>
      </c>
      <c r="J545" s="158">
        <f>INDEX('Monthly Prices'!B533:CB533,$G$4)</f>
        <v>105.38809999999999</v>
      </c>
      <c r="K545" s="158">
        <f ca="1">IF(H545,INDEX('Monthly Prices'!B533:CB533,$G$4)*U545,FALSE)</f>
        <v>164.97826638018054</v>
      </c>
      <c r="L545" s="152" t="b">
        <f t="shared" si="159"/>
        <v>1</v>
      </c>
      <c r="M545" s="158">
        <f>INDEX('Monthly Prices'!B533:CB533,$G$5)</f>
        <v>95.702830000000006</v>
      </c>
      <c r="N545" s="158">
        <f ca="1">IF(H545,INDEX('Monthly Prices'!B533:CB533,$G$5)*U545,FALSE)</f>
        <v>149.81660150507633</v>
      </c>
      <c r="O545" s="152" t="b">
        <f t="shared" si="156"/>
        <v>1</v>
      </c>
      <c r="P545" s="152">
        <f t="shared" si="160"/>
        <v>2003</v>
      </c>
      <c r="Q545" s="159">
        <f>'Monthly Prices'!B533</f>
        <v>29.014492753620001</v>
      </c>
      <c r="R545" s="159">
        <f t="shared" si="161"/>
        <v>28.898903189480837</v>
      </c>
      <c r="S545" s="155">
        <f>_xlfn.XLOOKUP(P545,'Annual Real'!A:A,'Annual Real'!B:B,0,0)</f>
        <v>36.296960712154601</v>
      </c>
      <c r="T545" s="155">
        <f t="shared" ca="1" si="162"/>
        <v>1.5654354370197447</v>
      </c>
      <c r="U545" s="152">
        <f t="shared" ca="1" si="163"/>
        <v>1.5654354370197447</v>
      </c>
      <c r="V545" s="152">
        <f t="shared" ca="1" si="169"/>
        <v>1.1422187429464034E-2</v>
      </c>
      <c r="W545" s="152">
        <f t="shared" ca="1" si="170"/>
        <v>5.3386233427289702E-2</v>
      </c>
      <c r="X545" s="154">
        <f>LOOKUP(D545,'US Implicit Deflator'!A:A,'US Implicit Deflator'!B:B)/100</f>
        <v>1.3000000000000001E-2</v>
      </c>
      <c r="Y545" s="154">
        <f t="shared" si="164"/>
        <v>1.0769315803607071E-3</v>
      </c>
      <c r="Z545" s="165">
        <f t="shared" ca="1" si="165"/>
        <v>4.3622323616939163</v>
      </c>
      <c r="AA545" s="152">
        <f t="shared" si="166"/>
        <v>7</v>
      </c>
      <c r="AB545" s="153">
        <f t="shared" si="167"/>
        <v>37895</v>
      </c>
      <c r="AC545" s="155">
        <f t="shared" ca="1" si="168"/>
        <v>1.5654354370197447</v>
      </c>
    </row>
    <row r="546" spans="3:29">
      <c r="C546" s="152" t="str">
        <f>'Monthly Prices'!A534</f>
        <v>2003M11</v>
      </c>
      <c r="D546" s="153">
        <f t="shared" si="157"/>
        <v>37926</v>
      </c>
      <c r="E546" s="152">
        <f t="shared" si="158"/>
        <v>527</v>
      </c>
      <c r="F546" s="152" t="b">
        <f t="shared" si="152"/>
        <v>1</v>
      </c>
      <c r="G546" s="152" t="b">
        <f t="shared" si="153"/>
        <v>1</v>
      </c>
      <c r="H546" s="152" t="b">
        <f t="shared" si="154"/>
        <v>1</v>
      </c>
      <c r="I546" s="153">
        <f t="shared" si="155"/>
        <v>37926</v>
      </c>
      <c r="J546" s="158">
        <f>INDEX('Monthly Prices'!B534:CB534,$G$4)</f>
        <v>108.4834</v>
      </c>
      <c r="K546" s="158">
        <f ca="1">IF(H546,INDEX('Monthly Prices'!B534:CB534,$G$4)*U546,FALSE)</f>
        <v>169.64106686615355</v>
      </c>
      <c r="L546" s="152" t="b">
        <f t="shared" si="159"/>
        <v>1</v>
      </c>
      <c r="M546" s="158">
        <f>INDEX('Monthly Prices'!B534:CB534,$G$5)</f>
        <v>101.6431</v>
      </c>
      <c r="N546" s="158">
        <f ca="1">IF(H546,INDEX('Monthly Prices'!B534:CB534,$G$5)*U546,FALSE)</f>
        <v>158.94453827574662</v>
      </c>
      <c r="O546" s="152" t="b">
        <f t="shared" si="156"/>
        <v>1</v>
      </c>
      <c r="P546" s="152">
        <f t="shared" si="160"/>
        <v>2003</v>
      </c>
      <c r="Q546" s="159">
        <f>'Monthly Prices'!B534</f>
        <v>29.122740740739999</v>
      </c>
      <c r="R546" s="159">
        <f t="shared" si="161"/>
        <v>28.898903189480837</v>
      </c>
      <c r="S546" s="155">
        <f>_xlfn.XLOOKUP(P546,'Annual Real'!A:A,'Annual Real'!B:B,0,0)</f>
        <v>36.296960712154601</v>
      </c>
      <c r="T546" s="155">
        <f t="shared" ca="1" si="162"/>
        <v>1.5637513837707293</v>
      </c>
      <c r="U546" s="152">
        <f t="shared" ca="1" si="163"/>
        <v>1.5637513837707293</v>
      </c>
      <c r="V546" s="152">
        <f t="shared" ca="1" si="169"/>
        <v>2.7871087270868594E-2</v>
      </c>
      <c r="W546" s="152">
        <f t="shared" ca="1" si="170"/>
        <v>5.9143436085009889E-2</v>
      </c>
      <c r="X546" s="154">
        <f>LOOKUP(D546,'US Implicit Deflator'!A:A,'US Implicit Deflator'!B:B)/100</f>
        <v>1.3000000000000001E-2</v>
      </c>
      <c r="Y546" s="154">
        <f t="shared" si="164"/>
        <v>1.0769315803607071E-3</v>
      </c>
      <c r="Z546" s="165">
        <f t="shared" ca="1" si="165"/>
        <v>4.3669301874850959</v>
      </c>
      <c r="AA546" s="152">
        <f t="shared" si="166"/>
        <v>7</v>
      </c>
      <c r="AB546" s="153">
        <f t="shared" si="167"/>
        <v>37926</v>
      </c>
      <c r="AC546" s="155">
        <f t="shared" ca="1" si="168"/>
        <v>1.5637513837707293</v>
      </c>
    </row>
    <row r="547" spans="3:29">
      <c r="C547" s="152" t="str">
        <f>'Monthly Prices'!A535</f>
        <v>2003M12</v>
      </c>
      <c r="D547" s="153">
        <f t="shared" si="157"/>
        <v>37956</v>
      </c>
      <c r="E547" s="152">
        <f t="shared" si="158"/>
        <v>528</v>
      </c>
      <c r="F547" s="152" t="b">
        <f t="shared" si="152"/>
        <v>1</v>
      </c>
      <c r="G547" s="152" t="b">
        <f t="shared" si="153"/>
        <v>1</v>
      </c>
      <c r="H547" s="152" t="b">
        <f t="shared" si="154"/>
        <v>1</v>
      </c>
      <c r="I547" s="153">
        <f t="shared" si="155"/>
        <v>37956</v>
      </c>
      <c r="J547" s="158">
        <f>INDEX('Monthly Prices'!B535:CB535,$G$4)</f>
        <v>111.1555</v>
      </c>
      <c r="K547" s="158">
        <f ca="1">IF(H547,INDEX('Monthly Prices'!B535:CB535,$G$4)*U547,FALSE)</f>
        <v>173.63257653367879</v>
      </c>
      <c r="L547" s="152" t="b">
        <f t="shared" si="159"/>
        <v>1</v>
      </c>
      <c r="M547" s="158">
        <f>INDEX('Monthly Prices'!B535:CB535,$G$5)</f>
        <v>101.15</v>
      </c>
      <c r="N547" s="158">
        <f ca="1">IF(H547,INDEX('Monthly Prices'!B535:CB535,$G$5)*U547,FALSE)</f>
        <v>158.00329373158871</v>
      </c>
      <c r="O547" s="152" t="b">
        <f t="shared" si="156"/>
        <v>1</v>
      </c>
      <c r="P547" s="152">
        <f t="shared" si="160"/>
        <v>2003</v>
      </c>
      <c r="Q547" s="159">
        <f>'Monthly Prices'!B535</f>
        <v>29.969206349210001</v>
      </c>
      <c r="R547" s="159">
        <f t="shared" si="161"/>
        <v>28.898903189480837</v>
      </c>
      <c r="S547" s="155">
        <f>_xlfn.XLOOKUP(P547,'Annual Real'!A:A,'Annual Real'!B:B,0,0)</f>
        <v>36.296960712154601</v>
      </c>
      <c r="T547" s="155">
        <f t="shared" ca="1" si="162"/>
        <v>1.5620691421808077</v>
      </c>
      <c r="U547" s="152">
        <f t="shared" ca="1" si="163"/>
        <v>1.5620691421808077</v>
      </c>
      <c r="V547" s="152">
        <f t="shared" ca="1" si="169"/>
        <v>2.3256603877673872E-2</v>
      </c>
      <c r="W547" s="152">
        <f t="shared" ca="1" si="170"/>
        <v>-5.9394462818718836E-3</v>
      </c>
      <c r="X547" s="154">
        <f>LOOKUP(D547,'US Implicit Deflator'!A:A,'US Implicit Deflator'!B:B)/100</f>
        <v>1.3000000000000001E-2</v>
      </c>
      <c r="Y547" s="154">
        <f t="shared" si="164"/>
        <v>1.0769315803607071E-3</v>
      </c>
      <c r="Z547" s="165">
        <f t="shared" ca="1" si="165"/>
        <v>4.3716330725132293</v>
      </c>
      <c r="AA547" s="152">
        <f t="shared" si="166"/>
        <v>7</v>
      </c>
      <c r="AB547" s="153">
        <f t="shared" si="167"/>
        <v>37956</v>
      </c>
      <c r="AC547" s="155">
        <f t="shared" ca="1" si="168"/>
        <v>1.5620691421808077</v>
      </c>
    </row>
    <row r="548" spans="3:29">
      <c r="C548" s="152" t="str">
        <f>'Monthly Prices'!A536</f>
        <v>2004M01</v>
      </c>
      <c r="D548" s="153">
        <f t="shared" si="157"/>
        <v>37987</v>
      </c>
      <c r="E548" s="152">
        <f t="shared" si="158"/>
        <v>529</v>
      </c>
      <c r="F548" s="152" t="b">
        <f t="shared" si="152"/>
        <v>1</v>
      </c>
      <c r="G548" s="152" t="b">
        <f t="shared" si="153"/>
        <v>1</v>
      </c>
      <c r="H548" s="152" t="b">
        <f t="shared" si="154"/>
        <v>1</v>
      </c>
      <c r="I548" s="153">
        <f t="shared" si="155"/>
        <v>37987</v>
      </c>
      <c r="J548" s="158">
        <f>INDEX('Monthly Prices'!B536:CB536,$G$4)</f>
        <v>115.520475</v>
      </c>
      <c r="K548" s="158">
        <f ca="1">IF(H548,INDEX('Monthly Prices'!B536:CB536,$G$4)*U548,FALSE)</f>
        <v>180.1828993914618</v>
      </c>
      <c r="L548" s="152" t="b">
        <f t="shared" si="159"/>
        <v>1</v>
      </c>
      <c r="M548" s="158">
        <f>INDEX('Monthly Prices'!B536:CB536,$G$5)</f>
        <v>98.548308980000002</v>
      </c>
      <c r="N548" s="158">
        <f ca="1">IF(H548,INDEX('Monthly Prices'!B536:CB536,$G$5)*U548,FALSE)</f>
        <v>153.71058716770366</v>
      </c>
      <c r="O548" s="152" t="b">
        <f t="shared" si="156"/>
        <v>1</v>
      </c>
      <c r="P548" s="152">
        <f t="shared" si="160"/>
        <v>2004</v>
      </c>
      <c r="Q548" s="159">
        <f>'Monthly Prices'!B536</f>
        <v>31.367719298250002</v>
      </c>
      <c r="R548" s="159">
        <f t="shared" si="161"/>
        <v>37.733387703035831</v>
      </c>
      <c r="S548" s="155">
        <f>_xlfn.XLOOKUP(P548,'Annual Real'!A:A,'Annual Real'!B:B,0,0)</f>
        <v>44.378607463438499</v>
      </c>
      <c r="T548" s="155">
        <f t="shared" ca="1" si="162"/>
        <v>1.5597486020678308</v>
      </c>
      <c r="U548" s="152">
        <f t="shared" ca="1" si="163"/>
        <v>1.5597486020678308</v>
      </c>
      <c r="V548" s="152">
        <f t="shared" ca="1" si="169"/>
        <v>3.7031005267100452E-2</v>
      </c>
      <c r="W548" s="152">
        <f t="shared" ca="1" si="170"/>
        <v>-2.7544349011851082E-2</v>
      </c>
      <c r="X548" s="154">
        <f>LOOKUP(D548,'US Implicit Deflator'!A:A,'US Implicit Deflator'!B:B)/100</f>
        <v>1.8000000000000002E-2</v>
      </c>
      <c r="Y548" s="154">
        <f t="shared" si="164"/>
        <v>1.4877654706024757E-3</v>
      </c>
      <c r="Z548" s="165">
        <f t="shared" ca="1" si="165"/>
        <v>4.3781370372486581</v>
      </c>
      <c r="AA548" s="152">
        <f t="shared" si="166"/>
        <v>7</v>
      </c>
      <c r="AB548" s="153">
        <f t="shared" si="167"/>
        <v>37987</v>
      </c>
      <c r="AC548" s="155">
        <f t="shared" ca="1" si="168"/>
        <v>1.5597486020678308</v>
      </c>
    </row>
    <row r="549" spans="3:29">
      <c r="C549" s="152" t="str">
        <f>'Monthly Prices'!A537</f>
        <v>2004M02</v>
      </c>
      <c r="D549" s="153">
        <f t="shared" si="157"/>
        <v>38018</v>
      </c>
      <c r="E549" s="152">
        <f t="shared" si="158"/>
        <v>530</v>
      </c>
      <c r="F549" s="152" t="b">
        <f t="shared" si="152"/>
        <v>1</v>
      </c>
      <c r="G549" s="152" t="b">
        <f t="shared" si="153"/>
        <v>1</v>
      </c>
      <c r="H549" s="152" t="b">
        <f t="shared" si="154"/>
        <v>1</v>
      </c>
      <c r="I549" s="153">
        <f t="shared" si="155"/>
        <v>38018</v>
      </c>
      <c r="J549" s="158">
        <f>INDEX('Monthly Prices'!B537:CB537,$G$4)</f>
        <v>123.54170499999999</v>
      </c>
      <c r="K549" s="158">
        <f ca="1">IF(H549,INDEX('Monthly Prices'!B537:CB537,$G$4)*U549,FALSE)</f>
        <v>192.40774407291815</v>
      </c>
      <c r="L549" s="152" t="b">
        <f t="shared" si="159"/>
        <v>1</v>
      </c>
      <c r="M549" s="158">
        <f>INDEX('Monthly Prices'!B537:CB537,$G$5)</f>
        <v>95.567376609999997</v>
      </c>
      <c r="N549" s="158">
        <f ca="1">IF(H549,INDEX('Monthly Prices'!B537:CB537,$G$5)*U549,FALSE)</f>
        <v>148.8396435883499</v>
      </c>
      <c r="O549" s="152" t="b">
        <f t="shared" si="156"/>
        <v>1</v>
      </c>
      <c r="P549" s="152">
        <f t="shared" si="160"/>
        <v>2004</v>
      </c>
      <c r="Q549" s="159">
        <f>'Monthly Prices'!B537</f>
        <v>31.331333333330001</v>
      </c>
      <c r="R549" s="159">
        <f t="shared" si="161"/>
        <v>37.733387703035831</v>
      </c>
      <c r="S549" s="155">
        <f>_xlfn.XLOOKUP(P549,'Annual Real'!A:A,'Annual Real'!B:B,0,0)</f>
        <v>44.378607463438499</v>
      </c>
      <c r="T549" s="155">
        <f t="shared" ca="1" si="162"/>
        <v>1.5574315092455471</v>
      </c>
      <c r="U549" s="152">
        <f t="shared" ca="1" si="163"/>
        <v>1.5574315092455471</v>
      </c>
      <c r="V549" s="152">
        <f t="shared" ca="1" si="169"/>
        <v>6.5644344548314582E-2</v>
      </c>
      <c r="W549" s="152">
        <f t="shared" ca="1" si="170"/>
        <v>-3.2202021320613415E-2</v>
      </c>
      <c r="X549" s="154">
        <f>LOOKUP(D549,'US Implicit Deflator'!A:A,'US Implicit Deflator'!B:B)/100</f>
        <v>1.8000000000000002E-2</v>
      </c>
      <c r="Y549" s="154">
        <f t="shared" si="164"/>
        <v>1.4877654706024757E-3</v>
      </c>
      <c r="Z549" s="165">
        <f t="shared" ca="1" si="165"/>
        <v>4.3846506783582422</v>
      </c>
      <c r="AA549" s="152">
        <f t="shared" si="166"/>
        <v>7</v>
      </c>
      <c r="AB549" s="153">
        <f t="shared" si="167"/>
        <v>38018</v>
      </c>
      <c r="AC549" s="155">
        <f t="shared" ca="1" si="168"/>
        <v>1.5574315092455471</v>
      </c>
    </row>
    <row r="550" spans="3:29">
      <c r="C550" s="152" t="str">
        <f>'Monthly Prices'!A538</f>
        <v>2004M03</v>
      </c>
      <c r="D550" s="153">
        <f t="shared" si="157"/>
        <v>38047</v>
      </c>
      <c r="E550" s="152">
        <f t="shared" si="158"/>
        <v>531</v>
      </c>
      <c r="F550" s="152" t="b">
        <f t="shared" si="152"/>
        <v>1</v>
      </c>
      <c r="G550" s="152" t="b">
        <f t="shared" si="153"/>
        <v>1</v>
      </c>
      <c r="H550" s="152" t="b">
        <f t="shared" si="154"/>
        <v>1</v>
      </c>
      <c r="I550" s="153">
        <f t="shared" si="155"/>
        <v>38047</v>
      </c>
      <c r="J550" s="158">
        <f>INDEX('Monthly Prices'!B538:CB538,$G$4)</f>
        <v>127.84757999999999</v>
      </c>
      <c r="K550" s="158">
        <f ca="1">IF(H550,INDEX('Monthly Prices'!B538:CB538,$G$4)*U550,FALSE)</f>
        <v>198.81805483587365</v>
      </c>
      <c r="L550" s="152" t="b">
        <f t="shared" si="159"/>
        <v>1</v>
      </c>
      <c r="M550" s="158">
        <f>INDEX('Monthly Prices'!B538:CB538,$G$5)</f>
        <v>103.0294701</v>
      </c>
      <c r="N550" s="158">
        <f ca="1">IF(H550,INDEX('Monthly Prices'!B538:CB538,$G$5)*U550,FALSE)</f>
        <v>160.22296891386449</v>
      </c>
      <c r="O550" s="152" t="b">
        <f t="shared" si="156"/>
        <v>1</v>
      </c>
      <c r="P550" s="152">
        <f t="shared" si="160"/>
        <v>2004</v>
      </c>
      <c r="Q550" s="159">
        <f>'Monthly Prices'!B538</f>
        <v>33.665072463770002</v>
      </c>
      <c r="R550" s="159">
        <f t="shared" si="161"/>
        <v>37.733387703035831</v>
      </c>
      <c r="S550" s="155">
        <f>_xlfn.XLOOKUP(P550,'Annual Real'!A:A,'Annual Real'!B:B,0,0)</f>
        <v>44.378607463438499</v>
      </c>
      <c r="T550" s="155">
        <f t="shared" ca="1" si="162"/>
        <v>1.5551178585928154</v>
      </c>
      <c r="U550" s="152">
        <f t="shared" ca="1" si="163"/>
        <v>1.5551178585928154</v>
      </c>
      <c r="V550" s="152">
        <f t="shared" ca="1" si="169"/>
        <v>3.2773321911756997E-2</v>
      </c>
      <c r="W550" s="152">
        <f t="shared" ca="1" si="170"/>
        <v>7.3696891968192194E-2</v>
      </c>
      <c r="X550" s="154">
        <f>LOOKUP(D550,'US Implicit Deflator'!A:A,'US Implicit Deflator'!B:B)/100</f>
        <v>1.8000000000000002E-2</v>
      </c>
      <c r="Y550" s="154">
        <f t="shared" si="164"/>
        <v>1.4877654706024757E-3</v>
      </c>
      <c r="Z550" s="165">
        <f t="shared" ca="1" si="165"/>
        <v>4.3911740102381573</v>
      </c>
      <c r="AA550" s="152">
        <f t="shared" si="166"/>
        <v>7</v>
      </c>
      <c r="AB550" s="153">
        <f t="shared" si="167"/>
        <v>38047</v>
      </c>
      <c r="AC550" s="155">
        <f t="shared" ca="1" si="168"/>
        <v>1.5551178585928154</v>
      </c>
    </row>
    <row r="551" spans="3:29">
      <c r="C551" s="152" t="str">
        <f>'Monthly Prices'!A539</f>
        <v>2004M04</v>
      </c>
      <c r="D551" s="153">
        <f t="shared" si="157"/>
        <v>38078</v>
      </c>
      <c r="E551" s="152">
        <f t="shared" si="158"/>
        <v>532</v>
      </c>
      <c r="F551" s="152" t="b">
        <f t="shared" si="152"/>
        <v>1</v>
      </c>
      <c r="G551" s="152" t="b">
        <f t="shared" si="153"/>
        <v>1</v>
      </c>
      <c r="H551" s="152" t="b">
        <f t="shared" si="154"/>
        <v>1</v>
      </c>
      <c r="I551" s="153">
        <f t="shared" si="155"/>
        <v>38078</v>
      </c>
      <c r="J551" s="158">
        <f>INDEX('Monthly Prices'!B539:CB539,$G$4)</f>
        <v>133.49688800000001</v>
      </c>
      <c r="K551" s="158">
        <f ca="1">IF(H551,INDEX('Monthly Prices'!B539:CB539,$G$4)*U551,FALSE)</f>
        <v>207.24416195187521</v>
      </c>
      <c r="L551" s="152" t="b">
        <f t="shared" si="159"/>
        <v>1</v>
      </c>
      <c r="M551" s="158">
        <f>INDEX('Monthly Prices'!B539:CB539,$G$5)</f>
        <v>112.5311284</v>
      </c>
      <c r="N551" s="158">
        <f ca="1">IF(H551,INDEX('Monthly Prices'!B539:CB539,$G$5)*U551,FALSE)</f>
        <v>174.69635246296423</v>
      </c>
      <c r="O551" s="152" t="b">
        <f t="shared" si="156"/>
        <v>1</v>
      </c>
      <c r="P551" s="152">
        <f t="shared" si="160"/>
        <v>2004</v>
      </c>
      <c r="Q551" s="159">
        <f>'Monthly Prices'!B539</f>
        <v>33.711392496389998</v>
      </c>
      <c r="R551" s="159">
        <f t="shared" si="161"/>
        <v>37.733387703035831</v>
      </c>
      <c r="S551" s="155">
        <f>_xlfn.XLOOKUP(P551,'Annual Real'!A:A,'Annual Real'!B:B,0,0)</f>
        <v>44.378607463438499</v>
      </c>
      <c r="T551" s="155">
        <f t="shared" ca="1" si="162"/>
        <v>1.5524269146399516</v>
      </c>
      <c r="U551" s="152">
        <f t="shared" ca="1" si="163"/>
        <v>1.5524269146399516</v>
      </c>
      <c r="V551" s="152">
        <f t="shared" ca="1" si="169"/>
        <v>4.1507515315673371E-2</v>
      </c>
      <c r="W551" s="152">
        <f t="shared" ca="1" si="170"/>
        <v>8.6482937213063951E-2</v>
      </c>
      <c r="X551" s="154">
        <f>LOOKUP(D551,'US Implicit Deflator'!A:A,'US Implicit Deflator'!B:B)/100</f>
        <v>2.1000000000000001E-2</v>
      </c>
      <c r="Y551" s="154">
        <f t="shared" si="164"/>
        <v>1.73337883251512E-3</v>
      </c>
      <c r="Z551" s="165">
        <f t="shared" ca="1" si="165"/>
        <v>4.398785578317395</v>
      </c>
      <c r="AA551" s="152">
        <f t="shared" si="166"/>
        <v>7</v>
      </c>
      <c r="AB551" s="153">
        <f t="shared" si="167"/>
        <v>38078</v>
      </c>
      <c r="AC551" s="155">
        <f t="shared" ca="1" si="168"/>
        <v>1.5524269146399516</v>
      </c>
    </row>
    <row r="552" spans="3:29">
      <c r="C552" s="152" t="str">
        <f>'Monthly Prices'!A540</f>
        <v>2004M05</v>
      </c>
      <c r="D552" s="153">
        <f t="shared" si="157"/>
        <v>38108</v>
      </c>
      <c r="E552" s="152">
        <f t="shared" si="158"/>
        <v>533</v>
      </c>
      <c r="F552" s="152" t="b">
        <f t="shared" si="152"/>
        <v>1</v>
      </c>
      <c r="G552" s="152" t="b">
        <f t="shared" si="153"/>
        <v>1</v>
      </c>
      <c r="H552" s="152" t="b">
        <f t="shared" si="154"/>
        <v>1</v>
      </c>
      <c r="I552" s="153">
        <f t="shared" si="155"/>
        <v>38108</v>
      </c>
      <c r="J552" s="158">
        <f>INDEX('Monthly Prices'!B540:CB540,$G$4)</f>
        <v>128.216655</v>
      </c>
      <c r="K552" s="158">
        <f ca="1">IF(H552,INDEX('Monthly Prices'!B540:CB540,$G$4)*U552,FALSE)</f>
        <v>198.70255931681876</v>
      </c>
      <c r="L552" s="152" t="b">
        <f t="shared" si="159"/>
        <v>1</v>
      </c>
      <c r="M552" s="158">
        <f>INDEX('Monthly Prices'!B540:CB540,$G$5)</f>
        <v>111.55951829999999</v>
      </c>
      <c r="N552" s="158">
        <f ca="1">IF(H552,INDEX('Monthly Prices'!B540:CB540,$G$5)*U552,FALSE)</f>
        <v>172.88831784265062</v>
      </c>
      <c r="O552" s="152" t="b">
        <f t="shared" si="156"/>
        <v>1</v>
      </c>
      <c r="P552" s="152">
        <f t="shared" si="160"/>
        <v>2004</v>
      </c>
      <c r="Q552" s="159">
        <f>'Monthly Prices'!B540</f>
        <v>37.557898913949998</v>
      </c>
      <c r="R552" s="159">
        <f t="shared" si="161"/>
        <v>37.733387703035831</v>
      </c>
      <c r="S552" s="155">
        <f>_xlfn.XLOOKUP(P552,'Annual Real'!A:A,'Annual Real'!B:B,0,0)</f>
        <v>44.378607463438499</v>
      </c>
      <c r="T552" s="155">
        <f t="shared" ca="1" si="162"/>
        <v>1.5497406270411498</v>
      </c>
      <c r="U552" s="152">
        <f t="shared" ca="1" si="163"/>
        <v>1.5497406270411498</v>
      </c>
      <c r="V552" s="152">
        <f t="shared" ca="1" si="169"/>
        <v>-4.2088594727370469E-2</v>
      </c>
      <c r="W552" s="152">
        <f t="shared" ca="1" si="170"/>
        <v>-1.0403513630946333E-2</v>
      </c>
      <c r="X552" s="154">
        <f>LOOKUP(D552,'US Implicit Deflator'!A:A,'US Implicit Deflator'!B:B)/100</f>
        <v>2.1000000000000001E-2</v>
      </c>
      <c r="Y552" s="154">
        <f t="shared" si="164"/>
        <v>1.73337883251512E-3</v>
      </c>
      <c r="Z552" s="165">
        <f t="shared" ca="1" si="165"/>
        <v>4.4064103401276231</v>
      </c>
      <c r="AA552" s="152">
        <f t="shared" si="166"/>
        <v>7</v>
      </c>
      <c r="AB552" s="153">
        <f t="shared" si="167"/>
        <v>38108</v>
      </c>
      <c r="AC552" s="155">
        <f t="shared" ca="1" si="168"/>
        <v>1.5497406270411498</v>
      </c>
    </row>
    <row r="553" spans="3:29">
      <c r="C553" s="152" t="str">
        <f>'Monthly Prices'!A541</f>
        <v>2004M06</v>
      </c>
      <c r="D553" s="153">
        <f t="shared" si="157"/>
        <v>38139</v>
      </c>
      <c r="E553" s="152">
        <f t="shared" si="158"/>
        <v>534</v>
      </c>
      <c r="F553" s="152" t="b">
        <f t="shared" si="152"/>
        <v>1</v>
      </c>
      <c r="G553" s="152" t="b">
        <f t="shared" si="153"/>
        <v>1</v>
      </c>
      <c r="H553" s="152" t="b">
        <f t="shared" si="154"/>
        <v>1</v>
      </c>
      <c r="I553" s="153">
        <f t="shared" si="155"/>
        <v>38139</v>
      </c>
      <c r="J553" s="158">
        <f>INDEX('Monthly Prices'!B541:CB541,$G$4)</f>
        <v>123.32026</v>
      </c>
      <c r="K553" s="158">
        <f ca="1">IF(H553,INDEX('Monthly Prices'!B541:CB541,$G$4)*U553,FALSE)</f>
        <v>190.78371660332886</v>
      </c>
      <c r="L553" s="152" t="b">
        <f t="shared" si="159"/>
        <v>1</v>
      </c>
      <c r="M553" s="158">
        <f>INDEX('Monthly Prices'!B541:CB541,$G$5)</f>
        <v>114.0480505</v>
      </c>
      <c r="N553" s="158">
        <f ca="1">IF(H553,INDEX('Monthly Prices'!B541:CB541,$G$5)*U553,FALSE)</f>
        <v>176.43906156015353</v>
      </c>
      <c r="O553" s="152" t="b">
        <f t="shared" si="156"/>
        <v>1</v>
      </c>
      <c r="P553" s="152">
        <f t="shared" si="160"/>
        <v>2004</v>
      </c>
      <c r="Q553" s="159">
        <f>'Monthly Prices'!B541</f>
        <v>35.542741702740003</v>
      </c>
      <c r="R553" s="159">
        <f t="shared" si="161"/>
        <v>37.733387703035831</v>
      </c>
      <c r="S553" s="155">
        <f>_xlfn.XLOOKUP(P553,'Annual Real'!A:A,'Annual Real'!B:B,0,0)</f>
        <v>44.378607463438499</v>
      </c>
      <c r="T553" s="155">
        <f t="shared" ca="1" si="162"/>
        <v>1.5470589877391505</v>
      </c>
      <c r="U553" s="152">
        <f t="shared" ca="1" si="163"/>
        <v>1.5470589877391505</v>
      </c>
      <c r="V553" s="152">
        <f t="shared" ca="1" si="169"/>
        <v>-4.0668617158466404E-2</v>
      </c>
      <c r="W553" s="152">
        <f t="shared" ca="1" si="170"/>
        <v>2.0329732044892464E-2</v>
      </c>
      <c r="X553" s="154">
        <f>LOOKUP(D553,'US Implicit Deflator'!A:A,'US Implicit Deflator'!B:B)/100</f>
        <v>2.1000000000000001E-2</v>
      </c>
      <c r="Y553" s="154">
        <f t="shared" si="164"/>
        <v>1.73337883251512E-3</v>
      </c>
      <c r="Z553" s="165">
        <f t="shared" ca="1" si="165"/>
        <v>4.4140483185385762</v>
      </c>
      <c r="AA553" s="152">
        <f t="shared" si="166"/>
        <v>7</v>
      </c>
      <c r="AB553" s="153">
        <f t="shared" si="167"/>
        <v>38139</v>
      </c>
      <c r="AC553" s="155">
        <f t="shared" ca="1" si="168"/>
        <v>1.5470589877391505</v>
      </c>
    </row>
    <row r="554" spans="3:29">
      <c r="C554" s="152" t="str">
        <f>'Monthly Prices'!A542</f>
        <v>2004M07</v>
      </c>
      <c r="D554" s="153">
        <f t="shared" si="157"/>
        <v>38169</v>
      </c>
      <c r="E554" s="152">
        <f t="shared" si="158"/>
        <v>535</v>
      </c>
      <c r="F554" s="152" t="b">
        <f t="shared" si="152"/>
        <v>1</v>
      </c>
      <c r="G554" s="152" t="b">
        <f t="shared" si="153"/>
        <v>1</v>
      </c>
      <c r="H554" s="152" t="b">
        <f t="shared" si="154"/>
        <v>1</v>
      </c>
      <c r="I554" s="153">
        <f t="shared" si="155"/>
        <v>38169</v>
      </c>
      <c r="J554" s="158">
        <f>INDEX('Monthly Prices'!B542:CB542,$G$4)</f>
        <v>104.84682599999999</v>
      </c>
      <c r="K554" s="158">
        <f ca="1">IF(H554,INDEX('Monthly Prices'!B542:CB542,$G$4)*U554,FALSE)</f>
        <v>161.88396434692234</v>
      </c>
      <c r="L554" s="152" t="b">
        <f t="shared" si="159"/>
        <v>1</v>
      </c>
      <c r="M554" s="158">
        <f>INDEX('Monthly Prices'!B542:CB542,$G$5)</f>
        <v>103.9693504</v>
      </c>
      <c r="N554" s="158">
        <f ca="1">IF(H554,INDEX('Monthly Prices'!B542:CB542,$G$5)*U554,FALSE)</f>
        <v>160.5291381288574</v>
      </c>
      <c r="O554" s="152" t="b">
        <f t="shared" si="156"/>
        <v>1</v>
      </c>
      <c r="P554" s="152">
        <f t="shared" si="160"/>
        <v>2004</v>
      </c>
      <c r="Q554" s="159">
        <f>'Monthly Prices'!B542</f>
        <v>37.891998557000001</v>
      </c>
      <c r="R554" s="159">
        <f t="shared" si="161"/>
        <v>37.733387703035831</v>
      </c>
      <c r="S554" s="155">
        <f>_xlfn.XLOOKUP(P554,'Annual Real'!A:A,'Annual Real'!B:B,0,0)</f>
        <v>44.378607463438499</v>
      </c>
      <c r="T554" s="155">
        <f t="shared" ca="1" si="162"/>
        <v>1.5440044350691393</v>
      </c>
      <c r="U554" s="152">
        <f t="shared" ca="1" si="163"/>
        <v>1.5440044350691393</v>
      </c>
      <c r="V554" s="152">
        <f t="shared" ca="1" si="169"/>
        <v>-0.16426060349702598</v>
      </c>
      <c r="W554" s="152">
        <f t="shared" ca="1" si="170"/>
        <v>-9.4500084408097665E-2</v>
      </c>
      <c r="X554" s="154">
        <f>LOOKUP(D554,'US Implicit Deflator'!A:A,'US Implicit Deflator'!B:B)/100</f>
        <v>2.4E-2</v>
      </c>
      <c r="Y554" s="154">
        <f t="shared" si="164"/>
        <v>1.9783315388433032E-3</v>
      </c>
      <c r="Z554" s="165">
        <f t="shared" ca="1" si="165"/>
        <v>4.4227807695411192</v>
      </c>
      <c r="AA554" s="152">
        <f t="shared" si="166"/>
        <v>7</v>
      </c>
      <c r="AB554" s="153">
        <f t="shared" si="167"/>
        <v>38169</v>
      </c>
      <c r="AC554" s="155">
        <f t="shared" ca="1" si="168"/>
        <v>1.5440044350691393</v>
      </c>
    </row>
    <row r="555" spans="3:29">
      <c r="C555" s="152" t="str">
        <f>'Monthly Prices'!A543</f>
        <v>2004M08</v>
      </c>
      <c r="D555" s="153">
        <f t="shared" si="157"/>
        <v>38200</v>
      </c>
      <c r="E555" s="152">
        <f t="shared" si="158"/>
        <v>536</v>
      </c>
      <c r="F555" s="152" t="b">
        <f t="shared" si="152"/>
        <v>1</v>
      </c>
      <c r="G555" s="152" t="b">
        <f t="shared" si="153"/>
        <v>1</v>
      </c>
      <c r="H555" s="152" t="b">
        <f t="shared" si="154"/>
        <v>1</v>
      </c>
      <c r="I555" s="153">
        <f t="shared" si="155"/>
        <v>38200</v>
      </c>
      <c r="J555" s="158">
        <f>INDEX('Monthly Prices'!B543:CB543,$G$4)</f>
        <v>104.054545</v>
      </c>
      <c r="K555" s="158">
        <f ca="1">IF(H555,INDEX('Monthly Prices'!B543:CB543,$G$4)*U555,FALSE)</f>
        <v>160.34346643241065</v>
      </c>
      <c r="L555" s="152" t="b">
        <f t="shared" si="159"/>
        <v>1</v>
      </c>
      <c r="M555" s="158">
        <f>INDEX('Monthly Prices'!B543:CB543,$G$5)</f>
        <v>87.772291980000006</v>
      </c>
      <c r="N555" s="158">
        <f ca="1">IF(H555,INDEX('Monthly Prices'!B543:CB543,$G$5)*U555,FALSE)</f>
        <v>135.25323235799914</v>
      </c>
      <c r="O555" s="152" t="b">
        <f t="shared" si="156"/>
        <v>1</v>
      </c>
      <c r="P555" s="152">
        <f t="shared" si="160"/>
        <v>2004</v>
      </c>
      <c r="Q555" s="159">
        <f>'Monthly Prices'!B543</f>
        <v>42.084069264070003</v>
      </c>
      <c r="R555" s="159">
        <f t="shared" si="161"/>
        <v>37.733387703035831</v>
      </c>
      <c r="S555" s="155">
        <f>_xlfn.XLOOKUP(P555,'Annual Real'!A:A,'Annual Real'!B:B,0,0)</f>
        <v>44.378607463438499</v>
      </c>
      <c r="T555" s="155">
        <f t="shared" ca="1" si="162"/>
        <v>1.5409559133857214</v>
      </c>
      <c r="U555" s="152">
        <f t="shared" ca="1" si="163"/>
        <v>1.5409559133857214</v>
      </c>
      <c r="V555" s="152">
        <f t="shared" ca="1" si="169"/>
        <v>-9.5616294826633939E-3</v>
      </c>
      <c r="W555" s="152">
        <f t="shared" ca="1" si="170"/>
        <v>-0.17132665549084383</v>
      </c>
      <c r="X555" s="154">
        <f>LOOKUP(D555,'US Implicit Deflator'!A:A,'US Implicit Deflator'!B:B)/100</f>
        <v>2.4E-2</v>
      </c>
      <c r="Y555" s="154">
        <f t="shared" si="164"/>
        <v>1.9783315388433032E-3</v>
      </c>
      <c r="Z555" s="165">
        <f t="shared" ca="1" si="165"/>
        <v>4.431530496226892</v>
      </c>
      <c r="AA555" s="152">
        <f t="shared" si="166"/>
        <v>7</v>
      </c>
      <c r="AB555" s="153">
        <f t="shared" si="167"/>
        <v>38200</v>
      </c>
      <c r="AC555" s="155">
        <f t="shared" ca="1" si="168"/>
        <v>1.5409559133857214</v>
      </c>
    </row>
    <row r="556" spans="3:29">
      <c r="C556" s="152" t="str">
        <f>'Monthly Prices'!A544</f>
        <v>2004M09</v>
      </c>
      <c r="D556" s="153">
        <f t="shared" si="157"/>
        <v>38231</v>
      </c>
      <c r="E556" s="152">
        <f t="shared" si="158"/>
        <v>537</v>
      </c>
      <c r="F556" s="152" t="b">
        <f t="shared" si="152"/>
        <v>1</v>
      </c>
      <c r="G556" s="152" t="b">
        <f t="shared" si="153"/>
        <v>1</v>
      </c>
      <c r="H556" s="152" t="b">
        <f t="shared" si="154"/>
        <v>1</v>
      </c>
      <c r="I556" s="153">
        <f t="shared" si="155"/>
        <v>38231</v>
      </c>
      <c r="J556" s="158">
        <f>INDEX('Monthly Prices'!B544:CB544,$G$4)</f>
        <v>97.868848</v>
      </c>
      <c r="K556" s="158">
        <f ca="1">IF(H556,INDEX('Monthly Prices'!B544:CB544,$G$4)*U556,FALSE)</f>
        <v>150.51381383690318</v>
      </c>
      <c r="L556" s="152" t="b">
        <f t="shared" si="159"/>
        <v>1</v>
      </c>
      <c r="M556" s="158">
        <f>INDEX('Monthly Prices'!B544:CB544,$G$5)</f>
        <v>85.371468809999996</v>
      </c>
      <c r="N556" s="158">
        <f ca="1">IF(H556,INDEX('Monthly Prices'!B544:CB544,$G$5)*U556,FALSE)</f>
        <v>131.29392678098475</v>
      </c>
      <c r="O556" s="152" t="b">
        <f t="shared" si="156"/>
        <v>1</v>
      </c>
      <c r="P556" s="152">
        <f t="shared" si="160"/>
        <v>2004</v>
      </c>
      <c r="Q556" s="159">
        <f>'Monthly Prices'!B544</f>
        <v>41.596825396829999</v>
      </c>
      <c r="R556" s="159">
        <f t="shared" si="161"/>
        <v>37.733387703035831</v>
      </c>
      <c r="S556" s="155">
        <f>_xlfn.XLOOKUP(P556,'Annual Real'!A:A,'Annual Real'!B:B,0,0)</f>
        <v>44.378607463438499</v>
      </c>
      <c r="T556" s="155">
        <f t="shared" ca="1" si="162"/>
        <v>1.5379134107811627</v>
      </c>
      <c r="U556" s="152">
        <f t="shared" ca="1" si="163"/>
        <v>1.5379134107811627</v>
      </c>
      <c r="V556" s="152">
        <f t="shared" ca="1" si="169"/>
        <v>-6.326331337420632E-2</v>
      </c>
      <c r="W556" s="152">
        <f t="shared" ca="1" si="170"/>
        <v>-2.9710290861070111E-2</v>
      </c>
      <c r="X556" s="154">
        <f>LOOKUP(D556,'US Implicit Deflator'!A:A,'US Implicit Deflator'!B:B)/100</f>
        <v>2.4E-2</v>
      </c>
      <c r="Y556" s="154">
        <f t="shared" si="164"/>
        <v>1.9783315388433032E-3</v>
      </c>
      <c r="Z556" s="165">
        <f t="shared" ca="1" si="165"/>
        <v>4.4402975327729237</v>
      </c>
      <c r="AA556" s="152">
        <f t="shared" si="166"/>
        <v>7</v>
      </c>
      <c r="AB556" s="153">
        <f t="shared" si="167"/>
        <v>38231</v>
      </c>
      <c r="AC556" s="155">
        <f t="shared" ca="1" si="168"/>
        <v>1.5379134107811627</v>
      </c>
    </row>
    <row r="557" spans="3:29">
      <c r="C557" s="152" t="str">
        <f>'Monthly Prices'!A545</f>
        <v>2004M10</v>
      </c>
      <c r="D557" s="153">
        <f t="shared" si="157"/>
        <v>38261</v>
      </c>
      <c r="E557" s="152">
        <f t="shared" si="158"/>
        <v>538</v>
      </c>
      <c r="F557" s="152" t="b">
        <f t="shared" si="152"/>
        <v>1</v>
      </c>
      <c r="G557" s="152" t="b">
        <f t="shared" si="153"/>
        <v>1</v>
      </c>
      <c r="H557" s="152" t="b">
        <f t="shared" si="154"/>
        <v>1</v>
      </c>
      <c r="I557" s="153">
        <f t="shared" si="155"/>
        <v>38261</v>
      </c>
      <c r="J557" s="158">
        <f>INDEX('Monthly Prices'!B545:CB545,$G$4)</f>
        <v>93.794259999999994</v>
      </c>
      <c r="K557" s="158">
        <f ca="1">IF(H557,INDEX('Monthly Prices'!B545:CB545,$G$4)*U557,FALSE)</f>
        <v>143.89257240651</v>
      </c>
      <c r="L557" s="152" t="b">
        <f t="shared" si="159"/>
        <v>1</v>
      </c>
      <c r="M557" s="158">
        <f>INDEX('Monthly Prices'!B545:CB545,$G$5)</f>
        <v>87.888384439999996</v>
      </c>
      <c r="N557" s="158">
        <f ca="1">IF(H557,INDEX('Monthly Prices'!B545:CB545,$G$5)*U557,FALSE)</f>
        <v>134.83219252141748</v>
      </c>
      <c r="O557" s="152" t="b">
        <f t="shared" si="156"/>
        <v>1</v>
      </c>
      <c r="P557" s="152">
        <f t="shared" si="160"/>
        <v>2004</v>
      </c>
      <c r="Q557" s="159">
        <f>'Monthly Prices'!B545</f>
        <v>46.881111111110002</v>
      </c>
      <c r="R557" s="159">
        <f t="shared" si="161"/>
        <v>37.733387703035831</v>
      </c>
      <c r="S557" s="155">
        <f>_xlfn.XLOOKUP(P557,'Annual Real'!A:A,'Annual Real'!B:B,0,0)</f>
        <v>44.378607463438499</v>
      </c>
      <c r="T557" s="155">
        <f t="shared" ca="1" si="162"/>
        <v>1.5341298327478676</v>
      </c>
      <c r="U557" s="152">
        <f t="shared" ca="1" si="163"/>
        <v>1.5341298327478676</v>
      </c>
      <c r="V557" s="152">
        <f t="shared" ca="1" si="169"/>
        <v>-4.4987870062428E-2</v>
      </c>
      <c r="W557" s="152">
        <f t="shared" ca="1" si="170"/>
        <v>2.6592461175576346E-2</v>
      </c>
      <c r="X557" s="154">
        <f>LOOKUP(D557,'US Implicit Deflator'!A:A,'US Implicit Deflator'!B:B)/100</f>
        <v>0.03</v>
      </c>
      <c r="Y557" s="154">
        <f t="shared" si="164"/>
        <v>2.4662697723036864E-3</v>
      </c>
      <c r="Z557" s="165">
        <f t="shared" ca="1" si="165"/>
        <v>4.4512485043580359</v>
      </c>
      <c r="AA557" s="152">
        <f t="shared" si="166"/>
        <v>7</v>
      </c>
      <c r="AB557" s="153">
        <f t="shared" si="167"/>
        <v>38261</v>
      </c>
      <c r="AC557" s="155">
        <f t="shared" ca="1" si="168"/>
        <v>1.5341298327478676</v>
      </c>
    </row>
    <row r="558" spans="3:29">
      <c r="C558" s="152" t="str">
        <f>'Monthly Prices'!A546</f>
        <v>2004M11</v>
      </c>
      <c r="D558" s="153">
        <f t="shared" si="157"/>
        <v>38292</v>
      </c>
      <c r="E558" s="152">
        <f t="shared" si="158"/>
        <v>539</v>
      </c>
      <c r="F558" s="152" t="b">
        <f t="shared" si="152"/>
        <v>1</v>
      </c>
      <c r="G558" s="152" t="b">
        <f t="shared" si="153"/>
        <v>1</v>
      </c>
      <c r="H558" s="152" t="b">
        <f t="shared" si="154"/>
        <v>1</v>
      </c>
      <c r="I558" s="153">
        <f t="shared" si="155"/>
        <v>38292</v>
      </c>
      <c r="J558" s="158">
        <f>INDEX('Monthly Prices'!B546:CB546,$G$4)</f>
        <v>93.745050000000006</v>
      </c>
      <c r="K558" s="158">
        <f ca="1">IF(H558,INDEX('Monthly Prices'!B546:CB546,$G$4)*U558,FALSE)</f>
        <v>143.46325877887796</v>
      </c>
      <c r="L558" s="152" t="b">
        <f t="shared" si="159"/>
        <v>1</v>
      </c>
      <c r="M558" s="158">
        <f>INDEX('Monthly Prices'!B546:CB546,$G$5)</f>
        <v>95.533337709999998</v>
      </c>
      <c r="N558" s="158">
        <f ca="1">IF(H558,INDEX('Monthly Prices'!B546:CB546,$G$5)*U558,FALSE)</f>
        <v>146.1999748242672</v>
      </c>
      <c r="O558" s="152" t="b">
        <f t="shared" si="156"/>
        <v>1</v>
      </c>
      <c r="P558" s="152">
        <f t="shared" si="160"/>
        <v>2004</v>
      </c>
      <c r="Q558" s="159">
        <f>'Monthly Prices'!B546</f>
        <v>42.12554545455</v>
      </c>
      <c r="R558" s="159">
        <f t="shared" si="161"/>
        <v>37.733387703035831</v>
      </c>
      <c r="S558" s="155">
        <f>_xlfn.XLOOKUP(P558,'Annual Real'!A:A,'Annual Real'!B:B,0,0)</f>
        <v>44.378607463438499</v>
      </c>
      <c r="T558" s="155">
        <f t="shared" ca="1" si="162"/>
        <v>1.5303555630817622</v>
      </c>
      <c r="U558" s="152">
        <f t="shared" ca="1" si="163"/>
        <v>1.5303555630817622</v>
      </c>
      <c r="V558" s="152">
        <f t="shared" ca="1" si="169"/>
        <v>-2.9880301734748014E-3</v>
      </c>
      <c r="W558" s="152">
        <f t="shared" ca="1" si="170"/>
        <v>8.0944388224582206E-2</v>
      </c>
      <c r="X558" s="154">
        <f>LOOKUP(D558,'US Implicit Deflator'!A:A,'US Implicit Deflator'!B:B)/100</f>
        <v>0.03</v>
      </c>
      <c r="Y558" s="154">
        <f t="shared" si="164"/>
        <v>2.4662697723036864E-3</v>
      </c>
      <c r="Z558" s="165">
        <f t="shared" ca="1" si="165"/>
        <v>4.4622264839933461</v>
      </c>
      <c r="AA558" s="152">
        <f t="shared" si="166"/>
        <v>7</v>
      </c>
      <c r="AB558" s="153">
        <f t="shared" si="167"/>
        <v>38292</v>
      </c>
      <c r="AC558" s="155">
        <f t="shared" ca="1" si="168"/>
        <v>1.5303555630817622</v>
      </c>
    </row>
    <row r="559" spans="3:29">
      <c r="C559" s="152" t="str">
        <f>'Monthly Prices'!A547</f>
        <v>2004M12</v>
      </c>
      <c r="D559" s="153">
        <f t="shared" si="157"/>
        <v>38322</v>
      </c>
      <c r="E559" s="152">
        <f t="shared" si="158"/>
        <v>540</v>
      </c>
      <c r="F559" s="152" t="b">
        <f t="shared" si="152"/>
        <v>1</v>
      </c>
      <c r="G559" s="152" t="b">
        <f t="shared" si="153"/>
        <v>1</v>
      </c>
      <c r="H559" s="152" t="b">
        <f t="shared" si="154"/>
        <v>1</v>
      </c>
      <c r="I559" s="153">
        <f t="shared" si="155"/>
        <v>38322</v>
      </c>
      <c r="J559" s="158">
        <f>INDEX('Monthly Prices'!B547:CB547,$G$4)</f>
        <v>95.388664000000006</v>
      </c>
      <c r="K559" s="158">
        <f ca="1">IF(H559,INDEX('Monthly Prices'!B547:CB547,$G$4)*U559,FALSE)</f>
        <v>145.61943579457693</v>
      </c>
      <c r="L559" s="152" t="b">
        <f t="shared" si="159"/>
        <v>1</v>
      </c>
      <c r="M559" s="158">
        <f>INDEX('Monthly Prices'!B547:CB547,$G$5)</f>
        <v>92.043884910000003</v>
      </c>
      <c r="N559" s="158">
        <f ca="1">IF(H559,INDEX('Monthly Prices'!B547:CB547,$G$5)*U559,FALSE)</f>
        <v>140.51332754734014</v>
      </c>
      <c r="O559" s="152" t="b">
        <f t="shared" si="156"/>
        <v>1</v>
      </c>
      <c r="P559" s="152">
        <f t="shared" si="160"/>
        <v>2004</v>
      </c>
      <c r="Q559" s="159">
        <f>'Monthly Prices'!B547</f>
        <v>39.044944444439999</v>
      </c>
      <c r="R559" s="159">
        <f t="shared" si="161"/>
        <v>37.733387703035831</v>
      </c>
      <c r="S559" s="155">
        <f>_xlfn.XLOOKUP(P559,'Annual Real'!A:A,'Annual Real'!B:B,0,0)</f>
        <v>44.378607463438499</v>
      </c>
      <c r="T559" s="155">
        <f t="shared" ca="1" si="162"/>
        <v>1.5265905788823808</v>
      </c>
      <c r="U559" s="152">
        <f t="shared" ca="1" si="163"/>
        <v>1.5265905788823808</v>
      </c>
      <c r="V559" s="152">
        <f t="shared" ca="1" si="169"/>
        <v>1.4917648421385802E-2</v>
      </c>
      <c r="W559" s="152">
        <f t="shared" ca="1" si="170"/>
        <v>-3.9673032851776494E-2</v>
      </c>
      <c r="X559" s="154">
        <f>LOOKUP(D559,'US Implicit Deflator'!A:A,'US Implicit Deflator'!B:B)/100</f>
        <v>0.03</v>
      </c>
      <c r="Y559" s="154">
        <f t="shared" si="164"/>
        <v>2.4662697723036864E-3</v>
      </c>
      <c r="Z559" s="165">
        <f t="shared" ca="1" si="165"/>
        <v>4.4732315382879921</v>
      </c>
      <c r="AA559" s="152">
        <f t="shared" si="166"/>
        <v>7</v>
      </c>
      <c r="AB559" s="153">
        <f t="shared" si="167"/>
        <v>38322</v>
      </c>
      <c r="AC559" s="155">
        <f t="shared" ca="1" si="168"/>
        <v>1.5265905788823808</v>
      </c>
    </row>
    <row r="560" spans="3:29">
      <c r="C560" s="152" t="str">
        <f>'Monthly Prices'!A548</f>
        <v>2005M01</v>
      </c>
      <c r="D560" s="153">
        <f t="shared" si="157"/>
        <v>38353</v>
      </c>
      <c r="E560" s="152">
        <f t="shared" si="158"/>
        <v>541</v>
      </c>
      <c r="F560" s="152" t="b">
        <f t="shared" si="152"/>
        <v>1</v>
      </c>
      <c r="G560" s="152" t="b">
        <f t="shared" si="153"/>
        <v>1</v>
      </c>
      <c r="H560" s="152" t="b">
        <f t="shared" si="154"/>
        <v>1</v>
      </c>
      <c r="I560" s="153">
        <f t="shared" si="155"/>
        <v>38353</v>
      </c>
      <c r="J560" s="158">
        <f>INDEX('Monthly Prices'!B548:CB548,$G$4)</f>
        <v>96.254760000000005</v>
      </c>
      <c r="K560" s="158">
        <f ca="1">IF(H560,INDEX('Monthly Prices'!B548:CB548,$G$4)*U560,FALSE)</f>
        <v>146.58010370958456</v>
      </c>
      <c r="L560" s="152" t="b">
        <f t="shared" si="159"/>
        <v>1</v>
      </c>
      <c r="M560" s="158">
        <f>INDEX('Monthly Prices'!B548:CB548,$G$5)</f>
        <v>90.714802680000005</v>
      </c>
      <c r="N560" s="158">
        <f ca="1">IF(H560,INDEX('Monthly Prices'!B548:CB548,$G$5)*U560,FALSE)</f>
        <v>138.14366359470324</v>
      </c>
      <c r="O560" s="152" t="b">
        <f t="shared" si="156"/>
        <v>1</v>
      </c>
      <c r="P560" s="152">
        <f t="shared" si="160"/>
        <v>2005</v>
      </c>
      <c r="Q560" s="159">
        <f>'Monthly Prices'!B548</f>
        <v>42.97227777778</v>
      </c>
      <c r="R560" s="159">
        <f t="shared" si="161"/>
        <v>53.391024596791674</v>
      </c>
      <c r="S560" s="155">
        <f>_xlfn.XLOOKUP(P560,'Annual Real'!A:A,'Annual Real'!B:B,0,0)</f>
        <v>60.876160060699704</v>
      </c>
      <c r="T560" s="155">
        <f t="shared" ca="1" si="162"/>
        <v>1.5228348573055976</v>
      </c>
      <c r="U560" s="152">
        <f t="shared" ca="1" si="163"/>
        <v>1.5228348573055976</v>
      </c>
      <c r="V560" s="152">
        <f t="shared" ca="1" si="169"/>
        <v>6.5754475723179238E-3</v>
      </c>
      <c r="W560" s="152">
        <f t="shared" ca="1" si="170"/>
        <v>-1.7008158071636015E-2</v>
      </c>
      <c r="X560" s="154">
        <f>LOOKUP(D560,'US Implicit Deflator'!A:A,'US Implicit Deflator'!B:B)/100</f>
        <v>0.03</v>
      </c>
      <c r="Y560" s="154">
        <f t="shared" si="164"/>
        <v>2.4662697723036864E-3</v>
      </c>
      <c r="Z560" s="165">
        <f t="shared" ca="1" si="165"/>
        <v>4.4842637340153875</v>
      </c>
      <c r="AA560" s="152">
        <f t="shared" si="166"/>
        <v>7</v>
      </c>
      <c r="AB560" s="153">
        <f t="shared" si="167"/>
        <v>38353</v>
      </c>
      <c r="AC560" s="155">
        <f t="shared" ca="1" si="168"/>
        <v>1.5228348573055976</v>
      </c>
    </row>
    <row r="561" spans="3:29">
      <c r="C561" s="152" t="str">
        <f>'Monthly Prices'!A549</f>
        <v>2005M02</v>
      </c>
      <c r="D561" s="153">
        <f t="shared" si="157"/>
        <v>38384</v>
      </c>
      <c r="E561" s="152">
        <f t="shared" si="158"/>
        <v>542</v>
      </c>
      <c r="F561" s="152" t="b">
        <f t="shared" si="152"/>
        <v>1</v>
      </c>
      <c r="G561" s="152" t="b">
        <f t="shared" si="153"/>
        <v>1</v>
      </c>
      <c r="H561" s="152" t="b">
        <f t="shared" si="154"/>
        <v>1</v>
      </c>
      <c r="I561" s="153">
        <f t="shared" si="155"/>
        <v>38384</v>
      </c>
      <c r="J561" s="158">
        <f>INDEX('Monthly Prices'!B549:CB549,$G$4)</f>
        <v>94.138729999999995</v>
      </c>
      <c r="K561" s="158">
        <f ca="1">IF(H561,INDEX('Monthly Prices'!B549:CB549,$G$4)*U561,FALSE)</f>
        <v>143.00505043330975</v>
      </c>
      <c r="L561" s="152" t="b">
        <f t="shared" si="159"/>
        <v>1</v>
      </c>
      <c r="M561" s="158">
        <f>INDEX('Monthly Prices'!B549:CB549,$G$5)</f>
        <v>87.375633620000002</v>
      </c>
      <c r="N561" s="158">
        <f ca="1">IF(H561,INDEX('Monthly Prices'!B549:CB549,$G$5)*U561,FALSE)</f>
        <v>132.73130933963625</v>
      </c>
      <c r="O561" s="152" t="b">
        <f t="shared" si="156"/>
        <v>1</v>
      </c>
      <c r="P561" s="152">
        <f t="shared" si="160"/>
        <v>2005</v>
      </c>
      <c r="Q561" s="159">
        <f>'Monthly Prices'!B549</f>
        <v>44.818210526320001</v>
      </c>
      <c r="R561" s="159">
        <f t="shared" si="161"/>
        <v>53.391024596791674</v>
      </c>
      <c r="S561" s="155">
        <f>_xlfn.XLOOKUP(P561,'Annual Real'!A:A,'Annual Real'!B:B,0,0)</f>
        <v>60.876160060699704</v>
      </c>
      <c r="T561" s="155">
        <f t="shared" ca="1" si="162"/>
        <v>1.5190883755634876</v>
      </c>
      <c r="U561" s="152">
        <f t="shared" ca="1" si="163"/>
        <v>1.5190883755634876</v>
      </c>
      <c r="V561" s="152">
        <f t="shared" ca="1" si="169"/>
        <v>-2.4692114674638655E-2</v>
      </c>
      <c r="W561" s="152">
        <f t="shared" ca="1" si="170"/>
        <v>-3.9967329917189362E-2</v>
      </c>
      <c r="X561" s="154">
        <f>LOOKUP(D561,'US Implicit Deflator'!A:A,'US Implicit Deflator'!B:B)/100</f>
        <v>0.03</v>
      </c>
      <c r="Y561" s="154">
        <f t="shared" si="164"/>
        <v>2.4662697723036864E-3</v>
      </c>
      <c r="Z561" s="165">
        <f t="shared" ca="1" si="165"/>
        <v>4.4953231381136272</v>
      </c>
      <c r="AA561" s="152">
        <f t="shared" si="166"/>
        <v>7</v>
      </c>
      <c r="AB561" s="153">
        <f t="shared" si="167"/>
        <v>38384</v>
      </c>
      <c r="AC561" s="155">
        <f t="shared" ca="1" si="168"/>
        <v>1.5190883755634876</v>
      </c>
    </row>
    <row r="562" spans="3:29">
      <c r="C562" s="152" t="str">
        <f>'Monthly Prices'!A550</f>
        <v>2005M03</v>
      </c>
      <c r="D562" s="153">
        <f t="shared" si="157"/>
        <v>38412</v>
      </c>
      <c r="E562" s="152">
        <f t="shared" si="158"/>
        <v>543</v>
      </c>
      <c r="F562" s="152" t="b">
        <f t="shared" si="152"/>
        <v>1</v>
      </c>
      <c r="G562" s="152" t="b">
        <f t="shared" si="153"/>
        <v>1</v>
      </c>
      <c r="H562" s="152" t="b">
        <f t="shared" si="154"/>
        <v>1</v>
      </c>
      <c r="I562" s="153">
        <f t="shared" si="155"/>
        <v>38412</v>
      </c>
      <c r="J562" s="158">
        <f>INDEX('Monthly Prices'!B550:CB550,$G$4)</f>
        <v>99.876615999999999</v>
      </c>
      <c r="K562" s="158">
        <f ca="1">IF(H562,INDEX('Monthly Prices'!B550:CB550,$G$4)*U562,FALSE)</f>
        <v>151.34814101094858</v>
      </c>
      <c r="L562" s="152" t="b">
        <f t="shared" si="159"/>
        <v>1</v>
      </c>
      <c r="M562" s="158">
        <f>INDEX('Monthly Prices'!B550:CB550,$G$5)</f>
        <v>94.168641980000004</v>
      </c>
      <c r="N562" s="158">
        <f ca="1">IF(H562,INDEX('Monthly Prices'!B550:CB550,$G$5)*U562,FALSE)</f>
        <v>142.6985562386152</v>
      </c>
      <c r="O562" s="152" t="b">
        <f t="shared" si="156"/>
        <v>1</v>
      </c>
      <c r="P562" s="152">
        <f t="shared" si="160"/>
        <v>2005</v>
      </c>
      <c r="Q562" s="159">
        <f>'Monthly Prices'!B550</f>
        <v>50.942878787879998</v>
      </c>
      <c r="R562" s="159">
        <f t="shared" si="161"/>
        <v>53.391024596791674</v>
      </c>
      <c r="S562" s="155">
        <f>_xlfn.XLOOKUP(P562,'Annual Real'!A:A,'Annual Real'!B:B,0,0)</f>
        <v>60.876160060699704</v>
      </c>
      <c r="T562" s="155">
        <f t="shared" ca="1" si="162"/>
        <v>1.5153511109241886</v>
      </c>
      <c r="U562" s="152">
        <f t="shared" ca="1" si="163"/>
        <v>1.5153511109241886</v>
      </c>
      <c r="V562" s="152">
        <f t="shared" ca="1" si="169"/>
        <v>5.6702805324690568E-2</v>
      </c>
      <c r="W562" s="152">
        <f t="shared" ca="1" si="170"/>
        <v>7.2407552698283806E-2</v>
      </c>
      <c r="X562" s="154">
        <f>LOOKUP(D562,'US Implicit Deflator'!A:A,'US Implicit Deflator'!B:B)/100</f>
        <v>0.03</v>
      </c>
      <c r="Y562" s="154">
        <f t="shared" si="164"/>
        <v>2.4662697723036864E-3</v>
      </c>
      <c r="Z562" s="165">
        <f t="shared" ca="1" si="165"/>
        <v>4.5064098176858938</v>
      </c>
      <c r="AA562" s="152">
        <f t="shared" si="166"/>
        <v>7</v>
      </c>
      <c r="AB562" s="153">
        <f t="shared" si="167"/>
        <v>38412</v>
      </c>
      <c r="AC562" s="155">
        <f t="shared" ca="1" si="168"/>
        <v>1.5153511109241886</v>
      </c>
    </row>
    <row r="563" spans="3:29">
      <c r="C563" s="152" t="str">
        <f>'Monthly Prices'!A551</f>
        <v>2005M04</v>
      </c>
      <c r="D563" s="153">
        <f t="shared" si="157"/>
        <v>38443</v>
      </c>
      <c r="E563" s="152">
        <f t="shared" si="158"/>
        <v>544</v>
      </c>
      <c r="F563" s="152" t="b">
        <f t="shared" si="152"/>
        <v>1</v>
      </c>
      <c r="G563" s="152" t="b">
        <f t="shared" si="153"/>
        <v>1</v>
      </c>
      <c r="H563" s="152" t="b">
        <f t="shared" si="154"/>
        <v>1</v>
      </c>
      <c r="I563" s="153">
        <f t="shared" si="155"/>
        <v>38443</v>
      </c>
      <c r="J563" s="158">
        <f>INDEX('Monthly Prices'!B551:CB551,$G$4)</f>
        <v>96.279364999999999</v>
      </c>
      <c r="K563" s="158">
        <f ca="1">IF(H563,INDEX('Monthly Prices'!B551:CB551,$G$4)*U563,FALSE)</f>
        <v>145.50283731434718</v>
      </c>
      <c r="L563" s="152" t="b">
        <f t="shared" si="159"/>
        <v>1</v>
      </c>
      <c r="M563" s="158">
        <f>INDEX('Monthly Prices'!B551:CB551,$G$5)</f>
        <v>93.327237550000007</v>
      </c>
      <c r="N563" s="158">
        <f ca="1">IF(H563,INDEX('Monthly Prices'!B551:CB551,$G$5)*U563,FALSE)</f>
        <v>141.04141486844128</v>
      </c>
      <c r="O563" s="152" t="b">
        <f t="shared" si="156"/>
        <v>1</v>
      </c>
      <c r="P563" s="152">
        <f t="shared" si="160"/>
        <v>2005</v>
      </c>
      <c r="Q563" s="159">
        <f>'Monthly Prices'!B551</f>
        <v>50.640476190480001</v>
      </c>
      <c r="R563" s="159">
        <f t="shared" si="161"/>
        <v>53.391024596791674</v>
      </c>
      <c r="S563" s="155">
        <f>_xlfn.XLOOKUP(P563,'Annual Real'!A:A,'Annual Real'!B:B,0,0)</f>
        <v>60.876160060699704</v>
      </c>
      <c r="T563" s="155">
        <f t="shared" ca="1" si="162"/>
        <v>1.5112567195924815</v>
      </c>
      <c r="U563" s="152">
        <f t="shared" ca="1" si="163"/>
        <v>1.5112567195924815</v>
      </c>
      <c r="V563" s="152">
        <f t="shared" ca="1" si="169"/>
        <v>-3.9387165812730107E-2</v>
      </c>
      <c r="W563" s="152">
        <f t="shared" ca="1" si="170"/>
        <v>-1.1680837251327618E-2</v>
      </c>
      <c r="X563" s="154">
        <f>LOOKUP(D563,'US Implicit Deflator'!A:A,'US Implicit Deflator'!B:B)/100</f>
        <v>3.3000000000000002E-2</v>
      </c>
      <c r="Y563" s="154">
        <f t="shared" si="164"/>
        <v>2.7092626147666721E-3</v>
      </c>
      <c r="Z563" s="165">
        <f t="shared" ca="1" si="165"/>
        <v>4.518618865331768</v>
      </c>
      <c r="AA563" s="152">
        <f t="shared" si="166"/>
        <v>7</v>
      </c>
      <c r="AB563" s="153">
        <f t="shared" si="167"/>
        <v>38443</v>
      </c>
      <c r="AC563" s="155">
        <f t="shared" ca="1" si="168"/>
        <v>1.5112567195924815</v>
      </c>
    </row>
    <row r="564" spans="3:29">
      <c r="C564" s="152" t="str">
        <f>'Monthly Prices'!A552</f>
        <v>2005M05</v>
      </c>
      <c r="D564" s="153">
        <f t="shared" si="157"/>
        <v>38473</v>
      </c>
      <c r="E564" s="152">
        <f t="shared" si="158"/>
        <v>545</v>
      </c>
      <c r="F564" s="152" t="b">
        <f t="shared" si="152"/>
        <v>1</v>
      </c>
      <c r="G564" s="152" t="b">
        <f t="shared" si="153"/>
        <v>1</v>
      </c>
      <c r="H564" s="152" t="b">
        <f t="shared" si="154"/>
        <v>1</v>
      </c>
      <c r="I564" s="153">
        <f t="shared" si="155"/>
        <v>38473</v>
      </c>
      <c r="J564" s="158">
        <f>INDEX('Monthly Prices'!B552:CB552,$G$4)</f>
        <v>95.418189999999996</v>
      </c>
      <c r="K564" s="158">
        <f ca="1">IF(H564,INDEX('Monthly Prices'!B552:CB552,$G$4)*U564,FALSE)</f>
        <v>143.8117569920696</v>
      </c>
      <c r="L564" s="152" t="b">
        <f t="shared" si="159"/>
        <v>1</v>
      </c>
      <c r="M564" s="158">
        <f>INDEX('Monthly Prices'!B552:CB552,$G$5)</f>
        <v>88.894833449999993</v>
      </c>
      <c r="N564" s="158">
        <f ca="1">IF(H564,INDEX('Monthly Prices'!B552:CB552,$G$5)*U564,FALSE)</f>
        <v>133.97992757944687</v>
      </c>
      <c r="O564" s="152" t="b">
        <f t="shared" si="156"/>
        <v>1</v>
      </c>
      <c r="P564" s="152">
        <f t="shared" si="160"/>
        <v>2005</v>
      </c>
      <c r="Q564" s="159">
        <f>'Monthly Prices'!B552</f>
        <v>47.826572871570001</v>
      </c>
      <c r="R564" s="159">
        <f t="shared" si="161"/>
        <v>53.391024596791674</v>
      </c>
      <c r="S564" s="155">
        <f>_xlfn.XLOOKUP(P564,'Annual Real'!A:A,'Annual Real'!B:B,0,0)</f>
        <v>60.876160060699704</v>
      </c>
      <c r="T564" s="155">
        <f t="shared" ca="1" si="162"/>
        <v>1.5071733910700844</v>
      </c>
      <c r="U564" s="152">
        <f t="shared" ca="1" si="163"/>
        <v>1.5071733910700844</v>
      </c>
      <c r="V564" s="152">
        <f t="shared" ca="1" si="169"/>
        <v>-1.1690385585940341E-2</v>
      </c>
      <c r="W564" s="152">
        <f t="shared" ca="1" si="170"/>
        <v>-5.1363575173973039E-2</v>
      </c>
      <c r="X564" s="154">
        <f>LOOKUP(D564,'US Implicit Deflator'!A:A,'US Implicit Deflator'!B:B)/100</f>
        <v>3.3000000000000002E-2</v>
      </c>
      <c r="Y564" s="154">
        <f t="shared" si="164"/>
        <v>2.7092626147666721E-3</v>
      </c>
      <c r="Z564" s="165">
        <f t="shared" ca="1" si="165"/>
        <v>4.5308609904939905</v>
      </c>
      <c r="AA564" s="152">
        <f t="shared" si="166"/>
        <v>7</v>
      </c>
      <c r="AB564" s="153">
        <f t="shared" si="167"/>
        <v>38473</v>
      </c>
      <c r="AC564" s="155">
        <f t="shared" ca="1" si="168"/>
        <v>1.5071733910700844</v>
      </c>
    </row>
    <row r="565" spans="3:29">
      <c r="C565" s="152" t="str">
        <f>'Monthly Prices'!A553</f>
        <v>2005M06</v>
      </c>
      <c r="D565" s="153">
        <f t="shared" si="157"/>
        <v>38504</v>
      </c>
      <c r="E565" s="152">
        <f t="shared" si="158"/>
        <v>546</v>
      </c>
      <c r="F565" s="152" t="b">
        <f t="shared" si="152"/>
        <v>1</v>
      </c>
      <c r="G565" s="152" t="b">
        <f t="shared" si="153"/>
        <v>1</v>
      </c>
      <c r="H565" s="152" t="b">
        <f t="shared" si="154"/>
        <v>1</v>
      </c>
      <c r="I565" s="153">
        <f t="shared" si="155"/>
        <v>38504</v>
      </c>
      <c r="J565" s="158">
        <f>INDEX('Monthly Prices'!B553:CB553,$G$4)</f>
        <v>97.101172000000005</v>
      </c>
      <c r="K565" s="158">
        <f ca="1">IF(H565,INDEX('Monthly Prices'!B553:CB553,$G$4)*U565,FALSE)</f>
        <v>145.95287800422511</v>
      </c>
      <c r="L565" s="152" t="b">
        <f t="shared" si="159"/>
        <v>1</v>
      </c>
      <c r="M565" s="158">
        <f>INDEX('Monthly Prices'!B553:CB553,$G$5)</f>
        <v>93.443528150000006</v>
      </c>
      <c r="N565" s="158">
        <f ca="1">IF(H565,INDEX('Monthly Prices'!B553:CB553,$G$5)*U565,FALSE)</f>
        <v>140.45506952646591</v>
      </c>
      <c r="O565" s="152" t="b">
        <f t="shared" si="156"/>
        <v>1</v>
      </c>
      <c r="P565" s="152">
        <f t="shared" si="160"/>
        <v>2005</v>
      </c>
      <c r="Q565" s="159">
        <f>'Monthly Prices'!B553</f>
        <v>53.890303030299997</v>
      </c>
      <c r="R565" s="159">
        <f t="shared" si="161"/>
        <v>53.391024596791674</v>
      </c>
      <c r="S565" s="155">
        <f>_xlfn.XLOOKUP(P565,'Annual Real'!A:A,'Annual Real'!B:B,0,0)</f>
        <v>60.876160060699704</v>
      </c>
      <c r="T565" s="155">
        <f t="shared" ca="1" si="162"/>
        <v>1.5031010954659239</v>
      </c>
      <c r="U565" s="152">
        <f t="shared" ca="1" si="163"/>
        <v>1.5031010954659239</v>
      </c>
      <c r="V565" s="152">
        <f t="shared" ca="1" si="169"/>
        <v>1.477861493880662E-2</v>
      </c>
      <c r="W565" s="152">
        <f t="shared" ca="1" si="170"/>
        <v>4.7197653235495962E-2</v>
      </c>
      <c r="X565" s="154">
        <f>LOOKUP(D565,'US Implicit Deflator'!A:A,'US Implicit Deflator'!B:B)/100</f>
        <v>3.3000000000000002E-2</v>
      </c>
      <c r="Y565" s="154">
        <f t="shared" si="164"/>
        <v>2.7092626147666721E-3</v>
      </c>
      <c r="Z565" s="165">
        <f t="shared" ca="1" si="165"/>
        <v>4.5431362827882404</v>
      </c>
      <c r="AA565" s="152">
        <f t="shared" si="166"/>
        <v>7</v>
      </c>
      <c r="AB565" s="153">
        <f t="shared" si="167"/>
        <v>38504</v>
      </c>
      <c r="AC565" s="155">
        <f t="shared" ca="1" si="168"/>
        <v>1.5031010954659239</v>
      </c>
    </row>
    <row r="566" spans="3:29">
      <c r="C566" s="152" t="str">
        <f>'Monthly Prices'!A554</f>
        <v>2005M07</v>
      </c>
      <c r="D566" s="153">
        <f t="shared" si="157"/>
        <v>38534</v>
      </c>
      <c r="E566" s="152">
        <f t="shared" si="158"/>
        <v>547</v>
      </c>
      <c r="F566" s="152" t="b">
        <f t="shared" si="152"/>
        <v>1</v>
      </c>
      <c r="G566" s="152" t="b">
        <f t="shared" si="153"/>
        <v>1</v>
      </c>
      <c r="H566" s="152" t="b">
        <f t="shared" si="154"/>
        <v>1</v>
      </c>
      <c r="I566" s="153">
        <f t="shared" si="155"/>
        <v>38534</v>
      </c>
      <c r="J566" s="158">
        <f>INDEX('Monthly Prices'!B554:CB554,$G$4)</f>
        <v>107.52385</v>
      </c>
      <c r="K566" s="158">
        <f ca="1">IF(H566,INDEX('Monthly Prices'!B554:CB554,$G$4)*U566,FALSE)</f>
        <v>161.14358380169369</v>
      </c>
      <c r="L566" s="152" t="b">
        <f t="shared" si="159"/>
        <v>1</v>
      </c>
      <c r="M566" s="158">
        <f>INDEX('Monthly Prices'!B554:CB554,$G$5)</f>
        <v>96.805338689999999</v>
      </c>
      <c r="N566" s="158">
        <f ca="1">IF(H566,INDEX('Monthly Prices'!B554:CB554,$G$5)*U566,FALSE)</f>
        <v>145.07999116143401</v>
      </c>
      <c r="O566" s="152" t="b">
        <f t="shared" si="156"/>
        <v>1</v>
      </c>
      <c r="P566" s="152">
        <f t="shared" si="160"/>
        <v>2005</v>
      </c>
      <c r="Q566" s="159">
        <f>'Monthly Prices'!B554</f>
        <v>56.36580952381</v>
      </c>
      <c r="R566" s="159">
        <f t="shared" si="161"/>
        <v>53.391024596791674</v>
      </c>
      <c r="S566" s="155">
        <f>_xlfn.XLOOKUP(P566,'Annual Real'!A:A,'Annual Real'!B:B,0,0)</f>
        <v>60.876160060699704</v>
      </c>
      <c r="T566" s="155">
        <f t="shared" ca="1" si="162"/>
        <v>1.4986775845702482</v>
      </c>
      <c r="U566" s="152">
        <f t="shared" ca="1" si="163"/>
        <v>1.4986775845702482</v>
      </c>
      <c r="V566" s="152">
        <f t="shared" ca="1" si="169"/>
        <v>9.9011976183666126E-2</v>
      </c>
      <c r="W566" s="152">
        <f t="shared" ca="1" si="170"/>
        <v>3.2397605709778635E-2</v>
      </c>
      <c r="X566" s="154">
        <f>LOOKUP(D566,'US Implicit Deflator'!A:A,'US Implicit Deflator'!B:B)/100</f>
        <v>3.6000000000000004E-2</v>
      </c>
      <c r="Y566" s="154">
        <f t="shared" si="164"/>
        <v>2.9516094330215292E-3</v>
      </c>
      <c r="Z566" s="165">
        <f t="shared" ca="1" si="165"/>
        <v>4.5565458466960207</v>
      </c>
      <c r="AA566" s="152">
        <f t="shared" si="166"/>
        <v>7</v>
      </c>
      <c r="AB566" s="153">
        <f t="shared" si="167"/>
        <v>38534</v>
      </c>
      <c r="AC566" s="155">
        <f t="shared" ca="1" si="168"/>
        <v>1.4986775845702482</v>
      </c>
    </row>
    <row r="567" spans="3:29">
      <c r="C567" s="152" t="str">
        <f>'Monthly Prices'!A555</f>
        <v>2005M08</v>
      </c>
      <c r="D567" s="153">
        <f t="shared" si="157"/>
        <v>38565</v>
      </c>
      <c r="E567" s="152">
        <f t="shared" si="158"/>
        <v>548</v>
      </c>
      <c r="F567" s="152" t="b">
        <f t="shared" si="152"/>
        <v>1</v>
      </c>
      <c r="G567" s="152" t="b">
        <f t="shared" si="153"/>
        <v>1</v>
      </c>
      <c r="H567" s="152" t="b">
        <f t="shared" si="154"/>
        <v>1</v>
      </c>
      <c r="I567" s="153">
        <f t="shared" si="155"/>
        <v>38565</v>
      </c>
      <c r="J567" s="158">
        <f>INDEX('Monthly Prices'!B555:CB555,$G$4)</f>
        <v>101.66786</v>
      </c>
      <c r="K567" s="158">
        <f ca="1">IF(H567,INDEX('Monthly Prices'!B555:CB555,$G$4)*U567,FALSE)</f>
        <v>151.91893748429291</v>
      </c>
      <c r="L567" s="152" t="b">
        <f t="shared" si="159"/>
        <v>1</v>
      </c>
      <c r="M567" s="158">
        <f>INDEX('Monthly Prices'!B555:CB555,$G$5)</f>
        <v>98.003967880000005</v>
      </c>
      <c r="N567" s="158">
        <f ca="1">IF(H567,INDEX('Monthly Prices'!B555:CB555,$G$5)*U567,FALSE)</f>
        <v>146.44410406173958</v>
      </c>
      <c r="O567" s="152" t="b">
        <f t="shared" si="156"/>
        <v>1</v>
      </c>
      <c r="P567" s="152">
        <f t="shared" si="160"/>
        <v>2005</v>
      </c>
      <c r="Q567" s="159">
        <f>'Monthly Prices'!B555</f>
        <v>61.890520421609999</v>
      </c>
      <c r="R567" s="159">
        <f t="shared" si="161"/>
        <v>53.391024596791674</v>
      </c>
      <c r="S567" s="155">
        <f>_xlfn.XLOOKUP(P567,'Annual Real'!A:A,'Annual Real'!B:B,0,0)</f>
        <v>60.876160060699704</v>
      </c>
      <c r="T567" s="155">
        <f t="shared" ca="1" si="162"/>
        <v>1.4942670917268535</v>
      </c>
      <c r="U567" s="152">
        <f t="shared" ca="1" si="163"/>
        <v>1.4942670917268535</v>
      </c>
      <c r="V567" s="152">
        <f t="shared" ca="1" si="169"/>
        <v>-5.8948719836547758E-2</v>
      </c>
      <c r="W567" s="152">
        <f t="shared" ca="1" si="170"/>
        <v>9.3585599179918481E-3</v>
      </c>
      <c r="X567" s="154">
        <f>LOOKUP(D567,'US Implicit Deflator'!A:A,'US Implicit Deflator'!B:B)/100</f>
        <v>3.6000000000000004E-2</v>
      </c>
      <c r="Y567" s="154">
        <f t="shared" si="164"/>
        <v>2.9516094330215292E-3</v>
      </c>
      <c r="Z567" s="165">
        <f t="shared" ca="1" si="165"/>
        <v>4.5699949903991239</v>
      </c>
      <c r="AA567" s="152">
        <f t="shared" si="166"/>
        <v>7</v>
      </c>
      <c r="AB567" s="153">
        <f t="shared" si="167"/>
        <v>38565</v>
      </c>
      <c r="AC567" s="155">
        <f t="shared" ca="1" si="168"/>
        <v>1.4942670917268535</v>
      </c>
    </row>
    <row r="568" spans="3:29">
      <c r="C568" s="152" t="str">
        <f>'Monthly Prices'!A556</f>
        <v>2005M09</v>
      </c>
      <c r="D568" s="153">
        <f t="shared" si="157"/>
        <v>38596</v>
      </c>
      <c r="E568" s="152">
        <f t="shared" si="158"/>
        <v>549</v>
      </c>
      <c r="F568" s="152" t="b">
        <f t="shared" si="152"/>
        <v>1</v>
      </c>
      <c r="G568" s="152" t="b">
        <f t="shared" si="153"/>
        <v>1</v>
      </c>
      <c r="H568" s="152" t="b">
        <f t="shared" si="154"/>
        <v>1</v>
      </c>
      <c r="I568" s="153">
        <f t="shared" si="155"/>
        <v>38596</v>
      </c>
      <c r="J568" s="158">
        <f>INDEX('Monthly Prices'!B556:CB556,$G$4)</f>
        <v>96.353179999999995</v>
      </c>
      <c r="K568" s="158">
        <f ca="1">IF(H568,INDEX('Monthly Prices'!B556:CB556,$G$4)*U568,FALSE)</f>
        <v>143.55367168574151</v>
      </c>
      <c r="L568" s="152" t="b">
        <f t="shared" si="159"/>
        <v>1</v>
      </c>
      <c r="M568" s="158">
        <f>INDEX('Monthly Prices'!B556:CB556,$G$5)</f>
        <v>97.892251470000005</v>
      </c>
      <c r="N568" s="158">
        <f ca="1">IF(H568,INDEX('Monthly Prices'!B556:CB556,$G$5)*U568,FALSE)</f>
        <v>145.84668744822358</v>
      </c>
      <c r="O568" s="152" t="b">
        <f t="shared" si="156"/>
        <v>1</v>
      </c>
      <c r="P568" s="152">
        <f t="shared" si="160"/>
        <v>2005</v>
      </c>
      <c r="Q568" s="159">
        <f>'Monthly Prices'!B556</f>
        <v>61.687698412700001</v>
      </c>
      <c r="R568" s="159">
        <f t="shared" si="161"/>
        <v>53.391024596791674</v>
      </c>
      <c r="S568" s="155">
        <f>_xlfn.XLOOKUP(P568,'Annual Real'!A:A,'Annual Real'!B:B,0,0)</f>
        <v>60.876160060699704</v>
      </c>
      <c r="T568" s="155">
        <f t="shared" ca="1" si="162"/>
        <v>1.4898695786246132</v>
      </c>
      <c r="U568" s="152">
        <f t="shared" ca="1" si="163"/>
        <v>1.4898695786246132</v>
      </c>
      <c r="V568" s="152">
        <f t="shared" ca="1" si="169"/>
        <v>-5.6638088575569297E-2</v>
      </c>
      <c r="W568" s="152">
        <f t="shared" ca="1" si="170"/>
        <v>-4.0878293999585136E-3</v>
      </c>
      <c r="X568" s="154">
        <f>LOOKUP(D568,'US Implicit Deflator'!A:A,'US Implicit Deflator'!B:B)/100</f>
        <v>3.6000000000000004E-2</v>
      </c>
      <c r="Y568" s="154">
        <f t="shared" si="164"/>
        <v>2.9516094330215292E-3</v>
      </c>
      <c r="Z568" s="165">
        <f t="shared" ca="1" si="165"/>
        <v>4.5834838307216472</v>
      </c>
      <c r="AA568" s="152">
        <f t="shared" si="166"/>
        <v>7</v>
      </c>
      <c r="AB568" s="153">
        <f t="shared" si="167"/>
        <v>38596</v>
      </c>
      <c r="AC568" s="155">
        <f t="shared" ca="1" si="168"/>
        <v>1.4898695786246132</v>
      </c>
    </row>
    <row r="569" spans="3:29">
      <c r="C569" s="152" t="str">
        <f>'Monthly Prices'!A557</f>
        <v>2005M10</v>
      </c>
      <c r="D569" s="153">
        <f t="shared" si="157"/>
        <v>38626</v>
      </c>
      <c r="E569" s="152">
        <f t="shared" si="158"/>
        <v>550</v>
      </c>
      <c r="F569" s="152" t="b">
        <f t="shared" si="152"/>
        <v>1</v>
      </c>
      <c r="G569" s="152" t="b">
        <f t="shared" si="153"/>
        <v>1</v>
      </c>
      <c r="H569" s="152" t="b">
        <f t="shared" si="154"/>
        <v>1</v>
      </c>
      <c r="I569" s="153">
        <f t="shared" si="155"/>
        <v>38626</v>
      </c>
      <c r="J569" s="158">
        <f>INDEX('Monthly Prices'!B557:CB557,$G$4)</f>
        <v>101.938515</v>
      </c>
      <c r="K569" s="158">
        <f ca="1">IF(H569,INDEX('Monthly Prices'!B557:CB557,$G$4)*U569,FALSE)</f>
        <v>151.42813567498567</v>
      </c>
      <c r="L569" s="152" t="b">
        <f t="shared" si="159"/>
        <v>1</v>
      </c>
      <c r="M569" s="158">
        <f>INDEX('Monthly Prices'!B557:CB557,$G$5)</f>
        <v>98.525588330000005</v>
      </c>
      <c r="N569" s="158">
        <f ca="1">IF(H569,INDEX('Monthly Prices'!B557:CB557,$G$5)*U569,FALSE)</f>
        <v>146.35828427648789</v>
      </c>
      <c r="O569" s="152" t="b">
        <f t="shared" si="156"/>
        <v>1</v>
      </c>
      <c r="P569" s="152">
        <f t="shared" si="160"/>
        <v>2005</v>
      </c>
      <c r="Q569" s="159">
        <f>'Monthly Prices'!B557</f>
        <v>58.18507936508</v>
      </c>
      <c r="R569" s="159">
        <f t="shared" si="161"/>
        <v>53.391024596791674</v>
      </c>
      <c r="S569" s="155">
        <f>_xlfn.XLOOKUP(P569,'Annual Real'!A:A,'Annual Real'!B:B,0,0)</f>
        <v>60.876160060699704</v>
      </c>
      <c r="T569" s="155">
        <f t="shared" ca="1" si="162"/>
        <v>1.4854850070651477</v>
      </c>
      <c r="U569" s="152">
        <f t="shared" ca="1" si="163"/>
        <v>1.4854850070651477</v>
      </c>
      <c r="V569" s="152">
        <f t="shared" ca="1" si="169"/>
        <v>5.3402176440559848E-2</v>
      </c>
      <c r="W569" s="152">
        <f t="shared" ca="1" si="170"/>
        <v>3.5016334457776102E-3</v>
      </c>
      <c r="X569" s="154">
        <f>LOOKUP(D569,'US Implicit Deflator'!A:A,'US Implicit Deflator'!B:B)/100</f>
        <v>3.6000000000000004E-2</v>
      </c>
      <c r="Y569" s="154">
        <f t="shared" si="164"/>
        <v>2.9516094330215292E-3</v>
      </c>
      <c r="Z569" s="165">
        <f t="shared" ca="1" si="165"/>
        <v>4.5970124848325069</v>
      </c>
      <c r="AA569" s="152">
        <f t="shared" si="166"/>
        <v>7</v>
      </c>
      <c r="AB569" s="153">
        <f t="shared" si="167"/>
        <v>38626</v>
      </c>
      <c r="AC569" s="155">
        <f t="shared" ca="1" si="168"/>
        <v>1.4854850070651477</v>
      </c>
    </row>
    <row r="570" spans="3:29">
      <c r="C570" s="152" t="str">
        <f>'Monthly Prices'!A558</f>
        <v>2005M11</v>
      </c>
      <c r="D570" s="153">
        <f t="shared" si="157"/>
        <v>38657</v>
      </c>
      <c r="E570" s="152">
        <f t="shared" si="158"/>
        <v>551</v>
      </c>
      <c r="F570" s="152" t="b">
        <f t="shared" si="152"/>
        <v>1</v>
      </c>
      <c r="G570" s="152" t="b">
        <f t="shared" si="153"/>
        <v>1</v>
      </c>
      <c r="H570" s="152" t="b">
        <f t="shared" si="154"/>
        <v>1</v>
      </c>
      <c r="I570" s="153">
        <f t="shared" si="155"/>
        <v>38657</v>
      </c>
      <c r="J570" s="158">
        <f>INDEX('Monthly Prices'!B558:CB558,$G$4)</f>
        <v>95.368979999999993</v>
      </c>
      <c r="K570" s="158">
        <f ca="1">IF(H570,INDEX('Monthly Prices'!B558:CB558,$G$4)*U570,FALSE)</f>
        <v>141.25226840124711</v>
      </c>
      <c r="L570" s="152" t="b">
        <f t="shared" si="159"/>
        <v>1</v>
      </c>
      <c r="M570" s="158">
        <f>INDEX('Monthly Prices'!B558:CB558,$G$5)</f>
        <v>98.759818109999998</v>
      </c>
      <c r="N570" s="158">
        <f ca="1">IF(H570,INDEX('Monthly Prices'!B558:CB558,$G$5)*U570,FALSE)</f>
        <v>146.27448395623048</v>
      </c>
      <c r="O570" s="152" t="b">
        <f t="shared" si="156"/>
        <v>1</v>
      </c>
      <c r="P570" s="152">
        <f t="shared" si="160"/>
        <v>2005</v>
      </c>
      <c r="Q570" s="159">
        <f>'Monthly Prices'!B558</f>
        <v>55.042825396829997</v>
      </c>
      <c r="R570" s="159">
        <f t="shared" si="161"/>
        <v>53.391024596791674</v>
      </c>
      <c r="S570" s="155">
        <f>_xlfn.XLOOKUP(P570,'Annual Real'!A:A,'Annual Real'!B:B,0,0)</f>
        <v>60.876160060699704</v>
      </c>
      <c r="T570" s="155">
        <f t="shared" ca="1" si="162"/>
        <v>1.481113338962492</v>
      </c>
      <c r="U570" s="152">
        <f t="shared" ca="1" si="163"/>
        <v>1.481113338962492</v>
      </c>
      <c r="V570" s="152">
        <f t="shared" ca="1" si="169"/>
        <v>-6.956373105318614E-2</v>
      </c>
      <c r="W570" s="152">
        <f t="shared" ca="1" si="170"/>
        <v>-5.7273368976556624E-4</v>
      </c>
      <c r="X570" s="154">
        <f>LOOKUP(D570,'US Implicit Deflator'!A:A,'US Implicit Deflator'!B:B)/100</f>
        <v>3.6000000000000004E-2</v>
      </c>
      <c r="Y570" s="154">
        <f t="shared" si="164"/>
        <v>2.9516094330215292E-3</v>
      </c>
      <c r="Z570" s="165">
        <f t="shared" ca="1" si="165"/>
        <v>4.6105810702464565</v>
      </c>
      <c r="AA570" s="152">
        <f t="shared" si="166"/>
        <v>7</v>
      </c>
      <c r="AB570" s="153">
        <f t="shared" si="167"/>
        <v>38657</v>
      </c>
      <c r="AC570" s="155">
        <f t="shared" ca="1" si="168"/>
        <v>1.481113338962492</v>
      </c>
    </row>
    <row r="571" spans="3:29">
      <c r="C571" s="152" t="str">
        <f>'Monthly Prices'!A559</f>
        <v>2005M12</v>
      </c>
      <c r="D571" s="153">
        <f t="shared" si="157"/>
        <v>38687</v>
      </c>
      <c r="E571" s="152">
        <f t="shared" si="158"/>
        <v>552</v>
      </c>
      <c r="F571" s="152" t="b">
        <f t="shared" si="152"/>
        <v>1</v>
      </c>
      <c r="G571" s="152" t="b">
        <f t="shared" si="153"/>
        <v>1</v>
      </c>
      <c r="H571" s="152" t="b">
        <f t="shared" si="154"/>
        <v>1</v>
      </c>
      <c r="I571" s="153">
        <f t="shared" si="155"/>
        <v>38687</v>
      </c>
      <c r="J571" s="158">
        <f>INDEX('Monthly Prices'!B559:CB559,$G$4)</f>
        <v>102.140276</v>
      </c>
      <c r="K571" s="158">
        <f ca="1">IF(H571,INDEX('Monthly Prices'!B559:CB559,$G$4)*U571,FALSE)</f>
        <v>150.83611592630209</v>
      </c>
      <c r="L571" s="152" t="b">
        <f t="shared" si="159"/>
        <v>1</v>
      </c>
      <c r="M571" s="158">
        <f>INDEX('Monthly Prices'!B559:CB559,$G$5)</f>
        <v>103.0139082</v>
      </c>
      <c r="N571" s="158">
        <f ca="1">IF(H571,INDEX('Monthly Prices'!B559:CB559,$G$5)*U571,FALSE)</f>
        <v>152.12625624074721</v>
      </c>
      <c r="O571" s="152" t="b">
        <f t="shared" si="156"/>
        <v>1</v>
      </c>
      <c r="P571" s="152">
        <f t="shared" si="160"/>
        <v>2005</v>
      </c>
      <c r="Q571" s="159">
        <f>'Monthly Prices'!B559</f>
        <v>56.429642857140003</v>
      </c>
      <c r="R571" s="159">
        <f t="shared" si="161"/>
        <v>53.391024596791674</v>
      </c>
      <c r="S571" s="155">
        <f>_xlfn.XLOOKUP(P571,'Annual Real'!A:A,'Annual Real'!B:B,0,0)</f>
        <v>60.876160060699704</v>
      </c>
      <c r="T571" s="155">
        <f t="shared" ca="1" si="162"/>
        <v>1.4767545363427654</v>
      </c>
      <c r="U571" s="152">
        <f t="shared" ca="1" si="163"/>
        <v>1.4767545363427654</v>
      </c>
      <c r="V571" s="152">
        <f t="shared" ca="1" si="169"/>
        <v>6.5646493056432081E-2</v>
      </c>
      <c r="W571" s="152">
        <f t="shared" ca="1" si="170"/>
        <v>3.9225925457544886E-2</v>
      </c>
      <c r="X571" s="154">
        <f>LOOKUP(D571,'US Implicit Deflator'!A:A,'US Implicit Deflator'!B:B)/100</f>
        <v>3.6000000000000004E-2</v>
      </c>
      <c r="Y571" s="154">
        <f t="shared" si="164"/>
        <v>2.9516094330215292E-3</v>
      </c>
      <c r="Z571" s="165">
        <f t="shared" ca="1" si="165"/>
        <v>4.6241897048251062</v>
      </c>
      <c r="AA571" s="152">
        <f t="shared" si="166"/>
        <v>7</v>
      </c>
      <c r="AB571" s="153">
        <f t="shared" si="167"/>
        <v>38687</v>
      </c>
      <c r="AC571" s="155">
        <f t="shared" ca="1" si="168"/>
        <v>1.4767545363427654</v>
      </c>
    </row>
    <row r="572" spans="3:29">
      <c r="C572" s="152" t="str">
        <f>'Monthly Prices'!A560</f>
        <v>2006M01</v>
      </c>
      <c r="D572" s="153">
        <f t="shared" si="157"/>
        <v>38718</v>
      </c>
      <c r="E572" s="152">
        <f t="shared" si="158"/>
        <v>553</v>
      </c>
      <c r="F572" s="152" t="b">
        <f t="shared" si="152"/>
        <v>1</v>
      </c>
      <c r="G572" s="152" t="b">
        <f t="shared" si="153"/>
        <v>1</v>
      </c>
      <c r="H572" s="152" t="b">
        <f t="shared" si="154"/>
        <v>1</v>
      </c>
      <c r="I572" s="153">
        <f t="shared" si="155"/>
        <v>38718</v>
      </c>
      <c r="J572" s="158">
        <f>INDEX('Monthly Prices'!B560:CB560,$G$4)</f>
        <v>102.65206000000001</v>
      </c>
      <c r="K572" s="158">
        <f ca="1">IF(H572,INDEX('Monthly Prices'!B560:CB560,$G$4)*U572,FALSE)</f>
        <v>151.18230270918542</v>
      </c>
      <c r="L572" s="152" t="b">
        <f t="shared" si="159"/>
        <v>1</v>
      </c>
      <c r="M572" s="158">
        <f>INDEX('Monthly Prices'!B560:CB560,$G$5)</f>
        <v>103.60208369999999</v>
      </c>
      <c r="N572" s="158">
        <f ca="1">IF(H572,INDEX('Monthly Prices'!B560:CB560,$G$5)*U572,FALSE)</f>
        <v>152.58146382289613</v>
      </c>
      <c r="O572" s="152" t="b">
        <f t="shared" si="156"/>
        <v>1</v>
      </c>
      <c r="P572" s="152">
        <f t="shared" si="160"/>
        <v>2006</v>
      </c>
      <c r="Q572" s="159">
        <f>'Monthly Prices'!B560</f>
        <v>62.45703968254</v>
      </c>
      <c r="R572" s="159">
        <f t="shared" si="161"/>
        <v>64.288259140200836</v>
      </c>
      <c r="S572" s="155">
        <f>_xlfn.XLOOKUP(P572,'Annual Real'!A:A,'Annual Real'!B:B,0,0)</f>
        <v>71.490056507315799</v>
      </c>
      <c r="T572" s="155">
        <f t="shared" ca="1" si="162"/>
        <v>1.4727644307302299</v>
      </c>
      <c r="U572" s="152">
        <f t="shared" ca="1" si="163"/>
        <v>1.4727644307302299</v>
      </c>
      <c r="V572" s="152">
        <f t="shared" ca="1" si="169"/>
        <v>2.292488889008233E-3</v>
      </c>
      <c r="W572" s="152">
        <f t="shared" ca="1" si="170"/>
        <v>2.9878331976353149E-3</v>
      </c>
      <c r="X572" s="154">
        <f>LOOKUP(D572,'US Implicit Deflator'!A:A,'US Implicit Deflator'!B:B)/100</f>
        <v>3.3000000000000002E-2</v>
      </c>
      <c r="Y572" s="154">
        <f t="shared" si="164"/>
        <v>2.7092626147666721E-3</v>
      </c>
      <c r="Z572" s="165">
        <f t="shared" ca="1" si="165"/>
        <v>4.6367178491159775</v>
      </c>
      <c r="AA572" s="152">
        <f t="shared" si="166"/>
        <v>7</v>
      </c>
      <c r="AB572" s="153">
        <f t="shared" si="167"/>
        <v>38718</v>
      </c>
      <c r="AC572" s="155">
        <f t="shared" ca="1" si="168"/>
        <v>1.4727644307302299</v>
      </c>
    </row>
    <row r="573" spans="3:29">
      <c r="C573" s="152" t="str">
        <f>'Monthly Prices'!A561</f>
        <v>2006M02</v>
      </c>
      <c r="D573" s="153">
        <f t="shared" si="157"/>
        <v>38749</v>
      </c>
      <c r="E573" s="152">
        <f t="shared" si="158"/>
        <v>554</v>
      </c>
      <c r="F573" s="152" t="b">
        <f t="shared" si="152"/>
        <v>1</v>
      </c>
      <c r="G573" s="152" t="b">
        <f t="shared" si="153"/>
        <v>1</v>
      </c>
      <c r="H573" s="152" t="b">
        <f t="shared" si="154"/>
        <v>1</v>
      </c>
      <c r="I573" s="153">
        <f t="shared" si="155"/>
        <v>38749</v>
      </c>
      <c r="J573" s="158">
        <f>INDEX('Monthly Prices'!B561:CB561,$G$4)</f>
        <v>107.13017000000001</v>
      </c>
      <c r="K573" s="158">
        <f ca="1">IF(H573,INDEX('Monthly Prices'!B561:CB561,$G$4)*U573,FALSE)</f>
        <v>157.35119811563933</v>
      </c>
      <c r="L573" s="152" t="b">
        <f t="shared" si="159"/>
        <v>1</v>
      </c>
      <c r="M573" s="158">
        <f>INDEX('Monthly Prices'!B561:CB561,$G$5)</f>
        <v>101.1340387</v>
      </c>
      <c r="N573" s="158">
        <f ca="1">IF(H573,INDEX('Monthly Prices'!B561:CB561,$G$5)*U573,FALSE)</f>
        <v>148.54416976766146</v>
      </c>
      <c r="O573" s="152" t="b">
        <f t="shared" si="156"/>
        <v>1</v>
      </c>
      <c r="P573" s="152">
        <f t="shared" si="160"/>
        <v>2006</v>
      </c>
      <c r="Q573" s="159">
        <f>'Monthly Prices'!B561</f>
        <v>59.704921052629999</v>
      </c>
      <c r="R573" s="159">
        <f t="shared" si="161"/>
        <v>64.288259140200836</v>
      </c>
      <c r="S573" s="155">
        <f>_xlfn.XLOOKUP(P573,'Annual Real'!A:A,'Annual Real'!B:B,0,0)</f>
        <v>71.490056507315799</v>
      </c>
      <c r="T573" s="155">
        <f t="shared" ca="1" si="162"/>
        <v>1.4687851061530035</v>
      </c>
      <c r="U573" s="152">
        <f t="shared" ca="1" si="163"/>
        <v>1.4687851061530035</v>
      </c>
      <c r="V573" s="152">
        <f t="shared" ca="1" si="169"/>
        <v>3.99938264957048E-2</v>
      </c>
      <c r="W573" s="152">
        <f t="shared" ca="1" si="170"/>
        <v>-2.6816288892646221E-2</v>
      </c>
      <c r="X573" s="154">
        <f>LOOKUP(D573,'US Implicit Deflator'!A:A,'US Implicit Deflator'!B:B)/100</f>
        <v>3.3000000000000002E-2</v>
      </c>
      <c r="Y573" s="154">
        <f t="shared" si="164"/>
        <v>2.7092626147666721E-3</v>
      </c>
      <c r="Z573" s="165">
        <f t="shared" ca="1" si="165"/>
        <v>4.6492799354398091</v>
      </c>
      <c r="AA573" s="152">
        <f t="shared" si="166"/>
        <v>7</v>
      </c>
      <c r="AB573" s="153">
        <f t="shared" si="167"/>
        <v>38749</v>
      </c>
      <c r="AC573" s="155">
        <f t="shared" ca="1" si="168"/>
        <v>1.4687851061530035</v>
      </c>
    </row>
    <row r="574" spans="3:29">
      <c r="C574" s="152" t="str">
        <f>'Monthly Prices'!A562</f>
        <v>2006M03</v>
      </c>
      <c r="D574" s="153">
        <f t="shared" si="157"/>
        <v>38777</v>
      </c>
      <c r="E574" s="152">
        <f t="shared" si="158"/>
        <v>555</v>
      </c>
      <c r="F574" s="152" t="b">
        <f t="shared" si="152"/>
        <v>1</v>
      </c>
      <c r="G574" s="152" t="b">
        <f t="shared" si="153"/>
        <v>1</v>
      </c>
      <c r="H574" s="152" t="b">
        <f t="shared" si="154"/>
        <v>1</v>
      </c>
      <c r="I574" s="153">
        <f t="shared" si="155"/>
        <v>38777</v>
      </c>
      <c r="J574" s="158">
        <f>INDEX('Monthly Prices'!B562:CB562,$G$4)</f>
        <v>105.250348</v>
      </c>
      <c r="K574" s="158">
        <f ca="1">IF(H574,INDEX('Monthly Prices'!B562:CB562,$G$4)*U574,FALSE)</f>
        <v>154.17244990506575</v>
      </c>
      <c r="L574" s="152" t="b">
        <f t="shared" si="159"/>
        <v>1</v>
      </c>
      <c r="M574" s="158">
        <f>INDEX('Monthly Prices'!B562:CB562,$G$5)</f>
        <v>100.3758447</v>
      </c>
      <c r="N574" s="158">
        <f ca="1">IF(H574,INDEX('Monthly Prices'!B562:CB562,$G$5)*U574,FALSE)</f>
        <v>147.03219687871635</v>
      </c>
      <c r="O574" s="152" t="b">
        <f t="shared" si="156"/>
        <v>1</v>
      </c>
      <c r="P574" s="152">
        <f t="shared" si="160"/>
        <v>2006</v>
      </c>
      <c r="Q574" s="159">
        <f>'Monthly Prices'!B562</f>
        <v>60.929275362319999</v>
      </c>
      <c r="R574" s="159">
        <f t="shared" si="161"/>
        <v>64.288259140200836</v>
      </c>
      <c r="S574" s="155">
        <f>_xlfn.XLOOKUP(P574,'Annual Real'!A:A,'Annual Real'!B:B,0,0)</f>
        <v>71.490056507315799</v>
      </c>
      <c r="T574" s="155">
        <f t="shared" ca="1" si="162"/>
        <v>1.4648165334813501</v>
      </c>
      <c r="U574" s="152">
        <f t="shared" ca="1" si="163"/>
        <v>1.4648165334813501</v>
      </c>
      <c r="V574" s="152">
        <f t="shared" ca="1" si="169"/>
        <v>-2.0408457338096268E-2</v>
      </c>
      <c r="W574" s="152">
        <f t="shared" ca="1" si="170"/>
        <v>-1.0230764347478976E-2</v>
      </c>
      <c r="X574" s="154">
        <f>LOOKUP(D574,'US Implicit Deflator'!A:A,'US Implicit Deflator'!B:B)/100</f>
        <v>3.3000000000000002E-2</v>
      </c>
      <c r="Y574" s="154">
        <f t="shared" si="164"/>
        <v>2.7092626147666721E-3</v>
      </c>
      <c r="Z574" s="165">
        <f t="shared" ca="1" si="165"/>
        <v>4.6618760557544814</v>
      </c>
      <c r="AA574" s="152">
        <f t="shared" si="166"/>
        <v>7</v>
      </c>
      <c r="AB574" s="153">
        <f t="shared" si="167"/>
        <v>38777</v>
      </c>
      <c r="AC574" s="155">
        <f t="shared" ca="1" si="168"/>
        <v>1.4648165334813501</v>
      </c>
    </row>
    <row r="575" spans="3:29">
      <c r="C575" s="152" t="str">
        <f>'Monthly Prices'!A563</f>
        <v>2006M04</v>
      </c>
      <c r="D575" s="153">
        <f t="shared" si="157"/>
        <v>38808</v>
      </c>
      <c r="E575" s="152">
        <f t="shared" si="158"/>
        <v>556</v>
      </c>
      <c r="F575" s="152" t="b">
        <f t="shared" si="152"/>
        <v>1</v>
      </c>
      <c r="G575" s="152" t="b">
        <f t="shared" si="153"/>
        <v>1</v>
      </c>
      <c r="H575" s="152" t="b">
        <f t="shared" si="154"/>
        <v>1</v>
      </c>
      <c r="I575" s="153">
        <f t="shared" si="155"/>
        <v>38808</v>
      </c>
      <c r="J575" s="158">
        <f>INDEX('Monthly Prices'!B563:CB563,$G$4)</f>
        <v>107.72069</v>
      </c>
      <c r="K575" s="158">
        <f ca="1">IF(H575,INDEX('Monthly Prices'!B563:CB563,$G$4)*U575,FALSE)</f>
        <v>157.35201725186622</v>
      </c>
      <c r="L575" s="152" t="b">
        <f t="shared" si="159"/>
        <v>1</v>
      </c>
      <c r="M575" s="158">
        <f>INDEX('Monthly Prices'!B563:CB563,$G$5)</f>
        <v>102.1245618</v>
      </c>
      <c r="N575" s="158">
        <f ca="1">IF(H575,INDEX('Monthly Prices'!B563:CB563,$G$5)*U575,FALSE)</f>
        <v>149.17752392964505</v>
      </c>
      <c r="O575" s="152" t="b">
        <f t="shared" si="156"/>
        <v>1</v>
      </c>
      <c r="P575" s="152">
        <f t="shared" si="160"/>
        <v>2006</v>
      </c>
      <c r="Q575" s="159">
        <f>'Monthly Prices'!B563</f>
        <v>67.970575048729998</v>
      </c>
      <c r="R575" s="159">
        <f t="shared" si="161"/>
        <v>64.288259140200836</v>
      </c>
      <c r="S575" s="155">
        <f>_xlfn.XLOOKUP(P575,'Annual Real'!A:A,'Annual Real'!B:B,0,0)</f>
        <v>71.490056507315799</v>
      </c>
      <c r="T575" s="155">
        <f t="shared" ca="1" si="162"/>
        <v>1.4607408962184165</v>
      </c>
      <c r="U575" s="152">
        <f t="shared" ca="1" si="163"/>
        <v>1.4607408962184165</v>
      </c>
      <c r="V575" s="152">
        <f t="shared" ca="1" si="169"/>
        <v>2.041366310776685E-2</v>
      </c>
      <c r="W575" s="152">
        <f t="shared" ca="1" si="170"/>
        <v>1.4485443336759879E-2</v>
      </c>
      <c r="X575" s="154">
        <f>LOOKUP(D575,'US Implicit Deflator'!A:A,'US Implicit Deflator'!B:B)/100</f>
        <v>3.4000000000000002E-2</v>
      </c>
      <c r="Y575" s="154">
        <f t="shared" si="164"/>
        <v>2.7901164905321796E-3</v>
      </c>
      <c r="Z575" s="165">
        <f t="shared" ca="1" si="165"/>
        <v>4.6748832330144587</v>
      </c>
      <c r="AA575" s="152">
        <f t="shared" si="166"/>
        <v>7</v>
      </c>
      <c r="AB575" s="153">
        <f t="shared" si="167"/>
        <v>38808</v>
      </c>
      <c r="AC575" s="155">
        <f t="shared" ca="1" si="168"/>
        <v>1.4607408962184165</v>
      </c>
    </row>
    <row r="576" spans="3:29">
      <c r="C576" s="152" t="str">
        <f>'Monthly Prices'!A564</f>
        <v>2006M05</v>
      </c>
      <c r="D576" s="153">
        <f t="shared" si="157"/>
        <v>38838</v>
      </c>
      <c r="E576" s="152">
        <f t="shared" si="158"/>
        <v>557</v>
      </c>
      <c r="F576" s="152" t="b">
        <f t="shared" si="152"/>
        <v>1</v>
      </c>
      <c r="G576" s="152" t="b">
        <f t="shared" si="153"/>
        <v>1</v>
      </c>
      <c r="H576" s="152" t="b">
        <f t="shared" si="154"/>
        <v>1</v>
      </c>
      <c r="I576" s="153">
        <f t="shared" si="155"/>
        <v>38838</v>
      </c>
      <c r="J576" s="158">
        <f>INDEX('Monthly Prices'!B564:CB564,$G$4)</f>
        <v>110.648685</v>
      </c>
      <c r="K576" s="158">
        <f ca="1">IF(H576,INDEX('Monthly Prices'!B564:CB564,$G$4)*U576,FALSE)</f>
        <v>161.17935012955951</v>
      </c>
      <c r="L576" s="152" t="b">
        <f t="shared" si="159"/>
        <v>1</v>
      </c>
      <c r="M576" s="158">
        <f>INDEX('Monthly Prices'!B564:CB564,$G$5)</f>
        <v>107.4755681</v>
      </c>
      <c r="N576" s="158">
        <f ca="1">IF(H576,INDEX('Monthly Prices'!B564:CB564,$G$5)*U576,FALSE)</f>
        <v>156.55714499601342</v>
      </c>
      <c r="O576" s="152" t="b">
        <f t="shared" si="156"/>
        <v>1</v>
      </c>
      <c r="P576" s="152">
        <f t="shared" si="160"/>
        <v>2006</v>
      </c>
      <c r="Q576" s="159">
        <f>'Monthly Prices'!B564</f>
        <v>68.675948616599996</v>
      </c>
      <c r="R576" s="159">
        <f t="shared" si="161"/>
        <v>64.288259140200836</v>
      </c>
      <c r="S576" s="155">
        <f>_xlfn.XLOOKUP(P576,'Annual Real'!A:A,'Annual Real'!B:B,0,0)</f>
        <v>71.490056507315799</v>
      </c>
      <c r="T576" s="155">
        <f t="shared" ca="1" si="162"/>
        <v>1.4566765988186801</v>
      </c>
      <c r="U576" s="152">
        <f t="shared" ca="1" si="163"/>
        <v>1.4566765988186801</v>
      </c>
      <c r="V576" s="152">
        <f t="shared" ca="1" si="169"/>
        <v>2.4032277347379258E-2</v>
      </c>
      <c r="W576" s="152">
        <f t="shared" ca="1" si="170"/>
        <v>4.8284054557404664E-2</v>
      </c>
      <c r="X576" s="154">
        <f>LOOKUP(D576,'US Implicit Deflator'!A:A,'US Implicit Deflator'!B:B)/100</f>
        <v>3.4000000000000002E-2</v>
      </c>
      <c r="Y576" s="154">
        <f t="shared" si="164"/>
        <v>2.7901164905321796E-3</v>
      </c>
      <c r="Z576" s="165">
        <f t="shared" ca="1" si="165"/>
        <v>4.687926701814205</v>
      </c>
      <c r="AA576" s="152">
        <f t="shared" si="166"/>
        <v>7</v>
      </c>
      <c r="AB576" s="153">
        <f t="shared" si="167"/>
        <v>38838</v>
      </c>
      <c r="AC576" s="155">
        <f t="shared" ca="1" si="168"/>
        <v>1.4566765988186801</v>
      </c>
    </row>
    <row r="577" spans="3:29">
      <c r="C577" s="152" t="str">
        <f>'Monthly Prices'!A565</f>
        <v>2006M06</v>
      </c>
      <c r="D577" s="153">
        <f t="shared" si="157"/>
        <v>38869</v>
      </c>
      <c r="E577" s="152">
        <f t="shared" si="158"/>
        <v>558</v>
      </c>
      <c r="F577" s="152" t="b">
        <f t="shared" si="152"/>
        <v>1</v>
      </c>
      <c r="G577" s="152" t="b">
        <f t="shared" si="153"/>
        <v>1</v>
      </c>
      <c r="H577" s="152" t="b">
        <f t="shared" si="154"/>
        <v>1</v>
      </c>
      <c r="I577" s="153">
        <f t="shared" si="155"/>
        <v>38869</v>
      </c>
      <c r="J577" s="158">
        <f>INDEX('Monthly Prices'!B565:CB565,$G$4)</f>
        <v>109.403672</v>
      </c>
      <c r="K577" s="158">
        <f ca="1">IF(H577,INDEX('Monthly Prices'!B565:CB565,$G$4)*U577,FALSE)</f>
        <v>158.9223569384263</v>
      </c>
      <c r="L577" s="152" t="b">
        <f t="shared" si="159"/>
        <v>1</v>
      </c>
      <c r="M577" s="158">
        <f>INDEX('Monthly Prices'!B565:CB565,$G$5)</f>
        <v>106.8823855</v>
      </c>
      <c r="N577" s="158">
        <f ca="1">IF(H577,INDEX('Monthly Prices'!B565:CB565,$G$5)*U577,FALSE)</f>
        <v>155.25987664163119</v>
      </c>
      <c r="O577" s="152" t="b">
        <f t="shared" si="156"/>
        <v>1</v>
      </c>
      <c r="P577" s="152">
        <f t="shared" si="160"/>
        <v>2006</v>
      </c>
      <c r="Q577" s="159">
        <f>'Monthly Prices'!B565</f>
        <v>68.290151515150001</v>
      </c>
      <c r="R577" s="159">
        <f t="shared" si="161"/>
        <v>64.288259140200836</v>
      </c>
      <c r="S577" s="155">
        <f>_xlfn.XLOOKUP(P577,'Annual Real'!A:A,'Annual Real'!B:B,0,0)</f>
        <v>71.490056507315799</v>
      </c>
      <c r="T577" s="155">
        <f t="shared" ca="1" si="162"/>
        <v>1.4526236097306342</v>
      </c>
      <c r="U577" s="152">
        <f t="shared" ca="1" si="163"/>
        <v>1.4526236097306342</v>
      </c>
      <c r="V577" s="152">
        <f t="shared" ca="1" si="169"/>
        <v>-1.4101959122988011E-2</v>
      </c>
      <c r="W577" s="152">
        <f t="shared" ca="1" si="170"/>
        <v>-8.3207506264184657E-3</v>
      </c>
      <c r="X577" s="154">
        <f>LOOKUP(D577,'US Implicit Deflator'!A:A,'US Implicit Deflator'!B:B)/100</f>
        <v>3.4000000000000002E-2</v>
      </c>
      <c r="Y577" s="154">
        <f t="shared" si="164"/>
        <v>2.7901164905321796E-3</v>
      </c>
      <c r="Z577" s="165">
        <f t="shared" ca="1" si="165"/>
        <v>4.7010065634113429</v>
      </c>
      <c r="AA577" s="152">
        <f t="shared" si="166"/>
        <v>7</v>
      </c>
      <c r="AB577" s="153">
        <f t="shared" si="167"/>
        <v>38869</v>
      </c>
      <c r="AC577" s="155">
        <f t="shared" ca="1" si="168"/>
        <v>1.4526236097306342</v>
      </c>
    </row>
    <row r="578" spans="3:29">
      <c r="C578" s="152" t="str">
        <f>'Monthly Prices'!A566</f>
        <v>2006M07</v>
      </c>
      <c r="D578" s="153">
        <f t="shared" si="157"/>
        <v>38899</v>
      </c>
      <c r="E578" s="152">
        <f t="shared" si="158"/>
        <v>559</v>
      </c>
      <c r="F578" s="152" t="b">
        <f t="shared" si="152"/>
        <v>1</v>
      </c>
      <c r="G578" s="152" t="b">
        <f t="shared" si="153"/>
        <v>1</v>
      </c>
      <c r="H578" s="152" t="b">
        <f t="shared" si="154"/>
        <v>1</v>
      </c>
      <c r="I578" s="153">
        <f t="shared" si="155"/>
        <v>38899</v>
      </c>
      <c r="J578" s="158">
        <f>INDEX('Monthly Prices'!B566:CB566,$G$4)</f>
        <v>113.99108</v>
      </c>
      <c r="K578" s="158">
        <f ca="1">IF(H578,INDEX('Monthly Prices'!B566:CB566,$G$4)*U578,FALSE)</f>
        <v>165.19212973698521</v>
      </c>
      <c r="L578" s="152" t="b">
        <f t="shared" si="159"/>
        <v>1</v>
      </c>
      <c r="M578" s="158">
        <f>INDEX('Monthly Prices'!B566:CB566,$G$5)</f>
        <v>112.0984874</v>
      </c>
      <c r="N578" s="158">
        <f ca="1">IF(H578,INDEX('Monthly Prices'!B566:CB566,$G$5)*U578,FALSE)</f>
        <v>162.44944669267633</v>
      </c>
      <c r="O578" s="152" t="b">
        <f t="shared" si="156"/>
        <v>1</v>
      </c>
      <c r="P578" s="152">
        <f t="shared" si="160"/>
        <v>2006</v>
      </c>
      <c r="Q578" s="159">
        <f>'Monthly Prices'!B566</f>
        <v>72.450133667499998</v>
      </c>
      <c r="R578" s="159">
        <f t="shared" si="161"/>
        <v>64.288259140200836</v>
      </c>
      <c r="S578" s="155">
        <f>_xlfn.XLOOKUP(P578,'Annual Real'!A:A,'Annual Real'!B:B,0,0)</f>
        <v>71.490056507315799</v>
      </c>
      <c r="T578" s="155">
        <f t="shared" ca="1" si="162"/>
        <v>1.4491671605969978</v>
      </c>
      <c r="U578" s="152">
        <f t="shared" ca="1" si="163"/>
        <v>1.4491671605969978</v>
      </c>
      <c r="V578" s="152">
        <f t="shared" ca="1" si="169"/>
        <v>3.8693457324076169E-2</v>
      </c>
      <c r="W578" s="152">
        <f t="shared" ca="1" si="170"/>
        <v>4.5266519643627302E-2</v>
      </c>
      <c r="X578" s="154">
        <f>LOOKUP(D578,'US Implicit Deflator'!A:A,'US Implicit Deflator'!B:B)/100</f>
        <v>2.8999999999999998E-2</v>
      </c>
      <c r="Y578" s="154">
        <f t="shared" si="164"/>
        <v>2.3851279739270925E-3</v>
      </c>
      <c r="Z578" s="165">
        <f t="shared" ca="1" si="165"/>
        <v>4.7122190656713503</v>
      </c>
      <c r="AA578" s="152">
        <f t="shared" si="166"/>
        <v>7</v>
      </c>
      <c r="AB578" s="153">
        <f t="shared" si="167"/>
        <v>38899</v>
      </c>
      <c r="AC578" s="155">
        <f t="shared" ca="1" si="168"/>
        <v>1.4491671605969978</v>
      </c>
    </row>
    <row r="579" spans="3:29">
      <c r="C579" s="152" t="str">
        <f>'Monthly Prices'!A567</f>
        <v>2006M08</v>
      </c>
      <c r="D579" s="153">
        <f t="shared" si="157"/>
        <v>38930</v>
      </c>
      <c r="E579" s="152">
        <f t="shared" si="158"/>
        <v>560</v>
      </c>
      <c r="F579" s="152" t="b">
        <f t="shared" si="152"/>
        <v>1</v>
      </c>
      <c r="G579" s="152" t="b">
        <f t="shared" si="153"/>
        <v>1</v>
      </c>
      <c r="H579" s="152" t="b">
        <f t="shared" si="154"/>
        <v>1</v>
      </c>
      <c r="I579" s="153">
        <f t="shared" si="155"/>
        <v>38930</v>
      </c>
      <c r="J579" s="158">
        <f>INDEX('Monthly Prices'!B567:CB567,$G$4)</f>
        <v>116.58833199999999</v>
      </c>
      <c r="K579" s="158">
        <f ca="1">IF(H579,INDEX('Monthly Prices'!B567:CB567,$G$4)*U579,FALSE)</f>
        <v>168.55395927978572</v>
      </c>
      <c r="L579" s="152" t="b">
        <f t="shared" si="159"/>
        <v>1</v>
      </c>
      <c r="M579" s="158">
        <f>INDEX('Monthly Prices'!B567:CB567,$G$5)</f>
        <v>114.5306653</v>
      </c>
      <c r="N579" s="158">
        <f ca="1">IF(H579,INDEX('Monthly Prices'!B567:CB567,$G$5)*U579,FALSE)</f>
        <v>165.57915156778267</v>
      </c>
      <c r="O579" s="152" t="b">
        <f t="shared" si="156"/>
        <v>1</v>
      </c>
      <c r="P579" s="152">
        <f t="shared" si="160"/>
        <v>2006</v>
      </c>
      <c r="Q579" s="159">
        <f>'Monthly Prices'!B567</f>
        <v>71.811884057970005</v>
      </c>
      <c r="R579" s="159">
        <f t="shared" si="161"/>
        <v>64.288259140200836</v>
      </c>
      <c r="S579" s="155">
        <f>_xlfn.XLOOKUP(P579,'Annual Real'!A:A,'Annual Real'!B:B,0,0)</f>
        <v>71.490056507315799</v>
      </c>
      <c r="T579" s="155">
        <f t="shared" ca="1" si="162"/>
        <v>1.4457189359204978</v>
      </c>
      <c r="U579" s="152">
        <f t="shared" ca="1" si="163"/>
        <v>1.4457189359204978</v>
      </c>
      <c r="V579" s="152">
        <f t="shared" ca="1" si="169"/>
        <v>2.0146712508454807E-2</v>
      </c>
      <c r="W579" s="152">
        <f t="shared" ca="1" si="170"/>
        <v>1.9082481602578114E-2</v>
      </c>
      <c r="X579" s="154">
        <f>LOOKUP(D579,'US Implicit Deflator'!A:A,'US Implicit Deflator'!B:B)/100</f>
        <v>2.8999999999999998E-2</v>
      </c>
      <c r="Y579" s="154">
        <f t="shared" si="164"/>
        <v>2.3851279739270925E-3</v>
      </c>
      <c r="Z579" s="165">
        <f t="shared" ca="1" si="165"/>
        <v>4.7234583111841557</v>
      </c>
      <c r="AA579" s="152">
        <f t="shared" si="166"/>
        <v>7</v>
      </c>
      <c r="AB579" s="153">
        <f t="shared" si="167"/>
        <v>38930</v>
      </c>
      <c r="AC579" s="155">
        <f t="shared" ca="1" si="168"/>
        <v>1.4457189359204978</v>
      </c>
    </row>
    <row r="580" spans="3:29">
      <c r="C580" s="152" t="str">
        <f>'Monthly Prices'!A568</f>
        <v>2006M09</v>
      </c>
      <c r="D580" s="153">
        <f t="shared" si="157"/>
        <v>38961</v>
      </c>
      <c r="E580" s="152">
        <f t="shared" si="158"/>
        <v>561</v>
      </c>
      <c r="F580" s="152" t="b">
        <f t="shared" si="152"/>
        <v>1</v>
      </c>
      <c r="G580" s="152" t="b">
        <f t="shared" si="153"/>
        <v>1</v>
      </c>
      <c r="H580" s="152" t="b">
        <f t="shared" si="154"/>
        <v>1</v>
      </c>
      <c r="I580" s="153">
        <f t="shared" si="155"/>
        <v>38961</v>
      </c>
      <c r="J580" s="158">
        <f>INDEX('Monthly Prices'!B568:CB568,$G$4)</f>
        <v>121.74554000000001</v>
      </c>
      <c r="K580" s="158">
        <f ca="1">IF(H580,INDEX('Monthly Prices'!B568:CB568,$G$4)*U580,FALSE)</f>
        <v>175.59102547503534</v>
      </c>
      <c r="L580" s="152" t="b">
        <f t="shared" si="159"/>
        <v>1</v>
      </c>
      <c r="M580" s="158">
        <f>INDEX('Monthly Prices'!B568:CB568,$G$5)</f>
        <v>115.44458849999999</v>
      </c>
      <c r="N580" s="158">
        <f ca="1">IF(H580,INDEX('Monthly Prices'!B568:CB568,$G$5)*U580,FALSE)</f>
        <v>166.50329597501863</v>
      </c>
      <c r="O580" s="152" t="b">
        <f t="shared" si="156"/>
        <v>1</v>
      </c>
      <c r="P580" s="152">
        <f t="shared" si="160"/>
        <v>2006</v>
      </c>
      <c r="Q580" s="159">
        <f>'Monthly Prices'!B568</f>
        <v>62.121253968250002</v>
      </c>
      <c r="R580" s="159">
        <f t="shared" si="161"/>
        <v>64.288259140200836</v>
      </c>
      <c r="S580" s="155">
        <f>_xlfn.XLOOKUP(P580,'Annual Real'!A:A,'Annual Real'!B:B,0,0)</f>
        <v>71.490056507315799</v>
      </c>
      <c r="T580" s="155">
        <f t="shared" ca="1" si="162"/>
        <v>1.4422789161314273</v>
      </c>
      <c r="U580" s="152">
        <f t="shared" ca="1" si="163"/>
        <v>1.4422789161314273</v>
      </c>
      <c r="V580" s="152">
        <f t="shared" ca="1" si="169"/>
        <v>4.0901640478630479E-2</v>
      </c>
      <c r="W580" s="152">
        <f t="shared" ca="1" si="170"/>
        <v>5.5657671745884775E-3</v>
      </c>
      <c r="X580" s="154">
        <f>LOOKUP(D580,'US Implicit Deflator'!A:A,'US Implicit Deflator'!B:B)/100</f>
        <v>2.8999999999999998E-2</v>
      </c>
      <c r="Y580" s="154">
        <f t="shared" si="164"/>
        <v>2.3851279739270925E-3</v>
      </c>
      <c r="Z580" s="165">
        <f t="shared" ca="1" si="165"/>
        <v>4.7347243637358396</v>
      </c>
      <c r="AA580" s="152">
        <f t="shared" si="166"/>
        <v>7</v>
      </c>
      <c r="AB580" s="153">
        <f t="shared" si="167"/>
        <v>38961</v>
      </c>
      <c r="AC580" s="155">
        <f t="shared" ca="1" si="168"/>
        <v>1.4422789161314273</v>
      </c>
    </row>
    <row r="581" spans="3:29">
      <c r="C581" s="152" t="str">
        <f>'Monthly Prices'!A569</f>
        <v>2006M10</v>
      </c>
      <c r="D581" s="153">
        <f t="shared" si="157"/>
        <v>38991</v>
      </c>
      <c r="E581" s="152">
        <f t="shared" si="158"/>
        <v>562</v>
      </c>
      <c r="F581" s="152" t="b">
        <f t="shared" si="152"/>
        <v>1</v>
      </c>
      <c r="G581" s="152" t="b">
        <f t="shared" si="153"/>
        <v>1</v>
      </c>
      <c r="H581" s="152" t="b">
        <f t="shared" si="154"/>
        <v>1</v>
      </c>
      <c r="I581" s="153">
        <f t="shared" si="155"/>
        <v>38991</v>
      </c>
      <c r="J581" s="158">
        <f>INDEX('Monthly Prices'!B569:CB569,$G$4)</f>
        <v>142.16768999999999</v>
      </c>
      <c r="K581" s="158">
        <f ca="1">IF(H581,INDEX('Monthly Prices'!B569:CB569,$G$4)*U581,FALSE)</f>
        <v>204.69065539283716</v>
      </c>
      <c r="L581" s="152" t="b">
        <f t="shared" si="159"/>
        <v>1</v>
      </c>
      <c r="M581" s="158">
        <f>INDEX('Monthly Prices'!B569:CB569,$G$5)</f>
        <v>136.5974641</v>
      </c>
      <c r="N581" s="158">
        <f ca="1">IF(H581,INDEX('Monthly Prices'!B569:CB569,$G$5)*U581,FALSE)</f>
        <v>196.67073757496198</v>
      </c>
      <c r="O581" s="152" t="b">
        <f t="shared" si="156"/>
        <v>1</v>
      </c>
      <c r="P581" s="152">
        <f t="shared" si="160"/>
        <v>2006</v>
      </c>
      <c r="Q581" s="159">
        <f>'Monthly Prices'!B569</f>
        <v>57.910468975470003</v>
      </c>
      <c r="R581" s="159">
        <f t="shared" si="161"/>
        <v>64.288259140200836</v>
      </c>
      <c r="S581" s="155">
        <f>_xlfn.XLOOKUP(P581,'Annual Real'!A:A,'Annual Real'!B:B,0,0)</f>
        <v>71.490056507315799</v>
      </c>
      <c r="T581" s="155">
        <f t="shared" ca="1" si="162"/>
        <v>1.4397832263634387</v>
      </c>
      <c r="U581" s="152">
        <f t="shared" ca="1" si="163"/>
        <v>1.4397832263634387</v>
      </c>
      <c r="V581" s="152">
        <f t="shared" ca="1" si="169"/>
        <v>0.15334226924859121</v>
      </c>
      <c r="W581" s="152">
        <f t="shared" ca="1" si="170"/>
        <v>0.16651584268080308</v>
      </c>
      <c r="X581" s="154">
        <f>LOOKUP(D581,'US Implicit Deflator'!A:A,'US Implicit Deflator'!B:B)/100</f>
        <v>2.1000000000000001E-2</v>
      </c>
      <c r="Y581" s="154">
        <f t="shared" si="164"/>
        <v>1.73337883251512E-3</v>
      </c>
      <c r="Z581" s="165">
        <f t="shared" ca="1" si="165"/>
        <v>4.7429314347257332</v>
      </c>
      <c r="AA581" s="152">
        <f t="shared" si="166"/>
        <v>7</v>
      </c>
      <c r="AB581" s="153">
        <f t="shared" si="167"/>
        <v>38991</v>
      </c>
      <c r="AC581" s="155">
        <f t="shared" ca="1" si="168"/>
        <v>1.4397832263634387</v>
      </c>
    </row>
    <row r="582" spans="3:29">
      <c r="C582" s="152" t="str">
        <f>'Monthly Prices'!A570</f>
        <v>2006M11</v>
      </c>
      <c r="D582" s="153">
        <f t="shared" si="157"/>
        <v>39022</v>
      </c>
      <c r="E582" s="152">
        <f t="shared" si="158"/>
        <v>563</v>
      </c>
      <c r="F582" s="152" t="b">
        <f t="shared" si="152"/>
        <v>1</v>
      </c>
      <c r="G582" s="152" t="b">
        <f t="shared" si="153"/>
        <v>1</v>
      </c>
      <c r="H582" s="152" t="b">
        <f t="shared" si="154"/>
        <v>1</v>
      </c>
      <c r="I582" s="153">
        <f t="shared" si="155"/>
        <v>39022</v>
      </c>
      <c r="J582" s="158">
        <f>INDEX('Monthly Prices'!B570:CB570,$G$4)</f>
        <v>164.538556</v>
      </c>
      <c r="K582" s="158">
        <f ca="1">IF(H582,INDEX('Monthly Prices'!B570:CB570,$G$4)*U582,FALSE)</f>
        <v>236.48992638636017</v>
      </c>
      <c r="L582" s="152" t="b">
        <f t="shared" si="159"/>
        <v>1</v>
      </c>
      <c r="M582" s="158">
        <f>INDEX('Monthly Prices'!B570:CB570,$G$5)</f>
        <v>148.14787559999999</v>
      </c>
      <c r="N582" s="158">
        <f ca="1">IF(H582,INDEX('Monthly Prices'!B570:CB570,$G$5)*U582,FALSE)</f>
        <v>212.93173494812754</v>
      </c>
      <c r="O582" s="152" t="b">
        <f t="shared" si="156"/>
        <v>1</v>
      </c>
      <c r="P582" s="152">
        <f t="shared" si="160"/>
        <v>2006</v>
      </c>
      <c r="Q582" s="159">
        <f>'Monthly Prices'!B570</f>
        <v>58.143045454549998</v>
      </c>
      <c r="R582" s="159">
        <f t="shared" si="161"/>
        <v>64.288259140200836</v>
      </c>
      <c r="S582" s="155">
        <f>_xlfn.XLOOKUP(P582,'Annual Real'!A:A,'Annual Real'!B:B,0,0)</f>
        <v>71.490056507315799</v>
      </c>
      <c r="T582" s="155">
        <f t="shared" ca="1" si="162"/>
        <v>1.4372918550856868</v>
      </c>
      <c r="U582" s="152">
        <f t="shared" ca="1" si="163"/>
        <v>1.4372918550856868</v>
      </c>
      <c r="V582" s="152">
        <f t="shared" ca="1" si="169"/>
        <v>0.14440577109355521</v>
      </c>
      <c r="W582" s="152">
        <f t="shared" ca="1" si="170"/>
        <v>7.9440673588095992E-2</v>
      </c>
      <c r="X582" s="154">
        <f>LOOKUP(D582,'US Implicit Deflator'!A:A,'US Implicit Deflator'!B:B)/100</f>
        <v>2.1000000000000001E-2</v>
      </c>
      <c r="Y582" s="154">
        <f t="shared" si="164"/>
        <v>1.73337883251512E-3</v>
      </c>
      <c r="Z582" s="165">
        <f t="shared" ca="1" si="165"/>
        <v>4.751152731678757</v>
      </c>
      <c r="AA582" s="152">
        <f t="shared" si="166"/>
        <v>7</v>
      </c>
      <c r="AB582" s="153">
        <f t="shared" si="167"/>
        <v>39022</v>
      </c>
      <c r="AC582" s="155">
        <f t="shared" ca="1" si="168"/>
        <v>1.4372918550856868</v>
      </c>
    </row>
    <row r="583" spans="3:29">
      <c r="C583" s="152" t="str">
        <f>'Monthly Prices'!A571</f>
        <v>2006M12</v>
      </c>
      <c r="D583" s="153">
        <f t="shared" si="157"/>
        <v>39052</v>
      </c>
      <c r="E583" s="152">
        <f t="shared" si="158"/>
        <v>564</v>
      </c>
      <c r="F583" s="152" t="b">
        <f t="shared" si="152"/>
        <v>1</v>
      </c>
      <c r="G583" s="152" t="b">
        <f t="shared" si="153"/>
        <v>1</v>
      </c>
      <c r="H583" s="152" t="b">
        <f t="shared" si="154"/>
        <v>1</v>
      </c>
      <c r="I583" s="153">
        <f t="shared" si="155"/>
        <v>39052</v>
      </c>
      <c r="J583" s="158">
        <f>INDEX('Monthly Prices'!B571:CB571,$G$4)</f>
        <v>160.37539000000001</v>
      </c>
      <c r="K583" s="158">
        <f ca="1">IF(H583,INDEX('Monthly Prices'!B571:CB571,$G$4)*U583,FALSE)</f>
        <v>230.1073785440168</v>
      </c>
      <c r="L583" s="152" t="b">
        <f t="shared" si="159"/>
        <v>1</v>
      </c>
      <c r="M583" s="158">
        <f>INDEX('Monthly Prices'!B571:CB571,$G$5)</f>
        <v>150.96757869999999</v>
      </c>
      <c r="N583" s="158">
        <f ca="1">IF(H583,INDEX('Monthly Prices'!B571:CB571,$G$5)*U583,FALSE)</f>
        <v>216.60900578196282</v>
      </c>
      <c r="O583" s="152" t="b">
        <f t="shared" si="156"/>
        <v>1</v>
      </c>
      <c r="P583" s="152">
        <f t="shared" si="160"/>
        <v>2006</v>
      </c>
      <c r="Q583" s="159">
        <f>'Monthly Prices'!B571</f>
        <v>60.994412280699997</v>
      </c>
      <c r="R583" s="159">
        <f t="shared" si="161"/>
        <v>64.288259140200836</v>
      </c>
      <c r="S583" s="155">
        <f>_xlfn.XLOOKUP(P583,'Annual Real'!A:A,'Annual Real'!B:B,0,0)</f>
        <v>71.490056507315799</v>
      </c>
      <c r="T583" s="155">
        <f t="shared" ca="1" si="162"/>
        <v>1.4348047948255451</v>
      </c>
      <c r="U583" s="152">
        <f t="shared" ca="1" si="163"/>
        <v>1.4348047948255451</v>
      </c>
      <c r="V583" s="152">
        <f t="shared" ca="1" si="169"/>
        <v>-2.7359549252650162E-2</v>
      </c>
      <c r="W583" s="152">
        <f t="shared" ca="1" si="170"/>
        <v>1.7122290504060802E-2</v>
      </c>
      <c r="X583" s="154">
        <f>LOOKUP(D583,'US Implicit Deflator'!A:A,'US Implicit Deflator'!B:B)/100</f>
        <v>2.1000000000000001E-2</v>
      </c>
      <c r="Y583" s="154">
        <f t="shared" si="164"/>
        <v>1.73337883251512E-3</v>
      </c>
      <c r="Z583" s="165">
        <f t="shared" ca="1" si="165"/>
        <v>4.7593882792538951</v>
      </c>
      <c r="AA583" s="152">
        <f t="shared" si="166"/>
        <v>7</v>
      </c>
      <c r="AB583" s="153">
        <f t="shared" si="167"/>
        <v>39052</v>
      </c>
      <c r="AC583" s="155">
        <f t="shared" ca="1" si="168"/>
        <v>1.4348047948255451</v>
      </c>
    </row>
    <row r="584" spans="3:29">
      <c r="C584" s="152" t="str">
        <f>'Monthly Prices'!A572</f>
        <v>2007M01</v>
      </c>
      <c r="D584" s="153">
        <f t="shared" si="157"/>
        <v>39083</v>
      </c>
      <c r="E584" s="152">
        <f t="shared" si="158"/>
        <v>565</v>
      </c>
      <c r="F584" s="152" t="b">
        <f t="shared" si="152"/>
        <v>1</v>
      </c>
      <c r="G584" s="152" t="b">
        <f t="shared" si="153"/>
        <v>1</v>
      </c>
      <c r="H584" s="152" t="b">
        <f t="shared" si="154"/>
        <v>1</v>
      </c>
      <c r="I584" s="153">
        <f t="shared" si="155"/>
        <v>39083</v>
      </c>
      <c r="J584" s="158">
        <f>INDEX('Monthly Prices'!B572:CB572,$G$4)</f>
        <v>164.774764</v>
      </c>
      <c r="K584" s="158">
        <f ca="1">IF(H584,INDEX('Monthly Prices'!B572:CB572,$G$4)*U584,FALSE)</f>
        <v>235.99127299596012</v>
      </c>
      <c r="L584" s="152" t="b">
        <f t="shared" si="159"/>
        <v>1</v>
      </c>
      <c r="M584" s="158">
        <f>INDEX('Monthly Prices'!B572:CB572,$G$5)</f>
        <v>152.13268619999999</v>
      </c>
      <c r="N584" s="158">
        <f ca="1">IF(H584,INDEX('Monthly Prices'!B572:CB572,$G$5)*U584,FALSE)</f>
        <v>217.88522349595311</v>
      </c>
      <c r="O584" s="152" t="b">
        <f t="shared" si="156"/>
        <v>1</v>
      </c>
      <c r="P584" s="152">
        <f t="shared" si="160"/>
        <v>2007</v>
      </c>
      <c r="Q584" s="159">
        <f>'Monthly Prices'!B572</f>
        <v>53.516969696970001</v>
      </c>
      <c r="R584" s="159">
        <f t="shared" si="161"/>
        <v>71.116559010064165</v>
      </c>
      <c r="S584" s="155">
        <f>_xlfn.XLOOKUP(P584,'Annual Real'!A:A,'Annual Real'!B:B,0,0)</f>
        <v>74.522447633877803</v>
      </c>
      <c r="T584" s="155">
        <f t="shared" ca="1" si="162"/>
        <v>1.4322051949408958</v>
      </c>
      <c r="U584" s="152">
        <f t="shared" ca="1" si="163"/>
        <v>1.4322051949408958</v>
      </c>
      <c r="V584" s="152">
        <f t="shared" ca="1" si="169"/>
        <v>2.5248762299880354E-2</v>
      </c>
      <c r="W584" s="152">
        <f t="shared" ca="1" si="170"/>
        <v>5.8745147722236626E-3</v>
      </c>
      <c r="X584" s="154">
        <f>LOOKUP(D584,'US Implicit Deflator'!A:A,'US Implicit Deflator'!B:B)/100</f>
        <v>2.2000000000000002E-2</v>
      </c>
      <c r="Y584" s="154">
        <f t="shared" si="164"/>
        <v>1.8151029571964461E-3</v>
      </c>
      <c r="Z584" s="165">
        <f t="shared" ca="1" si="165"/>
        <v>4.768027058994015</v>
      </c>
      <c r="AA584" s="152">
        <f t="shared" si="166"/>
        <v>7</v>
      </c>
      <c r="AB584" s="153">
        <f t="shared" si="167"/>
        <v>39083</v>
      </c>
      <c r="AC584" s="155">
        <f t="shared" ca="1" si="168"/>
        <v>1.4322051949408958</v>
      </c>
    </row>
    <row r="585" spans="3:29">
      <c r="C585" s="152" t="str">
        <f>'Monthly Prices'!A573</f>
        <v>2007M02</v>
      </c>
      <c r="D585" s="153">
        <f t="shared" si="157"/>
        <v>39114</v>
      </c>
      <c r="E585" s="152">
        <f t="shared" si="158"/>
        <v>566</v>
      </c>
      <c r="F585" s="152" t="b">
        <f t="shared" si="152"/>
        <v>1</v>
      </c>
      <c r="G585" s="152" t="b">
        <f t="shared" si="153"/>
        <v>1</v>
      </c>
      <c r="H585" s="152" t="b">
        <f t="shared" si="154"/>
        <v>1</v>
      </c>
      <c r="I585" s="153">
        <f t="shared" si="155"/>
        <v>39114</v>
      </c>
      <c r="J585" s="158">
        <f>INDEX('Monthly Prices'!B573:CB573,$G$4)</f>
        <v>177.3489032</v>
      </c>
      <c r="K585" s="158">
        <f ca="1">IF(H585,INDEX('Monthly Prices'!B573:CB573,$G$4)*U585,FALSE)</f>
        <v>253.53981960378016</v>
      </c>
      <c r="L585" s="152" t="b">
        <f t="shared" si="159"/>
        <v>1</v>
      </c>
      <c r="M585" s="158">
        <f>INDEX('Monthly Prices'!B573:CB573,$G$5)</f>
        <v>151.0319169</v>
      </c>
      <c r="N585" s="158">
        <f ca="1">IF(H585,INDEX('Monthly Prices'!B573:CB573,$G$5)*U585,FALSE)</f>
        <v>215.91678479147831</v>
      </c>
      <c r="O585" s="152" t="b">
        <f t="shared" si="156"/>
        <v>1</v>
      </c>
      <c r="P585" s="152">
        <f t="shared" si="160"/>
        <v>2007</v>
      </c>
      <c r="Q585" s="159">
        <f>'Monthly Prices'!B573</f>
        <v>57.5625</v>
      </c>
      <c r="R585" s="159">
        <f t="shared" si="161"/>
        <v>71.116559010064165</v>
      </c>
      <c r="S585" s="155">
        <f>_xlfn.XLOOKUP(P585,'Annual Real'!A:A,'Annual Real'!B:B,0,0)</f>
        <v>74.522447633877803</v>
      </c>
      <c r="T585" s="155">
        <f t="shared" ca="1" si="162"/>
        <v>1.4296103050485636</v>
      </c>
      <c r="U585" s="152">
        <f t="shared" ca="1" si="163"/>
        <v>1.4296103050485636</v>
      </c>
      <c r="V585" s="152">
        <f t="shared" ca="1" si="169"/>
        <v>7.1726064489229455E-2</v>
      </c>
      <c r="W585" s="152">
        <f t="shared" ca="1" si="170"/>
        <v>-9.0753485563537205E-3</v>
      </c>
      <c r="X585" s="154">
        <f>LOOKUP(D585,'US Implicit Deflator'!A:A,'US Implicit Deflator'!B:B)/100</f>
        <v>2.2000000000000002E-2</v>
      </c>
      <c r="Y585" s="154">
        <f t="shared" si="164"/>
        <v>1.8151029571964461E-3</v>
      </c>
      <c r="Z585" s="165">
        <f t="shared" ca="1" si="165"/>
        <v>4.7766815190087879</v>
      </c>
      <c r="AA585" s="152">
        <f t="shared" si="166"/>
        <v>7</v>
      </c>
      <c r="AB585" s="153">
        <f t="shared" si="167"/>
        <v>39114</v>
      </c>
      <c r="AC585" s="155">
        <f t="shared" ca="1" si="168"/>
        <v>1.4296103050485636</v>
      </c>
    </row>
    <row r="586" spans="3:29">
      <c r="C586" s="152" t="str">
        <f>'Monthly Prices'!A574</f>
        <v>2007M03</v>
      </c>
      <c r="D586" s="153">
        <f t="shared" si="157"/>
        <v>39142</v>
      </c>
      <c r="E586" s="152">
        <f t="shared" si="158"/>
        <v>567</v>
      </c>
      <c r="F586" s="152" t="b">
        <f t="shared" si="152"/>
        <v>1</v>
      </c>
      <c r="G586" s="152" t="b">
        <f t="shared" si="153"/>
        <v>1</v>
      </c>
      <c r="H586" s="152" t="b">
        <f t="shared" si="154"/>
        <v>1</v>
      </c>
      <c r="I586" s="153">
        <f t="shared" si="155"/>
        <v>39142</v>
      </c>
      <c r="J586" s="158">
        <f>INDEX('Monthly Prices'!B574:CB574,$G$4)</f>
        <v>170.50674480000001</v>
      </c>
      <c r="K586" s="158">
        <f ca="1">IF(H586,INDEX('Monthly Prices'!B574:CB574,$G$4)*U586,FALSE)</f>
        <v>243.31655484812592</v>
      </c>
      <c r="L586" s="152" t="b">
        <f t="shared" si="159"/>
        <v>1</v>
      </c>
      <c r="M586" s="158">
        <f>INDEX('Monthly Prices'!B574:CB574,$G$5)</f>
        <v>157.0577883</v>
      </c>
      <c r="N586" s="158">
        <f ca="1">IF(H586,INDEX('Monthly Prices'!B574:CB574,$G$5)*U586,FALSE)</f>
        <v>224.12462337514694</v>
      </c>
      <c r="O586" s="152" t="b">
        <f t="shared" si="156"/>
        <v>1</v>
      </c>
      <c r="P586" s="152">
        <f t="shared" si="160"/>
        <v>2007</v>
      </c>
      <c r="Q586" s="159">
        <f>'Monthly Prices'!B574</f>
        <v>60.59984848485</v>
      </c>
      <c r="R586" s="159">
        <f t="shared" si="161"/>
        <v>71.116559010064165</v>
      </c>
      <c r="S586" s="155">
        <f>_xlfn.XLOOKUP(P586,'Annual Real'!A:A,'Annual Real'!B:B,0,0)</f>
        <v>74.522447633877803</v>
      </c>
      <c r="T586" s="155">
        <f t="shared" ca="1" si="162"/>
        <v>1.427020116614917</v>
      </c>
      <c r="U586" s="152">
        <f t="shared" ca="1" si="163"/>
        <v>1.427020116614917</v>
      </c>
      <c r="V586" s="152">
        <f t="shared" ca="1" si="169"/>
        <v>-4.1157599582381042E-2</v>
      </c>
      <c r="W586" s="152">
        <f t="shared" ca="1" si="170"/>
        <v>3.7309173641515335E-2</v>
      </c>
      <c r="X586" s="154">
        <f>LOOKUP(D586,'US Implicit Deflator'!A:A,'US Implicit Deflator'!B:B)/100</f>
        <v>2.2000000000000002E-2</v>
      </c>
      <c r="Y586" s="154">
        <f t="shared" si="164"/>
        <v>1.8151029571964461E-3</v>
      </c>
      <c r="Z586" s="165">
        <f t="shared" ca="1" si="165"/>
        <v>4.7853516877595261</v>
      </c>
      <c r="AA586" s="152">
        <f t="shared" si="166"/>
        <v>7</v>
      </c>
      <c r="AB586" s="153">
        <f t="shared" si="167"/>
        <v>39142</v>
      </c>
      <c r="AC586" s="155">
        <f t="shared" ca="1" si="168"/>
        <v>1.427020116614917</v>
      </c>
    </row>
    <row r="587" spans="3:29">
      <c r="C587" s="152" t="str">
        <f>'Monthly Prices'!A575</f>
        <v>2007M04</v>
      </c>
      <c r="D587" s="153">
        <f t="shared" si="157"/>
        <v>39173</v>
      </c>
      <c r="E587" s="152">
        <f t="shared" si="158"/>
        <v>568</v>
      </c>
      <c r="F587" s="152" t="b">
        <f t="shared" si="152"/>
        <v>1</v>
      </c>
      <c r="G587" s="152" t="b">
        <f t="shared" si="153"/>
        <v>1</v>
      </c>
      <c r="H587" s="152" t="b">
        <f t="shared" si="154"/>
        <v>1</v>
      </c>
      <c r="I587" s="153">
        <f t="shared" si="155"/>
        <v>39173</v>
      </c>
      <c r="J587" s="158">
        <f>INDEX('Monthly Prices'!B575:CB575,$G$4)</f>
        <v>152.74784</v>
      </c>
      <c r="K587" s="158">
        <f ca="1">IF(H587,INDEX('Monthly Prices'!B575:CB575,$G$4)*U587,FALSE)</f>
        <v>217.61483186215264</v>
      </c>
      <c r="L587" s="152" t="b">
        <f t="shared" si="159"/>
        <v>1</v>
      </c>
      <c r="M587" s="158">
        <f>INDEX('Monthly Prices'!B575:CB575,$G$5)</f>
        <v>157.1170037</v>
      </c>
      <c r="N587" s="158">
        <f ca="1">IF(H587,INDEX('Monthly Prices'!B575:CB575,$G$5)*U587,FALSE)</f>
        <v>223.83943591517047</v>
      </c>
      <c r="O587" s="152" t="b">
        <f t="shared" si="156"/>
        <v>1</v>
      </c>
      <c r="P587" s="152">
        <f t="shared" si="160"/>
        <v>2007</v>
      </c>
      <c r="Q587" s="159">
        <f>'Monthly Prices'!B575</f>
        <v>65.057640350880007</v>
      </c>
      <c r="R587" s="159">
        <f t="shared" si="161"/>
        <v>71.116559010064165</v>
      </c>
      <c r="S587" s="155">
        <f>_xlfn.XLOOKUP(P587,'Annual Real'!A:A,'Annual Real'!B:B,0,0)</f>
        <v>74.522447633877803</v>
      </c>
      <c r="T587" s="155">
        <f t="shared" ca="1" si="162"/>
        <v>1.4246671629671008</v>
      </c>
      <c r="U587" s="152">
        <f t="shared" ca="1" si="163"/>
        <v>1.4246671629671008</v>
      </c>
      <c r="V587" s="152">
        <f t="shared" ca="1" si="169"/>
        <v>-0.11163661662790789</v>
      </c>
      <c r="W587" s="152">
        <f t="shared" ca="1" si="170"/>
        <v>-1.2732606225460408E-3</v>
      </c>
      <c r="X587" s="154">
        <f>LOOKUP(D587,'US Implicit Deflator'!A:A,'US Implicit Deflator'!B:B)/100</f>
        <v>0.02</v>
      </c>
      <c r="Y587" s="154">
        <f t="shared" si="164"/>
        <v>1.6515813019202241E-3</v>
      </c>
      <c r="Z587" s="165">
        <f t="shared" ca="1" si="165"/>
        <v>4.7932550851301423</v>
      </c>
      <c r="AA587" s="152">
        <f t="shared" si="166"/>
        <v>7</v>
      </c>
      <c r="AB587" s="153">
        <f t="shared" si="167"/>
        <v>39173</v>
      </c>
      <c r="AC587" s="155">
        <f t="shared" ca="1" si="168"/>
        <v>1.4246671629671008</v>
      </c>
    </row>
    <row r="588" spans="3:29">
      <c r="C588" s="152" t="str">
        <f>'Monthly Prices'!A576</f>
        <v>2007M05</v>
      </c>
      <c r="D588" s="153">
        <f t="shared" si="157"/>
        <v>39203</v>
      </c>
      <c r="E588" s="152">
        <f t="shared" si="158"/>
        <v>569</v>
      </c>
      <c r="F588" s="152" t="b">
        <f t="shared" si="152"/>
        <v>1</v>
      </c>
      <c r="G588" s="152" t="b">
        <f t="shared" si="153"/>
        <v>1</v>
      </c>
      <c r="H588" s="152" t="b">
        <f t="shared" si="154"/>
        <v>1</v>
      </c>
      <c r="I588" s="153">
        <f t="shared" si="155"/>
        <v>39203</v>
      </c>
      <c r="J588" s="158">
        <f>INDEX('Monthly Prices'!B576:CB576,$G$4)</f>
        <v>160.22775999999999</v>
      </c>
      <c r="K588" s="158">
        <f ca="1">IF(H588,INDEX('Monthly Prices'!B576:CB576,$G$4)*U588,FALSE)</f>
        <v>227.89484140889849</v>
      </c>
      <c r="L588" s="152" t="b">
        <f t="shared" si="159"/>
        <v>1</v>
      </c>
      <c r="M588" s="158">
        <f>INDEX('Monthly Prices'!B576:CB576,$G$5)</f>
        <v>161.68943419999999</v>
      </c>
      <c r="N588" s="158">
        <f ca="1">IF(H588,INDEX('Monthly Prices'!B576:CB576,$G$5)*U588,FALSE)</f>
        <v>229.97380706379175</v>
      </c>
      <c r="O588" s="152" t="b">
        <f t="shared" si="156"/>
        <v>1</v>
      </c>
      <c r="P588" s="152">
        <f t="shared" si="160"/>
        <v>2007</v>
      </c>
      <c r="Q588" s="159">
        <f>'Monthly Prices'!B576</f>
        <v>65.157259552040003</v>
      </c>
      <c r="R588" s="159">
        <f t="shared" si="161"/>
        <v>71.116559010064165</v>
      </c>
      <c r="S588" s="155">
        <f>_xlfn.XLOOKUP(P588,'Annual Real'!A:A,'Annual Real'!B:B,0,0)</f>
        <v>74.522447633877803</v>
      </c>
      <c r="T588" s="155">
        <f t="shared" ca="1" si="162"/>
        <v>1.4223180890059157</v>
      </c>
      <c r="U588" s="152">
        <f t="shared" ca="1" si="163"/>
        <v>1.4223180890059157</v>
      </c>
      <c r="V588" s="152">
        <f t="shared" ca="1" si="169"/>
        <v>4.6157626877973042E-2</v>
      </c>
      <c r="W588" s="152">
        <f t="shared" ca="1" si="170"/>
        <v>2.7036429228646189E-2</v>
      </c>
      <c r="X588" s="154">
        <f>LOOKUP(D588,'US Implicit Deflator'!A:A,'US Implicit Deflator'!B:B)/100</f>
        <v>0.02</v>
      </c>
      <c r="Y588" s="154">
        <f t="shared" si="164"/>
        <v>1.6515813019202241E-3</v>
      </c>
      <c r="Z588" s="165">
        <f t="shared" ca="1" si="165"/>
        <v>4.8011715356040776</v>
      </c>
      <c r="AA588" s="152">
        <f t="shared" si="166"/>
        <v>7</v>
      </c>
      <c r="AB588" s="153">
        <f t="shared" si="167"/>
        <v>39203</v>
      </c>
      <c r="AC588" s="155">
        <f t="shared" ca="1" si="168"/>
        <v>1.4223180890059157</v>
      </c>
    </row>
    <row r="589" spans="3:29">
      <c r="C589" s="152" t="str">
        <f>'Monthly Prices'!A577</f>
        <v>2007M06</v>
      </c>
      <c r="D589" s="153">
        <f t="shared" si="157"/>
        <v>39234</v>
      </c>
      <c r="E589" s="152">
        <f t="shared" si="158"/>
        <v>570</v>
      </c>
      <c r="F589" s="152" t="b">
        <f t="shared" si="152"/>
        <v>1</v>
      </c>
      <c r="G589" s="152" t="b">
        <f t="shared" si="153"/>
        <v>1</v>
      </c>
      <c r="H589" s="152" t="b">
        <f t="shared" si="154"/>
        <v>1</v>
      </c>
      <c r="I589" s="153">
        <f t="shared" si="155"/>
        <v>39234</v>
      </c>
      <c r="J589" s="158">
        <f>INDEX('Monthly Prices'!B577:CB577,$G$4)</f>
        <v>165.24717999999999</v>
      </c>
      <c r="K589" s="158">
        <f ca="1">IF(H589,INDEX('Monthly Prices'!B577:CB577,$G$4)*U589,FALSE)</f>
        <v>234.64651547369945</v>
      </c>
      <c r="L589" s="152" t="b">
        <f t="shared" si="159"/>
        <v>1</v>
      </c>
      <c r="M589" s="158">
        <f>INDEX('Monthly Prices'!B577:CB577,$G$5)</f>
        <v>184.44876289999999</v>
      </c>
      <c r="N589" s="158">
        <f ca="1">IF(H589,INDEX('Monthly Prices'!B577:CB577,$G$5)*U589,FALSE)</f>
        <v>261.91224260480311</v>
      </c>
      <c r="O589" s="152" t="b">
        <f t="shared" si="156"/>
        <v>1</v>
      </c>
      <c r="P589" s="152">
        <f t="shared" si="160"/>
        <v>2007</v>
      </c>
      <c r="Q589" s="159">
        <f>'Monthly Prices'!B577</f>
        <v>68.188095238100004</v>
      </c>
      <c r="R589" s="159">
        <f t="shared" si="161"/>
        <v>71.116559010064165</v>
      </c>
      <c r="S589" s="155">
        <f>_xlfn.XLOOKUP(P589,'Annual Real'!A:A,'Annual Real'!B:B,0,0)</f>
        <v>74.522447633877803</v>
      </c>
      <c r="T589" s="155">
        <f t="shared" ca="1" si="162"/>
        <v>1.419972888334309</v>
      </c>
      <c r="U589" s="152">
        <f t="shared" ca="1" si="163"/>
        <v>1.419972888334309</v>
      </c>
      <c r="V589" s="152">
        <f t="shared" ca="1" si="169"/>
        <v>2.9195891573706893E-2</v>
      </c>
      <c r="W589" s="152">
        <f t="shared" ca="1" si="170"/>
        <v>0.13004407565534842</v>
      </c>
      <c r="X589" s="154">
        <f>LOOKUP(D589,'US Implicit Deflator'!A:A,'US Implicit Deflator'!B:B)/100</f>
        <v>0.02</v>
      </c>
      <c r="Y589" s="154">
        <f t="shared" si="164"/>
        <v>1.6515813019202241E-3</v>
      </c>
      <c r="Z589" s="165">
        <f t="shared" ca="1" si="165"/>
        <v>4.809101060739593</v>
      </c>
      <c r="AA589" s="152">
        <f t="shared" si="166"/>
        <v>7</v>
      </c>
      <c r="AB589" s="153">
        <f t="shared" si="167"/>
        <v>39234</v>
      </c>
      <c r="AC589" s="155">
        <f t="shared" ca="1" si="168"/>
        <v>1.419972888334309</v>
      </c>
    </row>
    <row r="590" spans="3:29">
      <c r="C590" s="152" t="str">
        <f>'Monthly Prices'!A578</f>
        <v>2007M07</v>
      </c>
      <c r="D590" s="153">
        <f t="shared" si="157"/>
        <v>39264</v>
      </c>
      <c r="E590" s="152">
        <f t="shared" si="158"/>
        <v>571</v>
      </c>
      <c r="F590" s="152" t="b">
        <f t="shared" si="152"/>
        <v>1</v>
      </c>
      <c r="G590" s="152" t="b">
        <f t="shared" si="153"/>
        <v>1</v>
      </c>
      <c r="H590" s="152" t="b">
        <f t="shared" si="154"/>
        <v>1</v>
      </c>
      <c r="I590" s="153">
        <f t="shared" si="155"/>
        <v>39264</v>
      </c>
      <c r="J590" s="158">
        <f>INDEX('Monthly Prices'!B578:CB578,$G$4)</f>
        <v>146.84263999999999</v>
      </c>
      <c r="K590" s="158">
        <f ca="1">IF(H590,INDEX('Monthly Prices'!B578:CB578,$G$4)*U590,FALSE)</f>
        <v>208.18577630916059</v>
      </c>
      <c r="L590" s="152" t="b">
        <f t="shared" si="159"/>
        <v>1</v>
      </c>
      <c r="M590" s="158">
        <f>INDEX('Monthly Prices'!B578:CB578,$G$5)</f>
        <v>177.9077053</v>
      </c>
      <c r="N590" s="158">
        <f ca="1">IF(H590,INDEX('Monthly Prices'!B578:CB578,$G$5)*U590,FALSE)</f>
        <v>252.22819297761103</v>
      </c>
      <c r="O590" s="152" t="b">
        <f t="shared" si="156"/>
        <v>1</v>
      </c>
      <c r="P590" s="152">
        <f t="shared" si="160"/>
        <v>2007</v>
      </c>
      <c r="Q590" s="159">
        <f>'Monthly Prices'!B578</f>
        <v>73.601695526699999</v>
      </c>
      <c r="R590" s="159">
        <f t="shared" si="161"/>
        <v>71.116559010064165</v>
      </c>
      <c r="S590" s="155">
        <f>_xlfn.XLOOKUP(P590,'Annual Real'!A:A,'Annual Real'!B:B,0,0)</f>
        <v>74.522447633877803</v>
      </c>
      <c r="T590" s="155">
        <f t="shared" ca="1" si="162"/>
        <v>1.4177474356846254</v>
      </c>
      <c r="U590" s="152">
        <f t="shared" ca="1" si="163"/>
        <v>1.4177474356846254</v>
      </c>
      <c r="V590" s="152">
        <f t="shared" ca="1" si="169"/>
        <v>-0.11964935583388357</v>
      </c>
      <c r="W590" s="152">
        <f t="shared" ca="1" si="170"/>
        <v>-3.7675290304623278E-2</v>
      </c>
      <c r="X590" s="154">
        <f>LOOKUP(D590,'US Implicit Deflator'!A:A,'US Implicit Deflator'!B:B)/100</f>
        <v>1.9E-2</v>
      </c>
      <c r="Y590" s="154">
        <f t="shared" si="164"/>
        <v>1.5697102274137009E-3</v>
      </c>
      <c r="Z590" s="165">
        <f t="shared" ca="1" si="165"/>
        <v>4.8166499558593019</v>
      </c>
      <c r="AA590" s="152">
        <f t="shared" si="166"/>
        <v>7</v>
      </c>
      <c r="AB590" s="153">
        <f t="shared" si="167"/>
        <v>39264</v>
      </c>
      <c r="AC590" s="155">
        <f t="shared" ca="1" si="168"/>
        <v>1.4177474356846254</v>
      </c>
    </row>
    <row r="591" spans="3:29">
      <c r="C591" s="152" t="str">
        <f>'Monthly Prices'!A579</f>
        <v>2007M08</v>
      </c>
      <c r="D591" s="153">
        <f t="shared" si="157"/>
        <v>39295</v>
      </c>
      <c r="E591" s="152">
        <f t="shared" si="158"/>
        <v>572</v>
      </c>
      <c r="F591" s="152" t="b">
        <f t="shared" si="152"/>
        <v>1</v>
      </c>
      <c r="G591" s="152" t="b">
        <f t="shared" si="153"/>
        <v>0</v>
      </c>
      <c r="H591" s="152" t="b">
        <f t="shared" si="154"/>
        <v>0</v>
      </c>
      <c r="I591" s="153" t="e">
        <f t="shared" si="155"/>
        <v>#N/A</v>
      </c>
      <c r="J591" s="158">
        <f>INDEX('Monthly Prices'!B579:CB579,$G$4)</f>
        <v>151.17312000000001</v>
      </c>
      <c r="K591" s="158" t="b">
        <f>IF(H591,INDEX('Monthly Prices'!B579:CB579,$G$4)*U591,FALSE)</f>
        <v>0</v>
      </c>
      <c r="L591" s="152" t="b">
        <f t="shared" si="159"/>
        <v>1</v>
      </c>
      <c r="M591" s="158">
        <f>INDEX('Monthly Prices'!B579:CB579,$G$5)</f>
        <v>158.88335710000001</v>
      </c>
      <c r="N591" s="158" t="b">
        <f>IF(H591,INDEX('Monthly Prices'!B579:CB579,$G$5)*U591,FALSE)</f>
        <v>0</v>
      </c>
      <c r="O591" s="152" t="b">
        <f t="shared" si="156"/>
        <v>1</v>
      </c>
      <c r="P591" s="152">
        <f t="shared" si="160"/>
        <v>2007</v>
      </c>
      <c r="Q591" s="159">
        <f>'Monthly Prices'!B579</f>
        <v>70.126811594200007</v>
      </c>
      <c r="R591" s="159">
        <f t="shared" si="161"/>
        <v>71.116559010064165</v>
      </c>
      <c r="S591" s="155">
        <f>_xlfn.XLOOKUP(P591,'Annual Real'!A:A,'Annual Real'!B:B,0,0)</f>
        <v>74.522447633877803</v>
      </c>
      <c r="T591" s="155">
        <f t="shared" ca="1" si="162"/>
        <v>1.4155254708758269</v>
      </c>
      <c r="U591" s="152">
        <f t="shared" ca="1" si="163"/>
        <v>1.4155254708758269</v>
      </c>
      <c r="V591" s="152" t="b">
        <f t="shared" si="169"/>
        <v>0</v>
      </c>
      <c r="W591" s="152" t="b">
        <f t="shared" si="170"/>
        <v>0</v>
      </c>
      <c r="X591" s="154">
        <f>LOOKUP(D591,'US Implicit Deflator'!A:A,'US Implicit Deflator'!B:B)/100</f>
        <v>1.9E-2</v>
      </c>
      <c r="Y591" s="154">
        <f t="shared" si="164"/>
        <v>1.5697102274137009E-3</v>
      </c>
      <c r="Z591" s="165">
        <f t="shared" ca="1" si="165"/>
        <v>4.8242107005568862</v>
      </c>
      <c r="AA591" s="152">
        <f t="shared" si="166"/>
        <v>7</v>
      </c>
      <c r="AB591" s="153">
        <f t="shared" si="167"/>
        <v>39295</v>
      </c>
      <c r="AC591" s="155">
        <f t="shared" ca="1" si="168"/>
        <v>1.4155254708758269</v>
      </c>
    </row>
    <row r="592" spans="3:29">
      <c r="C592" s="152" t="str">
        <f>'Monthly Prices'!A580</f>
        <v>2007M09</v>
      </c>
      <c r="D592" s="153">
        <f t="shared" si="157"/>
        <v>39326</v>
      </c>
      <c r="E592" s="152">
        <f t="shared" si="158"/>
        <v>573</v>
      </c>
      <c r="F592" s="152" t="b">
        <f t="shared" si="152"/>
        <v>1</v>
      </c>
      <c r="G592" s="152" t="b">
        <f t="shared" si="153"/>
        <v>0</v>
      </c>
      <c r="H592" s="152" t="b">
        <f t="shared" si="154"/>
        <v>0</v>
      </c>
      <c r="I592" s="153" t="e">
        <f t="shared" si="155"/>
        <v>#N/A</v>
      </c>
      <c r="J592" s="158">
        <f>INDEX('Monthly Prices'!B580:CB580,$G$4)</f>
        <v>159.44040000000001</v>
      </c>
      <c r="K592" s="158" t="b">
        <f>IF(H592,INDEX('Monthly Prices'!B580:CB580,$G$4)*U592,FALSE)</f>
        <v>0</v>
      </c>
      <c r="L592" s="152" t="b">
        <f t="shared" si="159"/>
        <v>1</v>
      </c>
      <c r="M592" s="158">
        <f>INDEX('Monthly Prices'!B580:CB580,$G$5)</f>
        <v>184.65565799999999</v>
      </c>
      <c r="N592" s="158" t="b">
        <f>IF(H592,INDEX('Monthly Prices'!B580:CB580,$G$5)*U592,FALSE)</f>
        <v>0</v>
      </c>
      <c r="O592" s="152" t="b">
        <f t="shared" si="156"/>
        <v>1</v>
      </c>
      <c r="P592" s="152">
        <f t="shared" si="160"/>
        <v>2007</v>
      </c>
      <c r="Q592" s="159">
        <f>'Monthly Prices'!B580</f>
        <v>76.76243859649</v>
      </c>
      <c r="R592" s="159">
        <f t="shared" si="161"/>
        <v>71.116559010064165</v>
      </c>
      <c r="S592" s="155">
        <f>_xlfn.XLOOKUP(P592,'Annual Real'!A:A,'Annual Real'!B:B,0,0)</f>
        <v>74.522447633877803</v>
      </c>
      <c r="T592" s="155">
        <f t="shared" ca="1" si="162"/>
        <v>1.413306988441595</v>
      </c>
      <c r="U592" s="152">
        <f t="shared" ca="1" si="163"/>
        <v>1.413306988441595</v>
      </c>
      <c r="V592" s="152" t="b">
        <f t="shared" si="169"/>
        <v>0</v>
      </c>
      <c r="W592" s="152" t="b">
        <f t="shared" si="170"/>
        <v>0</v>
      </c>
      <c r="X592" s="154">
        <f>LOOKUP(D592,'US Implicit Deflator'!A:A,'US Implicit Deflator'!B:B)/100</f>
        <v>1.9E-2</v>
      </c>
      <c r="Y592" s="154">
        <f t="shared" si="164"/>
        <v>1.5697102274137009E-3</v>
      </c>
      <c r="Z592" s="165">
        <f t="shared" ca="1" si="165"/>
        <v>4.8317833134327488</v>
      </c>
      <c r="AA592" s="152">
        <f t="shared" si="166"/>
        <v>7</v>
      </c>
      <c r="AB592" s="153">
        <f t="shared" si="167"/>
        <v>39326</v>
      </c>
      <c r="AC592" s="155">
        <f t="shared" ca="1" si="168"/>
        <v>1.413306988441595</v>
      </c>
    </row>
    <row r="593" spans="3:29">
      <c r="C593" s="152" t="str">
        <f>'Monthly Prices'!A581</f>
        <v>2007M10</v>
      </c>
      <c r="D593" s="153">
        <f t="shared" si="157"/>
        <v>39356</v>
      </c>
      <c r="E593" s="152">
        <f t="shared" si="158"/>
        <v>574</v>
      </c>
      <c r="F593" s="152" t="b">
        <f t="shared" si="152"/>
        <v>1</v>
      </c>
      <c r="G593" s="152" t="b">
        <f t="shared" si="153"/>
        <v>0</v>
      </c>
      <c r="H593" s="152" t="b">
        <f t="shared" si="154"/>
        <v>0</v>
      </c>
      <c r="I593" s="153" t="e">
        <f t="shared" si="155"/>
        <v>#N/A</v>
      </c>
      <c r="J593" s="158">
        <f>INDEX('Monthly Prices'!B581:CB581,$G$4)</f>
        <v>164.16455999999999</v>
      </c>
      <c r="K593" s="158" t="b">
        <f>IF(H593,INDEX('Monthly Prices'!B581:CB581,$G$4)*U593,FALSE)</f>
        <v>0</v>
      </c>
      <c r="L593" s="152" t="b">
        <f t="shared" si="159"/>
        <v>1</v>
      </c>
      <c r="M593" s="158">
        <f>INDEX('Monthly Prices'!B581:CB581,$G$5)</f>
        <v>197.10726639999999</v>
      </c>
      <c r="N593" s="158" t="b">
        <f>IF(H593,INDEX('Monthly Prices'!B581:CB581,$G$5)*U593,FALSE)</f>
        <v>0</v>
      </c>
      <c r="O593" s="152" t="b">
        <f t="shared" si="156"/>
        <v>1</v>
      </c>
      <c r="P593" s="152">
        <f t="shared" si="160"/>
        <v>2007</v>
      </c>
      <c r="Q593" s="159">
        <f>'Monthly Prices'!B581</f>
        <v>81.967246376809996</v>
      </c>
      <c r="R593" s="159">
        <f t="shared" si="161"/>
        <v>71.116559010064165</v>
      </c>
      <c r="S593" s="155">
        <f>_xlfn.XLOOKUP(P593,'Annual Real'!A:A,'Annual Real'!B:B,0,0)</f>
        <v>74.522447633877803</v>
      </c>
      <c r="T593" s="155">
        <f t="shared" ca="1" si="162"/>
        <v>1.4109766457959523</v>
      </c>
      <c r="U593" s="152">
        <f t="shared" ca="1" si="163"/>
        <v>1.4109766457959523</v>
      </c>
      <c r="V593" s="152" t="b">
        <f t="shared" si="169"/>
        <v>0</v>
      </c>
      <c r="W593" s="152" t="b">
        <f t="shared" si="170"/>
        <v>0</v>
      </c>
      <c r="X593" s="154">
        <f>LOOKUP(D593,'US Implicit Deflator'!A:A,'US Implicit Deflator'!B:B)/100</f>
        <v>0.02</v>
      </c>
      <c r="Y593" s="154">
        <f t="shared" si="164"/>
        <v>1.6515813019202241E-3</v>
      </c>
      <c r="Z593" s="165">
        <f t="shared" ca="1" si="165"/>
        <v>4.8397633964081441</v>
      </c>
      <c r="AA593" s="152">
        <f t="shared" si="166"/>
        <v>7</v>
      </c>
      <c r="AB593" s="153">
        <f t="shared" si="167"/>
        <v>39356</v>
      </c>
      <c r="AC593" s="155">
        <f t="shared" ca="1" si="168"/>
        <v>1.4109766457959523</v>
      </c>
    </row>
    <row r="594" spans="3:29">
      <c r="C594" s="152" t="str">
        <f>'Monthly Prices'!A582</f>
        <v>2007M11</v>
      </c>
      <c r="D594" s="153">
        <f t="shared" si="157"/>
        <v>39387</v>
      </c>
      <c r="E594" s="152">
        <f t="shared" si="158"/>
        <v>575</v>
      </c>
      <c r="F594" s="152" t="b">
        <f t="shared" si="152"/>
        <v>1</v>
      </c>
      <c r="G594" s="152" t="b">
        <f t="shared" si="153"/>
        <v>0</v>
      </c>
      <c r="H594" s="152" t="b">
        <f t="shared" si="154"/>
        <v>0</v>
      </c>
      <c r="I594" s="153" t="e">
        <f t="shared" si="155"/>
        <v>#N/A</v>
      </c>
      <c r="J594" s="158">
        <f>INDEX('Monthly Prices'!B582:CB582,$G$4)</f>
        <v>171.2508</v>
      </c>
      <c r="K594" s="158" t="b">
        <f>IF(H594,INDEX('Monthly Prices'!B582:CB582,$G$4)*U594,FALSE)</f>
        <v>0</v>
      </c>
      <c r="L594" s="152" t="b">
        <f t="shared" si="159"/>
        <v>1</v>
      </c>
      <c r="M594" s="158">
        <f>INDEX('Monthly Prices'!B582:CB582,$G$5)</f>
        <v>187.60857279999999</v>
      </c>
      <c r="N594" s="158" t="b">
        <f>IF(H594,INDEX('Monthly Prices'!B582:CB582,$G$5)*U594,FALSE)</f>
        <v>0</v>
      </c>
      <c r="O594" s="152" t="b">
        <f t="shared" si="156"/>
        <v>1</v>
      </c>
      <c r="P594" s="152">
        <f t="shared" si="160"/>
        <v>2007</v>
      </c>
      <c r="Q594" s="159">
        <f>'Monthly Prices'!B582</f>
        <v>91.338261183260002</v>
      </c>
      <c r="R594" s="159">
        <f t="shared" si="161"/>
        <v>71.116559010064165</v>
      </c>
      <c r="S594" s="155">
        <f>_xlfn.XLOOKUP(P594,'Annual Real'!A:A,'Annual Real'!B:B,0,0)</f>
        <v>74.522447633877803</v>
      </c>
      <c r="T594" s="155">
        <f t="shared" ca="1" si="162"/>
        <v>1.408650145554607</v>
      </c>
      <c r="U594" s="152">
        <f t="shared" ca="1" si="163"/>
        <v>1.408650145554607</v>
      </c>
      <c r="V594" s="152" t="b">
        <f t="shared" si="169"/>
        <v>0</v>
      </c>
      <c r="W594" s="152" t="b">
        <f t="shared" si="170"/>
        <v>0</v>
      </c>
      <c r="X594" s="154">
        <f>LOOKUP(D594,'US Implicit Deflator'!A:A,'US Implicit Deflator'!B:B)/100</f>
        <v>0.02</v>
      </c>
      <c r="Y594" s="154">
        <f t="shared" si="164"/>
        <v>1.6515813019202241E-3</v>
      </c>
      <c r="Z594" s="165">
        <f t="shared" ca="1" si="165"/>
        <v>4.8477566591393702</v>
      </c>
      <c r="AA594" s="152">
        <f t="shared" si="166"/>
        <v>7</v>
      </c>
      <c r="AB594" s="153">
        <f t="shared" si="167"/>
        <v>39387</v>
      </c>
      <c r="AC594" s="155">
        <f t="shared" ca="1" si="168"/>
        <v>1.408650145554607</v>
      </c>
    </row>
    <row r="595" spans="3:29">
      <c r="C595" s="152" t="str">
        <f>'Monthly Prices'!A583</f>
        <v>2007M12</v>
      </c>
      <c r="D595" s="153">
        <f t="shared" si="157"/>
        <v>39417</v>
      </c>
      <c r="E595" s="152">
        <f t="shared" si="158"/>
        <v>576</v>
      </c>
      <c r="F595" s="152" t="b">
        <f t="shared" si="152"/>
        <v>1</v>
      </c>
      <c r="G595" s="152" t="b">
        <f t="shared" si="153"/>
        <v>0</v>
      </c>
      <c r="H595" s="152" t="b">
        <f t="shared" si="154"/>
        <v>0</v>
      </c>
      <c r="I595" s="153" t="e">
        <f t="shared" si="155"/>
        <v>#N/A</v>
      </c>
      <c r="J595" s="158">
        <f>INDEX('Monthly Prices'!B583:CB583,$G$4)</f>
        <v>180.25426160000001</v>
      </c>
      <c r="K595" s="158" t="b">
        <f>IF(H595,INDEX('Monthly Prices'!B583:CB583,$G$4)*U595,FALSE)</f>
        <v>0</v>
      </c>
      <c r="L595" s="152" t="b">
        <f t="shared" si="159"/>
        <v>1</v>
      </c>
      <c r="M595" s="158">
        <f>INDEX('Monthly Prices'!B583:CB583,$G$5)</f>
        <v>198.9344557</v>
      </c>
      <c r="N595" s="158" t="b">
        <f>IF(H595,INDEX('Monthly Prices'!B583:CB583,$G$5)*U595,FALSE)</f>
        <v>0</v>
      </c>
      <c r="O595" s="152" t="b">
        <f t="shared" si="156"/>
        <v>1</v>
      </c>
      <c r="P595" s="152">
        <f t="shared" si="160"/>
        <v>2007</v>
      </c>
      <c r="Q595" s="159">
        <f>'Monthly Prices'!B583</f>
        <v>89.519941520469999</v>
      </c>
      <c r="R595" s="159">
        <f t="shared" si="161"/>
        <v>71.116559010064165</v>
      </c>
      <c r="S595" s="155">
        <f>_xlfn.XLOOKUP(P595,'Annual Real'!A:A,'Annual Real'!B:B,0,0)</f>
        <v>74.522447633877803</v>
      </c>
      <c r="T595" s="155">
        <f t="shared" ca="1" si="162"/>
        <v>1.4063274813819799</v>
      </c>
      <c r="U595" s="152">
        <f t="shared" ca="1" si="163"/>
        <v>1.4063274813819799</v>
      </c>
      <c r="V595" s="152" t="b">
        <f t="shared" si="169"/>
        <v>0</v>
      </c>
      <c r="W595" s="152" t="b">
        <f t="shared" si="170"/>
        <v>0</v>
      </c>
      <c r="X595" s="154">
        <f>LOOKUP(D595,'US Implicit Deflator'!A:A,'US Implicit Deflator'!B:B)/100</f>
        <v>0.02</v>
      </c>
      <c r="Y595" s="154">
        <f t="shared" si="164"/>
        <v>1.6515813019202241E-3</v>
      </c>
      <c r="Z595" s="165">
        <f t="shared" ca="1" si="165"/>
        <v>4.8557631233938636</v>
      </c>
      <c r="AA595" s="152">
        <f t="shared" si="166"/>
        <v>7</v>
      </c>
      <c r="AB595" s="153">
        <f t="shared" si="167"/>
        <v>39417</v>
      </c>
      <c r="AC595" s="155">
        <f t="shared" ca="1" si="168"/>
        <v>1.4063274813819799</v>
      </c>
    </row>
    <row r="596" spans="3:29">
      <c r="C596" s="152" t="str">
        <f>'Monthly Prices'!A584</f>
        <v>2008M01</v>
      </c>
      <c r="D596" s="153">
        <f t="shared" si="157"/>
        <v>39448</v>
      </c>
      <c r="E596" s="152">
        <f t="shared" si="158"/>
        <v>577</v>
      </c>
      <c r="F596" s="152" t="b">
        <f t="shared" ref="F596:F659" si="171">AND(E596&gt;=$M$4,L596)</f>
        <v>1</v>
      </c>
      <c r="G596" s="152" t="b">
        <f t="shared" ref="G596:G659" si="172">AND(E596&lt;=$M$5,O596)</f>
        <v>0</v>
      </c>
      <c r="H596" s="152" t="b">
        <f t="shared" ref="H596:H659" si="173">AND(F596:G596)</f>
        <v>0</v>
      </c>
      <c r="I596" s="153" t="e">
        <f t="shared" ref="I596:I659" si="174">IF(H596,D596,NA)</f>
        <v>#N/A</v>
      </c>
      <c r="J596" s="158">
        <f>INDEX('Monthly Prices'!B584:CB584,$G$4)</f>
        <v>206.662316</v>
      </c>
      <c r="K596" s="158" t="b">
        <f>IF(H596,INDEX('Monthly Prices'!B584:CB584,$G$4)*U596,FALSE)</f>
        <v>0</v>
      </c>
      <c r="L596" s="152" t="b">
        <f t="shared" si="159"/>
        <v>1</v>
      </c>
      <c r="M596" s="158">
        <f>INDEX('Monthly Prices'!B584:CB584,$G$5)</f>
        <v>205.48559940404999</v>
      </c>
      <c r="N596" s="158" t="b">
        <f>IF(H596,INDEX('Monthly Prices'!B584:CB584,$G$5)*U596,FALSE)</f>
        <v>0</v>
      </c>
      <c r="O596" s="152" t="b">
        <f t="shared" ref="O596:O659" si="175">AND(ISNUMBER(M596),M596&gt;0)</f>
        <v>1</v>
      </c>
      <c r="P596" s="152">
        <f t="shared" si="160"/>
        <v>2008</v>
      </c>
      <c r="Q596" s="159">
        <f>'Monthly Prices'!B584</f>
        <v>90.689935064940002</v>
      </c>
      <c r="R596" s="159">
        <f t="shared" si="161"/>
        <v>96.99045375846417</v>
      </c>
      <c r="S596" s="155">
        <f>_xlfn.XLOOKUP(P596,'Annual Real'!A:A,'Annual Real'!B:B,0,0)</f>
        <v>94.317583667592203</v>
      </c>
      <c r="T596" s="155">
        <f t="shared" ca="1" si="162"/>
        <v>1.4046990884046597</v>
      </c>
      <c r="U596" s="152">
        <f t="shared" ca="1" si="163"/>
        <v>1.4046990884046597</v>
      </c>
      <c r="V596" s="152" t="b">
        <f t="shared" si="169"/>
        <v>0</v>
      </c>
      <c r="W596" s="152" t="b">
        <f t="shared" si="170"/>
        <v>0</v>
      </c>
      <c r="X596" s="154">
        <f>LOOKUP(D596,'US Implicit Deflator'!A:A,'US Implicit Deflator'!B:B)/100</f>
        <v>1.3999999999999999E-2</v>
      </c>
      <c r="Y596" s="154">
        <f t="shared" si="164"/>
        <v>1.1592468385308585E-3</v>
      </c>
      <c r="Z596" s="165">
        <f t="shared" ca="1" si="165"/>
        <v>4.8613921514433125</v>
      </c>
      <c r="AA596" s="152">
        <f t="shared" si="166"/>
        <v>7</v>
      </c>
      <c r="AB596" s="153">
        <f t="shared" si="167"/>
        <v>39448</v>
      </c>
      <c r="AC596" s="155">
        <f t="shared" ca="1" si="168"/>
        <v>1.4046990884046597</v>
      </c>
    </row>
    <row r="597" spans="3:29">
      <c r="C597" s="152" t="str">
        <f>'Monthly Prices'!A585</f>
        <v>2008M02</v>
      </c>
      <c r="D597" s="153">
        <f t="shared" ref="D597:D660" si="176">EDATE(D596,1)</f>
        <v>39479</v>
      </c>
      <c r="E597" s="152">
        <f t="shared" ref="E597:E660" si="177">E596+1</f>
        <v>578</v>
      </c>
      <c r="F597" s="152" t="b">
        <f t="shared" si="171"/>
        <v>1</v>
      </c>
      <c r="G597" s="152" t="b">
        <f t="shared" si="172"/>
        <v>0</v>
      </c>
      <c r="H597" s="152" t="b">
        <f t="shared" si="173"/>
        <v>0</v>
      </c>
      <c r="I597" s="153" t="e">
        <f t="shared" si="174"/>
        <v>#N/A</v>
      </c>
      <c r="J597" s="158">
        <f>INDEX('Monthly Prices'!B585:CB585,$G$4)</f>
        <v>220.06711999999999</v>
      </c>
      <c r="K597" s="158" t="b">
        <f>IF(H597,INDEX('Monthly Prices'!B585:CB585,$G$4)*U597,FALSE)</f>
        <v>0</v>
      </c>
      <c r="L597" s="152" t="b">
        <f t="shared" ref="L597:L660" si="178">ISNUMBER(J597)</f>
        <v>1</v>
      </c>
      <c r="M597" s="158">
        <f>INDEX('Monthly Prices'!B585:CB585,$G$5)</f>
        <v>216.38691209000001</v>
      </c>
      <c r="N597" s="158" t="b">
        <f>IF(H597,INDEX('Monthly Prices'!B585:CB585,$G$5)*U597,FALSE)</f>
        <v>0</v>
      </c>
      <c r="O597" s="152" t="b">
        <f t="shared" si="175"/>
        <v>1</v>
      </c>
      <c r="P597" s="152">
        <f t="shared" ref="P597:P660" si="179">YEAR(D597)</f>
        <v>2008</v>
      </c>
      <c r="Q597" s="159">
        <f>'Monthly Prices'!B585</f>
        <v>93.387590643270002</v>
      </c>
      <c r="R597" s="159">
        <f t="shared" ref="R597:R660" si="180">AVERAGEIF(P:P,P597,Q:Q)</f>
        <v>96.99045375846417</v>
      </c>
      <c r="S597" s="155">
        <f>_xlfn.XLOOKUP(P597,'Annual Real'!A:A,'Annual Real'!B:B,0,0)</f>
        <v>94.317583667592203</v>
      </c>
      <c r="T597" s="155">
        <f t="shared" ref="T597:T660" ca="1" si="181">AC597</f>
        <v>1.403072580950963</v>
      </c>
      <c r="U597" s="152">
        <f t="shared" ref="U597:U660" ca="1" si="182">IF($U$19,T597,1)</f>
        <v>1.403072580950963</v>
      </c>
      <c r="V597" s="152" t="b">
        <f t="shared" si="169"/>
        <v>0</v>
      </c>
      <c r="W597" s="152" t="b">
        <f t="shared" si="170"/>
        <v>0</v>
      </c>
      <c r="X597" s="154">
        <f>LOOKUP(D597,'US Implicit Deflator'!A:A,'US Implicit Deflator'!B:B)/100</f>
        <v>1.3999999999999999E-2</v>
      </c>
      <c r="Y597" s="154">
        <f t="shared" ref="Y597:Y660" si="183">(1+X597)^(1/12)-1</f>
        <v>1.1592468385308585E-3</v>
      </c>
      <c r="Z597" s="165">
        <f t="shared" ref="Z597:Z660" ca="1" si="184">Z596*(1+Y597)</f>
        <v>4.8670277049257322</v>
      </c>
      <c r="AA597" s="152">
        <f t="shared" ref="AA597:AA660" si="185">LEN(C597)</f>
        <v>7</v>
      </c>
      <c r="AB597" s="153">
        <f t="shared" ref="AB597:AB660" si="186">IF(AA597&gt;2,D597,0)</f>
        <v>39479</v>
      </c>
      <c r="AC597" s="155">
        <f t="shared" ref="AC597:AC660" ca="1" si="187">$AC$17/Z597</f>
        <v>1.403072580950963</v>
      </c>
    </row>
    <row r="598" spans="3:29">
      <c r="C598" s="152" t="str">
        <f>'Monthly Prices'!A586</f>
        <v>2008M03</v>
      </c>
      <c r="D598" s="153">
        <f t="shared" si="176"/>
        <v>39508</v>
      </c>
      <c r="E598" s="152">
        <f t="shared" si="177"/>
        <v>579</v>
      </c>
      <c r="F598" s="152" t="b">
        <f t="shared" si="171"/>
        <v>1</v>
      </c>
      <c r="G598" s="152" t="b">
        <f t="shared" si="172"/>
        <v>0</v>
      </c>
      <c r="H598" s="152" t="b">
        <f t="shared" si="173"/>
        <v>0</v>
      </c>
      <c r="I598" s="153" t="e">
        <f t="shared" si="174"/>
        <v>#N/A</v>
      </c>
      <c r="J598" s="158">
        <f>INDEX('Monthly Prices'!B586:CB586,$G$4)</f>
        <v>234.35770400000001</v>
      </c>
      <c r="K598" s="158" t="b">
        <f>IF(H598,INDEX('Monthly Prices'!B586:CB586,$G$4)*U598,FALSE)</f>
        <v>0</v>
      </c>
      <c r="L598" s="152" t="b">
        <f t="shared" si="178"/>
        <v>1</v>
      </c>
      <c r="M598" s="158">
        <f>INDEX('Monthly Prices'!B586:CB586,$G$5)</f>
        <v>228.62588944442999</v>
      </c>
      <c r="N598" s="158" t="b">
        <f>IF(H598,INDEX('Monthly Prices'!B586:CB586,$G$5)*U598,FALSE)</f>
        <v>0</v>
      </c>
      <c r="O598" s="152" t="b">
        <f t="shared" si="175"/>
        <v>1</v>
      </c>
      <c r="P598" s="152">
        <f t="shared" si="179"/>
        <v>2008</v>
      </c>
      <c r="Q598" s="159">
        <f>'Monthly Prices'!B586</f>
        <v>101.84283333333001</v>
      </c>
      <c r="R598" s="159">
        <f t="shared" si="180"/>
        <v>96.99045375846417</v>
      </c>
      <c r="S598" s="155">
        <f>_xlfn.XLOOKUP(P598,'Annual Real'!A:A,'Annual Real'!B:B,0,0)</f>
        <v>94.317583667592203</v>
      </c>
      <c r="T598" s="155">
        <f t="shared" ca="1" si="181"/>
        <v>1.4014479568376335</v>
      </c>
      <c r="U598" s="152">
        <f t="shared" ca="1" si="182"/>
        <v>1.4014479568376335</v>
      </c>
      <c r="V598" s="152" t="b">
        <f t="shared" ref="V598:V661" si="188">IF(AND(H597,H598),LN(K598/K597))</f>
        <v>0</v>
      </c>
      <c r="W598" s="152" t="b">
        <f t="shared" ref="W598:W661" si="189">IF(AND($H597,$H598),LN(N598/N597))</f>
        <v>0</v>
      </c>
      <c r="X598" s="154">
        <f>LOOKUP(D598,'US Implicit Deflator'!A:A,'US Implicit Deflator'!B:B)/100</f>
        <v>1.3999999999999999E-2</v>
      </c>
      <c r="Y598" s="154">
        <f t="shared" si="183"/>
        <v>1.1592468385308585E-3</v>
      </c>
      <c r="Z598" s="165">
        <f t="shared" ca="1" si="184"/>
        <v>4.8726697914057091</v>
      </c>
      <c r="AA598" s="152">
        <f t="shared" si="185"/>
        <v>7</v>
      </c>
      <c r="AB598" s="153">
        <f t="shared" si="186"/>
        <v>39508</v>
      </c>
      <c r="AC598" s="155">
        <f t="shared" ca="1" si="187"/>
        <v>1.4014479568376335</v>
      </c>
    </row>
    <row r="599" spans="3:29">
      <c r="C599" s="152" t="str">
        <f>'Monthly Prices'!A587</f>
        <v>2008M04</v>
      </c>
      <c r="D599" s="153">
        <f t="shared" si="176"/>
        <v>39539</v>
      </c>
      <c r="E599" s="152">
        <f t="shared" si="177"/>
        <v>580</v>
      </c>
      <c r="F599" s="152" t="b">
        <f t="shared" si="171"/>
        <v>1</v>
      </c>
      <c r="G599" s="152" t="b">
        <f t="shared" si="172"/>
        <v>0</v>
      </c>
      <c r="H599" s="152" t="b">
        <f t="shared" si="173"/>
        <v>0</v>
      </c>
      <c r="I599" s="153" t="e">
        <f t="shared" si="174"/>
        <v>#N/A</v>
      </c>
      <c r="J599" s="158">
        <f>INDEX('Monthly Prices'!B587:CB587,$G$4)</f>
        <v>246.44368</v>
      </c>
      <c r="K599" s="158" t="b">
        <f>IF(H599,INDEX('Monthly Prices'!B587:CB587,$G$4)*U599,FALSE)</f>
        <v>0</v>
      </c>
      <c r="L599" s="152" t="b">
        <f t="shared" si="178"/>
        <v>1</v>
      </c>
      <c r="M599" s="158">
        <f>INDEX('Monthly Prices'!B587:CB587,$G$5)</f>
        <v>237.77293359887</v>
      </c>
      <c r="N599" s="158" t="b">
        <f>IF(H599,INDEX('Monthly Prices'!B587:CB587,$G$5)*U599,FALSE)</f>
        <v>0</v>
      </c>
      <c r="O599" s="152" t="b">
        <f t="shared" si="175"/>
        <v>1</v>
      </c>
      <c r="P599" s="152">
        <f t="shared" si="179"/>
        <v>2008</v>
      </c>
      <c r="Q599" s="159">
        <f>'Monthly Prices'!B587</f>
        <v>108.75818181818001</v>
      </c>
      <c r="R599" s="159">
        <f t="shared" si="180"/>
        <v>96.99045375846417</v>
      </c>
      <c r="S599" s="155">
        <f>_xlfn.XLOOKUP(P599,'Annual Real'!A:A,'Annual Real'!B:B,0,0)</f>
        <v>94.317583667592203</v>
      </c>
      <c r="T599" s="155">
        <f t="shared" ca="1" si="181"/>
        <v>1.4000555430761226</v>
      </c>
      <c r="U599" s="152">
        <f t="shared" ca="1" si="182"/>
        <v>1.4000555430761226</v>
      </c>
      <c r="V599" s="152" t="b">
        <f t="shared" si="188"/>
        <v>0</v>
      </c>
      <c r="W599" s="152" t="b">
        <f t="shared" si="189"/>
        <v>0</v>
      </c>
      <c r="X599" s="154">
        <f>LOOKUP(D599,'US Implicit Deflator'!A:A,'US Implicit Deflator'!B:B)/100</f>
        <v>1.2E-2</v>
      </c>
      <c r="Y599" s="154">
        <f t="shared" si="183"/>
        <v>9.9454180114277868E-4</v>
      </c>
      <c r="Z599" s="165">
        <f t="shared" ca="1" si="184"/>
        <v>4.8775158651964281</v>
      </c>
      <c r="AA599" s="152">
        <f t="shared" si="185"/>
        <v>7</v>
      </c>
      <c r="AB599" s="153">
        <f t="shared" si="186"/>
        <v>39539</v>
      </c>
      <c r="AC599" s="155">
        <f t="shared" ca="1" si="187"/>
        <v>1.4000555430761226</v>
      </c>
    </row>
    <row r="600" spans="3:29">
      <c r="C600" s="152" t="str">
        <f>'Monthly Prices'!A588</f>
        <v>2008M05</v>
      </c>
      <c r="D600" s="153">
        <f t="shared" si="176"/>
        <v>39569</v>
      </c>
      <c r="E600" s="152">
        <f t="shared" si="177"/>
        <v>581</v>
      </c>
      <c r="F600" s="152" t="b">
        <f t="shared" si="171"/>
        <v>1</v>
      </c>
      <c r="G600" s="152" t="b">
        <f t="shared" si="172"/>
        <v>0</v>
      </c>
      <c r="H600" s="152" t="b">
        <f t="shared" si="173"/>
        <v>0</v>
      </c>
      <c r="I600" s="153" t="e">
        <f t="shared" si="174"/>
        <v>#N/A</v>
      </c>
      <c r="J600" s="158">
        <f>INDEX('Monthly Prices'!B588:CB588,$G$4)</f>
        <v>243.45564880000001</v>
      </c>
      <c r="K600" s="158" t="b">
        <f>IF(H600,INDEX('Monthly Prices'!B588:CB588,$G$4)*U600,FALSE)</f>
        <v>0</v>
      </c>
      <c r="L600" s="152" t="b">
        <f t="shared" si="178"/>
        <v>1</v>
      </c>
      <c r="M600" s="158">
        <f>INDEX('Monthly Prices'!B588:CB588,$G$5)</f>
        <v>238.41479700855001</v>
      </c>
      <c r="N600" s="158" t="b">
        <f>IF(H600,INDEX('Monthly Prices'!B588:CB588,$G$5)*U600,FALSE)</f>
        <v>0</v>
      </c>
      <c r="O600" s="152" t="b">
        <f t="shared" si="175"/>
        <v>1</v>
      </c>
      <c r="P600" s="152">
        <f t="shared" si="179"/>
        <v>2008</v>
      </c>
      <c r="Q600" s="159">
        <f>'Monthly Prices'!B588</f>
        <v>122.63260894661001</v>
      </c>
      <c r="R600" s="159">
        <f t="shared" si="180"/>
        <v>96.99045375846417</v>
      </c>
      <c r="S600" s="155">
        <f>_xlfn.XLOOKUP(P600,'Annual Real'!A:A,'Annual Real'!B:B,0,0)</f>
        <v>94.317583667592203</v>
      </c>
      <c r="T600" s="155">
        <f t="shared" ca="1" si="181"/>
        <v>1.3986645127524153</v>
      </c>
      <c r="U600" s="152">
        <f t="shared" ca="1" si="182"/>
        <v>1.3986645127524153</v>
      </c>
      <c r="V600" s="152" t="b">
        <f t="shared" si="188"/>
        <v>0</v>
      </c>
      <c r="W600" s="152" t="b">
        <f t="shared" si="189"/>
        <v>0</v>
      </c>
      <c r="X600" s="154">
        <f>LOOKUP(D600,'US Implicit Deflator'!A:A,'US Implicit Deflator'!B:B)/100</f>
        <v>1.2E-2</v>
      </c>
      <c r="Y600" s="154">
        <f t="shared" si="183"/>
        <v>9.9454180114277868E-4</v>
      </c>
      <c r="Z600" s="165">
        <f t="shared" ca="1" si="184"/>
        <v>4.8823667586101029</v>
      </c>
      <c r="AA600" s="152">
        <f t="shared" si="185"/>
        <v>7</v>
      </c>
      <c r="AB600" s="153">
        <f t="shared" si="186"/>
        <v>39569</v>
      </c>
      <c r="AC600" s="155">
        <f t="shared" ca="1" si="187"/>
        <v>1.3986645127524153</v>
      </c>
    </row>
    <row r="601" spans="3:29">
      <c r="C601" s="152" t="str">
        <f>'Monthly Prices'!A589</f>
        <v>2008M06</v>
      </c>
      <c r="D601" s="153">
        <f t="shared" si="176"/>
        <v>39600</v>
      </c>
      <c r="E601" s="152">
        <f t="shared" si="177"/>
        <v>582</v>
      </c>
      <c r="F601" s="152" t="b">
        <f t="shared" si="171"/>
        <v>1</v>
      </c>
      <c r="G601" s="152" t="b">
        <f t="shared" si="172"/>
        <v>0</v>
      </c>
      <c r="H601" s="152" t="b">
        <f t="shared" si="173"/>
        <v>0</v>
      </c>
      <c r="I601" s="153" t="e">
        <f t="shared" si="174"/>
        <v>#N/A</v>
      </c>
      <c r="J601" s="158">
        <f>INDEX('Monthly Prices'!B589:CB589,$G$4)</f>
        <v>287.11082399999998</v>
      </c>
      <c r="K601" s="158" t="b">
        <f>IF(H601,INDEX('Monthly Prices'!B589:CB589,$G$4)*U601,FALSE)</f>
        <v>0</v>
      </c>
      <c r="L601" s="152" t="b">
        <f t="shared" si="178"/>
        <v>1</v>
      </c>
      <c r="M601" s="158">
        <f>INDEX('Monthly Prices'!B589:CB589,$G$5)</f>
        <v>241.00849152487001</v>
      </c>
      <c r="N601" s="158" t="b">
        <f>IF(H601,INDEX('Monthly Prices'!B589:CB589,$G$5)*U601,FALSE)</f>
        <v>0</v>
      </c>
      <c r="O601" s="152" t="b">
        <f t="shared" si="175"/>
        <v>1</v>
      </c>
      <c r="P601" s="152">
        <f t="shared" si="179"/>
        <v>2008</v>
      </c>
      <c r="Q601" s="159">
        <f>'Monthly Prices'!B589</f>
        <v>131.52111111111</v>
      </c>
      <c r="R601" s="159">
        <f t="shared" si="180"/>
        <v>96.99045375846417</v>
      </c>
      <c r="S601" s="155">
        <f>_xlfn.XLOOKUP(P601,'Annual Real'!A:A,'Annual Real'!B:B,0,0)</f>
        <v>94.317583667592203</v>
      </c>
      <c r="T601" s="155">
        <f t="shared" ca="1" si="181"/>
        <v>1.3972748644919919</v>
      </c>
      <c r="U601" s="152">
        <f t="shared" ca="1" si="182"/>
        <v>1.3972748644919919</v>
      </c>
      <c r="V601" s="152" t="b">
        <f t="shared" si="188"/>
        <v>0</v>
      </c>
      <c r="W601" s="152" t="b">
        <f t="shared" si="189"/>
        <v>0</v>
      </c>
      <c r="X601" s="154">
        <f>LOOKUP(D601,'US Implicit Deflator'!A:A,'US Implicit Deflator'!B:B)/100</f>
        <v>1.2E-2</v>
      </c>
      <c r="Y601" s="154">
        <f t="shared" si="183"/>
        <v>9.9454180114277868E-4</v>
      </c>
      <c r="Z601" s="165">
        <f t="shared" ca="1" si="184"/>
        <v>4.8872224764400505</v>
      </c>
      <c r="AA601" s="152">
        <f t="shared" si="185"/>
        <v>7</v>
      </c>
      <c r="AB601" s="153">
        <f t="shared" si="186"/>
        <v>39600</v>
      </c>
      <c r="AC601" s="155">
        <f t="shared" ca="1" si="187"/>
        <v>1.3972748644919919</v>
      </c>
    </row>
    <row r="602" spans="3:29">
      <c r="C602" s="152" t="str">
        <f>'Monthly Prices'!A590</f>
        <v>2008M07</v>
      </c>
      <c r="D602" s="153">
        <f t="shared" si="176"/>
        <v>39630</v>
      </c>
      <c r="E602" s="152">
        <f t="shared" si="177"/>
        <v>583</v>
      </c>
      <c r="F602" s="152" t="b">
        <f t="shared" si="171"/>
        <v>1</v>
      </c>
      <c r="G602" s="152" t="b">
        <f t="shared" si="172"/>
        <v>0</v>
      </c>
      <c r="H602" s="152" t="b">
        <f t="shared" si="173"/>
        <v>0</v>
      </c>
      <c r="I602" s="153" t="e">
        <f t="shared" si="174"/>
        <v>#N/A</v>
      </c>
      <c r="J602" s="158">
        <f>INDEX('Monthly Prices'!B590:CB590,$G$4)</f>
        <v>265.34032000000002</v>
      </c>
      <c r="K602" s="158" t="b">
        <f>IF(H602,INDEX('Monthly Prices'!B590:CB590,$G$4)*U602,FALSE)</f>
        <v>0</v>
      </c>
      <c r="L602" s="152" t="b">
        <f t="shared" si="178"/>
        <v>1</v>
      </c>
      <c r="M602" s="158">
        <f>INDEX('Monthly Prices'!B590:CB590,$G$5)</f>
        <v>248.14718443813999</v>
      </c>
      <c r="N602" s="158" t="b">
        <f>IF(H602,INDEX('Monthly Prices'!B590:CB590,$G$5)*U602,FALSE)</f>
        <v>0</v>
      </c>
      <c r="O602" s="152" t="b">
        <f t="shared" si="175"/>
        <v>1</v>
      </c>
      <c r="P602" s="152">
        <f t="shared" si="179"/>
        <v>2008</v>
      </c>
      <c r="Q602" s="159">
        <f>'Monthly Prices'!B590</f>
        <v>132.82518445323001</v>
      </c>
      <c r="R602" s="159">
        <f t="shared" si="180"/>
        <v>96.99045375846417</v>
      </c>
      <c r="S602" s="155">
        <f>_xlfn.XLOOKUP(P602,'Annual Real'!A:A,'Annual Real'!B:B,0,0)</f>
        <v>94.317583667592203</v>
      </c>
      <c r="T602" s="155">
        <f t="shared" ca="1" si="181"/>
        <v>1.3953134070057556</v>
      </c>
      <c r="U602" s="152">
        <f t="shared" ca="1" si="182"/>
        <v>1.3953134070057556</v>
      </c>
      <c r="V602" s="152" t="b">
        <f t="shared" si="188"/>
        <v>0</v>
      </c>
      <c r="W602" s="152" t="b">
        <f t="shared" si="189"/>
        <v>0</v>
      </c>
      <c r="X602" s="154">
        <f>LOOKUP(D602,'US Implicit Deflator'!A:A,'US Implicit Deflator'!B:B)/100</f>
        <v>1.7000000000000001E-2</v>
      </c>
      <c r="Y602" s="154">
        <f t="shared" si="183"/>
        <v>1.4057468926966799E-3</v>
      </c>
      <c r="Z602" s="165">
        <f t="shared" ca="1" si="184"/>
        <v>4.8940926742502233</v>
      </c>
      <c r="AA602" s="152">
        <f t="shared" si="185"/>
        <v>7</v>
      </c>
      <c r="AB602" s="153">
        <f t="shared" si="186"/>
        <v>39630</v>
      </c>
      <c r="AC602" s="155">
        <f t="shared" ca="1" si="187"/>
        <v>1.3953134070057556</v>
      </c>
    </row>
    <row r="603" spans="3:29">
      <c r="C603" s="152" t="str">
        <f>'Monthly Prices'!A591</f>
        <v>2008M08</v>
      </c>
      <c r="D603" s="153">
        <f t="shared" si="176"/>
        <v>39661</v>
      </c>
      <c r="E603" s="152">
        <f t="shared" si="177"/>
        <v>584</v>
      </c>
      <c r="F603" s="152" t="b">
        <f t="shared" si="171"/>
        <v>1</v>
      </c>
      <c r="G603" s="152" t="b">
        <f t="shared" si="172"/>
        <v>0</v>
      </c>
      <c r="H603" s="152" t="b">
        <f t="shared" si="173"/>
        <v>0</v>
      </c>
      <c r="I603" s="153" t="e">
        <f t="shared" si="174"/>
        <v>#N/A</v>
      </c>
      <c r="J603" s="158">
        <f>INDEX('Monthly Prices'!B591:CB591,$G$4)</f>
        <v>235.02696</v>
      </c>
      <c r="K603" s="158" t="b">
        <f>IF(H603,INDEX('Monthly Prices'!B591:CB591,$G$4)*U603,FALSE)</f>
        <v>0</v>
      </c>
      <c r="L603" s="152" t="b">
        <f t="shared" si="178"/>
        <v>1</v>
      </c>
      <c r="M603" s="158">
        <f>INDEX('Monthly Prices'!B591:CB591,$G$5)</f>
        <v>212.25341426404</v>
      </c>
      <c r="N603" s="158" t="b">
        <f>IF(H603,INDEX('Monthly Prices'!B591:CB591,$G$5)*U603,FALSE)</f>
        <v>0</v>
      </c>
      <c r="O603" s="152" t="b">
        <f t="shared" si="175"/>
        <v>1</v>
      </c>
      <c r="P603" s="152">
        <f t="shared" si="179"/>
        <v>2008</v>
      </c>
      <c r="Q603" s="159">
        <f>'Monthly Prices'!B591</f>
        <v>114.56682539683</v>
      </c>
      <c r="R603" s="159">
        <f t="shared" si="180"/>
        <v>96.99045375846417</v>
      </c>
      <c r="S603" s="155">
        <f>_xlfn.XLOOKUP(P603,'Annual Real'!A:A,'Annual Real'!B:B,0,0)</f>
        <v>94.317583667592203</v>
      </c>
      <c r="T603" s="155">
        <f t="shared" ca="1" si="181"/>
        <v>1.3933547029616429</v>
      </c>
      <c r="U603" s="152">
        <f t="shared" ca="1" si="182"/>
        <v>1.3933547029616429</v>
      </c>
      <c r="V603" s="152" t="b">
        <f t="shared" si="188"/>
        <v>0</v>
      </c>
      <c r="W603" s="152" t="b">
        <f t="shared" si="189"/>
        <v>0</v>
      </c>
      <c r="X603" s="154">
        <f>LOOKUP(D603,'US Implicit Deflator'!A:A,'US Implicit Deflator'!B:B)/100</f>
        <v>1.7000000000000001E-2</v>
      </c>
      <c r="Y603" s="154">
        <f t="shared" si="183"/>
        <v>1.4057468926966799E-3</v>
      </c>
      <c r="Z603" s="165">
        <f t="shared" ca="1" si="184"/>
        <v>4.9009725298196205</v>
      </c>
      <c r="AA603" s="152">
        <f t="shared" si="185"/>
        <v>7</v>
      </c>
      <c r="AB603" s="153">
        <f t="shared" si="186"/>
        <v>39661</v>
      </c>
      <c r="AC603" s="155">
        <f t="shared" ca="1" si="187"/>
        <v>1.3933547029616429</v>
      </c>
    </row>
    <row r="604" spans="3:29">
      <c r="C604" s="152" t="str">
        <f>'Monthly Prices'!A592</f>
        <v>2008M09</v>
      </c>
      <c r="D604" s="153">
        <f t="shared" si="176"/>
        <v>39692</v>
      </c>
      <c r="E604" s="152">
        <f t="shared" si="177"/>
        <v>585</v>
      </c>
      <c r="F604" s="152" t="b">
        <f t="shared" si="171"/>
        <v>1</v>
      </c>
      <c r="G604" s="152" t="b">
        <f t="shared" si="172"/>
        <v>0</v>
      </c>
      <c r="H604" s="152" t="b">
        <f t="shared" si="173"/>
        <v>0</v>
      </c>
      <c r="I604" s="153" t="e">
        <f t="shared" si="174"/>
        <v>#N/A</v>
      </c>
      <c r="J604" s="158">
        <f>INDEX('Monthly Prices'!B592:CB592,$G$4)</f>
        <v>233.84592000000001</v>
      </c>
      <c r="K604" s="158" t="b">
        <f>IF(H604,INDEX('Monthly Prices'!B592:CB592,$G$4)*U604,FALSE)</f>
        <v>0</v>
      </c>
      <c r="L604" s="152" t="b">
        <f t="shared" si="178"/>
        <v>1</v>
      </c>
      <c r="M604" s="158">
        <f>INDEX('Monthly Prices'!B592:CB592,$G$5)</f>
        <v>189.45928555680001</v>
      </c>
      <c r="N604" s="158" t="b">
        <f>IF(H604,INDEX('Monthly Prices'!B592:CB592,$G$5)*U604,FALSE)</f>
        <v>0</v>
      </c>
      <c r="O604" s="152" t="b">
        <f t="shared" si="175"/>
        <v>1</v>
      </c>
      <c r="P604" s="152">
        <f t="shared" si="179"/>
        <v>2008</v>
      </c>
      <c r="Q604" s="159">
        <f>'Monthly Prices'!B592</f>
        <v>99.656767676770002</v>
      </c>
      <c r="R604" s="159">
        <f t="shared" si="180"/>
        <v>96.99045375846417</v>
      </c>
      <c r="S604" s="155">
        <f>_xlfn.XLOOKUP(P604,'Annual Real'!A:A,'Annual Real'!B:B,0,0)</f>
        <v>94.317583667592203</v>
      </c>
      <c r="T604" s="155">
        <f t="shared" ca="1" si="181"/>
        <v>1.3913987484944448</v>
      </c>
      <c r="U604" s="152">
        <f t="shared" ca="1" si="182"/>
        <v>1.3913987484944448</v>
      </c>
      <c r="V604" s="152" t="b">
        <f t="shared" si="188"/>
        <v>0</v>
      </c>
      <c r="W604" s="152" t="b">
        <f t="shared" si="189"/>
        <v>0</v>
      </c>
      <c r="X604" s="154">
        <f>LOOKUP(D604,'US Implicit Deflator'!A:A,'US Implicit Deflator'!B:B)/100</f>
        <v>1.7000000000000001E-2</v>
      </c>
      <c r="Y604" s="154">
        <f t="shared" si="183"/>
        <v>1.4057468926966799E-3</v>
      </c>
      <c r="Z604" s="165">
        <f t="shared" ca="1" si="184"/>
        <v>4.9078620567246061</v>
      </c>
      <c r="AA604" s="152">
        <f t="shared" si="185"/>
        <v>7</v>
      </c>
      <c r="AB604" s="153">
        <f t="shared" si="186"/>
        <v>39692</v>
      </c>
      <c r="AC604" s="155">
        <f t="shared" ca="1" si="187"/>
        <v>1.3913987484944448</v>
      </c>
    </row>
    <row r="605" spans="3:29">
      <c r="C605" s="152" t="str">
        <f>'Monthly Prices'!A593</f>
        <v>2008M10</v>
      </c>
      <c r="D605" s="153">
        <f t="shared" si="176"/>
        <v>39722</v>
      </c>
      <c r="E605" s="152">
        <f t="shared" si="177"/>
        <v>586</v>
      </c>
      <c r="F605" s="152" t="b">
        <f t="shared" si="171"/>
        <v>1</v>
      </c>
      <c r="G605" s="152" t="b">
        <f t="shared" si="172"/>
        <v>0</v>
      </c>
      <c r="H605" s="152" t="b">
        <f t="shared" si="173"/>
        <v>0</v>
      </c>
      <c r="I605" s="153" t="e">
        <f t="shared" si="174"/>
        <v>#N/A</v>
      </c>
      <c r="J605" s="158">
        <f>INDEX('Monthly Prices'!B593:CB593,$G$4)</f>
        <v>183.06120000000001</v>
      </c>
      <c r="K605" s="158" t="b">
        <f>IF(H605,INDEX('Monthly Prices'!B593:CB593,$G$4)*U605,FALSE)</f>
        <v>0</v>
      </c>
      <c r="L605" s="152" t="b">
        <f t="shared" si="178"/>
        <v>1</v>
      </c>
      <c r="M605" s="158">
        <f>INDEX('Monthly Prices'!B593:CB593,$G$5)</f>
        <v>143.36741545013001</v>
      </c>
      <c r="N605" s="158" t="b">
        <f>IF(H605,INDEX('Monthly Prices'!B593:CB593,$G$5)*U605,FALSE)</f>
        <v>0</v>
      </c>
      <c r="O605" s="152" t="b">
        <f t="shared" si="175"/>
        <v>1</v>
      </c>
      <c r="P605" s="152">
        <f t="shared" si="179"/>
        <v>2008</v>
      </c>
      <c r="Q605" s="159">
        <f>'Monthly Prices'!B593</f>
        <v>72.692753623190001</v>
      </c>
      <c r="R605" s="159">
        <f t="shared" si="180"/>
        <v>96.99045375846417</v>
      </c>
      <c r="S605" s="155">
        <f>_xlfn.XLOOKUP(P605,'Annual Real'!A:A,'Annual Real'!B:B,0,0)</f>
        <v>94.317583667592203</v>
      </c>
      <c r="T605" s="155">
        <f t="shared" ca="1" si="181"/>
        <v>1.3896734859317852</v>
      </c>
      <c r="U605" s="152">
        <f t="shared" ca="1" si="182"/>
        <v>1.3896734859317852</v>
      </c>
      <c r="V605" s="152" t="b">
        <f t="shared" si="188"/>
        <v>0</v>
      </c>
      <c r="W605" s="152" t="b">
        <f t="shared" si="189"/>
        <v>0</v>
      </c>
      <c r="X605" s="154">
        <f>LOOKUP(D605,'US Implicit Deflator'!A:A,'US Implicit Deflator'!B:B)/100</f>
        <v>1.4999999999999999E-2</v>
      </c>
      <c r="Y605" s="154">
        <f t="shared" si="183"/>
        <v>1.2414877164492744E-3</v>
      </c>
      <c r="Z605" s="165">
        <f t="shared" ca="1" si="184"/>
        <v>4.9139551071820575</v>
      </c>
      <c r="AA605" s="152">
        <f t="shared" si="185"/>
        <v>7</v>
      </c>
      <c r="AB605" s="153">
        <f t="shared" si="186"/>
        <v>39722</v>
      </c>
      <c r="AC605" s="155">
        <f t="shared" ca="1" si="187"/>
        <v>1.3896734859317852</v>
      </c>
    </row>
    <row r="606" spans="3:29">
      <c r="C606" s="152" t="str">
        <f>'Monthly Prices'!A594</f>
        <v>2008M11</v>
      </c>
      <c r="D606" s="153">
        <f t="shared" si="176"/>
        <v>39753</v>
      </c>
      <c r="E606" s="152">
        <f t="shared" si="177"/>
        <v>587</v>
      </c>
      <c r="F606" s="152" t="b">
        <f t="shared" si="171"/>
        <v>1</v>
      </c>
      <c r="G606" s="152" t="b">
        <f t="shared" si="172"/>
        <v>0</v>
      </c>
      <c r="H606" s="152" t="b">
        <f t="shared" si="173"/>
        <v>0</v>
      </c>
      <c r="I606" s="153" t="e">
        <f t="shared" si="174"/>
        <v>#N/A</v>
      </c>
      <c r="J606" s="158">
        <f>INDEX('Monthly Prices'!B594:CB594,$G$4)</f>
        <v>163.77088000000001</v>
      </c>
      <c r="K606" s="158" t="b">
        <f>IF(H606,INDEX('Monthly Prices'!B594:CB594,$G$4)*U606,FALSE)</f>
        <v>0</v>
      </c>
      <c r="L606" s="152" t="b">
        <f t="shared" si="178"/>
        <v>1</v>
      </c>
      <c r="M606" s="158">
        <f>INDEX('Monthly Prices'!B594:CB594,$G$5)</f>
        <v>130.08774094130001</v>
      </c>
      <c r="N606" s="158" t="b">
        <f>IF(H606,INDEX('Monthly Prices'!B594:CB594,$G$5)*U606,FALSE)</f>
        <v>0</v>
      </c>
      <c r="O606" s="152" t="b">
        <f t="shared" si="175"/>
        <v>1</v>
      </c>
      <c r="P606" s="152">
        <f t="shared" si="179"/>
        <v>2008</v>
      </c>
      <c r="Q606" s="159">
        <f>'Monthly Prices'!B594</f>
        <v>53.972728070179997</v>
      </c>
      <c r="R606" s="159">
        <f t="shared" si="180"/>
        <v>96.99045375846417</v>
      </c>
      <c r="S606" s="155">
        <f>_xlfn.XLOOKUP(P606,'Annual Real'!A:A,'Annual Real'!B:B,0,0)</f>
        <v>94.317583667592203</v>
      </c>
      <c r="T606" s="155">
        <f t="shared" ca="1" si="181"/>
        <v>1.3879503626055691</v>
      </c>
      <c r="U606" s="152">
        <f t="shared" ca="1" si="182"/>
        <v>1.3879503626055691</v>
      </c>
      <c r="V606" s="152" t="b">
        <f t="shared" si="188"/>
        <v>0</v>
      </c>
      <c r="W606" s="152" t="b">
        <f t="shared" si="189"/>
        <v>0</v>
      </c>
      <c r="X606" s="154">
        <f>LOOKUP(D606,'US Implicit Deflator'!A:A,'US Implicit Deflator'!B:B)/100</f>
        <v>1.4999999999999999E-2</v>
      </c>
      <c r="Y606" s="154">
        <f t="shared" si="183"/>
        <v>1.2414877164492744E-3</v>
      </c>
      <c r="Z606" s="165">
        <f t="shared" ca="1" si="184"/>
        <v>4.9200557220868069</v>
      </c>
      <c r="AA606" s="152">
        <f t="shared" si="185"/>
        <v>7</v>
      </c>
      <c r="AB606" s="153">
        <f t="shared" si="186"/>
        <v>39753</v>
      </c>
      <c r="AC606" s="155">
        <f t="shared" ca="1" si="187"/>
        <v>1.3879503626055691</v>
      </c>
    </row>
    <row r="607" spans="3:29">
      <c r="C607" s="152" t="str">
        <f>'Monthly Prices'!A595</f>
        <v>2008M12</v>
      </c>
      <c r="D607" s="153">
        <f t="shared" si="176"/>
        <v>39783</v>
      </c>
      <c r="E607" s="152">
        <f t="shared" si="177"/>
        <v>588</v>
      </c>
      <c r="F607" s="152" t="b">
        <f t="shared" si="171"/>
        <v>1</v>
      </c>
      <c r="G607" s="152" t="b">
        <f t="shared" si="172"/>
        <v>0</v>
      </c>
      <c r="H607" s="152" t="b">
        <f t="shared" si="173"/>
        <v>0</v>
      </c>
      <c r="I607" s="153" t="e">
        <f t="shared" si="174"/>
        <v>#N/A</v>
      </c>
      <c r="J607" s="158">
        <f>INDEX('Monthly Prices'!B595:CB595,$G$4)</f>
        <v>158.25935999999999</v>
      </c>
      <c r="K607" s="158" t="b">
        <f>IF(H607,INDEX('Monthly Prices'!B595:CB595,$G$4)*U607,FALSE)</f>
        <v>0</v>
      </c>
      <c r="L607" s="152" t="b">
        <f t="shared" si="178"/>
        <v>1</v>
      </c>
      <c r="M607" s="158">
        <f>INDEX('Monthly Prices'!B595:CB595,$G$5)</f>
        <v>115.17666870908</v>
      </c>
      <c r="N607" s="158" t="b">
        <f>IF(H607,INDEX('Monthly Prices'!B595:CB595,$G$5)*U607,FALSE)</f>
        <v>0</v>
      </c>
      <c r="O607" s="152" t="b">
        <f t="shared" si="175"/>
        <v>1</v>
      </c>
      <c r="P607" s="152">
        <f t="shared" si="179"/>
        <v>2008</v>
      </c>
      <c r="Q607" s="159">
        <f>'Monthly Prices'!B595</f>
        <v>41.338924963929998</v>
      </c>
      <c r="R607" s="159">
        <f t="shared" si="180"/>
        <v>96.99045375846417</v>
      </c>
      <c r="S607" s="155">
        <f>_xlfn.XLOOKUP(P607,'Annual Real'!A:A,'Annual Real'!B:B,0,0)</f>
        <v>94.317583667592203</v>
      </c>
      <c r="T607" s="155">
        <f t="shared" ca="1" si="181"/>
        <v>1.3862293758632538</v>
      </c>
      <c r="U607" s="152">
        <f t="shared" ca="1" si="182"/>
        <v>1.3862293758632538</v>
      </c>
      <c r="V607" s="152" t="b">
        <f t="shared" si="188"/>
        <v>0</v>
      </c>
      <c r="W607" s="152" t="b">
        <f t="shared" si="189"/>
        <v>0</v>
      </c>
      <c r="X607" s="154">
        <f>LOOKUP(D607,'US Implicit Deflator'!A:A,'US Implicit Deflator'!B:B)/100</f>
        <v>1.4999999999999999E-2</v>
      </c>
      <c r="Y607" s="154">
        <f t="shared" si="183"/>
        <v>1.2414877164492744E-3</v>
      </c>
      <c r="Z607" s="165">
        <f t="shared" ca="1" si="184"/>
        <v>4.9261639108300237</v>
      </c>
      <c r="AA607" s="152">
        <f t="shared" si="185"/>
        <v>7</v>
      </c>
      <c r="AB607" s="153">
        <f t="shared" si="186"/>
        <v>39783</v>
      </c>
      <c r="AC607" s="155">
        <f t="shared" ca="1" si="187"/>
        <v>1.3862293758632538</v>
      </c>
    </row>
    <row r="608" spans="3:29">
      <c r="C608" s="152" t="str">
        <f>'Monthly Prices'!A596</f>
        <v>2009M01</v>
      </c>
      <c r="D608" s="153">
        <f t="shared" si="176"/>
        <v>39814</v>
      </c>
      <c r="E608" s="152">
        <f t="shared" si="177"/>
        <v>589</v>
      </c>
      <c r="F608" s="152" t="b">
        <f t="shared" si="171"/>
        <v>1</v>
      </c>
      <c r="G608" s="152" t="b">
        <f t="shared" si="172"/>
        <v>0</v>
      </c>
      <c r="H608" s="152" t="b">
        <f t="shared" si="173"/>
        <v>0</v>
      </c>
      <c r="I608" s="153" t="e">
        <f t="shared" si="174"/>
        <v>#N/A</v>
      </c>
      <c r="J608" s="158">
        <f>INDEX('Monthly Prices'!B596:CB596,$G$4)</f>
        <v>172.82552000000001</v>
      </c>
      <c r="K608" s="158" t="b">
        <f>IF(H608,INDEX('Monthly Prices'!B596:CB596,$G$4)*U608,FALSE)</f>
        <v>0</v>
      </c>
      <c r="L608" s="152" t="b">
        <f t="shared" si="178"/>
        <v>1</v>
      </c>
      <c r="M608" s="158">
        <f>INDEX('Monthly Prices'!B596:CB596,$G$5)</f>
        <v>121.39498219577</v>
      </c>
      <c r="N608" s="158" t="b">
        <f>IF(H608,INDEX('Monthly Prices'!B596:CB596,$G$5)*U608,FALSE)</f>
        <v>0</v>
      </c>
      <c r="O608" s="152" t="b">
        <f t="shared" si="175"/>
        <v>1</v>
      </c>
      <c r="P608" s="152">
        <f t="shared" si="179"/>
        <v>2009</v>
      </c>
      <c r="Q608" s="159">
        <f>'Monthly Prices'!B596</f>
        <v>43.855214285709998</v>
      </c>
      <c r="R608" s="159">
        <f t="shared" si="180"/>
        <v>61.756922215508332</v>
      </c>
      <c r="S608" s="155">
        <f>_xlfn.XLOOKUP(P608,'Annual Real'!A:A,'Annual Real'!B:B,0,0)</f>
        <v>64.021949640347799</v>
      </c>
      <c r="T608" s="155">
        <f t="shared" ca="1" si="181"/>
        <v>1.3845105230555854</v>
      </c>
      <c r="U608" s="152">
        <f t="shared" ca="1" si="182"/>
        <v>1.3845105230555854</v>
      </c>
      <c r="V608" s="152" t="b">
        <f t="shared" si="188"/>
        <v>0</v>
      </c>
      <c r="W608" s="152" t="b">
        <f t="shared" si="189"/>
        <v>0</v>
      </c>
      <c r="X608" s="154">
        <f>LOOKUP(D608,'US Implicit Deflator'!A:A,'US Implicit Deflator'!B:B)/100</f>
        <v>1.4999999999999999E-2</v>
      </c>
      <c r="Y608" s="154">
        <f t="shared" si="183"/>
        <v>1.2414877164492744E-3</v>
      </c>
      <c r="Z608" s="165">
        <f t="shared" ca="1" si="184"/>
        <v>4.932279682814535</v>
      </c>
      <c r="AA608" s="152">
        <f t="shared" si="185"/>
        <v>7</v>
      </c>
      <c r="AB608" s="153">
        <f t="shared" si="186"/>
        <v>39814</v>
      </c>
      <c r="AC608" s="155">
        <f t="shared" ca="1" si="187"/>
        <v>1.3845105230555854</v>
      </c>
    </row>
    <row r="609" spans="3:29">
      <c r="C609" s="152" t="str">
        <f>'Monthly Prices'!A597</f>
        <v>2009M02</v>
      </c>
      <c r="D609" s="153">
        <f t="shared" si="176"/>
        <v>39845</v>
      </c>
      <c r="E609" s="152">
        <f t="shared" si="177"/>
        <v>590</v>
      </c>
      <c r="F609" s="152" t="b">
        <f t="shared" si="171"/>
        <v>1</v>
      </c>
      <c r="G609" s="152" t="b">
        <f t="shared" si="172"/>
        <v>0</v>
      </c>
      <c r="H609" s="152" t="b">
        <f t="shared" si="173"/>
        <v>0</v>
      </c>
      <c r="I609" s="153" t="e">
        <f t="shared" si="174"/>
        <v>#N/A</v>
      </c>
      <c r="J609" s="158">
        <f>INDEX('Monthly Prices'!B597:CB597,$G$4)</f>
        <v>163.37719999999999</v>
      </c>
      <c r="K609" s="158" t="b">
        <f>IF(H609,INDEX('Monthly Prices'!B597:CB597,$G$4)*U609,FALSE)</f>
        <v>0</v>
      </c>
      <c r="L609" s="152" t="b">
        <f t="shared" si="178"/>
        <v>1</v>
      </c>
      <c r="M609" s="158">
        <f>INDEX('Monthly Prices'!B597:CB597,$G$5)</f>
        <v>112.53437575821</v>
      </c>
      <c r="N609" s="158" t="b">
        <f>IF(H609,INDEX('Monthly Prices'!B597:CB597,$G$5)*U609,FALSE)</f>
        <v>0</v>
      </c>
      <c r="O609" s="152" t="b">
        <f t="shared" si="175"/>
        <v>1</v>
      </c>
      <c r="P609" s="152">
        <f t="shared" si="179"/>
        <v>2009</v>
      </c>
      <c r="Q609" s="159">
        <f>'Monthly Prices'!B597</f>
        <v>41.843675438600002</v>
      </c>
      <c r="R609" s="159">
        <f t="shared" si="180"/>
        <v>61.756922215508332</v>
      </c>
      <c r="S609" s="155">
        <f>_xlfn.XLOOKUP(P609,'Annual Real'!A:A,'Annual Real'!B:B,0,0)</f>
        <v>64.021949640347799</v>
      </c>
      <c r="T609" s="155">
        <f t="shared" ca="1" si="181"/>
        <v>1.3827938015365955</v>
      </c>
      <c r="U609" s="152">
        <f t="shared" ca="1" si="182"/>
        <v>1.3827938015365955</v>
      </c>
      <c r="V609" s="152" t="b">
        <f t="shared" si="188"/>
        <v>0</v>
      </c>
      <c r="W609" s="152" t="b">
        <f t="shared" si="189"/>
        <v>0</v>
      </c>
      <c r="X609" s="154">
        <f>LOOKUP(D609,'US Implicit Deflator'!A:A,'US Implicit Deflator'!B:B)/100</f>
        <v>1.4999999999999999E-2</v>
      </c>
      <c r="Y609" s="154">
        <f t="shared" si="183"/>
        <v>1.2414877164492744E-3</v>
      </c>
      <c r="Z609" s="165">
        <f t="shared" ca="1" si="184"/>
        <v>4.9384030474548419</v>
      </c>
      <c r="AA609" s="152">
        <f t="shared" si="185"/>
        <v>7</v>
      </c>
      <c r="AB609" s="153">
        <f t="shared" si="186"/>
        <v>39845</v>
      </c>
      <c r="AC609" s="155">
        <f t="shared" ca="1" si="187"/>
        <v>1.3827938015365955</v>
      </c>
    </row>
    <row r="610" spans="3:29">
      <c r="C610" s="152" t="str">
        <f>'Monthly Prices'!A598</f>
        <v>2009M03</v>
      </c>
      <c r="D610" s="153">
        <f t="shared" si="176"/>
        <v>39873</v>
      </c>
      <c r="E610" s="152">
        <f t="shared" si="177"/>
        <v>591</v>
      </c>
      <c r="F610" s="152" t="b">
        <f t="shared" si="171"/>
        <v>1</v>
      </c>
      <c r="G610" s="152" t="b">
        <f t="shared" si="172"/>
        <v>0</v>
      </c>
      <c r="H610" s="152" t="b">
        <f t="shared" si="173"/>
        <v>0</v>
      </c>
      <c r="I610" s="153" t="e">
        <f t="shared" si="174"/>
        <v>#N/A</v>
      </c>
      <c r="J610" s="158">
        <f>INDEX('Monthly Prices'!B598:CB598,$G$4)</f>
        <v>164.55824000000001</v>
      </c>
      <c r="K610" s="158" t="b">
        <f>IF(H610,INDEX('Monthly Prices'!B598:CB598,$G$4)*U610,FALSE)</f>
        <v>0</v>
      </c>
      <c r="L610" s="152" t="b">
        <f t="shared" si="178"/>
        <v>1</v>
      </c>
      <c r="M610" s="158">
        <f>INDEX('Monthly Prices'!B598:CB598,$G$5)</f>
        <v>114.84506035755</v>
      </c>
      <c r="N610" s="158" t="b">
        <f>IF(H610,INDEX('Monthly Prices'!B598:CB598,$G$5)*U610,FALSE)</f>
        <v>0</v>
      </c>
      <c r="O610" s="152" t="b">
        <f t="shared" si="175"/>
        <v>1</v>
      </c>
      <c r="P610" s="152">
        <f t="shared" si="179"/>
        <v>2009</v>
      </c>
      <c r="Q610" s="159">
        <f>'Monthly Prices'!B598</f>
        <v>46.645303030299999</v>
      </c>
      <c r="R610" s="159">
        <f t="shared" si="180"/>
        <v>61.756922215508332</v>
      </c>
      <c r="S610" s="155">
        <f>_xlfn.XLOOKUP(P610,'Annual Real'!A:A,'Annual Real'!B:B,0,0)</f>
        <v>64.021949640347799</v>
      </c>
      <c r="T610" s="155">
        <f t="shared" ca="1" si="181"/>
        <v>1.3810792086635963</v>
      </c>
      <c r="U610" s="152">
        <f t="shared" ca="1" si="182"/>
        <v>1.3810792086635963</v>
      </c>
      <c r="V610" s="152" t="b">
        <f t="shared" si="188"/>
        <v>0</v>
      </c>
      <c r="W610" s="152" t="b">
        <f t="shared" si="189"/>
        <v>0</v>
      </c>
      <c r="X610" s="154">
        <f>LOOKUP(D610,'US Implicit Deflator'!A:A,'US Implicit Deflator'!B:B)/100</f>
        <v>1.4999999999999999E-2</v>
      </c>
      <c r="Y610" s="154">
        <f t="shared" si="183"/>
        <v>1.2414877164492744E-3</v>
      </c>
      <c r="Z610" s="165">
        <f t="shared" ca="1" si="184"/>
        <v>4.9445340141771323</v>
      </c>
      <c r="AA610" s="152">
        <f t="shared" si="185"/>
        <v>7</v>
      </c>
      <c r="AB610" s="153">
        <f t="shared" si="186"/>
        <v>39873</v>
      </c>
      <c r="AC610" s="155">
        <f t="shared" ca="1" si="187"/>
        <v>1.3810792086635963</v>
      </c>
    </row>
    <row r="611" spans="3:29">
      <c r="C611" s="152" t="str">
        <f>'Monthly Prices'!A599</f>
        <v>2009M04</v>
      </c>
      <c r="D611" s="153">
        <f t="shared" si="176"/>
        <v>39904</v>
      </c>
      <c r="E611" s="152">
        <f t="shared" si="177"/>
        <v>592</v>
      </c>
      <c r="F611" s="152" t="b">
        <f t="shared" si="171"/>
        <v>1</v>
      </c>
      <c r="G611" s="152" t="b">
        <f t="shared" si="172"/>
        <v>0</v>
      </c>
      <c r="H611" s="152" t="b">
        <f t="shared" si="173"/>
        <v>0</v>
      </c>
      <c r="I611" s="153" t="e">
        <f t="shared" si="174"/>
        <v>#N/A</v>
      </c>
      <c r="J611" s="158">
        <f>INDEX('Monthly Prices'!B599:CB599,$G$4)</f>
        <v>168.49503999999999</v>
      </c>
      <c r="K611" s="158" t="b">
        <f>IF(H611,INDEX('Monthly Prices'!B599:CB599,$G$4)*U611,FALSE)</f>
        <v>0</v>
      </c>
      <c r="L611" s="152" t="b">
        <f t="shared" si="178"/>
        <v>1</v>
      </c>
      <c r="M611" s="158">
        <f>INDEX('Monthly Prices'!B599:CB599,$G$5)</f>
        <v>111.2902032696</v>
      </c>
      <c r="N611" s="158" t="b">
        <f>IF(H611,INDEX('Monthly Prices'!B599:CB599,$G$5)*U611,FALSE)</f>
        <v>0</v>
      </c>
      <c r="O611" s="152" t="b">
        <f t="shared" si="175"/>
        <v>1</v>
      </c>
      <c r="P611" s="152">
        <f t="shared" si="179"/>
        <v>2009</v>
      </c>
      <c r="Q611" s="159">
        <f>'Monthly Prices'!B599</f>
        <v>50.278095238100001</v>
      </c>
      <c r="R611" s="159">
        <f t="shared" si="180"/>
        <v>61.756922215508332</v>
      </c>
      <c r="S611" s="155">
        <f>_xlfn.XLOOKUP(P611,'Annual Real'!A:A,'Annual Real'!B:B,0,0)</f>
        <v>64.021949640347799</v>
      </c>
      <c r="T611" s="155">
        <f t="shared" ca="1" si="181"/>
        <v>1.380619843611302</v>
      </c>
      <c r="U611" s="152">
        <f t="shared" ca="1" si="182"/>
        <v>1.380619843611302</v>
      </c>
      <c r="V611" s="152" t="b">
        <f t="shared" si="188"/>
        <v>0</v>
      </c>
      <c r="W611" s="152" t="b">
        <f t="shared" si="189"/>
        <v>0</v>
      </c>
      <c r="X611" s="154">
        <f>LOOKUP(D611,'US Implicit Deflator'!A:A,'US Implicit Deflator'!B:B)/100</f>
        <v>4.0000000000000001E-3</v>
      </c>
      <c r="Y611" s="154">
        <f t="shared" si="183"/>
        <v>3.3272377940973819E-4</v>
      </c>
      <c r="Z611" s="165">
        <f t="shared" ca="1" si="184"/>
        <v>4.9461791782217492</v>
      </c>
      <c r="AA611" s="152">
        <f t="shared" si="185"/>
        <v>7</v>
      </c>
      <c r="AB611" s="153">
        <f t="shared" si="186"/>
        <v>39904</v>
      </c>
      <c r="AC611" s="155">
        <f t="shared" ca="1" si="187"/>
        <v>1.380619843611302</v>
      </c>
    </row>
    <row r="612" spans="3:29">
      <c r="C612" s="152" t="str">
        <f>'Monthly Prices'!A600</f>
        <v>2009M05</v>
      </c>
      <c r="D612" s="153">
        <f t="shared" si="176"/>
        <v>39934</v>
      </c>
      <c r="E612" s="152">
        <f t="shared" si="177"/>
        <v>593</v>
      </c>
      <c r="F612" s="152" t="b">
        <f t="shared" si="171"/>
        <v>1</v>
      </c>
      <c r="G612" s="152" t="b">
        <f t="shared" si="172"/>
        <v>0</v>
      </c>
      <c r="H612" s="152" t="b">
        <f t="shared" si="173"/>
        <v>0</v>
      </c>
      <c r="I612" s="153" t="e">
        <f t="shared" si="174"/>
        <v>#N/A</v>
      </c>
      <c r="J612" s="158">
        <f>INDEX('Monthly Prices'!B600:CB600,$G$4)</f>
        <v>179.91175999999999</v>
      </c>
      <c r="K612" s="158" t="b">
        <f>IF(H612,INDEX('Monthly Prices'!B600:CB600,$G$4)*U612,FALSE)</f>
        <v>0</v>
      </c>
      <c r="L612" s="152" t="b">
        <f t="shared" si="178"/>
        <v>1</v>
      </c>
      <c r="M612" s="158">
        <f>INDEX('Monthly Prices'!B600:CB600,$G$5)</f>
        <v>128.70362325137</v>
      </c>
      <c r="N612" s="158" t="b">
        <f>IF(H612,INDEX('Monthly Prices'!B600:CB600,$G$5)*U612,FALSE)</f>
        <v>0</v>
      </c>
      <c r="O612" s="152" t="b">
        <f t="shared" si="175"/>
        <v>1</v>
      </c>
      <c r="P612" s="152">
        <f t="shared" si="179"/>
        <v>2009</v>
      </c>
      <c r="Q612" s="159">
        <f>'Monthly Prices'!B600</f>
        <v>58.153888888890002</v>
      </c>
      <c r="R612" s="159">
        <f t="shared" si="180"/>
        <v>61.756922215508332</v>
      </c>
      <c r="S612" s="155">
        <f>_xlfn.XLOOKUP(P612,'Annual Real'!A:A,'Annual Real'!B:B,0,0)</f>
        <v>64.021949640347799</v>
      </c>
      <c r="T612" s="155">
        <f t="shared" ca="1" si="181"/>
        <v>1.3801606313498467</v>
      </c>
      <c r="U612" s="152">
        <f t="shared" ca="1" si="182"/>
        <v>1.3801606313498467</v>
      </c>
      <c r="V612" s="152" t="b">
        <f t="shared" si="188"/>
        <v>0</v>
      </c>
      <c r="W612" s="152" t="b">
        <f t="shared" si="189"/>
        <v>0</v>
      </c>
      <c r="X612" s="154">
        <f>LOOKUP(D612,'US Implicit Deflator'!A:A,'US Implicit Deflator'!B:B)/100</f>
        <v>4.0000000000000001E-3</v>
      </c>
      <c r="Y612" s="154">
        <f t="shared" si="183"/>
        <v>3.3272377940973819E-4</v>
      </c>
      <c r="Z612" s="165">
        <f t="shared" ca="1" si="184"/>
        <v>4.9478248896515646</v>
      </c>
      <c r="AA612" s="152">
        <f t="shared" si="185"/>
        <v>7</v>
      </c>
      <c r="AB612" s="153">
        <f t="shared" si="186"/>
        <v>39934</v>
      </c>
      <c r="AC612" s="155">
        <f t="shared" ca="1" si="187"/>
        <v>1.3801606313498467</v>
      </c>
    </row>
    <row r="613" spans="3:29">
      <c r="C613" s="152" t="str">
        <f>'Monthly Prices'!A601</f>
        <v>2009M06</v>
      </c>
      <c r="D613" s="153">
        <f t="shared" si="176"/>
        <v>39965</v>
      </c>
      <c r="E613" s="152">
        <f t="shared" si="177"/>
        <v>594</v>
      </c>
      <c r="F613" s="152" t="b">
        <f t="shared" si="171"/>
        <v>1</v>
      </c>
      <c r="G613" s="152" t="b">
        <f t="shared" si="172"/>
        <v>0</v>
      </c>
      <c r="H613" s="152" t="b">
        <f t="shared" si="173"/>
        <v>0</v>
      </c>
      <c r="I613" s="153" t="e">
        <f t="shared" si="174"/>
        <v>#N/A</v>
      </c>
      <c r="J613" s="158">
        <f>INDEX('Monthly Prices'!B601:CB601,$G$4)</f>
        <v>179.51808</v>
      </c>
      <c r="K613" s="158" t="b">
        <f>IF(H613,INDEX('Monthly Prices'!B601:CB601,$G$4)*U613,FALSE)</f>
        <v>0</v>
      </c>
      <c r="L613" s="152" t="b">
        <f t="shared" si="178"/>
        <v>1</v>
      </c>
      <c r="M613" s="158">
        <f>INDEX('Monthly Prices'!B601:CB601,$G$5)</f>
        <v>148.58836815359001</v>
      </c>
      <c r="N613" s="158" t="b">
        <f>IF(H613,INDEX('Monthly Prices'!B601:CB601,$G$5)*U613,FALSE)</f>
        <v>0</v>
      </c>
      <c r="O613" s="152" t="b">
        <f t="shared" si="175"/>
        <v>1</v>
      </c>
      <c r="P613" s="152">
        <f t="shared" si="179"/>
        <v>2009</v>
      </c>
      <c r="Q613" s="159">
        <f>'Monthly Prices'!B601</f>
        <v>69.149696969700003</v>
      </c>
      <c r="R613" s="159">
        <f t="shared" si="180"/>
        <v>61.756922215508332</v>
      </c>
      <c r="S613" s="155">
        <f>_xlfn.XLOOKUP(P613,'Annual Real'!A:A,'Annual Real'!B:B,0,0)</f>
        <v>64.021949640347799</v>
      </c>
      <c r="T613" s="155">
        <f t="shared" ca="1" si="181"/>
        <v>1.3797015718284102</v>
      </c>
      <c r="U613" s="152">
        <f t="shared" ca="1" si="182"/>
        <v>1.3797015718284102</v>
      </c>
      <c r="V613" s="152" t="b">
        <f t="shared" si="188"/>
        <v>0</v>
      </c>
      <c r="W613" s="152" t="b">
        <f t="shared" si="189"/>
        <v>0</v>
      </c>
      <c r="X613" s="154">
        <f>LOOKUP(D613,'US Implicit Deflator'!A:A,'US Implicit Deflator'!B:B)/100</f>
        <v>4.0000000000000001E-3</v>
      </c>
      <c r="Y613" s="154">
        <f t="shared" si="183"/>
        <v>3.3272377940973819E-4</v>
      </c>
      <c r="Z613" s="165">
        <f t="shared" ca="1" si="184"/>
        <v>4.9494711486487075</v>
      </c>
      <c r="AA613" s="152">
        <f t="shared" si="185"/>
        <v>7</v>
      </c>
      <c r="AB613" s="153">
        <f t="shared" si="186"/>
        <v>39965</v>
      </c>
      <c r="AC613" s="155">
        <f t="shared" ca="1" si="187"/>
        <v>1.3797015718284102</v>
      </c>
    </row>
    <row r="614" spans="3:29">
      <c r="C614" s="152" t="str">
        <f>'Monthly Prices'!A602</f>
        <v>2009M07</v>
      </c>
      <c r="D614" s="153">
        <f t="shared" si="176"/>
        <v>39995</v>
      </c>
      <c r="E614" s="152">
        <f t="shared" si="177"/>
        <v>595</v>
      </c>
      <c r="F614" s="152" t="b">
        <f t="shared" si="171"/>
        <v>1</v>
      </c>
      <c r="G614" s="152" t="b">
        <f t="shared" si="172"/>
        <v>0</v>
      </c>
      <c r="H614" s="152" t="b">
        <f t="shared" si="173"/>
        <v>0</v>
      </c>
      <c r="I614" s="153" t="e">
        <f t="shared" si="174"/>
        <v>#N/A</v>
      </c>
      <c r="J614" s="158">
        <f>INDEX('Monthly Prices'!B602:CB602,$G$4)</f>
        <v>151.5668</v>
      </c>
      <c r="K614" s="158" t="b">
        <f>IF(H614,INDEX('Monthly Prices'!B602:CB602,$G$4)*U614,FALSE)</f>
        <v>0</v>
      </c>
      <c r="L614" s="152" t="b">
        <f t="shared" si="178"/>
        <v>1</v>
      </c>
      <c r="M614" s="158">
        <f>INDEX('Monthly Prices'!B602:CB602,$G$5)</f>
        <v>140.30670078052</v>
      </c>
      <c r="N614" s="158" t="b">
        <f>IF(H614,INDEX('Monthly Prices'!B602:CB602,$G$5)*U614,FALSE)</f>
        <v>0</v>
      </c>
      <c r="O614" s="152" t="b">
        <f t="shared" si="175"/>
        <v>1</v>
      </c>
      <c r="P614" s="152">
        <f t="shared" si="179"/>
        <v>2009</v>
      </c>
      <c r="Q614" s="159">
        <f>'Monthly Prices'!B602</f>
        <v>64.666673254279999</v>
      </c>
      <c r="R614" s="159">
        <f t="shared" si="180"/>
        <v>61.756922215508332</v>
      </c>
      <c r="S614" s="155">
        <f>_xlfn.XLOOKUP(P614,'Annual Real'!A:A,'Annual Real'!B:B,0,0)</f>
        <v>64.021949640347799</v>
      </c>
      <c r="T614" s="155">
        <f t="shared" ca="1" si="181"/>
        <v>1.3801624715799705</v>
      </c>
      <c r="U614" s="152">
        <f t="shared" ca="1" si="182"/>
        <v>1.3801624715799705</v>
      </c>
      <c r="V614" s="152" t="b">
        <f t="shared" si="188"/>
        <v>0</v>
      </c>
      <c r="W614" s="152" t="b">
        <f t="shared" si="189"/>
        <v>0</v>
      </c>
      <c r="X614" s="154">
        <f>LOOKUP(D614,'US Implicit Deflator'!A:A,'US Implicit Deflator'!B:B)/100</f>
        <v>-4.0000000000000001E-3</v>
      </c>
      <c r="Y614" s="154">
        <f t="shared" si="183"/>
        <v>-3.3394601074221431E-4</v>
      </c>
      <c r="Z614" s="165">
        <f t="shared" ca="1" si="184"/>
        <v>4.9478182925033325</v>
      </c>
      <c r="AA614" s="152">
        <f t="shared" si="185"/>
        <v>7</v>
      </c>
      <c r="AB614" s="153">
        <f t="shared" si="186"/>
        <v>39995</v>
      </c>
      <c r="AC614" s="155">
        <f t="shared" ca="1" si="187"/>
        <v>1.3801624715799705</v>
      </c>
    </row>
    <row r="615" spans="3:29">
      <c r="C615" s="152" t="str">
        <f>'Monthly Prices'!A603</f>
        <v>2009M08</v>
      </c>
      <c r="D615" s="153">
        <f t="shared" si="176"/>
        <v>40026</v>
      </c>
      <c r="E615" s="152">
        <f t="shared" si="177"/>
        <v>596</v>
      </c>
      <c r="F615" s="152" t="b">
        <f t="shared" si="171"/>
        <v>1</v>
      </c>
      <c r="G615" s="152" t="b">
        <f t="shared" si="172"/>
        <v>0</v>
      </c>
      <c r="H615" s="152" t="b">
        <f t="shared" si="173"/>
        <v>0</v>
      </c>
      <c r="I615" s="153" t="e">
        <f t="shared" si="174"/>
        <v>#N/A</v>
      </c>
      <c r="J615" s="158">
        <f>INDEX('Monthly Prices'!B603:CB603,$G$4)</f>
        <v>151.96047999999999</v>
      </c>
      <c r="K615" s="158" t="b">
        <f>IF(H615,INDEX('Monthly Prices'!B603:CB603,$G$4)*U615,FALSE)</f>
        <v>0</v>
      </c>
      <c r="L615" s="152" t="b">
        <f t="shared" si="178"/>
        <v>1</v>
      </c>
      <c r="M615" s="158">
        <f>INDEX('Monthly Prices'!B603:CB603,$G$5)</f>
        <v>122.24774857563</v>
      </c>
      <c r="N615" s="158" t="b">
        <f>IF(H615,INDEX('Monthly Prices'!B603:CB603,$G$5)*U615,FALSE)</f>
        <v>0</v>
      </c>
      <c r="O615" s="152" t="b">
        <f t="shared" si="175"/>
        <v>1</v>
      </c>
      <c r="P615" s="152">
        <f t="shared" si="179"/>
        <v>2009</v>
      </c>
      <c r="Q615" s="159">
        <f>'Monthly Prices'!B603</f>
        <v>71.629682539680005</v>
      </c>
      <c r="R615" s="159">
        <f t="shared" si="180"/>
        <v>61.756922215508332</v>
      </c>
      <c r="S615" s="155">
        <f>_xlfn.XLOOKUP(P615,'Annual Real'!A:A,'Annual Real'!B:B,0,0)</f>
        <v>64.021949640347799</v>
      </c>
      <c r="T615" s="155">
        <f t="shared" ca="1" si="181"/>
        <v>1.3806235252985808</v>
      </c>
      <c r="U615" s="152">
        <f t="shared" ca="1" si="182"/>
        <v>1.3806235252985808</v>
      </c>
      <c r="V615" s="152" t="b">
        <f t="shared" si="188"/>
        <v>0</v>
      </c>
      <c r="W615" s="152" t="b">
        <f t="shared" si="189"/>
        <v>0</v>
      </c>
      <c r="X615" s="154">
        <f>LOOKUP(D615,'US Implicit Deflator'!A:A,'US Implicit Deflator'!B:B)/100</f>
        <v>-4.0000000000000001E-3</v>
      </c>
      <c r="Y615" s="154">
        <f t="shared" si="183"/>
        <v>-3.3394601074221431E-4</v>
      </c>
      <c r="Z615" s="165">
        <f t="shared" ca="1" si="184"/>
        <v>4.9461659883226741</v>
      </c>
      <c r="AA615" s="152">
        <f t="shared" si="185"/>
        <v>7</v>
      </c>
      <c r="AB615" s="153">
        <f t="shared" si="186"/>
        <v>40026</v>
      </c>
      <c r="AC615" s="155">
        <f t="shared" ca="1" si="187"/>
        <v>1.3806235252985808</v>
      </c>
    </row>
    <row r="616" spans="3:29">
      <c r="C616" s="152" t="str">
        <f>'Monthly Prices'!A604</f>
        <v>2009M09</v>
      </c>
      <c r="D616" s="153">
        <f t="shared" si="176"/>
        <v>40057</v>
      </c>
      <c r="E616" s="152">
        <f t="shared" si="177"/>
        <v>597</v>
      </c>
      <c r="F616" s="152" t="b">
        <f t="shared" si="171"/>
        <v>1</v>
      </c>
      <c r="G616" s="152" t="b">
        <f t="shared" si="172"/>
        <v>0</v>
      </c>
      <c r="H616" s="152" t="b">
        <f t="shared" si="173"/>
        <v>0</v>
      </c>
      <c r="I616" s="153" t="e">
        <f t="shared" si="174"/>
        <v>#N/A</v>
      </c>
      <c r="J616" s="158">
        <f>INDEX('Monthly Prices'!B604:CB604,$G$4)</f>
        <v>150.38576</v>
      </c>
      <c r="K616" s="158" t="b">
        <f>IF(H616,INDEX('Monthly Prices'!B604:CB604,$G$4)*U616,FALSE)</f>
        <v>0</v>
      </c>
      <c r="L616" s="152" t="b">
        <f t="shared" si="178"/>
        <v>1</v>
      </c>
      <c r="M616" s="158">
        <f>INDEX('Monthly Prices'!B604:CB604,$G$5)</f>
        <v>103.46648361803</v>
      </c>
      <c r="N616" s="158" t="b">
        <f>IF(H616,INDEX('Monthly Prices'!B604:CB604,$G$5)*U616,FALSE)</f>
        <v>0</v>
      </c>
      <c r="O616" s="152" t="b">
        <f t="shared" si="175"/>
        <v>1</v>
      </c>
      <c r="P616" s="152">
        <f t="shared" si="179"/>
        <v>2009</v>
      </c>
      <c r="Q616" s="159">
        <f>'Monthly Prices'!B604</f>
        <v>68.346111111110005</v>
      </c>
      <c r="R616" s="159">
        <f t="shared" si="180"/>
        <v>61.756922215508332</v>
      </c>
      <c r="S616" s="155">
        <f>_xlfn.XLOOKUP(P616,'Annual Real'!A:A,'Annual Real'!B:B,0,0)</f>
        <v>64.021949640347799</v>
      </c>
      <c r="T616" s="155">
        <f t="shared" ca="1" si="181"/>
        <v>1.381084733035675</v>
      </c>
      <c r="U616" s="152">
        <f t="shared" ca="1" si="182"/>
        <v>1.381084733035675</v>
      </c>
      <c r="V616" s="152" t="b">
        <f t="shared" si="188"/>
        <v>0</v>
      </c>
      <c r="W616" s="152" t="b">
        <f t="shared" si="189"/>
        <v>0</v>
      </c>
      <c r="X616" s="154">
        <f>LOOKUP(D616,'US Implicit Deflator'!A:A,'US Implicit Deflator'!B:B)/100</f>
        <v>-4.0000000000000001E-3</v>
      </c>
      <c r="Y616" s="154">
        <f t="shared" si="183"/>
        <v>-3.3394601074221431E-4</v>
      </c>
      <c r="Z616" s="165">
        <f t="shared" ca="1" si="184"/>
        <v>4.944514235922405</v>
      </c>
      <c r="AA616" s="152">
        <f t="shared" si="185"/>
        <v>7</v>
      </c>
      <c r="AB616" s="153">
        <f t="shared" si="186"/>
        <v>40057</v>
      </c>
      <c r="AC616" s="155">
        <f t="shared" ca="1" si="187"/>
        <v>1.381084733035675</v>
      </c>
    </row>
    <row r="617" spans="3:29">
      <c r="C617" s="152" t="str">
        <f>'Monthly Prices'!A605</f>
        <v>2009M10</v>
      </c>
      <c r="D617" s="153">
        <f t="shared" si="176"/>
        <v>40087</v>
      </c>
      <c r="E617" s="152">
        <f t="shared" si="177"/>
        <v>598</v>
      </c>
      <c r="F617" s="152" t="b">
        <f t="shared" si="171"/>
        <v>1</v>
      </c>
      <c r="G617" s="152" t="b">
        <f t="shared" si="172"/>
        <v>0</v>
      </c>
      <c r="H617" s="152" t="b">
        <f t="shared" si="173"/>
        <v>0</v>
      </c>
      <c r="I617" s="153" t="e">
        <f t="shared" si="174"/>
        <v>#N/A</v>
      </c>
      <c r="J617" s="158">
        <f>INDEX('Monthly Prices'!B605:CB605,$G$4)</f>
        <v>167.31399999999999</v>
      </c>
      <c r="K617" s="158" t="b">
        <f>IF(H617,INDEX('Monthly Prices'!B605:CB605,$G$4)*U617,FALSE)</f>
        <v>0</v>
      </c>
      <c r="L617" s="152" t="b">
        <f t="shared" si="178"/>
        <v>1</v>
      </c>
      <c r="M617" s="158">
        <f>INDEX('Monthly Prices'!B605:CB605,$G$5)</f>
        <v>130.65072284964</v>
      </c>
      <c r="N617" s="158" t="b">
        <f>IF(H617,INDEX('Monthly Prices'!B605:CB605,$G$5)*U617,FALSE)</f>
        <v>0</v>
      </c>
      <c r="O617" s="152" t="b">
        <f t="shared" si="175"/>
        <v>1</v>
      </c>
      <c r="P617" s="152">
        <f t="shared" si="179"/>
        <v>2009</v>
      </c>
      <c r="Q617" s="159">
        <f>'Monthly Prices'!B605</f>
        <v>74.080606060609995</v>
      </c>
      <c r="R617" s="159">
        <f t="shared" si="180"/>
        <v>61.756922215508332</v>
      </c>
      <c r="S617" s="155">
        <f>_xlfn.XLOOKUP(P617,'Annual Real'!A:A,'Annual Real'!B:B,0,0)</f>
        <v>64.021949640347799</v>
      </c>
      <c r="T617" s="155">
        <f t="shared" ca="1" si="181"/>
        <v>1.3813151635339069</v>
      </c>
      <c r="U617" s="152">
        <f t="shared" ca="1" si="182"/>
        <v>1.3813151635339069</v>
      </c>
      <c r="V617" s="152" t="b">
        <f t="shared" si="188"/>
        <v>0</v>
      </c>
      <c r="W617" s="152" t="b">
        <f t="shared" si="189"/>
        <v>0</v>
      </c>
      <c r="X617" s="154">
        <f>LOOKUP(D617,'US Implicit Deflator'!A:A,'US Implicit Deflator'!B:B)/100</f>
        <v>-2E-3</v>
      </c>
      <c r="Y617" s="154">
        <f t="shared" si="183"/>
        <v>-1.6681963994558124E-4</v>
      </c>
      <c r="Z617" s="165">
        <f t="shared" ca="1" si="184"/>
        <v>4.9436893938378628</v>
      </c>
      <c r="AA617" s="152">
        <f t="shared" si="185"/>
        <v>7</v>
      </c>
      <c r="AB617" s="153">
        <f t="shared" si="186"/>
        <v>40087</v>
      </c>
      <c r="AC617" s="155">
        <f t="shared" ca="1" si="187"/>
        <v>1.3813151635339069</v>
      </c>
    </row>
    <row r="618" spans="3:29">
      <c r="C618" s="152" t="str">
        <f>'Monthly Prices'!A606</f>
        <v>2009M11</v>
      </c>
      <c r="D618" s="153">
        <f t="shared" si="176"/>
        <v>40118</v>
      </c>
      <c r="E618" s="152">
        <f t="shared" si="177"/>
        <v>599</v>
      </c>
      <c r="F618" s="152" t="b">
        <f t="shared" si="171"/>
        <v>1</v>
      </c>
      <c r="G618" s="152" t="b">
        <f t="shared" si="172"/>
        <v>0</v>
      </c>
      <c r="H618" s="152" t="b">
        <f t="shared" si="173"/>
        <v>0</v>
      </c>
      <c r="I618" s="153" t="e">
        <f t="shared" si="174"/>
        <v>#N/A</v>
      </c>
      <c r="J618" s="158">
        <f>INDEX('Monthly Prices'!B606:CB606,$G$4)</f>
        <v>171.64447999999999</v>
      </c>
      <c r="K618" s="158" t="b">
        <f>IF(H618,INDEX('Monthly Prices'!B606:CB606,$G$4)*U618,FALSE)</f>
        <v>0</v>
      </c>
      <c r="L618" s="152" t="b">
        <f t="shared" si="178"/>
        <v>1</v>
      </c>
      <c r="M618" s="158">
        <f>INDEX('Monthly Prices'!B606:CB606,$G$5)</f>
        <v>155.25198187996</v>
      </c>
      <c r="N618" s="158" t="b">
        <f>IF(H618,INDEX('Monthly Prices'!B606:CB606,$G$5)*U618,FALSE)</f>
        <v>0</v>
      </c>
      <c r="O618" s="152" t="b">
        <f t="shared" si="175"/>
        <v>1</v>
      </c>
      <c r="P618" s="152">
        <f t="shared" si="179"/>
        <v>2009</v>
      </c>
      <c r="Q618" s="159">
        <f>'Monthly Prices'!B606</f>
        <v>77.552301587299993</v>
      </c>
      <c r="R618" s="159">
        <f t="shared" si="180"/>
        <v>61.756922215508332</v>
      </c>
      <c r="S618" s="155">
        <f>_xlfn.XLOOKUP(P618,'Annual Real'!A:A,'Annual Real'!B:B,0,0)</f>
        <v>64.021949640347799</v>
      </c>
      <c r="T618" s="155">
        <f t="shared" ca="1" si="181"/>
        <v>1.3815456324788855</v>
      </c>
      <c r="U618" s="152">
        <f t="shared" ca="1" si="182"/>
        <v>1.3815456324788855</v>
      </c>
      <c r="V618" s="152" t="b">
        <f t="shared" si="188"/>
        <v>0</v>
      </c>
      <c r="W618" s="152" t="b">
        <f t="shared" si="189"/>
        <v>0</v>
      </c>
      <c r="X618" s="154">
        <f>LOOKUP(D618,'US Implicit Deflator'!A:A,'US Implicit Deflator'!B:B)/100</f>
        <v>-2E-3</v>
      </c>
      <c r="Y618" s="154">
        <f t="shared" si="183"/>
        <v>-1.6681963994558124E-4</v>
      </c>
      <c r="Z618" s="165">
        <f t="shared" ca="1" si="184"/>
        <v>4.94286468935318</v>
      </c>
      <c r="AA618" s="152">
        <f t="shared" si="185"/>
        <v>7</v>
      </c>
      <c r="AB618" s="153">
        <f t="shared" si="186"/>
        <v>40118</v>
      </c>
      <c r="AC618" s="155">
        <f t="shared" ca="1" si="187"/>
        <v>1.3815456324788855</v>
      </c>
    </row>
    <row r="619" spans="3:29">
      <c r="C619" s="152" t="str">
        <f>'Monthly Prices'!A607</f>
        <v>2009M12</v>
      </c>
      <c r="D619" s="153">
        <f t="shared" si="176"/>
        <v>40148</v>
      </c>
      <c r="E619" s="152">
        <f t="shared" si="177"/>
        <v>600</v>
      </c>
      <c r="F619" s="152" t="b">
        <f t="shared" si="171"/>
        <v>1</v>
      </c>
      <c r="G619" s="152" t="b">
        <f t="shared" si="172"/>
        <v>0</v>
      </c>
      <c r="H619" s="152" t="b">
        <f t="shared" si="173"/>
        <v>0</v>
      </c>
      <c r="I619" s="153" t="e">
        <f t="shared" si="174"/>
        <v>#N/A</v>
      </c>
      <c r="J619" s="158">
        <f>INDEX('Monthly Prices'!B607:CB607,$G$4)</f>
        <v>164.55824000000001</v>
      </c>
      <c r="K619" s="158" t="b">
        <f>IF(H619,INDEX('Monthly Prices'!B607:CB607,$G$4)*U619,FALSE)</f>
        <v>0</v>
      </c>
      <c r="L619" s="152" t="b">
        <f t="shared" si="178"/>
        <v>1</v>
      </c>
      <c r="M619" s="158">
        <f>INDEX('Monthly Prices'!B607:CB607,$G$5)</f>
        <v>150.58598335049001</v>
      </c>
      <c r="N619" s="158" t="b">
        <f>IF(H619,INDEX('Monthly Prices'!B607:CB607,$G$5)*U619,FALSE)</f>
        <v>0</v>
      </c>
      <c r="O619" s="152" t="b">
        <f t="shared" si="175"/>
        <v>1</v>
      </c>
      <c r="P619" s="152">
        <f t="shared" si="179"/>
        <v>2009</v>
      </c>
      <c r="Q619" s="159">
        <f>'Monthly Prices'!B607</f>
        <v>74.881818181819995</v>
      </c>
      <c r="R619" s="159">
        <f t="shared" si="180"/>
        <v>61.756922215508332</v>
      </c>
      <c r="S619" s="155">
        <f>_xlfn.XLOOKUP(P619,'Annual Real'!A:A,'Annual Real'!B:B,0,0)</f>
        <v>64.021949640347799</v>
      </c>
      <c r="T619" s="155">
        <f t="shared" ca="1" si="181"/>
        <v>1.3817761398770252</v>
      </c>
      <c r="U619" s="152">
        <f t="shared" ca="1" si="182"/>
        <v>1.3817761398770252</v>
      </c>
      <c r="V619" s="152" t="b">
        <f t="shared" si="188"/>
        <v>0</v>
      </c>
      <c r="W619" s="152" t="b">
        <f t="shared" si="189"/>
        <v>0</v>
      </c>
      <c r="X619" s="154">
        <f>LOOKUP(D619,'US Implicit Deflator'!A:A,'US Implicit Deflator'!B:B)/100</f>
        <v>-2E-3</v>
      </c>
      <c r="Y619" s="154">
        <f t="shared" si="183"/>
        <v>-1.6681963994558124E-4</v>
      </c>
      <c r="Z619" s="165">
        <f t="shared" ca="1" si="184"/>
        <v>4.9420401224454027</v>
      </c>
      <c r="AA619" s="152">
        <f t="shared" si="185"/>
        <v>7</v>
      </c>
      <c r="AB619" s="153">
        <f t="shared" si="186"/>
        <v>40148</v>
      </c>
      <c r="AC619" s="155">
        <f t="shared" ca="1" si="187"/>
        <v>1.3817761398770252</v>
      </c>
    </row>
    <row r="620" spans="3:29">
      <c r="C620" s="152" t="str">
        <f>'Monthly Prices'!A608</f>
        <v>2010M01</v>
      </c>
      <c r="D620" s="153">
        <f t="shared" si="176"/>
        <v>40179</v>
      </c>
      <c r="E620" s="152">
        <f t="shared" si="177"/>
        <v>601</v>
      </c>
      <c r="F620" s="152" t="b">
        <f t="shared" si="171"/>
        <v>1</v>
      </c>
      <c r="G620" s="152" t="b">
        <f t="shared" si="172"/>
        <v>0</v>
      </c>
      <c r="H620" s="152" t="b">
        <f t="shared" si="173"/>
        <v>0</v>
      </c>
      <c r="I620" s="153" t="e">
        <f t="shared" si="174"/>
        <v>#N/A</v>
      </c>
      <c r="J620" s="158">
        <f>INDEX('Monthly Prices'!B608:CB608,$G$4)</f>
        <v>167.31399999999999</v>
      </c>
      <c r="K620" s="158" t="b">
        <f>IF(H620,INDEX('Monthly Prices'!B608:CB608,$G$4)*U620,FALSE)</f>
        <v>0</v>
      </c>
      <c r="L620" s="152" t="b">
        <f t="shared" si="178"/>
        <v>1</v>
      </c>
      <c r="M620" s="158">
        <f>INDEX('Monthly Prices'!B608:CB608,$G$5)</f>
        <v>146.53767234931999</v>
      </c>
      <c r="N620" s="158" t="b">
        <f>IF(H620,INDEX('Monthly Prices'!B608:CB608,$G$5)*U620,FALSE)</f>
        <v>0</v>
      </c>
      <c r="O620" s="152" t="b">
        <f t="shared" si="175"/>
        <v>1</v>
      </c>
      <c r="P620" s="152">
        <f t="shared" si="179"/>
        <v>2010</v>
      </c>
      <c r="Q620" s="159">
        <f>'Monthly Prices'!B608</f>
        <v>77.121087719299993</v>
      </c>
      <c r="R620" s="159">
        <f t="shared" si="180"/>
        <v>79.040771784717506</v>
      </c>
      <c r="S620" s="155">
        <f>_xlfn.XLOOKUP(P620,'Annual Real'!A:A,'Annual Real'!B:B,0,0)</f>
        <v>79.040771784717293</v>
      </c>
      <c r="T620" s="155">
        <f t="shared" ca="1" si="181"/>
        <v>1.3816610541939276</v>
      </c>
      <c r="U620" s="152">
        <f t="shared" ca="1" si="182"/>
        <v>1.3816610541939276</v>
      </c>
      <c r="V620" s="152" t="b">
        <f t="shared" si="188"/>
        <v>0</v>
      </c>
      <c r="W620" s="152" t="b">
        <f t="shared" si="189"/>
        <v>0</v>
      </c>
      <c r="X620" s="154">
        <f>LOOKUP(D620,'US Implicit Deflator'!A:A,'US Implicit Deflator'!B:B)/100</f>
        <v>1E-3</v>
      </c>
      <c r="Y620" s="154">
        <f t="shared" si="183"/>
        <v>8.3295163273211514E-5</v>
      </c>
      <c r="Z620" s="165">
        <f t="shared" ca="1" si="184"/>
        <v>4.942451770484305</v>
      </c>
      <c r="AA620" s="152">
        <f t="shared" si="185"/>
        <v>7</v>
      </c>
      <c r="AB620" s="153">
        <f t="shared" si="186"/>
        <v>40179</v>
      </c>
      <c r="AC620" s="155">
        <f t="shared" ca="1" si="187"/>
        <v>1.3816610541939276</v>
      </c>
    </row>
    <row r="621" spans="3:29">
      <c r="C621" s="152" t="str">
        <f>'Monthly Prices'!A609</f>
        <v>2010M02</v>
      </c>
      <c r="D621" s="153">
        <f t="shared" si="176"/>
        <v>40210</v>
      </c>
      <c r="E621" s="152">
        <f t="shared" si="177"/>
        <v>602</v>
      </c>
      <c r="F621" s="152" t="b">
        <f t="shared" si="171"/>
        <v>1</v>
      </c>
      <c r="G621" s="152" t="b">
        <f t="shared" si="172"/>
        <v>0</v>
      </c>
      <c r="H621" s="152" t="b">
        <f t="shared" si="173"/>
        <v>0</v>
      </c>
      <c r="I621" s="153" t="e">
        <f t="shared" si="174"/>
        <v>#N/A</v>
      </c>
      <c r="J621" s="158">
        <f>INDEX('Monthly Prices'!B609:CB609,$G$4)</f>
        <v>161.80248</v>
      </c>
      <c r="K621" s="158" t="b">
        <f>IF(H621,INDEX('Monthly Prices'!B609:CB609,$G$4)*U621,FALSE)</f>
        <v>0</v>
      </c>
      <c r="L621" s="152" t="b">
        <f t="shared" si="178"/>
        <v>1</v>
      </c>
      <c r="M621" s="158">
        <f>INDEX('Monthly Prices'!B609:CB609,$G$5)</f>
        <v>137.37599107534001</v>
      </c>
      <c r="N621" s="158" t="b">
        <f>IF(H621,INDEX('Monthly Prices'!B609:CB609,$G$5)*U621,FALSE)</f>
        <v>0</v>
      </c>
      <c r="O621" s="152" t="b">
        <f t="shared" si="175"/>
        <v>1</v>
      </c>
      <c r="P621" s="152">
        <f t="shared" si="179"/>
        <v>2010</v>
      </c>
      <c r="Q621" s="159">
        <f>'Monthly Prices'!B609</f>
        <v>74.763015594539993</v>
      </c>
      <c r="R621" s="159">
        <f t="shared" si="180"/>
        <v>79.040771784717506</v>
      </c>
      <c r="S621" s="155">
        <f>_xlfn.XLOOKUP(P621,'Annual Real'!A:A,'Annual Real'!B:B,0,0)</f>
        <v>79.040771784717293</v>
      </c>
      <c r="T621" s="155">
        <f t="shared" ca="1" si="181"/>
        <v>1.3815459780961126</v>
      </c>
      <c r="U621" s="152">
        <f t="shared" ca="1" si="182"/>
        <v>1.3815459780961126</v>
      </c>
      <c r="V621" s="152" t="b">
        <f t="shared" si="188"/>
        <v>0</v>
      </c>
      <c r="W621" s="152" t="b">
        <f t="shared" si="189"/>
        <v>0</v>
      </c>
      <c r="X621" s="154">
        <f>LOOKUP(D621,'US Implicit Deflator'!A:A,'US Implicit Deflator'!B:B)/100</f>
        <v>1E-3</v>
      </c>
      <c r="Y621" s="154">
        <f t="shared" si="183"/>
        <v>8.3295163273211514E-5</v>
      </c>
      <c r="Z621" s="165">
        <f t="shared" ca="1" si="184"/>
        <v>4.9428634528114976</v>
      </c>
      <c r="AA621" s="152">
        <f t="shared" si="185"/>
        <v>7</v>
      </c>
      <c r="AB621" s="153">
        <f t="shared" si="186"/>
        <v>40210</v>
      </c>
      <c r="AC621" s="155">
        <f t="shared" ca="1" si="187"/>
        <v>1.3815459780961126</v>
      </c>
    </row>
    <row r="622" spans="3:29">
      <c r="C622" s="152" t="str">
        <f>'Monthly Prices'!A610</f>
        <v>2010M03</v>
      </c>
      <c r="D622" s="153">
        <f t="shared" si="176"/>
        <v>40238</v>
      </c>
      <c r="E622" s="152">
        <f t="shared" si="177"/>
        <v>603</v>
      </c>
      <c r="F622" s="152" t="b">
        <f t="shared" si="171"/>
        <v>1</v>
      </c>
      <c r="G622" s="152" t="b">
        <f t="shared" si="172"/>
        <v>0</v>
      </c>
      <c r="H622" s="152" t="b">
        <f t="shared" si="173"/>
        <v>0</v>
      </c>
      <c r="I622" s="153" t="e">
        <f t="shared" si="174"/>
        <v>#N/A</v>
      </c>
      <c r="J622" s="158">
        <f>INDEX('Monthly Prices'!B610:CB610,$G$4)</f>
        <v>159.04671999999999</v>
      </c>
      <c r="K622" s="158" t="b">
        <f>IF(H622,INDEX('Monthly Prices'!B610:CB610,$G$4)*U622,FALSE)</f>
        <v>0</v>
      </c>
      <c r="L622" s="152" t="b">
        <f t="shared" si="178"/>
        <v>1</v>
      </c>
      <c r="M622" s="158">
        <f>INDEX('Monthly Prices'!B610:CB610,$G$5)</f>
        <v>146.98247256850999</v>
      </c>
      <c r="N622" s="158" t="b">
        <f>IF(H622,INDEX('Monthly Prices'!B610:CB610,$G$5)*U622,FALSE)</f>
        <v>0</v>
      </c>
      <c r="O622" s="152" t="b">
        <f t="shared" si="175"/>
        <v>1</v>
      </c>
      <c r="P622" s="152">
        <f t="shared" si="179"/>
        <v>2010</v>
      </c>
      <c r="Q622" s="159">
        <f>'Monthly Prices'!B610</f>
        <v>79.297681159419994</v>
      </c>
      <c r="R622" s="159">
        <f t="shared" si="180"/>
        <v>79.040771784717506</v>
      </c>
      <c r="S622" s="155">
        <f>_xlfn.XLOOKUP(P622,'Annual Real'!A:A,'Annual Real'!B:B,0,0)</f>
        <v>79.040771784717293</v>
      </c>
      <c r="T622" s="155">
        <f t="shared" ca="1" si="181"/>
        <v>1.3814309115827816</v>
      </c>
      <c r="U622" s="152">
        <f t="shared" ca="1" si="182"/>
        <v>1.3814309115827816</v>
      </c>
      <c r="V622" s="152" t="b">
        <f t="shared" si="188"/>
        <v>0</v>
      </c>
      <c r="W622" s="152" t="b">
        <f t="shared" si="189"/>
        <v>0</v>
      </c>
      <c r="X622" s="154">
        <f>LOOKUP(D622,'US Implicit Deflator'!A:A,'US Implicit Deflator'!B:B)/100</f>
        <v>1E-3</v>
      </c>
      <c r="Y622" s="154">
        <f t="shared" si="183"/>
        <v>8.3295163273211514E-5</v>
      </c>
      <c r="Z622" s="165">
        <f t="shared" ca="1" si="184"/>
        <v>4.9432751694298371</v>
      </c>
      <c r="AA622" s="152">
        <f t="shared" si="185"/>
        <v>7</v>
      </c>
      <c r="AB622" s="153">
        <f t="shared" si="186"/>
        <v>40238</v>
      </c>
      <c r="AC622" s="155">
        <f t="shared" ca="1" si="187"/>
        <v>1.3814309115827816</v>
      </c>
    </row>
    <row r="623" spans="3:29">
      <c r="C623" s="152" t="str">
        <f>'Monthly Prices'!A611</f>
        <v>2010M04</v>
      </c>
      <c r="D623" s="153">
        <f t="shared" si="176"/>
        <v>40269</v>
      </c>
      <c r="E623" s="152">
        <f t="shared" si="177"/>
        <v>604</v>
      </c>
      <c r="F623" s="152" t="b">
        <f t="shared" si="171"/>
        <v>1</v>
      </c>
      <c r="G623" s="152" t="b">
        <f t="shared" si="172"/>
        <v>0</v>
      </c>
      <c r="H623" s="152" t="b">
        <f t="shared" si="173"/>
        <v>0</v>
      </c>
      <c r="I623" s="153" t="e">
        <f t="shared" si="174"/>
        <v>#N/A</v>
      </c>
      <c r="J623" s="158">
        <f>INDEX('Monthly Prices'!B611:CB611,$G$4)</f>
        <v>157.07831999999999</v>
      </c>
      <c r="K623" s="158" t="b">
        <f>IF(H623,INDEX('Monthly Prices'!B611:CB611,$G$4)*U623,FALSE)</f>
        <v>0</v>
      </c>
      <c r="L623" s="152" t="b">
        <f t="shared" si="178"/>
        <v>1</v>
      </c>
      <c r="M623" s="158">
        <f>INDEX('Monthly Prices'!B611:CB611,$G$5)</f>
        <v>151.70521637143</v>
      </c>
      <c r="N623" s="158" t="b">
        <f>IF(H623,INDEX('Monthly Prices'!B611:CB611,$G$5)*U623,FALSE)</f>
        <v>0</v>
      </c>
      <c r="O623" s="152" t="b">
        <f t="shared" si="175"/>
        <v>1</v>
      </c>
      <c r="P623" s="152">
        <f t="shared" si="179"/>
        <v>2010</v>
      </c>
      <c r="Q623" s="159">
        <f>'Monthly Prices'!B611</f>
        <v>84.182857142860001</v>
      </c>
      <c r="R623" s="159">
        <f t="shared" si="180"/>
        <v>79.040771784717506</v>
      </c>
      <c r="S623" s="155">
        <f>_xlfn.XLOOKUP(P623,'Annual Real'!A:A,'Annual Real'!B:B,0,0)</f>
        <v>79.040771784717293</v>
      </c>
      <c r="T623" s="155">
        <f t="shared" ca="1" si="181"/>
        <v>1.3800583858300561</v>
      </c>
      <c r="U623" s="152">
        <f t="shared" ca="1" si="182"/>
        <v>1.3800583858300561</v>
      </c>
      <c r="V623" s="152" t="b">
        <f t="shared" si="188"/>
        <v>0</v>
      </c>
      <c r="W623" s="152" t="b">
        <f t="shared" si="189"/>
        <v>0</v>
      </c>
      <c r="X623" s="154">
        <f>LOOKUP(D623,'US Implicit Deflator'!A:A,'US Implicit Deflator'!B:B)/100</f>
        <v>1.2E-2</v>
      </c>
      <c r="Y623" s="154">
        <f t="shared" si="183"/>
        <v>9.9454180114277868E-4</v>
      </c>
      <c r="Z623" s="165">
        <f t="shared" ca="1" si="184"/>
        <v>4.9481914632203861</v>
      </c>
      <c r="AA623" s="152">
        <f t="shared" si="185"/>
        <v>7</v>
      </c>
      <c r="AB623" s="153">
        <f t="shared" si="186"/>
        <v>40269</v>
      </c>
      <c r="AC623" s="155">
        <f t="shared" ca="1" si="187"/>
        <v>1.3800583858300561</v>
      </c>
    </row>
    <row r="624" spans="3:29">
      <c r="C624" s="152" t="str">
        <f>'Monthly Prices'!A612</f>
        <v>2010M05</v>
      </c>
      <c r="D624" s="153">
        <f t="shared" si="176"/>
        <v>40299</v>
      </c>
      <c r="E624" s="152">
        <f t="shared" si="177"/>
        <v>605</v>
      </c>
      <c r="F624" s="152" t="b">
        <f t="shared" si="171"/>
        <v>1</v>
      </c>
      <c r="G624" s="152" t="b">
        <f t="shared" si="172"/>
        <v>0</v>
      </c>
      <c r="H624" s="152" t="b">
        <f t="shared" si="173"/>
        <v>0</v>
      </c>
      <c r="I624" s="153" t="e">
        <f t="shared" si="174"/>
        <v>#N/A</v>
      </c>
      <c r="J624" s="158">
        <f>INDEX('Monthly Prices'!B612:CB612,$G$4)</f>
        <v>163.37719999999999</v>
      </c>
      <c r="K624" s="158" t="b">
        <f>IF(H624,INDEX('Monthly Prices'!B612:CB612,$G$4)*U624,FALSE)</f>
        <v>0</v>
      </c>
      <c r="L624" s="152" t="b">
        <f t="shared" si="178"/>
        <v>1</v>
      </c>
      <c r="M624" s="158">
        <f>INDEX('Monthly Prices'!B612:CB612,$G$5)</f>
        <v>143.03590335932</v>
      </c>
      <c r="N624" s="158" t="b">
        <f>IF(H624,INDEX('Monthly Prices'!B612:CB612,$G$5)*U624,FALSE)</f>
        <v>0</v>
      </c>
      <c r="O624" s="152" t="b">
        <f t="shared" si="175"/>
        <v>1</v>
      </c>
      <c r="P624" s="152">
        <f t="shared" si="179"/>
        <v>2010</v>
      </c>
      <c r="Q624" s="159">
        <f>'Monthly Prices'!B612</f>
        <v>75.61831746032</v>
      </c>
      <c r="R624" s="159">
        <f t="shared" si="180"/>
        <v>79.040771784717506</v>
      </c>
      <c r="S624" s="155">
        <f>_xlfn.XLOOKUP(P624,'Annual Real'!A:A,'Annual Real'!B:B,0,0)</f>
        <v>79.040771784717293</v>
      </c>
      <c r="T624" s="155">
        <f t="shared" ca="1" si="181"/>
        <v>1.3786872237553298</v>
      </c>
      <c r="U624" s="152">
        <f t="shared" ca="1" si="182"/>
        <v>1.3786872237553298</v>
      </c>
      <c r="V624" s="152" t="b">
        <f t="shared" si="188"/>
        <v>0</v>
      </c>
      <c r="W624" s="152" t="b">
        <f t="shared" si="189"/>
        <v>0</v>
      </c>
      <c r="X624" s="154">
        <f>LOOKUP(D624,'US Implicit Deflator'!A:A,'US Implicit Deflator'!B:B)/100</f>
        <v>1.2E-2</v>
      </c>
      <c r="Y624" s="154">
        <f t="shared" si="183"/>
        <v>9.9454180114277868E-4</v>
      </c>
      <c r="Z624" s="165">
        <f t="shared" ca="1" si="184"/>
        <v>4.9531126464706166</v>
      </c>
      <c r="AA624" s="152">
        <f t="shared" si="185"/>
        <v>7</v>
      </c>
      <c r="AB624" s="153">
        <f t="shared" si="186"/>
        <v>40299</v>
      </c>
      <c r="AC624" s="155">
        <f t="shared" ca="1" si="187"/>
        <v>1.3786872237553298</v>
      </c>
    </row>
    <row r="625" spans="3:29">
      <c r="C625" s="152" t="str">
        <f>'Monthly Prices'!A613</f>
        <v>2010M06</v>
      </c>
      <c r="D625" s="153">
        <f t="shared" si="176"/>
        <v>40330</v>
      </c>
      <c r="E625" s="152">
        <f t="shared" si="177"/>
        <v>606</v>
      </c>
      <c r="F625" s="152" t="b">
        <f t="shared" si="171"/>
        <v>1</v>
      </c>
      <c r="G625" s="152" t="b">
        <f t="shared" si="172"/>
        <v>0</v>
      </c>
      <c r="H625" s="152" t="b">
        <f t="shared" si="173"/>
        <v>0</v>
      </c>
      <c r="I625" s="153" t="e">
        <f t="shared" si="174"/>
        <v>#N/A</v>
      </c>
      <c r="J625" s="158">
        <f>INDEX('Monthly Prices'!B613:CB613,$G$4)</f>
        <v>152.74784</v>
      </c>
      <c r="K625" s="158" t="b">
        <f>IF(H625,INDEX('Monthly Prices'!B613:CB613,$G$4)*U625,FALSE)</f>
        <v>0</v>
      </c>
      <c r="L625" s="152" t="b">
        <f t="shared" si="178"/>
        <v>1</v>
      </c>
      <c r="M625" s="158">
        <f>INDEX('Monthly Prices'!B613:CB613,$G$5)</f>
        <v>145.93266868949999</v>
      </c>
      <c r="N625" s="158" t="b">
        <f>IF(H625,INDEX('Monthly Prices'!B613:CB613,$G$5)*U625,FALSE)</f>
        <v>0</v>
      </c>
      <c r="O625" s="152" t="b">
        <f t="shared" si="175"/>
        <v>1</v>
      </c>
      <c r="P625" s="152">
        <f t="shared" si="179"/>
        <v>2010</v>
      </c>
      <c r="Q625" s="159">
        <f>'Monthly Prices'!B613</f>
        <v>74.724999999999994</v>
      </c>
      <c r="R625" s="159">
        <f t="shared" si="180"/>
        <v>79.040771784717506</v>
      </c>
      <c r="S625" s="155">
        <f>_xlfn.XLOOKUP(P625,'Annual Real'!A:A,'Annual Real'!B:B,0,0)</f>
        <v>79.040771784717293</v>
      </c>
      <c r="T625" s="155">
        <f t="shared" ca="1" si="181"/>
        <v>1.377317424003716</v>
      </c>
      <c r="U625" s="152">
        <f t="shared" ca="1" si="182"/>
        <v>1.377317424003716</v>
      </c>
      <c r="V625" s="152" t="b">
        <f t="shared" si="188"/>
        <v>0</v>
      </c>
      <c r="W625" s="152" t="b">
        <f t="shared" si="189"/>
        <v>0</v>
      </c>
      <c r="X625" s="154">
        <f>LOOKUP(D625,'US Implicit Deflator'!A:A,'US Implicit Deflator'!B:B)/100</f>
        <v>1.2E-2</v>
      </c>
      <c r="Y625" s="154">
        <f t="shared" si="183"/>
        <v>9.9454180114277868E-4</v>
      </c>
      <c r="Z625" s="165">
        <f t="shared" ca="1" si="184"/>
        <v>4.9580387240433001</v>
      </c>
      <c r="AA625" s="152">
        <f t="shared" si="185"/>
        <v>7</v>
      </c>
      <c r="AB625" s="153">
        <f t="shared" si="186"/>
        <v>40330</v>
      </c>
      <c r="AC625" s="155">
        <f t="shared" ca="1" si="187"/>
        <v>1.377317424003716</v>
      </c>
    </row>
    <row r="626" spans="3:29">
      <c r="C626" s="152" t="str">
        <f>'Monthly Prices'!A614</f>
        <v>2010M07</v>
      </c>
      <c r="D626" s="153">
        <f t="shared" si="176"/>
        <v>40360</v>
      </c>
      <c r="E626" s="152">
        <f t="shared" si="177"/>
        <v>607</v>
      </c>
      <c r="F626" s="152" t="b">
        <f t="shared" si="171"/>
        <v>1</v>
      </c>
      <c r="G626" s="152" t="b">
        <f t="shared" si="172"/>
        <v>0</v>
      </c>
      <c r="H626" s="152" t="b">
        <f t="shared" si="173"/>
        <v>0</v>
      </c>
      <c r="I626" s="153" t="e">
        <f t="shared" si="174"/>
        <v>#N/A</v>
      </c>
      <c r="J626" s="158">
        <f>INDEX('Monthly Prices'!B614:CB614,$G$4)</f>
        <v>163.75682</v>
      </c>
      <c r="K626" s="158" t="b">
        <f>IF(H626,INDEX('Monthly Prices'!B614:CB614,$G$4)*U626,FALSE)</f>
        <v>0</v>
      </c>
      <c r="L626" s="152" t="b">
        <f t="shared" si="178"/>
        <v>1</v>
      </c>
      <c r="M626" s="158">
        <f>INDEX('Monthly Prices'!B614:CB614,$G$5)</f>
        <v>156.36196489269</v>
      </c>
      <c r="N626" s="158" t="b">
        <f>IF(H626,INDEX('Monthly Prices'!B614:CB614,$G$5)*U626,FALSE)</f>
        <v>0</v>
      </c>
      <c r="O626" s="152" t="b">
        <f t="shared" si="175"/>
        <v>1</v>
      </c>
      <c r="P626" s="152">
        <f t="shared" si="179"/>
        <v>2010</v>
      </c>
      <c r="Q626" s="159">
        <f>'Monthly Prices'!B614</f>
        <v>74.579401154400003</v>
      </c>
      <c r="R626" s="159">
        <f t="shared" si="180"/>
        <v>79.040771784717506</v>
      </c>
      <c r="S626" s="155">
        <f>_xlfn.XLOOKUP(P626,'Annual Real'!A:A,'Annual Real'!B:B,0,0)</f>
        <v>79.040771784717293</v>
      </c>
      <c r="T626" s="155">
        <f t="shared" ca="1" si="181"/>
        <v>1.3758357430426444</v>
      </c>
      <c r="U626" s="152">
        <f t="shared" ca="1" si="182"/>
        <v>1.3758357430426444</v>
      </c>
      <c r="V626" s="152" t="b">
        <f t="shared" si="188"/>
        <v>0</v>
      </c>
      <c r="W626" s="152" t="b">
        <f t="shared" si="189"/>
        <v>0</v>
      </c>
      <c r="X626" s="154">
        <f>LOOKUP(D626,'US Implicit Deflator'!A:A,'US Implicit Deflator'!B:B)/100</f>
        <v>1.3000000000000001E-2</v>
      </c>
      <c r="Y626" s="154">
        <f t="shared" si="183"/>
        <v>1.0769315803607071E-3</v>
      </c>
      <c r="Z626" s="165">
        <f t="shared" ca="1" si="184"/>
        <v>4.9633781925218736</v>
      </c>
      <c r="AA626" s="152">
        <f t="shared" si="185"/>
        <v>7</v>
      </c>
      <c r="AB626" s="153">
        <f t="shared" si="186"/>
        <v>40360</v>
      </c>
      <c r="AC626" s="155">
        <f t="shared" ca="1" si="187"/>
        <v>1.3758357430426444</v>
      </c>
    </row>
    <row r="627" spans="3:29">
      <c r="C627" s="152" t="str">
        <f>'Monthly Prices'!A615</f>
        <v>2010M08</v>
      </c>
      <c r="D627" s="153">
        <f t="shared" si="176"/>
        <v>40391</v>
      </c>
      <c r="E627" s="152">
        <f t="shared" si="177"/>
        <v>608</v>
      </c>
      <c r="F627" s="152" t="b">
        <f t="shared" si="171"/>
        <v>1</v>
      </c>
      <c r="G627" s="152" t="b">
        <f t="shared" si="172"/>
        <v>0</v>
      </c>
      <c r="H627" s="152" t="b">
        <f t="shared" si="173"/>
        <v>0</v>
      </c>
      <c r="I627" s="153" t="e">
        <f t="shared" si="174"/>
        <v>#N/A</v>
      </c>
      <c r="J627" s="158">
        <f>INDEX('Monthly Prices'!B615:CB615,$G$4)</f>
        <v>175.58127999999999</v>
      </c>
      <c r="K627" s="158" t="b">
        <f>IF(H627,INDEX('Monthly Prices'!B615:CB615,$G$4)*U627,FALSE)</f>
        <v>0</v>
      </c>
      <c r="L627" s="152" t="b">
        <f t="shared" si="178"/>
        <v>1</v>
      </c>
      <c r="M627" s="158">
        <f>INDEX('Monthly Prices'!B615:CB615,$G$5)</f>
        <v>161.23269214493001</v>
      </c>
      <c r="N627" s="158" t="b">
        <f>IF(H627,INDEX('Monthly Prices'!B615:CB615,$G$5)*U627,FALSE)</f>
        <v>0</v>
      </c>
      <c r="O627" s="152" t="b">
        <f t="shared" si="175"/>
        <v>1</v>
      </c>
      <c r="P627" s="152">
        <f t="shared" si="179"/>
        <v>2010</v>
      </c>
      <c r="Q627" s="159">
        <f>'Monthly Prices'!B615</f>
        <v>75.826269841270005</v>
      </c>
      <c r="R627" s="159">
        <f t="shared" si="180"/>
        <v>79.040771784717506</v>
      </c>
      <c r="S627" s="155">
        <f>_xlfn.XLOOKUP(P627,'Annual Real'!A:A,'Annual Real'!B:B,0,0)</f>
        <v>79.040771784717293</v>
      </c>
      <c r="T627" s="155">
        <f t="shared" ca="1" si="181"/>
        <v>1.3743556560340138</v>
      </c>
      <c r="U627" s="152">
        <f t="shared" ca="1" si="182"/>
        <v>1.3743556560340138</v>
      </c>
      <c r="V627" s="152" t="b">
        <f t="shared" si="188"/>
        <v>0</v>
      </c>
      <c r="W627" s="152" t="b">
        <f t="shared" si="189"/>
        <v>0</v>
      </c>
      <c r="X627" s="154">
        <f>LOOKUP(D627,'US Implicit Deflator'!A:A,'US Implicit Deflator'!B:B)/100</f>
        <v>1.3000000000000001E-2</v>
      </c>
      <c r="Y627" s="154">
        <f t="shared" si="183"/>
        <v>1.0769315803607071E-3</v>
      </c>
      <c r="Z627" s="165">
        <f t="shared" ca="1" si="184"/>
        <v>4.9687234112426744</v>
      </c>
      <c r="AA627" s="152">
        <f t="shared" si="185"/>
        <v>7</v>
      </c>
      <c r="AB627" s="153">
        <f t="shared" si="186"/>
        <v>40391</v>
      </c>
      <c r="AC627" s="155">
        <f t="shared" ca="1" si="187"/>
        <v>1.3743556560340138</v>
      </c>
    </row>
    <row r="628" spans="3:29">
      <c r="C628" s="152" t="str">
        <f>'Monthly Prices'!A616</f>
        <v>2010M09</v>
      </c>
      <c r="D628" s="153">
        <f t="shared" si="176"/>
        <v>40422</v>
      </c>
      <c r="E628" s="152">
        <f t="shared" si="177"/>
        <v>609</v>
      </c>
      <c r="F628" s="152" t="b">
        <f t="shared" si="171"/>
        <v>1</v>
      </c>
      <c r="G628" s="152" t="b">
        <f t="shared" si="172"/>
        <v>0</v>
      </c>
      <c r="H628" s="152" t="b">
        <f t="shared" si="173"/>
        <v>0</v>
      </c>
      <c r="I628" s="153" t="e">
        <f t="shared" si="174"/>
        <v>#N/A</v>
      </c>
      <c r="J628" s="158">
        <f>INDEX('Monthly Prices'!B616:CB616,$G$4)</f>
        <v>205.89464000000001</v>
      </c>
      <c r="K628" s="158" t="b">
        <f>IF(H628,INDEX('Monthly Prices'!B616:CB616,$G$4)*U628,FALSE)</f>
        <v>0</v>
      </c>
      <c r="L628" s="152" t="b">
        <f t="shared" si="178"/>
        <v>1</v>
      </c>
      <c r="M628" s="158">
        <f>INDEX('Monthly Prices'!B616:CB616,$G$5)</f>
        <v>168.11980413513001</v>
      </c>
      <c r="N628" s="158" t="b">
        <f>IF(H628,INDEX('Monthly Prices'!B616:CB616,$G$5)*U628,FALSE)</f>
        <v>0</v>
      </c>
      <c r="O628" s="152" t="b">
        <f t="shared" si="175"/>
        <v>1</v>
      </c>
      <c r="P628" s="152">
        <f t="shared" si="179"/>
        <v>2010</v>
      </c>
      <c r="Q628" s="159">
        <f>'Monthly Prices'!B616</f>
        <v>76.116240981239997</v>
      </c>
      <c r="R628" s="159">
        <f t="shared" si="180"/>
        <v>79.040771784717506</v>
      </c>
      <c r="S628" s="155">
        <f>_xlfn.XLOOKUP(P628,'Annual Real'!A:A,'Annual Real'!B:B,0,0)</f>
        <v>79.040771784717293</v>
      </c>
      <c r="T628" s="155">
        <f t="shared" ca="1" si="181"/>
        <v>1.3728771612630937</v>
      </c>
      <c r="U628" s="152">
        <f t="shared" ca="1" si="182"/>
        <v>1.3728771612630937</v>
      </c>
      <c r="V628" s="152" t="b">
        <f t="shared" si="188"/>
        <v>0</v>
      </c>
      <c r="W628" s="152" t="b">
        <f t="shared" si="189"/>
        <v>0</v>
      </c>
      <c r="X628" s="154">
        <f>LOOKUP(D628,'US Implicit Deflator'!A:A,'US Implicit Deflator'!B:B)/100</f>
        <v>1.3000000000000001E-2</v>
      </c>
      <c r="Y628" s="154">
        <f t="shared" si="183"/>
        <v>1.0769315803607071E-3</v>
      </c>
      <c r="Z628" s="165">
        <f t="shared" ca="1" si="184"/>
        <v>4.9740743863983194</v>
      </c>
      <c r="AA628" s="152">
        <f t="shared" si="185"/>
        <v>7</v>
      </c>
      <c r="AB628" s="153">
        <f t="shared" si="186"/>
        <v>40422</v>
      </c>
      <c r="AC628" s="155">
        <f t="shared" ca="1" si="187"/>
        <v>1.3728771612630937</v>
      </c>
    </row>
    <row r="629" spans="3:29">
      <c r="C629" s="152" t="str">
        <f>'Monthly Prices'!A617</f>
        <v>2010M10</v>
      </c>
      <c r="D629" s="153">
        <f t="shared" si="176"/>
        <v>40452</v>
      </c>
      <c r="E629" s="152">
        <f t="shared" si="177"/>
        <v>610</v>
      </c>
      <c r="F629" s="152" t="b">
        <f t="shared" si="171"/>
        <v>1</v>
      </c>
      <c r="G629" s="152" t="b">
        <f t="shared" si="172"/>
        <v>0</v>
      </c>
      <c r="H629" s="152" t="b">
        <f t="shared" si="173"/>
        <v>0</v>
      </c>
      <c r="I629" s="153" t="e">
        <f t="shared" si="174"/>
        <v>#N/A</v>
      </c>
      <c r="J629" s="158">
        <f>INDEX('Monthly Prices'!B617:CB617,$G$4)</f>
        <v>235.81432000000001</v>
      </c>
      <c r="K629" s="158" t="b">
        <f>IF(H629,INDEX('Monthly Prices'!B617:CB617,$G$4)*U629,FALSE)</f>
        <v>0</v>
      </c>
      <c r="L629" s="152" t="b">
        <f t="shared" si="178"/>
        <v>1</v>
      </c>
      <c r="M629" s="158">
        <f>INDEX('Monthly Prices'!B617:CB617,$G$5)</f>
        <v>174.62422634836</v>
      </c>
      <c r="N629" s="158" t="b">
        <f>IF(H629,INDEX('Monthly Prices'!B617:CB617,$G$5)*U629,FALSE)</f>
        <v>0</v>
      </c>
      <c r="O629" s="152" t="b">
        <f t="shared" si="175"/>
        <v>1</v>
      </c>
      <c r="P629" s="152">
        <f t="shared" si="179"/>
        <v>2010</v>
      </c>
      <c r="Q629" s="159">
        <f>'Monthly Prices'!B617</f>
        <v>81.719365079369993</v>
      </c>
      <c r="R629" s="159">
        <f t="shared" si="180"/>
        <v>79.040771784717506</v>
      </c>
      <c r="S629" s="155">
        <f>_xlfn.XLOOKUP(P629,'Annual Real'!A:A,'Annual Real'!B:B,0,0)</f>
        <v>79.040771784717293</v>
      </c>
      <c r="T629" s="155">
        <f t="shared" ca="1" si="181"/>
        <v>1.3709499526271454</v>
      </c>
      <c r="U629" s="152">
        <f t="shared" ca="1" si="182"/>
        <v>1.3709499526271454</v>
      </c>
      <c r="V629" s="152" t="b">
        <f t="shared" si="188"/>
        <v>0</v>
      </c>
      <c r="W629" s="152" t="b">
        <f t="shared" si="189"/>
        <v>0</v>
      </c>
      <c r="X629" s="154">
        <f>LOOKUP(D629,'US Implicit Deflator'!A:A,'US Implicit Deflator'!B:B)/100</f>
        <v>1.7000000000000001E-2</v>
      </c>
      <c r="Y629" s="154">
        <f t="shared" si="183"/>
        <v>1.4057468926966799E-3</v>
      </c>
      <c r="Z629" s="165">
        <f t="shared" ca="1" si="184"/>
        <v>4.9810666760110411</v>
      </c>
      <c r="AA629" s="152">
        <f t="shared" si="185"/>
        <v>7</v>
      </c>
      <c r="AB629" s="153">
        <f t="shared" si="186"/>
        <v>40452</v>
      </c>
      <c r="AC629" s="155">
        <f t="shared" ca="1" si="187"/>
        <v>1.3709499526271454</v>
      </c>
    </row>
    <row r="630" spans="3:29">
      <c r="C630" s="152" t="str">
        <f>'Monthly Prices'!A618</f>
        <v>2010M11</v>
      </c>
      <c r="D630" s="153">
        <f t="shared" si="176"/>
        <v>40483</v>
      </c>
      <c r="E630" s="152">
        <f t="shared" si="177"/>
        <v>611</v>
      </c>
      <c r="F630" s="152" t="b">
        <f t="shared" si="171"/>
        <v>1</v>
      </c>
      <c r="G630" s="152" t="b">
        <f t="shared" si="172"/>
        <v>0</v>
      </c>
      <c r="H630" s="152" t="b">
        <f t="shared" si="173"/>
        <v>0</v>
      </c>
      <c r="I630" s="153" t="e">
        <f t="shared" si="174"/>
        <v>#N/A</v>
      </c>
      <c r="J630" s="158">
        <f>INDEX('Monthly Prices'!B618:CB618,$G$4)</f>
        <v>238.1764</v>
      </c>
      <c r="K630" s="158" t="b">
        <f>IF(H630,INDEX('Monthly Prices'!B618:CB618,$G$4)*U630,FALSE)</f>
        <v>0</v>
      </c>
      <c r="L630" s="152" t="b">
        <f t="shared" si="178"/>
        <v>1</v>
      </c>
      <c r="M630" s="158">
        <f>INDEX('Monthly Prices'!B618:CB618,$G$5)</f>
        <v>179.09046833727999</v>
      </c>
      <c r="N630" s="158" t="b">
        <f>IF(H630,INDEX('Monthly Prices'!B618:CB618,$G$5)*U630,FALSE)</f>
        <v>0</v>
      </c>
      <c r="O630" s="152" t="b">
        <f t="shared" si="175"/>
        <v>1</v>
      </c>
      <c r="P630" s="152">
        <f t="shared" si="179"/>
        <v>2010</v>
      </c>
      <c r="Q630" s="159">
        <f>'Monthly Prices'!B618</f>
        <v>84.53406349206</v>
      </c>
      <c r="R630" s="159">
        <f t="shared" si="180"/>
        <v>79.040771784717506</v>
      </c>
      <c r="S630" s="155">
        <f>_xlfn.XLOOKUP(P630,'Annual Real'!A:A,'Annual Real'!B:B,0,0)</f>
        <v>79.040771784717293</v>
      </c>
      <c r="T630" s="155">
        <f t="shared" ca="1" si="181"/>
        <v>1.3690254493556908</v>
      </c>
      <c r="U630" s="152">
        <f t="shared" ca="1" si="182"/>
        <v>1.3690254493556908</v>
      </c>
      <c r="V630" s="152" t="b">
        <f t="shared" si="188"/>
        <v>0</v>
      </c>
      <c r="W630" s="152" t="b">
        <f t="shared" si="189"/>
        <v>0</v>
      </c>
      <c r="X630" s="154">
        <f>LOOKUP(D630,'US Implicit Deflator'!A:A,'US Implicit Deflator'!B:B)/100</f>
        <v>1.7000000000000001E-2</v>
      </c>
      <c r="Y630" s="154">
        <f t="shared" si="183"/>
        <v>1.4057468926966799E-3</v>
      </c>
      <c r="Z630" s="165">
        <f t="shared" ca="1" si="184"/>
        <v>4.9880687950131586</v>
      </c>
      <c r="AA630" s="152">
        <f t="shared" si="185"/>
        <v>7</v>
      </c>
      <c r="AB630" s="153">
        <f t="shared" si="186"/>
        <v>40483</v>
      </c>
      <c r="AC630" s="155">
        <f t="shared" ca="1" si="187"/>
        <v>1.3690254493556908</v>
      </c>
    </row>
    <row r="631" spans="3:29">
      <c r="C631" s="152" t="str">
        <f>'Monthly Prices'!A619</f>
        <v>2010M12</v>
      </c>
      <c r="D631" s="153">
        <f t="shared" si="176"/>
        <v>40513</v>
      </c>
      <c r="E631" s="152">
        <f t="shared" si="177"/>
        <v>612</v>
      </c>
      <c r="F631" s="152" t="b">
        <f t="shared" si="171"/>
        <v>1</v>
      </c>
      <c r="G631" s="152" t="b">
        <f t="shared" si="172"/>
        <v>0</v>
      </c>
      <c r="H631" s="152" t="b">
        <f t="shared" si="173"/>
        <v>0</v>
      </c>
      <c r="I631" s="153" t="e">
        <f t="shared" si="174"/>
        <v>#N/A</v>
      </c>
      <c r="J631" s="158">
        <f>INDEX('Monthly Prices'!B619:CB619,$G$4)</f>
        <v>250.38048000000001</v>
      </c>
      <c r="K631" s="158" t="b">
        <f>IF(H631,INDEX('Monthly Prices'!B619:CB619,$G$4)*U631,FALSE)</f>
        <v>0</v>
      </c>
      <c r="L631" s="152" t="b">
        <f t="shared" si="178"/>
        <v>1</v>
      </c>
      <c r="M631" s="158">
        <f>INDEX('Monthly Prices'!B619:CB619,$G$5)</f>
        <v>189.64090120531</v>
      </c>
      <c r="N631" s="158" t="b">
        <f>IF(H631,INDEX('Monthly Prices'!B619:CB619,$G$5)*U631,FALSE)</f>
        <v>0</v>
      </c>
      <c r="O631" s="152" t="b">
        <f t="shared" si="175"/>
        <v>1</v>
      </c>
      <c r="P631" s="152">
        <f t="shared" si="179"/>
        <v>2010</v>
      </c>
      <c r="Q631" s="159">
        <f>'Monthly Prices'!B619</f>
        <v>90.005961791830003</v>
      </c>
      <c r="R631" s="159">
        <f t="shared" si="180"/>
        <v>79.040771784717506</v>
      </c>
      <c r="S631" s="155">
        <f>_xlfn.XLOOKUP(P631,'Annual Real'!A:A,'Annual Real'!B:B,0,0)</f>
        <v>79.040771784717293</v>
      </c>
      <c r="T631" s="155">
        <f t="shared" ca="1" si="181"/>
        <v>1.367103647651011</v>
      </c>
      <c r="U631" s="152">
        <f t="shared" ca="1" si="182"/>
        <v>1.367103647651011</v>
      </c>
      <c r="V631" s="152" t="b">
        <f t="shared" si="188"/>
        <v>0</v>
      </c>
      <c r="W631" s="152" t="b">
        <f t="shared" si="189"/>
        <v>0</v>
      </c>
      <c r="X631" s="154">
        <f>LOOKUP(D631,'US Implicit Deflator'!A:A,'US Implicit Deflator'!B:B)/100</f>
        <v>1.7000000000000001E-2</v>
      </c>
      <c r="Y631" s="154">
        <f t="shared" si="183"/>
        <v>1.4057468926966799E-3</v>
      </c>
      <c r="Z631" s="165">
        <f t="shared" ca="1" si="184"/>
        <v>4.9950807572223059</v>
      </c>
      <c r="AA631" s="152">
        <f t="shared" si="185"/>
        <v>7</v>
      </c>
      <c r="AB631" s="153">
        <f t="shared" si="186"/>
        <v>40513</v>
      </c>
      <c r="AC631" s="155">
        <f t="shared" ca="1" si="187"/>
        <v>1.367103647651011</v>
      </c>
    </row>
    <row r="632" spans="3:29">
      <c r="C632" s="152" t="str">
        <f>'Monthly Prices'!A620</f>
        <v>2011M01</v>
      </c>
      <c r="D632" s="153">
        <f t="shared" si="176"/>
        <v>40544</v>
      </c>
      <c r="E632" s="152">
        <f t="shared" si="177"/>
        <v>613</v>
      </c>
      <c r="F632" s="152" t="b">
        <f t="shared" si="171"/>
        <v>1</v>
      </c>
      <c r="G632" s="152" t="b">
        <f t="shared" si="172"/>
        <v>0</v>
      </c>
      <c r="H632" s="152" t="b">
        <f t="shared" si="173"/>
        <v>0</v>
      </c>
      <c r="I632" s="153" t="e">
        <f t="shared" si="174"/>
        <v>#N/A</v>
      </c>
      <c r="J632" s="158">
        <f>INDEX('Monthly Prices'!B620:CB620,$G$4)</f>
        <v>264.94664</v>
      </c>
      <c r="K632" s="158" t="b">
        <f>IF(H632,INDEX('Monthly Prices'!B620:CB620,$G$4)*U632,FALSE)</f>
        <v>0</v>
      </c>
      <c r="L632" s="152" t="b">
        <f t="shared" si="178"/>
        <v>1</v>
      </c>
      <c r="M632" s="158">
        <f>INDEX('Monthly Prices'!B620:CB620,$G$5)</f>
        <v>195.20185783871</v>
      </c>
      <c r="N632" s="158" t="b">
        <f>IF(H632,INDEX('Monthly Prices'!B620:CB620,$G$5)*U632,FALSE)</f>
        <v>0</v>
      </c>
      <c r="O632" s="152" t="b">
        <f t="shared" si="175"/>
        <v>1</v>
      </c>
      <c r="P632" s="152">
        <f t="shared" si="179"/>
        <v>2011</v>
      </c>
      <c r="Q632" s="159">
        <f>'Monthly Prices'!B620</f>
        <v>92.690595238100002</v>
      </c>
      <c r="R632" s="159">
        <f t="shared" si="180"/>
        <v>104.00939752552584</v>
      </c>
      <c r="S632" s="155">
        <f>_xlfn.XLOOKUP(P632,'Annual Real'!A:A,'Annual Real'!B:B,0,0)</f>
        <v>93.705751267612797</v>
      </c>
      <c r="T632" s="155">
        <f t="shared" ca="1" si="181"/>
        <v>1.3651845437207182</v>
      </c>
      <c r="U632" s="152">
        <f t="shared" ca="1" si="182"/>
        <v>1.3651845437207182</v>
      </c>
      <c r="V632" s="152" t="b">
        <f t="shared" si="188"/>
        <v>0</v>
      </c>
      <c r="W632" s="152" t="b">
        <f t="shared" si="189"/>
        <v>0</v>
      </c>
      <c r="X632" s="154">
        <f>LOOKUP(D632,'US Implicit Deflator'!A:A,'US Implicit Deflator'!B:B)/100</f>
        <v>1.7000000000000001E-2</v>
      </c>
      <c r="Y632" s="154">
        <f t="shared" si="183"/>
        <v>1.4057468926966799E-3</v>
      </c>
      <c r="Z632" s="165">
        <f t="shared" ca="1" si="184"/>
        <v>5.00210257647554</v>
      </c>
      <c r="AA632" s="152">
        <f t="shared" si="185"/>
        <v>7</v>
      </c>
      <c r="AB632" s="153">
        <f t="shared" si="186"/>
        <v>40544</v>
      </c>
      <c r="AC632" s="155">
        <f t="shared" ca="1" si="187"/>
        <v>1.3651845437207182</v>
      </c>
    </row>
    <row r="633" spans="3:29">
      <c r="C633" s="152" t="str">
        <f>'Monthly Prices'!A621</f>
        <v>2011M02</v>
      </c>
      <c r="D633" s="153">
        <f t="shared" si="176"/>
        <v>40575</v>
      </c>
      <c r="E633" s="152">
        <f t="shared" si="177"/>
        <v>614</v>
      </c>
      <c r="F633" s="152" t="b">
        <f t="shared" si="171"/>
        <v>1</v>
      </c>
      <c r="G633" s="152" t="b">
        <f t="shared" si="172"/>
        <v>0</v>
      </c>
      <c r="H633" s="152" t="b">
        <f t="shared" si="173"/>
        <v>0</v>
      </c>
      <c r="I633" s="153" t="e">
        <f t="shared" si="174"/>
        <v>#N/A</v>
      </c>
      <c r="J633" s="158">
        <f>INDEX('Monthly Prices'!B621:CB621,$G$4)</f>
        <v>292.89792</v>
      </c>
      <c r="K633" s="158" t="b">
        <f>IF(H633,INDEX('Monthly Prices'!B621:CB621,$G$4)*U633,FALSE)</f>
        <v>0</v>
      </c>
      <c r="L633" s="152" t="b">
        <f t="shared" si="178"/>
        <v>1</v>
      </c>
      <c r="M633" s="158">
        <f>INDEX('Monthly Prices'!B621:CB621,$G$5)</f>
        <v>196.45768564745001</v>
      </c>
      <c r="N633" s="158" t="b">
        <f>IF(H633,INDEX('Monthly Prices'!B621:CB621,$G$5)*U633,FALSE)</f>
        <v>0</v>
      </c>
      <c r="O633" s="152" t="b">
        <f t="shared" si="175"/>
        <v>1</v>
      </c>
      <c r="P633" s="152">
        <f t="shared" si="179"/>
        <v>2011</v>
      </c>
      <c r="Q633" s="159">
        <f>'Monthly Prices'!B621</f>
        <v>97.914192007799997</v>
      </c>
      <c r="R633" s="159">
        <f t="shared" si="180"/>
        <v>104.00939752552584</v>
      </c>
      <c r="S633" s="155">
        <f>_xlfn.XLOOKUP(P633,'Annual Real'!A:A,'Annual Real'!B:B,0,0)</f>
        <v>93.705751267612797</v>
      </c>
      <c r="T633" s="155">
        <f t="shared" ca="1" si="181"/>
        <v>1.3632681337777477</v>
      </c>
      <c r="U633" s="152">
        <f t="shared" ca="1" si="182"/>
        <v>1.3632681337777477</v>
      </c>
      <c r="V633" s="152" t="b">
        <f t="shared" si="188"/>
        <v>0</v>
      </c>
      <c r="W633" s="152" t="b">
        <f t="shared" si="189"/>
        <v>0</v>
      </c>
      <c r="X633" s="154">
        <f>LOOKUP(D633,'US Implicit Deflator'!A:A,'US Implicit Deflator'!B:B)/100</f>
        <v>1.7000000000000001E-2</v>
      </c>
      <c r="Y633" s="154">
        <f t="shared" si="183"/>
        <v>1.4057468926966799E-3</v>
      </c>
      <c r="Z633" s="165">
        <f t="shared" ca="1" si="184"/>
        <v>5.0091342666293706</v>
      </c>
      <c r="AA633" s="152">
        <f t="shared" si="185"/>
        <v>7</v>
      </c>
      <c r="AB633" s="153">
        <f t="shared" si="186"/>
        <v>40575</v>
      </c>
      <c r="AC633" s="155">
        <f t="shared" ca="1" si="187"/>
        <v>1.3632681337777477</v>
      </c>
    </row>
    <row r="634" spans="3:29">
      <c r="C634" s="152" t="str">
        <f>'Monthly Prices'!A622</f>
        <v>2011M03</v>
      </c>
      <c r="D634" s="153">
        <f t="shared" si="176"/>
        <v>40603</v>
      </c>
      <c r="E634" s="152">
        <f t="shared" si="177"/>
        <v>615</v>
      </c>
      <c r="F634" s="152" t="b">
        <f t="shared" si="171"/>
        <v>1</v>
      </c>
      <c r="G634" s="152" t="b">
        <f t="shared" si="172"/>
        <v>0</v>
      </c>
      <c r="H634" s="152" t="b">
        <f t="shared" si="173"/>
        <v>0</v>
      </c>
      <c r="I634" s="153" t="e">
        <f t="shared" si="174"/>
        <v>#N/A</v>
      </c>
      <c r="J634" s="158">
        <f>INDEX('Monthly Prices'!B622:CB622,$G$4)</f>
        <v>290.53584000000001</v>
      </c>
      <c r="K634" s="158" t="b">
        <f>IF(H634,INDEX('Monthly Prices'!B622:CB622,$G$4)*U634,FALSE)</f>
        <v>0</v>
      </c>
      <c r="L634" s="152" t="b">
        <f t="shared" si="178"/>
        <v>1</v>
      </c>
      <c r="M634" s="158">
        <f>INDEX('Monthly Prices'!B622:CB622,$G$5)</f>
        <v>202.57443163401999</v>
      </c>
      <c r="N634" s="158" t="b">
        <f>IF(H634,INDEX('Monthly Prices'!B622:CB622,$G$5)*U634,FALSE)</f>
        <v>0</v>
      </c>
      <c r="O634" s="152" t="b">
        <f t="shared" si="175"/>
        <v>1</v>
      </c>
      <c r="P634" s="152">
        <f t="shared" si="179"/>
        <v>2011</v>
      </c>
      <c r="Q634" s="159">
        <f>'Monthly Prices'!B622</f>
        <v>108.64521739129999</v>
      </c>
      <c r="R634" s="159">
        <f t="shared" si="180"/>
        <v>104.00939752552584</v>
      </c>
      <c r="S634" s="155">
        <f>_xlfn.XLOOKUP(P634,'Annual Real'!A:A,'Annual Real'!B:B,0,0)</f>
        <v>93.705751267612797</v>
      </c>
      <c r="T634" s="155">
        <f t="shared" ca="1" si="181"/>
        <v>1.3613544140403517</v>
      </c>
      <c r="U634" s="152">
        <f t="shared" ca="1" si="182"/>
        <v>1.3613544140403517</v>
      </c>
      <c r="V634" s="152" t="b">
        <f t="shared" si="188"/>
        <v>0</v>
      </c>
      <c r="W634" s="152" t="b">
        <f t="shared" si="189"/>
        <v>0</v>
      </c>
      <c r="X634" s="154">
        <f>LOOKUP(D634,'US Implicit Deflator'!A:A,'US Implicit Deflator'!B:B)/100</f>
        <v>1.7000000000000001E-2</v>
      </c>
      <c r="Y634" s="154">
        <f t="shared" si="183"/>
        <v>1.4057468926966799E-3</v>
      </c>
      <c r="Z634" s="165">
        <f t="shared" ca="1" si="184"/>
        <v>5.016175841559785</v>
      </c>
      <c r="AA634" s="152">
        <f t="shared" si="185"/>
        <v>7</v>
      </c>
      <c r="AB634" s="153">
        <f t="shared" si="186"/>
        <v>40603</v>
      </c>
      <c r="AC634" s="155">
        <f t="shared" ca="1" si="187"/>
        <v>1.3613544140403517</v>
      </c>
    </row>
    <row r="635" spans="3:29">
      <c r="C635" s="152" t="str">
        <f>'Monthly Prices'!A623</f>
        <v>2011M04</v>
      </c>
      <c r="D635" s="153">
        <f t="shared" si="176"/>
        <v>40634</v>
      </c>
      <c r="E635" s="152">
        <f t="shared" si="177"/>
        <v>616</v>
      </c>
      <c r="F635" s="152" t="b">
        <f t="shared" si="171"/>
        <v>1</v>
      </c>
      <c r="G635" s="152" t="b">
        <f t="shared" si="172"/>
        <v>0</v>
      </c>
      <c r="H635" s="152" t="b">
        <f t="shared" si="173"/>
        <v>0</v>
      </c>
      <c r="I635" s="153" t="e">
        <f t="shared" si="174"/>
        <v>#N/A</v>
      </c>
      <c r="J635" s="158">
        <f>INDEX('Monthly Prices'!B623:CB623,$G$4)</f>
        <v>319.27447999999998</v>
      </c>
      <c r="K635" s="158" t="b">
        <f>IF(H635,INDEX('Monthly Prices'!B623:CB623,$G$4)*U635,FALSE)</f>
        <v>0</v>
      </c>
      <c r="L635" s="152" t="b">
        <f t="shared" si="178"/>
        <v>1</v>
      </c>
      <c r="M635" s="158">
        <f>INDEX('Monthly Prices'!B623:CB623,$G$5)</f>
        <v>208.92135991091999</v>
      </c>
      <c r="N635" s="158" t="b">
        <f>IF(H635,INDEX('Monthly Prices'!B623:CB623,$G$5)*U635,FALSE)</f>
        <v>0</v>
      </c>
      <c r="O635" s="152" t="b">
        <f t="shared" si="175"/>
        <v>1</v>
      </c>
      <c r="P635" s="152">
        <f t="shared" si="179"/>
        <v>2011</v>
      </c>
      <c r="Q635" s="159">
        <f>'Monthly Prices'!B623</f>
        <v>116.24316666667001</v>
      </c>
      <c r="R635" s="159">
        <f t="shared" si="180"/>
        <v>104.00939752552584</v>
      </c>
      <c r="S635" s="155">
        <f>_xlfn.XLOOKUP(P635,'Annual Real'!A:A,'Annual Real'!B:B,0,0)</f>
        <v>93.705751267612797</v>
      </c>
      <c r="T635" s="155">
        <f t="shared" ca="1" si="181"/>
        <v>1.3593320467581016</v>
      </c>
      <c r="U635" s="152">
        <f t="shared" ca="1" si="182"/>
        <v>1.3593320467581016</v>
      </c>
      <c r="V635" s="152" t="b">
        <f t="shared" si="188"/>
        <v>0</v>
      </c>
      <c r="W635" s="152" t="b">
        <f t="shared" si="189"/>
        <v>0</v>
      </c>
      <c r="X635" s="154">
        <f>LOOKUP(D635,'US Implicit Deflator'!A:A,'US Implicit Deflator'!B:B)/100</f>
        <v>1.8000000000000002E-2</v>
      </c>
      <c r="Y635" s="154">
        <f t="shared" si="183"/>
        <v>1.4877654706024757E-3</v>
      </c>
      <c r="Z635" s="165">
        <f t="shared" ca="1" si="184"/>
        <v>5.0236387347713283</v>
      </c>
      <c r="AA635" s="152">
        <f t="shared" si="185"/>
        <v>7</v>
      </c>
      <c r="AB635" s="153">
        <f t="shared" si="186"/>
        <v>40634</v>
      </c>
      <c r="AC635" s="155">
        <f t="shared" ca="1" si="187"/>
        <v>1.3593320467581016</v>
      </c>
    </row>
    <row r="636" spans="3:29">
      <c r="C636" s="152" t="str">
        <f>'Monthly Prices'!A624</f>
        <v>2011M05</v>
      </c>
      <c r="D636" s="153">
        <f t="shared" si="176"/>
        <v>40664</v>
      </c>
      <c r="E636" s="152">
        <f t="shared" si="177"/>
        <v>617</v>
      </c>
      <c r="F636" s="152" t="b">
        <f t="shared" si="171"/>
        <v>1</v>
      </c>
      <c r="G636" s="152" t="b">
        <f t="shared" si="172"/>
        <v>0</v>
      </c>
      <c r="H636" s="152" t="b">
        <f t="shared" si="173"/>
        <v>0</v>
      </c>
      <c r="I636" s="153" t="e">
        <f t="shared" si="174"/>
        <v>#N/A</v>
      </c>
      <c r="J636" s="158">
        <f>INDEX('Monthly Prices'!B624:CB624,$G$4)</f>
        <v>307.85775999999998</v>
      </c>
      <c r="K636" s="158" t="b">
        <f>IF(H636,INDEX('Monthly Prices'!B624:CB624,$G$4)*U636,FALSE)</f>
        <v>0</v>
      </c>
      <c r="L636" s="152" t="b">
        <f t="shared" si="178"/>
        <v>1</v>
      </c>
      <c r="M636" s="158">
        <f>INDEX('Monthly Prices'!B624:CB624,$G$5)</f>
        <v>209.36910764967001</v>
      </c>
      <c r="N636" s="158" t="b">
        <f>IF(H636,INDEX('Monthly Prices'!B624:CB624,$G$5)*U636,FALSE)</f>
        <v>0</v>
      </c>
      <c r="O636" s="152" t="b">
        <f t="shared" si="175"/>
        <v>1</v>
      </c>
      <c r="P636" s="152">
        <f t="shared" si="179"/>
        <v>2011</v>
      </c>
      <c r="Q636" s="159">
        <f>'Monthly Prices'!B624</f>
        <v>108.06851298701</v>
      </c>
      <c r="R636" s="159">
        <f t="shared" si="180"/>
        <v>104.00939752552584</v>
      </c>
      <c r="S636" s="155">
        <f>_xlfn.XLOOKUP(P636,'Annual Real'!A:A,'Annual Real'!B:B,0,0)</f>
        <v>93.705751267612797</v>
      </c>
      <c r="T636" s="155">
        <f t="shared" ca="1" si="181"/>
        <v>1.3573126838143119</v>
      </c>
      <c r="U636" s="152">
        <f t="shared" ca="1" si="182"/>
        <v>1.3573126838143119</v>
      </c>
      <c r="V636" s="152" t="b">
        <f t="shared" si="188"/>
        <v>0</v>
      </c>
      <c r="W636" s="152" t="b">
        <f t="shared" si="189"/>
        <v>0</v>
      </c>
      <c r="X636" s="154">
        <f>LOOKUP(D636,'US Implicit Deflator'!A:A,'US Implicit Deflator'!B:B)/100</f>
        <v>1.8000000000000002E-2</v>
      </c>
      <c r="Y636" s="154">
        <f t="shared" si="183"/>
        <v>1.4877654706024757E-3</v>
      </c>
      <c r="Z636" s="165">
        <f t="shared" ca="1" si="184"/>
        <v>5.0311127310177017</v>
      </c>
      <c r="AA636" s="152">
        <f t="shared" si="185"/>
        <v>7</v>
      </c>
      <c r="AB636" s="153">
        <f t="shared" si="186"/>
        <v>40664</v>
      </c>
      <c r="AC636" s="155">
        <f t="shared" ca="1" si="187"/>
        <v>1.3573126838143119</v>
      </c>
    </row>
    <row r="637" spans="3:29">
      <c r="C637" s="152" t="str">
        <f>'Monthly Prices'!A625</f>
        <v>2011M06</v>
      </c>
      <c r="D637" s="153">
        <f t="shared" si="176"/>
        <v>40695</v>
      </c>
      <c r="E637" s="152">
        <f t="shared" si="177"/>
        <v>618</v>
      </c>
      <c r="F637" s="152" t="b">
        <f t="shared" si="171"/>
        <v>1</v>
      </c>
      <c r="G637" s="152" t="b">
        <f t="shared" si="172"/>
        <v>0</v>
      </c>
      <c r="H637" s="152" t="b">
        <f t="shared" si="173"/>
        <v>0</v>
      </c>
      <c r="I637" s="153" t="e">
        <f t="shared" si="174"/>
        <v>#N/A</v>
      </c>
      <c r="J637" s="158">
        <f>INDEX('Monthly Prices'!B625:CB625,$G$4)</f>
        <v>310.61351999999999</v>
      </c>
      <c r="K637" s="158" t="b">
        <f>IF(H637,INDEX('Monthly Prices'!B625:CB625,$G$4)*U637,FALSE)</f>
        <v>0</v>
      </c>
      <c r="L637" s="152" t="b">
        <f t="shared" si="178"/>
        <v>1</v>
      </c>
      <c r="M637" s="158">
        <f>INDEX('Monthly Prices'!B625:CB625,$G$5)</f>
        <v>210.06429381464</v>
      </c>
      <c r="N637" s="158" t="b">
        <f>IF(H637,INDEX('Monthly Prices'!B625:CB625,$G$5)*U637,FALSE)</f>
        <v>0</v>
      </c>
      <c r="O637" s="152" t="b">
        <f t="shared" si="175"/>
        <v>1</v>
      </c>
      <c r="P637" s="152">
        <f t="shared" si="179"/>
        <v>2011</v>
      </c>
      <c r="Q637" s="159">
        <f>'Monthly Prices'!B625</f>
        <v>105.84545454546</v>
      </c>
      <c r="R637" s="159">
        <f t="shared" si="180"/>
        <v>104.00939752552584</v>
      </c>
      <c r="S637" s="155">
        <f>_xlfn.XLOOKUP(P637,'Annual Real'!A:A,'Annual Real'!B:B,0,0)</f>
        <v>93.705751267612797</v>
      </c>
      <c r="T637" s="155">
        <f t="shared" ca="1" si="181"/>
        <v>1.3552963207458717</v>
      </c>
      <c r="U637" s="152">
        <f t="shared" ca="1" si="182"/>
        <v>1.3552963207458717</v>
      </c>
      <c r="V637" s="152" t="b">
        <f t="shared" si="188"/>
        <v>0</v>
      </c>
      <c r="W637" s="152" t="b">
        <f t="shared" si="189"/>
        <v>0</v>
      </c>
      <c r="X637" s="154">
        <f>LOOKUP(D637,'US Implicit Deflator'!A:A,'US Implicit Deflator'!B:B)/100</f>
        <v>1.8000000000000002E-2</v>
      </c>
      <c r="Y637" s="154">
        <f t="shared" si="183"/>
        <v>1.4877654706024757E-3</v>
      </c>
      <c r="Z637" s="165">
        <f t="shared" ca="1" si="184"/>
        <v>5.038597846817618</v>
      </c>
      <c r="AA637" s="152">
        <f t="shared" si="185"/>
        <v>7</v>
      </c>
      <c r="AB637" s="153">
        <f t="shared" si="186"/>
        <v>40695</v>
      </c>
      <c r="AC637" s="155">
        <f t="shared" ca="1" si="187"/>
        <v>1.3552963207458717</v>
      </c>
    </row>
    <row r="638" spans="3:29">
      <c r="C638" s="152" t="str">
        <f>'Monthly Prices'!A626</f>
        <v>2011M07</v>
      </c>
      <c r="D638" s="153">
        <f t="shared" si="176"/>
        <v>40725</v>
      </c>
      <c r="E638" s="152">
        <f t="shared" si="177"/>
        <v>619</v>
      </c>
      <c r="F638" s="152" t="b">
        <f t="shared" si="171"/>
        <v>1</v>
      </c>
      <c r="G638" s="152" t="b">
        <f t="shared" si="172"/>
        <v>0</v>
      </c>
      <c r="H638" s="152" t="b">
        <f t="shared" si="173"/>
        <v>0</v>
      </c>
      <c r="I638" s="153" t="e">
        <f t="shared" si="174"/>
        <v>#N/A</v>
      </c>
      <c r="J638" s="158">
        <f>INDEX('Monthly Prices'!B626:CB626,$G$4)</f>
        <v>300.77152000000001</v>
      </c>
      <c r="K638" s="158" t="b">
        <f>IF(H638,INDEX('Monthly Prices'!B626:CB626,$G$4)*U638,FALSE)</f>
        <v>0</v>
      </c>
      <c r="L638" s="152" t="b">
        <f t="shared" si="178"/>
        <v>1</v>
      </c>
      <c r="M638" s="158">
        <f>INDEX('Monthly Prices'!B626:CB626,$G$5)</f>
        <v>215.53213093132001</v>
      </c>
      <c r="N638" s="158" t="b">
        <f>IF(H638,INDEX('Monthly Prices'!B626:CB626,$G$5)*U638,FALSE)</f>
        <v>0</v>
      </c>
      <c r="O638" s="152" t="b">
        <f t="shared" si="175"/>
        <v>1</v>
      </c>
      <c r="P638" s="152">
        <f t="shared" si="179"/>
        <v>2011</v>
      </c>
      <c r="Q638" s="159">
        <f>'Monthly Prices'!B626</f>
        <v>107.91661111111</v>
      </c>
      <c r="R638" s="159">
        <f t="shared" si="180"/>
        <v>104.00939752552584</v>
      </c>
      <c r="S638" s="155">
        <f>_xlfn.XLOOKUP(P638,'Annual Real'!A:A,'Annual Real'!B:B,0,0)</f>
        <v>93.705751267612797</v>
      </c>
      <c r="T638" s="155">
        <f t="shared" ca="1" si="181"/>
        <v>1.3528407754537297</v>
      </c>
      <c r="U638" s="152">
        <f t="shared" ca="1" si="182"/>
        <v>1.3528407754537297</v>
      </c>
      <c r="V638" s="152" t="b">
        <f t="shared" si="188"/>
        <v>0</v>
      </c>
      <c r="W638" s="152" t="b">
        <f t="shared" si="189"/>
        <v>0</v>
      </c>
      <c r="X638" s="154">
        <f>LOOKUP(D638,'US Implicit Deflator'!A:A,'US Implicit Deflator'!B:B)/100</f>
        <v>2.2000000000000002E-2</v>
      </c>
      <c r="Y638" s="154">
        <f t="shared" si="183"/>
        <v>1.8151029571964461E-3</v>
      </c>
      <c r="Z638" s="165">
        <f t="shared" ca="1" si="184"/>
        <v>5.0477434206695007</v>
      </c>
      <c r="AA638" s="152">
        <f t="shared" si="185"/>
        <v>7</v>
      </c>
      <c r="AB638" s="153">
        <f t="shared" si="186"/>
        <v>40725</v>
      </c>
      <c r="AC638" s="155">
        <f t="shared" ca="1" si="187"/>
        <v>1.3528407754537297</v>
      </c>
    </row>
    <row r="639" spans="3:29">
      <c r="C639" s="152" t="str">
        <f>'Monthly Prices'!A627</f>
        <v>2011M08</v>
      </c>
      <c r="D639" s="153">
        <f t="shared" si="176"/>
        <v>40756</v>
      </c>
      <c r="E639" s="152">
        <f t="shared" si="177"/>
        <v>620</v>
      </c>
      <c r="F639" s="152" t="b">
        <f t="shared" si="171"/>
        <v>1</v>
      </c>
      <c r="G639" s="152" t="b">
        <f t="shared" si="172"/>
        <v>0</v>
      </c>
      <c r="H639" s="152" t="b">
        <f t="shared" si="173"/>
        <v>0</v>
      </c>
      <c r="I639" s="153" t="e">
        <f t="shared" si="174"/>
        <v>#N/A</v>
      </c>
      <c r="J639" s="158">
        <f>INDEX('Monthly Prices'!B627:CB627,$G$4)</f>
        <v>310.21983999999998</v>
      </c>
      <c r="K639" s="158" t="b">
        <f>IF(H639,INDEX('Monthly Prices'!B627:CB627,$G$4)*U639,FALSE)</f>
        <v>0</v>
      </c>
      <c r="L639" s="152" t="b">
        <f t="shared" si="178"/>
        <v>1</v>
      </c>
      <c r="M639" s="158">
        <f>INDEX('Monthly Prices'!B627:CB627,$G$5)</f>
        <v>206.09369421562999</v>
      </c>
      <c r="N639" s="158" t="b">
        <f>IF(H639,INDEX('Monthly Prices'!B627:CB627,$G$5)*U639,FALSE)</f>
        <v>0</v>
      </c>
      <c r="O639" s="152" t="b">
        <f t="shared" si="175"/>
        <v>1</v>
      </c>
      <c r="P639" s="152">
        <f t="shared" si="179"/>
        <v>2011</v>
      </c>
      <c r="Q639" s="159">
        <f>'Monthly Prices'!B627</f>
        <v>100.48642512076999</v>
      </c>
      <c r="R639" s="159">
        <f t="shared" si="180"/>
        <v>104.00939752552584</v>
      </c>
      <c r="S639" s="155">
        <f>_xlfn.XLOOKUP(P639,'Annual Real'!A:A,'Annual Real'!B:B,0,0)</f>
        <v>93.705751267612797</v>
      </c>
      <c r="T639" s="155">
        <f t="shared" ca="1" si="181"/>
        <v>1.3503896791537302</v>
      </c>
      <c r="U639" s="152">
        <f t="shared" ca="1" si="182"/>
        <v>1.3503896791537302</v>
      </c>
      <c r="V639" s="152" t="b">
        <f t="shared" si="188"/>
        <v>0</v>
      </c>
      <c r="W639" s="152" t="b">
        <f t="shared" si="189"/>
        <v>0</v>
      </c>
      <c r="X639" s="154">
        <f>LOOKUP(D639,'US Implicit Deflator'!A:A,'US Implicit Deflator'!B:B)/100</f>
        <v>2.2000000000000002E-2</v>
      </c>
      <c r="Y639" s="154">
        <f t="shared" si="183"/>
        <v>1.8151029571964461E-3</v>
      </c>
      <c r="Z639" s="165">
        <f t="shared" ca="1" si="184"/>
        <v>5.0569055946795265</v>
      </c>
      <c r="AA639" s="152">
        <f t="shared" si="185"/>
        <v>7</v>
      </c>
      <c r="AB639" s="153">
        <f t="shared" si="186"/>
        <v>40756</v>
      </c>
      <c r="AC639" s="155">
        <f t="shared" ca="1" si="187"/>
        <v>1.3503896791537302</v>
      </c>
    </row>
    <row r="640" spans="3:29">
      <c r="C640" s="152" t="str">
        <f>'Monthly Prices'!A628</f>
        <v>2011M09</v>
      </c>
      <c r="D640" s="153">
        <f t="shared" si="176"/>
        <v>40787</v>
      </c>
      <c r="E640" s="152">
        <f t="shared" si="177"/>
        <v>621</v>
      </c>
      <c r="F640" s="152" t="b">
        <f t="shared" si="171"/>
        <v>1</v>
      </c>
      <c r="G640" s="152" t="b">
        <f t="shared" si="172"/>
        <v>0</v>
      </c>
      <c r="H640" s="152" t="b">
        <f t="shared" si="173"/>
        <v>0</v>
      </c>
      <c r="I640" s="153" t="e">
        <f t="shared" si="174"/>
        <v>#N/A</v>
      </c>
      <c r="J640" s="158">
        <f>INDEX('Monthly Prices'!B628:CB628,$G$4)</f>
        <v>295.26</v>
      </c>
      <c r="K640" s="158" t="b">
        <f>IF(H640,INDEX('Monthly Prices'!B628:CB628,$G$4)*U640,FALSE)</f>
        <v>0</v>
      </c>
      <c r="L640" s="152" t="b">
        <f t="shared" si="178"/>
        <v>1</v>
      </c>
      <c r="M640" s="158">
        <f>INDEX('Monthly Prices'!B628:CB628,$G$5)</f>
        <v>209.57357284058</v>
      </c>
      <c r="N640" s="158" t="b">
        <f>IF(H640,INDEX('Monthly Prices'!B628:CB628,$G$5)*U640,FALSE)</f>
        <v>0</v>
      </c>
      <c r="O640" s="152" t="b">
        <f t="shared" si="175"/>
        <v>1</v>
      </c>
      <c r="P640" s="152">
        <f t="shared" si="179"/>
        <v>2011</v>
      </c>
      <c r="Q640" s="159">
        <f>'Monthly Prices'!B628</f>
        <v>100.81935064935</v>
      </c>
      <c r="R640" s="159">
        <f t="shared" si="180"/>
        <v>104.00939752552584</v>
      </c>
      <c r="S640" s="155">
        <f>_xlfn.XLOOKUP(P640,'Annual Real'!A:A,'Annual Real'!B:B,0,0)</f>
        <v>93.705751267612797</v>
      </c>
      <c r="T640" s="155">
        <f t="shared" ca="1" si="181"/>
        <v>1.3479430237851255</v>
      </c>
      <c r="U640" s="152">
        <f t="shared" ca="1" si="182"/>
        <v>1.3479430237851255</v>
      </c>
      <c r="V640" s="152" t="b">
        <f t="shared" si="188"/>
        <v>0</v>
      </c>
      <c r="W640" s="152" t="b">
        <f t="shared" si="189"/>
        <v>0</v>
      </c>
      <c r="X640" s="154">
        <f>LOOKUP(D640,'US Implicit Deflator'!A:A,'US Implicit Deflator'!B:B)/100</f>
        <v>2.2000000000000002E-2</v>
      </c>
      <c r="Y640" s="154">
        <f t="shared" si="183"/>
        <v>1.8151029571964461E-3</v>
      </c>
      <c r="Z640" s="165">
        <f t="shared" ca="1" si="184"/>
        <v>5.0660843989786928</v>
      </c>
      <c r="AA640" s="152">
        <f t="shared" si="185"/>
        <v>7</v>
      </c>
      <c r="AB640" s="153">
        <f t="shared" si="186"/>
        <v>40787</v>
      </c>
      <c r="AC640" s="155">
        <f t="shared" ca="1" si="187"/>
        <v>1.3479430237851255</v>
      </c>
    </row>
    <row r="641" spans="3:29">
      <c r="C641" s="152" t="str">
        <f>'Monthly Prices'!A629</f>
        <v>2011M10</v>
      </c>
      <c r="D641" s="153">
        <f t="shared" si="176"/>
        <v>40817</v>
      </c>
      <c r="E641" s="152">
        <f t="shared" si="177"/>
        <v>622</v>
      </c>
      <c r="F641" s="152" t="b">
        <f t="shared" si="171"/>
        <v>1</v>
      </c>
      <c r="G641" s="152" t="b">
        <f t="shared" si="172"/>
        <v>0</v>
      </c>
      <c r="H641" s="152" t="b">
        <f t="shared" si="173"/>
        <v>0</v>
      </c>
      <c r="I641" s="153" t="e">
        <f t="shared" si="174"/>
        <v>#N/A</v>
      </c>
      <c r="J641" s="158">
        <f>INDEX('Monthly Prices'!B629:CB629,$G$4)</f>
        <v>274.78863999999999</v>
      </c>
      <c r="K641" s="158" t="b">
        <f>IF(H641,INDEX('Monthly Prices'!B629:CB629,$G$4)*U641,FALSE)</f>
        <v>0</v>
      </c>
      <c r="L641" s="152" t="b">
        <f t="shared" si="178"/>
        <v>1</v>
      </c>
      <c r="M641" s="158">
        <f>INDEX('Monthly Prices'!B629:CB629,$G$5)</f>
        <v>208.84605202521999</v>
      </c>
      <c r="N641" s="158" t="b">
        <f>IF(H641,INDEX('Monthly Prices'!B629:CB629,$G$5)*U641,FALSE)</f>
        <v>0</v>
      </c>
      <c r="O641" s="152" t="b">
        <f t="shared" si="175"/>
        <v>1</v>
      </c>
      <c r="P641" s="152">
        <f t="shared" si="179"/>
        <v>2011</v>
      </c>
      <c r="Q641" s="159">
        <f>'Monthly Prices'!B629</f>
        <v>99.847753968250004</v>
      </c>
      <c r="R641" s="159">
        <f t="shared" si="180"/>
        <v>104.00939752552584</v>
      </c>
      <c r="S641" s="155">
        <f>_xlfn.XLOOKUP(P641,'Annual Real'!A:A,'Annual Real'!B:B,0,0)</f>
        <v>93.705751267612797</v>
      </c>
      <c r="T641" s="155">
        <f t="shared" ca="1" si="181"/>
        <v>1.3457204570406656</v>
      </c>
      <c r="U641" s="152">
        <f t="shared" ca="1" si="182"/>
        <v>1.3457204570406656</v>
      </c>
      <c r="V641" s="152" t="b">
        <f t="shared" si="188"/>
        <v>0</v>
      </c>
      <c r="W641" s="152" t="b">
        <f t="shared" si="189"/>
        <v>0</v>
      </c>
      <c r="X641" s="154">
        <f>LOOKUP(D641,'US Implicit Deflator'!A:A,'US Implicit Deflator'!B:B)/100</f>
        <v>0.02</v>
      </c>
      <c r="Y641" s="154">
        <f t="shared" si="183"/>
        <v>1.6515813019202241E-3</v>
      </c>
      <c r="Z641" s="165">
        <f t="shared" ca="1" si="184"/>
        <v>5.0744514492459958</v>
      </c>
      <c r="AA641" s="152">
        <f t="shared" si="185"/>
        <v>7</v>
      </c>
      <c r="AB641" s="153">
        <f t="shared" si="186"/>
        <v>40817</v>
      </c>
      <c r="AC641" s="155">
        <f t="shared" ca="1" si="187"/>
        <v>1.3457204570406656</v>
      </c>
    </row>
    <row r="642" spans="3:29">
      <c r="C642" s="152" t="str">
        <f>'Monthly Prices'!A630</f>
        <v>2011M11</v>
      </c>
      <c r="D642" s="153">
        <f t="shared" si="176"/>
        <v>40848</v>
      </c>
      <c r="E642" s="152">
        <f t="shared" si="177"/>
        <v>623</v>
      </c>
      <c r="F642" s="152" t="b">
        <f t="shared" si="171"/>
        <v>1</v>
      </c>
      <c r="G642" s="152" t="b">
        <f t="shared" si="172"/>
        <v>0</v>
      </c>
      <c r="H642" s="152" t="b">
        <f t="shared" si="173"/>
        <v>0</v>
      </c>
      <c r="I642" s="153" t="e">
        <f t="shared" si="174"/>
        <v>#N/A</v>
      </c>
      <c r="J642" s="158">
        <f>INDEX('Monthly Prices'!B630:CB630,$G$4)</f>
        <v>274.39496000000003</v>
      </c>
      <c r="K642" s="158" t="b">
        <f>IF(H642,INDEX('Monthly Prices'!B630:CB630,$G$4)*U642,FALSE)</f>
        <v>0</v>
      </c>
      <c r="L642" s="152" t="b">
        <f t="shared" si="178"/>
        <v>1</v>
      </c>
      <c r="M642" s="158">
        <f>INDEX('Monthly Prices'!B630:CB630,$G$5)</f>
        <v>211.45547127680001</v>
      </c>
      <c r="N642" s="158" t="b">
        <f>IF(H642,INDEX('Monthly Prices'!B630:CB630,$G$5)*U642,FALSE)</f>
        <v>0</v>
      </c>
      <c r="O642" s="152" t="b">
        <f t="shared" si="175"/>
        <v>1</v>
      </c>
      <c r="P642" s="152">
        <f t="shared" si="179"/>
        <v>2011</v>
      </c>
      <c r="Q642" s="159">
        <f>'Monthly Prices'!B630</f>
        <v>105.40501443001</v>
      </c>
      <c r="R642" s="159">
        <f t="shared" si="180"/>
        <v>104.00939752552584</v>
      </c>
      <c r="S642" s="155">
        <f>_xlfn.XLOOKUP(P642,'Annual Real'!A:A,'Annual Real'!B:B,0,0)</f>
        <v>93.705751267612797</v>
      </c>
      <c r="T642" s="155">
        <f t="shared" ca="1" si="181"/>
        <v>1.3435015549933378</v>
      </c>
      <c r="U642" s="152">
        <f t="shared" ca="1" si="182"/>
        <v>1.3435015549933378</v>
      </c>
      <c r="V642" s="152" t="b">
        <f t="shared" si="188"/>
        <v>0</v>
      </c>
      <c r="W642" s="152" t="b">
        <f t="shared" si="189"/>
        <v>0</v>
      </c>
      <c r="X642" s="154">
        <f>LOOKUP(D642,'US Implicit Deflator'!A:A,'US Implicit Deflator'!B:B)/100</f>
        <v>0.02</v>
      </c>
      <c r="Y642" s="154">
        <f t="shared" si="183"/>
        <v>1.6515813019202241E-3</v>
      </c>
      <c r="Z642" s="165">
        <f t="shared" ca="1" si="184"/>
        <v>5.0828323183770721</v>
      </c>
      <c r="AA642" s="152">
        <f t="shared" si="185"/>
        <v>7</v>
      </c>
      <c r="AB642" s="153">
        <f t="shared" si="186"/>
        <v>40848</v>
      </c>
      <c r="AC642" s="155">
        <f t="shared" ca="1" si="187"/>
        <v>1.3435015549933378</v>
      </c>
    </row>
    <row r="643" spans="3:29">
      <c r="C643" s="152" t="str">
        <f>'Monthly Prices'!A631</f>
        <v>2011M12</v>
      </c>
      <c r="D643" s="153">
        <f t="shared" si="176"/>
        <v>40878</v>
      </c>
      <c r="E643" s="152">
        <f t="shared" si="177"/>
        <v>624</v>
      </c>
      <c r="F643" s="152" t="b">
        <f t="shared" si="171"/>
        <v>1</v>
      </c>
      <c r="G643" s="152" t="b">
        <f t="shared" si="172"/>
        <v>0</v>
      </c>
      <c r="H643" s="152" t="b">
        <f t="shared" si="173"/>
        <v>0</v>
      </c>
      <c r="I643" s="153" t="e">
        <f t="shared" si="174"/>
        <v>#N/A</v>
      </c>
      <c r="J643" s="158">
        <f>INDEX('Monthly Prices'!B631:CB631,$G$4)</f>
        <v>258.64776000000001</v>
      </c>
      <c r="K643" s="158" t="b">
        <f>IF(H643,INDEX('Monthly Prices'!B631:CB631,$G$4)*U643,FALSE)</f>
        <v>0</v>
      </c>
      <c r="L643" s="152" t="b">
        <f t="shared" si="178"/>
        <v>1</v>
      </c>
      <c r="M643" s="158">
        <f>INDEX('Monthly Prices'!B631:CB631,$G$5)</f>
        <v>212.27336667709</v>
      </c>
      <c r="N643" s="158" t="b">
        <f>IF(H643,INDEX('Monthly Prices'!B631:CB631,$G$5)*U643,FALSE)</f>
        <v>0</v>
      </c>
      <c r="O643" s="152" t="b">
        <f t="shared" si="175"/>
        <v>1</v>
      </c>
      <c r="P643" s="152">
        <f t="shared" si="179"/>
        <v>2011</v>
      </c>
      <c r="Q643" s="159">
        <f>'Monthly Prices'!B631</f>
        <v>104.23047619048</v>
      </c>
      <c r="R643" s="159">
        <f t="shared" si="180"/>
        <v>104.00939752552584</v>
      </c>
      <c r="S643" s="155">
        <f>_xlfn.XLOOKUP(P643,'Annual Real'!A:A,'Annual Real'!B:B,0,0)</f>
        <v>93.705751267612797</v>
      </c>
      <c r="T643" s="155">
        <f t="shared" ca="1" si="181"/>
        <v>1.3412863116005767</v>
      </c>
      <c r="U643" s="152">
        <f t="shared" ca="1" si="182"/>
        <v>1.3412863116005767</v>
      </c>
      <c r="V643" s="152" t="b">
        <f t="shared" si="188"/>
        <v>0</v>
      </c>
      <c r="W643" s="152" t="b">
        <f t="shared" si="189"/>
        <v>0</v>
      </c>
      <c r="X643" s="154">
        <f>LOOKUP(D643,'US Implicit Deflator'!A:A,'US Implicit Deflator'!B:B)/100</f>
        <v>0.02</v>
      </c>
      <c r="Y643" s="154">
        <f t="shared" si="183"/>
        <v>1.6515813019202241E-3</v>
      </c>
      <c r="Z643" s="165">
        <f t="shared" ca="1" si="184"/>
        <v>5.0912270291948998</v>
      </c>
      <c r="AA643" s="152">
        <f t="shared" si="185"/>
        <v>7</v>
      </c>
      <c r="AB643" s="153">
        <f t="shared" si="186"/>
        <v>40878</v>
      </c>
      <c r="AC643" s="155">
        <f t="shared" ca="1" si="187"/>
        <v>1.3412863116005767</v>
      </c>
    </row>
    <row r="644" spans="3:29">
      <c r="C644" s="152" t="str">
        <f>'Monthly Prices'!A632</f>
        <v>2012M01</v>
      </c>
      <c r="D644" s="153">
        <f t="shared" si="176"/>
        <v>40909</v>
      </c>
      <c r="E644" s="152">
        <f t="shared" si="177"/>
        <v>625</v>
      </c>
      <c r="F644" s="152" t="b">
        <f t="shared" si="171"/>
        <v>1</v>
      </c>
      <c r="G644" s="152" t="b">
        <f t="shared" si="172"/>
        <v>0</v>
      </c>
      <c r="H644" s="152" t="b">
        <f t="shared" si="173"/>
        <v>0</v>
      </c>
      <c r="I644" s="153" t="e">
        <f t="shared" si="174"/>
        <v>#N/A</v>
      </c>
      <c r="J644" s="158">
        <f>INDEX('Monthly Prices'!B632:CB632,$G$4)</f>
        <v>272.84484500000002</v>
      </c>
      <c r="K644" s="158" t="b">
        <f>IF(H644,INDEX('Monthly Prices'!B632:CB632,$G$4)*U644,FALSE)</f>
        <v>0</v>
      </c>
      <c r="L644" s="152" t="b">
        <f t="shared" si="178"/>
        <v>1</v>
      </c>
      <c r="M644" s="158">
        <f>INDEX('Monthly Prices'!B632:CB632,$G$5)</f>
        <v>210.55817656619001</v>
      </c>
      <c r="N644" s="158" t="b">
        <f>IF(H644,INDEX('Monthly Prices'!B632:CB632,$G$5)*U644,FALSE)</f>
        <v>0</v>
      </c>
      <c r="O644" s="152" t="b">
        <f t="shared" si="175"/>
        <v>1</v>
      </c>
      <c r="P644" s="152">
        <f t="shared" si="179"/>
        <v>2012</v>
      </c>
      <c r="Q644" s="159">
        <f>'Monthly Prices'!B632</f>
        <v>107.07457226399001</v>
      </c>
      <c r="R644" s="159">
        <f t="shared" si="180"/>
        <v>105.00962888487668</v>
      </c>
      <c r="S644" s="155">
        <f>_xlfn.XLOOKUP(P644,'Annual Real'!A:A,'Annual Real'!B:B,0,0)</f>
        <v>95.3115227885189</v>
      </c>
      <c r="T644" s="155">
        <f t="shared" ca="1" si="181"/>
        <v>1.3391841804960616</v>
      </c>
      <c r="U644" s="152">
        <f t="shared" ca="1" si="182"/>
        <v>1.3391841804960616</v>
      </c>
      <c r="V644" s="152" t="b">
        <f t="shared" si="188"/>
        <v>0</v>
      </c>
      <c r="W644" s="152" t="b">
        <f t="shared" si="189"/>
        <v>0</v>
      </c>
      <c r="X644" s="154">
        <f>LOOKUP(D644,'US Implicit Deflator'!A:A,'US Implicit Deflator'!B:B)/100</f>
        <v>1.9E-2</v>
      </c>
      <c r="Y644" s="154">
        <f t="shared" si="183"/>
        <v>1.5697102274137009E-3</v>
      </c>
      <c r="Z644" s="165">
        <f t="shared" ca="1" si="184"/>
        <v>5.0992187803327118</v>
      </c>
      <c r="AA644" s="152">
        <f t="shared" si="185"/>
        <v>7</v>
      </c>
      <c r="AB644" s="153">
        <f t="shared" si="186"/>
        <v>40909</v>
      </c>
      <c r="AC644" s="155">
        <f t="shared" ca="1" si="187"/>
        <v>1.3391841804960616</v>
      </c>
    </row>
    <row r="645" spans="3:29">
      <c r="C645" s="152" t="str">
        <f>'Monthly Prices'!A633</f>
        <v>2012M02</v>
      </c>
      <c r="D645" s="153">
        <f t="shared" si="176"/>
        <v>40940</v>
      </c>
      <c r="E645" s="152">
        <f t="shared" si="177"/>
        <v>626</v>
      </c>
      <c r="F645" s="152" t="b">
        <f t="shared" si="171"/>
        <v>1</v>
      </c>
      <c r="G645" s="152" t="b">
        <f t="shared" si="172"/>
        <v>0</v>
      </c>
      <c r="H645" s="152" t="b">
        <f t="shared" si="173"/>
        <v>0</v>
      </c>
      <c r="I645" s="153" t="e">
        <f t="shared" si="174"/>
        <v>#N/A</v>
      </c>
      <c r="J645" s="158">
        <f>INDEX('Monthly Prices'!B633:CB633,$G$4)</f>
        <v>279.45866899999999</v>
      </c>
      <c r="K645" s="158" t="b">
        <f>IF(H645,INDEX('Monthly Prices'!B633:CB633,$G$4)*U645,FALSE)</f>
        <v>0</v>
      </c>
      <c r="L645" s="152" t="b">
        <f t="shared" si="178"/>
        <v>1</v>
      </c>
      <c r="M645" s="158">
        <f>INDEX('Monthly Prices'!B633:CB633,$G$5)</f>
        <v>213.40087266162001</v>
      </c>
      <c r="N645" s="158" t="b">
        <f>IF(H645,INDEX('Monthly Prices'!B633:CB633,$G$5)*U645,FALSE)</f>
        <v>0</v>
      </c>
      <c r="O645" s="152" t="b">
        <f t="shared" si="175"/>
        <v>1</v>
      </c>
      <c r="P645" s="152">
        <f t="shared" si="179"/>
        <v>2012</v>
      </c>
      <c r="Q645" s="159">
        <f>'Monthly Prices'!B633</f>
        <v>112.68752380952</v>
      </c>
      <c r="R645" s="159">
        <f t="shared" si="180"/>
        <v>105.00962888487668</v>
      </c>
      <c r="S645" s="155">
        <f>_xlfn.XLOOKUP(P645,'Annual Real'!A:A,'Annual Real'!B:B,0,0)</f>
        <v>95.3115227885189</v>
      </c>
      <c r="T645" s="155">
        <f t="shared" ca="1" si="181"/>
        <v>1.3370853439567276</v>
      </c>
      <c r="U645" s="152">
        <f t="shared" ca="1" si="182"/>
        <v>1.3370853439567276</v>
      </c>
      <c r="V645" s="152" t="b">
        <f t="shared" si="188"/>
        <v>0</v>
      </c>
      <c r="W645" s="152" t="b">
        <f t="shared" si="189"/>
        <v>0</v>
      </c>
      <c r="X645" s="154">
        <f>LOOKUP(D645,'US Implicit Deflator'!A:A,'US Implicit Deflator'!B:B)/100</f>
        <v>1.9E-2</v>
      </c>
      <c r="Y645" s="154">
        <f t="shared" si="183"/>
        <v>1.5697102274137009E-3</v>
      </c>
      <c r="Z645" s="165">
        <f t="shared" ca="1" si="184"/>
        <v>5.1072230762040203</v>
      </c>
      <c r="AA645" s="152">
        <f t="shared" si="185"/>
        <v>7</v>
      </c>
      <c r="AB645" s="153">
        <f t="shared" si="186"/>
        <v>40940</v>
      </c>
      <c r="AC645" s="155">
        <f t="shared" ca="1" si="187"/>
        <v>1.3370853439567276</v>
      </c>
    </row>
    <row r="646" spans="3:29">
      <c r="C646" s="152" t="str">
        <f>'Monthly Prices'!A634</f>
        <v>2012M03</v>
      </c>
      <c r="D646" s="153">
        <f t="shared" si="176"/>
        <v>40969</v>
      </c>
      <c r="E646" s="152">
        <f t="shared" si="177"/>
        <v>627</v>
      </c>
      <c r="F646" s="152" t="b">
        <f t="shared" si="171"/>
        <v>1</v>
      </c>
      <c r="G646" s="152" t="b">
        <f t="shared" si="172"/>
        <v>0</v>
      </c>
      <c r="H646" s="152" t="b">
        <f t="shared" si="173"/>
        <v>0</v>
      </c>
      <c r="I646" s="153" t="e">
        <f t="shared" si="174"/>
        <v>#N/A</v>
      </c>
      <c r="J646" s="158">
        <f>INDEX('Monthly Prices'!B634:CB634,$G$4)</f>
        <v>280.69384000000002</v>
      </c>
      <c r="K646" s="158" t="b">
        <f>IF(H646,INDEX('Monthly Prices'!B634:CB634,$G$4)*U646,FALSE)</f>
        <v>0</v>
      </c>
      <c r="L646" s="152" t="b">
        <f t="shared" si="178"/>
        <v>1</v>
      </c>
      <c r="M646" s="158">
        <f>INDEX('Monthly Prices'!B634:CB634,$G$5)</f>
        <v>222.78858648900999</v>
      </c>
      <c r="N646" s="158" t="b">
        <f>IF(H646,INDEX('Monthly Prices'!B634:CB634,$G$5)*U646,FALSE)</f>
        <v>0</v>
      </c>
      <c r="O646" s="152" t="b">
        <f t="shared" si="175"/>
        <v>1</v>
      </c>
      <c r="P646" s="152">
        <f t="shared" si="179"/>
        <v>2012</v>
      </c>
      <c r="Q646" s="159">
        <f>'Monthly Prices'!B634</f>
        <v>117.785</v>
      </c>
      <c r="R646" s="159">
        <f t="shared" si="180"/>
        <v>105.00962888487668</v>
      </c>
      <c r="S646" s="155">
        <f>_xlfn.XLOOKUP(P646,'Annual Real'!A:A,'Annual Real'!B:B,0,0)</f>
        <v>95.3115227885189</v>
      </c>
      <c r="T646" s="155">
        <f t="shared" ca="1" si="181"/>
        <v>1.3349897968191675</v>
      </c>
      <c r="U646" s="152">
        <f t="shared" ca="1" si="182"/>
        <v>1.3349897968191675</v>
      </c>
      <c r="V646" s="152" t="b">
        <f t="shared" si="188"/>
        <v>0</v>
      </c>
      <c r="W646" s="152" t="b">
        <f t="shared" si="189"/>
        <v>0</v>
      </c>
      <c r="X646" s="154">
        <f>LOOKUP(D646,'US Implicit Deflator'!A:A,'US Implicit Deflator'!B:B)/100</f>
        <v>1.9E-2</v>
      </c>
      <c r="Y646" s="154">
        <f t="shared" si="183"/>
        <v>1.5697102274137009E-3</v>
      </c>
      <c r="Z646" s="165">
        <f t="shared" ca="1" si="184"/>
        <v>5.1152399365004211</v>
      </c>
      <c r="AA646" s="152">
        <f t="shared" si="185"/>
        <v>7</v>
      </c>
      <c r="AB646" s="153">
        <f t="shared" si="186"/>
        <v>40969</v>
      </c>
      <c r="AC646" s="155">
        <f t="shared" ca="1" si="187"/>
        <v>1.3349897968191675</v>
      </c>
    </row>
    <row r="647" spans="3:29">
      <c r="C647" s="152" t="str">
        <f>'Monthly Prices'!A635</f>
        <v>2012M04</v>
      </c>
      <c r="D647" s="153">
        <f t="shared" si="176"/>
        <v>41000</v>
      </c>
      <c r="E647" s="152">
        <f t="shared" si="177"/>
        <v>628</v>
      </c>
      <c r="F647" s="152" t="b">
        <f t="shared" si="171"/>
        <v>1</v>
      </c>
      <c r="G647" s="152" t="b">
        <f t="shared" si="172"/>
        <v>0</v>
      </c>
      <c r="H647" s="152" t="b">
        <f t="shared" si="173"/>
        <v>0</v>
      </c>
      <c r="I647" s="153" t="e">
        <f t="shared" si="174"/>
        <v>#N/A</v>
      </c>
      <c r="J647" s="158">
        <f>INDEX('Monthly Prices'!B635:CB635,$G$4)</f>
        <v>274.00128000000001</v>
      </c>
      <c r="K647" s="158" t="b">
        <f>IF(H647,INDEX('Monthly Prices'!B635:CB635,$G$4)*U647,FALSE)</f>
        <v>0</v>
      </c>
      <c r="L647" s="152" t="b">
        <f t="shared" si="178"/>
        <v>1</v>
      </c>
      <c r="M647" s="158">
        <f>INDEX('Monthly Prices'!B635:CB635,$G$5)</f>
        <v>237.17206304446</v>
      </c>
      <c r="N647" s="158" t="b">
        <f>IF(H647,INDEX('Monthly Prices'!B635:CB635,$G$5)*U647,FALSE)</f>
        <v>0</v>
      </c>
      <c r="O647" s="152" t="b">
        <f t="shared" si="175"/>
        <v>1</v>
      </c>
      <c r="P647" s="152">
        <f t="shared" si="179"/>
        <v>2012</v>
      </c>
      <c r="Q647" s="159">
        <f>'Monthly Prices'!B635</f>
        <v>113.66549999999999</v>
      </c>
      <c r="R647" s="159">
        <f t="shared" si="180"/>
        <v>105.00962888487668</v>
      </c>
      <c r="S647" s="155">
        <f>_xlfn.XLOOKUP(P647,'Annual Real'!A:A,'Annual Real'!B:B,0,0)</f>
        <v>95.3115227885189</v>
      </c>
      <c r="T647" s="155">
        <f t="shared" ca="1" si="181"/>
        <v>1.333006595634098</v>
      </c>
      <c r="U647" s="152">
        <f t="shared" ca="1" si="182"/>
        <v>1.333006595634098</v>
      </c>
      <c r="V647" s="152" t="b">
        <f t="shared" si="188"/>
        <v>0</v>
      </c>
      <c r="W647" s="152" t="b">
        <f t="shared" si="189"/>
        <v>0</v>
      </c>
      <c r="X647" s="154">
        <f>LOOKUP(D647,'US Implicit Deflator'!A:A,'US Implicit Deflator'!B:B)/100</f>
        <v>1.8000000000000002E-2</v>
      </c>
      <c r="Y647" s="154">
        <f t="shared" si="183"/>
        <v>1.4877654706024757E-3</v>
      </c>
      <c r="Z647" s="165">
        <f t="shared" ca="1" si="184"/>
        <v>5.1228502138517928</v>
      </c>
      <c r="AA647" s="152">
        <f t="shared" si="185"/>
        <v>7</v>
      </c>
      <c r="AB647" s="153">
        <f t="shared" si="186"/>
        <v>41000</v>
      </c>
      <c r="AC647" s="155">
        <f t="shared" ca="1" si="187"/>
        <v>1.333006595634098</v>
      </c>
    </row>
    <row r="648" spans="3:29">
      <c r="C648" s="152" t="str">
        <f>'Monthly Prices'!A636</f>
        <v>2012M05</v>
      </c>
      <c r="D648" s="153">
        <f t="shared" si="176"/>
        <v>41030</v>
      </c>
      <c r="E648" s="152">
        <f t="shared" si="177"/>
        <v>629</v>
      </c>
      <c r="F648" s="152" t="b">
        <f t="shared" si="171"/>
        <v>1</v>
      </c>
      <c r="G648" s="152" t="b">
        <f t="shared" si="172"/>
        <v>0</v>
      </c>
      <c r="H648" s="152" t="b">
        <f t="shared" si="173"/>
        <v>0</v>
      </c>
      <c r="I648" s="153" t="e">
        <f t="shared" si="174"/>
        <v>#N/A</v>
      </c>
      <c r="J648" s="158">
        <f>INDEX('Monthly Prices'!B636:CB636,$G$4)</f>
        <v>269.27712000000002</v>
      </c>
      <c r="K648" s="158" t="b">
        <f>IF(H648,INDEX('Monthly Prices'!B636:CB636,$G$4)*U648,FALSE)</f>
        <v>0</v>
      </c>
      <c r="L648" s="152" t="b">
        <f t="shared" si="178"/>
        <v>1</v>
      </c>
      <c r="M648" s="158">
        <f>INDEX('Monthly Prices'!B636:CB636,$G$5)</f>
        <v>239.45847566667001</v>
      </c>
      <c r="N648" s="158" t="b">
        <f>IF(H648,INDEX('Monthly Prices'!B636:CB636,$G$5)*U648,FALSE)</f>
        <v>0</v>
      </c>
      <c r="O648" s="152" t="b">
        <f t="shared" si="175"/>
        <v>1</v>
      </c>
      <c r="P648" s="152">
        <f t="shared" si="179"/>
        <v>2012</v>
      </c>
      <c r="Q648" s="159">
        <f>'Monthly Prices'!B636</f>
        <v>104.0860342556</v>
      </c>
      <c r="R648" s="159">
        <f t="shared" si="180"/>
        <v>105.00962888487668</v>
      </c>
      <c r="S648" s="155">
        <f>_xlfn.XLOOKUP(P648,'Annual Real'!A:A,'Annual Real'!B:B,0,0)</f>
        <v>95.3115227885189</v>
      </c>
      <c r="T648" s="155">
        <f t="shared" ca="1" si="181"/>
        <v>1.3310263406040848</v>
      </c>
      <c r="U648" s="152">
        <f t="shared" ca="1" si="182"/>
        <v>1.3310263406040848</v>
      </c>
      <c r="V648" s="152" t="b">
        <f t="shared" si="188"/>
        <v>0</v>
      </c>
      <c r="W648" s="152" t="b">
        <f t="shared" si="189"/>
        <v>0</v>
      </c>
      <c r="X648" s="154">
        <f>LOOKUP(D648,'US Implicit Deflator'!A:A,'US Implicit Deflator'!B:B)/100</f>
        <v>1.8000000000000002E-2</v>
      </c>
      <c r="Y648" s="154">
        <f t="shared" si="183"/>
        <v>1.4877654706024757E-3</v>
      </c>
      <c r="Z648" s="165">
        <f t="shared" ca="1" si="184"/>
        <v>5.1304718135110301</v>
      </c>
      <c r="AA648" s="152">
        <f t="shared" si="185"/>
        <v>7</v>
      </c>
      <c r="AB648" s="153">
        <f t="shared" si="186"/>
        <v>41030</v>
      </c>
      <c r="AC648" s="155">
        <f t="shared" ca="1" si="187"/>
        <v>1.3310263406040848</v>
      </c>
    </row>
    <row r="649" spans="3:29">
      <c r="C649" s="152" t="str">
        <f>'Monthly Prices'!A637</f>
        <v>2012M06</v>
      </c>
      <c r="D649" s="153">
        <f t="shared" si="176"/>
        <v>41061</v>
      </c>
      <c r="E649" s="152">
        <f t="shared" si="177"/>
        <v>630</v>
      </c>
      <c r="F649" s="152" t="b">
        <f t="shared" si="171"/>
        <v>1</v>
      </c>
      <c r="G649" s="152" t="b">
        <f t="shared" si="172"/>
        <v>0</v>
      </c>
      <c r="H649" s="152" t="b">
        <f t="shared" si="173"/>
        <v>0</v>
      </c>
      <c r="I649" s="153" t="e">
        <f t="shared" si="174"/>
        <v>#N/A</v>
      </c>
      <c r="J649" s="158">
        <f>INDEX('Monthly Prices'!B637:CB637,$G$4)</f>
        <v>267.30871999999999</v>
      </c>
      <c r="K649" s="158" t="b">
        <f>IF(H649,INDEX('Monthly Prices'!B637:CB637,$G$4)*U649,FALSE)</f>
        <v>0</v>
      </c>
      <c r="L649" s="152" t="b">
        <f t="shared" si="178"/>
        <v>1</v>
      </c>
      <c r="M649" s="158">
        <f>INDEX('Monthly Prices'!B637:CB637,$G$5)</f>
        <v>236.75781616667001</v>
      </c>
      <c r="N649" s="158" t="b">
        <f>IF(H649,INDEX('Monthly Prices'!B637:CB637,$G$5)*U649,FALSE)</f>
        <v>0</v>
      </c>
      <c r="O649" s="152" t="b">
        <f t="shared" si="175"/>
        <v>1</v>
      </c>
      <c r="P649" s="152">
        <f t="shared" si="179"/>
        <v>2012</v>
      </c>
      <c r="Q649" s="159">
        <f>'Monthly Prices'!B637</f>
        <v>90.728253968250002</v>
      </c>
      <c r="R649" s="159">
        <f t="shared" si="180"/>
        <v>105.00962888487668</v>
      </c>
      <c r="S649" s="155">
        <f>_xlfn.XLOOKUP(P649,'Annual Real'!A:A,'Annual Real'!B:B,0,0)</f>
        <v>95.3115227885189</v>
      </c>
      <c r="T649" s="155">
        <f t="shared" ca="1" si="181"/>
        <v>1.329049027352452</v>
      </c>
      <c r="U649" s="152">
        <f t="shared" ca="1" si="182"/>
        <v>1.329049027352452</v>
      </c>
      <c r="V649" s="152" t="b">
        <f t="shared" si="188"/>
        <v>0</v>
      </c>
      <c r="W649" s="152" t="b">
        <f t="shared" si="189"/>
        <v>0</v>
      </c>
      <c r="X649" s="154">
        <f>LOOKUP(D649,'US Implicit Deflator'!A:A,'US Implicit Deflator'!B:B)/100</f>
        <v>1.8000000000000002E-2</v>
      </c>
      <c r="Y649" s="154">
        <f t="shared" si="183"/>
        <v>1.4877654706024757E-3</v>
      </c>
      <c r="Z649" s="165">
        <f t="shared" ca="1" si="184"/>
        <v>5.1381047523230707</v>
      </c>
      <c r="AA649" s="152">
        <f t="shared" si="185"/>
        <v>7</v>
      </c>
      <c r="AB649" s="153">
        <f t="shared" si="186"/>
        <v>41061</v>
      </c>
      <c r="AC649" s="155">
        <f t="shared" ca="1" si="187"/>
        <v>1.329049027352452</v>
      </c>
    </row>
    <row r="650" spans="3:29">
      <c r="C650" s="152" t="str">
        <f>'Monthly Prices'!A638</f>
        <v>2012M07</v>
      </c>
      <c r="D650" s="153">
        <f t="shared" si="176"/>
        <v>41091</v>
      </c>
      <c r="E650" s="152">
        <f t="shared" si="177"/>
        <v>631</v>
      </c>
      <c r="F650" s="152" t="b">
        <f t="shared" si="171"/>
        <v>1</v>
      </c>
      <c r="G650" s="152" t="b">
        <f t="shared" si="172"/>
        <v>0</v>
      </c>
      <c r="H650" s="152" t="b">
        <f t="shared" si="173"/>
        <v>0</v>
      </c>
      <c r="I650" s="153" t="e">
        <f t="shared" si="174"/>
        <v>#N/A</v>
      </c>
      <c r="J650" s="158">
        <f>INDEX('Monthly Prices'!B638:CB638,$G$4)</f>
        <v>333.05327999999997</v>
      </c>
      <c r="K650" s="158" t="b">
        <f>IF(H650,INDEX('Monthly Prices'!B638:CB638,$G$4)*U650,FALSE)</f>
        <v>0</v>
      </c>
      <c r="L650" s="152" t="b">
        <f t="shared" si="178"/>
        <v>1</v>
      </c>
      <c r="M650" s="158">
        <f>INDEX('Monthly Prices'!B638:CB638,$G$5)</f>
        <v>253.379732375</v>
      </c>
      <c r="N650" s="158" t="b">
        <f>IF(H650,INDEX('Monthly Prices'!B638:CB638,$G$5)*U650,FALSE)</f>
        <v>0</v>
      </c>
      <c r="O650" s="152" t="b">
        <f t="shared" si="175"/>
        <v>1</v>
      </c>
      <c r="P650" s="152">
        <f t="shared" si="179"/>
        <v>2012</v>
      </c>
      <c r="Q650" s="159">
        <f>'Monthly Prices'!B638</f>
        <v>96.754112554109994</v>
      </c>
      <c r="R650" s="159">
        <f t="shared" si="180"/>
        <v>105.00962888487668</v>
      </c>
      <c r="S650" s="155">
        <f>_xlfn.XLOOKUP(P650,'Annual Real'!A:A,'Annual Real'!B:B,0,0)</f>
        <v>95.3115227885189</v>
      </c>
      <c r="T650" s="155">
        <f t="shared" ca="1" si="181"/>
        <v>1.3271833434913005</v>
      </c>
      <c r="U650" s="152">
        <f t="shared" ca="1" si="182"/>
        <v>1.3271833434913005</v>
      </c>
      <c r="V650" s="152" t="b">
        <f t="shared" si="188"/>
        <v>0</v>
      </c>
      <c r="W650" s="152" t="b">
        <f t="shared" si="189"/>
        <v>0</v>
      </c>
      <c r="X650" s="154">
        <f>LOOKUP(D650,'US Implicit Deflator'!A:A,'US Implicit Deflator'!B:B)/100</f>
        <v>1.7000000000000001E-2</v>
      </c>
      <c r="Y650" s="154">
        <f t="shared" si="183"/>
        <v>1.4057468926966799E-3</v>
      </c>
      <c r="Z650" s="165">
        <f t="shared" ca="1" si="184"/>
        <v>5.1453276271129988</v>
      </c>
      <c r="AA650" s="152">
        <f t="shared" si="185"/>
        <v>7</v>
      </c>
      <c r="AB650" s="153">
        <f t="shared" si="186"/>
        <v>41091</v>
      </c>
      <c r="AC650" s="155">
        <f t="shared" ca="1" si="187"/>
        <v>1.3271833434913005</v>
      </c>
    </row>
    <row r="651" spans="3:29">
      <c r="C651" s="152" t="str">
        <f>'Monthly Prices'!A639</f>
        <v>2012M08</v>
      </c>
      <c r="D651" s="153">
        <f t="shared" si="176"/>
        <v>41122</v>
      </c>
      <c r="E651" s="152">
        <f t="shared" si="177"/>
        <v>632</v>
      </c>
      <c r="F651" s="152" t="b">
        <f t="shared" si="171"/>
        <v>1</v>
      </c>
      <c r="G651" s="152" t="b">
        <f t="shared" si="172"/>
        <v>0</v>
      </c>
      <c r="H651" s="152" t="b">
        <f t="shared" si="173"/>
        <v>0</v>
      </c>
      <c r="I651" s="153" t="e">
        <f t="shared" si="174"/>
        <v>#N/A</v>
      </c>
      <c r="J651" s="158">
        <f>INDEX('Monthly Prices'!B639:CB639,$G$4)</f>
        <v>331.99205565217</v>
      </c>
      <c r="K651" s="158" t="b">
        <f>IF(H651,INDEX('Monthly Prices'!B639:CB639,$G$4)*U651,FALSE)</f>
        <v>0</v>
      </c>
      <c r="L651" s="152" t="b">
        <f t="shared" si="178"/>
        <v>1</v>
      </c>
      <c r="M651" s="158">
        <f>INDEX('Monthly Prices'!B639:CB639,$G$5)</f>
        <v>265.69345366667</v>
      </c>
      <c r="N651" s="158" t="b">
        <f>IF(H651,INDEX('Monthly Prices'!B639:CB639,$G$5)*U651,FALSE)</f>
        <v>0</v>
      </c>
      <c r="O651" s="152" t="b">
        <f t="shared" si="175"/>
        <v>1</v>
      </c>
      <c r="P651" s="152">
        <f t="shared" si="179"/>
        <v>2012</v>
      </c>
      <c r="Q651" s="159">
        <f>'Monthly Prices'!B639</f>
        <v>105.27363699103</v>
      </c>
      <c r="R651" s="159">
        <f t="shared" si="180"/>
        <v>105.00962888487668</v>
      </c>
      <c r="S651" s="155">
        <f>_xlfn.XLOOKUP(P651,'Annual Real'!A:A,'Annual Real'!B:B,0,0)</f>
        <v>95.3115227885189</v>
      </c>
      <c r="T651" s="155">
        <f t="shared" ca="1" si="181"/>
        <v>1.3253202786277916</v>
      </c>
      <c r="U651" s="152">
        <f t="shared" ca="1" si="182"/>
        <v>1.3253202786277916</v>
      </c>
      <c r="V651" s="152" t="b">
        <f t="shared" si="188"/>
        <v>0</v>
      </c>
      <c r="W651" s="152" t="b">
        <f t="shared" si="189"/>
        <v>0</v>
      </c>
      <c r="X651" s="154">
        <f>LOOKUP(D651,'US Implicit Deflator'!A:A,'US Implicit Deflator'!B:B)/100</f>
        <v>1.7000000000000001E-2</v>
      </c>
      <c r="Y651" s="154">
        <f t="shared" si="183"/>
        <v>1.4057468926966799E-3</v>
      </c>
      <c r="Z651" s="165">
        <f t="shared" ca="1" si="184"/>
        <v>5.1525606554367194</v>
      </c>
      <c r="AA651" s="152">
        <f t="shared" si="185"/>
        <v>7</v>
      </c>
      <c r="AB651" s="153">
        <f t="shared" si="186"/>
        <v>41122</v>
      </c>
      <c r="AC651" s="155">
        <f t="shared" ca="1" si="187"/>
        <v>1.3253202786277916</v>
      </c>
    </row>
    <row r="652" spans="3:29">
      <c r="C652" s="152" t="str">
        <f>'Monthly Prices'!A640</f>
        <v>2012M09</v>
      </c>
      <c r="D652" s="153">
        <f t="shared" si="176"/>
        <v>41153</v>
      </c>
      <c r="E652" s="152">
        <f t="shared" si="177"/>
        <v>633</v>
      </c>
      <c r="F652" s="152" t="b">
        <f t="shared" si="171"/>
        <v>1</v>
      </c>
      <c r="G652" s="152" t="b">
        <f t="shared" si="172"/>
        <v>0</v>
      </c>
      <c r="H652" s="152" t="b">
        <f t="shared" si="173"/>
        <v>0</v>
      </c>
      <c r="I652" s="153" t="e">
        <f t="shared" si="174"/>
        <v>#N/A</v>
      </c>
      <c r="J652" s="158">
        <f>INDEX('Monthly Prices'!B640:CB640,$G$4)</f>
        <v>320.8492</v>
      </c>
      <c r="K652" s="158" t="b">
        <f>IF(H652,INDEX('Monthly Prices'!B640:CB640,$G$4)*U652,FALSE)</f>
        <v>0</v>
      </c>
      <c r="L652" s="152" t="b">
        <f t="shared" si="178"/>
        <v>1</v>
      </c>
      <c r="M652" s="158">
        <f>INDEX('Monthly Prices'!B640:CB640,$G$5)</f>
        <v>256.23655245832998</v>
      </c>
      <c r="N652" s="158" t="b">
        <f>IF(H652,INDEX('Monthly Prices'!B640:CB640,$G$5)*U652,FALSE)</f>
        <v>0</v>
      </c>
      <c r="O652" s="152" t="b">
        <f t="shared" si="175"/>
        <v>1</v>
      </c>
      <c r="P652" s="152">
        <f t="shared" si="179"/>
        <v>2012</v>
      </c>
      <c r="Q652" s="159">
        <f>'Monthly Prices'!B640</f>
        <v>106.28496491228</v>
      </c>
      <c r="R652" s="159">
        <f t="shared" si="180"/>
        <v>105.00962888487668</v>
      </c>
      <c r="S652" s="155">
        <f>_xlfn.XLOOKUP(P652,'Annual Real'!A:A,'Annual Real'!B:B,0,0)</f>
        <v>95.3115227885189</v>
      </c>
      <c r="T652" s="155">
        <f t="shared" ca="1" si="181"/>
        <v>1.3234598290854458</v>
      </c>
      <c r="U652" s="152">
        <f t="shared" ca="1" si="182"/>
        <v>1.3234598290854458</v>
      </c>
      <c r="V652" s="152" t="b">
        <f t="shared" si="188"/>
        <v>0</v>
      </c>
      <c r="W652" s="152" t="b">
        <f t="shared" si="189"/>
        <v>0</v>
      </c>
      <c r="X652" s="154">
        <f>LOOKUP(D652,'US Implicit Deflator'!A:A,'US Implicit Deflator'!B:B)/100</f>
        <v>1.7000000000000001E-2</v>
      </c>
      <c r="Y652" s="154">
        <f t="shared" si="183"/>
        <v>1.4057468926966799E-3</v>
      </c>
      <c r="Z652" s="165">
        <f t="shared" ca="1" si="184"/>
        <v>5.1598038515675304</v>
      </c>
      <c r="AA652" s="152">
        <f t="shared" si="185"/>
        <v>7</v>
      </c>
      <c r="AB652" s="153">
        <f t="shared" si="186"/>
        <v>41153</v>
      </c>
      <c r="AC652" s="155">
        <f t="shared" ca="1" si="187"/>
        <v>1.3234598290854458</v>
      </c>
    </row>
    <row r="653" spans="3:29">
      <c r="C653" s="152" t="str">
        <f>'Monthly Prices'!A641</f>
        <v>2012M10</v>
      </c>
      <c r="D653" s="153">
        <f t="shared" si="176"/>
        <v>41183</v>
      </c>
      <c r="E653" s="152">
        <f t="shared" si="177"/>
        <v>634</v>
      </c>
      <c r="F653" s="152" t="b">
        <f t="shared" si="171"/>
        <v>1</v>
      </c>
      <c r="G653" s="152" t="b">
        <f t="shared" si="172"/>
        <v>0</v>
      </c>
      <c r="H653" s="152" t="b">
        <f t="shared" si="173"/>
        <v>0</v>
      </c>
      <c r="I653" s="153" t="e">
        <f t="shared" si="174"/>
        <v>#N/A</v>
      </c>
      <c r="J653" s="158">
        <f>INDEX('Monthly Prices'!B641:CB641,$G$4)</f>
        <v>321.24288000000001</v>
      </c>
      <c r="K653" s="158" t="b">
        <f>IF(H653,INDEX('Monthly Prices'!B641:CB641,$G$4)*U653,FALSE)</f>
        <v>0</v>
      </c>
      <c r="L653" s="152" t="b">
        <f t="shared" si="178"/>
        <v>1</v>
      </c>
      <c r="M653" s="158">
        <f>INDEX('Monthly Prices'!B641:CB641,$G$5)</f>
        <v>252.91125062500001</v>
      </c>
      <c r="N653" s="158" t="b">
        <f>IF(H653,INDEX('Monthly Prices'!B641:CB641,$G$5)*U653,FALSE)</f>
        <v>0</v>
      </c>
      <c r="O653" s="152" t="b">
        <f t="shared" si="175"/>
        <v>1</v>
      </c>
      <c r="P653" s="152">
        <f t="shared" si="179"/>
        <v>2012</v>
      </c>
      <c r="Q653" s="159">
        <f>'Monthly Prices'!B641</f>
        <v>103.40786561265</v>
      </c>
      <c r="R653" s="159">
        <f t="shared" si="180"/>
        <v>105.00962888487668</v>
      </c>
      <c r="S653" s="155">
        <f>_xlfn.XLOOKUP(P653,'Annual Real'!A:A,'Annual Real'!B:B,0,0)</f>
        <v>95.3115227885189</v>
      </c>
      <c r="T653" s="155">
        <f t="shared" ca="1" si="181"/>
        <v>1.3214937563051983</v>
      </c>
      <c r="U653" s="152">
        <f t="shared" ca="1" si="182"/>
        <v>1.3214937563051983</v>
      </c>
      <c r="V653" s="152" t="b">
        <f t="shared" si="188"/>
        <v>0</v>
      </c>
      <c r="W653" s="152" t="b">
        <f t="shared" si="189"/>
        <v>0</v>
      </c>
      <c r="X653" s="154">
        <f>LOOKUP(D653,'US Implicit Deflator'!A:A,'US Implicit Deflator'!B:B)/100</f>
        <v>1.8000000000000002E-2</v>
      </c>
      <c r="Y653" s="154">
        <f t="shared" si="183"/>
        <v>1.4877654706024757E-3</v>
      </c>
      <c r="Z653" s="165">
        <f t="shared" ca="1" si="184"/>
        <v>5.1674804295729739</v>
      </c>
      <c r="AA653" s="152">
        <f t="shared" si="185"/>
        <v>7</v>
      </c>
      <c r="AB653" s="153">
        <f t="shared" si="186"/>
        <v>41183</v>
      </c>
      <c r="AC653" s="155">
        <f t="shared" ca="1" si="187"/>
        <v>1.3214937563051983</v>
      </c>
    </row>
    <row r="654" spans="3:29">
      <c r="C654" s="152" t="str">
        <f>'Monthly Prices'!A642</f>
        <v>2012M11</v>
      </c>
      <c r="D654" s="153">
        <f t="shared" si="176"/>
        <v>41214</v>
      </c>
      <c r="E654" s="152">
        <f t="shared" si="177"/>
        <v>635</v>
      </c>
      <c r="F654" s="152" t="b">
        <f t="shared" si="171"/>
        <v>1</v>
      </c>
      <c r="G654" s="152" t="b">
        <f t="shared" si="172"/>
        <v>0</v>
      </c>
      <c r="H654" s="152" t="b">
        <f t="shared" si="173"/>
        <v>0</v>
      </c>
      <c r="I654" s="153" t="e">
        <f t="shared" si="174"/>
        <v>#N/A</v>
      </c>
      <c r="J654" s="158">
        <f>INDEX('Monthly Prices'!B642:CB642,$G$4)</f>
        <v>321.63655999999997</v>
      </c>
      <c r="K654" s="158" t="b">
        <f>IF(H654,INDEX('Monthly Prices'!B642:CB642,$G$4)*U654,FALSE)</f>
        <v>0</v>
      </c>
      <c r="L654" s="152" t="b">
        <f t="shared" si="178"/>
        <v>1</v>
      </c>
      <c r="M654" s="158">
        <f>INDEX('Monthly Prices'!B642:CB642,$G$5)</f>
        <v>252.06614629167001</v>
      </c>
      <c r="N654" s="158" t="b">
        <f>IF(H654,INDEX('Monthly Prices'!B642:CB642,$G$5)*U654,FALSE)</f>
        <v>0</v>
      </c>
      <c r="O654" s="152" t="b">
        <f t="shared" si="175"/>
        <v>1</v>
      </c>
      <c r="P654" s="152">
        <f t="shared" si="179"/>
        <v>2012</v>
      </c>
      <c r="Q654" s="159">
        <f>'Monthly Prices'!B642</f>
        <v>101.17441558442</v>
      </c>
      <c r="R654" s="159">
        <f t="shared" si="180"/>
        <v>105.00962888487668</v>
      </c>
      <c r="S654" s="155">
        <f>_xlfn.XLOOKUP(P654,'Annual Real'!A:A,'Annual Real'!B:B,0,0)</f>
        <v>95.3115227885189</v>
      </c>
      <c r="T654" s="155">
        <f t="shared" ca="1" si="181"/>
        <v>1.3195306042348145</v>
      </c>
      <c r="U654" s="152">
        <f t="shared" ca="1" si="182"/>
        <v>1.3195306042348145</v>
      </c>
      <c r="V654" s="152" t="b">
        <f t="shared" si="188"/>
        <v>0</v>
      </c>
      <c r="W654" s="152" t="b">
        <f t="shared" si="189"/>
        <v>0</v>
      </c>
      <c r="X654" s="154">
        <f>LOOKUP(D654,'US Implicit Deflator'!A:A,'US Implicit Deflator'!B:B)/100</f>
        <v>1.8000000000000002E-2</v>
      </c>
      <c r="Y654" s="154">
        <f t="shared" si="183"/>
        <v>1.4877654706024757E-3</v>
      </c>
      <c r="Z654" s="165">
        <f t="shared" ca="1" si="184"/>
        <v>5.1751684285261064</v>
      </c>
      <c r="AA654" s="152">
        <f t="shared" si="185"/>
        <v>7</v>
      </c>
      <c r="AB654" s="153">
        <f t="shared" si="186"/>
        <v>41214</v>
      </c>
      <c r="AC654" s="155">
        <f t="shared" ca="1" si="187"/>
        <v>1.3195306042348145</v>
      </c>
    </row>
    <row r="655" spans="3:29">
      <c r="C655" s="152" t="str">
        <f>'Monthly Prices'!A643</f>
        <v>2012M12</v>
      </c>
      <c r="D655" s="153">
        <f t="shared" si="176"/>
        <v>41244</v>
      </c>
      <c r="E655" s="152">
        <f t="shared" si="177"/>
        <v>636</v>
      </c>
      <c r="F655" s="152" t="b">
        <f t="shared" si="171"/>
        <v>1</v>
      </c>
      <c r="G655" s="152" t="b">
        <f t="shared" si="172"/>
        <v>0</v>
      </c>
      <c r="H655" s="152" t="b">
        <f t="shared" si="173"/>
        <v>0</v>
      </c>
      <c r="I655" s="153" t="e">
        <f t="shared" si="174"/>
        <v>#N/A</v>
      </c>
      <c r="J655" s="158">
        <f>INDEX('Monthly Prices'!B643:CB643,$G$4)</f>
        <v>308.64512000000002</v>
      </c>
      <c r="K655" s="158" t="b">
        <f>IF(H655,INDEX('Monthly Prices'!B643:CB643,$G$4)*U655,FALSE)</f>
        <v>0</v>
      </c>
      <c r="L655" s="152" t="b">
        <f t="shared" si="178"/>
        <v>1</v>
      </c>
      <c r="M655" s="158">
        <f>INDEX('Monthly Prices'!B643:CB643,$G$5)</f>
        <v>242.94453104166999</v>
      </c>
      <c r="N655" s="158" t="b">
        <f>IF(H655,INDEX('Monthly Prices'!B643:CB643,$G$5)*U655,FALSE)</f>
        <v>0</v>
      </c>
      <c r="O655" s="152" t="b">
        <f t="shared" si="175"/>
        <v>1</v>
      </c>
      <c r="P655" s="152">
        <f t="shared" si="179"/>
        <v>2012</v>
      </c>
      <c r="Q655" s="159">
        <f>'Monthly Prices'!B643</f>
        <v>101.19366666667</v>
      </c>
      <c r="R655" s="159">
        <f t="shared" si="180"/>
        <v>105.00962888487668</v>
      </c>
      <c r="S655" s="155">
        <f>_xlfn.XLOOKUP(P655,'Annual Real'!A:A,'Annual Real'!B:B,0,0)</f>
        <v>95.3115227885189</v>
      </c>
      <c r="T655" s="155">
        <f t="shared" ca="1" si="181"/>
        <v>1.3175703685354188</v>
      </c>
      <c r="U655" s="152">
        <f t="shared" ca="1" si="182"/>
        <v>1.3175703685354188</v>
      </c>
      <c r="V655" s="152" t="b">
        <f t="shared" si="188"/>
        <v>0</v>
      </c>
      <c r="W655" s="152" t="b">
        <f t="shared" si="189"/>
        <v>0</v>
      </c>
      <c r="X655" s="154">
        <f>LOOKUP(D655,'US Implicit Deflator'!A:A,'US Implicit Deflator'!B:B)/100</f>
        <v>1.8000000000000002E-2</v>
      </c>
      <c r="Y655" s="154">
        <f t="shared" si="183"/>
        <v>1.4877654706024757E-3</v>
      </c>
      <c r="Z655" s="165">
        <f t="shared" ca="1" si="184"/>
        <v>5.1828678654186193</v>
      </c>
      <c r="AA655" s="152">
        <f t="shared" si="185"/>
        <v>7</v>
      </c>
      <c r="AB655" s="153">
        <f t="shared" si="186"/>
        <v>41244</v>
      </c>
      <c r="AC655" s="155">
        <f t="shared" ca="1" si="187"/>
        <v>1.3175703685354188</v>
      </c>
    </row>
    <row r="656" spans="3:29">
      <c r="C656" s="152" t="str">
        <f>'Monthly Prices'!A644</f>
        <v>2013M01</v>
      </c>
      <c r="D656" s="153">
        <f t="shared" si="176"/>
        <v>41275</v>
      </c>
      <c r="E656" s="152">
        <f t="shared" si="177"/>
        <v>637</v>
      </c>
      <c r="F656" s="152" t="b">
        <f t="shared" si="171"/>
        <v>1</v>
      </c>
      <c r="G656" s="152" t="b">
        <f t="shared" si="172"/>
        <v>0</v>
      </c>
      <c r="H656" s="152" t="b">
        <f t="shared" si="173"/>
        <v>0</v>
      </c>
      <c r="I656" s="153" t="e">
        <f t="shared" si="174"/>
        <v>#N/A</v>
      </c>
      <c r="J656" s="158">
        <f>INDEX('Monthly Prices'!B644:CB644,$G$4)</f>
        <v>303.1336</v>
      </c>
      <c r="K656" s="158" t="b">
        <f>IF(H656,INDEX('Monthly Prices'!B644:CB644,$G$4)*U656,FALSE)</f>
        <v>0</v>
      </c>
      <c r="L656" s="152" t="b">
        <f t="shared" si="178"/>
        <v>1</v>
      </c>
      <c r="M656" s="158">
        <f>INDEX('Monthly Prices'!B644:CB644,$G$5)</f>
        <v>233.32228333333001</v>
      </c>
      <c r="N656" s="158" t="b">
        <f>IF(H656,INDEX('Monthly Prices'!B644:CB644,$G$5)*U656,FALSE)</f>
        <v>0</v>
      </c>
      <c r="O656" s="152" t="b">
        <f t="shared" si="175"/>
        <v>1</v>
      </c>
      <c r="P656" s="152">
        <f t="shared" si="179"/>
        <v>2013</v>
      </c>
      <c r="Q656" s="159">
        <f>'Monthly Prices'!B644</f>
        <v>105.10021645022</v>
      </c>
      <c r="R656" s="159">
        <f t="shared" si="180"/>
        <v>104.07749749758752</v>
      </c>
      <c r="S656" s="155">
        <f>_xlfn.XLOOKUP(P656,'Annual Real'!A:A,'Annual Real'!B:B,0,0)</f>
        <v>94.8794037284284</v>
      </c>
      <c r="T656" s="155">
        <f t="shared" ca="1" si="181"/>
        <v>1.3159366493496256</v>
      </c>
      <c r="U656" s="152">
        <f t="shared" ca="1" si="182"/>
        <v>1.3159366493496256</v>
      </c>
      <c r="V656" s="152" t="b">
        <f t="shared" si="188"/>
        <v>0</v>
      </c>
      <c r="W656" s="152" t="b">
        <f t="shared" si="189"/>
        <v>0</v>
      </c>
      <c r="X656" s="154">
        <f>LOOKUP(D656,'US Implicit Deflator'!A:A,'US Implicit Deflator'!B:B)/100</f>
        <v>1.4999999999999999E-2</v>
      </c>
      <c r="Y656" s="154">
        <f t="shared" si="183"/>
        <v>1.2414877164492744E-3</v>
      </c>
      <c r="Z656" s="165">
        <f t="shared" ca="1" si="184"/>
        <v>5.1893023322095164</v>
      </c>
      <c r="AA656" s="152">
        <f t="shared" si="185"/>
        <v>7</v>
      </c>
      <c r="AB656" s="153">
        <f t="shared" si="186"/>
        <v>41275</v>
      </c>
      <c r="AC656" s="155">
        <f t="shared" ca="1" si="187"/>
        <v>1.3159366493496256</v>
      </c>
    </row>
    <row r="657" spans="3:29">
      <c r="C657" s="152" t="str">
        <f>'Monthly Prices'!A645</f>
        <v>2013M02</v>
      </c>
      <c r="D657" s="153">
        <f t="shared" si="176"/>
        <v>41306</v>
      </c>
      <c r="E657" s="152">
        <f t="shared" si="177"/>
        <v>638</v>
      </c>
      <c r="F657" s="152" t="b">
        <f t="shared" si="171"/>
        <v>1</v>
      </c>
      <c r="G657" s="152" t="b">
        <f t="shared" si="172"/>
        <v>0</v>
      </c>
      <c r="H657" s="152" t="b">
        <f t="shared" si="173"/>
        <v>0</v>
      </c>
      <c r="I657" s="153" t="e">
        <f t="shared" si="174"/>
        <v>#N/A</v>
      </c>
      <c r="J657" s="158">
        <f>INDEX('Monthly Prices'!B645:CB645,$G$4)</f>
        <v>302.73991999999998</v>
      </c>
      <c r="K657" s="158" t="b">
        <f>IF(H657,INDEX('Monthly Prices'!B645:CB645,$G$4)*U657,FALSE)</f>
        <v>0</v>
      </c>
      <c r="L657" s="152" t="b">
        <f t="shared" si="178"/>
        <v>1</v>
      </c>
      <c r="M657" s="158">
        <f>INDEX('Monthly Prices'!B645:CB645,$G$5)</f>
        <v>236.99664999999999</v>
      </c>
      <c r="N657" s="158" t="b">
        <f>IF(H657,INDEX('Monthly Prices'!B645:CB645,$G$5)*U657,FALSE)</f>
        <v>0</v>
      </c>
      <c r="O657" s="152" t="b">
        <f t="shared" si="175"/>
        <v>1</v>
      </c>
      <c r="P657" s="152">
        <f t="shared" si="179"/>
        <v>2013</v>
      </c>
      <c r="Q657" s="159">
        <f>'Monthly Prices'!B645</f>
        <v>107.63743567252</v>
      </c>
      <c r="R657" s="159">
        <f t="shared" si="180"/>
        <v>104.07749749758752</v>
      </c>
      <c r="S657" s="155">
        <f>_xlfn.XLOOKUP(P657,'Annual Real'!A:A,'Annual Real'!B:B,0,0)</f>
        <v>94.8794037284284</v>
      </c>
      <c r="T657" s="155">
        <f t="shared" ca="1" si="181"/>
        <v>1.3143049558912183</v>
      </c>
      <c r="U657" s="152">
        <f t="shared" ca="1" si="182"/>
        <v>1.3143049558912183</v>
      </c>
      <c r="V657" s="152" t="b">
        <f t="shared" si="188"/>
        <v>0</v>
      </c>
      <c r="W657" s="152" t="b">
        <f t="shared" si="189"/>
        <v>0</v>
      </c>
      <c r="X657" s="154">
        <f>LOOKUP(D657,'US Implicit Deflator'!A:A,'US Implicit Deflator'!B:B)/100</f>
        <v>1.4999999999999999E-2</v>
      </c>
      <c r="Y657" s="154">
        <f t="shared" si="183"/>
        <v>1.2414877164492744E-3</v>
      </c>
      <c r="Z657" s="165">
        <f t="shared" ca="1" si="184"/>
        <v>5.195744787311896</v>
      </c>
      <c r="AA657" s="152">
        <f t="shared" si="185"/>
        <v>7</v>
      </c>
      <c r="AB657" s="153">
        <f t="shared" si="186"/>
        <v>41306</v>
      </c>
      <c r="AC657" s="155">
        <f t="shared" ca="1" si="187"/>
        <v>1.3143049558912183</v>
      </c>
    </row>
    <row r="658" spans="3:29">
      <c r="C658" s="152" t="str">
        <f>'Monthly Prices'!A646</f>
        <v>2013M03</v>
      </c>
      <c r="D658" s="153">
        <f t="shared" si="176"/>
        <v>41334</v>
      </c>
      <c r="E658" s="152">
        <f t="shared" si="177"/>
        <v>639</v>
      </c>
      <c r="F658" s="152" t="b">
        <f t="shared" si="171"/>
        <v>1</v>
      </c>
      <c r="G658" s="152" t="b">
        <f t="shared" si="172"/>
        <v>0</v>
      </c>
      <c r="H658" s="152" t="b">
        <f t="shared" si="173"/>
        <v>0</v>
      </c>
      <c r="I658" s="153" t="e">
        <f t="shared" si="174"/>
        <v>#N/A</v>
      </c>
      <c r="J658" s="158">
        <f>INDEX('Monthly Prices'!B646:CB646,$G$4)</f>
        <v>309.03879999999998</v>
      </c>
      <c r="K658" s="158" t="b">
        <f>IF(H658,INDEX('Monthly Prices'!B646:CB646,$G$4)*U658,FALSE)</f>
        <v>0</v>
      </c>
      <c r="L658" s="152" t="b">
        <f t="shared" si="178"/>
        <v>1</v>
      </c>
      <c r="M658" s="158">
        <f>INDEX('Monthly Prices'!B646:CB646,$G$5)</f>
        <v>239.75242499999999</v>
      </c>
      <c r="N658" s="158" t="b">
        <f>IF(H658,INDEX('Monthly Prices'!B646:CB646,$G$5)*U658,FALSE)</f>
        <v>0</v>
      </c>
      <c r="O658" s="152" t="b">
        <f t="shared" si="175"/>
        <v>1</v>
      </c>
      <c r="P658" s="152">
        <f t="shared" si="179"/>
        <v>2013</v>
      </c>
      <c r="Q658" s="159">
        <f>'Monthly Prices'!B646</f>
        <v>102.52249999999999</v>
      </c>
      <c r="R658" s="159">
        <f t="shared" si="180"/>
        <v>104.07749749758752</v>
      </c>
      <c r="S658" s="155">
        <f>_xlfn.XLOOKUP(P658,'Annual Real'!A:A,'Annual Real'!B:B,0,0)</f>
        <v>94.8794037284284</v>
      </c>
      <c r="T658" s="155">
        <f t="shared" ca="1" si="181"/>
        <v>1.3126752856483992</v>
      </c>
      <c r="U658" s="152">
        <f t="shared" ca="1" si="182"/>
        <v>1.3126752856483992</v>
      </c>
      <c r="V658" s="152" t="b">
        <f t="shared" si="188"/>
        <v>0</v>
      </c>
      <c r="W658" s="152" t="b">
        <f t="shared" si="189"/>
        <v>0</v>
      </c>
      <c r="X658" s="154">
        <f>LOOKUP(D658,'US Implicit Deflator'!A:A,'US Implicit Deflator'!B:B)/100</f>
        <v>1.4999999999999999E-2</v>
      </c>
      <c r="Y658" s="154">
        <f t="shared" si="183"/>
        <v>1.2414877164492744E-3</v>
      </c>
      <c r="Z658" s="165">
        <f t="shared" ca="1" si="184"/>
        <v>5.2021952406431495</v>
      </c>
      <c r="AA658" s="152">
        <f t="shared" si="185"/>
        <v>7</v>
      </c>
      <c r="AB658" s="153">
        <f t="shared" si="186"/>
        <v>41334</v>
      </c>
      <c r="AC658" s="155">
        <f t="shared" ca="1" si="187"/>
        <v>1.3126752856483992</v>
      </c>
    </row>
    <row r="659" spans="3:29">
      <c r="C659" s="152" t="str">
        <f>'Monthly Prices'!A647</f>
        <v>2013M04</v>
      </c>
      <c r="D659" s="153">
        <f t="shared" si="176"/>
        <v>41365</v>
      </c>
      <c r="E659" s="152">
        <f t="shared" si="177"/>
        <v>640</v>
      </c>
      <c r="F659" s="152" t="b">
        <f t="shared" si="171"/>
        <v>1</v>
      </c>
      <c r="G659" s="152" t="b">
        <f t="shared" si="172"/>
        <v>0</v>
      </c>
      <c r="H659" s="152" t="b">
        <f t="shared" si="173"/>
        <v>0</v>
      </c>
      <c r="I659" s="153" t="e">
        <f t="shared" si="174"/>
        <v>#N/A</v>
      </c>
      <c r="J659" s="158">
        <f>INDEX('Monthly Prices'!B647:CB647,$G$4)</f>
        <v>279.90647999999999</v>
      </c>
      <c r="K659" s="158" t="b">
        <f>IF(H659,INDEX('Monthly Prices'!B647:CB647,$G$4)*U659,FALSE)</f>
        <v>0</v>
      </c>
      <c r="L659" s="152" t="b">
        <f t="shared" si="178"/>
        <v>1</v>
      </c>
      <c r="M659" s="158">
        <f>INDEX('Monthly Prices'!B647:CB647,$G$5)</f>
        <v>229.64791666667</v>
      </c>
      <c r="N659" s="158" t="b">
        <f>IF(H659,INDEX('Monthly Prices'!B647:CB647,$G$5)*U659,FALSE)</f>
        <v>0</v>
      </c>
      <c r="O659" s="152" t="b">
        <f t="shared" si="175"/>
        <v>1</v>
      </c>
      <c r="P659" s="152">
        <f t="shared" si="179"/>
        <v>2013</v>
      </c>
      <c r="Q659" s="159">
        <f>'Monthly Prices'!B647</f>
        <v>98.851969696970002</v>
      </c>
      <c r="R659" s="159">
        <f t="shared" si="180"/>
        <v>104.07749749758752</v>
      </c>
      <c r="S659" s="155">
        <f>_xlfn.XLOOKUP(P659,'Annual Real'!A:A,'Annual Real'!B:B,0,0)</f>
        <v>94.8794037284284</v>
      </c>
      <c r="T659" s="155">
        <f t="shared" ca="1" si="181"/>
        <v>1.3112631449574315</v>
      </c>
      <c r="U659" s="152">
        <f t="shared" ca="1" si="182"/>
        <v>1.3112631449574315</v>
      </c>
      <c r="V659" s="152" t="b">
        <f t="shared" si="188"/>
        <v>0</v>
      </c>
      <c r="W659" s="152" t="b">
        <f t="shared" si="189"/>
        <v>0</v>
      </c>
      <c r="X659" s="154">
        <f>LOOKUP(D659,'US Implicit Deflator'!A:A,'US Implicit Deflator'!B:B)/100</f>
        <v>1.3000000000000001E-2</v>
      </c>
      <c r="Y659" s="154">
        <f t="shared" si="183"/>
        <v>1.0769315803607071E-3</v>
      </c>
      <c r="Z659" s="165">
        <f t="shared" ca="1" si="184"/>
        <v>5.2077976489850002</v>
      </c>
      <c r="AA659" s="152">
        <f t="shared" si="185"/>
        <v>7</v>
      </c>
      <c r="AB659" s="153">
        <f t="shared" si="186"/>
        <v>41365</v>
      </c>
      <c r="AC659" s="155">
        <f t="shared" ca="1" si="187"/>
        <v>1.3112631449574315</v>
      </c>
    </row>
    <row r="660" spans="3:29">
      <c r="C660" s="152" t="str">
        <f>'Monthly Prices'!A648</f>
        <v>2013M05</v>
      </c>
      <c r="D660" s="153">
        <f t="shared" si="176"/>
        <v>41395</v>
      </c>
      <c r="E660" s="152">
        <f t="shared" si="177"/>
        <v>641</v>
      </c>
      <c r="F660" s="152" t="b">
        <f t="shared" ref="F660:F723" si="190">AND(E660&gt;=$M$4,L660)</f>
        <v>1</v>
      </c>
      <c r="G660" s="152" t="b">
        <f t="shared" ref="G660:G723" si="191">AND(E660&lt;=$M$5,O660)</f>
        <v>0</v>
      </c>
      <c r="H660" s="152" t="b">
        <f t="shared" ref="H660:H723" si="192">AND(F660:G660)</f>
        <v>0</v>
      </c>
      <c r="I660" s="153" t="e">
        <f t="shared" ref="I660:I723" si="193">IF(H660,D660,NA)</f>
        <v>#N/A</v>
      </c>
      <c r="J660" s="158">
        <f>INDEX('Monthly Prices'!B648:CB648,$G$4)</f>
        <v>295.5375444</v>
      </c>
      <c r="K660" s="158" t="b">
        <f>IF(H660,INDEX('Monthly Prices'!B648:CB648,$G$4)*U660,FALSE)</f>
        <v>0</v>
      </c>
      <c r="L660" s="152" t="b">
        <f t="shared" si="178"/>
        <v>1</v>
      </c>
      <c r="M660" s="158">
        <f>INDEX('Monthly Prices'!B648:CB648,$G$5)</f>
        <v>231.48509999999999</v>
      </c>
      <c r="N660" s="158" t="b">
        <f>IF(H660,INDEX('Monthly Prices'!B648:CB648,$G$5)*U660,FALSE)</f>
        <v>0</v>
      </c>
      <c r="O660" s="152" t="b">
        <f t="shared" ref="O660:O723" si="194">AND(ISNUMBER(M660),M660&gt;0)</f>
        <v>1</v>
      </c>
      <c r="P660" s="152">
        <f t="shared" si="179"/>
        <v>2013</v>
      </c>
      <c r="Q660" s="159">
        <f>'Monthly Prices'!B648</f>
        <v>99.366633414890003</v>
      </c>
      <c r="R660" s="159">
        <f t="shared" si="180"/>
        <v>104.07749749758752</v>
      </c>
      <c r="S660" s="155">
        <f>_xlfn.XLOOKUP(P660,'Annual Real'!A:A,'Annual Real'!B:B,0,0)</f>
        <v>94.8794037284284</v>
      </c>
      <c r="T660" s="155">
        <f t="shared" ca="1" si="181"/>
        <v>1.3098525234093568</v>
      </c>
      <c r="U660" s="152">
        <f t="shared" ca="1" si="182"/>
        <v>1.3098525234093568</v>
      </c>
      <c r="V660" s="152" t="b">
        <f t="shared" si="188"/>
        <v>0</v>
      </c>
      <c r="W660" s="152" t="b">
        <f t="shared" si="189"/>
        <v>0</v>
      </c>
      <c r="X660" s="154">
        <f>LOOKUP(D660,'US Implicit Deflator'!A:A,'US Implicit Deflator'!B:B)/100</f>
        <v>1.3000000000000001E-2</v>
      </c>
      <c r="Y660" s="154">
        <f t="shared" si="183"/>
        <v>1.0769315803607071E-3</v>
      </c>
      <c r="Z660" s="165">
        <f t="shared" ca="1" si="184"/>
        <v>5.2134060907373208</v>
      </c>
      <c r="AA660" s="152">
        <f t="shared" si="185"/>
        <v>7</v>
      </c>
      <c r="AB660" s="153">
        <f t="shared" si="186"/>
        <v>41395</v>
      </c>
      <c r="AC660" s="155">
        <f t="shared" ca="1" si="187"/>
        <v>1.3098525234093568</v>
      </c>
    </row>
    <row r="661" spans="3:29">
      <c r="C661" s="152" t="str">
        <f>'Monthly Prices'!A649</f>
        <v>2013M06</v>
      </c>
      <c r="D661" s="153">
        <f t="shared" ref="D661:D724" si="195">EDATE(D660,1)</f>
        <v>41426</v>
      </c>
      <c r="E661" s="152">
        <f t="shared" ref="E661:E724" si="196">E660+1</f>
        <v>642</v>
      </c>
      <c r="F661" s="152" t="b">
        <f t="shared" si="190"/>
        <v>1</v>
      </c>
      <c r="G661" s="152" t="b">
        <f t="shared" si="191"/>
        <v>0</v>
      </c>
      <c r="H661" s="152" t="b">
        <f t="shared" si="192"/>
        <v>0</v>
      </c>
      <c r="I661" s="153" t="e">
        <f t="shared" si="193"/>
        <v>#N/A</v>
      </c>
      <c r="J661" s="158">
        <f>INDEX('Monthly Prices'!B649:CB649,$G$4)</f>
        <v>298.40944000000002</v>
      </c>
      <c r="K661" s="158" t="b">
        <f>IF(H661,INDEX('Monthly Prices'!B649:CB649,$G$4)*U661,FALSE)</f>
        <v>0</v>
      </c>
      <c r="L661" s="152" t="b">
        <f t="shared" ref="L661:L724" si="197">ISNUMBER(J661)</f>
        <v>1</v>
      </c>
      <c r="M661" s="158">
        <f>INDEX('Monthly Prices'!B649:CB649,$G$5)</f>
        <v>229.64791666667</v>
      </c>
      <c r="N661" s="158" t="b">
        <f>IF(H661,INDEX('Monthly Prices'!B649:CB649,$G$5)*U661,FALSE)</f>
        <v>0</v>
      </c>
      <c r="O661" s="152" t="b">
        <f t="shared" si="194"/>
        <v>1</v>
      </c>
      <c r="P661" s="152">
        <f t="shared" ref="P661:P724" si="198">YEAR(D661)</f>
        <v>2013</v>
      </c>
      <c r="Q661" s="159">
        <f>'Monthly Prices'!B649</f>
        <v>99.742666666670004</v>
      </c>
      <c r="R661" s="159">
        <f t="shared" ref="R661:R724" si="199">AVERAGEIF(P:P,P661,Q:Q)</f>
        <v>104.07749749758752</v>
      </c>
      <c r="S661" s="155">
        <f>_xlfn.XLOOKUP(P661,'Annual Real'!A:A,'Annual Real'!B:B,0,0)</f>
        <v>94.8794037284284</v>
      </c>
      <c r="T661" s="155">
        <f t="shared" ref="T661:T724" ca="1" si="200">AC661</f>
        <v>1.3084434193699219</v>
      </c>
      <c r="U661" s="152">
        <f t="shared" ref="U661:U724" ca="1" si="201">IF($U$19,T661,1)</f>
        <v>1.3084434193699219</v>
      </c>
      <c r="V661" s="152" t="b">
        <f t="shared" si="188"/>
        <v>0</v>
      </c>
      <c r="W661" s="152" t="b">
        <f t="shared" si="189"/>
        <v>0</v>
      </c>
      <c r="X661" s="154">
        <f>LOOKUP(D661,'US Implicit Deflator'!A:A,'US Implicit Deflator'!B:B)/100</f>
        <v>1.3000000000000001E-2</v>
      </c>
      <c r="Y661" s="154">
        <f t="shared" ref="Y661:Y724" si="202">(1+X661)^(1/12)-1</f>
        <v>1.0769315803607071E-3</v>
      </c>
      <c r="Z661" s="165">
        <f t="shared" ref="Z661:Z724" ca="1" si="203">Z660*(1+Y661)</f>
        <v>5.2190205723976808</v>
      </c>
      <c r="AA661" s="152">
        <f t="shared" ref="AA661:AA724" si="204">LEN(C661)</f>
        <v>7</v>
      </c>
      <c r="AB661" s="153">
        <f t="shared" ref="AB661:AB724" si="205">IF(AA661&gt;2,D661,0)</f>
        <v>41426</v>
      </c>
      <c r="AC661" s="155">
        <f t="shared" ref="AC661:AC724" ca="1" si="206">$AC$17/Z661</f>
        <v>1.3084434193699219</v>
      </c>
    </row>
    <row r="662" spans="3:29">
      <c r="C662" s="152" t="str">
        <f>'Monthly Prices'!A650</f>
        <v>2013M07</v>
      </c>
      <c r="D662" s="153">
        <f t="shared" si="195"/>
        <v>41456</v>
      </c>
      <c r="E662" s="152">
        <f t="shared" si="196"/>
        <v>643</v>
      </c>
      <c r="F662" s="152" t="b">
        <f t="shared" si="190"/>
        <v>1</v>
      </c>
      <c r="G662" s="152" t="b">
        <f t="shared" si="191"/>
        <v>0</v>
      </c>
      <c r="H662" s="152" t="b">
        <f t="shared" si="192"/>
        <v>0</v>
      </c>
      <c r="I662" s="153" t="e">
        <f t="shared" si="193"/>
        <v>#N/A</v>
      </c>
      <c r="J662" s="158">
        <f>INDEX('Monthly Prices'!B650:CB650,$G$4)</f>
        <v>279.51280000000003</v>
      </c>
      <c r="K662" s="158" t="b">
        <f>IF(H662,INDEX('Monthly Prices'!B650:CB650,$G$4)*U662,FALSE)</f>
        <v>0</v>
      </c>
      <c r="L662" s="152" t="b">
        <f t="shared" si="197"/>
        <v>1</v>
      </c>
      <c r="M662" s="158">
        <f>INDEX('Monthly Prices'!B650:CB650,$G$5)</f>
        <v>214.03185833333001</v>
      </c>
      <c r="N662" s="158" t="b">
        <f>IF(H662,INDEX('Monthly Prices'!B650:CB650,$G$5)*U662,FALSE)</f>
        <v>0</v>
      </c>
      <c r="O662" s="152" t="b">
        <f t="shared" si="194"/>
        <v>1</v>
      </c>
      <c r="P662" s="152">
        <f t="shared" si="198"/>
        <v>2013</v>
      </c>
      <c r="Q662" s="159">
        <f>'Monthly Prices'!B650</f>
        <v>105.25790513834001</v>
      </c>
      <c r="R662" s="159">
        <f t="shared" si="199"/>
        <v>104.07749749758752</v>
      </c>
      <c r="S662" s="155">
        <f>_xlfn.XLOOKUP(P662,'Annual Real'!A:A,'Annual Real'!B:B,0,0)</f>
        <v>94.8794037284284</v>
      </c>
      <c r="T662" s="155">
        <f t="shared" ca="1" si="200"/>
        <v>1.3070358312066326</v>
      </c>
      <c r="U662" s="152">
        <f t="shared" ca="1" si="201"/>
        <v>1.3070358312066326</v>
      </c>
      <c r="V662" s="152" t="b">
        <f t="shared" ref="V662:V725" si="207">IF(AND(H661,H662),LN(K662/K661))</f>
        <v>0</v>
      </c>
      <c r="W662" s="152" t="b">
        <f t="shared" ref="W662:W725" si="208">IF(AND($H661,$H662),LN(N662/N661))</f>
        <v>0</v>
      </c>
      <c r="X662" s="154">
        <f>LOOKUP(D662,'US Implicit Deflator'!A:A,'US Implicit Deflator'!B:B)/100</f>
        <v>1.3000000000000001E-2</v>
      </c>
      <c r="Y662" s="154">
        <f t="shared" si="202"/>
        <v>1.0769315803607071E-3</v>
      </c>
      <c r="Z662" s="165">
        <f t="shared" ca="1" si="203"/>
        <v>5.2246411004706479</v>
      </c>
      <c r="AA662" s="152">
        <f t="shared" si="204"/>
        <v>7</v>
      </c>
      <c r="AB662" s="153">
        <f t="shared" si="205"/>
        <v>41456</v>
      </c>
      <c r="AC662" s="155">
        <f t="shared" ca="1" si="206"/>
        <v>1.3070358312066326</v>
      </c>
    </row>
    <row r="663" spans="3:29">
      <c r="C663" s="152" t="str">
        <f>'Monthly Prices'!A651</f>
        <v>2013M08</v>
      </c>
      <c r="D663" s="153">
        <f t="shared" si="195"/>
        <v>41487</v>
      </c>
      <c r="E663" s="152">
        <f t="shared" si="196"/>
        <v>644</v>
      </c>
      <c r="F663" s="152" t="b">
        <f t="shared" si="190"/>
        <v>1</v>
      </c>
      <c r="G663" s="152" t="b">
        <f t="shared" si="191"/>
        <v>0</v>
      </c>
      <c r="H663" s="152" t="b">
        <f t="shared" si="192"/>
        <v>0</v>
      </c>
      <c r="I663" s="153" t="e">
        <f t="shared" si="193"/>
        <v>#N/A</v>
      </c>
      <c r="J663" s="158">
        <f>INDEX('Monthly Prices'!B651:CB651,$G$4)</f>
        <v>238.73560454546001</v>
      </c>
      <c r="K663" s="158" t="b">
        <f>IF(H663,INDEX('Monthly Prices'!B651:CB651,$G$4)*U663,FALSE)</f>
        <v>0</v>
      </c>
      <c r="L663" s="152" t="b">
        <f t="shared" si="197"/>
        <v>1</v>
      </c>
      <c r="M663" s="158">
        <f>INDEX('Monthly Prices'!B651:CB651,$G$5)</f>
        <v>185.09622083332999</v>
      </c>
      <c r="N663" s="158" t="b">
        <f>IF(H663,INDEX('Monthly Prices'!B651:CB651,$G$5)*U663,FALSE)</f>
        <v>0</v>
      </c>
      <c r="O663" s="152" t="b">
        <f t="shared" si="194"/>
        <v>1</v>
      </c>
      <c r="P663" s="152">
        <f t="shared" si="198"/>
        <v>2013</v>
      </c>
      <c r="Q663" s="159">
        <f>'Monthly Prices'!B651</f>
        <v>108.15763636363999</v>
      </c>
      <c r="R663" s="159">
        <f t="shared" si="199"/>
        <v>104.07749749758752</v>
      </c>
      <c r="S663" s="155">
        <f>_xlfn.XLOOKUP(P663,'Annual Real'!A:A,'Annual Real'!B:B,0,0)</f>
        <v>94.8794037284284</v>
      </c>
      <c r="T663" s="155">
        <f t="shared" ca="1" si="200"/>
        <v>1.3056297572887496</v>
      </c>
      <c r="U663" s="152">
        <f t="shared" ca="1" si="201"/>
        <v>1.3056297572887496</v>
      </c>
      <c r="V663" s="152" t="b">
        <f t="shared" si="207"/>
        <v>0</v>
      </c>
      <c r="W663" s="152" t="b">
        <f t="shared" si="208"/>
        <v>0</v>
      </c>
      <c r="X663" s="154">
        <f>LOOKUP(D663,'US Implicit Deflator'!A:A,'US Implicit Deflator'!B:B)/100</f>
        <v>1.3000000000000001E-2</v>
      </c>
      <c r="Y663" s="154">
        <f t="shared" si="202"/>
        <v>1.0769315803607071E-3</v>
      </c>
      <c r="Z663" s="165">
        <f t="shared" ca="1" si="203"/>
        <v>5.2302676814677955</v>
      </c>
      <c r="AA663" s="152">
        <f t="shared" si="204"/>
        <v>7</v>
      </c>
      <c r="AB663" s="153">
        <f t="shared" si="205"/>
        <v>41487</v>
      </c>
      <c r="AC663" s="155">
        <f t="shared" ca="1" si="206"/>
        <v>1.3056297572887496</v>
      </c>
    </row>
    <row r="664" spans="3:29">
      <c r="C664" s="152" t="str">
        <f>'Monthly Prices'!A652</f>
        <v>2013M09</v>
      </c>
      <c r="D664" s="153">
        <f t="shared" si="195"/>
        <v>41518</v>
      </c>
      <c r="E664" s="152">
        <f t="shared" si="196"/>
        <v>645</v>
      </c>
      <c r="F664" s="152" t="b">
        <f t="shared" si="190"/>
        <v>1</v>
      </c>
      <c r="G664" s="152" t="b">
        <f t="shared" si="191"/>
        <v>0</v>
      </c>
      <c r="H664" s="152" t="b">
        <f t="shared" si="192"/>
        <v>0</v>
      </c>
      <c r="I664" s="153" t="e">
        <f t="shared" si="193"/>
        <v>#N/A</v>
      </c>
      <c r="J664" s="158">
        <f>INDEX('Monthly Prices'!B652:CB652,$G$4)</f>
        <v>207.40538699999999</v>
      </c>
      <c r="K664" s="158" t="b">
        <f>IF(H664,INDEX('Monthly Prices'!B652:CB652,$G$4)*U664,FALSE)</f>
        <v>0</v>
      </c>
      <c r="L664" s="152" t="b">
        <f t="shared" si="197"/>
        <v>1</v>
      </c>
      <c r="M664" s="158">
        <f>INDEX('Monthly Prices'!B652:CB652,$G$5)</f>
        <v>159.83494999999999</v>
      </c>
      <c r="N664" s="158" t="b">
        <f>IF(H664,INDEX('Monthly Prices'!B652:CB652,$G$5)*U664,FALSE)</f>
        <v>0</v>
      </c>
      <c r="O664" s="152" t="b">
        <f t="shared" si="194"/>
        <v>1</v>
      </c>
      <c r="P664" s="152">
        <f t="shared" si="198"/>
        <v>2013</v>
      </c>
      <c r="Q664" s="159">
        <f>'Monthly Prices'!B652</f>
        <v>108.75773015873</v>
      </c>
      <c r="R664" s="159">
        <f t="shared" si="199"/>
        <v>104.07749749758752</v>
      </c>
      <c r="S664" s="155">
        <f>_xlfn.XLOOKUP(P664,'Annual Real'!A:A,'Annual Real'!B:B,0,0)</f>
        <v>94.8794037284284</v>
      </c>
      <c r="T664" s="155">
        <f t="shared" ca="1" si="200"/>
        <v>1.3042251959872886</v>
      </c>
      <c r="U664" s="152">
        <f t="shared" ca="1" si="201"/>
        <v>1.3042251959872886</v>
      </c>
      <c r="V664" s="152" t="b">
        <f t="shared" si="207"/>
        <v>0</v>
      </c>
      <c r="W664" s="152" t="b">
        <f t="shared" si="208"/>
        <v>0</v>
      </c>
      <c r="X664" s="154">
        <f>LOOKUP(D664,'US Implicit Deflator'!A:A,'US Implicit Deflator'!B:B)/100</f>
        <v>1.3000000000000001E-2</v>
      </c>
      <c r="Y664" s="154">
        <f t="shared" si="202"/>
        <v>1.0769315803607071E-3</v>
      </c>
      <c r="Z664" s="165">
        <f t="shared" ca="1" si="203"/>
        <v>5.2359003219077085</v>
      </c>
      <c r="AA664" s="152">
        <f t="shared" si="204"/>
        <v>7</v>
      </c>
      <c r="AB664" s="153">
        <f t="shared" si="205"/>
        <v>41518</v>
      </c>
      <c r="AC664" s="155">
        <f t="shared" ca="1" si="206"/>
        <v>1.3042251959872886</v>
      </c>
    </row>
    <row r="665" spans="3:29">
      <c r="C665" s="152" t="str">
        <f>'Monthly Prices'!A653</f>
        <v>2013M10</v>
      </c>
      <c r="D665" s="153">
        <f t="shared" si="195"/>
        <v>41548</v>
      </c>
      <c r="E665" s="152">
        <f t="shared" si="196"/>
        <v>646</v>
      </c>
      <c r="F665" s="152" t="b">
        <f t="shared" si="190"/>
        <v>1</v>
      </c>
      <c r="G665" s="152" t="b">
        <f t="shared" si="191"/>
        <v>0</v>
      </c>
      <c r="H665" s="152" t="b">
        <f t="shared" si="192"/>
        <v>0</v>
      </c>
      <c r="I665" s="153" t="e">
        <f t="shared" si="193"/>
        <v>#N/A</v>
      </c>
      <c r="J665" s="158">
        <f>INDEX('Monthly Prices'!B653:CB653,$G$4)</f>
        <v>201.72521090909001</v>
      </c>
      <c r="K665" s="158" t="b">
        <f>IF(H665,INDEX('Monthly Prices'!B653:CB653,$G$4)*U665,FALSE)</f>
        <v>0</v>
      </c>
      <c r="L665" s="152" t="b">
        <f t="shared" si="197"/>
        <v>1</v>
      </c>
      <c r="M665" s="158">
        <f>INDEX('Monthly Prices'!B653:CB653,$G$5)</f>
        <v>155.70128750000001</v>
      </c>
      <c r="N665" s="158" t="b">
        <f>IF(H665,INDEX('Monthly Prices'!B653:CB653,$G$5)*U665,FALSE)</f>
        <v>0</v>
      </c>
      <c r="O665" s="152" t="b">
        <f t="shared" si="194"/>
        <v>1</v>
      </c>
      <c r="P665" s="152">
        <f t="shared" si="198"/>
        <v>2013</v>
      </c>
      <c r="Q665" s="159">
        <f>'Monthly Prices'!B653</f>
        <v>105.42713438734999</v>
      </c>
      <c r="R665" s="159">
        <f t="shared" si="199"/>
        <v>104.07749749758752</v>
      </c>
      <c r="S665" s="155">
        <f>_xlfn.XLOOKUP(P665,'Annual Real'!A:A,'Annual Real'!B:B,0,0)</f>
        <v>94.8794037284284</v>
      </c>
      <c r="T665" s="155">
        <f t="shared" ca="1" si="200"/>
        <v>1.3025011346886062</v>
      </c>
      <c r="U665" s="152">
        <f t="shared" ca="1" si="201"/>
        <v>1.3025011346886062</v>
      </c>
      <c r="V665" s="152" t="b">
        <f t="shared" si="207"/>
        <v>0</v>
      </c>
      <c r="W665" s="152" t="b">
        <f t="shared" si="208"/>
        <v>0</v>
      </c>
      <c r="X665" s="154">
        <f>LOOKUP(D665,'US Implicit Deflator'!A:A,'US Implicit Deflator'!B:B)/100</f>
        <v>1.6E-2</v>
      </c>
      <c r="Y665" s="154">
        <f t="shared" si="202"/>
        <v>1.323654354508319E-3</v>
      </c>
      <c r="Z665" s="165">
        <f t="shared" ca="1" si="203"/>
        <v>5.2428308441685729</v>
      </c>
      <c r="AA665" s="152">
        <f t="shared" si="204"/>
        <v>7</v>
      </c>
      <c r="AB665" s="153">
        <f t="shared" si="205"/>
        <v>41548</v>
      </c>
      <c r="AC665" s="155">
        <f t="shared" ca="1" si="206"/>
        <v>1.3025011346886062</v>
      </c>
    </row>
    <row r="666" spans="3:29">
      <c r="C666" s="152" t="str">
        <f>'Monthly Prices'!A654</f>
        <v>2013M11</v>
      </c>
      <c r="D666" s="153">
        <f t="shared" si="195"/>
        <v>41579</v>
      </c>
      <c r="E666" s="152">
        <f t="shared" si="196"/>
        <v>647</v>
      </c>
      <c r="F666" s="152" t="b">
        <f t="shared" si="190"/>
        <v>1</v>
      </c>
      <c r="G666" s="152" t="b">
        <f t="shared" si="191"/>
        <v>0</v>
      </c>
      <c r="H666" s="152" t="b">
        <f t="shared" si="192"/>
        <v>0</v>
      </c>
      <c r="I666" s="153" t="e">
        <f t="shared" si="193"/>
        <v>#N/A</v>
      </c>
      <c r="J666" s="158">
        <f>INDEX('Monthly Prices'!B654:CB654,$G$4)</f>
        <v>199.13473999999999</v>
      </c>
      <c r="K666" s="158" t="b">
        <f>IF(H666,INDEX('Monthly Prices'!B654:CB654,$G$4)*U666,FALSE)</f>
        <v>0</v>
      </c>
      <c r="L666" s="152" t="b">
        <f t="shared" si="197"/>
        <v>1</v>
      </c>
      <c r="M666" s="158">
        <f>INDEX('Monthly Prices'!B654:CB654,$G$5)</f>
        <v>158.91635833333001</v>
      </c>
      <c r="N666" s="158" t="b">
        <f>IF(H666,INDEX('Monthly Prices'!B654:CB654,$G$5)*U666,FALSE)</f>
        <v>0</v>
      </c>
      <c r="O666" s="152" t="b">
        <f t="shared" si="194"/>
        <v>1</v>
      </c>
      <c r="P666" s="152">
        <f t="shared" si="198"/>
        <v>2013</v>
      </c>
      <c r="Q666" s="159">
        <f>'Monthly Prices'!B654</f>
        <v>102.62649122806999</v>
      </c>
      <c r="R666" s="159">
        <f t="shared" si="199"/>
        <v>104.07749749758752</v>
      </c>
      <c r="S666" s="155">
        <f>_xlfn.XLOOKUP(P666,'Annual Real'!A:A,'Annual Real'!B:B,0,0)</f>
        <v>94.8794037284284</v>
      </c>
      <c r="T666" s="155">
        <f t="shared" ca="1" si="200"/>
        <v>1.3007793524345017</v>
      </c>
      <c r="U666" s="152">
        <f t="shared" ca="1" si="201"/>
        <v>1.3007793524345017</v>
      </c>
      <c r="V666" s="152" t="b">
        <f t="shared" si="207"/>
        <v>0</v>
      </c>
      <c r="W666" s="152" t="b">
        <f t="shared" si="208"/>
        <v>0</v>
      </c>
      <c r="X666" s="154">
        <f>LOOKUP(D666,'US Implicit Deflator'!A:A,'US Implicit Deflator'!B:B)/100</f>
        <v>1.6E-2</v>
      </c>
      <c r="Y666" s="154">
        <f t="shared" si="202"/>
        <v>1.323654354508319E-3</v>
      </c>
      <c r="Z666" s="165">
        <f t="shared" ca="1" si="203"/>
        <v>5.2497705400454073</v>
      </c>
      <c r="AA666" s="152">
        <f t="shared" si="204"/>
        <v>7</v>
      </c>
      <c r="AB666" s="153">
        <f t="shared" si="205"/>
        <v>41579</v>
      </c>
      <c r="AC666" s="155">
        <f t="shared" ca="1" si="206"/>
        <v>1.3007793524345017</v>
      </c>
    </row>
    <row r="667" spans="3:29">
      <c r="C667" s="152" t="str">
        <f>'Monthly Prices'!A655</f>
        <v>2013M12</v>
      </c>
      <c r="D667" s="153">
        <f t="shared" si="195"/>
        <v>41609</v>
      </c>
      <c r="E667" s="152">
        <f t="shared" si="196"/>
        <v>648</v>
      </c>
      <c r="F667" s="152" t="b">
        <f t="shared" si="190"/>
        <v>1</v>
      </c>
      <c r="G667" s="152" t="b">
        <f t="shared" si="191"/>
        <v>0</v>
      </c>
      <c r="H667" s="152" t="b">
        <f t="shared" si="192"/>
        <v>0</v>
      </c>
      <c r="I667" s="153" t="e">
        <f t="shared" si="193"/>
        <v>#N/A</v>
      </c>
      <c r="J667" s="158">
        <f>INDEX('Monthly Prices'!B655:CB655,$G$4)</f>
        <v>197.39115200000001</v>
      </c>
      <c r="K667" s="158" t="b">
        <f>IF(H667,INDEX('Monthly Prices'!B655:CB655,$G$4)*U667,FALSE)</f>
        <v>0</v>
      </c>
      <c r="L667" s="152" t="b">
        <f t="shared" si="197"/>
        <v>1</v>
      </c>
      <c r="M667" s="158">
        <f>INDEX('Monthly Prices'!B655:CB655,$G$5)</f>
        <v>161.67213333333001</v>
      </c>
      <c r="N667" s="158" t="b">
        <f>IF(H667,INDEX('Monthly Prices'!B655:CB655,$G$5)*U667,FALSE)</f>
        <v>0</v>
      </c>
      <c r="O667" s="152" t="b">
        <f t="shared" si="194"/>
        <v>1</v>
      </c>
      <c r="P667" s="152">
        <f t="shared" si="198"/>
        <v>2013</v>
      </c>
      <c r="Q667" s="159">
        <f>'Monthly Prices'!B655</f>
        <v>105.48165079365</v>
      </c>
      <c r="R667" s="159">
        <f t="shared" si="199"/>
        <v>104.07749749758752</v>
      </c>
      <c r="S667" s="155">
        <f>_xlfn.XLOOKUP(P667,'Annual Real'!A:A,'Annual Real'!B:B,0,0)</f>
        <v>94.8794037284284</v>
      </c>
      <c r="T667" s="155">
        <f t="shared" ca="1" si="200"/>
        <v>1.2990598462122958</v>
      </c>
      <c r="U667" s="152">
        <f t="shared" ca="1" si="201"/>
        <v>1.2990598462122958</v>
      </c>
      <c r="V667" s="152" t="b">
        <f t="shared" si="207"/>
        <v>0</v>
      </c>
      <c r="W667" s="152" t="b">
        <f t="shared" si="208"/>
        <v>0</v>
      </c>
      <c r="X667" s="154">
        <f>LOOKUP(D667,'US Implicit Deflator'!A:A,'US Implicit Deflator'!B:B)/100</f>
        <v>1.6E-2</v>
      </c>
      <c r="Y667" s="154">
        <f t="shared" si="202"/>
        <v>1.323654354508319E-3</v>
      </c>
      <c r="Z667" s="165">
        <f t="shared" ca="1" si="203"/>
        <v>5.2567194216809083</v>
      </c>
      <c r="AA667" s="152">
        <f t="shared" si="204"/>
        <v>7</v>
      </c>
      <c r="AB667" s="153">
        <f t="shared" si="205"/>
        <v>41609</v>
      </c>
      <c r="AC667" s="155">
        <f t="shared" ca="1" si="206"/>
        <v>1.2990598462122958</v>
      </c>
    </row>
    <row r="668" spans="3:29">
      <c r="C668" s="152" t="str">
        <f>'Monthly Prices'!A656</f>
        <v>2014M01</v>
      </c>
      <c r="D668" s="153">
        <f t="shared" si="195"/>
        <v>41640</v>
      </c>
      <c r="E668" s="152">
        <f t="shared" si="196"/>
        <v>649</v>
      </c>
      <c r="F668" s="152" t="b">
        <f t="shared" si="190"/>
        <v>1</v>
      </c>
      <c r="G668" s="152" t="b">
        <f t="shared" si="191"/>
        <v>0</v>
      </c>
      <c r="H668" s="152" t="b">
        <f t="shared" si="192"/>
        <v>0</v>
      </c>
      <c r="I668" s="153" t="e">
        <f t="shared" si="193"/>
        <v>#N/A</v>
      </c>
      <c r="J668" s="158">
        <f>INDEX('Monthly Prices'!B656:CB656,$G$4)</f>
        <v>198.06434479999999</v>
      </c>
      <c r="K668" s="158" t="b">
        <f>IF(H668,INDEX('Monthly Prices'!B656:CB656,$G$4)*U668,FALSE)</f>
        <v>0</v>
      </c>
      <c r="L668" s="152" t="b">
        <f t="shared" si="197"/>
        <v>1</v>
      </c>
      <c r="M668" s="158">
        <f>INDEX('Monthly Prices'!B656:CB656,$G$5)</f>
        <v>167.64297916666999</v>
      </c>
      <c r="N668" s="158" t="b">
        <f>IF(H668,INDEX('Monthly Prices'!B656:CB656,$G$5)*U668,FALSE)</f>
        <v>0</v>
      </c>
      <c r="O668" s="152" t="b">
        <f t="shared" si="194"/>
        <v>1</v>
      </c>
      <c r="P668" s="152">
        <f t="shared" si="198"/>
        <v>2014</v>
      </c>
      <c r="Q668" s="159">
        <f>'Monthly Prices'!B656</f>
        <v>102.09666666667</v>
      </c>
      <c r="R668" s="159">
        <f t="shared" si="199"/>
        <v>96.234999999999999</v>
      </c>
      <c r="S668" s="155">
        <f>_xlfn.XLOOKUP(P668,'Annual Real'!A:A,'Annual Real'!B:B,0,0)</f>
        <v>88.927426008728204</v>
      </c>
      <c r="T668" s="155">
        <f t="shared" ca="1" si="200"/>
        <v>1.2971300209562351</v>
      </c>
      <c r="U668" s="152">
        <f t="shared" ca="1" si="201"/>
        <v>1.2971300209562351</v>
      </c>
      <c r="V668" s="152" t="b">
        <f t="shared" si="207"/>
        <v>0</v>
      </c>
      <c r="W668" s="152" t="b">
        <f t="shared" si="208"/>
        <v>0</v>
      </c>
      <c r="X668" s="154">
        <f>LOOKUP(D668,'US Implicit Deflator'!A:A,'US Implicit Deflator'!B:B)/100</f>
        <v>1.8000000000000002E-2</v>
      </c>
      <c r="Y668" s="154">
        <f t="shared" si="202"/>
        <v>1.4877654706024757E-3</v>
      </c>
      <c r="Z668" s="165">
        <f t="shared" ca="1" si="203"/>
        <v>5.2645401873251307</v>
      </c>
      <c r="AA668" s="152">
        <f t="shared" si="204"/>
        <v>7</v>
      </c>
      <c r="AB668" s="153">
        <f t="shared" si="205"/>
        <v>41640</v>
      </c>
      <c r="AC668" s="155">
        <f t="shared" ca="1" si="206"/>
        <v>1.2971300209562351</v>
      </c>
    </row>
    <row r="669" spans="3:29">
      <c r="C669" s="152" t="str">
        <f>'Monthly Prices'!A657</f>
        <v>2014M02</v>
      </c>
      <c r="D669" s="153">
        <f t="shared" si="195"/>
        <v>41671</v>
      </c>
      <c r="E669" s="152">
        <f t="shared" si="196"/>
        <v>650</v>
      </c>
      <c r="F669" s="152" t="b">
        <f t="shared" si="190"/>
        <v>1</v>
      </c>
      <c r="G669" s="152" t="b">
        <f t="shared" si="191"/>
        <v>0</v>
      </c>
      <c r="H669" s="152" t="b">
        <f t="shared" si="192"/>
        <v>0</v>
      </c>
      <c r="I669" s="153" t="e">
        <f t="shared" si="193"/>
        <v>#N/A</v>
      </c>
      <c r="J669" s="158">
        <f>INDEX('Monthly Prices'!B657:CB657,$G$4)</f>
        <v>209.3235928</v>
      </c>
      <c r="K669" s="158" t="b">
        <f>IF(H669,INDEX('Monthly Prices'!B657:CB657,$G$4)*U669,FALSE)</f>
        <v>0</v>
      </c>
      <c r="L669" s="152" t="b">
        <f t="shared" si="197"/>
        <v>1</v>
      </c>
      <c r="M669" s="158">
        <f>INDEX('Monthly Prices'!B657:CB657,$G$5)</f>
        <v>169.93945833333001</v>
      </c>
      <c r="N669" s="158" t="b">
        <f>IF(H669,INDEX('Monthly Prices'!B657:CB657,$G$5)*U669,FALSE)</f>
        <v>0</v>
      </c>
      <c r="O669" s="152" t="b">
        <f t="shared" si="194"/>
        <v>1</v>
      </c>
      <c r="P669" s="152">
        <f t="shared" si="198"/>
        <v>2014</v>
      </c>
      <c r="Q669" s="159">
        <f>'Monthly Prices'!B657</f>
        <v>104.82666666666999</v>
      </c>
      <c r="R669" s="159">
        <f t="shared" si="199"/>
        <v>96.234999999999999</v>
      </c>
      <c r="S669" s="155">
        <f>_xlfn.XLOOKUP(P669,'Annual Real'!A:A,'Annual Real'!B:B,0,0)</f>
        <v>88.927426008728204</v>
      </c>
      <c r="T669" s="155">
        <f t="shared" ca="1" si="200"/>
        <v>1.2952030625623363</v>
      </c>
      <c r="U669" s="152">
        <f t="shared" ca="1" si="201"/>
        <v>1.2952030625623363</v>
      </c>
      <c r="V669" s="152" t="b">
        <f t="shared" si="207"/>
        <v>0</v>
      </c>
      <c r="W669" s="152" t="b">
        <f t="shared" si="208"/>
        <v>0</v>
      </c>
      <c r="X669" s="154">
        <f>LOOKUP(D669,'US Implicit Deflator'!A:A,'US Implicit Deflator'!B:B)/100</f>
        <v>1.8000000000000002E-2</v>
      </c>
      <c r="Y669" s="154">
        <f t="shared" si="202"/>
        <v>1.4877654706024757E-3</v>
      </c>
      <c r="Z669" s="165">
        <f t="shared" ca="1" si="203"/>
        <v>5.2723725884344326</v>
      </c>
      <c r="AA669" s="152">
        <f t="shared" si="204"/>
        <v>7</v>
      </c>
      <c r="AB669" s="153">
        <f t="shared" si="205"/>
        <v>41671</v>
      </c>
      <c r="AC669" s="155">
        <f t="shared" ca="1" si="206"/>
        <v>1.2952030625623363</v>
      </c>
    </row>
    <row r="670" spans="3:29">
      <c r="C670" s="152" t="str">
        <f>'Monthly Prices'!A658</f>
        <v>2014M03</v>
      </c>
      <c r="D670" s="153">
        <f t="shared" si="195"/>
        <v>41699</v>
      </c>
      <c r="E670" s="152">
        <f t="shared" si="196"/>
        <v>651</v>
      </c>
      <c r="F670" s="152" t="b">
        <f t="shared" si="190"/>
        <v>1</v>
      </c>
      <c r="G670" s="152" t="b">
        <f t="shared" si="191"/>
        <v>0</v>
      </c>
      <c r="H670" s="152" t="b">
        <f t="shared" si="192"/>
        <v>0</v>
      </c>
      <c r="I670" s="153" t="e">
        <f t="shared" si="193"/>
        <v>#N/A</v>
      </c>
      <c r="J670" s="158">
        <f>INDEX('Monthly Prices'!B658:CB658,$G$4)</f>
        <v>222.33078</v>
      </c>
      <c r="K670" s="158" t="b">
        <f>IF(H670,INDEX('Monthly Prices'!B658:CB658,$G$4)*U670,FALSE)</f>
        <v>0</v>
      </c>
      <c r="L670" s="152" t="b">
        <f t="shared" si="197"/>
        <v>1</v>
      </c>
      <c r="M670" s="158">
        <f>INDEX('Monthly Prices'!B658:CB658,$G$5)</f>
        <v>177.74748750000001</v>
      </c>
      <c r="N670" s="158" t="b">
        <f>IF(H670,INDEX('Monthly Prices'!B658:CB658,$G$5)*U670,FALSE)</f>
        <v>0</v>
      </c>
      <c r="O670" s="152" t="b">
        <f t="shared" si="194"/>
        <v>1</v>
      </c>
      <c r="P670" s="152">
        <f t="shared" si="198"/>
        <v>2014</v>
      </c>
      <c r="Q670" s="159">
        <f>'Monthly Prices'!B658</f>
        <v>104.04</v>
      </c>
      <c r="R670" s="159">
        <f t="shared" si="199"/>
        <v>96.234999999999999</v>
      </c>
      <c r="S670" s="155">
        <f>_xlfn.XLOOKUP(P670,'Annual Real'!A:A,'Annual Real'!B:B,0,0)</f>
        <v>88.927426008728204</v>
      </c>
      <c r="T670" s="155">
        <f t="shared" ca="1" si="200"/>
        <v>1.2932789667717168</v>
      </c>
      <c r="U670" s="152">
        <f t="shared" ca="1" si="201"/>
        <v>1.2932789667717168</v>
      </c>
      <c r="V670" s="152" t="b">
        <f t="shared" si="207"/>
        <v>0</v>
      </c>
      <c r="W670" s="152" t="b">
        <f t="shared" si="208"/>
        <v>0</v>
      </c>
      <c r="X670" s="154">
        <f>LOOKUP(D670,'US Implicit Deflator'!A:A,'US Implicit Deflator'!B:B)/100</f>
        <v>1.8000000000000002E-2</v>
      </c>
      <c r="Y670" s="154">
        <f t="shared" si="202"/>
        <v>1.4877654706024757E-3</v>
      </c>
      <c r="Z670" s="165">
        <f t="shared" ca="1" si="203"/>
        <v>5.2802166423196564</v>
      </c>
      <c r="AA670" s="152">
        <f t="shared" si="204"/>
        <v>7</v>
      </c>
      <c r="AB670" s="153">
        <f t="shared" si="205"/>
        <v>41699</v>
      </c>
      <c r="AC670" s="155">
        <f t="shared" ca="1" si="206"/>
        <v>1.2932789667717168</v>
      </c>
    </row>
    <row r="671" spans="3:29">
      <c r="C671" s="152" t="str">
        <f>'Monthly Prices'!A659</f>
        <v>2014M04</v>
      </c>
      <c r="D671" s="153">
        <f t="shared" si="195"/>
        <v>41730</v>
      </c>
      <c r="E671" s="152">
        <f t="shared" si="196"/>
        <v>652</v>
      </c>
      <c r="F671" s="152" t="b">
        <f t="shared" si="190"/>
        <v>1</v>
      </c>
      <c r="G671" s="152" t="b">
        <f t="shared" si="191"/>
        <v>0</v>
      </c>
      <c r="H671" s="152" t="b">
        <f t="shared" si="192"/>
        <v>0</v>
      </c>
      <c r="I671" s="153" t="e">
        <f t="shared" si="193"/>
        <v>#N/A</v>
      </c>
      <c r="J671" s="158">
        <f>INDEX('Monthly Prices'!B659:CB659,$G$4)</f>
        <v>222.3583376</v>
      </c>
      <c r="K671" s="158" t="b">
        <f>IF(H671,INDEX('Monthly Prices'!B659:CB659,$G$4)*U671,FALSE)</f>
        <v>0</v>
      </c>
      <c r="L671" s="152" t="b">
        <f t="shared" si="197"/>
        <v>1</v>
      </c>
      <c r="M671" s="158">
        <f>INDEX('Monthly Prices'!B659:CB659,$G$5)</f>
        <v>181.42185416666999</v>
      </c>
      <c r="N671" s="158" t="b">
        <f>IF(H671,INDEX('Monthly Prices'!B659:CB659,$G$5)*U671,FALSE)</f>
        <v>0</v>
      </c>
      <c r="O671" s="152" t="b">
        <f t="shared" si="194"/>
        <v>1</v>
      </c>
      <c r="P671" s="152">
        <f t="shared" si="198"/>
        <v>2014</v>
      </c>
      <c r="Q671" s="159">
        <f>'Monthly Prices'!B659</f>
        <v>104.86666666667</v>
      </c>
      <c r="R671" s="159">
        <f t="shared" si="199"/>
        <v>96.234999999999999</v>
      </c>
      <c r="S671" s="155">
        <f>_xlfn.XLOOKUP(P671,'Annual Real'!A:A,'Annual Real'!B:B,0,0)</f>
        <v>88.927426008728204</v>
      </c>
      <c r="T671" s="155">
        <f t="shared" ca="1" si="200"/>
        <v>1.2910411034510876</v>
      </c>
      <c r="U671" s="152">
        <f t="shared" ca="1" si="201"/>
        <v>1.2910411034510876</v>
      </c>
      <c r="V671" s="152" t="b">
        <f t="shared" si="207"/>
        <v>0</v>
      </c>
      <c r="W671" s="152" t="b">
        <f t="shared" si="208"/>
        <v>0</v>
      </c>
      <c r="X671" s="154">
        <f>LOOKUP(D671,'US Implicit Deflator'!A:A,'US Implicit Deflator'!B:B)/100</f>
        <v>2.1000000000000001E-2</v>
      </c>
      <c r="Y671" s="154">
        <f t="shared" si="202"/>
        <v>1.73337883251512E-3</v>
      </c>
      <c r="Z671" s="165">
        <f t="shared" ca="1" si="203"/>
        <v>5.2893692580785476</v>
      </c>
      <c r="AA671" s="152">
        <f t="shared" si="204"/>
        <v>7</v>
      </c>
      <c r="AB671" s="153">
        <f t="shared" si="205"/>
        <v>41730</v>
      </c>
      <c r="AC671" s="155">
        <f t="shared" ca="1" si="206"/>
        <v>1.2910411034510876</v>
      </c>
    </row>
    <row r="672" spans="3:29">
      <c r="C672" s="152" t="str">
        <f>'Monthly Prices'!A660</f>
        <v>2014M05</v>
      </c>
      <c r="D672" s="153">
        <f t="shared" si="195"/>
        <v>41760</v>
      </c>
      <c r="E672" s="152">
        <f t="shared" si="196"/>
        <v>653</v>
      </c>
      <c r="F672" s="152" t="b">
        <f t="shared" si="190"/>
        <v>1</v>
      </c>
      <c r="G672" s="152" t="b">
        <f t="shared" si="191"/>
        <v>0</v>
      </c>
      <c r="H672" s="152" t="b">
        <f t="shared" si="192"/>
        <v>0</v>
      </c>
      <c r="I672" s="153" t="e">
        <f t="shared" si="193"/>
        <v>#N/A</v>
      </c>
      <c r="J672" s="158">
        <f>INDEX('Monthly Prices'!B660:CB660,$G$4)</f>
        <v>217.29561279999999</v>
      </c>
      <c r="K672" s="158" t="b">
        <f>IF(H672,INDEX('Monthly Prices'!B660:CB660,$G$4)*U672,FALSE)</f>
        <v>0</v>
      </c>
      <c r="L672" s="152" t="b">
        <f t="shared" si="197"/>
        <v>1</v>
      </c>
      <c r="M672" s="158">
        <f>INDEX('Monthly Prices'!B660:CB660,$G$5)</f>
        <v>181.88114999999999</v>
      </c>
      <c r="N672" s="158" t="b">
        <f>IF(H672,INDEX('Monthly Prices'!B660:CB660,$G$5)*U672,FALSE)</f>
        <v>0</v>
      </c>
      <c r="O672" s="152" t="b">
        <f t="shared" si="194"/>
        <v>1</v>
      </c>
      <c r="P672" s="152">
        <f t="shared" si="198"/>
        <v>2014</v>
      </c>
      <c r="Q672" s="159">
        <f>'Monthly Prices'!B660</f>
        <v>105.71333333333</v>
      </c>
      <c r="R672" s="159">
        <f t="shared" si="199"/>
        <v>96.234999999999999</v>
      </c>
      <c r="S672" s="155">
        <f>_xlfn.XLOOKUP(P672,'Annual Real'!A:A,'Annual Real'!B:B,0,0)</f>
        <v>88.927426008728204</v>
      </c>
      <c r="T672" s="155">
        <f t="shared" ca="1" si="200"/>
        <v>1.2888071124831144</v>
      </c>
      <c r="U672" s="152">
        <f t="shared" ca="1" si="201"/>
        <v>1.2888071124831144</v>
      </c>
      <c r="V672" s="152" t="b">
        <f t="shared" si="207"/>
        <v>0</v>
      </c>
      <c r="W672" s="152" t="b">
        <f t="shared" si="208"/>
        <v>0</v>
      </c>
      <c r="X672" s="154">
        <f>LOOKUP(D672,'US Implicit Deflator'!A:A,'US Implicit Deflator'!B:B)/100</f>
        <v>2.1000000000000001E-2</v>
      </c>
      <c r="Y672" s="154">
        <f t="shared" si="202"/>
        <v>1.73337883251512E-3</v>
      </c>
      <c r="Z672" s="165">
        <f t="shared" ca="1" si="203"/>
        <v>5.2985377387878572</v>
      </c>
      <c r="AA672" s="152">
        <f t="shared" si="204"/>
        <v>7</v>
      </c>
      <c r="AB672" s="153">
        <f t="shared" si="205"/>
        <v>41760</v>
      </c>
      <c r="AC672" s="155">
        <f t="shared" ca="1" si="206"/>
        <v>1.2888071124831144</v>
      </c>
    </row>
    <row r="673" spans="3:29">
      <c r="C673" s="152" t="str">
        <f>'Monthly Prices'!A661</f>
        <v>2014M06</v>
      </c>
      <c r="D673" s="153">
        <f t="shared" si="195"/>
        <v>41791</v>
      </c>
      <c r="E673" s="152">
        <f t="shared" si="196"/>
        <v>654</v>
      </c>
      <c r="F673" s="152" t="b">
        <f t="shared" si="190"/>
        <v>1</v>
      </c>
      <c r="G673" s="152" t="b">
        <f t="shared" si="191"/>
        <v>0</v>
      </c>
      <c r="H673" s="152" t="b">
        <f t="shared" si="192"/>
        <v>0</v>
      </c>
      <c r="I673" s="153" t="e">
        <f t="shared" si="193"/>
        <v>#N/A</v>
      </c>
      <c r="J673" s="158">
        <f>INDEX('Monthly Prices'!B661:CB661,$G$4)</f>
        <v>202.39482480000001</v>
      </c>
      <c r="K673" s="158" t="b">
        <f>IF(H673,INDEX('Monthly Prices'!B661:CB661,$G$4)*U673,FALSE)</f>
        <v>0</v>
      </c>
      <c r="L673" s="152" t="b">
        <f t="shared" si="197"/>
        <v>1</v>
      </c>
      <c r="M673" s="158">
        <f>INDEX('Monthly Prices'!B661:CB661,$G$5)</f>
        <v>160.29424583333</v>
      </c>
      <c r="N673" s="158" t="b">
        <f>IF(H673,INDEX('Monthly Prices'!B661:CB661,$G$5)*U673,FALSE)</f>
        <v>0</v>
      </c>
      <c r="O673" s="152" t="b">
        <f t="shared" si="194"/>
        <v>1</v>
      </c>
      <c r="P673" s="152">
        <f t="shared" si="198"/>
        <v>2014</v>
      </c>
      <c r="Q673" s="159">
        <f>'Monthly Prices'!B661</f>
        <v>108.37333333333</v>
      </c>
      <c r="R673" s="159">
        <f t="shared" si="199"/>
        <v>96.234999999999999</v>
      </c>
      <c r="S673" s="155">
        <f>_xlfn.XLOOKUP(P673,'Annual Real'!A:A,'Annual Real'!B:B,0,0)</f>
        <v>88.927426008728204</v>
      </c>
      <c r="T673" s="155">
        <f t="shared" ca="1" si="200"/>
        <v>1.286576987167158</v>
      </c>
      <c r="U673" s="152">
        <f t="shared" ca="1" si="201"/>
        <v>1.286576987167158</v>
      </c>
      <c r="V673" s="152" t="b">
        <f t="shared" si="207"/>
        <v>0</v>
      </c>
      <c r="W673" s="152" t="b">
        <f t="shared" si="208"/>
        <v>0</v>
      </c>
      <c r="X673" s="154">
        <f>LOOKUP(D673,'US Implicit Deflator'!A:A,'US Implicit Deflator'!B:B)/100</f>
        <v>2.1000000000000001E-2</v>
      </c>
      <c r="Y673" s="154">
        <f t="shared" si="202"/>
        <v>1.73337883251512E-3</v>
      </c>
      <c r="Z673" s="165">
        <f t="shared" ca="1" si="203"/>
        <v>5.3077221119475544</v>
      </c>
      <c r="AA673" s="152">
        <f t="shared" si="204"/>
        <v>7</v>
      </c>
      <c r="AB673" s="153">
        <f t="shared" si="205"/>
        <v>41791</v>
      </c>
      <c r="AC673" s="155">
        <f t="shared" ca="1" si="206"/>
        <v>1.286576987167158</v>
      </c>
    </row>
    <row r="674" spans="3:29">
      <c r="C674" s="152" t="str">
        <f>'Monthly Prices'!A662</f>
        <v>2014M07</v>
      </c>
      <c r="D674" s="153">
        <f t="shared" si="195"/>
        <v>41821</v>
      </c>
      <c r="E674" s="152">
        <f t="shared" si="196"/>
        <v>655</v>
      </c>
      <c r="F674" s="152" t="b">
        <f t="shared" si="190"/>
        <v>1</v>
      </c>
      <c r="G674" s="152" t="b">
        <f t="shared" si="191"/>
        <v>0</v>
      </c>
      <c r="H674" s="152" t="b">
        <f t="shared" si="192"/>
        <v>0</v>
      </c>
      <c r="I674" s="153" t="e">
        <f t="shared" si="193"/>
        <v>#N/A</v>
      </c>
      <c r="J674" s="158">
        <f>INDEX('Monthly Prices'!B662:CB662,$G$4)</f>
        <v>182.726572</v>
      </c>
      <c r="K674" s="158" t="b">
        <f>IF(H674,INDEX('Monthly Prices'!B662:CB662,$G$4)*U674,FALSE)</f>
        <v>0</v>
      </c>
      <c r="L674" s="152" t="b">
        <f t="shared" si="197"/>
        <v>1</v>
      </c>
      <c r="M674" s="158">
        <f>INDEX('Monthly Prices'!B662:CB662,$G$5)</f>
        <v>138.70734166667</v>
      </c>
      <c r="N674" s="158" t="b">
        <f>IF(H674,INDEX('Monthly Prices'!B662:CB662,$G$5)*U674,FALSE)</f>
        <v>0</v>
      </c>
      <c r="O674" s="152" t="b">
        <f t="shared" si="194"/>
        <v>1</v>
      </c>
      <c r="P674" s="152">
        <f t="shared" si="198"/>
        <v>2014</v>
      </c>
      <c r="Q674" s="159">
        <f>'Monthly Prices'!B662</f>
        <v>105.22666666667</v>
      </c>
      <c r="R674" s="159">
        <f t="shared" si="199"/>
        <v>96.234999999999999</v>
      </c>
      <c r="S674" s="155">
        <f>_xlfn.XLOOKUP(P674,'Annual Real'!A:A,'Annual Real'!B:B,0,0)</f>
        <v>88.927426008728204</v>
      </c>
      <c r="T674" s="155">
        <f t="shared" ca="1" si="200"/>
        <v>1.2843507208141731</v>
      </c>
      <c r="U674" s="152">
        <f t="shared" ca="1" si="201"/>
        <v>1.2843507208141731</v>
      </c>
      <c r="V674" s="152" t="b">
        <f t="shared" si="207"/>
        <v>0</v>
      </c>
      <c r="W674" s="152" t="b">
        <f t="shared" si="208"/>
        <v>0</v>
      </c>
      <c r="X674" s="154">
        <f>LOOKUP(D674,'US Implicit Deflator'!A:A,'US Implicit Deflator'!B:B)/100</f>
        <v>2.1000000000000001E-2</v>
      </c>
      <c r="Y674" s="154">
        <f t="shared" si="202"/>
        <v>1.73337883251512E-3</v>
      </c>
      <c r="Z674" s="165">
        <f t="shared" ca="1" si="203"/>
        <v>5.3169224051052764</v>
      </c>
      <c r="AA674" s="152">
        <f t="shared" si="204"/>
        <v>7</v>
      </c>
      <c r="AB674" s="153">
        <f t="shared" si="205"/>
        <v>41821</v>
      </c>
      <c r="AC674" s="155">
        <f t="shared" ca="1" si="206"/>
        <v>1.2843507208141731</v>
      </c>
    </row>
    <row r="675" spans="3:29">
      <c r="C675" s="152" t="str">
        <f>'Monthly Prices'!A663</f>
        <v>2014M08</v>
      </c>
      <c r="D675" s="153">
        <f t="shared" si="195"/>
        <v>41852</v>
      </c>
      <c r="E675" s="152">
        <f t="shared" si="196"/>
        <v>656</v>
      </c>
      <c r="F675" s="152" t="b">
        <f t="shared" si="190"/>
        <v>1</v>
      </c>
      <c r="G675" s="152" t="b">
        <f t="shared" si="191"/>
        <v>0</v>
      </c>
      <c r="H675" s="152" t="b">
        <f t="shared" si="192"/>
        <v>0</v>
      </c>
      <c r="I675" s="153" t="e">
        <f t="shared" si="193"/>
        <v>#N/A</v>
      </c>
      <c r="J675" s="158">
        <f>INDEX('Monthly Prices'!B663:CB663,$G$4)</f>
        <v>176.42375519999999</v>
      </c>
      <c r="K675" s="158" t="b">
        <f>IF(H675,INDEX('Monthly Prices'!B663:CB663,$G$4)*U675,FALSE)</f>
        <v>0</v>
      </c>
      <c r="L675" s="152" t="b">
        <f t="shared" si="197"/>
        <v>1</v>
      </c>
      <c r="M675" s="158">
        <f>INDEX('Monthly Prices'!B663:CB663,$G$5)</f>
        <v>118.49832499999999</v>
      </c>
      <c r="N675" s="158" t="b">
        <f>IF(H675,INDEX('Monthly Prices'!B663:CB663,$G$5)*U675,FALSE)</f>
        <v>0</v>
      </c>
      <c r="O675" s="152" t="b">
        <f t="shared" si="194"/>
        <v>1</v>
      </c>
      <c r="P675" s="152">
        <f t="shared" si="198"/>
        <v>2014</v>
      </c>
      <c r="Q675" s="159">
        <f>'Monthly Prices'!B663</f>
        <v>100.05</v>
      </c>
      <c r="R675" s="159">
        <f t="shared" si="199"/>
        <v>96.234999999999999</v>
      </c>
      <c r="S675" s="155">
        <f>_xlfn.XLOOKUP(P675,'Annual Real'!A:A,'Annual Real'!B:B,0,0)</f>
        <v>88.927426008728204</v>
      </c>
      <c r="T675" s="155">
        <f t="shared" ca="1" si="200"/>
        <v>1.28212830674669</v>
      </c>
      <c r="U675" s="152">
        <f t="shared" ca="1" si="201"/>
        <v>1.28212830674669</v>
      </c>
      <c r="V675" s="152" t="b">
        <f t="shared" si="207"/>
        <v>0</v>
      </c>
      <c r="W675" s="152" t="b">
        <f t="shared" si="208"/>
        <v>0</v>
      </c>
      <c r="X675" s="154">
        <f>LOOKUP(D675,'US Implicit Deflator'!A:A,'US Implicit Deflator'!B:B)/100</f>
        <v>2.1000000000000001E-2</v>
      </c>
      <c r="Y675" s="154">
        <f t="shared" si="202"/>
        <v>1.73337883251512E-3</v>
      </c>
      <c r="Z675" s="165">
        <f t="shared" ca="1" si="203"/>
        <v>5.3261386458564113</v>
      </c>
      <c r="AA675" s="152">
        <f t="shared" si="204"/>
        <v>7</v>
      </c>
      <c r="AB675" s="153">
        <f t="shared" si="205"/>
        <v>41852</v>
      </c>
      <c r="AC675" s="155">
        <f t="shared" ca="1" si="206"/>
        <v>1.28212830674669</v>
      </c>
    </row>
    <row r="676" spans="3:29">
      <c r="C676" s="152" t="str">
        <f>'Monthly Prices'!A664</f>
        <v>2014M09</v>
      </c>
      <c r="D676" s="153">
        <f t="shared" si="195"/>
        <v>41883</v>
      </c>
      <c r="E676" s="152">
        <f t="shared" si="196"/>
        <v>657</v>
      </c>
      <c r="F676" s="152" t="b">
        <f t="shared" si="190"/>
        <v>1</v>
      </c>
      <c r="G676" s="152" t="b">
        <f t="shared" si="191"/>
        <v>0</v>
      </c>
      <c r="H676" s="152" t="b">
        <f t="shared" si="192"/>
        <v>0</v>
      </c>
      <c r="I676" s="153" t="e">
        <f t="shared" si="193"/>
        <v>#N/A</v>
      </c>
      <c r="J676" s="158">
        <f>INDEX('Monthly Prices'!B664:CB664,$G$4)</f>
        <v>163.0583192</v>
      </c>
      <c r="K676" s="158" t="b">
        <f>IF(H676,INDEX('Monthly Prices'!B664:CB664,$G$4)*U676,FALSE)</f>
        <v>0</v>
      </c>
      <c r="L676" s="152" t="b">
        <f t="shared" si="197"/>
        <v>1</v>
      </c>
      <c r="M676" s="158">
        <f>INDEX('Monthly Prices'!B664:CB664,$G$5)</f>
        <v>105.63804166667001</v>
      </c>
      <c r="N676" s="158" t="b">
        <f>IF(H676,INDEX('Monthly Prices'!B664:CB664,$G$5)*U676,FALSE)</f>
        <v>0</v>
      </c>
      <c r="O676" s="152" t="b">
        <f t="shared" si="194"/>
        <v>1</v>
      </c>
      <c r="P676" s="152">
        <f t="shared" si="198"/>
        <v>2014</v>
      </c>
      <c r="Q676" s="159">
        <f>'Monthly Prices'!B664</f>
        <v>95.85</v>
      </c>
      <c r="R676" s="159">
        <f t="shared" si="199"/>
        <v>96.234999999999999</v>
      </c>
      <c r="S676" s="155">
        <f>_xlfn.XLOOKUP(P676,'Annual Real'!A:A,'Annual Real'!B:B,0,0)</f>
        <v>88.927426008728204</v>
      </c>
      <c r="T676" s="155">
        <f t="shared" ca="1" si="200"/>
        <v>1.279909738298793</v>
      </c>
      <c r="U676" s="152">
        <f t="shared" ca="1" si="201"/>
        <v>1.279909738298793</v>
      </c>
      <c r="V676" s="152" t="b">
        <f t="shared" si="207"/>
        <v>0</v>
      </c>
      <c r="W676" s="152" t="b">
        <f t="shared" si="208"/>
        <v>0</v>
      </c>
      <c r="X676" s="154">
        <f>LOOKUP(D676,'US Implicit Deflator'!A:A,'US Implicit Deflator'!B:B)/100</f>
        <v>2.1000000000000001E-2</v>
      </c>
      <c r="Y676" s="154">
        <f t="shared" si="202"/>
        <v>1.73337883251512E-3</v>
      </c>
      <c r="Z676" s="165">
        <f t="shared" ca="1" si="203"/>
        <v>5.3353708618441793</v>
      </c>
      <c r="AA676" s="152">
        <f t="shared" si="204"/>
        <v>7</v>
      </c>
      <c r="AB676" s="153">
        <f t="shared" si="205"/>
        <v>41883</v>
      </c>
      <c r="AC676" s="155">
        <f t="shared" ca="1" si="206"/>
        <v>1.279909738298793</v>
      </c>
    </row>
    <row r="677" spans="3:29">
      <c r="C677" s="152" t="str">
        <f>'Monthly Prices'!A665</f>
        <v>2014M10</v>
      </c>
      <c r="D677" s="153">
        <f t="shared" si="195"/>
        <v>41913</v>
      </c>
      <c r="E677" s="152">
        <f t="shared" si="196"/>
        <v>658</v>
      </c>
      <c r="F677" s="152" t="b">
        <f t="shared" si="190"/>
        <v>1</v>
      </c>
      <c r="G677" s="152" t="b">
        <f t="shared" si="191"/>
        <v>0</v>
      </c>
      <c r="H677" s="152" t="b">
        <f t="shared" si="192"/>
        <v>0</v>
      </c>
      <c r="I677" s="153" t="e">
        <f t="shared" si="193"/>
        <v>#N/A</v>
      </c>
      <c r="J677" s="158">
        <f>INDEX('Monthly Prices'!B665:CB665,$G$4)</f>
        <v>163.121308</v>
      </c>
      <c r="K677" s="158" t="b">
        <f>IF(H677,INDEX('Monthly Prices'!B665:CB665,$G$4)*U677,FALSE)</f>
        <v>0</v>
      </c>
      <c r="L677" s="152" t="b">
        <f t="shared" si="197"/>
        <v>1</v>
      </c>
      <c r="M677" s="158">
        <f>INDEX('Monthly Prices'!B665:CB665,$G$5)</f>
        <v>112.06818333333</v>
      </c>
      <c r="N677" s="158" t="b">
        <f>IF(H677,INDEX('Monthly Prices'!B665:CB665,$G$5)*U677,FALSE)</f>
        <v>0</v>
      </c>
      <c r="O677" s="152" t="b">
        <f t="shared" si="194"/>
        <v>1</v>
      </c>
      <c r="P677" s="152">
        <f t="shared" si="198"/>
        <v>2014</v>
      </c>
      <c r="Q677" s="159">
        <f>'Monthly Prices'!B665</f>
        <v>86.08</v>
      </c>
      <c r="R677" s="159">
        <f t="shared" si="199"/>
        <v>96.234999999999999</v>
      </c>
      <c r="S677" s="155">
        <f>_xlfn.XLOOKUP(P677,'Annual Real'!A:A,'Annual Real'!B:B,0,0)</f>
        <v>88.927426008728204</v>
      </c>
      <c r="T677" s="155">
        <f t="shared" ca="1" si="200"/>
        <v>1.2784277250002962</v>
      </c>
      <c r="U677" s="152">
        <f t="shared" ca="1" si="201"/>
        <v>1.2784277250002962</v>
      </c>
      <c r="V677" s="152" t="b">
        <f t="shared" si="207"/>
        <v>0</v>
      </c>
      <c r="W677" s="152" t="b">
        <f t="shared" si="208"/>
        <v>0</v>
      </c>
      <c r="X677" s="154">
        <f>LOOKUP(D677,'US Implicit Deflator'!A:A,'US Implicit Deflator'!B:B)/100</f>
        <v>1.3999999999999999E-2</v>
      </c>
      <c r="Y677" s="154">
        <f t="shared" si="202"/>
        <v>1.1592468385308585E-3</v>
      </c>
      <c r="Z677" s="165">
        <f t="shared" ca="1" si="203"/>
        <v>5.3415558736481614</v>
      </c>
      <c r="AA677" s="152">
        <f t="shared" si="204"/>
        <v>7</v>
      </c>
      <c r="AB677" s="153">
        <f t="shared" si="205"/>
        <v>41913</v>
      </c>
      <c r="AC677" s="155">
        <f t="shared" ca="1" si="206"/>
        <v>1.2784277250002962</v>
      </c>
    </row>
    <row r="678" spans="3:29">
      <c r="C678" s="152" t="str">
        <f>'Monthly Prices'!A666</f>
        <v>2014M11</v>
      </c>
      <c r="D678" s="153">
        <f t="shared" si="195"/>
        <v>41944</v>
      </c>
      <c r="E678" s="152">
        <f t="shared" si="196"/>
        <v>659</v>
      </c>
      <c r="F678" s="152" t="b">
        <f t="shared" si="190"/>
        <v>1</v>
      </c>
      <c r="G678" s="152" t="b">
        <f t="shared" si="191"/>
        <v>0</v>
      </c>
      <c r="H678" s="152" t="b">
        <f t="shared" si="192"/>
        <v>0</v>
      </c>
      <c r="I678" s="153" t="e">
        <f t="shared" si="193"/>
        <v>#N/A</v>
      </c>
      <c r="J678" s="158">
        <f>INDEX('Monthly Prices'!B666:CB666,$G$4)</f>
        <v>178.74253039999999</v>
      </c>
      <c r="K678" s="158" t="b">
        <f>IF(H678,INDEX('Monthly Prices'!B666:CB666,$G$4)*U678,FALSE)</f>
        <v>0</v>
      </c>
      <c r="L678" s="152" t="b">
        <f t="shared" si="197"/>
        <v>1</v>
      </c>
      <c r="M678" s="158">
        <f>INDEX('Monthly Prices'!B666:CB666,$G$5)</f>
        <v>113.90536666667001</v>
      </c>
      <c r="N678" s="158" t="b">
        <f>IF(H678,INDEX('Monthly Prices'!B666:CB666,$G$5)*U678,FALSE)</f>
        <v>0</v>
      </c>
      <c r="O678" s="152" t="b">
        <f t="shared" si="194"/>
        <v>1</v>
      </c>
      <c r="P678" s="152">
        <f t="shared" si="198"/>
        <v>2014</v>
      </c>
      <c r="Q678" s="159">
        <f>'Monthly Prices'!B666</f>
        <v>76.99333333333</v>
      </c>
      <c r="R678" s="159">
        <f t="shared" si="199"/>
        <v>96.234999999999999</v>
      </c>
      <c r="S678" s="155">
        <f>_xlfn.XLOOKUP(P678,'Annual Real'!A:A,'Annual Real'!B:B,0,0)</f>
        <v>88.927426008728204</v>
      </c>
      <c r="T678" s="155">
        <f t="shared" ca="1" si="200"/>
        <v>1.2769474277317281</v>
      </c>
      <c r="U678" s="152">
        <f t="shared" ca="1" si="201"/>
        <v>1.2769474277317281</v>
      </c>
      <c r="V678" s="152" t="b">
        <f t="shared" si="207"/>
        <v>0</v>
      </c>
      <c r="W678" s="152" t="b">
        <f t="shared" si="208"/>
        <v>0</v>
      </c>
      <c r="X678" s="154">
        <f>LOOKUP(D678,'US Implicit Deflator'!A:A,'US Implicit Deflator'!B:B)/100</f>
        <v>1.3999999999999999E-2</v>
      </c>
      <c r="Y678" s="154">
        <f t="shared" si="202"/>
        <v>1.1592468385308585E-3</v>
      </c>
      <c r="Z678" s="165">
        <f t="shared" ca="1" si="203"/>
        <v>5.3477480554075241</v>
      </c>
      <c r="AA678" s="152">
        <f t="shared" si="204"/>
        <v>7</v>
      </c>
      <c r="AB678" s="153">
        <f t="shared" si="205"/>
        <v>41944</v>
      </c>
      <c r="AC678" s="155">
        <f t="shared" ca="1" si="206"/>
        <v>1.2769474277317281</v>
      </c>
    </row>
    <row r="679" spans="3:29">
      <c r="C679" s="152" t="str">
        <f>'Monthly Prices'!A667</f>
        <v>2014M12</v>
      </c>
      <c r="D679" s="153">
        <f t="shared" si="195"/>
        <v>41974</v>
      </c>
      <c r="E679" s="152">
        <f t="shared" si="196"/>
        <v>660</v>
      </c>
      <c r="F679" s="152" t="b">
        <f t="shared" si="190"/>
        <v>1</v>
      </c>
      <c r="G679" s="152" t="b">
        <f t="shared" si="191"/>
        <v>0</v>
      </c>
      <c r="H679" s="152" t="b">
        <f t="shared" si="192"/>
        <v>0</v>
      </c>
      <c r="I679" s="153" t="e">
        <f t="shared" si="193"/>
        <v>#N/A</v>
      </c>
      <c r="J679" s="158">
        <f>INDEX('Monthly Prices'!B667:CB667,$G$4)</f>
        <v>178.73465680000001</v>
      </c>
      <c r="K679" s="158" t="b">
        <f>IF(H679,INDEX('Monthly Prices'!B667:CB667,$G$4)*U679,FALSE)</f>
        <v>0</v>
      </c>
      <c r="L679" s="152" t="b">
        <f t="shared" si="197"/>
        <v>1</v>
      </c>
      <c r="M679" s="158">
        <f>INDEX('Monthly Prices'!B667:CB667,$G$5)</f>
        <v>123.09128333333</v>
      </c>
      <c r="N679" s="158" t="b">
        <f>IF(H679,INDEX('Monthly Prices'!B667:CB667,$G$5)*U679,FALSE)</f>
        <v>0</v>
      </c>
      <c r="O679" s="152" t="b">
        <f t="shared" si="194"/>
        <v>1</v>
      </c>
      <c r="P679" s="152">
        <f t="shared" si="198"/>
        <v>2014</v>
      </c>
      <c r="Q679" s="159">
        <f>'Monthly Prices'!B667</f>
        <v>60.703333333330001</v>
      </c>
      <c r="R679" s="159">
        <f t="shared" si="199"/>
        <v>96.234999999999999</v>
      </c>
      <c r="S679" s="155">
        <f>_xlfn.XLOOKUP(P679,'Annual Real'!A:A,'Annual Real'!B:B,0,0)</f>
        <v>88.927426008728204</v>
      </c>
      <c r="T679" s="155">
        <f t="shared" ca="1" si="200"/>
        <v>1.2754688445060898</v>
      </c>
      <c r="U679" s="152">
        <f t="shared" ca="1" si="201"/>
        <v>1.2754688445060898</v>
      </c>
      <c r="V679" s="152" t="b">
        <f t="shared" si="207"/>
        <v>0</v>
      </c>
      <c r="W679" s="152" t="b">
        <f t="shared" si="208"/>
        <v>0</v>
      </c>
      <c r="X679" s="154">
        <f>LOOKUP(D679,'US Implicit Deflator'!A:A,'US Implicit Deflator'!B:B)/100</f>
        <v>1.3999999999999999E-2</v>
      </c>
      <c r="Y679" s="154">
        <f t="shared" si="202"/>
        <v>1.1592468385308585E-3</v>
      </c>
      <c r="Z679" s="165">
        <f t="shared" ca="1" si="203"/>
        <v>5.353947415434015</v>
      </c>
      <c r="AA679" s="152">
        <f t="shared" si="204"/>
        <v>7</v>
      </c>
      <c r="AB679" s="153">
        <f t="shared" si="205"/>
        <v>41974</v>
      </c>
      <c r="AC679" s="155">
        <f t="shared" ca="1" si="206"/>
        <v>1.2754688445060898</v>
      </c>
    </row>
    <row r="680" spans="3:29">
      <c r="C680" s="152" t="str">
        <f>'Monthly Prices'!A668</f>
        <v>2015M01</v>
      </c>
      <c r="D680" s="153">
        <f t="shared" si="195"/>
        <v>42005</v>
      </c>
      <c r="E680" s="152">
        <f t="shared" si="196"/>
        <v>661</v>
      </c>
      <c r="F680" s="152" t="b">
        <f t="shared" si="190"/>
        <v>1</v>
      </c>
      <c r="G680" s="152" t="b">
        <f t="shared" si="191"/>
        <v>0</v>
      </c>
      <c r="H680" s="152" t="b">
        <f t="shared" si="192"/>
        <v>0</v>
      </c>
      <c r="I680" s="153" t="e">
        <f t="shared" si="193"/>
        <v>#N/A</v>
      </c>
      <c r="J680" s="158">
        <f>INDEX('Monthly Prices'!B668:CB668,$G$4)</f>
        <v>174.70731040000001</v>
      </c>
      <c r="K680" s="158" t="b">
        <f>IF(H680,INDEX('Monthly Prices'!B668:CB668,$G$4)*U680,FALSE)</f>
        <v>0</v>
      </c>
      <c r="L680" s="152" t="b">
        <f t="shared" si="197"/>
        <v>1</v>
      </c>
      <c r="M680" s="158">
        <f>INDEX('Monthly Prices'!B668:CB668,$G$5)</f>
        <v>128.14353750000001</v>
      </c>
      <c r="N680" s="158" t="b">
        <f>IF(H680,INDEX('Monthly Prices'!B668:CB668,$G$5)*U680,FALSE)</f>
        <v>0</v>
      </c>
      <c r="O680" s="152" t="b">
        <f t="shared" si="194"/>
        <v>1</v>
      </c>
      <c r="P680" s="152">
        <f t="shared" si="198"/>
        <v>2015</v>
      </c>
      <c r="Q680" s="159">
        <f>'Monthly Prices'!B668</f>
        <v>47.106666666670002</v>
      </c>
      <c r="R680" s="159">
        <f t="shared" si="199"/>
        <v>50.752777777778341</v>
      </c>
      <c r="S680" s="155">
        <f>_xlfn.XLOOKUP(P680,'Annual Real'!A:A,'Annual Real'!B:B,0,0)</f>
        <v>51.863717988552999</v>
      </c>
      <c r="T680" s="155">
        <f t="shared" ca="1" si="200"/>
        <v>1.2745168773599456</v>
      </c>
      <c r="U680" s="152">
        <f t="shared" ca="1" si="201"/>
        <v>1.2745168773599456</v>
      </c>
      <c r="V680" s="152" t="b">
        <f t="shared" si="207"/>
        <v>0</v>
      </c>
      <c r="W680" s="152" t="b">
        <f t="shared" si="208"/>
        <v>0</v>
      </c>
      <c r="X680" s="154">
        <f>LOOKUP(D680,'US Implicit Deflator'!A:A,'US Implicit Deflator'!B:B)/100</f>
        <v>9.0000000000000011E-3</v>
      </c>
      <c r="Y680" s="154">
        <f t="shared" si="202"/>
        <v>7.4692392313879807E-4</v>
      </c>
      <c r="Z680" s="165">
        <f t="shared" ca="1" si="203"/>
        <v>5.3579464068418297</v>
      </c>
      <c r="AA680" s="152">
        <f t="shared" si="204"/>
        <v>7</v>
      </c>
      <c r="AB680" s="153">
        <f t="shared" si="205"/>
        <v>42005</v>
      </c>
      <c r="AC680" s="155">
        <f t="shared" ca="1" si="206"/>
        <v>1.2745168773599456</v>
      </c>
    </row>
    <row r="681" spans="3:29">
      <c r="C681" s="152" t="str">
        <f>'Monthly Prices'!A669</f>
        <v>2015M02</v>
      </c>
      <c r="D681" s="153">
        <f t="shared" si="195"/>
        <v>42036</v>
      </c>
      <c r="E681" s="152">
        <f t="shared" si="196"/>
        <v>662</v>
      </c>
      <c r="F681" s="152" t="b">
        <f t="shared" si="190"/>
        <v>1</v>
      </c>
      <c r="G681" s="152" t="b">
        <f t="shared" si="191"/>
        <v>0</v>
      </c>
      <c r="H681" s="152" t="b">
        <f t="shared" si="192"/>
        <v>0</v>
      </c>
      <c r="I681" s="153" t="e">
        <f t="shared" si="193"/>
        <v>#N/A</v>
      </c>
      <c r="J681" s="158">
        <f>INDEX('Monthly Prices'!B669:CB669,$G$4)</f>
        <v>173.6955528</v>
      </c>
      <c r="K681" s="158" t="b">
        <f>IF(H681,INDEX('Monthly Prices'!B669:CB669,$G$4)*U681,FALSE)</f>
        <v>0</v>
      </c>
      <c r="L681" s="152" t="b">
        <f t="shared" si="197"/>
        <v>1</v>
      </c>
      <c r="M681" s="158">
        <f>INDEX('Monthly Prices'!B669:CB669,$G$5)</f>
        <v>125.38776249999999</v>
      </c>
      <c r="N681" s="158" t="b">
        <f>IF(H681,INDEX('Monthly Prices'!B669:CB669,$G$5)*U681,FALSE)</f>
        <v>0</v>
      </c>
      <c r="O681" s="152" t="b">
        <f t="shared" si="194"/>
        <v>1</v>
      </c>
      <c r="P681" s="152">
        <f t="shared" si="198"/>
        <v>2015</v>
      </c>
      <c r="Q681" s="159">
        <f>'Monthly Prices'!B669</f>
        <v>54.79</v>
      </c>
      <c r="R681" s="159">
        <f t="shared" si="199"/>
        <v>50.752777777778341</v>
      </c>
      <c r="S681" s="155">
        <f>_xlfn.XLOOKUP(P681,'Annual Real'!A:A,'Annual Real'!B:B,0,0)</f>
        <v>51.863717988552999</v>
      </c>
      <c r="T681" s="155">
        <f t="shared" ca="1" si="200"/>
        <v>1.2735656207301351</v>
      </c>
      <c r="U681" s="152">
        <f t="shared" ca="1" si="201"/>
        <v>1.2735656207301351</v>
      </c>
      <c r="V681" s="152" t="b">
        <f t="shared" si="207"/>
        <v>0</v>
      </c>
      <c r="W681" s="152" t="b">
        <f t="shared" si="208"/>
        <v>0</v>
      </c>
      <c r="X681" s="154">
        <f>LOOKUP(D681,'US Implicit Deflator'!A:A,'US Implicit Deflator'!B:B)/100</f>
        <v>9.0000000000000011E-3</v>
      </c>
      <c r="Y681" s="154">
        <f t="shared" si="202"/>
        <v>7.4692392313879807E-4</v>
      </c>
      <c r="Z681" s="165">
        <f t="shared" ca="1" si="203"/>
        <v>5.3619483851919956</v>
      </c>
      <c r="AA681" s="152">
        <f t="shared" si="204"/>
        <v>7</v>
      </c>
      <c r="AB681" s="153">
        <f t="shared" si="205"/>
        <v>42036</v>
      </c>
      <c r="AC681" s="155">
        <f t="shared" ca="1" si="206"/>
        <v>1.2735656207301351</v>
      </c>
    </row>
    <row r="682" spans="3:29">
      <c r="C682" s="152" t="str">
        <f>'Monthly Prices'!A670</f>
        <v>2015M03</v>
      </c>
      <c r="D682" s="153">
        <f t="shared" si="195"/>
        <v>42064</v>
      </c>
      <c r="E682" s="152">
        <f t="shared" si="196"/>
        <v>663</v>
      </c>
      <c r="F682" s="152" t="b">
        <f t="shared" si="190"/>
        <v>1</v>
      </c>
      <c r="G682" s="152" t="b">
        <f t="shared" si="191"/>
        <v>0</v>
      </c>
      <c r="H682" s="152" t="b">
        <f t="shared" si="192"/>
        <v>0</v>
      </c>
      <c r="I682" s="153" t="e">
        <f t="shared" si="193"/>
        <v>#N/A</v>
      </c>
      <c r="J682" s="158">
        <f>INDEX('Monthly Prices'!B670:CB670,$G$4)</f>
        <v>174.22702079999999</v>
      </c>
      <c r="K682" s="158" t="b">
        <f>IF(H682,INDEX('Monthly Prices'!B670:CB670,$G$4)*U682,FALSE)</f>
        <v>0</v>
      </c>
      <c r="L682" s="152" t="b">
        <f t="shared" si="197"/>
        <v>1</v>
      </c>
      <c r="M682" s="158">
        <f>INDEX('Monthly Prices'!B670:CB670,$G$5)</f>
        <v>126.30635416667</v>
      </c>
      <c r="N682" s="158" t="b">
        <f>IF(H682,INDEX('Monthly Prices'!B670:CB670,$G$5)*U682,FALSE)</f>
        <v>0</v>
      </c>
      <c r="O682" s="152" t="b">
        <f t="shared" si="194"/>
        <v>1</v>
      </c>
      <c r="P682" s="152">
        <f t="shared" si="198"/>
        <v>2015</v>
      </c>
      <c r="Q682" s="159">
        <f>'Monthly Prices'!B670</f>
        <v>52.82666666667</v>
      </c>
      <c r="R682" s="159">
        <f t="shared" si="199"/>
        <v>50.752777777778341</v>
      </c>
      <c r="S682" s="155">
        <f>_xlfn.XLOOKUP(P682,'Annual Real'!A:A,'Annual Real'!B:B,0,0)</f>
        <v>51.863717988552999</v>
      </c>
      <c r="T682" s="155">
        <f t="shared" ca="1" si="200"/>
        <v>1.2726150740863529</v>
      </c>
      <c r="U682" s="152">
        <f t="shared" ca="1" si="201"/>
        <v>1.2726150740863529</v>
      </c>
      <c r="V682" s="152" t="b">
        <f t="shared" si="207"/>
        <v>0</v>
      </c>
      <c r="W682" s="152" t="b">
        <f t="shared" si="208"/>
        <v>0</v>
      </c>
      <c r="X682" s="154">
        <f>LOOKUP(D682,'US Implicit Deflator'!A:A,'US Implicit Deflator'!B:B)/100</f>
        <v>9.0000000000000011E-3</v>
      </c>
      <c r="Y682" s="154">
        <f t="shared" si="202"/>
        <v>7.4692392313879807E-4</v>
      </c>
      <c r="Z682" s="165">
        <f t="shared" ca="1" si="203"/>
        <v>5.3659533527155308</v>
      </c>
      <c r="AA682" s="152">
        <f t="shared" si="204"/>
        <v>7</v>
      </c>
      <c r="AB682" s="153">
        <f t="shared" si="205"/>
        <v>42064</v>
      </c>
      <c r="AC682" s="155">
        <f t="shared" ca="1" si="206"/>
        <v>1.2726150740863529</v>
      </c>
    </row>
    <row r="683" spans="3:29">
      <c r="C683" s="152" t="str">
        <f>'Monthly Prices'!A671</f>
        <v>2015M04</v>
      </c>
      <c r="D683" s="153">
        <f t="shared" si="195"/>
        <v>42095</v>
      </c>
      <c r="E683" s="152">
        <f t="shared" si="196"/>
        <v>664</v>
      </c>
      <c r="F683" s="152" t="b">
        <f t="shared" si="190"/>
        <v>1</v>
      </c>
      <c r="G683" s="152" t="b">
        <f t="shared" si="191"/>
        <v>0</v>
      </c>
      <c r="H683" s="152" t="b">
        <f t="shared" si="192"/>
        <v>0</v>
      </c>
      <c r="I683" s="153" t="e">
        <f t="shared" si="193"/>
        <v>#N/A</v>
      </c>
      <c r="J683" s="158">
        <f>INDEX('Monthly Prices'!B671:CB671,$G$4)</f>
        <v>172.0539072</v>
      </c>
      <c r="K683" s="158" t="b">
        <f>IF(H683,INDEX('Monthly Prices'!B671:CB671,$G$4)*U683,FALSE)</f>
        <v>0</v>
      </c>
      <c r="L683" s="152" t="b">
        <f t="shared" si="197"/>
        <v>1</v>
      </c>
      <c r="M683" s="158">
        <f>INDEX('Monthly Prices'!B671:CB671,$G$5)</f>
        <v>129.06212916666999</v>
      </c>
      <c r="N683" s="158" t="b">
        <f>IF(H683,INDEX('Monthly Prices'!B671:CB671,$G$5)*U683,FALSE)</f>
        <v>0</v>
      </c>
      <c r="O683" s="152" t="b">
        <f t="shared" si="194"/>
        <v>1</v>
      </c>
      <c r="P683" s="152">
        <f t="shared" si="198"/>
        <v>2015</v>
      </c>
      <c r="Q683" s="159">
        <f>'Monthly Prices'!B671</f>
        <v>57.543333333329997</v>
      </c>
      <c r="R683" s="159">
        <f t="shared" si="199"/>
        <v>50.752777777778341</v>
      </c>
      <c r="S683" s="155">
        <f>_xlfn.XLOOKUP(P683,'Annual Real'!A:A,'Annual Real'!B:B,0,0)</f>
        <v>51.863717988552999</v>
      </c>
      <c r="T683" s="155">
        <f t="shared" ca="1" si="200"/>
        <v>1.2716652368986892</v>
      </c>
      <c r="U683" s="152">
        <f t="shared" ca="1" si="201"/>
        <v>1.2716652368986892</v>
      </c>
      <c r="V683" s="152" t="b">
        <f t="shared" si="207"/>
        <v>0</v>
      </c>
      <c r="W683" s="152" t="b">
        <f t="shared" si="208"/>
        <v>0</v>
      </c>
      <c r="X683" s="154">
        <f>LOOKUP(D683,'US Implicit Deflator'!A:A,'US Implicit Deflator'!B:B)/100</f>
        <v>9.0000000000000011E-3</v>
      </c>
      <c r="Y683" s="154">
        <f t="shared" si="202"/>
        <v>7.4692392313879807E-4</v>
      </c>
      <c r="Z683" s="165">
        <f t="shared" ca="1" si="203"/>
        <v>5.3699613116451212</v>
      </c>
      <c r="AA683" s="152">
        <f t="shared" si="204"/>
        <v>7</v>
      </c>
      <c r="AB683" s="153">
        <f t="shared" si="205"/>
        <v>42095</v>
      </c>
      <c r="AC683" s="155">
        <f t="shared" ca="1" si="206"/>
        <v>1.2716652368986892</v>
      </c>
    </row>
    <row r="684" spans="3:29">
      <c r="C684" s="152" t="str">
        <f>'Monthly Prices'!A672</f>
        <v>2015M05</v>
      </c>
      <c r="D684" s="153">
        <f t="shared" si="195"/>
        <v>42125</v>
      </c>
      <c r="E684" s="152">
        <f t="shared" si="196"/>
        <v>665</v>
      </c>
      <c r="F684" s="152" t="b">
        <f t="shared" si="190"/>
        <v>1</v>
      </c>
      <c r="G684" s="152" t="b">
        <f t="shared" si="191"/>
        <v>0</v>
      </c>
      <c r="H684" s="152" t="b">
        <f t="shared" si="192"/>
        <v>0</v>
      </c>
      <c r="I684" s="153" t="e">
        <f t="shared" si="193"/>
        <v>#N/A</v>
      </c>
      <c r="J684" s="158">
        <f>INDEX('Monthly Prices'!B672:CB672,$G$4)</f>
        <v>166.2943688</v>
      </c>
      <c r="K684" s="158" t="b">
        <f>IF(H684,INDEX('Monthly Prices'!B672:CB672,$G$4)*U684,FALSE)</f>
        <v>0</v>
      </c>
      <c r="L684" s="152" t="b">
        <f t="shared" si="197"/>
        <v>1</v>
      </c>
      <c r="M684" s="158">
        <f>INDEX('Monthly Prices'!B672:CB672,$G$5)</f>
        <v>126.76564999999999</v>
      </c>
      <c r="N684" s="158" t="b">
        <f>IF(H684,INDEX('Monthly Prices'!B672:CB672,$G$5)*U684,FALSE)</f>
        <v>0</v>
      </c>
      <c r="O684" s="152" t="b">
        <f t="shared" si="194"/>
        <v>1</v>
      </c>
      <c r="P684" s="152">
        <f t="shared" si="198"/>
        <v>2015</v>
      </c>
      <c r="Q684" s="159">
        <f>'Monthly Prices'!B672</f>
        <v>62.50666666667</v>
      </c>
      <c r="R684" s="159">
        <f t="shared" si="199"/>
        <v>50.752777777778341</v>
      </c>
      <c r="S684" s="155">
        <f>_xlfn.XLOOKUP(P684,'Annual Real'!A:A,'Annual Real'!B:B,0,0)</f>
        <v>51.863717988552999</v>
      </c>
      <c r="T684" s="155">
        <f t="shared" ca="1" si="200"/>
        <v>1.27071610863763</v>
      </c>
      <c r="U684" s="152">
        <f t="shared" ca="1" si="201"/>
        <v>1.27071610863763</v>
      </c>
      <c r="V684" s="152" t="b">
        <f t="shared" si="207"/>
        <v>0</v>
      </c>
      <c r="W684" s="152" t="b">
        <f t="shared" si="208"/>
        <v>0</v>
      </c>
      <c r="X684" s="154">
        <f>LOOKUP(D684,'US Implicit Deflator'!A:A,'US Implicit Deflator'!B:B)/100</f>
        <v>9.0000000000000011E-3</v>
      </c>
      <c r="Y684" s="154">
        <f t="shared" si="202"/>
        <v>7.4692392313879807E-4</v>
      </c>
      <c r="Z684" s="165">
        <f t="shared" ca="1" si="203"/>
        <v>5.3739722642151184</v>
      </c>
      <c r="AA684" s="152">
        <f t="shared" si="204"/>
        <v>7</v>
      </c>
      <c r="AB684" s="153">
        <f t="shared" si="205"/>
        <v>42125</v>
      </c>
      <c r="AC684" s="155">
        <f t="shared" ca="1" si="206"/>
        <v>1.27071610863763</v>
      </c>
    </row>
    <row r="685" spans="3:29">
      <c r="C685" s="152" t="str">
        <f>'Monthly Prices'!A673</f>
        <v>2015M06</v>
      </c>
      <c r="D685" s="153">
        <f t="shared" si="195"/>
        <v>42156</v>
      </c>
      <c r="E685" s="152">
        <f t="shared" si="196"/>
        <v>666</v>
      </c>
      <c r="F685" s="152" t="b">
        <f t="shared" si="190"/>
        <v>1</v>
      </c>
      <c r="G685" s="152" t="b">
        <f t="shared" si="191"/>
        <v>0</v>
      </c>
      <c r="H685" s="152" t="b">
        <f t="shared" si="192"/>
        <v>0</v>
      </c>
      <c r="I685" s="153" t="e">
        <f t="shared" si="193"/>
        <v>#N/A</v>
      </c>
      <c r="J685" s="158">
        <f>INDEX('Monthly Prices'!B673:CB673,$G$4)</f>
        <v>166.7195432</v>
      </c>
      <c r="K685" s="158" t="b">
        <f>IF(H685,INDEX('Monthly Prices'!B673:CB673,$G$4)*U685,FALSE)</f>
        <v>0</v>
      </c>
      <c r="L685" s="152" t="b">
        <f t="shared" si="197"/>
        <v>1</v>
      </c>
      <c r="M685" s="158">
        <f>INDEX('Monthly Prices'!B673:CB673,$G$5)</f>
        <v>118.95762083333</v>
      </c>
      <c r="N685" s="158" t="b">
        <f>IF(H685,INDEX('Monthly Prices'!B673:CB673,$G$5)*U685,FALSE)</f>
        <v>0</v>
      </c>
      <c r="O685" s="152" t="b">
        <f t="shared" si="194"/>
        <v>1</v>
      </c>
      <c r="P685" s="152">
        <f t="shared" si="198"/>
        <v>2015</v>
      </c>
      <c r="Q685" s="159">
        <f>'Monthly Prices'!B673</f>
        <v>61.306666666669997</v>
      </c>
      <c r="R685" s="159">
        <f t="shared" si="199"/>
        <v>50.752777777778341</v>
      </c>
      <c r="S685" s="155">
        <f>_xlfn.XLOOKUP(P685,'Annual Real'!A:A,'Annual Real'!B:B,0,0)</f>
        <v>51.863717988552999</v>
      </c>
      <c r="T685" s="155">
        <f t="shared" ca="1" si="200"/>
        <v>1.2697676887740559</v>
      </c>
      <c r="U685" s="152">
        <f t="shared" ca="1" si="201"/>
        <v>1.2697676887740559</v>
      </c>
      <c r="V685" s="152" t="b">
        <f t="shared" si="207"/>
        <v>0</v>
      </c>
      <c r="W685" s="152" t="b">
        <f t="shared" si="208"/>
        <v>0</v>
      </c>
      <c r="X685" s="154">
        <f>LOOKUP(D685,'US Implicit Deflator'!A:A,'US Implicit Deflator'!B:B)/100</f>
        <v>9.0000000000000011E-3</v>
      </c>
      <c r="Y685" s="154">
        <f t="shared" si="202"/>
        <v>7.4692392313879807E-4</v>
      </c>
      <c r="Z685" s="165">
        <f t="shared" ca="1" si="203"/>
        <v>5.3779862126615452</v>
      </c>
      <c r="AA685" s="152">
        <f t="shared" si="204"/>
        <v>7</v>
      </c>
      <c r="AB685" s="153">
        <f t="shared" si="205"/>
        <v>42156</v>
      </c>
      <c r="AC685" s="155">
        <f t="shared" ca="1" si="206"/>
        <v>1.2697676887740559</v>
      </c>
    </row>
    <row r="686" spans="3:29">
      <c r="C686" s="152" t="str">
        <f>'Monthly Prices'!A674</f>
        <v>2015M07</v>
      </c>
      <c r="D686" s="153">
        <f t="shared" si="195"/>
        <v>42186</v>
      </c>
      <c r="E686" s="152">
        <f t="shared" si="196"/>
        <v>667</v>
      </c>
      <c r="F686" s="152" t="b">
        <f t="shared" si="190"/>
        <v>1</v>
      </c>
      <c r="G686" s="152" t="b">
        <f t="shared" si="191"/>
        <v>0</v>
      </c>
      <c r="H686" s="152" t="b">
        <f t="shared" si="192"/>
        <v>0</v>
      </c>
      <c r="I686" s="153" t="e">
        <f t="shared" si="193"/>
        <v>#N/A</v>
      </c>
      <c r="J686" s="158">
        <f>INDEX('Monthly Prices'!B674:CB674,$G$4)</f>
        <v>179.59681599999999</v>
      </c>
      <c r="K686" s="158" t="b">
        <f>IF(H686,INDEX('Monthly Prices'!B674:CB674,$G$4)*U686,FALSE)</f>
        <v>0</v>
      </c>
      <c r="L686" s="152" t="b">
        <f t="shared" si="197"/>
        <v>1</v>
      </c>
      <c r="M686" s="158">
        <f>INDEX('Monthly Prices'!B674:CB674,$G$5)</f>
        <v>124.00987499999999</v>
      </c>
      <c r="N686" s="158" t="b">
        <f>IF(H686,INDEX('Monthly Prices'!B674:CB674,$G$5)*U686,FALSE)</f>
        <v>0</v>
      </c>
      <c r="O686" s="152" t="b">
        <f t="shared" si="194"/>
        <v>1</v>
      </c>
      <c r="P686" s="152">
        <f t="shared" si="198"/>
        <v>2015</v>
      </c>
      <c r="Q686" s="159">
        <f>'Monthly Prices'!B674</f>
        <v>54.34</v>
      </c>
      <c r="R686" s="159">
        <f t="shared" si="199"/>
        <v>50.752777777778341</v>
      </c>
      <c r="S686" s="155">
        <f>_xlfn.XLOOKUP(P686,'Annual Real'!A:A,'Annual Real'!B:B,0,0)</f>
        <v>51.863717988552999</v>
      </c>
      <c r="T686" s="155">
        <f t="shared" ca="1" si="200"/>
        <v>1.2690297858557504</v>
      </c>
      <c r="U686" s="152">
        <f t="shared" ca="1" si="201"/>
        <v>1.2690297858557504</v>
      </c>
      <c r="V686" s="152" t="b">
        <f t="shared" si="207"/>
        <v>0</v>
      </c>
      <c r="W686" s="152" t="b">
        <f t="shared" si="208"/>
        <v>0</v>
      </c>
      <c r="X686" s="154">
        <f>LOOKUP(D686,'US Implicit Deflator'!A:A,'US Implicit Deflator'!B:B)/100</f>
        <v>6.9999999999999993E-3</v>
      </c>
      <c r="Y686" s="154">
        <f t="shared" si="202"/>
        <v>5.8147013295517525E-4</v>
      </c>
      <c r="Z686" s="165">
        <f t="shared" ca="1" si="203"/>
        <v>5.3811133510196525</v>
      </c>
      <c r="AA686" s="152">
        <f t="shared" si="204"/>
        <v>7</v>
      </c>
      <c r="AB686" s="153">
        <f t="shared" si="205"/>
        <v>42186</v>
      </c>
      <c r="AC686" s="155">
        <f t="shared" ca="1" si="206"/>
        <v>1.2690297858557504</v>
      </c>
    </row>
    <row r="687" spans="3:29">
      <c r="C687" s="152" t="str">
        <f>'Monthly Prices'!A675</f>
        <v>2015M08</v>
      </c>
      <c r="D687" s="153">
        <f t="shared" si="195"/>
        <v>42217</v>
      </c>
      <c r="E687" s="152">
        <f t="shared" si="196"/>
        <v>668</v>
      </c>
      <c r="F687" s="152" t="b">
        <f t="shared" si="190"/>
        <v>1</v>
      </c>
      <c r="G687" s="152" t="b">
        <f t="shared" si="191"/>
        <v>0</v>
      </c>
      <c r="H687" s="152" t="b">
        <f t="shared" si="192"/>
        <v>0</v>
      </c>
      <c r="I687" s="153" t="e">
        <f t="shared" si="193"/>
        <v>#N/A</v>
      </c>
      <c r="J687" s="158">
        <f>INDEX('Monthly Prices'!B675:CB675,$G$4)</f>
        <v>162.5937768</v>
      </c>
      <c r="K687" s="158" t="b">
        <f>IF(H687,INDEX('Monthly Prices'!B675:CB675,$G$4)*U687,FALSE)</f>
        <v>0</v>
      </c>
      <c r="L687" s="152" t="b">
        <f t="shared" si="197"/>
        <v>1</v>
      </c>
      <c r="M687" s="158">
        <f>INDEX('Monthly Prices'!B675:CB675,$G$5)</f>
        <v>110.69029583333</v>
      </c>
      <c r="N687" s="158" t="b">
        <f>IF(H687,INDEX('Monthly Prices'!B675:CB675,$G$5)*U687,FALSE)</f>
        <v>0</v>
      </c>
      <c r="O687" s="152" t="b">
        <f t="shared" si="194"/>
        <v>1</v>
      </c>
      <c r="P687" s="152">
        <f t="shared" si="198"/>
        <v>2015</v>
      </c>
      <c r="Q687" s="159">
        <f>'Monthly Prices'!B675</f>
        <v>45.69</v>
      </c>
      <c r="R687" s="159">
        <f t="shared" si="199"/>
        <v>50.752777777778341</v>
      </c>
      <c r="S687" s="155">
        <f>_xlfn.XLOOKUP(P687,'Annual Real'!A:A,'Annual Real'!B:B,0,0)</f>
        <v>51.863717988552999</v>
      </c>
      <c r="T687" s="155">
        <f t="shared" ca="1" si="200"/>
        <v>1.2682923117566072</v>
      </c>
      <c r="U687" s="152">
        <f t="shared" ca="1" si="201"/>
        <v>1.2682923117566072</v>
      </c>
      <c r="V687" s="152" t="b">
        <f t="shared" si="207"/>
        <v>0</v>
      </c>
      <c r="W687" s="152" t="b">
        <f t="shared" si="208"/>
        <v>0</v>
      </c>
      <c r="X687" s="154">
        <f>LOOKUP(D687,'US Implicit Deflator'!A:A,'US Implicit Deflator'!B:B)/100</f>
        <v>6.9999999999999993E-3</v>
      </c>
      <c r="Y687" s="154">
        <f t="shared" si="202"/>
        <v>5.8147013295517525E-4</v>
      </c>
      <c r="Z687" s="165">
        <f t="shared" ca="1" si="203"/>
        <v>5.3842423077153168</v>
      </c>
      <c r="AA687" s="152">
        <f t="shared" si="204"/>
        <v>7</v>
      </c>
      <c r="AB687" s="153">
        <f t="shared" si="205"/>
        <v>42217</v>
      </c>
      <c r="AC687" s="155">
        <f t="shared" ca="1" si="206"/>
        <v>1.2682923117566072</v>
      </c>
    </row>
    <row r="688" spans="3:29">
      <c r="C688" s="152" t="str">
        <f>'Monthly Prices'!A676</f>
        <v>2015M09</v>
      </c>
      <c r="D688" s="153">
        <f t="shared" si="195"/>
        <v>42248</v>
      </c>
      <c r="E688" s="152">
        <f t="shared" si="196"/>
        <v>669</v>
      </c>
      <c r="F688" s="152" t="b">
        <f t="shared" si="190"/>
        <v>1</v>
      </c>
      <c r="G688" s="152" t="b">
        <f t="shared" si="191"/>
        <v>0</v>
      </c>
      <c r="H688" s="152" t="b">
        <f t="shared" si="192"/>
        <v>0</v>
      </c>
      <c r="I688" s="153" t="e">
        <f t="shared" si="193"/>
        <v>#N/A</v>
      </c>
      <c r="J688" s="158">
        <f>INDEX('Monthly Prices'!B676:CB676,$G$4)</f>
        <v>165.62117599999999</v>
      </c>
      <c r="K688" s="158" t="b">
        <f>IF(H688,INDEX('Monthly Prices'!B676:CB676,$G$4)*U688,FALSE)</f>
        <v>0</v>
      </c>
      <c r="L688" s="152" t="b">
        <f t="shared" si="197"/>
        <v>1</v>
      </c>
      <c r="M688" s="158">
        <f>INDEX('Monthly Prices'!B676:CB676,$G$5)</f>
        <v>109.77170416667001</v>
      </c>
      <c r="N688" s="158" t="b">
        <f>IF(H688,INDEX('Monthly Prices'!B676:CB676,$G$5)*U688,FALSE)</f>
        <v>0</v>
      </c>
      <c r="O688" s="152" t="b">
        <f t="shared" si="194"/>
        <v>1</v>
      </c>
      <c r="P688" s="152">
        <f t="shared" si="198"/>
        <v>2015</v>
      </c>
      <c r="Q688" s="159">
        <f>'Monthly Prices'!B676</f>
        <v>46.28</v>
      </c>
      <c r="R688" s="159">
        <f t="shared" si="199"/>
        <v>50.752777777778341</v>
      </c>
      <c r="S688" s="155">
        <f>_xlfn.XLOOKUP(P688,'Annual Real'!A:A,'Annual Real'!B:B,0,0)</f>
        <v>51.863717988552999</v>
      </c>
      <c r="T688" s="155">
        <f t="shared" ca="1" si="200"/>
        <v>1.2675552662274259</v>
      </c>
      <c r="U688" s="152">
        <f t="shared" ca="1" si="201"/>
        <v>1.2675552662274259</v>
      </c>
      <c r="V688" s="152" t="b">
        <f t="shared" si="207"/>
        <v>0</v>
      </c>
      <c r="W688" s="152" t="b">
        <f t="shared" si="208"/>
        <v>0</v>
      </c>
      <c r="X688" s="154">
        <f>LOOKUP(D688,'US Implicit Deflator'!A:A,'US Implicit Deflator'!B:B)/100</f>
        <v>6.9999999999999993E-3</v>
      </c>
      <c r="Y688" s="154">
        <f t="shared" si="202"/>
        <v>5.8147013295517525E-4</v>
      </c>
      <c r="Z688" s="165">
        <f t="shared" ca="1" si="203"/>
        <v>5.3873730838058469</v>
      </c>
      <c r="AA688" s="152">
        <f t="shared" si="204"/>
        <v>7</v>
      </c>
      <c r="AB688" s="153">
        <f t="shared" si="205"/>
        <v>42248</v>
      </c>
      <c r="AC688" s="155">
        <f t="shared" ca="1" si="206"/>
        <v>1.2675552662274259</v>
      </c>
    </row>
    <row r="689" spans="3:29">
      <c r="C689" s="152" t="str">
        <f>'Monthly Prices'!A677</f>
        <v>2015M10</v>
      </c>
      <c r="D689" s="153">
        <f t="shared" si="195"/>
        <v>42278</v>
      </c>
      <c r="E689" s="152">
        <f t="shared" si="196"/>
        <v>670</v>
      </c>
      <c r="F689" s="152" t="b">
        <f t="shared" si="190"/>
        <v>1</v>
      </c>
      <c r="G689" s="152" t="b">
        <f t="shared" si="191"/>
        <v>0</v>
      </c>
      <c r="H689" s="152" t="b">
        <f t="shared" si="192"/>
        <v>0</v>
      </c>
      <c r="I689" s="153" t="e">
        <f t="shared" si="193"/>
        <v>#N/A</v>
      </c>
      <c r="J689" s="158">
        <f>INDEX('Monthly Prices'!B677:CB677,$G$4)</f>
        <v>171.388588</v>
      </c>
      <c r="K689" s="158" t="b">
        <f>IF(H689,INDEX('Monthly Prices'!B677:CB677,$G$4)*U689,FALSE)</f>
        <v>0</v>
      </c>
      <c r="L689" s="152" t="b">
        <f t="shared" si="197"/>
        <v>1</v>
      </c>
      <c r="M689" s="158">
        <f>INDEX('Monthly Prices'!B677:CB677,$G$5)</f>
        <v>118.03902916667001</v>
      </c>
      <c r="N689" s="158" t="b">
        <f>IF(H689,INDEX('Monthly Prices'!B677:CB677,$G$5)*U689,FALSE)</f>
        <v>0</v>
      </c>
      <c r="O689" s="152" t="b">
        <f t="shared" si="194"/>
        <v>1</v>
      </c>
      <c r="P689" s="152">
        <f t="shared" si="198"/>
        <v>2015</v>
      </c>
      <c r="Q689" s="159">
        <f>'Monthly Prices'!B677</f>
        <v>46.956666666670003</v>
      </c>
      <c r="R689" s="159">
        <f t="shared" si="199"/>
        <v>50.752777777778341</v>
      </c>
      <c r="S689" s="155">
        <f>_xlfn.XLOOKUP(P689,'Annual Real'!A:A,'Annual Real'!B:B,0,0)</f>
        <v>51.863717988552999</v>
      </c>
      <c r="T689" s="155">
        <f t="shared" ca="1" si="200"/>
        <v>1.2669235398287146</v>
      </c>
      <c r="U689" s="152">
        <f t="shared" ca="1" si="201"/>
        <v>1.2669235398287146</v>
      </c>
      <c r="V689" s="152" t="b">
        <f t="shared" si="207"/>
        <v>0</v>
      </c>
      <c r="W689" s="152" t="b">
        <f t="shared" si="208"/>
        <v>0</v>
      </c>
      <c r="X689" s="154">
        <f>LOOKUP(D689,'US Implicit Deflator'!A:A,'US Implicit Deflator'!B:B)/100</f>
        <v>6.0000000000000001E-3</v>
      </c>
      <c r="Y689" s="154">
        <f t="shared" si="202"/>
        <v>4.9863024788132648E-4</v>
      </c>
      <c r="Z689" s="165">
        <f t="shared" ca="1" si="203"/>
        <v>5.3900593909820538</v>
      </c>
      <c r="AA689" s="152">
        <f t="shared" si="204"/>
        <v>7</v>
      </c>
      <c r="AB689" s="153">
        <f t="shared" si="205"/>
        <v>42278</v>
      </c>
      <c r="AC689" s="155">
        <f t="shared" ca="1" si="206"/>
        <v>1.2669235398287146</v>
      </c>
    </row>
    <row r="690" spans="3:29">
      <c r="C690" s="152" t="str">
        <f>'Monthly Prices'!A678</f>
        <v>2015M11</v>
      </c>
      <c r="D690" s="153">
        <f t="shared" si="195"/>
        <v>42309</v>
      </c>
      <c r="E690" s="152">
        <f t="shared" si="196"/>
        <v>671</v>
      </c>
      <c r="F690" s="152" t="b">
        <f t="shared" si="190"/>
        <v>1</v>
      </c>
      <c r="G690" s="152" t="b">
        <f t="shared" si="191"/>
        <v>0</v>
      </c>
      <c r="H690" s="152" t="b">
        <f t="shared" si="192"/>
        <v>0</v>
      </c>
      <c r="I690" s="153" t="e">
        <f t="shared" si="193"/>
        <v>#N/A</v>
      </c>
      <c r="J690" s="158">
        <f>INDEX('Monthly Prices'!B678:CB678,$G$4)</f>
        <v>166.1565808</v>
      </c>
      <c r="K690" s="158" t="b">
        <f>IF(H690,INDEX('Monthly Prices'!B678:CB678,$G$4)*U690,FALSE)</f>
        <v>0</v>
      </c>
      <c r="L690" s="152" t="b">
        <f t="shared" si="197"/>
        <v>1</v>
      </c>
      <c r="M690" s="158">
        <f>INDEX('Monthly Prices'!B678:CB678,$G$5)</f>
        <v>119.41691666667001</v>
      </c>
      <c r="N690" s="158" t="b">
        <f>IF(H690,INDEX('Monthly Prices'!B678:CB678,$G$5)*U690,FALSE)</f>
        <v>0</v>
      </c>
      <c r="O690" s="152" t="b">
        <f t="shared" si="194"/>
        <v>1</v>
      </c>
      <c r="P690" s="152">
        <f t="shared" si="198"/>
        <v>2015</v>
      </c>
      <c r="Q690" s="159">
        <f>'Monthly Prices'!B678</f>
        <v>43.113333333329997</v>
      </c>
      <c r="R690" s="159">
        <f t="shared" si="199"/>
        <v>50.752777777778341</v>
      </c>
      <c r="S690" s="155">
        <f>_xlfn.XLOOKUP(P690,'Annual Real'!A:A,'Annual Real'!B:B,0,0)</f>
        <v>51.863717988552999</v>
      </c>
      <c r="T690" s="155">
        <f t="shared" ca="1" si="200"/>
        <v>1.2662921282709048</v>
      </c>
      <c r="U690" s="152">
        <f t="shared" ca="1" si="201"/>
        <v>1.2662921282709048</v>
      </c>
      <c r="V690" s="152" t="b">
        <f t="shared" si="207"/>
        <v>0</v>
      </c>
      <c r="W690" s="152" t="b">
        <f t="shared" si="208"/>
        <v>0</v>
      </c>
      <c r="X690" s="154">
        <f>LOOKUP(D690,'US Implicit Deflator'!A:A,'US Implicit Deflator'!B:B)/100</f>
        <v>6.0000000000000001E-3</v>
      </c>
      <c r="Y690" s="154">
        <f t="shared" si="202"/>
        <v>4.9863024788132648E-4</v>
      </c>
      <c r="Z690" s="165">
        <f t="shared" ca="1" si="203"/>
        <v>5.3927470376322741</v>
      </c>
      <c r="AA690" s="152">
        <f t="shared" si="204"/>
        <v>7</v>
      </c>
      <c r="AB690" s="153">
        <f t="shared" si="205"/>
        <v>42309</v>
      </c>
      <c r="AC690" s="155">
        <f t="shared" ca="1" si="206"/>
        <v>1.2662921282709048</v>
      </c>
    </row>
    <row r="691" spans="3:29">
      <c r="C691" s="152" t="str">
        <f>'Monthly Prices'!A679</f>
        <v>2015M12</v>
      </c>
      <c r="D691" s="153">
        <f t="shared" si="195"/>
        <v>42339</v>
      </c>
      <c r="E691" s="152">
        <f t="shared" si="196"/>
        <v>672</v>
      </c>
      <c r="F691" s="152" t="b">
        <f t="shared" si="190"/>
        <v>1</v>
      </c>
      <c r="G691" s="152" t="b">
        <f t="shared" si="191"/>
        <v>0</v>
      </c>
      <c r="H691" s="152" t="b">
        <f t="shared" si="192"/>
        <v>0</v>
      </c>
      <c r="I691" s="153" t="e">
        <f t="shared" si="193"/>
        <v>#N/A</v>
      </c>
      <c r="J691" s="158">
        <f>INDEX('Monthly Prices'!B679:CB679,$G$4)</f>
        <v>163.948036</v>
      </c>
      <c r="K691" s="158" t="b">
        <f>IF(H691,INDEX('Monthly Prices'!B679:CB679,$G$4)*U691,FALSE)</f>
        <v>0</v>
      </c>
      <c r="L691" s="152" t="b">
        <f t="shared" si="197"/>
        <v>1</v>
      </c>
      <c r="M691" s="158">
        <f>INDEX('Monthly Prices'!B679:CB679,$G$5)</f>
        <v>119.41691666667001</v>
      </c>
      <c r="N691" s="158" t="b">
        <f>IF(H691,INDEX('Monthly Prices'!B679:CB679,$G$5)*U691,FALSE)</f>
        <v>0</v>
      </c>
      <c r="O691" s="152" t="b">
        <f t="shared" si="194"/>
        <v>1</v>
      </c>
      <c r="P691" s="152">
        <f t="shared" si="198"/>
        <v>2015</v>
      </c>
      <c r="Q691" s="159">
        <f>'Monthly Prices'!B679</f>
        <v>36.573333333329998</v>
      </c>
      <c r="R691" s="159">
        <f t="shared" si="199"/>
        <v>50.752777777778341</v>
      </c>
      <c r="S691" s="155">
        <f>_xlfn.XLOOKUP(P691,'Annual Real'!A:A,'Annual Real'!B:B,0,0)</f>
        <v>51.863717988552999</v>
      </c>
      <c r="T691" s="155">
        <f t="shared" ca="1" si="200"/>
        <v>1.2656610313970853</v>
      </c>
      <c r="U691" s="152">
        <f t="shared" ca="1" si="201"/>
        <v>1.2656610313970853</v>
      </c>
      <c r="V691" s="152" t="b">
        <f t="shared" si="207"/>
        <v>0</v>
      </c>
      <c r="W691" s="152" t="b">
        <f t="shared" si="208"/>
        <v>0</v>
      </c>
      <c r="X691" s="154">
        <f>LOOKUP(D691,'US Implicit Deflator'!A:A,'US Implicit Deflator'!B:B)/100</f>
        <v>6.0000000000000001E-3</v>
      </c>
      <c r="Y691" s="154">
        <f t="shared" si="202"/>
        <v>4.9863024788132648E-4</v>
      </c>
      <c r="Z691" s="165">
        <f t="shared" ca="1" si="203"/>
        <v>5.3954360244244102</v>
      </c>
      <c r="AA691" s="152">
        <f t="shared" si="204"/>
        <v>7</v>
      </c>
      <c r="AB691" s="153">
        <f t="shared" si="205"/>
        <v>42339</v>
      </c>
      <c r="AC691" s="155">
        <f t="shared" ca="1" si="206"/>
        <v>1.2656610313970853</v>
      </c>
    </row>
    <row r="692" spans="3:29">
      <c r="C692" s="152" t="str">
        <f>'Monthly Prices'!A680</f>
        <v>2016M01</v>
      </c>
      <c r="D692" s="153">
        <f t="shared" si="195"/>
        <v>42370</v>
      </c>
      <c r="E692" s="152">
        <f t="shared" si="196"/>
        <v>673</v>
      </c>
      <c r="F692" s="152" t="b">
        <f t="shared" si="190"/>
        <v>1</v>
      </c>
      <c r="G692" s="152" t="b">
        <f t="shared" si="191"/>
        <v>0</v>
      </c>
      <c r="H692" s="152" t="b">
        <f t="shared" si="192"/>
        <v>0</v>
      </c>
      <c r="I692" s="153" t="e">
        <f t="shared" si="193"/>
        <v>#N/A</v>
      </c>
      <c r="J692" s="158">
        <f>INDEX('Monthly Prices'!B680:CB680,$G$4)</f>
        <v>161.0269304</v>
      </c>
      <c r="K692" s="158" t="b">
        <f>IF(H692,INDEX('Monthly Prices'!B680:CB680,$G$4)*U692,FALSE)</f>
        <v>0</v>
      </c>
      <c r="L692" s="152" t="b">
        <f t="shared" si="197"/>
        <v>1</v>
      </c>
      <c r="M692" s="158">
        <f>INDEX('Monthly Prices'!B680:CB680,$G$5)</f>
        <v>118.49832499999999</v>
      </c>
      <c r="N692" s="158" t="b">
        <f>IF(H692,INDEX('Monthly Prices'!B680:CB680,$G$5)*U692,FALSE)</f>
        <v>0</v>
      </c>
      <c r="O692" s="152" t="b">
        <f t="shared" si="194"/>
        <v>1</v>
      </c>
      <c r="P692" s="152">
        <f t="shared" si="198"/>
        <v>2016</v>
      </c>
      <c r="Q692" s="159">
        <f>'Monthly Prices'!B680</f>
        <v>29.78</v>
      </c>
      <c r="R692" s="159">
        <f t="shared" si="199"/>
        <v>42.811944444444997</v>
      </c>
      <c r="S692" s="155">
        <f>_xlfn.XLOOKUP(P692,'Annual Real'!A:A,'Annual Real'!B:B,0,0)</f>
        <v>45.528322217026698</v>
      </c>
      <c r="T692" s="155">
        <f t="shared" ca="1" si="200"/>
        <v>1.2651350959571084</v>
      </c>
      <c r="U692" s="152">
        <f t="shared" ca="1" si="201"/>
        <v>1.2651350959571084</v>
      </c>
      <c r="V692" s="152" t="b">
        <f t="shared" si="207"/>
        <v>0</v>
      </c>
      <c r="W692" s="152" t="b">
        <f t="shared" si="208"/>
        <v>0</v>
      </c>
      <c r="X692" s="154">
        <f>LOOKUP(D692,'US Implicit Deflator'!A:A,'US Implicit Deflator'!B:B)/100</f>
        <v>5.0000000000000001E-3</v>
      </c>
      <c r="Y692" s="154">
        <f t="shared" si="202"/>
        <v>4.1571484472902043E-4</v>
      </c>
      <c r="Z692" s="165">
        <f t="shared" ca="1" si="203"/>
        <v>5.3976789872735491</v>
      </c>
      <c r="AA692" s="152">
        <f t="shared" si="204"/>
        <v>7</v>
      </c>
      <c r="AB692" s="153">
        <f t="shared" si="205"/>
        <v>42370</v>
      </c>
      <c r="AC692" s="155">
        <f t="shared" ca="1" si="206"/>
        <v>1.2651350959571084</v>
      </c>
    </row>
    <row r="693" spans="3:29">
      <c r="C693" s="152" t="str">
        <f>'Monthly Prices'!A681</f>
        <v>2016M02</v>
      </c>
      <c r="D693" s="153">
        <f t="shared" si="195"/>
        <v>42401</v>
      </c>
      <c r="E693" s="152">
        <f t="shared" si="196"/>
        <v>674</v>
      </c>
      <c r="F693" s="152" t="b">
        <f t="shared" si="190"/>
        <v>1</v>
      </c>
      <c r="G693" s="152" t="b">
        <f t="shared" si="191"/>
        <v>0</v>
      </c>
      <c r="H693" s="152" t="b">
        <f t="shared" si="192"/>
        <v>0</v>
      </c>
      <c r="I693" s="153" t="e">
        <f t="shared" si="193"/>
        <v>#N/A</v>
      </c>
      <c r="J693" s="158">
        <f>INDEX('Monthly Prices'!B681:CB681,$G$4)</f>
        <v>159.67660799999999</v>
      </c>
      <c r="K693" s="158" t="b">
        <f>IF(H693,INDEX('Monthly Prices'!B681:CB681,$G$4)*U693,FALSE)</f>
        <v>0</v>
      </c>
      <c r="L693" s="152" t="b">
        <f t="shared" si="197"/>
        <v>1</v>
      </c>
      <c r="M693" s="158">
        <f>INDEX('Monthly Prices'!B681:CB681,$G$5)</f>
        <v>114.82395833333</v>
      </c>
      <c r="N693" s="158" t="b">
        <f>IF(H693,INDEX('Monthly Prices'!B681:CB681,$G$5)*U693,FALSE)</f>
        <v>0</v>
      </c>
      <c r="O693" s="152" t="b">
        <f t="shared" si="194"/>
        <v>1</v>
      </c>
      <c r="P693" s="152">
        <f t="shared" si="198"/>
        <v>2016</v>
      </c>
      <c r="Q693" s="159">
        <f>'Monthly Prices'!B681</f>
        <v>31.03</v>
      </c>
      <c r="R693" s="159">
        <f t="shared" si="199"/>
        <v>42.811944444444997</v>
      </c>
      <c r="S693" s="155">
        <f>_xlfn.XLOOKUP(P693,'Annual Real'!A:A,'Annual Real'!B:B,0,0)</f>
        <v>45.528322217026698</v>
      </c>
      <c r="T693" s="155">
        <f t="shared" ca="1" si="200"/>
        <v>1.2646093790654473</v>
      </c>
      <c r="U693" s="152">
        <f t="shared" ca="1" si="201"/>
        <v>1.2646093790654473</v>
      </c>
      <c r="V693" s="152" t="b">
        <f t="shared" si="207"/>
        <v>0</v>
      </c>
      <c r="W693" s="152" t="b">
        <f t="shared" si="208"/>
        <v>0</v>
      </c>
      <c r="X693" s="154">
        <f>LOOKUP(D693,'US Implicit Deflator'!A:A,'US Implicit Deflator'!B:B)/100</f>
        <v>5.0000000000000001E-3</v>
      </c>
      <c r="Y693" s="154">
        <f t="shared" si="202"/>
        <v>4.1571484472902043E-4</v>
      </c>
      <c r="Z693" s="165">
        <f t="shared" ca="1" si="203"/>
        <v>5.3999228825556402</v>
      </c>
      <c r="AA693" s="152">
        <f t="shared" si="204"/>
        <v>7</v>
      </c>
      <c r="AB693" s="153">
        <f t="shared" si="205"/>
        <v>42401</v>
      </c>
      <c r="AC693" s="155">
        <f t="shared" ca="1" si="206"/>
        <v>1.2646093790654473</v>
      </c>
    </row>
    <row r="694" spans="3:29">
      <c r="C694" s="152" t="str">
        <f>'Monthly Prices'!A682</f>
        <v>2016M03</v>
      </c>
      <c r="D694" s="153">
        <f t="shared" si="195"/>
        <v>42430</v>
      </c>
      <c r="E694" s="152">
        <f t="shared" si="196"/>
        <v>675</v>
      </c>
      <c r="F694" s="152" t="b">
        <f t="shared" si="190"/>
        <v>1</v>
      </c>
      <c r="G694" s="152" t="b">
        <f t="shared" si="191"/>
        <v>0</v>
      </c>
      <c r="H694" s="152" t="b">
        <f t="shared" si="192"/>
        <v>0</v>
      </c>
      <c r="I694" s="153" t="e">
        <f t="shared" si="193"/>
        <v>#N/A</v>
      </c>
      <c r="J694" s="158">
        <f>INDEX('Monthly Prices'!B682:CB682,$G$4)</f>
        <v>159.13726639999999</v>
      </c>
      <c r="K694" s="158" t="b">
        <f>IF(H694,INDEX('Monthly Prices'!B682:CB682,$G$4)*U694,FALSE)</f>
        <v>0</v>
      </c>
      <c r="L694" s="152" t="b">
        <f t="shared" si="197"/>
        <v>1</v>
      </c>
      <c r="M694" s="158">
        <f>INDEX('Monthly Prices'!B682:CB682,$G$5)</f>
        <v>112.98677499999999</v>
      </c>
      <c r="N694" s="158" t="b">
        <f>IF(H694,INDEX('Monthly Prices'!B682:CB682,$G$5)*U694,FALSE)</f>
        <v>0</v>
      </c>
      <c r="O694" s="152" t="b">
        <f t="shared" si="194"/>
        <v>1</v>
      </c>
      <c r="P694" s="152">
        <f t="shared" si="198"/>
        <v>2016</v>
      </c>
      <c r="Q694" s="159">
        <f>'Monthly Prices'!B682</f>
        <v>37.340000000000003</v>
      </c>
      <c r="R694" s="159">
        <f t="shared" si="199"/>
        <v>42.811944444444997</v>
      </c>
      <c r="S694" s="155">
        <f>_xlfn.XLOOKUP(P694,'Annual Real'!A:A,'Annual Real'!B:B,0,0)</f>
        <v>45.528322217026698</v>
      </c>
      <c r="T694" s="155">
        <f t="shared" ca="1" si="200"/>
        <v>1.2640838806312864</v>
      </c>
      <c r="U694" s="152">
        <f t="shared" ca="1" si="201"/>
        <v>1.2640838806312864</v>
      </c>
      <c r="V694" s="152" t="b">
        <f t="shared" si="207"/>
        <v>0</v>
      </c>
      <c r="W694" s="152" t="b">
        <f t="shared" si="208"/>
        <v>0</v>
      </c>
      <c r="X694" s="154">
        <f>LOOKUP(D694,'US Implicit Deflator'!A:A,'US Implicit Deflator'!B:B)/100</f>
        <v>5.0000000000000001E-3</v>
      </c>
      <c r="Y694" s="154">
        <f t="shared" si="202"/>
        <v>4.1571484472902043E-4</v>
      </c>
      <c r="Z694" s="165">
        <f t="shared" ca="1" si="203"/>
        <v>5.4021677106583104</v>
      </c>
      <c r="AA694" s="152">
        <f t="shared" si="204"/>
        <v>7</v>
      </c>
      <c r="AB694" s="153">
        <f t="shared" si="205"/>
        <v>42430</v>
      </c>
      <c r="AC694" s="155">
        <f t="shared" ca="1" si="206"/>
        <v>1.2640838806312864</v>
      </c>
    </row>
    <row r="695" spans="3:29">
      <c r="C695" s="152" t="str">
        <f>'Monthly Prices'!A683</f>
        <v>2016M04</v>
      </c>
      <c r="D695" s="153">
        <f t="shared" si="195"/>
        <v>42461</v>
      </c>
      <c r="E695" s="152">
        <f t="shared" si="196"/>
        <v>676</v>
      </c>
      <c r="F695" s="152" t="b">
        <f t="shared" si="190"/>
        <v>1</v>
      </c>
      <c r="G695" s="152" t="b">
        <f t="shared" si="191"/>
        <v>0</v>
      </c>
      <c r="H695" s="152" t="b">
        <f t="shared" si="192"/>
        <v>0</v>
      </c>
      <c r="I695" s="153" t="e">
        <f t="shared" si="193"/>
        <v>#N/A</v>
      </c>
      <c r="J695" s="158">
        <f>INDEX('Monthly Prices'!B683:CB683,$G$4)</f>
        <v>164.4125784</v>
      </c>
      <c r="K695" s="158" t="b">
        <f>IF(H695,INDEX('Monthly Prices'!B683:CB683,$G$4)*U695,FALSE)</f>
        <v>0</v>
      </c>
      <c r="L695" s="152" t="b">
        <f t="shared" si="197"/>
        <v>1</v>
      </c>
      <c r="M695" s="158">
        <f>INDEX('Monthly Prices'!B683:CB683,$G$5)</f>
        <v>112.52747916667001</v>
      </c>
      <c r="N695" s="158" t="b">
        <f>IF(H695,INDEX('Monthly Prices'!B683:CB683,$G$5)*U695,FALSE)</f>
        <v>0</v>
      </c>
      <c r="O695" s="152" t="b">
        <f t="shared" si="194"/>
        <v>1</v>
      </c>
      <c r="P695" s="152">
        <f t="shared" si="198"/>
        <v>2016</v>
      </c>
      <c r="Q695" s="159">
        <f>'Monthly Prices'!B683</f>
        <v>40.75</v>
      </c>
      <c r="R695" s="159">
        <f t="shared" si="199"/>
        <v>42.811944444444997</v>
      </c>
      <c r="S695" s="155">
        <f>_xlfn.XLOOKUP(P695,'Annual Real'!A:A,'Annual Real'!B:B,0,0)</f>
        <v>45.528322217026698</v>
      </c>
      <c r="T695" s="155">
        <f t="shared" ca="1" si="200"/>
        <v>1.2632447896786063</v>
      </c>
      <c r="U695" s="152">
        <f t="shared" ca="1" si="201"/>
        <v>1.2632447896786063</v>
      </c>
      <c r="V695" s="152" t="b">
        <f t="shared" si="207"/>
        <v>0</v>
      </c>
      <c r="W695" s="152" t="b">
        <f t="shared" si="208"/>
        <v>0</v>
      </c>
      <c r="X695" s="154">
        <f>LOOKUP(D695,'US Implicit Deflator'!A:A,'US Implicit Deflator'!B:B)/100</f>
        <v>8.0000000000000002E-3</v>
      </c>
      <c r="Y695" s="154">
        <f t="shared" si="202"/>
        <v>6.6423464362252993E-4</v>
      </c>
      <c r="Z695" s="165">
        <f t="shared" ca="1" si="203"/>
        <v>5.4057560176023882</v>
      </c>
      <c r="AA695" s="152">
        <f t="shared" si="204"/>
        <v>7</v>
      </c>
      <c r="AB695" s="153">
        <f t="shared" si="205"/>
        <v>42461</v>
      </c>
      <c r="AC695" s="155">
        <f t="shared" ca="1" si="206"/>
        <v>1.2632447896786063</v>
      </c>
    </row>
    <row r="696" spans="3:29">
      <c r="C696" s="152" t="str">
        <f>'Monthly Prices'!A684</f>
        <v>2016M05</v>
      </c>
      <c r="D696" s="153">
        <f t="shared" si="195"/>
        <v>42491</v>
      </c>
      <c r="E696" s="152">
        <f t="shared" si="196"/>
        <v>677</v>
      </c>
      <c r="F696" s="152" t="b">
        <f t="shared" si="190"/>
        <v>1</v>
      </c>
      <c r="G696" s="152" t="b">
        <f t="shared" si="191"/>
        <v>0</v>
      </c>
      <c r="H696" s="152" t="b">
        <f t="shared" si="192"/>
        <v>0</v>
      </c>
      <c r="I696" s="153" t="e">
        <f t="shared" si="193"/>
        <v>#N/A</v>
      </c>
      <c r="J696" s="158">
        <f>INDEX('Monthly Prices'!B684:CB684,$G$4)</f>
        <v>168.9556456</v>
      </c>
      <c r="K696" s="158" t="b">
        <f>IF(H696,INDEX('Monthly Prices'!B684:CB684,$G$4)*U696,FALSE)</f>
        <v>0</v>
      </c>
      <c r="L696" s="152" t="b">
        <f t="shared" si="197"/>
        <v>1</v>
      </c>
      <c r="M696" s="158">
        <f>INDEX('Monthly Prices'!B684:CB684,$G$5)</f>
        <v>112.06818333333</v>
      </c>
      <c r="N696" s="158" t="b">
        <f>IF(H696,INDEX('Monthly Prices'!B684:CB684,$G$5)*U696,FALSE)</f>
        <v>0</v>
      </c>
      <c r="O696" s="152" t="b">
        <f t="shared" si="194"/>
        <v>1</v>
      </c>
      <c r="P696" s="152">
        <f t="shared" si="198"/>
        <v>2016</v>
      </c>
      <c r="Q696" s="159">
        <f>'Monthly Prices'!B684</f>
        <v>45.93666666667</v>
      </c>
      <c r="R696" s="159">
        <f t="shared" si="199"/>
        <v>42.811944444444997</v>
      </c>
      <c r="S696" s="155">
        <f>_xlfn.XLOOKUP(P696,'Annual Real'!A:A,'Annual Real'!B:B,0,0)</f>
        <v>45.528322217026698</v>
      </c>
      <c r="T696" s="155">
        <f t="shared" ca="1" si="200"/>
        <v>1.2624062557092384</v>
      </c>
      <c r="U696" s="152">
        <f t="shared" ca="1" si="201"/>
        <v>1.2624062557092384</v>
      </c>
      <c r="V696" s="152" t="b">
        <f t="shared" si="207"/>
        <v>0</v>
      </c>
      <c r="W696" s="152" t="b">
        <f t="shared" si="208"/>
        <v>0</v>
      </c>
      <c r="X696" s="154">
        <f>LOOKUP(D696,'US Implicit Deflator'!A:A,'US Implicit Deflator'!B:B)/100</f>
        <v>8.0000000000000002E-3</v>
      </c>
      <c r="Y696" s="154">
        <f t="shared" si="202"/>
        <v>6.6423464362252993E-4</v>
      </c>
      <c r="Z696" s="165">
        <f t="shared" ca="1" si="203"/>
        <v>5.409346708024251</v>
      </c>
      <c r="AA696" s="152">
        <f t="shared" si="204"/>
        <v>7</v>
      </c>
      <c r="AB696" s="153">
        <f t="shared" si="205"/>
        <v>42491</v>
      </c>
      <c r="AC696" s="155">
        <f t="shared" ca="1" si="206"/>
        <v>1.2624062557092384</v>
      </c>
    </row>
    <row r="697" spans="3:29">
      <c r="C697" s="152" t="str">
        <f>'Monthly Prices'!A685</f>
        <v>2016M06</v>
      </c>
      <c r="D697" s="153">
        <f t="shared" si="195"/>
        <v>42522</v>
      </c>
      <c r="E697" s="152">
        <f t="shared" si="196"/>
        <v>678</v>
      </c>
      <c r="F697" s="152" t="b">
        <f t="shared" si="190"/>
        <v>1</v>
      </c>
      <c r="G697" s="152" t="b">
        <f t="shared" si="191"/>
        <v>0</v>
      </c>
      <c r="H697" s="152" t="b">
        <f t="shared" si="192"/>
        <v>0</v>
      </c>
      <c r="I697" s="153" t="e">
        <f t="shared" si="193"/>
        <v>#N/A</v>
      </c>
      <c r="J697" s="158">
        <f>INDEX('Monthly Prices'!B685:CB685,$G$4)</f>
        <v>179.87239199999999</v>
      </c>
      <c r="K697" s="158" t="b">
        <f>IF(H697,INDEX('Monthly Prices'!B685:CB685,$G$4)*U697,FALSE)</f>
        <v>0</v>
      </c>
      <c r="L697" s="152" t="b">
        <f t="shared" si="197"/>
        <v>1</v>
      </c>
      <c r="M697" s="158">
        <f>INDEX('Monthly Prices'!B685:CB685,$G$5)</f>
        <v>108.39381666667001</v>
      </c>
      <c r="N697" s="158" t="b">
        <f>IF(H697,INDEX('Monthly Prices'!B685:CB685,$G$5)*U697,FALSE)</f>
        <v>0</v>
      </c>
      <c r="O697" s="152" t="b">
        <f t="shared" si="194"/>
        <v>1</v>
      </c>
      <c r="P697" s="152">
        <f t="shared" si="198"/>
        <v>2016</v>
      </c>
      <c r="Q697" s="159">
        <f>'Monthly Prices'!B685</f>
        <v>47.68666666667</v>
      </c>
      <c r="R697" s="159">
        <f t="shared" si="199"/>
        <v>42.811944444444997</v>
      </c>
      <c r="S697" s="155">
        <f>_xlfn.XLOOKUP(P697,'Annual Real'!A:A,'Annual Real'!B:B,0,0)</f>
        <v>45.528322217026698</v>
      </c>
      <c r="T697" s="155">
        <f t="shared" ca="1" si="200"/>
        <v>1.2615682783534605</v>
      </c>
      <c r="U697" s="152">
        <f t="shared" ca="1" si="201"/>
        <v>1.2615682783534605</v>
      </c>
      <c r="V697" s="152" t="b">
        <f t="shared" si="207"/>
        <v>0</v>
      </c>
      <c r="W697" s="152" t="b">
        <f t="shared" si="208"/>
        <v>0</v>
      </c>
      <c r="X697" s="154">
        <f>LOOKUP(D697,'US Implicit Deflator'!A:A,'US Implicit Deflator'!B:B)/100</f>
        <v>8.0000000000000002E-3</v>
      </c>
      <c r="Y697" s="154">
        <f t="shared" si="202"/>
        <v>6.6423464362252993E-4</v>
      </c>
      <c r="Z697" s="165">
        <f t="shared" ca="1" si="203"/>
        <v>5.4129397835070865</v>
      </c>
      <c r="AA697" s="152">
        <f t="shared" si="204"/>
        <v>7</v>
      </c>
      <c r="AB697" s="153">
        <f t="shared" si="205"/>
        <v>42522</v>
      </c>
      <c r="AC697" s="155">
        <f t="shared" ca="1" si="206"/>
        <v>1.2615682783534605</v>
      </c>
    </row>
    <row r="698" spans="3:29">
      <c r="C698" s="152" t="str">
        <f>'Monthly Prices'!A686</f>
        <v>2016M07</v>
      </c>
      <c r="D698" s="153">
        <f t="shared" si="195"/>
        <v>42552</v>
      </c>
      <c r="E698" s="152">
        <f t="shared" si="196"/>
        <v>679</v>
      </c>
      <c r="F698" s="152" t="b">
        <f t="shared" si="190"/>
        <v>1</v>
      </c>
      <c r="G698" s="152" t="b">
        <f t="shared" si="191"/>
        <v>0</v>
      </c>
      <c r="H698" s="152" t="b">
        <f t="shared" si="192"/>
        <v>0</v>
      </c>
      <c r="I698" s="153" t="e">
        <f t="shared" si="193"/>
        <v>#N/A</v>
      </c>
      <c r="J698" s="158">
        <f>INDEX('Monthly Prices'!B686:CB686,$G$4)</f>
        <v>161.75917519999999</v>
      </c>
      <c r="K698" s="158" t="b">
        <f>IF(H698,INDEX('Monthly Prices'!B686:CB686,$G$4)*U698,FALSE)</f>
        <v>0</v>
      </c>
      <c r="L698" s="152" t="b">
        <f t="shared" si="197"/>
        <v>1</v>
      </c>
      <c r="M698" s="158">
        <f>INDEX('Monthly Prices'!B686:CB686,$G$5)</f>
        <v>107.01592916667001</v>
      </c>
      <c r="N698" s="158" t="b">
        <f>IF(H698,INDEX('Monthly Prices'!B686:CB686,$G$5)*U698,FALSE)</f>
        <v>0</v>
      </c>
      <c r="O698" s="152" t="b">
        <f t="shared" si="194"/>
        <v>1</v>
      </c>
      <c r="P698" s="152">
        <f t="shared" si="198"/>
        <v>2016</v>
      </c>
      <c r="Q698" s="159">
        <f>'Monthly Prices'!B686</f>
        <v>44.126666666669998</v>
      </c>
      <c r="R698" s="159">
        <f t="shared" si="199"/>
        <v>42.811944444444997</v>
      </c>
      <c r="S698" s="155">
        <f>_xlfn.XLOOKUP(P698,'Annual Real'!A:A,'Annual Real'!B:B,0,0)</f>
        <v>45.528322217026698</v>
      </c>
      <c r="T698" s="155">
        <f t="shared" ca="1" si="200"/>
        <v>1.2606266861234479</v>
      </c>
      <c r="U698" s="152">
        <f t="shared" ca="1" si="201"/>
        <v>1.2606266861234479</v>
      </c>
      <c r="V698" s="152" t="b">
        <f t="shared" si="207"/>
        <v>0</v>
      </c>
      <c r="W698" s="152" t="b">
        <f t="shared" si="208"/>
        <v>0</v>
      </c>
      <c r="X698" s="154">
        <f>LOOKUP(D698,'US Implicit Deflator'!A:A,'US Implicit Deflator'!B:B)/100</f>
        <v>9.0000000000000011E-3</v>
      </c>
      <c r="Y698" s="154">
        <f t="shared" si="202"/>
        <v>7.4692392313879807E-4</v>
      </c>
      <c r="Z698" s="165">
        <f t="shared" ca="1" si="203"/>
        <v>5.4169828377258975</v>
      </c>
      <c r="AA698" s="152">
        <f t="shared" si="204"/>
        <v>7</v>
      </c>
      <c r="AB698" s="153">
        <f t="shared" si="205"/>
        <v>42552</v>
      </c>
      <c r="AC698" s="155">
        <f t="shared" ca="1" si="206"/>
        <v>1.2606266861234479</v>
      </c>
    </row>
    <row r="699" spans="3:29">
      <c r="C699" s="152" t="str">
        <f>'Monthly Prices'!A687</f>
        <v>2016M08</v>
      </c>
      <c r="D699" s="153">
        <f t="shared" si="195"/>
        <v>42583</v>
      </c>
      <c r="E699" s="152">
        <f t="shared" si="196"/>
        <v>680</v>
      </c>
      <c r="F699" s="152" t="b">
        <f t="shared" si="190"/>
        <v>1</v>
      </c>
      <c r="G699" s="152" t="b">
        <f t="shared" si="191"/>
        <v>0</v>
      </c>
      <c r="H699" s="152" t="b">
        <f t="shared" si="192"/>
        <v>0</v>
      </c>
      <c r="I699" s="153" t="e">
        <f t="shared" si="193"/>
        <v>#N/A</v>
      </c>
      <c r="J699" s="158">
        <f>INDEX('Monthly Prices'!B687:CB687,$G$4)</f>
        <v>150.15348879999999</v>
      </c>
      <c r="K699" s="158" t="b">
        <f>IF(H699,INDEX('Monthly Prices'!B687:CB687,$G$4)*U699,FALSE)</f>
        <v>0</v>
      </c>
      <c r="L699" s="152" t="b">
        <f t="shared" si="197"/>
        <v>1</v>
      </c>
      <c r="M699" s="158">
        <f>INDEX('Monthly Prices'!B687:CB687,$G$5)</f>
        <v>95.533533333329999</v>
      </c>
      <c r="N699" s="158" t="b">
        <f>IF(H699,INDEX('Monthly Prices'!B687:CB687,$G$5)*U699,FALSE)</f>
        <v>0</v>
      </c>
      <c r="O699" s="152" t="b">
        <f t="shared" si="194"/>
        <v>1</v>
      </c>
      <c r="P699" s="152">
        <f t="shared" si="198"/>
        <v>2016</v>
      </c>
      <c r="Q699" s="159">
        <f>'Monthly Prices'!B687</f>
        <v>44.876666666669998</v>
      </c>
      <c r="R699" s="159">
        <f t="shared" si="199"/>
        <v>42.811944444444997</v>
      </c>
      <c r="S699" s="155">
        <f>_xlfn.XLOOKUP(P699,'Annual Real'!A:A,'Annual Real'!B:B,0,0)</f>
        <v>45.528322217026698</v>
      </c>
      <c r="T699" s="155">
        <f t="shared" ca="1" si="200"/>
        <v>1.2596857966662796</v>
      </c>
      <c r="U699" s="152">
        <f t="shared" ca="1" si="201"/>
        <v>1.2596857966662796</v>
      </c>
      <c r="V699" s="152" t="b">
        <f t="shared" si="207"/>
        <v>0</v>
      </c>
      <c r="W699" s="152" t="b">
        <f t="shared" si="208"/>
        <v>0</v>
      </c>
      <c r="X699" s="154">
        <f>LOOKUP(D699,'US Implicit Deflator'!A:A,'US Implicit Deflator'!B:B)/100</f>
        <v>9.0000000000000011E-3</v>
      </c>
      <c r="Y699" s="154">
        <f t="shared" si="202"/>
        <v>7.4692392313879807E-4</v>
      </c>
      <c r="Z699" s="165">
        <f t="shared" ca="1" si="203"/>
        <v>5.4210289117986274</v>
      </c>
      <c r="AA699" s="152">
        <f t="shared" si="204"/>
        <v>7</v>
      </c>
      <c r="AB699" s="153">
        <f t="shared" si="205"/>
        <v>42583</v>
      </c>
      <c r="AC699" s="155">
        <f t="shared" ca="1" si="206"/>
        <v>1.2596857966662796</v>
      </c>
    </row>
    <row r="700" spans="3:29">
      <c r="C700" s="152" t="str">
        <f>'Monthly Prices'!A688</f>
        <v>2016M09</v>
      </c>
      <c r="D700" s="153">
        <f t="shared" si="195"/>
        <v>42614</v>
      </c>
      <c r="E700" s="152">
        <f t="shared" si="196"/>
        <v>681</v>
      </c>
      <c r="F700" s="152" t="b">
        <f t="shared" si="190"/>
        <v>1</v>
      </c>
      <c r="G700" s="152" t="b">
        <f t="shared" si="191"/>
        <v>0</v>
      </c>
      <c r="H700" s="152" t="b">
        <f t="shared" si="192"/>
        <v>0</v>
      </c>
      <c r="I700" s="153" t="e">
        <f t="shared" si="193"/>
        <v>#N/A</v>
      </c>
      <c r="J700" s="158">
        <f>INDEX('Monthly Prices'!B688:CB688,$G$4)</f>
        <v>148.42523360000001</v>
      </c>
      <c r="K700" s="158" t="b">
        <f>IF(H700,INDEX('Monthly Prices'!B688:CB688,$G$4)*U700,FALSE)</f>
        <v>0</v>
      </c>
      <c r="L700" s="152" t="b">
        <f t="shared" si="197"/>
        <v>1</v>
      </c>
      <c r="M700" s="158">
        <f>INDEX('Monthly Prices'!B688:CB688,$G$5)</f>
        <v>89.562687499999996</v>
      </c>
      <c r="N700" s="158" t="b">
        <f>IF(H700,INDEX('Monthly Prices'!B688:CB688,$G$5)*U700,FALSE)</f>
        <v>0</v>
      </c>
      <c r="O700" s="152" t="b">
        <f t="shared" si="194"/>
        <v>1</v>
      </c>
      <c r="P700" s="152">
        <f t="shared" si="198"/>
        <v>2016</v>
      </c>
      <c r="Q700" s="159">
        <f>'Monthly Prices'!B688</f>
        <v>45.043333333329997</v>
      </c>
      <c r="R700" s="159">
        <f t="shared" si="199"/>
        <v>42.811944444444997</v>
      </c>
      <c r="S700" s="155">
        <f>_xlfn.XLOOKUP(P700,'Annual Real'!A:A,'Annual Real'!B:B,0,0)</f>
        <v>45.528322217026698</v>
      </c>
      <c r="T700" s="155">
        <f t="shared" ca="1" si="200"/>
        <v>1.2587456094574299</v>
      </c>
      <c r="U700" s="152">
        <f t="shared" ca="1" si="201"/>
        <v>1.2587456094574299</v>
      </c>
      <c r="V700" s="152" t="b">
        <f t="shared" si="207"/>
        <v>0</v>
      </c>
      <c r="W700" s="152" t="b">
        <f t="shared" si="208"/>
        <v>0</v>
      </c>
      <c r="X700" s="154">
        <f>LOOKUP(D700,'US Implicit Deflator'!A:A,'US Implicit Deflator'!B:B)/100</f>
        <v>9.0000000000000011E-3</v>
      </c>
      <c r="Y700" s="154">
        <f t="shared" si="202"/>
        <v>7.4692392313879807E-4</v>
      </c>
      <c r="Z700" s="165">
        <f t="shared" ca="1" si="203"/>
        <v>5.4250780079808774</v>
      </c>
      <c r="AA700" s="152">
        <f t="shared" si="204"/>
        <v>7</v>
      </c>
      <c r="AB700" s="153">
        <f t="shared" si="205"/>
        <v>42614</v>
      </c>
      <c r="AC700" s="155">
        <f t="shared" ca="1" si="206"/>
        <v>1.2587456094574299</v>
      </c>
    </row>
    <row r="701" spans="3:29">
      <c r="C701" s="152" t="str">
        <f>'Monthly Prices'!A689</f>
        <v>2016M10</v>
      </c>
      <c r="D701" s="153">
        <f t="shared" si="195"/>
        <v>42644</v>
      </c>
      <c r="E701" s="152">
        <f t="shared" si="196"/>
        <v>682</v>
      </c>
      <c r="F701" s="152" t="b">
        <f t="shared" si="190"/>
        <v>1</v>
      </c>
      <c r="G701" s="152" t="b">
        <f t="shared" si="191"/>
        <v>0</v>
      </c>
      <c r="H701" s="152" t="b">
        <f t="shared" si="192"/>
        <v>0</v>
      </c>
      <c r="I701" s="153" t="e">
        <f t="shared" si="193"/>
        <v>#N/A</v>
      </c>
      <c r="J701" s="158">
        <f>INDEX('Monthly Prices'!B689:CB689,$G$4)</f>
        <v>152.25967679999999</v>
      </c>
      <c r="K701" s="158" t="b">
        <f>IF(H701,INDEX('Monthly Prices'!B689:CB689,$G$4)*U701,FALSE)</f>
        <v>0</v>
      </c>
      <c r="L701" s="152" t="b">
        <f t="shared" si="197"/>
        <v>1</v>
      </c>
      <c r="M701" s="158">
        <f>INDEX('Monthly Prices'!B689:CB689,$G$5)</f>
        <v>91.859166666670006</v>
      </c>
      <c r="N701" s="158" t="b">
        <f>IF(H701,INDEX('Monthly Prices'!B689:CB689,$G$5)*U701,FALSE)</f>
        <v>0</v>
      </c>
      <c r="O701" s="152" t="b">
        <f t="shared" si="194"/>
        <v>1</v>
      </c>
      <c r="P701" s="152">
        <f t="shared" si="198"/>
        <v>2016</v>
      </c>
      <c r="Q701" s="159">
        <f>'Monthly Prices'!B689</f>
        <v>49.293333333329997</v>
      </c>
      <c r="R701" s="159">
        <f t="shared" si="199"/>
        <v>42.811944444444997</v>
      </c>
      <c r="S701" s="155">
        <f>_xlfn.XLOOKUP(P701,'Annual Real'!A:A,'Annual Real'!B:B,0,0)</f>
        <v>45.528322217026698</v>
      </c>
      <c r="T701" s="155">
        <f t="shared" ca="1" si="200"/>
        <v>1.2571848299337607</v>
      </c>
      <c r="U701" s="152">
        <f t="shared" ca="1" si="201"/>
        <v>1.2571848299337607</v>
      </c>
      <c r="V701" s="152" t="b">
        <f t="shared" si="207"/>
        <v>0</v>
      </c>
      <c r="W701" s="152" t="b">
        <f t="shared" si="208"/>
        <v>0</v>
      </c>
      <c r="X701" s="154">
        <f>LOOKUP(D701,'US Implicit Deflator'!A:A,'US Implicit Deflator'!B:B)/100</f>
        <v>1.4999999999999999E-2</v>
      </c>
      <c r="Y701" s="154">
        <f t="shared" si="202"/>
        <v>1.2414877164492744E-3</v>
      </c>
      <c r="Z701" s="165">
        <f t="shared" ca="1" si="203"/>
        <v>5.431813175688565</v>
      </c>
      <c r="AA701" s="152">
        <f t="shared" si="204"/>
        <v>7</v>
      </c>
      <c r="AB701" s="153">
        <f t="shared" si="205"/>
        <v>42644</v>
      </c>
      <c r="AC701" s="155">
        <f t="shared" ca="1" si="206"/>
        <v>1.2571848299337607</v>
      </c>
    </row>
    <row r="702" spans="3:29">
      <c r="C702" s="152" t="str">
        <f>'Monthly Prices'!A690</f>
        <v>2016M11</v>
      </c>
      <c r="D702" s="153">
        <f t="shared" si="195"/>
        <v>42675</v>
      </c>
      <c r="E702" s="152">
        <f t="shared" si="196"/>
        <v>683</v>
      </c>
      <c r="F702" s="152" t="b">
        <f t="shared" si="190"/>
        <v>1</v>
      </c>
      <c r="G702" s="152" t="b">
        <f t="shared" si="191"/>
        <v>0</v>
      </c>
      <c r="H702" s="152" t="b">
        <f t="shared" si="192"/>
        <v>0</v>
      </c>
      <c r="I702" s="153" t="e">
        <f t="shared" si="193"/>
        <v>#N/A</v>
      </c>
      <c r="J702" s="158">
        <f>INDEX('Monthly Prices'!B690:CB690,$G$4)</f>
        <v>151.80300800000001</v>
      </c>
      <c r="K702" s="158" t="b">
        <f>IF(H702,INDEX('Monthly Prices'!B690:CB690,$G$4)*U702,FALSE)</f>
        <v>0</v>
      </c>
      <c r="L702" s="152" t="b">
        <f t="shared" si="197"/>
        <v>1</v>
      </c>
      <c r="M702" s="158">
        <f>INDEX('Monthly Prices'!B690:CB690,$G$5)</f>
        <v>91.859166666670006</v>
      </c>
      <c r="N702" s="158" t="b">
        <f>IF(H702,INDEX('Monthly Prices'!B690:CB690,$G$5)*U702,FALSE)</f>
        <v>0</v>
      </c>
      <c r="O702" s="152" t="b">
        <f t="shared" si="194"/>
        <v>1</v>
      </c>
      <c r="P702" s="152">
        <f t="shared" si="198"/>
        <v>2016</v>
      </c>
      <c r="Q702" s="159">
        <f>'Monthly Prices'!B690</f>
        <v>45.26</v>
      </c>
      <c r="R702" s="159">
        <f t="shared" si="199"/>
        <v>42.811944444444997</v>
      </c>
      <c r="S702" s="155">
        <f>_xlfn.XLOOKUP(P702,'Annual Real'!A:A,'Annual Real'!B:B,0,0)</f>
        <v>45.528322217026698</v>
      </c>
      <c r="T702" s="155">
        <f t="shared" ca="1" si="200"/>
        <v>1.2556259856960645</v>
      </c>
      <c r="U702" s="152">
        <f t="shared" ca="1" si="201"/>
        <v>1.2556259856960645</v>
      </c>
      <c r="V702" s="152" t="b">
        <f t="shared" si="207"/>
        <v>0</v>
      </c>
      <c r="W702" s="152" t="b">
        <f t="shared" si="208"/>
        <v>0</v>
      </c>
      <c r="X702" s="154">
        <f>LOOKUP(D702,'US Implicit Deflator'!A:A,'US Implicit Deflator'!B:B)/100</f>
        <v>1.4999999999999999E-2</v>
      </c>
      <c r="Y702" s="154">
        <f t="shared" si="202"/>
        <v>1.2414877164492744E-3</v>
      </c>
      <c r="Z702" s="165">
        <f t="shared" ca="1" si="203"/>
        <v>5.4385567050242294</v>
      </c>
      <c r="AA702" s="152">
        <f t="shared" si="204"/>
        <v>7</v>
      </c>
      <c r="AB702" s="153">
        <f t="shared" si="205"/>
        <v>42675</v>
      </c>
      <c r="AC702" s="155">
        <f t="shared" ca="1" si="206"/>
        <v>1.2556259856960645</v>
      </c>
    </row>
    <row r="703" spans="3:29">
      <c r="C703" s="152" t="str">
        <f>'Monthly Prices'!A691</f>
        <v>2016M12</v>
      </c>
      <c r="D703" s="153">
        <f t="shared" si="195"/>
        <v>42705</v>
      </c>
      <c r="E703" s="152">
        <f t="shared" si="196"/>
        <v>684</v>
      </c>
      <c r="F703" s="152" t="b">
        <f t="shared" si="190"/>
        <v>1</v>
      </c>
      <c r="G703" s="152" t="b">
        <f t="shared" si="191"/>
        <v>0</v>
      </c>
      <c r="H703" s="152" t="b">
        <f t="shared" si="192"/>
        <v>0</v>
      </c>
      <c r="I703" s="153" t="e">
        <f t="shared" si="193"/>
        <v>#N/A</v>
      </c>
      <c r="J703" s="158">
        <f>INDEX('Monthly Prices'!B691:CB691,$G$4)</f>
        <v>152.44864319999999</v>
      </c>
      <c r="K703" s="158" t="b">
        <f>IF(H703,INDEX('Monthly Prices'!B691:CB691,$G$4)*U703,FALSE)</f>
        <v>0</v>
      </c>
      <c r="L703" s="152" t="b">
        <f t="shared" si="197"/>
        <v>1</v>
      </c>
      <c r="M703" s="158">
        <f>INDEX('Monthly Prices'!B691:CB691,$G$5)</f>
        <v>91.859166666670006</v>
      </c>
      <c r="N703" s="158" t="b">
        <f>IF(H703,INDEX('Monthly Prices'!B691:CB691,$G$5)*U703,FALSE)</f>
        <v>0</v>
      </c>
      <c r="O703" s="152" t="b">
        <f t="shared" si="194"/>
        <v>1</v>
      </c>
      <c r="P703" s="152">
        <f t="shared" si="198"/>
        <v>2016</v>
      </c>
      <c r="Q703" s="159">
        <f>'Monthly Prices'!B691</f>
        <v>52.62</v>
      </c>
      <c r="R703" s="159">
        <f t="shared" si="199"/>
        <v>42.811944444444997</v>
      </c>
      <c r="S703" s="155">
        <f>_xlfn.XLOOKUP(P703,'Annual Real'!A:A,'Annual Real'!B:B,0,0)</f>
        <v>45.528322217026698</v>
      </c>
      <c r="T703" s="155">
        <f t="shared" ca="1" si="200"/>
        <v>1.2540690743446867</v>
      </c>
      <c r="U703" s="152">
        <f t="shared" ca="1" si="201"/>
        <v>1.2540690743446867</v>
      </c>
      <c r="V703" s="152" t="b">
        <f t="shared" si="207"/>
        <v>0</v>
      </c>
      <c r="W703" s="152" t="b">
        <f t="shared" si="208"/>
        <v>0</v>
      </c>
      <c r="X703" s="154">
        <f>LOOKUP(D703,'US Implicit Deflator'!A:A,'US Implicit Deflator'!B:B)/100</f>
        <v>1.4999999999999999E-2</v>
      </c>
      <c r="Y703" s="154">
        <f t="shared" si="202"/>
        <v>1.2414877164492744E-3</v>
      </c>
      <c r="Z703" s="165">
        <f t="shared" ca="1" si="203"/>
        <v>5.4453086063687302</v>
      </c>
      <c r="AA703" s="152">
        <f t="shared" si="204"/>
        <v>7</v>
      </c>
      <c r="AB703" s="153">
        <f t="shared" si="205"/>
        <v>42705</v>
      </c>
      <c r="AC703" s="155">
        <f t="shared" ca="1" si="206"/>
        <v>1.2540690743446867</v>
      </c>
    </row>
    <row r="704" spans="3:29">
      <c r="C704" s="152" t="str">
        <f>'Monthly Prices'!A692</f>
        <v>2017M01</v>
      </c>
      <c r="D704" s="153">
        <f t="shared" si="195"/>
        <v>42736</v>
      </c>
      <c r="E704" s="152">
        <f t="shared" si="196"/>
        <v>685</v>
      </c>
      <c r="F704" s="152" t="b">
        <f t="shared" si="190"/>
        <v>1</v>
      </c>
      <c r="G704" s="152" t="b">
        <f t="shared" si="191"/>
        <v>0</v>
      </c>
      <c r="H704" s="152" t="b">
        <f t="shared" si="192"/>
        <v>0</v>
      </c>
      <c r="I704" s="153" t="e">
        <f t="shared" si="193"/>
        <v>#N/A</v>
      </c>
      <c r="J704" s="158">
        <f>INDEX('Monthly Prices'!B692:CB692,$G$4)</f>
        <v>159.98761519999999</v>
      </c>
      <c r="K704" s="158" t="b">
        <f>IF(H704,INDEX('Monthly Prices'!B692:CB692,$G$4)*U704,FALSE)</f>
        <v>0</v>
      </c>
      <c r="L704" s="152" t="b">
        <f t="shared" si="197"/>
        <v>1</v>
      </c>
      <c r="M704" s="158">
        <f>INDEX('Monthly Prices'!B692:CB692,$G$5)</f>
        <v>91.859166666670006</v>
      </c>
      <c r="N704" s="158" t="b">
        <f>IF(H704,INDEX('Monthly Prices'!B692:CB692,$G$5)*U704,FALSE)</f>
        <v>0</v>
      </c>
      <c r="O704" s="152" t="b">
        <f t="shared" si="194"/>
        <v>1</v>
      </c>
      <c r="P704" s="152">
        <f t="shared" si="198"/>
        <v>2017</v>
      </c>
      <c r="Q704" s="159">
        <f>'Monthly Prices'!B692</f>
        <v>53.59</v>
      </c>
      <c r="R704" s="159">
        <f t="shared" si="199"/>
        <v>52.804999999999161</v>
      </c>
      <c r="S704" s="155">
        <f>_xlfn.XLOOKUP(P704,'Annual Real'!A:A,'Annual Real'!B:B,0,0)</f>
        <v>54.258413950768002</v>
      </c>
      <c r="T704" s="155">
        <f t="shared" ca="1" si="200"/>
        <v>1.2521036344638867</v>
      </c>
      <c r="U704" s="152">
        <f t="shared" ca="1" si="201"/>
        <v>1.2521036344638867</v>
      </c>
      <c r="V704" s="152" t="b">
        <f t="shared" si="207"/>
        <v>0</v>
      </c>
      <c r="W704" s="152" t="b">
        <f t="shared" si="208"/>
        <v>0</v>
      </c>
      <c r="X704" s="154">
        <f>LOOKUP(D704,'US Implicit Deflator'!A:A,'US Implicit Deflator'!B:B)/100</f>
        <v>1.9E-2</v>
      </c>
      <c r="Y704" s="154">
        <f t="shared" si="202"/>
        <v>1.5697102274137009E-3</v>
      </c>
      <c r="Z704" s="165">
        <f t="shared" ca="1" si="203"/>
        <v>5.4538561629795712</v>
      </c>
      <c r="AA704" s="152">
        <f t="shared" si="204"/>
        <v>7</v>
      </c>
      <c r="AB704" s="153">
        <f t="shared" si="205"/>
        <v>42736</v>
      </c>
      <c r="AC704" s="155">
        <f t="shared" ca="1" si="206"/>
        <v>1.2521036344638867</v>
      </c>
    </row>
    <row r="705" spans="3:29">
      <c r="C705" s="152" t="str">
        <f>'Monthly Prices'!A693</f>
        <v>2017M02</v>
      </c>
      <c r="D705" s="153">
        <f t="shared" si="195"/>
        <v>42767</v>
      </c>
      <c r="E705" s="152">
        <f t="shared" si="196"/>
        <v>686</v>
      </c>
      <c r="F705" s="152" t="b">
        <f t="shared" si="190"/>
        <v>1</v>
      </c>
      <c r="G705" s="152" t="b">
        <f t="shared" si="191"/>
        <v>0</v>
      </c>
      <c r="H705" s="152" t="b">
        <f t="shared" si="192"/>
        <v>0</v>
      </c>
      <c r="I705" s="153" t="e">
        <f t="shared" si="193"/>
        <v>#N/A</v>
      </c>
      <c r="J705" s="158">
        <f>INDEX('Monthly Prices'!B693:CB693,$G$4)</f>
        <v>162.8575424</v>
      </c>
      <c r="K705" s="158" t="b">
        <f>IF(H705,INDEX('Monthly Prices'!B693:CB693,$G$4)*U705,FALSE)</f>
        <v>0</v>
      </c>
      <c r="L705" s="152" t="b">
        <f t="shared" si="197"/>
        <v>1</v>
      </c>
      <c r="M705" s="158">
        <f>INDEX('Monthly Prices'!B693:CB693,$G$5)</f>
        <v>91.859166666670006</v>
      </c>
      <c r="N705" s="158" t="b">
        <f>IF(H705,INDEX('Monthly Prices'!B693:CB693,$G$5)*U705,FALSE)</f>
        <v>0</v>
      </c>
      <c r="O705" s="152" t="b">
        <f t="shared" si="194"/>
        <v>1</v>
      </c>
      <c r="P705" s="152">
        <f t="shared" si="198"/>
        <v>2017</v>
      </c>
      <c r="Q705" s="159">
        <f>'Monthly Prices'!B693</f>
        <v>54.353333333329999</v>
      </c>
      <c r="R705" s="159">
        <f t="shared" si="199"/>
        <v>52.804999999999161</v>
      </c>
      <c r="S705" s="155">
        <f>_xlfn.XLOOKUP(P705,'Annual Real'!A:A,'Annual Real'!B:B,0,0)</f>
        <v>54.258413950768002</v>
      </c>
      <c r="T705" s="155">
        <f t="shared" ca="1" si="200"/>
        <v>1.2501412749189345</v>
      </c>
      <c r="U705" s="152">
        <f t="shared" ca="1" si="201"/>
        <v>1.2501412749189345</v>
      </c>
      <c r="V705" s="152" t="b">
        <f t="shared" si="207"/>
        <v>0</v>
      </c>
      <c r="W705" s="152" t="b">
        <f t="shared" si="208"/>
        <v>0</v>
      </c>
      <c r="X705" s="154">
        <f>LOOKUP(D705,'US Implicit Deflator'!A:A,'US Implicit Deflator'!B:B)/100</f>
        <v>1.9E-2</v>
      </c>
      <c r="Y705" s="154">
        <f t="shared" si="202"/>
        <v>1.5697102274137009E-3</v>
      </c>
      <c r="Z705" s="165">
        <f t="shared" ca="1" si="203"/>
        <v>5.4624171367774439</v>
      </c>
      <c r="AA705" s="152">
        <f t="shared" si="204"/>
        <v>7</v>
      </c>
      <c r="AB705" s="153">
        <f t="shared" si="205"/>
        <v>42767</v>
      </c>
      <c r="AC705" s="155">
        <f t="shared" ca="1" si="206"/>
        <v>1.2501412749189345</v>
      </c>
    </row>
    <row r="706" spans="3:29">
      <c r="C706" s="152" t="str">
        <f>'Monthly Prices'!A694</f>
        <v>2017M03</v>
      </c>
      <c r="D706" s="153">
        <f t="shared" si="195"/>
        <v>42795</v>
      </c>
      <c r="E706" s="152">
        <f t="shared" si="196"/>
        <v>687</v>
      </c>
      <c r="F706" s="152" t="b">
        <f t="shared" si="190"/>
        <v>1</v>
      </c>
      <c r="G706" s="152" t="b">
        <f t="shared" si="191"/>
        <v>0</v>
      </c>
      <c r="H706" s="152" t="b">
        <f t="shared" si="192"/>
        <v>0</v>
      </c>
      <c r="I706" s="153" t="e">
        <f t="shared" si="193"/>
        <v>#N/A</v>
      </c>
      <c r="J706" s="158">
        <f>INDEX('Monthly Prices'!B694:CB694,$G$4)</f>
        <v>158.96404720000001</v>
      </c>
      <c r="K706" s="158" t="b">
        <f>IF(H706,INDEX('Monthly Prices'!B694:CB694,$G$4)*U706,FALSE)</f>
        <v>0</v>
      </c>
      <c r="L706" s="152" t="b">
        <f t="shared" si="197"/>
        <v>1</v>
      </c>
      <c r="M706" s="158">
        <f>INDEX('Monthly Prices'!B694:CB694,$G$5)</f>
        <v>93.696349999999995</v>
      </c>
      <c r="N706" s="158" t="b">
        <f>IF(H706,INDEX('Monthly Prices'!B694:CB694,$G$5)*U706,FALSE)</f>
        <v>0</v>
      </c>
      <c r="O706" s="152" t="b">
        <f t="shared" si="194"/>
        <v>1</v>
      </c>
      <c r="P706" s="152">
        <f t="shared" si="198"/>
        <v>2017</v>
      </c>
      <c r="Q706" s="159">
        <f>'Monthly Prices'!B694</f>
        <v>50.903333333330004</v>
      </c>
      <c r="R706" s="159">
        <f t="shared" si="199"/>
        <v>52.804999999999161</v>
      </c>
      <c r="S706" s="155">
        <f>_xlfn.XLOOKUP(P706,'Annual Real'!A:A,'Annual Real'!B:B,0,0)</f>
        <v>54.258413950768002</v>
      </c>
      <c r="T706" s="155">
        <f t="shared" ca="1" si="200"/>
        <v>1.248181990882173</v>
      </c>
      <c r="U706" s="152">
        <f t="shared" ca="1" si="201"/>
        <v>1.248181990882173</v>
      </c>
      <c r="V706" s="152" t="b">
        <f t="shared" si="207"/>
        <v>0</v>
      </c>
      <c r="W706" s="152" t="b">
        <f t="shared" si="208"/>
        <v>0</v>
      </c>
      <c r="X706" s="154">
        <f>LOOKUP(D706,'US Implicit Deflator'!A:A,'US Implicit Deflator'!B:B)/100</f>
        <v>1.9E-2</v>
      </c>
      <c r="Y706" s="154">
        <f t="shared" si="202"/>
        <v>1.5697102274137009E-3</v>
      </c>
      <c r="Z706" s="165">
        <f t="shared" ca="1" si="203"/>
        <v>5.4709915488234433</v>
      </c>
      <c r="AA706" s="152">
        <f t="shared" si="204"/>
        <v>7</v>
      </c>
      <c r="AB706" s="153">
        <f t="shared" si="205"/>
        <v>42795</v>
      </c>
      <c r="AC706" s="155">
        <f t="shared" ca="1" si="206"/>
        <v>1.248181990882173</v>
      </c>
    </row>
    <row r="707" spans="3:29">
      <c r="C707" s="152" t="str">
        <f>'Monthly Prices'!A695</f>
        <v>2017M04</v>
      </c>
      <c r="D707" s="153">
        <f t="shared" si="195"/>
        <v>42826</v>
      </c>
      <c r="E707" s="152">
        <f t="shared" si="196"/>
        <v>688</v>
      </c>
      <c r="F707" s="152" t="b">
        <f t="shared" si="190"/>
        <v>1</v>
      </c>
      <c r="G707" s="152" t="b">
        <f t="shared" si="191"/>
        <v>0</v>
      </c>
      <c r="H707" s="152" t="b">
        <f t="shared" si="192"/>
        <v>0</v>
      </c>
      <c r="I707" s="153" t="e">
        <f t="shared" si="193"/>
        <v>#N/A</v>
      </c>
      <c r="J707" s="158">
        <f>INDEX('Monthly Prices'!B695:CB695,$G$4)</f>
        <v>156.44055839999999</v>
      </c>
      <c r="K707" s="158" t="b">
        <f>IF(H707,INDEX('Monthly Prices'!B695:CB695,$G$4)*U707,FALSE)</f>
        <v>0</v>
      </c>
      <c r="L707" s="152" t="b">
        <f t="shared" si="197"/>
        <v>1</v>
      </c>
      <c r="M707" s="158">
        <f>INDEX('Monthly Prices'!B695:CB695,$G$5)</f>
        <v>94.155645833329999</v>
      </c>
      <c r="N707" s="158" t="b">
        <f>IF(H707,INDEX('Monthly Prices'!B695:CB695,$G$5)*U707,FALSE)</f>
        <v>0</v>
      </c>
      <c r="O707" s="152" t="b">
        <f t="shared" si="194"/>
        <v>1</v>
      </c>
      <c r="P707" s="152">
        <f t="shared" si="198"/>
        <v>2017</v>
      </c>
      <c r="Q707" s="159">
        <f>'Monthly Prices'!B695</f>
        <v>52.163333333330002</v>
      </c>
      <c r="R707" s="159">
        <f t="shared" si="199"/>
        <v>52.804999999999161</v>
      </c>
      <c r="S707" s="155">
        <f>_xlfn.XLOOKUP(P707,'Annual Real'!A:A,'Annual Real'!B:B,0,0)</f>
        <v>54.258413950768002</v>
      </c>
      <c r="T707" s="155">
        <f t="shared" ca="1" si="200"/>
        <v>1.246736715286497</v>
      </c>
      <c r="U707" s="152">
        <f t="shared" ca="1" si="201"/>
        <v>1.246736715286497</v>
      </c>
      <c r="V707" s="152" t="b">
        <f t="shared" si="207"/>
        <v>0</v>
      </c>
      <c r="W707" s="152" t="b">
        <f t="shared" si="208"/>
        <v>0</v>
      </c>
      <c r="X707" s="154">
        <f>LOOKUP(D707,'US Implicit Deflator'!A:A,'US Implicit Deflator'!B:B)/100</f>
        <v>1.3999999999999999E-2</v>
      </c>
      <c r="Y707" s="154">
        <f t="shared" si="202"/>
        <v>1.1592468385308585E-3</v>
      </c>
      <c r="Z707" s="165">
        <f t="shared" ca="1" si="203"/>
        <v>5.4773337784800455</v>
      </c>
      <c r="AA707" s="152">
        <f t="shared" si="204"/>
        <v>7</v>
      </c>
      <c r="AB707" s="153">
        <f t="shared" si="205"/>
        <v>42826</v>
      </c>
      <c r="AC707" s="155">
        <f t="shared" ca="1" si="206"/>
        <v>1.246736715286497</v>
      </c>
    </row>
    <row r="708" spans="3:29">
      <c r="C708" s="152" t="str">
        <f>'Monthly Prices'!A696</f>
        <v>2017M05</v>
      </c>
      <c r="D708" s="153">
        <f t="shared" si="195"/>
        <v>42856</v>
      </c>
      <c r="E708" s="152">
        <f t="shared" si="196"/>
        <v>689</v>
      </c>
      <c r="F708" s="152" t="b">
        <f t="shared" si="190"/>
        <v>1</v>
      </c>
      <c r="G708" s="152" t="b">
        <f t="shared" si="191"/>
        <v>0</v>
      </c>
      <c r="H708" s="152" t="b">
        <f t="shared" si="192"/>
        <v>0</v>
      </c>
      <c r="I708" s="153" t="e">
        <f t="shared" si="193"/>
        <v>#N/A</v>
      </c>
      <c r="J708" s="158">
        <f>INDEX('Monthly Prices'!B696:CB696,$G$4)</f>
        <v>158.5900512</v>
      </c>
      <c r="K708" s="158" t="b">
        <f>IF(H708,INDEX('Monthly Prices'!B696:CB696,$G$4)*U708,FALSE)</f>
        <v>0</v>
      </c>
      <c r="L708" s="152" t="b">
        <f t="shared" si="197"/>
        <v>1</v>
      </c>
      <c r="M708" s="158">
        <f>INDEX('Monthly Prices'!B696:CB696,$G$5)</f>
        <v>94.155645833329999</v>
      </c>
      <c r="N708" s="158" t="b">
        <f>IF(H708,INDEX('Monthly Prices'!B696:CB696,$G$5)*U708,FALSE)</f>
        <v>0</v>
      </c>
      <c r="O708" s="152" t="b">
        <f t="shared" si="194"/>
        <v>1</v>
      </c>
      <c r="P708" s="152">
        <f t="shared" si="198"/>
        <v>2017</v>
      </c>
      <c r="Q708" s="159">
        <f>'Monthly Prices'!B696</f>
        <v>49.893333333329998</v>
      </c>
      <c r="R708" s="159">
        <f t="shared" si="199"/>
        <v>52.804999999999161</v>
      </c>
      <c r="S708" s="155">
        <f>_xlfn.XLOOKUP(P708,'Annual Real'!A:A,'Annual Real'!B:B,0,0)</f>
        <v>54.258413950768002</v>
      </c>
      <c r="T708" s="155">
        <f t="shared" ca="1" si="200"/>
        <v>1.2452931131819964</v>
      </c>
      <c r="U708" s="152">
        <f t="shared" ca="1" si="201"/>
        <v>1.2452931131819964</v>
      </c>
      <c r="V708" s="152" t="b">
        <f t="shared" si="207"/>
        <v>0</v>
      </c>
      <c r="W708" s="152" t="b">
        <f t="shared" si="208"/>
        <v>0</v>
      </c>
      <c r="X708" s="154">
        <f>LOOKUP(D708,'US Implicit Deflator'!A:A,'US Implicit Deflator'!B:B)/100</f>
        <v>1.3999999999999999E-2</v>
      </c>
      <c r="Y708" s="154">
        <f t="shared" si="202"/>
        <v>1.1592468385308585E-3</v>
      </c>
      <c r="Z708" s="165">
        <f t="shared" ca="1" si="203"/>
        <v>5.4836833603463271</v>
      </c>
      <c r="AA708" s="152">
        <f t="shared" si="204"/>
        <v>7</v>
      </c>
      <c r="AB708" s="153">
        <f t="shared" si="205"/>
        <v>42856</v>
      </c>
      <c r="AC708" s="155">
        <f t="shared" ca="1" si="206"/>
        <v>1.2452931131819964</v>
      </c>
    </row>
    <row r="709" spans="3:29">
      <c r="C709" s="152" t="str">
        <f>'Monthly Prices'!A697</f>
        <v>2017M06</v>
      </c>
      <c r="D709" s="153">
        <f t="shared" si="195"/>
        <v>42887</v>
      </c>
      <c r="E709" s="152">
        <f t="shared" si="196"/>
        <v>690</v>
      </c>
      <c r="F709" s="152" t="b">
        <f t="shared" si="190"/>
        <v>1</v>
      </c>
      <c r="G709" s="152" t="b">
        <f t="shared" si="191"/>
        <v>0</v>
      </c>
      <c r="H709" s="152" t="b">
        <f t="shared" si="192"/>
        <v>0</v>
      </c>
      <c r="I709" s="153" t="e">
        <f t="shared" si="193"/>
        <v>#N/A</v>
      </c>
      <c r="J709" s="158">
        <f>INDEX('Monthly Prices'!B697:CB697,$G$4)</f>
        <v>157.93260559999999</v>
      </c>
      <c r="K709" s="158" t="b">
        <f>IF(H709,INDEX('Monthly Prices'!B697:CB697,$G$4)*U709,FALSE)</f>
        <v>0</v>
      </c>
      <c r="L709" s="152" t="b">
        <f t="shared" si="197"/>
        <v>1</v>
      </c>
      <c r="M709" s="158">
        <f>INDEX('Monthly Prices'!B697:CB697,$G$5)</f>
        <v>94.155645833329999</v>
      </c>
      <c r="N709" s="158" t="b">
        <f>IF(H709,INDEX('Monthly Prices'!B697:CB697,$G$5)*U709,FALSE)</f>
        <v>0</v>
      </c>
      <c r="O709" s="152" t="b">
        <f t="shared" si="194"/>
        <v>1</v>
      </c>
      <c r="P709" s="152">
        <f t="shared" si="198"/>
        <v>2017</v>
      </c>
      <c r="Q709" s="159">
        <f>'Monthly Prices'!B697</f>
        <v>46.166666666669997</v>
      </c>
      <c r="R709" s="159">
        <f t="shared" si="199"/>
        <v>52.804999999999161</v>
      </c>
      <c r="S709" s="155">
        <f>_xlfn.XLOOKUP(P709,'Annual Real'!A:A,'Annual Real'!B:B,0,0)</f>
        <v>54.258413950768002</v>
      </c>
      <c r="T709" s="155">
        <f t="shared" ca="1" si="200"/>
        <v>1.2438511826309286</v>
      </c>
      <c r="U709" s="152">
        <f t="shared" ca="1" si="201"/>
        <v>1.2438511826309286</v>
      </c>
      <c r="V709" s="152" t="b">
        <f t="shared" si="207"/>
        <v>0</v>
      </c>
      <c r="W709" s="152" t="b">
        <f t="shared" si="208"/>
        <v>0</v>
      </c>
      <c r="X709" s="154">
        <f>LOOKUP(D709,'US Implicit Deflator'!A:A,'US Implicit Deflator'!B:B)/100</f>
        <v>1.3999999999999999E-2</v>
      </c>
      <c r="Y709" s="154">
        <f t="shared" si="202"/>
        <v>1.1592468385308585E-3</v>
      </c>
      <c r="Z709" s="165">
        <f t="shared" ca="1" si="203"/>
        <v>5.4900403029453129</v>
      </c>
      <c r="AA709" s="152">
        <f t="shared" si="204"/>
        <v>7</v>
      </c>
      <c r="AB709" s="153">
        <f t="shared" si="205"/>
        <v>42887</v>
      </c>
      <c r="AC709" s="155">
        <f t="shared" ca="1" si="206"/>
        <v>1.2438511826309286</v>
      </c>
    </row>
    <row r="710" spans="3:29">
      <c r="C710" s="152" t="str">
        <f>'Monthly Prices'!A698</f>
        <v>2017M07</v>
      </c>
      <c r="D710" s="153">
        <f t="shared" si="195"/>
        <v>42917</v>
      </c>
      <c r="E710" s="152">
        <f t="shared" si="196"/>
        <v>691</v>
      </c>
      <c r="F710" s="152" t="b">
        <f t="shared" si="190"/>
        <v>1</v>
      </c>
      <c r="G710" s="152" t="b">
        <f t="shared" si="191"/>
        <v>0</v>
      </c>
      <c r="H710" s="152" t="b">
        <f t="shared" si="192"/>
        <v>0</v>
      </c>
      <c r="I710" s="153" t="e">
        <f t="shared" si="193"/>
        <v>#N/A</v>
      </c>
      <c r="J710" s="158">
        <f>INDEX('Monthly Prices'!B698:CB698,$G$4)</f>
        <v>157.511368</v>
      </c>
      <c r="K710" s="158" t="b">
        <f>IF(H710,INDEX('Monthly Prices'!B698:CB698,$G$4)*U710,FALSE)</f>
        <v>0</v>
      </c>
      <c r="L710" s="152" t="b">
        <f t="shared" si="197"/>
        <v>1</v>
      </c>
      <c r="M710" s="158">
        <f>INDEX('Monthly Prices'!B698:CB698,$G$5)</f>
        <v>94.155645833329999</v>
      </c>
      <c r="N710" s="158" t="b">
        <f>IF(H710,INDEX('Monthly Prices'!B698:CB698,$G$5)*U710,FALSE)</f>
        <v>0</v>
      </c>
      <c r="O710" s="152" t="b">
        <f t="shared" si="194"/>
        <v>1</v>
      </c>
      <c r="P710" s="152">
        <f t="shared" si="198"/>
        <v>2017</v>
      </c>
      <c r="Q710" s="159">
        <f>'Monthly Prices'!B698</f>
        <v>47.656666666669999</v>
      </c>
      <c r="R710" s="159">
        <f t="shared" si="199"/>
        <v>52.804999999999161</v>
      </c>
      <c r="S710" s="155">
        <f>_xlfn.XLOOKUP(P710,'Annual Real'!A:A,'Annual Real'!B:B,0,0)</f>
        <v>54.258413950768002</v>
      </c>
      <c r="T710" s="155">
        <f t="shared" ca="1" si="200"/>
        <v>1.242206930018809</v>
      </c>
      <c r="U710" s="152">
        <f t="shared" ca="1" si="201"/>
        <v>1.242206930018809</v>
      </c>
      <c r="V710" s="152" t="b">
        <f t="shared" si="207"/>
        <v>0</v>
      </c>
      <c r="W710" s="152" t="b">
        <f t="shared" si="208"/>
        <v>0</v>
      </c>
      <c r="X710" s="154">
        <f>LOOKUP(D710,'US Implicit Deflator'!A:A,'US Implicit Deflator'!B:B)/100</f>
        <v>1.6E-2</v>
      </c>
      <c r="Y710" s="154">
        <f t="shared" si="202"/>
        <v>1.323654354508319E-3</v>
      </c>
      <c r="Z710" s="165">
        <f t="shared" ca="1" si="203"/>
        <v>5.4973072186987322</v>
      </c>
      <c r="AA710" s="152">
        <f t="shared" si="204"/>
        <v>7</v>
      </c>
      <c r="AB710" s="153">
        <f t="shared" si="205"/>
        <v>42917</v>
      </c>
      <c r="AC710" s="155">
        <f t="shared" ca="1" si="206"/>
        <v>1.242206930018809</v>
      </c>
    </row>
    <row r="711" spans="3:29">
      <c r="C711" s="152" t="str">
        <f>'Monthly Prices'!A699</f>
        <v>2017M08</v>
      </c>
      <c r="D711" s="153">
        <f t="shared" si="195"/>
        <v>42948</v>
      </c>
      <c r="E711" s="152">
        <f t="shared" si="196"/>
        <v>692</v>
      </c>
      <c r="F711" s="152" t="b">
        <f t="shared" si="190"/>
        <v>1</v>
      </c>
      <c r="G711" s="152" t="b">
        <f t="shared" si="191"/>
        <v>0</v>
      </c>
      <c r="H711" s="152" t="b">
        <f t="shared" si="192"/>
        <v>0</v>
      </c>
      <c r="I711" s="153" t="e">
        <f t="shared" si="193"/>
        <v>#N/A</v>
      </c>
      <c r="J711" s="158">
        <f>INDEX('Monthly Prices'!B699:CB699,$G$4)</f>
        <v>148.49609599999999</v>
      </c>
      <c r="K711" s="158" t="b">
        <f>IF(H711,INDEX('Monthly Prices'!B699:CB699,$G$4)*U711,FALSE)</f>
        <v>0</v>
      </c>
      <c r="L711" s="152" t="b">
        <f t="shared" si="197"/>
        <v>1</v>
      </c>
      <c r="M711" s="158">
        <f>INDEX('Monthly Prices'!B699:CB699,$G$5)</f>
        <v>96.452124999999995</v>
      </c>
      <c r="N711" s="158" t="b">
        <f>IF(H711,INDEX('Monthly Prices'!B699:CB699,$G$5)*U711,FALSE)</f>
        <v>0</v>
      </c>
      <c r="O711" s="152" t="b">
        <f t="shared" si="194"/>
        <v>1</v>
      </c>
      <c r="P711" s="152">
        <f t="shared" si="198"/>
        <v>2017</v>
      </c>
      <c r="Q711" s="159">
        <f>'Monthly Prices'!B699</f>
        <v>49.943333333330003</v>
      </c>
      <c r="R711" s="159">
        <f t="shared" si="199"/>
        <v>52.804999999999161</v>
      </c>
      <c r="S711" s="155">
        <f>_xlfn.XLOOKUP(P711,'Annual Real'!A:A,'Annual Real'!B:B,0,0)</f>
        <v>54.258413950768002</v>
      </c>
      <c r="T711" s="155">
        <f t="shared" ca="1" si="200"/>
        <v>1.2405648509517966</v>
      </c>
      <c r="U711" s="152">
        <f t="shared" ca="1" si="201"/>
        <v>1.2405648509517966</v>
      </c>
      <c r="V711" s="152" t="b">
        <f t="shared" si="207"/>
        <v>0</v>
      </c>
      <c r="W711" s="152" t="b">
        <f t="shared" si="208"/>
        <v>0</v>
      </c>
      <c r="X711" s="154">
        <f>LOOKUP(D711,'US Implicit Deflator'!A:A,'US Implicit Deflator'!B:B)/100</f>
        <v>1.6E-2</v>
      </c>
      <c r="Y711" s="154">
        <f t="shared" si="202"/>
        <v>1.323654354508319E-3</v>
      </c>
      <c r="Z711" s="165">
        <f t="shared" ca="1" si="203"/>
        <v>5.5045837533368331</v>
      </c>
      <c r="AA711" s="152">
        <f t="shared" si="204"/>
        <v>7</v>
      </c>
      <c r="AB711" s="153">
        <f t="shared" si="205"/>
        <v>42948</v>
      </c>
      <c r="AC711" s="155">
        <f t="shared" ca="1" si="206"/>
        <v>1.2405648509517966</v>
      </c>
    </row>
    <row r="712" spans="3:29">
      <c r="C712" s="152" t="str">
        <f>'Monthly Prices'!A700</f>
        <v>2017M09</v>
      </c>
      <c r="D712" s="153">
        <f t="shared" si="195"/>
        <v>42979</v>
      </c>
      <c r="E712" s="152">
        <f t="shared" si="196"/>
        <v>693</v>
      </c>
      <c r="F712" s="152" t="b">
        <f t="shared" si="190"/>
        <v>1</v>
      </c>
      <c r="G712" s="152" t="b">
        <f t="shared" si="191"/>
        <v>0</v>
      </c>
      <c r="H712" s="152" t="b">
        <f t="shared" si="192"/>
        <v>0</v>
      </c>
      <c r="I712" s="153" t="e">
        <f t="shared" si="193"/>
        <v>#N/A</v>
      </c>
      <c r="J712" s="158">
        <f>INDEX('Monthly Prices'!B700:CB700,$G$4)</f>
        <v>147.2914352</v>
      </c>
      <c r="K712" s="158" t="b">
        <f>IF(H712,INDEX('Monthly Prices'!B700:CB700,$G$4)*U712,FALSE)</f>
        <v>0</v>
      </c>
      <c r="L712" s="152" t="b">
        <f t="shared" si="197"/>
        <v>1</v>
      </c>
      <c r="M712" s="158">
        <f>INDEX('Monthly Prices'!B700:CB700,$G$5)</f>
        <v>96.452124999999995</v>
      </c>
      <c r="N712" s="158" t="b">
        <f>IF(H712,INDEX('Monthly Prices'!B700:CB700,$G$5)*U712,FALSE)</f>
        <v>0</v>
      </c>
      <c r="O712" s="152" t="b">
        <f t="shared" si="194"/>
        <v>1</v>
      </c>
      <c r="P712" s="152">
        <f t="shared" si="198"/>
        <v>2017</v>
      </c>
      <c r="Q712" s="159">
        <f>'Monthly Prices'!B700</f>
        <v>52.95</v>
      </c>
      <c r="R712" s="159">
        <f t="shared" si="199"/>
        <v>52.804999999999161</v>
      </c>
      <c r="S712" s="155">
        <f>_xlfn.XLOOKUP(P712,'Annual Real'!A:A,'Annual Real'!B:B,0,0)</f>
        <v>54.258413950768002</v>
      </c>
      <c r="T712" s="155">
        <f t="shared" ca="1" si="200"/>
        <v>1.2389249425566724</v>
      </c>
      <c r="U712" s="152">
        <f t="shared" ca="1" si="201"/>
        <v>1.2389249425566724</v>
      </c>
      <c r="V712" s="152" t="b">
        <f t="shared" si="207"/>
        <v>0</v>
      </c>
      <c r="W712" s="152" t="b">
        <f t="shared" si="208"/>
        <v>0</v>
      </c>
      <c r="X712" s="154">
        <f>LOOKUP(D712,'US Implicit Deflator'!A:A,'US Implicit Deflator'!B:B)/100</f>
        <v>1.6E-2</v>
      </c>
      <c r="Y712" s="154">
        <f t="shared" si="202"/>
        <v>1.323654354508319E-3</v>
      </c>
      <c r="Z712" s="165">
        <f t="shared" ca="1" si="203"/>
        <v>5.5118699195916934</v>
      </c>
      <c r="AA712" s="152">
        <f t="shared" si="204"/>
        <v>7</v>
      </c>
      <c r="AB712" s="153">
        <f t="shared" si="205"/>
        <v>42979</v>
      </c>
      <c r="AC712" s="155">
        <f t="shared" ca="1" si="206"/>
        <v>1.2389249425566724</v>
      </c>
    </row>
    <row r="713" spans="3:29">
      <c r="C713" s="152" t="str">
        <f>'Monthly Prices'!A701</f>
        <v>2017M10</v>
      </c>
      <c r="D713" s="153">
        <f t="shared" si="195"/>
        <v>43009</v>
      </c>
      <c r="E713" s="152">
        <f t="shared" si="196"/>
        <v>694</v>
      </c>
      <c r="F713" s="152" t="b">
        <f t="shared" si="190"/>
        <v>1</v>
      </c>
      <c r="G713" s="152" t="b">
        <f t="shared" si="191"/>
        <v>0</v>
      </c>
      <c r="H713" s="152" t="b">
        <f t="shared" si="192"/>
        <v>0</v>
      </c>
      <c r="I713" s="153" t="e">
        <f t="shared" si="193"/>
        <v>#N/A</v>
      </c>
      <c r="J713" s="158">
        <f>INDEX('Monthly Prices'!B701:CB701,$G$4)</f>
        <v>148.62207359999999</v>
      </c>
      <c r="K713" s="158" t="b">
        <f>IF(H713,INDEX('Monthly Prices'!B701:CB701,$G$4)*U713,FALSE)</f>
        <v>0</v>
      </c>
      <c r="L713" s="152" t="b">
        <f t="shared" si="197"/>
        <v>1</v>
      </c>
      <c r="M713" s="158">
        <f>INDEX('Monthly Prices'!B701:CB701,$G$5)</f>
        <v>96.452124999999995</v>
      </c>
      <c r="N713" s="158" t="b">
        <f>IF(H713,INDEX('Monthly Prices'!B701:CB701,$G$5)*U713,FALSE)</f>
        <v>0</v>
      </c>
      <c r="O713" s="152" t="b">
        <f t="shared" si="194"/>
        <v>1</v>
      </c>
      <c r="P713" s="152">
        <f t="shared" si="198"/>
        <v>2017</v>
      </c>
      <c r="Q713" s="159">
        <f>'Monthly Prices'!B701</f>
        <v>54.92</v>
      </c>
      <c r="R713" s="159">
        <f t="shared" si="199"/>
        <v>52.804999999999161</v>
      </c>
      <c r="S713" s="155">
        <f>_xlfn.XLOOKUP(P713,'Annual Real'!A:A,'Annual Real'!B:B,0,0)</f>
        <v>54.258413950768002</v>
      </c>
      <c r="T713" s="155">
        <f t="shared" ca="1" si="200"/>
        <v>1.2370844510262164</v>
      </c>
      <c r="U713" s="152">
        <f t="shared" ca="1" si="201"/>
        <v>1.2370844510262164</v>
      </c>
      <c r="V713" s="152" t="b">
        <f t="shared" si="207"/>
        <v>0</v>
      </c>
      <c r="W713" s="152" t="b">
        <f t="shared" si="208"/>
        <v>0</v>
      </c>
      <c r="X713" s="154">
        <f>LOOKUP(D713,'US Implicit Deflator'!A:A,'US Implicit Deflator'!B:B)/100</f>
        <v>1.8000000000000002E-2</v>
      </c>
      <c r="Y713" s="154">
        <f t="shared" si="202"/>
        <v>1.4877654706024757E-3</v>
      </c>
      <c r="Z713" s="165">
        <f t="shared" ca="1" si="203"/>
        <v>5.5200702893365143</v>
      </c>
      <c r="AA713" s="152">
        <f t="shared" si="204"/>
        <v>7</v>
      </c>
      <c r="AB713" s="153">
        <f t="shared" si="205"/>
        <v>43009</v>
      </c>
      <c r="AC713" s="155">
        <f t="shared" ca="1" si="206"/>
        <v>1.2370844510262164</v>
      </c>
    </row>
    <row r="714" spans="3:29">
      <c r="C714" s="152" t="str">
        <f>'Monthly Prices'!A702</f>
        <v>2017M11</v>
      </c>
      <c r="D714" s="153">
        <f t="shared" si="195"/>
        <v>43040</v>
      </c>
      <c r="E714" s="152">
        <f t="shared" si="196"/>
        <v>695</v>
      </c>
      <c r="F714" s="152" t="b">
        <f t="shared" si="190"/>
        <v>1</v>
      </c>
      <c r="G714" s="152" t="b">
        <f t="shared" si="191"/>
        <v>0</v>
      </c>
      <c r="H714" s="152" t="b">
        <f t="shared" si="192"/>
        <v>0</v>
      </c>
      <c r="I714" s="153" t="e">
        <f t="shared" si="193"/>
        <v>#N/A</v>
      </c>
      <c r="J714" s="158">
        <f>INDEX('Monthly Prices'!B702:CB702,$G$4)</f>
        <v>148.7047464</v>
      </c>
      <c r="K714" s="158" t="b">
        <f>IF(H714,INDEX('Monthly Prices'!B702:CB702,$G$4)*U714,FALSE)</f>
        <v>0</v>
      </c>
      <c r="L714" s="152" t="b">
        <f t="shared" si="197"/>
        <v>1</v>
      </c>
      <c r="M714" s="158">
        <f>INDEX('Monthly Prices'!B702:CB702,$G$5)</f>
        <v>108.39381666667001</v>
      </c>
      <c r="N714" s="158" t="b">
        <f>IF(H714,INDEX('Monthly Prices'!B702:CB702,$G$5)*U714,FALSE)</f>
        <v>0</v>
      </c>
      <c r="O714" s="152" t="b">
        <f t="shared" si="194"/>
        <v>1</v>
      </c>
      <c r="P714" s="152">
        <f t="shared" si="198"/>
        <v>2017</v>
      </c>
      <c r="Q714" s="159">
        <f>'Monthly Prices'!B702</f>
        <v>59.933333333329998</v>
      </c>
      <c r="R714" s="159">
        <f t="shared" si="199"/>
        <v>52.804999999999161</v>
      </c>
      <c r="S714" s="155">
        <f>_xlfn.XLOOKUP(P714,'Annual Real'!A:A,'Annual Real'!B:B,0,0)</f>
        <v>54.258413950768002</v>
      </c>
      <c r="T714" s="155">
        <f t="shared" ca="1" si="200"/>
        <v>1.2352466936477313</v>
      </c>
      <c r="U714" s="152">
        <f t="shared" ca="1" si="201"/>
        <v>1.2352466936477313</v>
      </c>
      <c r="V714" s="152" t="b">
        <f t="shared" si="207"/>
        <v>0</v>
      </c>
      <c r="W714" s="152" t="b">
        <f t="shared" si="208"/>
        <v>0</v>
      </c>
      <c r="X714" s="154">
        <f>LOOKUP(D714,'US Implicit Deflator'!A:A,'US Implicit Deflator'!B:B)/100</f>
        <v>1.8000000000000002E-2</v>
      </c>
      <c r="Y714" s="154">
        <f t="shared" si="202"/>
        <v>1.4877654706024757E-3</v>
      </c>
      <c r="Z714" s="165">
        <f t="shared" ca="1" si="203"/>
        <v>5.5282828593082876</v>
      </c>
      <c r="AA714" s="152">
        <f t="shared" si="204"/>
        <v>7</v>
      </c>
      <c r="AB714" s="153">
        <f t="shared" si="205"/>
        <v>43040</v>
      </c>
      <c r="AC714" s="155">
        <f t="shared" ca="1" si="206"/>
        <v>1.2352466936477313</v>
      </c>
    </row>
    <row r="715" spans="3:29">
      <c r="C715" s="152" t="str">
        <f>'Monthly Prices'!A703</f>
        <v>2017M12</v>
      </c>
      <c r="D715" s="153">
        <f t="shared" si="195"/>
        <v>43070</v>
      </c>
      <c r="E715" s="152">
        <f t="shared" si="196"/>
        <v>696</v>
      </c>
      <c r="F715" s="152" t="b">
        <f t="shared" si="190"/>
        <v>1</v>
      </c>
      <c r="G715" s="152" t="b">
        <f t="shared" si="191"/>
        <v>0</v>
      </c>
      <c r="H715" s="152" t="b">
        <f t="shared" si="192"/>
        <v>0</v>
      </c>
      <c r="I715" s="153" t="e">
        <f t="shared" si="193"/>
        <v>#N/A</v>
      </c>
      <c r="J715" s="158">
        <f>INDEX('Monthly Prices'!B703:CB703,$G$4)</f>
        <v>148.98032240000001</v>
      </c>
      <c r="K715" s="158" t="b">
        <f>IF(H715,INDEX('Monthly Prices'!B703:CB703,$G$4)*U715,FALSE)</f>
        <v>0</v>
      </c>
      <c r="L715" s="152" t="b">
        <f t="shared" si="197"/>
        <v>1</v>
      </c>
      <c r="M715" s="158">
        <f>INDEX('Monthly Prices'!B703:CB703,$G$5)</f>
        <v>119.87621249999999</v>
      </c>
      <c r="N715" s="158" t="b">
        <f>IF(H715,INDEX('Monthly Prices'!B703:CB703,$G$5)*U715,FALSE)</f>
        <v>0</v>
      </c>
      <c r="O715" s="152" t="b">
        <f t="shared" si="194"/>
        <v>1</v>
      </c>
      <c r="P715" s="152">
        <f t="shared" si="198"/>
        <v>2017</v>
      </c>
      <c r="Q715" s="159">
        <f>'Monthly Prices'!B703</f>
        <v>61.18666666667</v>
      </c>
      <c r="R715" s="159">
        <f t="shared" si="199"/>
        <v>52.804999999999161</v>
      </c>
      <c r="S715" s="155">
        <f>_xlfn.XLOOKUP(P715,'Annual Real'!A:A,'Annual Real'!B:B,0,0)</f>
        <v>54.258413950768002</v>
      </c>
      <c r="T715" s="155">
        <f t="shared" ca="1" si="200"/>
        <v>1.2334116663594834</v>
      </c>
      <c r="U715" s="152">
        <f t="shared" ca="1" si="201"/>
        <v>1.2334116663594834</v>
      </c>
      <c r="V715" s="152" t="b">
        <f t="shared" si="207"/>
        <v>0</v>
      </c>
      <c r="W715" s="152" t="b">
        <f t="shared" si="208"/>
        <v>0</v>
      </c>
      <c r="X715" s="154">
        <f>LOOKUP(D715,'US Implicit Deflator'!A:A,'US Implicit Deflator'!B:B)/100</f>
        <v>1.8000000000000002E-2</v>
      </c>
      <c r="Y715" s="154">
        <f t="shared" si="202"/>
        <v>1.4877654706024757E-3</v>
      </c>
      <c r="Z715" s="165">
        <f t="shared" ca="1" si="203"/>
        <v>5.5365076476580901</v>
      </c>
      <c r="AA715" s="152">
        <f t="shared" si="204"/>
        <v>7</v>
      </c>
      <c r="AB715" s="153">
        <f t="shared" si="205"/>
        <v>43070</v>
      </c>
      <c r="AC715" s="155">
        <f t="shared" ca="1" si="206"/>
        <v>1.2334116663594834</v>
      </c>
    </row>
    <row r="716" spans="3:29">
      <c r="C716" s="152" t="str">
        <f>'Monthly Prices'!A704</f>
        <v>2018M01</v>
      </c>
      <c r="D716" s="153">
        <f t="shared" si="195"/>
        <v>43101</v>
      </c>
      <c r="E716" s="152">
        <f t="shared" si="196"/>
        <v>697</v>
      </c>
      <c r="F716" s="152" t="b">
        <f t="shared" si="190"/>
        <v>1</v>
      </c>
      <c r="G716" s="152" t="b">
        <f t="shared" si="191"/>
        <v>0</v>
      </c>
      <c r="H716" s="152" t="b">
        <f t="shared" si="192"/>
        <v>0</v>
      </c>
      <c r="I716" s="153" t="e">
        <f t="shared" si="193"/>
        <v>#N/A</v>
      </c>
      <c r="J716" s="158">
        <f>INDEX('Monthly Prices'!B704:CB704,$G$4)</f>
        <v>155.83822799999999</v>
      </c>
      <c r="K716" s="158" t="b">
        <f>IF(H716,INDEX('Monthly Prices'!B704:CB704,$G$4)*U716,FALSE)</f>
        <v>0</v>
      </c>
      <c r="L716" s="152" t="b">
        <f t="shared" si="197"/>
        <v>1</v>
      </c>
      <c r="M716" s="158">
        <f>INDEX('Monthly Prices'!B704:CB704,$G$5)</f>
        <v>121.71339583333</v>
      </c>
      <c r="N716" s="158" t="b">
        <f>IF(H716,INDEX('Monthly Prices'!B704:CB704,$G$5)*U716,FALSE)</f>
        <v>0</v>
      </c>
      <c r="O716" s="152" t="b">
        <f t="shared" si="194"/>
        <v>1</v>
      </c>
      <c r="P716" s="152">
        <f t="shared" si="198"/>
        <v>2018</v>
      </c>
      <c r="Q716" s="159">
        <f>'Monthly Prices'!B704</f>
        <v>66.226666666669999</v>
      </c>
      <c r="R716" s="159">
        <f t="shared" si="199"/>
        <v>68.347500000000835</v>
      </c>
      <c r="S716" s="155">
        <f>_xlfn.XLOOKUP(P716,'Annual Real'!A:A,'Annual Real'!B:B,0,0)</f>
        <v>67.152391380753798</v>
      </c>
      <c r="T716" s="155">
        <f t="shared" ca="1" si="200"/>
        <v>1.2314786018033916</v>
      </c>
      <c r="U716" s="152">
        <f t="shared" ca="1" si="201"/>
        <v>1.2314786018033916</v>
      </c>
      <c r="V716" s="152" t="b">
        <f t="shared" si="207"/>
        <v>0</v>
      </c>
      <c r="W716" s="152" t="b">
        <f t="shared" si="208"/>
        <v>0</v>
      </c>
      <c r="X716" s="154">
        <f>LOOKUP(D716,'US Implicit Deflator'!A:A,'US Implicit Deflator'!B:B)/100</f>
        <v>1.9E-2</v>
      </c>
      <c r="Y716" s="154">
        <f t="shared" si="202"/>
        <v>1.5697102274137009E-3</v>
      </c>
      <c r="Z716" s="165">
        <f t="shared" ca="1" si="203"/>
        <v>5.5451983603367729</v>
      </c>
      <c r="AA716" s="152">
        <f t="shared" si="204"/>
        <v>7</v>
      </c>
      <c r="AB716" s="153">
        <f t="shared" si="205"/>
        <v>43101</v>
      </c>
      <c r="AC716" s="155">
        <f t="shared" ca="1" si="206"/>
        <v>1.2314786018033916</v>
      </c>
    </row>
    <row r="717" spans="3:29">
      <c r="C717" s="152" t="str">
        <f>'Monthly Prices'!A705</f>
        <v>2018M02</v>
      </c>
      <c r="D717" s="153">
        <f t="shared" si="195"/>
        <v>43132</v>
      </c>
      <c r="E717" s="152">
        <f t="shared" si="196"/>
        <v>698</v>
      </c>
      <c r="F717" s="152" t="b">
        <f t="shared" si="190"/>
        <v>1</v>
      </c>
      <c r="G717" s="152" t="b">
        <f t="shared" si="191"/>
        <v>0</v>
      </c>
      <c r="H717" s="152" t="b">
        <f t="shared" si="192"/>
        <v>0</v>
      </c>
      <c r="I717" s="153" t="e">
        <f t="shared" si="193"/>
        <v>#N/A</v>
      </c>
      <c r="J717" s="158">
        <f>INDEX('Monthly Prices'!B705:CB705,$G$4)</f>
        <v>163.357516</v>
      </c>
      <c r="K717" s="158" t="b">
        <f>IF(H717,INDEX('Monthly Prices'!B705:CB705,$G$4)*U717,FALSE)</f>
        <v>0</v>
      </c>
      <c r="L717" s="152" t="b">
        <f t="shared" si="197"/>
        <v>1</v>
      </c>
      <c r="M717" s="158">
        <f>INDEX('Monthly Prices'!B705:CB705,$G$5)</f>
        <v>129.06212916666999</v>
      </c>
      <c r="N717" s="158" t="b">
        <f>IF(H717,INDEX('Monthly Prices'!B705:CB705,$G$5)*U717,FALSE)</f>
        <v>0</v>
      </c>
      <c r="O717" s="152" t="b">
        <f t="shared" si="194"/>
        <v>1</v>
      </c>
      <c r="P717" s="152">
        <f t="shared" si="198"/>
        <v>2018</v>
      </c>
      <c r="Q717" s="159">
        <f>'Monthly Prices'!B705</f>
        <v>63.46</v>
      </c>
      <c r="R717" s="159">
        <f t="shared" si="199"/>
        <v>68.347500000000835</v>
      </c>
      <c r="S717" s="155">
        <f>_xlfn.XLOOKUP(P717,'Annual Real'!A:A,'Annual Real'!B:B,0,0)</f>
        <v>67.152391380753798</v>
      </c>
      <c r="T717" s="155">
        <f t="shared" ca="1" si="200"/>
        <v>1.2295485668429165</v>
      </c>
      <c r="U717" s="152">
        <f t="shared" ca="1" si="201"/>
        <v>1.2295485668429165</v>
      </c>
      <c r="V717" s="152" t="b">
        <f t="shared" si="207"/>
        <v>0</v>
      </c>
      <c r="W717" s="152" t="b">
        <f t="shared" si="208"/>
        <v>0</v>
      </c>
      <c r="X717" s="154">
        <f>LOOKUP(D717,'US Implicit Deflator'!A:A,'US Implicit Deflator'!B:B)/100</f>
        <v>1.9E-2</v>
      </c>
      <c r="Y717" s="154">
        <f t="shared" si="202"/>
        <v>1.5697102274137009E-3</v>
      </c>
      <c r="Z717" s="165">
        <f t="shared" ca="1" si="203"/>
        <v>5.5539027149160312</v>
      </c>
      <c r="AA717" s="152">
        <f t="shared" si="204"/>
        <v>7</v>
      </c>
      <c r="AB717" s="153">
        <f t="shared" si="205"/>
        <v>43132</v>
      </c>
      <c r="AC717" s="155">
        <f t="shared" ca="1" si="206"/>
        <v>1.2295485668429165</v>
      </c>
    </row>
    <row r="718" spans="3:29">
      <c r="C718" s="152" t="str">
        <f>'Monthly Prices'!A706</f>
        <v>2018M03</v>
      </c>
      <c r="D718" s="153">
        <f t="shared" si="195"/>
        <v>43160</v>
      </c>
      <c r="E718" s="152">
        <f t="shared" si="196"/>
        <v>699</v>
      </c>
      <c r="F718" s="152" t="b">
        <f t="shared" si="190"/>
        <v>1</v>
      </c>
      <c r="G718" s="152" t="b">
        <f t="shared" si="191"/>
        <v>0</v>
      </c>
      <c r="H718" s="152" t="b">
        <f t="shared" si="192"/>
        <v>0</v>
      </c>
      <c r="I718" s="153" t="e">
        <f t="shared" si="193"/>
        <v>#N/A</v>
      </c>
      <c r="J718" s="158">
        <f>INDEX('Monthly Prices'!B706:CB706,$G$4)</f>
        <v>171.99879200000001</v>
      </c>
      <c r="K718" s="158" t="b">
        <f>IF(H718,INDEX('Monthly Prices'!B706:CB706,$G$4)*U718,FALSE)</f>
        <v>0</v>
      </c>
      <c r="L718" s="152" t="b">
        <f t="shared" si="197"/>
        <v>1</v>
      </c>
      <c r="M718" s="158">
        <f>INDEX('Monthly Prices'!B706:CB706,$G$5)</f>
        <v>130.89931250000001</v>
      </c>
      <c r="N718" s="158" t="b">
        <f>IF(H718,INDEX('Monthly Prices'!B706:CB706,$G$5)*U718,FALSE)</f>
        <v>0</v>
      </c>
      <c r="O718" s="152" t="b">
        <f t="shared" si="194"/>
        <v>1</v>
      </c>
      <c r="P718" s="152">
        <f t="shared" si="198"/>
        <v>2018</v>
      </c>
      <c r="Q718" s="159">
        <f>'Monthly Prices'!B706</f>
        <v>64.166666666669997</v>
      </c>
      <c r="R718" s="159">
        <f t="shared" si="199"/>
        <v>68.347500000000835</v>
      </c>
      <c r="S718" s="155">
        <f>_xlfn.XLOOKUP(P718,'Annual Real'!A:A,'Annual Real'!B:B,0,0)</f>
        <v>67.152391380753798</v>
      </c>
      <c r="T718" s="155">
        <f t="shared" ca="1" si="200"/>
        <v>1.227621556729924</v>
      </c>
      <c r="U718" s="152">
        <f t="shared" ca="1" si="201"/>
        <v>1.227621556729924</v>
      </c>
      <c r="V718" s="152" t="b">
        <f t="shared" si="207"/>
        <v>0</v>
      </c>
      <c r="W718" s="152" t="b">
        <f t="shared" si="208"/>
        <v>0</v>
      </c>
      <c r="X718" s="154">
        <f>LOOKUP(D718,'US Implicit Deflator'!A:A,'US Implicit Deflator'!B:B)/100</f>
        <v>1.9E-2</v>
      </c>
      <c r="Y718" s="154">
        <f t="shared" si="202"/>
        <v>1.5697102274137009E-3</v>
      </c>
      <c r="Z718" s="165">
        <f t="shared" ca="1" si="203"/>
        <v>5.5626207328096955</v>
      </c>
      <c r="AA718" s="152">
        <f t="shared" si="204"/>
        <v>7</v>
      </c>
      <c r="AB718" s="153">
        <f t="shared" si="205"/>
        <v>43160</v>
      </c>
      <c r="AC718" s="155">
        <f t="shared" ca="1" si="206"/>
        <v>1.227621556729924</v>
      </c>
    </row>
    <row r="719" spans="3:29">
      <c r="C719" s="152" t="str">
        <f>'Monthly Prices'!A707</f>
        <v>2018M04</v>
      </c>
      <c r="D719" s="153">
        <f t="shared" si="195"/>
        <v>43191</v>
      </c>
      <c r="E719" s="152">
        <f t="shared" si="196"/>
        <v>700</v>
      </c>
      <c r="F719" s="152" t="b">
        <f t="shared" si="190"/>
        <v>1</v>
      </c>
      <c r="G719" s="152" t="b">
        <f t="shared" si="191"/>
        <v>0</v>
      </c>
      <c r="H719" s="152" t="b">
        <f t="shared" si="192"/>
        <v>0</v>
      </c>
      <c r="I719" s="153" t="e">
        <f t="shared" si="193"/>
        <v>#N/A</v>
      </c>
      <c r="J719" s="158">
        <f>INDEX('Monthly Prices'!B707:CB707,$G$4)</f>
        <v>175.6049008</v>
      </c>
      <c r="K719" s="158" t="b">
        <f>IF(H719,INDEX('Monthly Prices'!B707:CB707,$G$4)*U719,FALSE)</f>
        <v>0</v>
      </c>
      <c r="L719" s="152" t="b">
        <f t="shared" si="197"/>
        <v>1</v>
      </c>
      <c r="M719" s="158">
        <f>INDEX('Monthly Prices'!B707:CB707,$G$5)</f>
        <v>130.89931250000001</v>
      </c>
      <c r="N719" s="158" t="b">
        <f>IF(H719,INDEX('Monthly Prices'!B707:CB707,$G$5)*U719,FALSE)</f>
        <v>0</v>
      </c>
      <c r="O719" s="152" t="b">
        <f t="shared" si="194"/>
        <v>1</v>
      </c>
      <c r="P719" s="152">
        <f t="shared" si="198"/>
        <v>2018</v>
      </c>
      <c r="Q719" s="159">
        <f>'Monthly Prices'!B707</f>
        <v>68.793333333329997</v>
      </c>
      <c r="R719" s="159">
        <f t="shared" si="199"/>
        <v>68.347500000000835</v>
      </c>
      <c r="S719" s="155">
        <f>_xlfn.XLOOKUP(P719,'Annual Real'!A:A,'Annual Real'!B:B,0,0)</f>
        <v>67.152391380753798</v>
      </c>
      <c r="T719" s="155">
        <f t="shared" ca="1" si="200"/>
        <v>1.225098055321459</v>
      </c>
      <c r="U719" s="152">
        <f t="shared" ca="1" si="201"/>
        <v>1.225098055321459</v>
      </c>
      <c r="V719" s="152" t="b">
        <f t="shared" si="207"/>
        <v>0</v>
      </c>
      <c r="W719" s="152" t="b">
        <f t="shared" si="208"/>
        <v>0</v>
      </c>
      <c r="X719" s="154">
        <f>LOOKUP(D719,'US Implicit Deflator'!A:A,'US Implicit Deflator'!B:B)/100</f>
        <v>2.5000000000000001E-2</v>
      </c>
      <c r="Y719" s="154">
        <f t="shared" si="202"/>
        <v>2.0598362698427408E-3</v>
      </c>
      <c r="Z719" s="165">
        <f t="shared" ca="1" si="203"/>
        <v>5.5740788207505165</v>
      </c>
      <c r="AA719" s="152">
        <f t="shared" si="204"/>
        <v>7</v>
      </c>
      <c r="AB719" s="153">
        <f t="shared" si="205"/>
        <v>43191</v>
      </c>
      <c r="AC719" s="155">
        <f t="shared" ca="1" si="206"/>
        <v>1.225098055321459</v>
      </c>
    </row>
    <row r="720" spans="3:29">
      <c r="C720" s="152" t="str">
        <f>'Monthly Prices'!A708</f>
        <v>2018M05</v>
      </c>
      <c r="D720" s="153">
        <f t="shared" si="195"/>
        <v>43221</v>
      </c>
      <c r="E720" s="152">
        <f t="shared" si="196"/>
        <v>701</v>
      </c>
      <c r="F720" s="152" t="b">
        <f t="shared" si="190"/>
        <v>1</v>
      </c>
      <c r="G720" s="152" t="b">
        <f t="shared" si="191"/>
        <v>0</v>
      </c>
      <c r="H720" s="152" t="b">
        <f t="shared" si="192"/>
        <v>0</v>
      </c>
      <c r="I720" s="153" t="e">
        <f t="shared" si="193"/>
        <v>#N/A</v>
      </c>
      <c r="J720" s="158">
        <f>INDEX('Monthly Prices'!B708:CB708,$G$4)</f>
        <v>179.08503200000001</v>
      </c>
      <c r="K720" s="158" t="b">
        <f>IF(H720,INDEX('Monthly Prices'!B708:CB708,$G$4)*U720,FALSE)</f>
        <v>0</v>
      </c>
      <c r="L720" s="152" t="b">
        <f t="shared" si="197"/>
        <v>1</v>
      </c>
      <c r="M720" s="158">
        <f>INDEX('Monthly Prices'!B708:CB708,$G$5)</f>
        <v>130.89931250000001</v>
      </c>
      <c r="N720" s="158" t="b">
        <f>IF(H720,INDEX('Monthly Prices'!B708:CB708,$G$5)*U720,FALSE)</f>
        <v>0</v>
      </c>
      <c r="O720" s="152" t="b">
        <f t="shared" si="194"/>
        <v>1</v>
      </c>
      <c r="P720" s="152">
        <f t="shared" si="198"/>
        <v>2018</v>
      </c>
      <c r="Q720" s="159">
        <f>'Monthly Prices'!B708</f>
        <v>73.430000000000007</v>
      </c>
      <c r="R720" s="159">
        <f t="shared" si="199"/>
        <v>68.347500000000835</v>
      </c>
      <c r="S720" s="155">
        <f>_xlfn.XLOOKUP(P720,'Annual Real'!A:A,'Annual Real'!B:B,0,0)</f>
        <v>67.152391380753798</v>
      </c>
      <c r="T720" s="155">
        <f t="shared" ca="1" si="200"/>
        <v>1.2225797412277033</v>
      </c>
      <c r="U720" s="152">
        <f t="shared" ca="1" si="201"/>
        <v>1.2225797412277033</v>
      </c>
      <c r="V720" s="152" t="b">
        <f t="shared" si="207"/>
        <v>0</v>
      </c>
      <c r="W720" s="152" t="b">
        <f t="shared" si="208"/>
        <v>0</v>
      </c>
      <c r="X720" s="154">
        <f>LOOKUP(D720,'US Implicit Deflator'!A:A,'US Implicit Deflator'!B:B)/100</f>
        <v>2.5000000000000001E-2</v>
      </c>
      <c r="Y720" s="154">
        <f t="shared" si="202"/>
        <v>2.0598362698427408E-3</v>
      </c>
      <c r="Z720" s="165">
        <f t="shared" ca="1" si="203"/>
        <v>5.5855605104764603</v>
      </c>
      <c r="AA720" s="152">
        <f t="shared" si="204"/>
        <v>7</v>
      </c>
      <c r="AB720" s="153">
        <f t="shared" si="205"/>
        <v>43221</v>
      </c>
      <c r="AC720" s="155">
        <f t="shared" ca="1" si="206"/>
        <v>1.2225797412277033</v>
      </c>
    </row>
    <row r="721" spans="3:29">
      <c r="C721" s="152" t="str">
        <f>'Monthly Prices'!A709</f>
        <v>2018M06</v>
      </c>
      <c r="D721" s="153">
        <f t="shared" si="195"/>
        <v>43252</v>
      </c>
      <c r="E721" s="152">
        <f t="shared" si="196"/>
        <v>702</v>
      </c>
      <c r="F721" s="152" t="b">
        <f t="shared" si="190"/>
        <v>1</v>
      </c>
      <c r="G721" s="152" t="b">
        <f t="shared" si="191"/>
        <v>0</v>
      </c>
      <c r="H721" s="152" t="b">
        <f t="shared" si="192"/>
        <v>0</v>
      </c>
      <c r="I721" s="153" t="e">
        <f t="shared" si="193"/>
        <v>#N/A</v>
      </c>
      <c r="J721" s="158">
        <f>INDEX('Monthly Prices'!B709:CB709,$G$4)</f>
        <v>165.07002399999999</v>
      </c>
      <c r="K721" s="158" t="b">
        <f>IF(H721,INDEX('Monthly Prices'!B709:CB709,$G$4)*U721,FALSE)</f>
        <v>0</v>
      </c>
      <c r="L721" s="152" t="b">
        <f t="shared" si="197"/>
        <v>1</v>
      </c>
      <c r="M721" s="158">
        <f>INDEX('Monthly Prices'!B709:CB709,$G$5)</f>
        <v>130.89931250000001</v>
      </c>
      <c r="N721" s="158" t="b">
        <f>IF(H721,INDEX('Monthly Prices'!B709:CB709,$G$5)*U721,FALSE)</f>
        <v>0</v>
      </c>
      <c r="O721" s="152" t="b">
        <f t="shared" si="194"/>
        <v>1</v>
      </c>
      <c r="P721" s="152">
        <f t="shared" si="198"/>
        <v>2018</v>
      </c>
      <c r="Q721" s="159">
        <f>'Monthly Prices'!B709</f>
        <v>71.976666666669999</v>
      </c>
      <c r="R721" s="159">
        <f t="shared" si="199"/>
        <v>68.347500000000835</v>
      </c>
      <c r="S721" s="155">
        <f>_xlfn.XLOOKUP(P721,'Annual Real'!A:A,'Annual Real'!B:B,0,0)</f>
        <v>67.152391380753798</v>
      </c>
      <c r="T721" s="155">
        <f t="shared" ca="1" si="200"/>
        <v>1.2200666037856018</v>
      </c>
      <c r="U721" s="152">
        <f t="shared" ca="1" si="201"/>
        <v>1.2200666037856018</v>
      </c>
      <c r="V721" s="152" t="b">
        <f t="shared" si="207"/>
        <v>0</v>
      </c>
      <c r="W721" s="152" t="b">
        <f t="shared" si="208"/>
        <v>0</v>
      </c>
      <c r="X721" s="154">
        <f>LOOKUP(D721,'US Implicit Deflator'!A:A,'US Implicit Deflator'!B:B)/100</f>
        <v>2.5000000000000001E-2</v>
      </c>
      <c r="Y721" s="154">
        <f t="shared" si="202"/>
        <v>2.0598362698427408E-3</v>
      </c>
      <c r="Z721" s="165">
        <f t="shared" ca="1" si="203"/>
        <v>5.5970658506033413</v>
      </c>
      <c r="AA721" s="152">
        <f t="shared" si="204"/>
        <v>7</v>
      </c>
      <c r="AB721" s="153">
        <f t="shared" si="205"/>
        <v>43252</v>
      </c>
      <c r="AC721" s="155">
        <f t="shared" ca="1" si="206"/>
        <v>1.2200666037856018</v>
      </c>
    </row>
    <row r="722" spans="3:29">
      <c r="C722" s="152" t="str">
        <f>'Monthly Prices'!A710</f>
        <v>2018M07</v>
      </c>
      <c r="D722" s="153">
        <f t="shared" si="195"/>
        <v>43282</v>
      </c>
      <c r="E722" s="152">
        <f t="shared" si="196"/>
        <v>703</v>
      </c>
      <c r="F722" s="152" t="b">
        <f t="shared" si="190"/>
        <v>1</v>
      </c>
      <c r="G722" s="152" t="b">
        <f t="shared" si="191"/>
        <v>0</v>
      </c>
      <c r="H722" s="152" t="b">
        <f t="shared" si="192"/>
        <v>0</v>
      </c>
      <c r="I722" s="153" t="e">
        <f t="shared" si="193"/>
        <v>#N/A</v>
      </c>
      <c r="J722" s="158">
        <f>INDEX('Monthly Prices'!B710:CB710,$G$4)</f>
        <v>156.4602424</v>
      </c>
      <c r="K722" s="158" t="b">
        <f>IF(H722,INDEX('Monthly Prices'!B710:CB710,$G$4)*U722,FALSE)</f>
        <v>0</v>
      </c>
      <c r="L722" s="152" t="b">
        <f t="shared" si="197"/>
        <v>1</v>
      </c>
      <c r="M722" s="158">
        <f>INDEX('Monthly Prices'!B710:CB710,$G$5)</f>
        <v>130.89931250000001</v>
      </c>
      <c r="N722" s="158" t="b">
        <f>IF(H722,INDEX('Monthly Prices'!B710:CB710,$G$5)*U722,FALSE)</f>
        <v>0</v>
      </c>
      <c r="O722" s="152" t="b">
        <f t="shared" si="194"/>
        <v>1</v>
      </c>
      <c r="P722" s="152">
        <f t="shared" si="198"/>
        <v>2018</v>
      </c>
      <c r="Q722" s="159">
        <f>'Monthly Prices'!B710</f>
        <v>72.666666666669997</v>
      </c>
      <c r="R722" s="159">
        <f t="shared" si="199"/>
        <v>68.347500000000835</v>
      </c>
      <c r="S722" s="155">
        <f>_xlfn.XLOOKUP(P722,'Annual Real'!A:A,'Annual Real'!B:B,0,0)</f>
        <v>67.152391380753798</v>
      </c>
      <c r="T722" s="155">
        <f t="shared" ca="1" si="200"/>
        <v>1.2177568188953631</v>
      </c>
      <c r="U722" s="152">
        <f t="shared" ca="1" si="201"/>
        <v>1.2177568188953631</v>
      </c>
      <c r="V722" s="152" t="b">
        <f t="shared" si="207"/>
        <v>0</v>
      </c>
      <c r="W722" s="152" t="b">
        <f t="shared" si="208"/>
        <v>0</v>
      </c>
      <c r="X722" s="154">
        <f>LOOKUP(D722,'US Implicit Deflator'!A:A,'US Implicit Deflator'!B:B)/100</f>
        <v>2.3E-2</v>
      </c>
      <c r="Y722" s="154">
        <f t="shared" si="202"/>
        <v>1.8967538135683526E-3</v>
      </c>
      <c r="Z722" s="165">
        <f t="shared" ca="1" si="203"/>
        <v>5.607682106600266</v>
      </c>
      <c r="AA722" s="152">
        <f t="shared" si="204"/>
        <v>7</v>
      </c>
      <c r="AB722" s="153">
        <f t="shared" si="205"/>
        <v>43282</v>
      </c>
      <c r="AC722" s="155">
        <f t="shared" ca="1" si="206"/>
        <v>1.2177568188953631</v>
      </c>
    </row>
    <row r="723" spans="3:29">
      <c r="C723" s="152" t="str">
        <f>'Monthly Prices'!A711</f>
        <v>2018M08</v>
      </c>
      <c r="D723" s="153">
        <f t="shared" si="195"/>
        <v>43313</v>
      </c>
      <c r="E723" s="152">
        <f t="shared" si="196"/>
        <v>704</v>
      </c>
      <c r="F723" s="152" t="b">
        <f t="shared" si="190"/>
        <v>1</v>
      </c>
      <c r="G723" s="152" t="b">
        <f t="shared" si="191"/>
        <v>0</v>
      </c>
      <c r="H723" s="152" t="b">
        <f t="shared" si="192"/>
        <v>0</v>
      </c>
      <c r="I723" s="153" t="e">
        <f t="shared" si="193"/>
        <v>#N/A</v>
      </c>
      <c r="J723" s="158">
        <f>INDEX('Monthly Prices'!B711:CB711,$G$4)</f>
        <v>162.37331599999999</v>
      </c>
      <c r="K723" s="158" t="b">
        <f>IF(H723,INDEX('Monthly Prices'!B711:CB711,$G$4)*U723,FALSE)</f>
        <v>0</v>
      </c>
      <c r="L723" s="152" t="b">
        <f t="shared" si="197"/>
        <v>1</v>
      </c>
      <c r="M723" s="158">
        <f>INDEX('Monthly Prices'!B711:CB711,$G$5)</f>
        <v>127.68424166667</v>
      </c>
      <c r="N723" s="158" t="b">
        <f>IF(H723,INDEX('Monthly Prices'!B711:CB711,$G$5)*U723,FALSE)</f>
        <v>0</v>
      </c>
      <c r="O723" s="152" t="b">
        <f t="shared" si="194"/>
        <v>1</v>
      </c>
      <c r="P723" s="152">
        <f t="shared" si="198"/>
        <v>2018</v>
      </c>
      <c r="Q723" s="159">
        <f>'Monthly Prices'!B711</f>
        <v>71.083333333330003</v>
      </c>
      <c r="R723" s="159">
        <f t="shared" si="199"/>
        <v>68.347500000000835</v>
      </c>
      <c r="S723" s="155">
        <f>_xlfn.XLOOKUP(P723,'Annual Real'!A:A,'Annual Real'!B:B,0,0)</f>
        <v>67.152391380753798</v>
      </c>
      <c r="T723" s="155">
        <f t="shared" ca="1" si="200"/>
        <v>1.2154514068043001</v>
      </c>
      <c r="U723" s="152">
        <f t="shared" ca="1" si="201"/>
        <v>1.2154514068043001</v>
      </c>
      <c r="V723" s="152" t="b">
        <f t="shared" si="207"/>
        <v>0</v>
      </c>
      <c r="W723" s="152" t="b">
        <f t="shared" si="208"/>
        <v>0</v>
      </c>
      <c r="X723" s="154">
        <f>LOOKUP(D723,'US Implicit Deflator'!A:A,'US Implicit Deflator'!B:B)/100</f>
        <v>2.3E-2</v>
      </c>
      <c r="Y723" s="154">
        <f t="shared" si="202"/>
        <v>1.8967538135683526E-3</v>
      </c>
      <c r="Z723" s="165">
        <f t="shared" ca="1" si="203"/>
        <v>5.6183184990212389</v>
      </c>
      <c r="AA723" s="152">
        <f t="shared" si="204"/>
        <v>7</v>
      </c>
      <c r="AB723" s="153">
        <f t="shared" si="205"/>
        <v>43313</v>
      </c>
      <c r="AC723" s="155">
        <f t="shared" ca="1" si="206"/>
        <v>1.2154514068043001</v>
      </c>
    </row>
    <row r="724" spans="3:29">
      <c r="C724" s="152" t="str">
        <f>'Monthly Prices'!A712</f>
        <v>2018M09</v>
      </c>
      <c r="D724" s="153">
        <f t="shared" si="195"/>
        <v>43344</v>
      </c>
      <c r="E724" s="152">
        <f t="shared" si="196"/>
        <v>705</v>
      </c>
      <c r="F724" s="152" t="b">
        <f t="shared" ref="F724:F787" si="209">AND(E724&gt;=$M$4,L724)</f>
        <v>1</v>
      </c>
      <c r="G724" s="152" t="b">
        <f t="shared" ref="G724:G787" si="210">AND(E724&lt;=$M$5,O724)</f>
        <v>0</v>
      </c>
      <c r="H724" s="152" t="b">
        <f t="shared" ref="H724:H766" si="211">AND(F724:G724)</f>
        <v>0</v>
      </c>
      <c r="I724" s="153" t="e">
        <f t="shared" ref="I724:I787" si="212">IF(H724,D724,NA)</f>
        <v>#N/A</v>
      </c>
      <c r="J724" s="158">
        <f>INDEX('Monthly Prices'!B712:CB712,$G$4)</f>
        <v>154.8028496</v>
      </c>
      <c r="K724" s="158" t="b">
        <f>IF(H724,INDEX('Monthly Prices'!B712:CB712,$G$4)*U724,FALSE)</f>
        <v>0</v>
      </c>
      <c r="L724" s="152" t="b">
        <f t="shared" si="197"/>
        <v>1</v>
      </c>
      <c r="M724" s="158">
        <f>INDEX('Monthly Prices'!B712:CB712,$G$5)</f>
        <v>119.41691666667001</v>
      </c>
      <c r="N724" s="158" t="b">
        <f>IF(H724,INDEX('Monthly Prices'!B712:CB712,$G$5)*U724,FALSE)</f>
        <v>0</v>
      </c>
      <c r="O724" s="152" t="b">
        <f t="shared" ref="O724:O766" si="213">AND(ISNUMBER(M724),M724&gt;0)</f>
        <v>1</v>
      </c>
      <c r="P724" s="152">
        <f t="shared" si="198"/>
        <v>2018</v>
      </c>
      <c r="Q724" s="159">
        <f>'Monthly Prices'!B712</f>
        <v>75.363333333330004</v>
      </c>
      <c r="R724" s="159">
        <f t="shared" si="199"/>
        <v>68.347500000000835</v>
      </c>
      <c r="S724" s="155">
        <f>_xlfn.XLOOKUP(P724,'Annual Real'!A:A,'Annual Real'!B:B,0,0)</f>
        <v>67.152391380753798</v>
      </c>
      <c r="T724" s="155">
        <f t="shared" ca="1" si="200"/>
        <v>1.2131503592339912</v>
      </c>
      <c r="U724" s="152">
        <f t="shared" ca="1" si="201"/>
        <v>1.2131503592339912</v>
      </c>
      <c r="V724" s="152" t="b">
        <f t="shared" si="207"/>
        <v>0</v>
      </c>
      <c r="W724" s="152" t="b">
        <f t="shared" si="208"/>
        <v>0</v>
      </c>
      <c r="X724" s="154">
        <f>LOOKUP(D724,'US Implicit Deflator'!A:A,'US Implicit Deflator'!B:B)/100</f>
        <v>2.3E-2</v>
      </c>
      <c r="Y724" s="154">
        <f t="shared" si="202"/>
        <v>1.8967538135683526E-3</v>
      </c>
      <c r="Z724" s="165">
        <f t="shared" ca="1" si="203"/>
        <v>5.6289750660600992</v>
      </c>
      <c r="AA724" s="152">
        <f t="shared" si="204"/>
        <v>7</v>
      </c>
      <c r="AB724" s="153">
        <f t="shared" si="205"/>
        <v>43344</v>
      </c>
      <c r="AC724" s="155">
        <f t="shared" ca="1" si="206"/>
        <v>1.2131503592339912</v>
      </c>
    </row>
    <row r="725" spans="3:29">
      <c r="C725" s="152" t="str">
        <f>'Monthly Prices'!A713</f>
        <v>2018M10</v>
      </c>
      <c r="D725" s="153">
        <f t="shared" ref="D725:D766" si="214">EDATE(D724,1)</f>
        <v>43374</v>
      </c>
      <c r="E725" s="152">
        <f t="shared" ref="E725:E766" si="215">E724+1</f>
        <v>706</v>
      </c>
      <c r="F725" s="152" t="b">
        <f t="shared" si="209"/>
        <v>1</v>
      </c>
      <c r="G725" s="152" t="b">
        <f t="shared" si="210"/>
        <v>0</v>
      </c>
      <c r="H725" s="152" t="b">
        <f t="shared" si="211"/>
        <v>0</v>
      </c>
      <c r="I725" s="153" t="e">
        <f t="shared" si="212"/>
        <v>#N/A</v>
      </c>
      <c r="J725" s="158">
        <f>INDEX('Monthly Prices'!B713:CB713,$G$4)</f>
        <v>160.25531760000001</v>
      </c>
      <c r="K725" s="158" t="b">
        <f>IF(H725,INDEX('Monthly Prices'!B713:CB713,$G$4)*U725,FALSE)</f>
        <v>0</v>
      </c>
      <c r="L725" s="152" t="b">
        <f t="shared" ref="L725:L766" si="216">ISNUMBER(J725)</f>
        <v>1</v>
      </c>
      <c r="M725" s="158">
        <f>INDEX('Monthly Prices'!B713:CB713,$G$5)</f>
        <v>119.41691666667001</v>
      </c>
      <c r="N725" s="158" t="b">
        <f>IF(H725,INDEX('Monthly Prices'!B713:CB713,$G$5)*U725,FALSE)</f>
        <v>0</v>
      </c>
      <c r="O725" s="152" t="b">
        <f t="shared" si="213"/>
        <v>1</v>
      </c>
      <c r="P725" s="152">
        <f t="shared" ref="P725:P766" si="217">YEAR(D725)</f>
        <v>2018</v>
      </c>
      <c r="Q725" s="159">
        <f>'Monthly Prices'!B713</f>
        <v>76.726666666669999</v>
      </c>
      <c r="R725" s="159">
        <f t="shared" ref="R725:R788" si="218">AVERAGEIF(P:P,P725,Q:Q)</f>
        <v>68.347500000000835</v>
      </c>
      <c r="S725" s="155">
        <f>_xlfn.XLOOKUP(P725,'Annual Real'!A:A,'Annual Real'!B:B,0,0)</f>
        <v>67.152391380753798</v>
      </c>
      <c r="T725" s="155">
        <f t="shared" ref="T725:T788" ca="1" si="219">AC725</f>
        <v>1.2111500464634324</v>
      </c>
      <c r="U725" s="152">
        <f t="shared" ref="U725:U788" ca="1" si="220">IF($U$19,T725,1)</f>
        <v>1.2111500464634324</v>
      </c>
      <c r="V725" s="152" t="b">
        <f t="shared" si="207"/>
        <v>0</v>
      </c>
      <c r="W725" s="152" t="b">
        <f t="shared" si="208"/>
        <v>0</v>
      </c>
      <c r="X725" s="154">
        <f>LOOKUP(D725,'US Implicit Deflator'!A:A,'US Implicit Deflator'!B:B)/100</f>
        <v>0.02</v>
      </c>
      <c r="Y725" s="154">
        <f t="shared" ref="Y725:Y788" si="221">(1+X725)^(1/12)-1</f>
        <v>1.6515813019202241E-3</v>
      </c>
      <c r="Z725" s="165">
        <f t="shared" ref="Z725:Z788" ca="1" si="222">Z724*(1+Y725)</f>
        <v>5.6382717760281791</v>
      </c>
      <c r="AA725" s="152">
        <f t="shared" ref="AA725:AA788" si="223">LEN(C725)</f>
        <v>7</v>
      </c>
      <c r="AB725" s="153">
        <f t="shared" ref="AB725:AB788" si="224">IF(AA725&gt;2,D725,0)</f>
        <v>43374</v>
      </c>
      <c r="AC725" s="155">
        <f t="shared" ref="AC725:AC788" ca="1" si="225">$AC$17/Z725</f>
        <v>1.2111500464634324</v>
      </c>
    </row>
    <row r="726" spans="3:29">
      <c r="C726" s="152" t="str">
        <f>'Monthly Prices'!A714</f>
        <v>2018M11</v>
      </c>
      <c r="D726" s="153">
        <f t="shared" si="214"/>
        <v>43405</v>
      </c>
      <c r="E726" s="152">
        <f t="shared" si="215"/>
        <v>707</v>
      </c>
      <c r="F726" s="152" t="b">
        <f t="shared" si="209"/>
        <v>1</v>
      </c>
      <c r="G726" s="152" t="b">
        <f t="shared" si="210"/>
        <v>0</v>
      </c>
      <c r="H726" s="152" t="b">
        <f t="shared" si="211"/>
        <v>0</v>
      </c>
      <c r="I726" s="153" t="e">
        <f t="shared" si="212"/>
        <v>#N/A</v>
      </c>
      <c r="J726" s="158">
        <f>INDEX('Monthly Prices'!B714:CB714,$G$4)</f>
        <v>160.6883656</v>
      </c>
      <c r="K726" s="158" t="b">
        <f>IF(H726,INDEX('Monthly Prices'!B714:CB714,$G$4)*U726,FALSE)</f>
        <v>0</v>
      </c>
      <c r="L726" s="152" t="b">
        <f t="shared" si="216"/>
        <v>1</v>
      </c>
      <c r="M726" s="158">
        <f>INDEX('Monthly Prices'!B714:CB714,$G$5)</f>
        <v>119.41691666667001</v>
      </c>
      <c r="N726" s="158" t="b">
        <f>IF(H726,INDEX('Monthly Prices'!B714:CB714,$G$5)*U726,FALSE)</f>
        <v>0</v>
      </c>
      <c r="O726" s="152" t="b">
        <f t="shared" si="213"/>
        <v>1</v>
      </c>
      <c r="P726" s="152">
        <f t="shared" si="217"/>
        <v>2018</v>
      </c>
      <c r="Q726" s="159">
        <f>'Monthly Prices'!B714</f>
        <v>62.316666666670002</v>
      </c>
      <c r="R726" s="159">
        <f t="shared" si="218"/>
        <v>68.347500000000835</v>
      </c>
      <c r="S726" s="155">
        <f>_xlfn.XLOOKUP(P726,'Annual Real'!A:A,'Annual Real'!B:B,0,0)</f>
        <v>67.152391380753798</v>
      </c>
      <c r="T726" s="155">
        <f t="shared" ca="1" si="219"/>
        <v>1.2091530319247454</v>
      </c>
      <c r="U726" s="152">
        <f t="shared" ca="1" si="220"/>
        <v>1.2091530319247454</v>
      </c>
      <c r="V726" s="152" t="b">
        <f t="shared" ref="V726:V789" si="226">IF(AND(H725,H726),LN(K726/K725))</f>
        <v>0</v>
      </c>
      <c r="W726" s="152" t="b">
        <f t="shared" ref="W726:W789" si="227">IF(AND($H725,$H726),LN(N726/N725))</f>
        <v>0</v>
      </c>
      <c r="X726" s="154">
        <f>LOOKUP(D726,'US Implicit Deflator'!A:A,'US Implicit Deflator'!B:B)/100</f>
        <v>0.02</v>
      </c>
      <c r="Y726" s="154">
        <f t="shared" si="221"/>
        <v>1.6515813019202241E-3</v>
      </c>
      <c r="Z726" s="165">
        <f t="shared" ca="1" si="222"/>
        <v>5.647583840268612</v>
      </c>
      <c r="AA726" s="152">
        <f t="shared" si="223"/>
        <v>7</v>
      </c>
      <c r="AB726" s="153">
        <f t="shared" si="224"/>
        <v>43405</v>
      </c>
      <c r="AC726" s="155">
        <f t="shared" ca="1" si="225"/>
        <v>1.2091530319247454</v>
      </c>
    </row>
    <row r="727" spans="3:29">
      <c r="C727" s="152" t="str">
        <f>'Monthly Prices'!A715</f>
        <v>2018M12</v>
      </c>
      <c r="D727" s="153">
        <f t="shared" si="214"/>
        <v>43435</v>
      </c>
      <c r="E727" s="152">
        <f t="shared" si="215"/>
        <v>708</v>
      </c>
      <c r="F727" s="152" t="b">
        <f t="shared" si="209"/>
        <v>1</v>
      </c>
      <c r="G727" s="152" t="b">
        <f t="shared" si="210"/>
        <v>0</v>
      </c>
      <c r="H727" s="152" t="b">
        <f t="shared" si="211"/>
        <v>0</v>
      </c>
      <c r="I727" s="153" t="e">
        <f t="shared" si="212"/>
        <v>#N/A</v>
      </c>
      <c r="J727" s="158">
        <f>INDEX('Monthly Prices'!B715:CB715,$G$4)</f>
        <v>167.43997759999999</v>
      </c>
      <c r="K727" s="158" t="b">
        <f>IF(H727,INDEX('Monthly Prices'!B715:CB715,$G$4)*U727,FALSE)</f>
        <v>0</v>
      </c>
      <c r="L727" s="152" t="b">
        <f t="shared" si="216"/>
        <v>1</v>
      </c>
      <c r="M727" s="158">
        <f>INDEX('Monthly Prices'!B715:CB715,$G$5)</f>
        <v>119.41691666667001</v>
      </c>
      <c r="N727" s="158" t="b">
        <f>IF(H727,INDEX('Monthly Prices'!B715:CB715,$G$5)*U727,FALSE)</f>
        <v>0</v>
      </c>
      <c r="O727" s="152" t="b">
        <f t="shared" si="213"/>
        <v>1</v>
      </c>
      <c r="P727" s="152">
        <f t="shared" si="217"/>
        <v>2018</v>
      </c>
      <c r="Q727" s="159">
        <f>'Monthly Prices'!B715</f>
        <v>53.96</v>
      </c>
      <c r="R727" s="159">
        <f t="shared" si="218"/>
        <v>68.347500000000835</v>
      </c>
      <c r="S727" s="155">
        <f>_xlfn.XLOOKUP(P727,'Annual Real'!A:A,'Annual Real'!B:B,0,0)</f>
        <v>67.152391380753798</v>
      </c>
      <c r="T727" s="155">
        <f t="shared" ca="1" si="219"/>
        <v>1.2071593101796136</v>
      </c>
      <c r="U727" s="152">
        <f t="shared" ca="1" si="220"/>
        <v>1.2071593101796136</v>
      </c>
      <c r="V727" s="152" t="b">
        <f t="shared" si="226"/>
        <v>0</v>
      </c>
      <c r="W727" s="152" t="b">
        <f t="shared" si="227"/>
        <v>0</v>
      </c>
      <c r="X727" s="154">
        <f>LOOKUP(D727,'US Implicit Deflator'!A:A,'US Implicit Deflator'!B:B)/100</f>
        <v>0.02</v>
      </c>
      <c r="Y727" s="154">
        <f t="shared" si="221"/>
        <v>1.6515813019202241E-3</v>
      </c>
      <c r="Z727" s="165">
        <f t="shared" ca="1" si="222"/>
        <v>5.6569112841402269</v>
      </c>
      <c r="AA727" s="152">
        <f t="shared" si="223"/>
        <v>7</v>
      </c>
      <c r="AB727" s="153">
        <f t="shared" si="224"/>
        <v>43435</v>
      </c>
      <c r="AC727" s="155">
        <f t="shared" ca="1" si="225"/>
        <v>1.2071593101796136</v>
      </c>
    </row>
    <row r="728" spans="3:29">
      <c r="C728" s="152" t="str">
        <f>'Monthly Prices'!A716</f>
        <v>2019M01</v>
      </c>
      <c r="D728" s="153">
        <f t="shared" si="214"/>
        <v>43466</v>
      </c>
      <c r="E728" s="152">
        <f t="shared" si="215"/>
        <v>709</v>
      </c>
      <c r="F728" s="152" t="b">
        <f t="shared" si="209"/>
        <v>1</v>
      </c>
      <c r="G728" s="152" t="b">
        <f t="shared" si="210"/>
        <v>0</v>
      </c>
      <c r="H728" s="152" t="b">
        <f t="shared" si="211"/>
        <v>0</v>
      </c>
      <c r="I728" s="153" t="e">
        <f t="shared" si="212"/>
        <v>#N/A</v>
      </c>
      <c r="J728" s="158">
        <f>INDEX('Monthly Prices'!B716:CB716,$G$4)</f>
        <v>166.74316400000001</v>
      </c>
      <c r="K728" s="158" t="b">
        <f>IF(H728,INDEX('Monthly Prices'!B716:CB716,$G$4)*U728,FALSE)</f>
        <v>0</v>
      </c>
      <c r="L728" s="152" t="b">
        <f t="shared" si="216"/>
        <v>1</v>
      </c>
      <c r="M728" s="158">
        <f>INDEX('Monthly Prices'!B716:CB716,$G$5)</f>
        <v>119.41691666667001</v>
      </c>
      <c r="N728" s="158" t="b">
        <f>IF(H728,INDEX('Monthly Prices'!B716:CB716,$G$5)*U728,FALSE)</f>
        <v>0</v>
      </c>
      <c r="O728" s="152" t="b">
        <f t="shared" si="213"/>
        <v>1</v>
      </c>
      <c r="P728" s="152">
        <f t="shared" si="217"/>
        <v>2019</v>
      </c>
      <c r="Q728" s="159">
        <f>'Monthly Prices'!B716</f>
        <v>56.583333333330003</v>
      </c>
      <c r="R728" s="159">
        <f t="shared" si="218"/>
        <v>61.407499999999175</v>
      </c>
      <c r="S728" s="155">
        <f>_xlfn.XLOOKUP(P728,'Annual Real'!A:A,'Annual Real'!B:B,0,0)</f>
        <v>61.729715344227401</v>
      </c>
      <c r="T728" s="155">
        <f t="shared" ca="1" si="219"/>
        <v>1.2053660082530968</v>
      </c>
      <c r="U728" s="152">
        <f t="shared" ca="1" si="220"/>
        <v>1.2053660082530968</v>
      </c>
      <c r="V728" s="152" t="b">
        <f t="shared" si="226"/>
        <v>0</v>
      </c>
      <c r="W728" s="152" t="b">
        <f t="shared" si="227"/>
        <v>0</v>
      </c>
      <c r="X728" s="154">
        <f>LOOKUP(D728,'US Implicit Deflator'!A:A,'US Implicit Deflator'!B:B)/100</f>
        <v>1.8000000000000002E-2</v>
      </c>
      <c r="Y728" s="154">
        <f t="shared" si="221"/>
        <v>1.4877654706024757E-3</v>
      </c>
      <c r="Z728" s="165">
        <f t="shared" ca="1" si="222"/>
        <v>5.6653274414190324</v>
      </c>
      <c r="AA728" s="152">
        <f t="shared" si="223"/>
        <v>7</v>
      </c>
      <c r="AB728" s="153">
        <f t="shared" si="224"/>
        <v>43466</v>
      </c>
      <c r="AC728" s="155">
        <f t="shared" ca="1" si="225"/>
        <v>1.2053660082530968</v>
      </c>
    </row>
    <row r="729" spans="3:29">
      <c r="C729" s="152" t="str">
        <f>'Monthly Prices'!A717</f>
        <v>2019M02</v>
      </c>
      <c r="D729" s="153">
        <f t="shared" si="214"/>
        <v>43497</v>
      </c>
      <c r="E729" s="152">
        <f t="shared" si="215"/>
        <v>710</v>
      </c>
      <c r="F729" s="152" t="b">
        <f t="shared" si="209"/>
        <v>1</v>
      </c>
      <c r="G729" s="152" t="b">
        <f t="shared" si="210"/>
        <v>0</v>
      </c>
      <c r="H729" s="152" t="b">
        <f t="shared" si="211"/>
        <v>0</v>
      </c>
      <c r="I729" s="153" t="e">
        <f t="shared" si="212"/>
        <v>#N/A</v>
      </c>
      <c r="J729" s="158">
        <f>INDEX('Monthly Prices'!B717:CB717,$G$4)</f>
        <v>169.52254479999999</v>
      </c>
      <c r="K729" s="158" t="b">
        <f>IF(H729,INDEX('Monthly Prices'!B717:CB717,$G$4)*U729,FALSE)</f>
        <v>0</v>
      </c>
      <c r="L729" s="152" t="b">
        <f t="shared" si="216"/>
        <v>1</v>
      </c>
      <c r="M729" s="158">
        <f>INDEX('Monthly Prices'!B717:CB717,$G$5)</f>
        <v>119.41691666667001</v>
      </c>
      <c r="N729" s="158" t="b">
        <f>IF(H729,INDEX('Monthly Prices'!B717:CB717,$G$5)*U729,FALSE)</f>
        <v>0</v>
      </c>
      <c r="O729" s="152" t="b">
        <f t="shared" si="213"/>
        <v>1</v>
      </c>
      <c r="P729" s="152">
        <f t="shared" si="217"/>
        <v>2019</v>
      </c>
      <c r="Q729" s="159">
        <f>'Monthly Prices'!B717</f>
        <v>61.13333333333</v>
      </c>
      <c r="R729" s="159">
        <f t="shared" si="218"/>
        <v>61.407499999999175</v>
      </c>
      <c r="S729" s="155">
        <f>_xlfn.XLOOKUP(P729,'Annual Real'!A:A,'Annual Real'!B:B,0,0)</f>
        <v>61.729715344227401</v>
      </c>
      <c r="T729" s="155">
        <f t="shared" ca="1" si="219"/>
        <v>1.2035753703757841</v>
      </c>
      <c r="U729" s="152">
        <f t="shared" ca="1" si="220"/>
        <v>1.2035753703757841</v>
      </c>
      <c r="V729" s="152" t="b">
        <f t="shared" si="226"/>
        <v>0</v>
      </c>
      <c r="W729" s="152" t="b">
        <f t="shared" si="227"/>
        <v>0</v>
      </c>
      <c r="X729" s="154">
        <f>LOOKUP(D729,'US Implicit Deflator'!A:A,'US Implicit Deflator'!B:B)/100</f>
        <v>1.8000000000000002E-2</v>
      </c>
      <c r="Y729" s="154">
        <f t="shared" si="221"/>
        <v>1.4877654706024757E-3</v>
      </c>
      <c r="Z729" s="165">
        <f t="shared" ca="1" si="222"/>
        <v>5.6737561199660327</v>
      </c>
      <c r="AA729" s="152">
        <f t="shared" si="223"/>
        <v>7</v>
      </c>
      <c r="AB729" s="153">
        <f t="shared" si="224"/>
        <v>43497</v>
      </c>
      <c r="AC729" s="155">
        <f t="shared" ca="1" si="225"/>
        <v>1.2035753703757841</v>
      </c>
    </row>
    <row r="730" spans="3:29">
      <c r="C730" s="152" t="str">
        <f>'Monthly Prices'!A718</f>
        <v>2019M03</v>
      </c>
      <c r="D730" s="153">
        <f t="shared" si="214"/>
        <v>43525</v>
      </c>
      <c r="E730" s="152">
        <f t="shared" si="215"/>
        <v>711</v>
      </c>
      <c r="F730" s="152" t="b">
        <f t="shared" si="209"/>
        <v>1</v>
      </c>
      <c r="G730" s="152" t="b">
        <f t="shared" si="210"/>
        <v>0</v>
      </c>
      <c r="H730" s="152" t="b">
        <f t="shared" si="211"/>
        <v>0</v>
      </c>
      <c r="I730" s="153" t="e">
        <f t="shared" si="212"/>
        <v>#N/A</v>
      </c>
      <c r="J730" s="158">
        <f>INDEX('Monthly Prices'!B718:CB718,$G$4)</f>
        <v>166.22350639999999</v>
      </c>
      <c r="K730" s="158" t="b">
        <f>IF(H730,INDEX('Monthly Prices'!B718:CB718,$G$4)*U730,FALSE)</f>
        <v>0</v>
      </c>
      <c r="L730" s="152" t="b">
        <f t="shared" si="216"/>
        <v>1</v>
      </c>
      <c r="M730" s="158">
        <f>INDEX('Monthly Prices'!B718:CB718,$G$5)</f>
        <v>119.41691666667001</v>
      </c>
      <c r="N730" s="158" t="b">
        <f>IF(H730,INDEX('Monthly Prices'!B718:CB718,$G$5)*U730,FALSE)</f>
        <v>0</v>
      </c>
      <c r="O730" s="152" t="b">
        <f t="shared" si="213"/>
        <v>1</v>
      </c>
      <c r="P730" s="152">
        <f t="shared" si="217"/>
        <v>2019</v>
      </c>
      <c r="Q730" s="159">
        <f>'Monthly Prices'!B718</f>
        <v>63.786666666670001</v>
      </c>
      <c r="R730" s="159">
        <f t="shared" si="218"/>
        <v>61.407499999999175</v>
      </c>
      <c r="S730" s="155">
        <f>_xlfn.XLOOKUP(P730,'Annual Real'!A:A,'Annual Real'!B:B,0,0)</f>
        <v>61.729715344227401</v>
      </c>
      <c r="T730" s="155">
        <f t="shared" ca="1" si="219"/>
        <v>1.201787392590083</v>
      </c>
      <c r="U730" s="152">
        <f t="shared" ca="1" si="220"/>
        <v>1.201787392590083</v>
      </c>
      <c r="V730" s="152" t="b">
        <f t="shared" si="226"/>
        <v>0</v>
      </c>
      <c r="W730" s="152" t="b">
        <f t="shared" si="227"/>
        <v>0</v>
      </c>
      <c r="X730" s="154">
        <f>LOOKUP(D730,'US Implicit Deflator'!A:A,'US Implicit Deflator'!B:B)/100</f>
        <v>1.8000000000000002E-2</v>
      </c>
      <c r="Y730" s="154">
        <f t="shared" si="221"/>
        <v>1.4877654706024757E-3</v>
      </c>
      <c r="Z730" s="165">
        <f t="shared" ca="1" si="222"/>
        <v>5.6821973384099378</v>
      </c>
      <c r="AA730" s="152">
        <f t="shared" si="223"/>
        <v>7</v>
      </c>
      <c r="AB730" s="153">
        <f t="shared" si="224"/>
        <v>43525</v>
      </c>
      <c r="AC730" s="155">
        <f t="shared" ca="1" si="225"/>
        <v>1.201787392590083</v>
      </c>
    </row>
    <row r="731" spans="3:29">
      <c r="C731" s="152" t="str">
        <f>'Monthly Prices'!A719</f>
        <v>2019M04</v>
      </c>
      <c r="D731" s="153">
        <f t="shared" si="214"/>
        <v>43556</v>
      </c>
      <c r="E731" s="152">
        <f t="shared" si="215"/>
        <v>712</v>
      </c>
      <c r="F731" s="152" t="b">
        <f t="shared" si="209"/>
        <v>1</v>
      </c>
      <c r="G731" s="152" t="b">
        <f t="shared" si="210"/>
        <v>0</v>
      </c>
      <c r="H731" s="152" t="b">
        <f t="shared" si="211"/>
        <v>0</v>
      </c>
      <c r="I731" s="153" t="e">
        <f t="shared" si="212"/>
        <v>#N/A</v>
      </c>
      <c r="J731" s="158">
        <f>INDEX('Monthly Prices'!B719:CB719,$G$4)</f>
        <v>161.48753600000001</v>
      </c>
      <c r="K731" s="158" t="b">
        <f>IF(H731,INDEX('Monthly Prices'!B719:CB719,$G$4)*U731,FALSE)</f>
        <v>0</v>
      </c>
      <c r="L731" s="152" t="b">
        <f t="shared" si="216"/>
        <v>1</v>
      </c>
      <c r="M731" s="158">
        <f>INDEX('Monthly Prices'!B719:CB719,$G$5)</f>
        <v>136.41086250000001</v>
      </c>
      <c r="N731" s="158" t="b">
        <f>IF(H731,INDEX('Monthly Prices'!B719:CB719,$G$5)*U731,FALSE)</f>
        <v>0</v>
      </c>
      <c r="O731" s="152" t="b">
        <f t="shared" si="213"/>
        <v>1</v>
      </c>
      <c r="P731" s="152">
        <f t="shared" si="217"/>
        <v>2019</v>
      </c>
      <c r="Q731" s="159">
        <f>'Monthly Prices'!B719</f>
        <v>68.576666666669993</v>
      </c>
      <c r="R731" s="159">
        <f t="shared" si="218"/>
        <v>61.407499999999175</v>
      </c>
      <c r="S731" s="155">
        <f>_xlfn.XLOOKUP(P731,'Annual Real'!A:A,'Annual Real'!B:B,0,0)</f>
        <v>61.729715344227401</v>
      </c>
      <c r="T731" s="155">
        <f t="shared" ca="1" si="219"/>
        <v>1.20029723831263</v>
      </c>
      <c r="U731" s="152">
        <f t="shared" ca="1" si="220"/>
        <v>1.20029723831263</v>
      </c>
      <c r="V731" s="152" t="b">
        <f t="shared" si="226"/>
        <v>0</v>
      </c>
      <c r="W731" s="152" t="b">
        <f t="shared" si="227"/>
        <v>0</v>
      </c>
      <c r="X731" s="154">
        <f>LOOKUP(D731,'US Implicit Deflator'!A:A,'US Implicit Deflator'!B:B)/100</f>
        <v>1.4999999999999999E-2</v>
      </c>
      <c r="Y731" s="154">
        <f t="shared" si="221"/>
        <v>1.2414877164492744E-3</v>
      </c>
      <c r="Z731" s="165">
        <f t="shared" ca="1" si="222"/>
        <v>5.6892517166080143</v>
      </c>
      <c r="AA731" s="152">
        <f t="shared" si="223"/>
        <v>7</v>
      </c>
      <c r="AB731" s="153">
        <f t="shared" si="224"/>
        <v>43556</v>
      </c>
      <c r="AC731" s="155">
        <f t="shared" ca="1" si="225"/>
        <v>1.20029723831263</v>
      </c>
    </row>
    <row r="732" spans="3:29">
      <c r="C732" s="152" t="str">
        <f>'Monthly Prices'!A720</f>
        <v>2019M05</v>
      </c>
      <c r="D732" s="153">
        <f t="shared" si="214"/>
        <v>43586</v>
      </c>
      <c r="E732" s="152">
        <f t="shared" si="215"/>
        <v>713</v>
      </c>
      <c r="F732" s="152" t="b">
        <f t="shared" si="209"/>
        <v>1</v>
      </c>
      <c r="G732" s="152" t="b">
        <f t="shared" si="210"/>
        <v>0</v>
      </c>
      <c r="H732" s="152" t="b">
        <f t="shared" si="211"/>
        <v>0</v>
      </c>
      <c r="I732" s="153" t="e">
        <f t="shared" si="212"/>
        <v>#N/A</v>
      </c>
      <c r="J732" s="158">
        <f>INDEX('Monthly Prices'!B720:CB720,$G$4)</f>
        <v>171.08151760000001</v>
      </c>
      <c r="K732" s="158" t="b">
        <f>IF(H732,INDEX('Monthly Prices'!B720:CB720,$G$4)*U732,FALSE)</f>
        <v>0</v>
      </c>
      <c r="L732" s="152" t="b">
        <f t="shared" si="216"/>
        <v>1</v>
      </c>
      <c r="M732" s="158">
        <f>INDEX('Monthly Prices'!B720:CB720,$G$5)</f>
        <v>149.27114583333</v>
      </c>
      <c r="N732" s="158" t="b">
        <f>IF(H732,INDEX('Monthly Prices'!B720:CB720,$G$5)*U732,FALSE)</f>
        <v>0</v>
      </c>
      <c r="O732" s="152" t="b">
        <f t="shared" si="213"/>
        <v>1</v>
      </c>
      <c r="P732" s="152">
        <f t="shared" si="217"/>
        <v>2019</v>
      </c>
      <c r="Q732" s="159">
        <f>'Monthly Prices'!B720</f>
        <v>66.833333333330003</v>
      </c>
      <c r="R732" s="159">
        <f t="shared" si="218"/>
        <v>61.407499999999175</v>
      </c>
      <c r="S732" s="155">
        <f>_xlfn.XLOOKUP(P732,'Annual Real'!A:A,'Annual Real'!B:B,0,0)</f>
        <v>61.729715344227401</v>
      </c>
      <c r="T732" s="155">
        <f t="shared" ca="1" si="219"/>
        <v>1.1988089317494932</v>
      </c>
      <c r="U732" s="152">
        <f t="shared" ca="1" si="220"/>
        <v>1.1988089317494932</v>
      </c>
      <c r="V732" s="152" t="b">
        <f t="shared" si="226"/>
        <v>0</v>
      </c>
      <c r="W732" s="152" t="b">
        <f t="shared" si="227"/>
        <v>0</v>
      </c>
      <c r="X732" s="154">
        <f>LOOKUP(D732,'US Implicit Deflator'!A:A,'US Implicit Deflator'!B:B)/100</f>
        <v>1.4999999999999999E-2</v>
      </c>
      <c r="Y732" s="154">
        <f t="shared" si="221"/>
        <v>1.2414877164492744E-3</v>
      </c>
      <c r="Z732" s="165">
        <f t="shared" ca="1" si="222"/>
        <v>5.6963148527299712</v>
      </c>
      <c r="AA732" s="152">
        <f t="shared" si="223"/>
        <v>7</v>
      </c>
      <c r="AB732" s="153">
        <f t="shared" si="224"/>
        <v>43586</v>
      </c>
      <c r="AC732" s="155">
        <f t="shared" ca="1" si="225"/>
        <v>1.1988089317494932</v>
      </c>
    </row>
    <row r="733" spans="3:29">
      <c r="C733" s="152" t="str">
        <f>'Monthly Prices'!A721</f>
        <v>2019M06</v>
      </c>
      <c r="D733" s="153">
        <f t="shared" si="214"/>
        <v>43617</v>
      </c>
      <c r="E733" s="152">
        <f t="shared" si="215"/>
        <v>714</v>
      </c>
      <c r="F733" s="152" t="b">
        <f t="shared" si="209"/>
        <v>1</v>
      </c>
      <c r="G733" s="152" t="b">
        <f t="shared" si="210"/>
        <v>0</v>
      </c>
      <c r="H733" s="152" t="b">
        <f t="shared" si="211"/>
        <v>0</v>
      </c>
      <c r="I733" s="153" t="e">
        <f t="shared" si="212"/>
        <v>#N/A</v>
      </c>
      <c r="J733" s="158">
        <f>INDEX('Monthly Prices'!B721:CB721,$G$4)</f>
        <v>195.08025040000001</v>
      </c>
      <c r="K733" s="158" t="b">
        <f>IF(H733,INDEX('Monthly Prices'!B721:CB721,$G$4)*U733,FALSE)</f>
        <v>0</v>
      </c>
      <c r="L733" s="152" t="b">
        <f t="shared" si="216"/>
        <v>1</v>
      </c>
      <c r="M733" s="158">
        <f>INDEX('Monthly Prices'!B721:CB721,$G$5)</f>
        <v>149.27114583333</v>
      </c>
      <c r="N733" s="158" t="b">
        <f>IF(H733,INDEX('Monthly Prices'!B721:CB721,$G$5)*U733,FALSE)</f>
        <v>0</v>
      </c>
      <c r="O733" s="152" t="b">
        <f t="shared" si="213"/>
        <v>1</v>
      </c>
      <c r="P733" s="152">
        <f t="shared" si="217"/>
        <v>2019</v>
      </c>
      <c r="Q733" s="159">
        <f>'Monthly Prices'!B721</f>
        <v>59.76</v>
      </c>
      <c r="R733" s="159">
        <f t="shared" si="218"/>
        <v>61.407499999999175</v>
      </c>
      <c r="S733" s="155">
        <f>_xlfn.XLOOKUP(P733,'Annual Real'!A:A,'Annual Real'!B:B,0,0)</f>
        <v>61.729715344227401</v>
      </c>
      <c r="T733" s="155">
        <f t="shared" ca="1" si="219"/>
        <v>1.1973224706096028</v>
      </c>
      <c r="U733" s="152">
        <f t="shared" ca="1" si="220"/>
        <v>1.1973224706096028</v>
      </c>
      <c r="V733" s="152" t="b">
        <f t="shared" si="226"/>
        <v>0</v>
      </c>
      <c r="W733" s="152" t="b">
        <f t="shared" si="227"/>
        <v>0</v>
      </c>
      <c r="X733" s="154">
        <f>LOOKUP(D733,'US Implicit Deflator'!A:A,'US Implicit Deflator'!B:B)/100</f>
        <v>1.4999999999999999E-2</v>
      </c>
      <c r="Y733" s="154">
        <f t="shared" si="221"/>
        <v>1.2414877164492744E-3</v>
      </c>
      <c r="Z733" s="165">
        <f t="shared" ca="1" si="222"/>
        <v>5.703386757648663</v>
      </c>
      <c r="AA733" s="152">
        <f t="shared" si="223"/>
        <v>7</v>
      </c>
      <c r="AB733" s="153">
        <f t="shared" si="224"/>
        <v>43617</v>
      </c>
      <c r="AC733" s="155">
        <f t="shared" ca="1" si="225"/>
        <v>1.1973224706096028</v>
      </c>
    </row>
    <row r="734" spans="3:29">
      <c r="C734" s="152" t="str">
        <f>'Monthly Prices'!A722</f>
        <v>2019M07</v>
      </c>
      <c r="D734" s="153">
        <f t="shared" si="214"/>
        <v>43647</v>
      </c>
      <c r="E734" s="152">
        <f t="shared" si="215"/>
        <v>715</v>
      </c>
      <c r="F734" s="152" t="b">
        <f t="shared" si="209"/>
        <v>1</v>
      </c>
      <c r="G734" s="152" t="b">
        <f t="shared" si="210"/>
        <v>0</v>
      </c>
      <c r="H734" s="152" t="b">
        <f t="shared" si="211"/>
        <v>0</v>
      </c>
      <c r="I734" s="153" t="e">
        <f t="shared" si="212"/>
        <v>#N/A</v>
      </c>
      <c r="J734" s="158">
        <f>INDEX('Monthly Prices'!B722:CB722,$G$4)</f>
        <v>189.41913199999999</v>
      </c>
      <c r="K734" s="158" t="b">
        <f>IF(H734,INDEX('Monthly Prices'!B722:CB722,$G$4)*U734,FALSE)</f>
        <v>0</v>
      </c>
      <c r="L734" s="152" t="b">
        <f t="shared" si="216"/>
        <v>1</v>
      </c>
      <c r="M734" s="158">
        <f>INDEX('Monthly Prices'!B722:CB722,$G$5)</f>
        <v>149.27114583333</v>
      </c>
      <c r="N734" s="158" t="b">
        <f>IF(H734,INDEX('Monthly Prices'!B722:CB722,$G$5)*U734,FALSE)</f>
        <v>0</v>
      </c>
      <c r="O734" s="152" t="b">
        <f t="shared" si="213"/>
        <v>1</v>
      </c>
      <c r="P734" s="152">
        <f t="shared" si="217"/>
        <v>2019</v>
      </c>
      <c r="Q734" s="159">
        <f>'Monthly Prices'!B722</f>
        <v>61.476666666669999</v>
      </c>
      <c r="R734" s="159">
        <f t="shared" si="218"/>
        <v>61.407499999999175</v>
      </c>
      <c r="S734" s="155">
        <f>_xlfn.XLOOKUP(P734,'Annual Real'!A:A,'Annual Real'!B:B,0,0)</f>
        <v>61.729715344227401</v>
      </c>
      <c r="T734" s="155">
        <f t="shared" ca="1" si="219"/>
        <v>1.1959360854834211</v>
      </c>
      <c r="U734" s="152">
        <f t="shared" ca="1" si="220"/>
        <v>1.1959360854834211</v>
      </c>
      <c r="V734" s="152" t="b">
        <f t="shared" si="226"/>
        <v>0</v>
      </c>
      <c r="W734" s="152" t="b">
        <f t="shared" si="227"/>
        <v>0</v>
      </c>
      <c r="X734" s="154">
        <f>LOOKUP(D734,'US Implicit Deflator'!A:A,'US Implicit Deflator'!B:B)/100</f>
        <v>1.3999999999999999E-2</v>
      </c>
      <c r="Y734" s="154">
        <f t="shared" si="221"/>
        <v>1.1592468385308585E-3</v>
      </c>
      <c r="Z734" s="165">
        <f t="shared" ca="1" si="222"/>
        <v>5.709998390716386</v>
      </c>
      <c r="AA734" s="152">
        <f t="shared" si="223"/>
        <v>7</v>
      </c>
      <c r="AB734" s="153">
        <f t="shared" si="224"/>
        <v>43647</v>
      </c>
      <c r="AC734" s="155">
        <f t="shared" ca="1" si="225"/>
        <v>1.1959360854834211</v>
      </c>
    </row>
    <row r="735" spans="3:29">
      <c r="C735" s="152" t="str">
        <f>'Monthly Prices'!A723</f>
        <v>2019M08</v>
      </c>
      <c r="D735" s="153">
        <f t="shared" si="214"/>
        <v>43678</v>
      </c>
      <c r="E735" s="152">
        <f t="shared" si="215"/>
        <v>716</v>
      </c>
      <c r="F735" s="152" t="b">
        <f t="shared" si="209"/>
        <v>1</v>
      </c>
      <c r="G735" s="152" t="b">
        <f t="shared" si="210"/>
        <v>0</v>
      </c>
      <c r="H735" s="152" t="b">
        <f t="shared" si="211"/>
        <v>0</v>
      </c>
      <c r="I735" s="153" t="e">
        <f t="shared" si="212"/>
        <v>#N/A</v>
      </c>
      <c r="J735" s="158">
        <f>INDEX('Monthly Prices'!B723:CB723,$G$4)</f>
        <v>163.5858504</v>
      </c>
      <c r="K735" s="158" t="b">
        <f>IF(H735,INDEX('Monthly Prices'!B723:CB723,$G$4)*U735,FALSE)</f>
        <v>0</v>
      </c>
      <c r="L735" s="152" t="b">
        <f t="shared" si="216"/>
        <v>1</v>
      </c>
      <c r="M735" s="158">
        <f>INDEX('Monthly Prices'!B723:CB723,$G$5)</f>
        <v>135.03297499999999</v>
      </c>
      <c r="N735" s="158" t="b">
        <f>IF(H735,INDEX('Monthly Prices'!B723:CB723,$G$5)*U735,FALSE)</f>
        <v>0</v>
      </c>
      <c r="O735" s="152" t="b">
        <f t="shared" si="213"/>
        <v>1</v>
      </c>
      <c r="P735" s="152">
        <f t="shared" si="217"/>
        <v>2019</v>
      </c>
      <c r="Q735" s="159">
        <f>'Monthly Prices'!B723</f>
        <v>57.67</v>
      </c>
      <c r="R735" s="159">
        <f t="shared" si="218"/>
        <v>61.407499999999175</v>
      </c>
      <c r="S735" s="155">
        <f>_xlfn.XLOOKUP(P735,'Annual Real'!A:A,'Annual Real'!B:B,0,0)</f>
        <v>61.729715344227401</v>
      </c>
      <c r="T735" s="155">
        <f t="shared" ca="1" si="219"/>
        <v>1.1945513056588732</v>
      </c>
      <c r="U735" s="152">
        <f t="shared" ca="1" si="220"/>
        <v>1.1945513056588732</v>
      </c>
      <c r="V735" s="152" t="b">
        <f t="shared" si="226"/>
        <v>0</v>
      </c>
      <c r="W735" s="152" t="b">
        <f t="shared" si="227"/>
        <v>0</v>
      </c>
      <c r="X735" s="154">
        <f>LOOKUP(D735,'US Implicit Deflator'!A:A,'US Implicit Deflator'!B:B)/100</f>
        <v>1.3999999999999999E-2</v>
      </c>
      <c r="Y735" s="154">
        <f t="shared" si="221"/>
        <v>1.1592468385308585E-3</v>
      </c>
      <c r="Z735" s="165">
        <f t="shared" ca="1" si="222"/>
        <v>5.7166176882988404</v>
      </c>
      <c r="AA735" s="152">
        <f t="shared" si="223"/>
        <v>7</v>
      </c>
      <c r="AB735" s="153">
        <f t="shared" si="224"/>
        <v>43678</v>
      </c>
      <c r="AC735" s="155">
        <f t="shared" ca="1" si="225"/>
        <v>1.1945513056588732</v>
      </c>
    </row>
    <row r="736" spans="3:29">
      <c r="C736" s="152" t="str">
        <f>'Monthly Prices'!A724</f>
        <v>2019M09</v>
      </c>
      <c r="D736" s="153">
        <f t="shared" si="214"/>
        <v>43709</v>
      </c>
      <c r="E736" s="152">
        <f t="shared" si="215"/>
        <v>717</v>
      </c>
      <c r="F736" s="152" t="b">
        <f t="shared" si="209"/>
        <v>1</v>
      </c>
      <c r="G736" s="152" t="b">
        <f t="shared" si="210"/>
        <v>0</v>
      </c>
      <c r="H736" s="152" t="b">
        <f t="shared" si="211"/>
        <v>0</v>
      </c>
      <c r="I736" s="153" t="e">
        <f t="shared" si="212"/>
        <v>#N/A</v>
      </c>
      <c r="J736" s="158">
        <f>INDEX('Monthly Prices'!B724:CB724,$G$4)</f>
        <v>157.25941280000001</v>
      </c>
      <c r="K736" s="158" t="b">
        <f>IF(H736,INDEX('Monthly Prices'!B724:CB724,$G$4)*U736,FALSE)</f>
        <v>0</v>
      </c>
      <c r="L736" s="152" t="b">
        <f t="shared" si="216"/>
        <v>1</v>
      </c>
      <c r="M736" s="158">
        <f>INDEX('Monthly Prices'!B724:CB724,$G$5)</f>
        <v>114.82395833333</v>
      </c>
      <c r="N736" s="158" t="b">
        <f>IF(H736,INDEX('Monthly Prices'!B724:CB724,$G$5)*U736,FALSE)</f>
        <v>0</v>
      </c>
      <c r="O736" s="152" t="b">
        <f t="shared" si="213"/>
        <v>1</v>
      </c>
      <c r="P736" s="152">
        <f t="shared" si="217"/>
        <v>2019</v>
      </c>
      <c r="Q736" s="159">
        <f>'Monthly Prices'!B724</f>
        <v>60.04</v>
      </c>
      <c r="R736" s="159">
        <f t="shared" si="218"/>
        <v>61.407499999999175</v>
      </c>
      <c r="S736" s="155">
        <f>_xlfn.XLOOKUP(P736,'Annual Real'!A:A,'Annual Real'!B:B,0,0)</f>
        <v>61.729715344227401</v>
      </c>
      <c r="T736" s="155">
        <f t="shared" ca="1" si="219"/>
        <v>1.1931681292771728</v>
      </c>
      <c r="U736" s="152">
        <f t="shared" ca="1" si="220"/>
        <v>1.1931681292771728</v>
      </c>
      <c r="V736" s="152" t="b">
        <f t="shared" si="226"/>
        <v>0</v>
      </c>
      <c r="W736" s="152" t="b">
        <f t="shared" si="227"/>
        <v>0</v>
      </c>
      <c r="X736" s="154">
        <f>LOOKUP(D736,'US Implicit Deflator'!A:A,'US Implicit Deflator'!B:B)/100</f>
        <v>1.3999999999999999E-2</v>
      </c>
      <c r="Y736" s="154">
        <f t="shared" si="221"/>
        <v>1.1592468385308585E-3</v>
      </c>
      <c r="Z736" s="165">
        <f t="shared" ca="1" si="222"/>
        <v>5.7232446592810904</v>
      </c>
      <c r="AA736" s="152">
        <f t="shared" si="223"/>
        <v>7</v>
      </c>
      <c r="AB736" s="153">
        <f t="shared" si="224"/>
        <v>43709</v>
      </c>
      <c r="AC736" s="155">
        <f t="shared" ca="1" si="225"/>
        <v>1.1931681292771728</v>
      </c>
    </row>
    <row r="737" spans="3:29">
      <c r="C737" s="152" t="str">
        <f>'Monthly Prices'!A725</f>
        <v>2019M10</v>
      </c>
      <c r="D737" s="153">
        <f t="shared" si="214"/>
        <v>43739</v>
      </c>
      <c r="E737" s="152">
        <f t="shared" si="215"/>
        <v>718</v>
      </c>
      <c r="F737" s="152" t="b">
        <f t="shared" si="209"/>
        <v>1</v>
      </c>
      <c r="G737" s="152" t="b">
        <f t="shared" si="210"/>
        <v>0</v>
      </c>
      <c r="H737" s="152" t="b">
        <f t="shared" si="211"/>
        <v>0</v>
      </c>
      <c r="I737" s="153" t="e">
        <f t="shared" si="212"/>
        <v>#N/A</v>
      </c>
      <c r="J737" s="158">
        <f>INDEX('Monthly Prices'!B725:CB725,$G$4)</f>
        <v>167.1486544</v>
      </c>
      <c r="K737" s="158" t="b">
        <f>IF(H737,INDEX('Monthly Prices'!B725:CB725,$G$4)*U737,FALSE)</f>
        <v>0</v>
      </c>
      <c r="L737" s="152" t="b">
        <f t="shared" si="216"/>
        <v>1</v>
      </c>
      <c r="M737" s="158">
        <f>INDEX('Monthly Prices'!B725:CB725,$G$5)</f>
        <v>114.82395833333</v>
      </c>
      <c r="N737" s="158" t="b">
        <f>IF(H737,INDEX('Monthly Prices'!B725:CB725,$G$5)*U737,FALSE)</f>
        <v>0</v>
      </c>
      <c r="O737" s="152" t="b">
        <f t="shared" si="213"/>
        <v>1</v>
      </c>
      <c r="P737" s="152">
        <f t="shared" si="217"/>
        <v>2019</v>
      </c>
      <c r="Q737" s="159">
        <f>'Monthly Prices'!B725</f>
        <v>57.273333333330001</v>
      </c>
      <c r="R737" s="159">
        <f t="shared" si="218"/>
        <v>61.407499999999175</v>
      </c>
      <c r="S737" s="155">
        <f>_xlfn.XLOOKUP(P737,'Annual Real'!A:A,'Annual Real'!B:B,0,0)</f>
        <v>61.729715344227401</v>
      </c>
      <c r="T737" s="155">
        <f t="shared" ca="1" si="219"/>
        <v>1.1917865544816864</v>
      </c>
      <c r="U737" s="152">
        <f t="shared" ca="1" si="220"/>
        <v>1.1917865544816864</v>
      </c>
      <c r="V737" s="152" t="b">
        <f t="shared" si="226"/>
        <v>0</v>
      </c>
      <c r="W737" s="152" t="b">
        <f t="shared" si="227"/>
        <v>0</v>
      </c>
      <c r="X737" s="154">
        <f>LOOKUP(D737,'US Implicit Deflator'!A:A,'US Implicit Deflator'!B:B)/100</f>
        <v>1.3999999999999999E-2</v>
      </c>
      <c r="Y737" s="154">
        <f t="shared" si="221"/>
        <v>1.1592468385308585E-3</v>
      </c>
      <c r="Z737" s="165">
        <f t="shared" ca="1" si="222"/>
        <v>5.7298793125585004</v>
      </c>
      <c r="AA737" s="152">
        <f t="shared" si="223"/>
        <v>7</v>
      </c>
      <c r="AB737" s="153">
        <f t="shared" si="224"/>
        <v>43739</v>
      </c>
      <c r="AC737" s="155">
        <f t="shared" ca="1" si="225"/>
        <v>1.1917865544816864</v>
      </c>
    </row>
    <row r="738" spans="3:29">
      <c r="C738" s="152" t="str">
        <f>'Monthly Prices'!A726</f>
        <v>2019M11</v>
      </c>
      <c r="D738" s="153">
        <f t="shared" si="214"/>
        <v>43770</v>
      </c>
      <c r="E738" s="152">
        <f t="shared" si="215"/>
        <v>719</v>
      </c>
      <c r="F738" s="152" t="b">
        <f t="shared" si="209"/>
        <v>1</v>
      </c>
      <c r="G738" s="152" t="b">
        <f t="shared" si="210"/>
        <v>0</v>
      </c>
      <c r="H738" s="152" t="b">
        <f t="shared" si="211"/>
        <v>0</v>
      </c>
      <c r="I738" s="153" t="e">
        <f t="shared" si="212"/>
        <v>#N/A</v>
      </c>
      <c r="J738" s="158">
        <f>INDEX('Monthly Prices'!B726:CB726,$G$4)</f>
        <v>166.3337368</v>
      </c>
      <c r="K738" s="158" t="b">
        <f>IF(H738,INDEX('Monthly Prices'!B726:CB726,$G$4)*U738,FALSE)</f>
        <v>0</v>
      </c>
      <c r="L738" s="152" t="b">
        <f t="shared" si="216"/>
        <v>1</v>
      </c>
      <c r="M738" s="158">
        <f>INDEX('Monthly Prices'!B726:CB726,$G$5)</f>
        <v>114.82395833333</v>
      </c>
      <c r="N738" s="158" t="b">
        <f>IF(H738,INDEX('Monthly Prices'!B726:CB726,$G$5)*U738,FALSE)</f>
        <v>0</v>
      </c>
      <c r="O738" s="152" t="b">
        <f t="shared" si="213"/>
        <v>1</v>
      </c>
      <c r="P738" s="152">
        <f t="shared" si="217"/>
        <v>2019</v>
      </c>
      <c r="Q738" s="159">
        <f>'Monthly Prices'!B726</f>
        <v>60.403333333330004</v>
      </c>
      <c r="R738" s="159">
        <f t="shared" si="218"/>
        <v>61.407499999999175</v>
      </c>
      <c r="S738" s="155">
        <f>_xlfn.XLOOKUP(P738,'Annual Real'!A:A,'Annual Real'!B:B,0,0)</f>
        <v>61.729715344227401</v>
      </c>
      <c r="T738" s="155">
        <f t="shared" ca="1" si="219"/>
        <v>1.1904065794179297</v>
      </c>
      <c r="U738" s="152">
        <f t="shared" ca="1" si="220"/>
        <v>1.1904065794179297</v>
      </c>
      <c r="V738" s="152" t="b">
        <f t="shared" si="226"/>
        <v>0</v>
      </c>
      <c r="W738" s="152" t="b">
        <f t="shared" si="227"/>
        <v>0</v>
      </c>
      <c r="X738" s="154">
        <f>LOOKUP(D738,'US Implicit Deflator'!A:A,'US Implicit Deflator'!B:B)/100</f>
        <v>1.3999999999999999E-2</v>
      </c>
      <c r="Y738" s="154">
        <f t="shared" si="221"/>
        <v>1.1592468385308585E-3</v>
      </c>
      <c r="Z738" s="165">
        <f t="shared" ca="1" si="222"/>
        <v>5.7365216570367474</v>
      </c>
      <c r="AA738" s="152">
        <f t="shared" si="223"/>
        <v>7</v>
      </c>
      <c r="AB738" s="153">
        <f t="shared" si="224"/>
        <v>43770</v>
      </c>
      <c r="AC738" s="155">
        <f t="shared" ca="1" si="225"/>
        <v>1.1904065794179297</v>
      </c>
    </row>
    <row r="739" spans="3:29">
      <c r="C739" s="152" t="str">
        <f>'Monthly Prices'!A727</f>
        <v>2019M12</v>
      </c>
      <c r="D739" s="153">
        <f t="shared" si="214"/>
        <v>43800</v>
      </c>
      <c r="E739" s="152">
        <f t="shared" si="215"/>
        <v>720</v>
      </c>
      <c r="F739" s="152" t="b">
        <f t="shared" si="209"/>
        <v>1</v>
      </c>
      <c r="G739" s="152" t="b">
        <f t="shared" si="210"/>
        <v>0</v>
      </c>
      <c r="H739" s="152" t="b">
        <f t="shared" si="211"/>
        <v>0</v>
      </c>
      <c r="I739" s="153" t="e">
        <f t="shared" si="212"/>
        <v>#N/A</v>
      </c>
      <c r="J739" s="158">
        <f>INDEX('Monthly Prices'!B727:CB727,$G$4)</f>
        <v>166.95575120000001</v>
      </c>
      <c r="K739" s="158" t="b">
        <f>IF(H739,INDEX('Monthly Prices'!B727:CB727,$G$4)*U739,FALSE)</f>
        <v>0</v>
      </c>
      <c r="L739" s="152" t="b">
        <f t="shared" si="216"/>
        <v>1</v>
      </c>
      <c r="M739" s="158">
        <f>INDEX('Monthly Prices'!B727:CB727,$G$5)</f>
        <v>114.82395833333</v>
      </c>
      <c r="N739" s="158" t="b">
        <f>IF(H739,INDEX('Monthly Prices'!B727:CB727,$G$5)*U739,FALSE)</f>
        <v>0</v>
      </c>
      <c r="O739" s="152" t="b">
        <f t="shared" si="213"/>
        <v>1</v>
      </c>
      <c r="P739" s="152">
        <f t="shared" si="217"/>
        <v>2019</v>
      </c>
      <c r="Q739" s="159">
        <f>'Monthly Prices'!B727</f>
        <v>63.353333333329999</v>
      </c>
      <c r="R739" s="159">
        <f t="shared" si="218"/>
        <v>61.407499999999175</v>
      </c>
      <c r="S739" s="155">
        <f>_xlfn.XLOOKUP(P739,'Annual Real'!A:A,'Annual Real'!B:B,0,0)</f>
        <v>61.729715344227401</v>
      </c>
      <c r="T739" s="155">
        <f t="shared" ca="1" si="219"/>
        <v>1.1890282022335665</v>
      </c>
      <c r="U739" s="152">
        <f t="shared" ca="1" si="220"/>
        <v>1.1890282022335665</v>
      </c>
      <c r="V739" s="152" t="b">
        <f t="shared" si="226"/>
        <v>0</v>
      </c>
      <c r="W739" s="152" t="b">
        <f t="shared" si="227"/>
        <v>0</v>
      </c>
      <c r="X739" s="154">
        <f>LOOKUP(D739,'US Implicit Deflator'!A:A,'US Implicit Deflator'!B:B)/100</f>
        <v>1.3999999999999999E-2</v>
      </c>
      <c r="Y739" s="154">
        <f t="shared" si="221"/>
        <v>1.1592468385308585E-3</v>
      </c>
      <c r="Z739" s="165">
        <f t="shared" ca="1" si="222"/>
        <v>5.7431717016318311</v>
      </c>
      <c r="AA739" s="152">
        <f t="shared" si="223"/>
        <v>7</v>
      </c>
      <c r="AB739" s="153">
        <f t="shared" si="224"/>
        <v>43800</v>
      </c>
      <c r="AC739" s="155">
        <f t="shared" ca="1" si="225"/>
        <v>1.1890282022335665</v>
      </c>
    </row>
    <row r="740" spans="3:29">
      <c r="C740" s="152" t="str">
        <f>'Monthly Prices'!A728</f>
        <v>2020M01</v>
      </c>
      <c r="D740" s="153">
        <f t="shared" si="214"/>
        <v>43831</v>
      </c>
      <c r="E740" s="152">
        <f t="shared" si="215"/>
        <v>721</v>
      </c>
      <c r="F740" s="152" t="b">
        <f t="shared" si="209"/>
        <v>1</v>
      </c>
      <c r="G740" s="152" t="b">
        <f t="shared" si="210"/>
        <v>0</v>
      </c>
      <c r="H740" s="152" t="b">
        <f t="shared" si="211"/>
        <v>0</v>
      </c>
      <c r="I740" s="153" t="e">
        <f t="shared" si="212"/>
        <v>#N/A</v>
      </c>
      <c r="J740" s="158">
        <f>INDEX('Monthly Prices'!B728:CB728,$G$4)</f>
        <v>171.78620480000001</v>
      </c>
      <c r="K740" s="158" t="b">
        <f>IF(H740,INDEX('Monthly Prices'!B728:CB728,$G$4)*U740,FALSE)</f>
        <v>0</v>
      </c>
      <c r="L740" s="152" t="b">
        <f t="shared" si="216"/>
        <v>1</v>
      </c>
      <c r="M740" s="158">
        <f>INDEX('Monthly Prices'!B728:CB728,$G$5)</f>
        <v>114.82395833333</v>
      </c>
      <c r="N740" s="158" t="b">
        <f>IF(H740,INDEX('Monthly Prices'!B728:CB728,$G$5)*U740,FALSE)</f>
        <v>0</v>
      </c>
      <c r="O740" s="152" t="b">
        <f t="shared" si="213"/>
        <v>1</v>
      </c>
      <c r="P740" s="152">
        <f t="shared" si="217"/>
        <v>2020</v>
      </c>
      <c r="Q740" s="159">
        <f>'Monthly Prices'!B728</f>
        <v>61.626666666669998</v>
      </c>
      <c r="R740" s="159">
        <f t="shared" si="218"/>
        <v>41.25777777777833</v>
      </c>
      <c r="S740" s="155">
        <f>_xlfn.XLOOKUP(P740,'Annual Real'!A:A,'Annual Real'!B:B,0,0)</f>
        <v>41.6789328183458</v>
      </c>
      <c r="T740" s="155">
        <f t="shared" ca="1" si="219"/>
        <v>1.1878468388989261</v>
      </c>
      <c r="U740" s="152">
        <f t="shared" ca="1" si="220"/>
        <v>1.1878468388989261</v>
      </c>
      <c r="V740" s="152" t="b">
        <f t="shared" si="226"/>
        <v>0</v>
      </c>
      <c r="W740" s="152" t="b">
        <f t="shared" si="227"/>
        <v>0</v>
      </c>
      <c r="X740" s="154">
        <f>LOOKUP(D740,'US Implicit Deflator'!A:A,'US Implicit Deflator'!B:B)/100</f>
        <v>1.2E-2</v>
      </c>
      <c r="Y740" s="154">
        <f t="shared" si="221"/>
        <v>9.9454180114277868E-4</v>
      </c>
      <c r="Z740" s="165">
        <f t="shared" ca="1" si="222"/>
        <v>5.7488835259602444</v>
      </c>
      <c r="AA740" s="152">
        <f t="shared" si="223"/>
        <v>7</v>
      </c>
      <c r="AB740" s="153">
        <f t="shared" si="224"/>
        <v>43831</v>
      </c>
      <c r="AC740" s="155">
        <f t="shared" ca="1" si="225"/>
        <v>1.1878468388989261</v>
      </c>
    </row>
    <row r="741" spans="3:29">
      <c r="C741" s="152" t="str">
        <f>'Monthly Prices'!A729</f>
        <v>2020M02</v>
      </c>
      <c r="D741" s="153">
        <f t="shared" si="214"/>
        <v>43862</v>
      </c>
      <c r="E741" s="152">
        <f t="shared" si="215"/>
        <v>722</v>
      </c>
      <c r="F741" s="152" t="b">
        <f t="shared" si="209"/>
        <v>1</v>
      </c>
      <c r="G741" s="152" t="b">
        <f t="shared" si="210"/>
        <v>0</v>
      </c>
      <c r="H741" s="152" t="b">
        <f t="shared" si="211"/>
        <v>0</v>
      </c>
      <c r="I741" s="153" t="e">
        <f t="shared" si="212"/>
        <v>#N/A</v>
      </c>
      <c r="J741" s="158">
        <f>INDEX('Monthly Prices'!B729:CB729,$G$4)</f>
        <v>168.71156400000001</v>
      </c>
      <c r="K741" s="158" t="b">
        <f>IF(H741,INDEX('Monthly Prices'!B729:CB729,$G$4)*U741,FALSE)</f>
        <v>0</v>
      </c>
      <c r="L741" s="152" t="b">
        <f t="shared" si="216"/>
        <v>1</v>
      </c>
      <c r="M741" s="158">
        <f>INDEX('Monthly Prices'!B729:CB729,$G$5)</f>
        <v>114.82395833333</v>
      </c>
      <c r="N741" s="158" t="b">
        <f>IF(H741,INDEX('Monthly Prices'!B729:CB729,$G$5)*U741,FALSE)</f>
        <v>0</v>
      </c>
      <c r="O741" s="152" t="b">
        <f t="shared" si="213"/>
        <v>1</v>
      </c>
      <c r="P741" s="152">
        <f t="shared" si="217"/>
        <v>2020</v>
      </c>
      <c r="Q741" s="159">
        <f>'Monthly Prices'!B729</f>
        <v>53.346666666669996</v>
      </c>
      <c r="R741" s="159">
        <f t="shared" si="218"/>
        <v>41.25777777777833</v>
      </c>
      <c r="S741" s="155">
        <f>_xlfn.XLOOKUP(P741,'Annual Real'!A:A,'Annual Real'!B:B,0,0)</f>
        <v>41.6789328183458</v>
      </c>
      <c r="T741" s="155">
        <f t="shared" ca="1" si="219"/>
        <v>1.1866666493121631</v>
      </c>
      <c r="U741" s="152">
        <f t="shared" ca="1" si="220"/>
        <v>1.1866666493121631</v>
      </c>
      <c r="V741" s="152" t="b">
        <f t="shared" si="226"/>
        <v>0</v>
      </c>
      <c r="W741" s="152" t="b">
        <f t="shared" si="227"/>
        <v>0</v>
      </c>
      <c r="X741" s="154">
        <f>LOOKUP(D741,'US Implicit Deflator'!A:A,'US Implicit Deflator'!B:B)/100</f>
        <v>1.2E-2</v>
      </c>
      <c r="Y741" s="154">
        <f t="shared" si="221"/>
        <v>9.9454180114277868E-4</v>
      </c>
      <c r="Z741" s="165">
        <f t="shared" ca="1" si="222"/>
        <v>5.7546010309367128</v>
      </c>
      <c r="AA741" s="152">
        <f t="shared" si="223"/>
        <v>7</v>
      </c>
      <c r="AB741" s="153">
        <f t="shared" si="224"/>
        <v>43862</v>
      </c>
      <c r="AC741" s="155">
        <f t="shared" ca="1" si="225"/>
        <v>1.1866666493121631</v>
      </c>
    </row>
    <row r="742" spans="3:29">
      <c r="C742" s="152" t="str">
        <f>'Monthly Prices'!A730</f>
        <v>2020M03</v>
      </c>
      <c r="D742" s="153">
        <f t="shared" si="214"/>
        <v>43891</v>
      </c>
      <c r="E742" s="152">
        <f t="shared" si="215"/>
        <v>723</v>
      </c>
      <c r="F742" s="152" t="b">
        <f t="shared" si="209"/>
        <v>1</v>
      </c>
      <c r="G742" s="152" t="b">
        <f t="shared" si="210"/>
        <v>0</v>
      </c>
      <c r="H742" s="152" t="b">
        <f t="shared" si="211"/>
        <v>0</v>
      </c>
      <c r="I742" s="153" t="e">
        <f t="shared" si="212"/>
        <v>#N/A</v>
      </c>
      <c r="J742" s="158">
        <f>INDEX('Monthly Prices'!B730:CB730,$G$4)</f>
        <v>162.4205576</v>
      </c>
      <c r="K742" s="158" t="b">
        <f>IF(H742,INDEX('Monthly Prices'!B730:CB730,$G$4)*U742,FALSE)</f>
        <v>0</v>
      </c>
      <c r="L742" s="152" t="b">
        <f t="shared" si="216"/>
        <v>1</v>
      </c>
      <c r="M742" s="158">
        <f>INDEX('Monthly Prices'!B730:CB730,$G$5)</f>
        <v>114.82395833333</v>
      </c>
      <c r="N742" s="158" t="b">
        <f>IF(H742,INDEX('Monthly Prices'!B730:CB730,$G$5)*U742,FALSE)</f>
        <v>0</v>
      </c>
      <c r="O742" s="152" t="b">
        <f t="shared" si="213"/>
        <v>1</v>
      </c>
      <c r="P742" s="152">
        <f t="shared" si="217"/>
        <v>2020</v>
      </c>
      <c r="Q742" s="159">
        <f>'Monthly Prices'!B730</f>
        <v>32.203333333330001</v>
      </c>
      <c r="R742" s="159">
        <f t="shared" si="218"/>
        <v>41.25777777777833</v>
      </c>
      <c r="S742" s="155">
        <f>_xlfn.XLOOKUP(P742,'Annual Real'!A:A,'Annual Real'!B:B,0,0)</f>
        <v>41.6789328183458</v>
      </c>
      <c r="T742" s="155">
        <f t="shared" ca="1" si="219"/>
        <v>1.185487632307096</v>
      </c>
      <c r="U742" s="152">
        <f t="shared" ca="1" si="220"/>
        <v>1.185487632307096</v>
      </c>
      <c r="V742" s="152" t="b">
        <f t="shared" si="226"/>
        <v>0</v>
      </c>
      <c r="W742" s="152" t="b">
        <f t="shared" si="227"/>
        <v>0</v>
      </c>
      <c r="X742" s="154">
        <f>LOOKUP(D742,'US Implicit Deflator'!A:A,'US Implicit Deflator'!B:B)/100</f>
        <v>1.2E-2</v>
      </c>
      <c r="Y742" s="154">
        <f t="shared" si="221"/>
        <v>9.9454180114277868E-4</v>
      </c>
      <c r="Z742" s="165">
        <f t="shared" ca="1" si="222"/>
        <v>5.7603242222108788</v>
      </c>
      <c r="AA742" s="152">
        <f t="shared" si="223"/>
        <v>7</v>
      </c>
      <c r="AB742" s="153">
        <f t="shared" si="224"/>
        <v>43891</v>
      </c>
      <c r="AC742" s="155">
        <f t="shared" ca="1" si="225"/>
        <v>1.185487632307096</v>
      </c>
    </row>
    <row r="743" spans="3:29">
      <c r="C743" s="152" t="str">
        <f>'Monthly Prices'!A731</f>
        <v>2020M04</v>
      </c>
      <c r="D743" s="153">
        <f t="shared" si="214"/>
        <v>43922</v>
      </c>
      <c r="E743" s="152">
        <f t="shared" si="215"/>
        <v>724</v>
      </c>
      <c r="F743" s="152" t="b">
        <f t="shared" si="209"/>
        <v>1</v>
      </c>
      <c r="G743" s="152" t="b">
        <f t="shared" si="210"/>
        <v>0</v>
      </c>
      <c r="H743" s="152" t="b">
        <f t="shared" si="211"/>
        <v>0</v>
      </c>
      <c r="I743" s="153" t="e">
        <f t="shared" si="212"/>
        <v>#N/A</v>
      </c>
      <c r="J743" s="158">
        <f>INDEX('Monthly Prices'!B731:CB731,$G$4)</f>
        <v>146.90956560000001</v>
      </c>
      <c r="K743" s="158" t="b">
        <f>IF(H743,INDEX('Monthly Prices'!B731:CB731,$G$4)*U743,FALSE)</f>
        <v>0</v>
      </c>
      <c r="L743" s="152" t="b">
        <f t="shared" si="216"/>
        <v>1</v>
      </c>
      <c r="M743" s="158">
        <f>INDEX('Monthly Prices'!B731:CB731,$G$5)</f>
        <v>114.82395833333</v>
      </c>
      <c r="N743" s="158" t="b">
        <f>IF(H743,INDEX('Monthly Prices'!B731:CB731,$G$5)*U743,FALSE)</f>
        <v>0</v>
      </c>
      <c r="O743" s="152" t="b">
        <f t="shared" si="213"/>
        <v>1</v>
      </c>
      <c r="P743" s="152">
        <f t="shared" si="217"/>
        <v>2020</v>
      </c>
      <c r="Q743" s="159">
        <f>'Monthly Prices'!B731</f>
        <v>21.043333333330001</v>
      </c>
      <c r="R743" s="159">
        <f t="shared" si="218"/>
        <v>41.25777777777833</v>
      </c>
      <c r="S743" s="155">
        <f>_xlfn.XLOOKUP(P743,'Annual Real'!A:A,'Annual Real'!B:B,0,0)</f>
        <v>41.6789328183458</v>
      </c>
      <c r="T743" s="155">
        <f t="shared" ca="1" si="219"/>
        <v>1.1858836534223609</v>
      </c>
      <c r="U743" s="152">
        <f t="shared" ca="1" si="220"/>
        <v>1.1858836534223609</v>
      </c>
      <c r="V743" s="152" t="b">
        <f t="shared" si="226"/>
        <v>0</v>
      </c>
      <c r="W743" s="152" t="b">
        <f t="shared" si="227"/>
        <v>0</v>
      </c>
      <c r="X743" s="154">
        <f>LOOKUP(D743,'US Implicit Deflator'!A:A,'US Implicit Deflator'!B:B)/100</f>
        <v>-4.0000000000000001E-3</v>
      </c>
      <c r="Y743" s="154">
        <f t="shared" si="221"/>
        <v>-3.3394601074221431E-4</v>
      </c>
      <c r="Z743" s="165">
        <f t="shared" ca="1" si="222"/>
        <v>5.7584005849162896</v>
      </c>
      <c r="AA743" s="152">
        <f t="shared" si="223"/>
        <v>7</v>
      </c>
      <c r="AB743" s="153">
        <f t="shared" si="224"/>
        <v>43922</v>
      </c>
      <c r="AC743" s="155">
        <f t="shared" ca="1" si="225"/>
        <v>1.1858836534223609</v>
      </c>
    </row>
    <row r="744" spans="3:29">
      <c r="C744" s="152" t="str">
        <f>'Monthly Prices'!A732</f>
        <v>2020M05</v>
      </c>
      <c r="D744" s="153">
        <f t="shared" si="214"/>
        <v>43952</v>
      </c>
      <c r="E744" s="152">
        <f t="shared" si="215"/>
        <v>725</v>
      </c>
      <c r="F744" s="152" t="b">
        <f t="shared" si="209"/>
        <v>1</v>
      </c>
      <c r="G744" s="152" t="b">
        <f t="shared" si="210"/>
        <v>0</v>
      </c>
      <c r="H744" s="152" t="b">
        <f t="shared" si="211"/>
        <v>0</v>
      </c>
      <c r="I744" s="153" t="e">
        <f t="shared" si="212"/>
        <v>#N/A</v>
      </c>
      <c r="J744" s="158">
        <f>INDEX('Monthly Prices'!B732:CB732,$G$4)</f>
        <v>143.90578719999999</v>
      </c>
      <c r="K744" s="158" t="b">
        <f>IF(H744,INDEX('Monthly Prices'!B732:CB732,$G$4)*U744,FALSE)</f>
        <v>0</v>
      </c>
      <c r="L744" s="152" t="b">
        <f t="shared" si="216"/>
        <v>1</v>
      </c>
      <c r="M744" s="158">
        <f>INDEX('Monthly Prices'!B732:CB732,$G$5)</f>
        <v>80.376770833329999</v>
      </c>
      <c r="N744" s="158" t="b">
        <f>IF(H744,INDEX('Monthly Prices'!B732:CB732,$G$5)*U744,FALSE)</f>
        <v>0</v>
      </c>
      <c r="O744" s="152" t="b">
        <f t="shared" si="213"/>
        <v>1</v>
      </c>
      <c r="P744" s="152">
        <f t="shared" si="217"/>
        <v>2020</v>
      </c>
      <c r="Q744" s="159">
        <f>'Monthly Prices'!B732</f>
        <v>30.38</v>
      </c>
      <c r="R744" s="159">
        <f t="shared" si="218"/>
        <v>41.25777777777833</v>
      </c>
      <c r="S744" s="155">
        <f>_xlfn.XLOOKUP(P744,'Annual Real'!A:A,'Annual Real'!B:B,0,0)</f>
        <v>41.6789328183458</v>
      </c>
      <c r="T744" s="155">
        <f t="shared" ca="1" si="219"/>
        <v>1.1862798068314762</v>
      </c>
      <c r="U744" s="152">
        <f t="shared" ca="1" si="220"/>
        <v>1.1862798068314762</v>
      </c>
      <c r="V744" s="152" t="b">
        <f t="shared" si="226"/>
        <v>0</v>
      </c>
      <c r="W744" s="152" t="b">
        <f t="shared" si="227"/>
        <v>0</v>
      </c>
      <c r="X744" s="154">
        <f>LOOKUP(D744,'US Implicit Deflator'!A:A,'US Implicit Deflator'!B:B)/100</f>
        <v>-4.0000000000000001E-3</v>
      </c>
      <c r="Y744" s="154">
        <f t="shared" si="221"/>
        <v>-3.3394601074221431E-4</v>
      </c>
      <c r="Z744" s="165">
        <f t="shared" ca="1" si="222"/>
        <v>5.7564775900127012</v>
      </c>
      <c r="AA744" s="152">
        <f t="shared" si="223"/>
        <v>7</v>
      </c>
      <c r="AB744" s="153">
        <f t="shared" si="224"/>
        <v>43952</v>
      </c>
      <c r="AC744" s="155">
        <f t="shared" ca="1" si="225"/>
        <v>1.1862798068314762</v>
      </c>
    </row>
    <row r="745" spans="3:29">
      <c r="C745" s="152" t="str">
        <f>'Monthly Prices'!A733</f>
        <v>2020M06</v>
      </c>
      <c r="D745" s="153">
        <f t="shared" si="214"/>
        <v>43983</v>
      </c>
      <c r="E745" s="152">
        <f t="shared" si="215"/>
        <v>726</v>
      </c>
      <c r="F745" s="152" t="b">
        <f t="shared" si="209"/>
        <v>1</v>
      </c>
      <c r="G745" s="152" t="b">
        <f t="shared" si="210"/>
        <v>0</v>
      </c>
      <c r="H745" s="152" t="b">
        <f t="shared" si="211"/>
        <v>0</v>
      </c>
      <c r="I745" s="153" t="e">
        <f t="shared" si="212"/>
        <v>#N/A</v>
      </c>
      <c r="J745" s="158">
        <f>INDEX('Monthly Prices'!B733:CB733,$G$4)</f>
        <v>147.98824880000001</v>
      </c>
      <c r="K745" s="158" t="b">
        <f>IF(H745,INDEX('Monthly Prices'!B733:CB733,$G$4)*U745,FALSE)</f>
        <v>0</v>
      </c>
      <c r="L745" s="152" t="b">
        <f t="shared" si="216"/>
        <v>1</v>
      </c>
      <c r="M745" s="158">
        <f>INDEX('Monthly Prices'!B733:CB733,$G$5)</f>
        <v>80.376770833329999</v>
      </c>
      <c r="N745" s="158" t="b">
        <f>IF(H745,INDEX('Monthly Prices'!B733:CB733,$G$5)*U745,FALSE)</f>
        <v>0</v>
      </c>
      <c r="O745" s="152" t="b">
        <f t="shared" si="213"/>
        <v>1</v>
      </c>
      <c r="P745" s="152">
        <f t="shared" si="217"/>
        <v>2020</v>
      </c>
      <c r="Q745" s="159">
        <f>'Monthly Prices'!B733</f>
        <v>39.456666666670003</v>
      </c>
      <c r="R745" s="159">
        <f t="shared" si="218"/>
        <v>41.25777777777833</v>
      </c>
      <c r="S745" s="155">
        <f>_xlfn.XLOOKUP(P745,'Annual Real'!A:A,'Annual Real'!B:B,0,0)</f>
        <v>41.6789328183458</v>
      </c>
      <c r="T745" s="155">
        <f t="shared" ca="1" si="219"/>
        <v>1.1866760925786362</v>
      </c>
      <c r="U745" s="152">
        <f t="shared" ca="1" si="220"/>
        <v>1.1866760925786362</v>
      </c>
      <c r="V745" s="152" t="b">
        <f t="shared" si="226"/>
        <v>0</v>
      </c>
      <c r="W745" s="152" t="b">
        <f t="shared" si="227"/>
        <v>0</v>
      </c>
      <c r="X745" s="154">
        <f>LOOKUP(D745,'US Implicit Deflator'!A:A,'US Implicit Deflator'!B:B)/100</f>
        <v>-4.0000000000000001E-3</v>
      </c>
      <c r="Y745" s="154">
        <f t="shared" si="221"/>
        <v>-3.3394601074221431E-4</v>
      </c>
      <c r="Z745" s="165">
        <f t="shared" ca="1" si="222"/>
        <v>5.7545552372855893</v>
      </c>
      <c r="AA745" s="152">
        <f t="shared" si="223"/>
        <v>7</v>
      </c>
      <c r="AB745" s="153">
        <f t="shared" si="224"/>
        <v>43983</v>
      </c>
      <c r="AC745" s="155">
        <f t="shared" ca="1" si="225"/>
        <v>1.1866760925786362</v>
      </c>
    </row>
    <row r="746" spans="3:29">
      <c r="C746" s="152" t="str">
        <f>'Monthly Prices'!A734</f>
        <v>2020M07</v>
      </c>
      <c r="D746" s="153">
        <f t="shared" si="214"/>
        <v>44013</v>
      </c>
      <c r="E746" s="152">
        <f t="shared" si="215"/>
        <v>727</v>
      </c>
      <c r="F746" s="152" t="b">
        <f t="shared" si="209"/>
        <v>1</v>
      </c>
      <c r="G746" s="152" t="b">
        <f t="shared" si="210"/>
        <v>0</v>
      </c>
      <c r="H746" s="152" t="b">
        <f t="shared" si="211"/>
        <v>0</v>
      </c>
      <c r="I746" s="153" t="e">
        <f t="shared" si="212"/>
        <v>#N/A</v>
      </c>
      <c r="J746" s="158">
        <f>INDEX('Monthly Prices'!B734:CB734,$G$4)</f>
        <v>152.55493680000001</v>
      </c>
      <c r="K746" s="158" t="b">
        <f>IF(H746,INDEX('Monthly Prices'!B734:CB734,$G$4)*U746,FALSE)</f>
        <v>0</v>
      </c>
      <c r="L746" s="152" t="b">
        <f t="shared" si="216"/>
        <v>1</v>
      </c>
      <c r="M746" s="158">
        <f>INDEX('Monthly Prices'!B734:CB734,$G$5)</f>
        <v>80.376770833329999</v>
      </c>
      <c r="N746" s="158" t="b">
        <f>IF(H746,INDEX('Monthly Prices'!B734:CB734,$G$5)*U746,FALSE)</f>
        <v>0</v>
      </c>
      <c r="O746" s="152" t="b">
        <f t="shared" si="213"/>
        <v>1</v>
      </c>
      <c r="P746" s="152">
        <f t="shared" si="217"/>
        <v>2020</v>
      </c>
      <c r="Q746" s="159">
        <f>'Monthly Prices'!B734</f>
        <v>42.066666666670002</v>
      </c>
      <c r="R746" s="159">
        <f t="shared" si="218"/>
        <v>41.25777777777833</v>
      </c>
      <c r="S746" s="155">
        <f>_xlfn.XLOOKUP(P746,'Annual Real'!A:A,'Annual Real'!B:B,0,0)</f>
        <v>41.6789328183458</v>
      </c>
      <c r="T746" s="155">
        <f t="shared" ca="1" si="219"/>
        <v>1.1861829787058231</v>
      </c>
      <c r="U746" s="152">
        <f t="shared" ca="1" si="220"/>
        <v>1.1861829787058231</v>
      </c>
      <c r="V746" s="152" t="b">
        <f t="shared" si="226"/>
        <v>0</v>
      </c>
      <c r="W746" s="152" t="b">
        <f t="shared" si="227"/>
        <v>0</v>
      </c>
      <c r="X746" s="154">
        <f>LOOKUP(D746,'US Implicit Deflator'!A:A,'US Implicit Deflator'!B:B)/100</f>
        <v>5.0000000000000001E-3</v>
      </c>
      <c r="Y746" s="154">
        <f t="shared" si="221"/>
        <v>4.1571484472902043E-4</v>
      </c>
      <c r="Z746" s="165">
        <f t="shared" ca="1" si="222"/>
        <v>5.756947491322542</v>
      </c>
      <c r="AA746" s="152">
        <f t="shared" si="223"/>
        <v>7</v>
      </c>
      <c r="AB746" s="153">
        <f t="shared" si="224"/>
        <v>44013</v>
      </c>
      <c r="AC746" s="155">
        <f t="shared" ca="1" si="225"/>
        <v>1.1861829787058231</v>
      </c>
    </row>
    <row r="747" spans="3:29">
      <c r="C747" s="152" t="str">
        <f>'Monthly Prices'!A735</f>
        <v>2020M08</v>
      </c>
      <c r="D747" s="153">
        <f t="shared" si="214"/>
        <v>44044</v>
      </c>
      <c r="E747" s="152">
        <f t="shared" si="215"/>
        <v>728</v>
      </c>
      <c r="F747" s="152" t="b">
        <f t="shared" si="209"/>
        <v>1</v>
      </c>
      <c r="G747" s="152" t="b">
        <f t="shared" si="210"/>
        <v>0</v>
      </c>
      <c r="H747" s="152" t="b">
        <f t="shared" si="211"/>
        <v>0</v>
      </c>
      <c r="I747" s="153" t="e">
        <f t="shared" si="212"/>
        <v>#N/A</v>
      </c>
      <c r="J747" s="158">
        <f>INDEX('Monthly Prices'!B735:CB735,$G$4)</f>
        <v>149.34250800000001</v>
      </c>
      <c r="K747" s="158" t="b">
        <f>IF(H747,INDEX('Monthly Prices'!B735:CB735,$G$4)*U747,FALSE)</f>
        <v>0</v>
      </c>
      <c r="L747" s="152" t="b">
        <f t="shared" si="216"/>
        <v>1</v>
      </c>
      <c r="M747" s="158">
        <f>INDEX('Monthly Prices'!B735:CB735,$G$5)</f>
        <v>80.376770833329999</v>
      </c>
      <c r="N747" s="158" t="b">
        <f>IF(H747,INDEX('Monthly Prices'!B735:CB735,$G$5)*U747,FALSE)</f>
        <v>0</v>
      </c>
      <c r="O747" s="152" t="b">
        <f t="shared" si="213"/>
        <v>1</v>
      </c>
      <c r="P747" s="152">
        <f t="shared" si="217"/>
        <v>2020</v>
      </c>
      <c r="Q747" s="159">
        <f>'Monthly Prices'!B735</f>
        <v>43.443333333330003</v>
      </c>
      <c r="R747" s="159">
        <f t="shared" si="218"/>
        <v>41.25777777777833</v>
      </c>
      <c r="S747" s="155">
        <f>_xlfn.XLOOKUP(P747,'Annual Real'!A:A,'Annual Real'!B:B,0,0)</f>
        <v>41.6789328183458</v>
      </c>
      <c r="T747" s="155">
        <f t="shared" ca="1" si="219"/>
        <v>1.1856900697425834</v>
      </c>
      <c r="U747" s="152">
        <f t="shared" ca="1" si="220"/>
        <v>1.1856900697425834</v>
      </c>
      <c r="V747" s="152" t="b">
        <f t="shared" si="226"/>
        <v>0</v>
      </c>
      <c r="W747" s="152" t="b">
        <f t="shared" si="227"/>
        <v>0</v>
      </c>
      <c r="X747" s="154">
        <f>LOOKUP(D747,'US Implicit Deflator'!A:A,'US Implicit Deflator'!B:B)/100</f>
        <v>5.0000000000000001E-3</v>
      </c>
      <c r="Y747" s="154">
        <f t="shared" si="221"/>
        <v>4.1571484472902043E-4</v>
      </c>
      <c r="Z747" s="165">
        <f t="shared" ca="1" si="222"/>
        <v>5.75934073985501</v>
      </c>
      <c r="AA747" s="152">
        <f t="shared" si="223"/>
        <v>7</v>
      </c>
      <c r="AB747" s="153">
        <f t="shared" si="224"/>
        <v>44044</v>
      </c>
      <c r="AC747" s="155">
        <f t="shared" ca="1" si="225"/>
        <v>1.1856900697425834</v>
      </c>
    </row>
    <row r="748" spans="3:29">
      <c r="C748" s="152" t="str">
        <f>'Monthly Prices'!A736</f>
        <v>2020M09</v>
      </c>
      <c r="D748" s="153">
        <f t="shared" si="214"/>
        <v>44075</v>
      </c>
      <c r="E748" s="152">
        <f t="shared" si="215"/>
        <v>729</v>
      </c>
      <c r="F748" s="152" t="b">
        <f t="shared" si="209"/>
        <v>1</v>
      </c>
      <c r="G748" s="152" t="b">
        <f t="shared" si="210"/>
        <v>0</v>
      </c>
      <c r="H748" s="152" t="b">
        <f t="shared" si="211"/>
        <v>0</v>
      </c>
      <c r="I748" s="153" t="e">
        <f t="shared" si="212"/>
        <v>#N/A</v>
      </c>
      <c r="J748" s="158">
        <f>INDEX('Monthly Prices'!B736:CB736,$G$4)</f>
        <v>166.0817816</v>
      </c>
      <c r="K748" s="158" t="b">
        <f>IF(H748,INDEX('Monthly Prices'!B736:CB736,$G$4)*U748,FALSE)</f>
        <v>0</v>
      </c>
      <c r="L748" s="152" t="b">
        <f t="shared" si="216"/>
        <v>1</v>
      </c>
      <c r="M748" s="158" t="str">
        <f>INDEX('Monthly Prices'!B736:CB736,$G$5)</f>
        <v>...</v>
      </c>
      <c r="N748" s="158" t="b">
        <f>IF(H748,INDEX('Monthly Prices'!B736:CB736,$G$5)*U748,FALSE)</f>
        <v>0</v>
      </c>
      <c r="O748" s="152" t="b">
        <f t="shared" si="213"/>
        <v>0</v>
      </c>
      <c r="P748" s="152">
        <f t="shared" si="217"/>
        <v>2020</v>
      </c>
      <c r="Q748" s="159">
        <f>'Monthly Prices'!B736</f>
        <v>40.596666666669996</v>
      </c>
      <c r="R748" s="159">
        <f t="shared" si="218"/>
        <v>41.25777777777833</v>
      </c>
      <c r="S748" s="155">
        <f>_xlfn.XLOOKUP(P748,'Annual Real'!A:A,'Annual Real'!B:B,0,0)</f>
        <v>41.6789328183458</v>
      </c>
      <c r="T748" s="155">
        <f t="shared" ca="1" si="219"/>
        <v>1.1851973656037684</v>
      </c>
      <c r="U748" s="152">
        <f t="shared" ca="1" si="220"/>
        <v>1.1851973656037684</v>
      </c>
      <c r="V748" s="152" t="b">
        <f t="shared" si="226"/>
        <v>0</v>
      </c>
      <c r="W748" s="152" t="b">
        <f t="shared" si="227"/>
        <v>0</v>
      </c>
      <c r="X748" s="154">
        <f>LOOKUP(D748,'US Implicit Deflator'!A:A,'US Implicit Deflator'!B:B)/100</f>
        <v>5.0000000000000001E-3</v>
      </c>
      <c r="Y748" s="154">
        <f t="shared" si="221"/>
        <v>4.1571484472902043E-4</v>
      </c>
      <c r="Z748" s="165">
        <f t="shared" ca="1" si="222"/>
        <v>5.76173498329642</v>
      </c>
      <c r="AA748" s="152">
        <f t="shared" si="223"/>
        <v>7</v>
      </c>
      <c r="AB748" s="153">
        <f t="shared" si="224"/>
        <v>44075</v>
      </c>
      <c r="AC748" s="155">
        <f t="shared" ca="1" si="225"/>
        <v>1.1851973656037684</v>
      </c>
    </row>
    <row r="749" spans="3:29">
      <c r="C749" s="152" t="str">
        <f>'Monthly Prices'!A737</f>
        <v>2020M10</v>
      </c>
      <c r="D749" s="153">
        <f t="shared" si="214"/>
        <v>44105</v>
      </c>
      <c r="E749" s="152">
        <f t="shared" si="215"/>
        <v>730</v>
      </c>
      <c r="F749" s="152" t="b">
        <f t="shared" si="209"/>
        <v>1</v>
      </c>
      <c r="G749" s="152" t="b">
        <f t="shared" si="210"/>
        <v>0</v>
      </c>
      <c r="H749" s="152" t="b">
        <f t="shared" si="211"/>
        <v>0</v>
      </c>
      <c r="I749" s="153" t="e">
        <f t="shared" si="212"/>
        <v>#N/A</v>
      </c>
      <c r="J749" s="158">
        <f>INDEX('Monthly Prices'!B737:CB737,$G$4)</f>
        <v>186.74604479999999</v>
      </c>
      <c r="K749" s="158" t="b">
        <f>IF(H749,INDEX('Monthly Prices'!B737:CB737,$G$4)*U749,FALSE)</f>
        <v>0</v>
      </c>
      <c r="L749" s="152" t="b">
        <f t="shared" si="216"/>
        <v>1</v>
      </c>
      <c r="M749" s="158" t="str">
        <f>INDEX('Monthly Prices'!B737:CB737,$G$5)</f>
        <v>...</v>
      </c>
      <c r="N749" s="158" t="b">
        <f>IF(H749,INDEX('Monthly Prices'!B737:CB737,$G$5)*U749,FALSE)</f>
        <v>0</v>
      </c>
      <c r="O749" s="152" t="b">
        <f t="shared" si="213"/>
        <v>0</v>
      </c>
      <c r="P749" s="152">
        <f t="shared" si="217"/>
        <v>2020</v>
      </c>
      <c r="Q749" s="159">
        <f>'Monthly Prices'!B737</f>
        <v>39.9</v>
      </c>
      <c r="R749" s="159">
        <f t="shared" si="218"/>
        <v>41.25777777777833</v>
      </c>
      <c r="S749" s="155">
        <f>_xlfn.XLOOKUP(P749,'Annual Real'!A:A,'Annual Real'!B:B,0,0)</f>
        <v>41.6789328183458</v>
      </c>
      <c r="T749" s="155">
        <f t="shared" ca="1" si="219"/>
        <v>1.1848031534207057</v>
      </c>
      <c r="U749" s="152">
        <f t="shared" ca="1" si="220"/>
        <v>1.1848031534207057</v>
      </c>
      <c r="V749" s="152" t="b">
        <f t="shared" si="226"/>
        <v>0</v>
      </c>
      <c r="W749" s="152" t="b">
        <f t="shared" si="227"/>
        <v>0</v>
      </c>
      <c r="X749" s="154">
        <f>LOOKUP(D749,'US Implicit Deflator'!A:A,'US Implicit Deflator'!B:B)/100</f>
        <v>4.0000000000000001E-3</v>
      </c>
      <c r="Y749" s="154">
        <f t="shared" si="221"/>
        <v>3.3272377940973819E-4</v>
      </c>
      <c r="Z749" s="165">
        <f t="shared" ca="1" si="222"/>
        <v>5.7636520495360193</v>
      </c>
      <c r="AA749" s="152">
        <f t="shared" si="223"/>
        <v>7</v>
      </c>
      <c r="AB749" s="153">
        <f t="shared" si="224"/>
        <v>44105</v>
      </c>
      <c r="AC749" s="155">
        <f t="shared" ca="1" si="225"/>
        <v>1.1848031534207057</v>
      </c>
    </row>
    <row r="750" spans="3:29">
      <c r="C750" s="152" t="str">
        <f>'Monthly Prices'!A738</f>
        <v>2020M11</v>
      </c>
      <c r="D750" s="153">
        <f t="shared" si="214"/>
        <v>44136</v>
      </c>
      <c r="E750" s="152">
        <f t="shared" si="215"/>
        <v>731</v>
      </c>
      <c r="F750" s="152" t="b">
        <f t="shared" si="209"/>
        <v>1</v>
      </c>
      <c r="G750" s="152" t="b">
        <f t="shared" si="210"/>
        <v>0</v>
      </c>
      <c r="H750" s="152" t="b">
        <f t="shared" si="211"/>
        <v>0</v>
      </c>
      <c r="I750" s="153" t="e">
        <f t="shared" si="212"/>
        <v>#N/A</v>
      </c>
      <c r="J750" s="158">
        <f>INDEX('Monthly Prices'!B738:CB738,$G$4)</f>
        <v>190.37577440000001</v>
      </c>
      <c r="K750" s="158" t="b">
        <f>IF(H750,INDEX('Monthly Prices'!B738:CB738,$G$4)*U750,FALSE)</f>
        <v>0</v>
      </c>
      <c r="L750" s="152" t="b">
        <f t="shared" si="216"/>
        <v>1</v>
      </c>
      <c r="M750" s="158" t="str">
        <f>INDEX('Monthly Prices'!B738:CB738,$G$5)</f>
        <v>...</v>
      </c>
      <c r="N750" s="158" t="b">
        <f>IF(H750,INDEX('Monthly Prices'!B738:CB738,$G$5)*U750,FALSE)</f>
        <v>0</v>
      </c>
      <c r="O750" s="152" t="b">
        <f t="shared" si="213"/>
        <v>0</v>
      </c>
      <c r="P750" s="152">
        <f t="shared" si="217"/>
        <v>2020</v>
      </c>
      <c r="Q750" s="159">
        <f>'Monthly Prices'!B738</f>
        <v>42.303333333330002</v>
      </c>
      <c r="R750" s="159">
        <f t="shared" si="218"/>
        <v>41.25777777777833</v>
      </c>
      <c r="S750" s="155">
        <f>_xlfn.XLOOKUP(P750,'Annual Real'!A:A,'Annual Real'!B:B,0,0)</f>
        <v>41.6789328183458</v>
      </c>
      <c r="T750" s="155">
        <f t="shared" ca="1" si="219"/>
        <v>1.1844090723577836</v>
      </c>
      <c r="U750" s="152">
        <f t="shared" ca="1" si="220"/>
        <v>1.1844090723577836</v>
      </c>
      <c r="V750" s="152" t="b">
        <f t="shared" si="226"/>
        <v>0</v>
      </c>
      <c r="W750" s="152" t="b">
        <f t="shared" si="227"/>
        <v>0</v>
      </c>
      <c r="X750" s="154">
        <f>LOOKUP(D750,'US Implicit Deflator'!A:A,'US Implicit Deflator'!B:B)/100</f>
        <v>4.0000000000000001E-3</v>
      </c>
      <c r="Y750" s="154">
        <f t="shared" si="221"/>
        <v>3.3272377940973819E-4</v>
      </c>
      <c r="Z750" s="165">
        <f t="shared" ca="1" si="222"/>
        <v>5.7655697536291433</v>
      </c>
      <c r="AA750" s="152">
        <f t="shared" si="223"/>
        <v>7</v>
      </c>
      <c r="AB750" s="153">
        <f t="shared" si="224"/>
        <v>44136</v>
      </c>
      <c r="AC750" s="155">
        <f t="shared" ca="1" si="225"/>
        <v>1.1844090723577836</v>
      </c>
    </row>
    <row r="751" spans="3:29">
      <c r="C751" s="152" t="str">
        <f>'Monthly Prices'!A739</f>
        <v>2020M12</v>
      </c>
      <c r="D751" s="153">
        <f t="shared" si="214"/>
        <v>44166</v>
      </c>
      <c r="E751" s="152">
        <f t="shared" si="215"/>
        <v>732</v>
      </c>
      <c r="F751" s="152" t="b">
        <f t="shared" si="209"/>
        <v>1</v>
      </c>
      <c r="G751" s="152" t="b">
        <f t="shared" si="210"/>
        <v>0</v>
      </c>
      <c r="H751" s="152" t="b">
        <f t="shared" si="211"/>
        <v>0</v>
      </c>
      <c r="I751" s="153" t="e">
        <f t="shared" si="212"/>
        <v>#N/A</v>
      </c>
      <c r="J751" s="158">
        <f>INDEX('Monthly Prices'!B739:CB739,$G$4)</f>
        <v>198.76903200000001</v>
      </c>
      <c r="K751" s="158" t="b">
        <f>IF(H751,INDEX('Monthly Prices'!B739:CB739,$G$4)*U751,FALSE)</f>
        <v>0</v>
      </c>
      <c r="L751" s="152" t="b">
        <f t="shared" si="216"/>
        <v>1</v>
      </c>
      <c r="M751" s="158" t="str">
        <f>INDEX('Monthly Prices'!B739:CB739,$G$5)</f>
        <v>...</v>
      </c>
      <c r="N751" s="158" t="b">
        <f>IF(H751,INDEX('Monthly Prices'!B739:CB739,$G$5)*U751,FALSE)</f>
        <v>0</v>
      </c>
      <c r="O751" s="152" t="b">
        <f t="shared" si="213"/>
        <v>0</v>
      </c>
      <c r="P751" s="152">
        <f t="shared" si="217"/>
        <v>2020</v>
      </c>
      <c r="Q751" s="159">
        <f>'Monthly Prices'!B739</f>
        <v>48.726666666669999</v>
      </c>
      <c r="R751" s="159">
        <f t="shared" si="218"/>
        <v>41.25777777777833</v>
      </c>
      <c r="S751" s="155">
        <f>_xlfn.XLOOKUP(P751,'Annual Real'!A:A,'Annual Real'!B:B,0,0)</f>
        <v>41.6789328183458</v>
      </c>
      <c r="T751" s="155">
        <f t="shared" ca="1" si="219"/>
        <v>1.1840151223713899</v>
      </c>
      <c r="U751" s="152">
        <f t="shared" ca="1" si="220"/>
        <v>1.1840151223713899</v>
      </c>
      <c r="V751" s="152" t="b">
        <f t="shared" si="226"/>
        <v>0</v>
      </c>
      <c r="W751" s="152" t="b">
        <f t="shared" si="227"/>
        <v>0</v>
      </c>
      <c r="X751" s="154">
        <f>LOOKUP(D751,'US Implicit Deflator'!A:A,'US Implicit Deflator'!B:B)/100</f>
        <v>4.0000000000000001E-3</v>
      </c>
      <c r="Y751" s="154">
        <f t="shared" si="221"/>
        <v>3.3272377940973819E-4</v>
      </c>
      <c r="Z751" s="165">
        <f t="shared" ca="1" si="222"/>
        <v>5.7674880957880212</v>
      </c>
      <c r="AA751" s="152">
        <f t="shared" si="223"/>
        <v>7</v>
      </c>
      <c r="AB751" s="153">
        <f t="shared" si="224"/>
        <v>44166</v>
      </c>
      <c r="AC751" s="155">
        <f t="shared" ca="1" si="225"/>
        <v>1.1840151223713899</v>
      </c>
    </row>
    <row r="752" spans="3:29">
      <c r="C752" s="152" t="str">
        <f>'Monthly Prices'!A740</f>
        <v>2021M01</v>
      </c>
      <c r="D752" s="153">
        <f t="shared" si="214"/>
        <v>44197</v>
      </c>
      <c r="E752" s="152">
        <f t="shared" si="215"/>
        <v>733</v>
      </c>
      <c r="F752" s="152" t="b">
        <f t="shared" si="209"/>
        <v>1</v>
      </c>
      <c r="G752" s="152" t="b">
        <f t="shared" si="210"/>
        <v>0</v>
      </c>
      <c r="H752" s="152" t="b">
        <f t="shared" si="211"/>
        <v>0</v>
      </c>
      <c r="I752" s="153" t="e">
        <f t="shared" si="212"/>
        <v>#N/A</v>
      </c>
      <c r="J752" s="158">
        <f>INDEX('Monthly Prices'!B740:CB740,$G$4)</f>
        <v>234.46795014720001</v>
      </c>
      <c r="K752" s="158" t="b">
        <f>IF(H752,INDEX('Monthly Prices'!B740:CB740,$G$4)*U752,FALSE)</f>
        <v>0</v>
      </c>
      <c r="L752" s="152" t="b">
        <f t="shared" si="216"/>
        <v>1</v>
      </c>
      <c r="M752" s="158" t="str">
        <f>INDEX('Monthly Prices'!B740:CB740,$G$5)</f>
        <v>...</v>
      </c>
      <c r="N752" s="158" t="b">
        <f>IF(H752,INDEX('Monthly Prices'!B740:CB740,$G$5)*U752,FALSE)</f>
        <v>0</v>
      </c>
      <c r="O752" s="152" t="b">
        <f t="shared" si="213"/>
        <v>0</v>
      </c>
      <c r="P752" s="152">
        <f t="shared" si="217"/>
        <v>2021</v>
      </c>
      <c r="Q752" s="159">
        <f>'Monthly Prices'!B740</f>
        <v>53.603333333329999</v>
      </c>
      <c r="R752" s="159">
        <f t="shared" si="218"/>
        <v>69.070555555554989</v>
      </c>
      <c r="S752" s="155">
        <f>_xlfn.XLOOKUP(P752,'Annual Real'!A:A,'Annual Real'!B:B,0,0)</f>
        <v>68.678530223994798</v>
      </c>
      <c r="T752" s="155">
        <f t="shared" ca="1" si="219"/>
        <v>1.1825470047908182</v>
      </c>
      <c r="U752" s="152">
        <f t="shared" ca="1" si="220"/>
        <v>1.1825470047908182</v>
      </c>
      <c r="V752" s="152" t="b">
        <f t="shared" si="226"/>
        <v>0</v>
      </c>
      <c r="W752" s="152" t="b">
        <f t="shared" si="227"/>
        <v>0</v>
      </c>
      <c r="X752" s="154">
        <f>LOOKUP(D752,'US Implicit Deflator'!A:A,'US Implicit Deflator'!B:B)/100</f>
        <v>1.4999999999999999E-2</v>
      </c>
      <c r="Y752" s="154">
        <f t="shared" si="221"/>
        <v>1.2414877164492744E-3</v>
      </c>
      <c r="Z752" s="165">
        <f t="shared" ca="1" si="222"/>
        <v>5.7746483614137096</v>
      </c>
      <c r="AA752" s="152">
        <f t="shared" si="223"/>
        <v>7</v>
      </c>
      <c r="AB752" s="153">
        <f t="shared" si="224"/>
        <v>44197</v>
      </c>
      <c r="AC752" s="155">
        <f t="shared" ca="1" si="225"/>
        <v>1.1825470047908182</v>
      </c>
    </row>
    <row r="753" spans="3:29">
      <c r="C753" s="152" t="str">
        <f>'Monthly Prices'!A741</f>
        <v>2021M02</v>
      </c>
      <c r="D753" s="153">
        <f t="shared" si="214"/>
        <v>44228</v>
      </c>
      <c r="E753" s="152">
        <f t="shared" si="215"/>
        <v>734</v>
      </c>
      <c r="F753" s="152" t="b">
        <f t="shared" si="209"/>
        <v>1</v>
      </c>
      <c r="G753" s="152" t="b">
        <f t="shared" si="210"/>
        <v>0</v>
      </c>
      <c r="H753" s="152" t="b">
        <f t="shared" si="211"/>
        <v>0</v>
      </c>
      <c r="I753" s="153" t="e">
        <f t="shared" si="212"/>
        <v>#N/A</v>
      </c>
      <c r="J753" s="158">
        <f>INDEX('Monthly Prices'!B741:CB741,$G$4)</f>
        <v>245.23508240000001</v>
      </c>
      <c r="K753" s="158" t="b">
        <f>IF(H753,INDEX('Monthly Prices'!B741:CB741,$G$4)*U753,FALSE)</f>
        <v>0</v>
      </c>
      <c r="L753" s="152" t="b">
        <f t="shared" si="216"/>
        <v>1</v>
      </c>
      <c r="M753" s="158" t="str">
        <f>INDEX('Monthly Prices'!B741:CB741,$G$5)</f>
        <v>...</v>
      </c>
      <c r="N753" s="158" t="b">
        <f>IF(H753,INDEX('Monthly Prices'!B741:CB741,$G$5)*U753,FALSE)</f>
        <v>0</v>
      </c>
      <c r="O753" s="152" t="b">
        <f t="shared" si="213"/>
        <v>0</v>
      </c>
      <c r="P753" s="152">
        <f t="shared" si="217"/>
        <v>2021</v>
      </c>
      <c r="Q753" s="159">
        <f>'Monthly Prices'!B741</f>
        <v>60.463333333329999</v>
      </c>
      <c r="R753" s="159">
        <f t="shared" si="218"/>
        <v>69.070555555554989</v>
      </c>
      <c r="S753" s="155">
        <f>_xlfn.XLOOKUP(P753,'Annual Real'!A:A,'Annual Real'!B:B,0,0)</f>
        <v>68.678530223994798</v>
      </c>
      <c r="T753" s="155">
        <f t="shared" ca="1" si="219"/>
        <v>1.1810807076001975</v>
      </c>
      <c r="U753" s="152">
        <f t="shared" ca="1" si="220"/>
        <v>1.1810807076001975</v>
      </c>
      <c r="V753" s="152" t="b">
        <f t="shared" si="226"/>
        <v>0</v>
      </c>
      <c r="W753" s="152" t="b">
        <f t="shared" si="227"/>
        <v>0</v>
      </c>
      <c r="X753" s="154">
        <f>LOOKUP(D753,'US Implicit Deflator'!A:A,'US Implicit Deflator'!B:B)/100</f>
        <v>1.4999999999999999E-2</v>
      </c>
      <c r="Y753" s="154">
        <f t="shared" si="221"/>
        <v>1.2414877164492744E-3</v>
      </c>
      <c r="Z753" s="165">
        <f t="shared" ca="1" si="222"/>
        <v>5.7818175164212189</v>
      </c>
      <c r="AA753" s="152">
        <f t="shared" si="223"/>
        <v>7</v>
      </c>
      <c r="AB753" s="153">
        <f t="shared" si="224"/>
        <v>44228</v>
      </c>
      <c r="AC753" s="155">
        <f t="shared" ca="1" si="225"/>
        <v>1.1810807076001975</v>
      </c>
    </row>
    <row r="754" spans="3:29">
      <c r="C754" s="152" t="str">
        <f>'Monthly Prices'!A742</f>
        <v>2021M03</v>
      </c>
      <c r="D754" s="153">
        <f t="shared" si="214"/>
        <v>44256</v>
      </c>
      <c r="E754" s="152">
        <f t="shared" si="215"/>
        <v>735</v>
      </c>
      <c r="F754" s="152" t="b">
        <f t="shared" si="209"/>
        <v>1</v>
      </c>
      <c r="G754" s="152" t="b">
        <f t="shared" si="210"/>
        <v>0</v>
      </c>
      <c r="H754" s="152" t="b">
        <f t="shared" si="211"/>
        <v>0</v>
      </c>
      <c r="I754" s="153" t="e">
        <f t="shared" si="212"/>
        <v>#N/A</v>
      </c>
      <c r="J754" s="158">
        <f>INDEX('Monthly Prices'!B742:CB742,$G$4)</f>
        <v>245.17209360000001</v>
      </c>
      <c r="K754" s="158" t="b">
        <f>IF(H754,INDEX('Monthly Prices'!B742:CB742,$G$4)*U754,FALSE)</f>
        <v>0</v>
      </c>
      <c r="L754" s="152" t="b">
        <f t="shared" si="216"/>
        <v>1</v>
      </c>
      <c r="M754" s="158" t="str">
        <f>INDEX('Monthly Prices'!B742:CB742,$G$5)</f>
        <v>...</v>
      </c>
      <c r="N754" s="158" t="b">
        <f>IF(H754,INDEX('Monthly Prices'!B742:CB742,$G$5)*U754,FALSE)</f>
        <v>0</v>
      </c>
      <c r="O754" s="152" t="b">
        <f t="shared" si="213"/>
        <v>0</v>
      </c>
      <c r="P754" s="152">
        <f t="shared" si="217"/>
        <v>2021</v>
      </c>
      <c r="Q754" s="159">
        <f>'Monthly Prices'!B742</f>
        <v>63.83</v>
      </c>
      <c r="R754" s="159">
        <f t="shared" si="218"/>
        <v>69.070555555554989</v>
      </c>
      <c r="S754" s="155">
        <f>_xlfn.XLOOKUP(P754,'Annual Real'!A:A,'Annual Real'!B:B,0,0)</f>
        <v>68.678530223994798</v>
      </c>
      <c r="T754" s="155">
        <f t="shared" ca="1" si="219"/>
        <v>1.1796162285423377</v>
      </c>
      <c r="U754" s="152">
        <f t="shared" ca="1" si="220"/>
        <v>1.1796162285423377</v>
      </c>
      <c r="V754" s="152" t="b">
        <f t="shared" si="226"/>
        <v>0</v>
      </c>
      <c r="W754" s="152" t="b">
        <f t="shared" si="227"/>
        <v>0</v>
      </c>
      <c r="X754" s="154">
        <f>LOOKUP(D754,'US Implicit Deflator'!A:A,'US Implicit Deflator'!B:B)/100</f>
        <v>1.4999999999999999E-2</v>
      </c>
      <c r="Y754" s="154">
        <f t="shared" si="221"/>
        <v>1.2414877164492744E-3</v>
      </c>
      <c r="Z754" s="165">
        <f t="shared" ca="1" si="222"/>
        <v>5.7889955718466073</v>
      </c>
      <c r="AA754" s="152">
        <f t="shared" si="223"/>
        <v>7</v>
      </c>
      <c r="AB754" s="153">
        <f t="shared" si="224"/>
        <v>44256</v>
      </c>
      <c r="AC754" s="155">
        <f t="shared" ca="1" si="225"/>
        <v>1.1796162285423377</v>
      </c>
    </row>
    <row r="755" spans="3:29">
      <c r="C755" s="152" t="str">
        <f>'Monthly Prices'!A743</f>
        <v>2021M04</v>
      </c>
      <c r="D755" s="153">
        <f t="shared" si="214"/>
        <v>44287</v>
      </c>
      <c r="E755" s="152">
        <f t="shared" si="215"/>
        <v>736</v>
      </c>
      <c r="F755" s="152" t="b">
        <f t="shared" si="209"/>
        <v>1</v>
      </c>
      <c r="G755" s="152" t="b">
        <f t="shared" si="210"/>
        <v>0</v>
      </c>
      <c r="H755" s="152" t="b">
        <f t="shared" si="211"/>
        <v>0</v>
      </c>
      <c r="I755" s="153" t="e">
        <f t="shared" si="212"/>
        <v>#N/A</v>
      </c>
      <c r="J755" s="158">
        <f>INDEX('Monthly Prices'!B743:CB743,$G$4)</f>
        <v>268.23386799999997</v>
      </c>
      <c r="K755" s="158" t="b">
        <f>IF(H755,INDEX('Monthly Prices'!B743:CB743,$G$4)*U755,FALSE)</f>
        <v>0</v>
      </c>
      <c r="L755" s="152" t="b">
        <f t="shared" si="216"/>
        <v>1</v>
      </c>
      <c r="M755" s="158" t="str">
        <f>INDEX('Monthly Prices'!B743:CB743,$G$5)</f>
        <v>...</v>
      </c>
      <c r="N755" s="158" t="b">
        <f>IF(H755,INDEX('Monthly Prices'!B743:CB743,$G$5)*U755,FALSE)</f>
        <v>0</v>
      </c>
      <c r="O755" s="152" t="b">
        <f t="shared" si="213"/>
        <v>0</v>
      </c>
      <c r="P755" s="152">
        <f t="shared" si="217"/>
        <v>2021</v>
      </c>
      <c r="Q755" s="159">
        <f>'Monthly Prices'!B743</f>
        <v>62.95</v>
      </c>
      <c r="R755" s="159">
        <f t="shared" si="218"/>
        <v>69.070555555554989</v>
      </c>
      <c r="S755" s="155">
        <f>_xlfn.XLOOKUP(P755,'Annual Real'!A:A,'Annual Real'!B:B,0,0)</f>
        <v>68.678530223994798</v>
      </c>
      <c r="T755" s="155">
        <f t="shared" ca="1" si="219"/>
        <v>1.1756729100313767</v>
      </c>
      <c r="U755" s="152">
        <f t="shared" ca="1" si="220"/>
        <v>1.1756729100313767</v>
      </c>
      <c r="V755" s="152" t="b">
        <f t="shared" si="226"/>
        <v>0</v>
      </c>
      <c r="W755" s="152" t="b">
        <f t="shared" si="227"/>
        <v>0</v>
      </c>
      <c r="X755" s="154">
        <f>LOOKUP(D755,'US Implicit Deflator'!A:A,'US Implicit Deflator'!B:B)/100</f>
        <v>4.0999999999999995E-2</v>
      </c>
      <c r="Y755" s="154">
        <f t="shared" si="221"/>
        <v>3.3540948994528197E-3</v>
      </c>
      <c r="Z755" s="165">
        <f t="shared" ca="1" si="222"/>
        <v>5.808412412367093</v>
      </c>
      <c r="AA755" s="152">
        <f t="shared" si="223"/>
        <v>7</v>
      </c>
      <c r="AB755" s="153">
        <f t="shared" si="224"/>
        <v>44287</v>
      </c>
      <c r="AC755" s="155">
        <f t="shared" ca="1" si="225"/>
        <v>1.1756729100313767</v>
      </c>
    </row>
    <row r="756" spans="3:29">
      <c r="C756" s="152" t="str">
        <f>'Monthly Prices'!A744</f>
        <v>2021M05</v>
      </c>
      <c r="D756" s="153">
        <f t="shared" si="214"/>
        <v>44317</v>
      </c>
      <c r="E756" s="152">
        <f t="shared" si="215"/>
        <v>737</v>
      </c>
      <c r="F756" s="152" t="b">
        <f t="shared" si="209"/>
        <v>1</v>
      </c>
      <c r="G756" s="152" t="b">
        <f t="shared" si="210"/>
        <v>0</v>
      </c>
      <c r="H756" s="152" t="b">
        <f t="shared" si="211"/>
        <v>0</v>
      </c>
      <c r="I756" s="153" t="e">
        <f t="shared" si="212"/>
        <v>#N/A</v>
      </c>
      <c r="J756" s="158">
        <f>INDEX('Monthly Prices'!B744:CB744,$G$4)</f>
        <v>305.31065039999999</v>
      </c>
      <c r="K756" s="158" t="b">
        <f>IF(H756,INDEX('Monthly Prices'!B744:CB744,$G$4)*U756,FALSE)</f>
        <v>0</v>
      </c>
      <c r="L756" s="152" t="b">
        <f t="shared" si="216"/>
        <v>1</v>
      </c>
      <c r="M756" s="158" t="str">
        <f>INDEX('Monthly Prices'!B744:CB744,$G$5)</f>
        <v>...</v>
      </c>
      <c r="N756" s="158" t="b">
        <f>IF(H756,INDEX('Monthly Prices'!B744:CB744,$G$5)*U756,FALSE)</f>
        <v>0</v>
      </c>
      <c r="O756" s="152" t="b">
        <f t="shared" si="213"/>
        <v>0</v>
      </c>
      <c r="P756" s="152">
        <f t="shared" si="217"/>
        <v>2021</v>
      </c>
      <c r="Q756" s="159">
        <f>'Monthly Prices'!B744</f>
        <v>66.400000000000006</v>
      </c>
      <c r="R756" s="159">
        <f t="shared" si="218"/>
        <v>69.070555555554989</v>
      </c>
      <c r="S756" s="155">
        <f>_xlfn.XLOOKUP(P756,'Annual Real'!A:A,'Annual Real'!B:B,0,0)</f>
        <v>68.678530223994798</v>
      </c>
      <c r="T756" s="155">
        <f t="shared" ca="1" si="219"/>
        <v>1.1717427735710713</v>
      </c>
      <c r="U756" s="152">
        <f t="shared" ca="1" si="220"/>
        <v>1.1717427735710713</v>
      </c>
      <c r="V756" s="152" t="b">
        <f t="shared" si="226"/>
        <v>0</v>
      </c>
      <c r="W756" s="152" t="b">
        <f t="shared" si="227"/>
        <v>0</v>
      </c>
      <c r="X756" s="154">
        <f>LOOKUP(D756,'US Implicit Deflator'!A:A,'US Implicit Deflator'!B:B)/100</f>
        <v>4.0999999999999995E-2</v>
      </c>
      <c r="Y756" s="154">
        <f t="shared" si="221"/>
        <v>3.3540948994528197E-3</v>
      </c>
      <c r="Z756" s="165">
        <f t="shared" ca="1" si="222"/>
        <v>5.8278943788133324</v>
      </c>
      <c r="AA756" s="152">
        <f t="shared" si="223"/>
        <v>7</v>
      </c>
      <c r="AB756" s="153">
        <f t="shared" si="224"/>
        <v>44317</v>
      </c>
      <c r="AC756" s="155">
        <f t="shared" ca="1" si="225"/>
        <v>1.1717427735710713</v>
      </c>
    </row>
    <row r="757" spans="3:29">
      <c r="C757" s="152" t="str">
        <f>'Monthly Prices'!A745</f>
        <v>2021M06</v>
      </c>
      <c r="D757" s="153">
        <f t="shared" si="214"/>
        <v>44348</v>
      </c>
      <c r="E757" s="152">
        <f t="shared" si="215"/>
        <v>738</v>
      </c>
      <c r="F757" s="152" t="b">
        <f t="shared" si="209"/>
        <v>1</v>
      </c>
      <c r="G757" s="152" t="b">
        <f t="shared" si="210"/>
        <v>0</v>
      </c>
      <c r="H757" s="152" t="b">
        <f t="shared" si="211"/>
        <v>0</v>
      </c>
      <c r="I757" s="153" t="e">
        <f t="shared" si="212"/>
        <v>#N/A</v>
      </c>
      <c r="J757" s="158">
        <f>INDEX('Monthly Prices'!B745:CB745,$G$4)</f>
        <v>292.55935520000003</v>
      </c>
      <c r="K757" s="158" t="b">
        <f>IF(H757,INDEX('Monthly Prices'!B745:CB745,$G$4)*U757,FALSE)</f>
        <v>0</v>
      </c>
      <c r="L757" s="152" t="b">
        <f t="shared" si="216"/>
        <v>1</v>
      </c>
      <c r="M757" s="158" t="str">
        <f>INDEX('Monthly Prices'!B745:CB745,$G$5)</f>
        <v>...</v>
      </c>
      <c r="N757" s="158" t="b">
        <f>IF(H757,INDEX('Monthly Prices'!B745:CB745,$G$5)*U757,FALSE)</f>
        <v>0</v>
      </c>
      <c r="O757" s="152" t="b">
        <f t="shared" si="213"/>
        <v>0</v>
      </c>
      <c r="P757" s="152">
        <f t="shared" si="217"/>
        <v>2021</v>
      </c>
      <c r="Q757" s="159">
        <f>'Monthly Prices'!B745</f>
        <v>71.803333333330002</v>
      </c>
      <c r="R757" s="159">
        <f t="shared" si="218"/>
        <v>69.070555555554989</v>
      </c>
      <c r="S757" s="155">
        <f>_xlfn.XLOOKUP(P757,'Annual Real'!A:A,'Annual Real'!B:B,0,0)</f>
        <v>68.678530223994798</v>
      </c>
      <c r="T757" s="155">
        <f t="shared" ca="1" si="219"/>
        <v>1.1678257750953742</v>
      </c>
      <c r="U757" s="152">
        <f t="shared" ca="1" si="220"/>
        <v>1.1678257750953742</v>
      </c>
      <c r="V757" s="152" t="b">
        <f t="shared" si="226"/>
        <v>0</v>
      </c>
      <c r="W757" s="152" t="b">
        <f t="shared" si="227"/>
        <v>0</v>
      </c>
      <c r="X757" s="154">
        <f>LOOKUP(D757,'US Implicit Deflator'!A:A,'US Implicit Deflator'!B:B)/100</f>
        <v>4.0999999999999995E-2</v>
      </c>
      <c r="Y757" s="154">
        <f t="shared" si="221"/>
        <v>3.3540948994528197E-3</v>
      </c>
      <c r="Z757" s="165">
        <f t="shared" ca="1" si="222"/>
        <v>5.8474416896238601</v>
      </c>
      <c r="AA757" s="152">
        <f t="shared" si="223"/>
        <v>7</v>
      </c>
      <c r="AB757" s="153">
        <f t="shared" si="224"/>
        <v>44348</v>
      </c>
      <c r="AC757" s="155">
        <f t="shared" ca="1" si="225"/>
        <v>1.1678257750953742</v>
      </c>
    </row>
    <row r="758" spans="3:29">
      <c r="C758" s="152" t="str">
        <f>'Monthly Prices'!A746</f>
        <v>2021M07</v>
      </c>
      <c r="D758" s="153">
        <f t="shared" si="214"/>
        <v>44378</v>
      </c>
      <c r="E758" s="152">
        <f t="shared" si="215"/>
        <v>739</v>
      </c>
      <c r="F758" s="152" t="b">
        <f t="shared" si="209"/>
        <v>1</v>
      </c>
      <c r="G758" s="152" t="b">
        <f t="shared" si="210"/>
        <v>0</v>
      </c>
      <c r="H758" s="152" t="b">
        <f t="shared" si="211"/>
        <v>0</v>
      </c>
      <c r="I758" s="153" t="e">
        <f t="shared" si="212"/>
        <v>#N/A</v>
      </c>
      <c r="J758" s="158">
        <f>INDEX('Monthly Prices'!B746:CB746,$G$4)</f>
        <v>278.43411680000003</v>
      </c>
      <c r="K758" s="158" t="b">
        <f>IF(H758,INDEX('Monthly Prices'!B746:CB746,$G$4)*U758,FALSE)</f>
        <v>0</v>
      </c>
      <c r="L758" s="152" t="b">
        <f t="shared" si="216"/>
        <v>1</v>
      </c>
      <c r="M758" s="158" t="str">
        <f>INDEX('Monthly Prices'!B746:CB746,$G$5)</f>
        <v>...</v>
      </c>
      <c r="N758" s="158" t="b">
        <f>IF(H758,INDEX('Monthly Prices'!B746:CB746,$G$5)*U758,FALSE)</f>
        <v>0</v>
      </c>
      <c r="O758" s="152" t="b">
        <f t="shared" si="213"/>
        <v>0</v>
      </c>
      <c r="P758" s="152">
        <f t="shared" si="217"/>
        <v>2021</v>
      </c>
      <c r="Q758" s="159">
        <f>'Monthly Prices'!B746</f>
        <v>73.283333333330006</v>
      </c>
      <c r="R758" s="159">
        <f t="shared" si="218"/>
        <v>69.070555555554989</v>
      </c>
      <c r="S758" s="155">
        <f>_xlfn.XLOOKUP(P758,'Annual Real'!A:A,'Annual Real'!B:B,0,0)</f>
        <v>68.678530223994798</v>
      </c>
      <c r="T758" s="155">
        <f t="shared" ca="1" si="219"/>
        <v>1.1636427860030789</v>
      </c>
      <c r="U758" s="152">
        <f t="shared" ca="1" si="220"/>
        <v>1.1636427860030789</v>
      </c>
      <c r="V758" s="152" t="b">
        <f t="shared" si="226"/>
        <v>0</v>
      </c>
      <c r="W758" s="152" t="b">
        <f t="shared" si="227"/>
        <v>0</v>
      </c>
      <c r="X758" s="154">
        <f>LOOKUP(D758,'US Implicit Deflator'!A:A,'US Implicit Deflator'!B:B)/100</f>
        <v>4.4000000000000004E-2</v>
      </c>
      <c r="Y758" s="154">
        <f t="shared" si="221"/>
        <v>3.5947364110451296E-3</v>
      </c>
      <c r="Z758" s="165">
        <f t="shared" ca="1" si="222"/>
        <v>5.8684617011770142</v>
      </c>
      <c r="AA758" s="152">
        <f t="shared" si="223"/>
        <v>7</v>
      </c>
      <c r="AB758" s="153">
        <f t="shared" si="224"/>
        <v>44378</v>
      </c>
      <c r="AC758" s="155">
        <f t="shared" ca="1" si="225"/>
        <v>1.1636427860030789</v>
      </c>
    </row>
    <row r="759" spans="3:29">
      <c r="C759" s="152" t="str">
        <f>'Monthly Prices'!A747</f>
        <v>2021M08</v>
      </c>
      <c r="D759" s="153">
        <f t="shared" si="214"/>
        <v>44409</v>
      </c>
      <c r="E759" s="152">
        <f t="shared" si="215"/>
        <v>740</v>
      </c>
      <c r="F759" s="152" t="b">
        <f t="shared" si="209"/>
        <v>1</v>
      </c>
      <c r="G759" s="152" t="b">
        <f t="shared" si="210"/>
        <v>0</v>
      </c>
      <c r="H759" s="152" t="b">
        <f t="shared" si="211"/>
        <v>0</v>
      </c>
      <c r="I759" s="153" t="e">
        <f t="shared" si="212"/>
        <v>#N/A</v>
      </c>
      <c r="J759" s="158">
        <f>INDEX('Monthly Prices'!B747:CB747,$G$4)</f>
        <v>256.61243439999998</v>
      </c>
      <c r="K759" s="158" t="b">
        <f>IF(H759,INDEX('Monthly Prices'!B747:CB747,$G$4)*U759,FALSE)</f>
        <v>0</v>
      </c>
      <c r="L759" s="152" t="b">
        <f t="shared" si="216"/>
        <v>1</v>
      </c>
      <c r="M759" s="158" t="str">
        <f>INDEX('Monthly Prices'!B747:CB747,$G$5)</f>
        <v>...</v>
      </c>
      <c r="N759" s="158" t="b">
        <f>IF(H759,INDEX('Monthly Prices'!B747:CB747,$G$5)*U759,FALSE)</f>
        <v>0</v>
      </c>
      <c r="O759" s="152" t="b">
        <f t="shared" si="213"/>
        <v>0</v>
      </c>
      <c r="P759" s="152">
        <f t="shared" si="217"/>
        <v>2021</v>
      </c>
      <c r="Q759" s="159">
        <f>'Monthly Prices'!B747</f>
        <v>68.86666666667</v>
      </c>
      <c r="R759" s="159">
        <f t="shared" si="218"/>
        <v>69.070555555554989</v>
      </c>
      <c r="S759" s="155">
        <f>_xlfn.XLOOKUP(P759,'Annual Real'!A:A,'Annual Real'!B:B,0,0)</f>
        <v>68.678530223994798</v>
      </c>
      <c r="T759" s="155">
        <f t="shared" ca="1" si="219"/>
        <v>1.1594747797944633</v>
      </c>
      <c r="U759" s="152">
        <f t="shared" ca="1" si="220"/>
        <v>1.1594747797944633</v>
      </c>
      <c r="V759" s="152" t="b">
        <f t="shared" si="226"/>
        <v>0</v>
      </c>
      <c r="W759" s="152" t="b">
        <f t="shared" si="227"/>
        <v>0</v>
      </c>
      <c r="X759" s="154">
        <f>LOOKUP(D759,'US Implicit Deflator'!A:A,'US Implicit Deflator'!B:B)/100</f>
        <v>4.4000000000000004E-2</v>
      </c>
      <c r="Y759" s="154">
        <f t="shared" si="221"/>
        <v>3.5947364110451296E-3</v>
      </c>
      <c r="Z759" s="165">
        <f t="shared" ca="1" si="222"/>
        <v>5.8895572741310591</v>
      </c>
      <c r="AA759" s="152">
        <f t="shared" si="223"/>
        <v>7</v>
      </c>
      <c r="AB759" s="153">
        <f t="shared" si="224"/>
        <v>44409</v>
      </c>
      <c r="AC759" s="155">
        <f t="shared" ca="1" si="225"/>
        <v>1.1594747797944633</v>
      </c>
    </row>
    <row r="760" spans="3:29">
      <c r="C760" s="152" t="str">
        <f>'Monthly Prices'!A748</f>
        <v>2021M09</v>
      </c>
      <c r="D760" s="153">
        <f t="shared" si="214"/>
        <v>44440</v>
      </c>
      <c r="E760" s="152">
        <f t="shared" si="215"/>
        <v>741</v>
      </c>
      <c r="F760" s="152" t="b">
        <f t="shared" si="209"/>
        <v>1</v>
      </c>
      <c r="G760" s="152" t="b">
        <f t="shared" si="210"/>
        <v>0</v>
      </c>
      <c r="H760" s="152" t="b">
        <f t="shared" si="211"/>
        <v>0</v>
      </c>
      <c r="I760" s="153" t="e">
        <f t="shared" si="212"/>
        <v>#N/A</v>
      </c>
      <c r="J760" s="158">
        <f>INDEX('Monthly Prices'!B748:CB748,$G$4)</f>
        <v>235.61748</v>
      </c>
      <c r="K760" s="158" t="b">
        <f>IF(H760,INDEX('Monthly Prices'!B748:CB748,$G$4)*U760,FALSE)</f>
        <v>0</v>
      </c>
      <c r="L760" s="152" t="b">
        <f t="shared" si="216"/>
        <v>1</v>
      </c>
      <c r="M760" s="158" t="str">
        <f>INDEX('Monthly Prices'!B748:CB748,$G$5)</f>
        <v>...</v>
      </c>
      <c r="N760" s="158" t="b">
        <f>IF(H760,INDEX('Monthly Prices'!B748:CB748,$G$5)*U760,FALSE)</f>
        <v>0</v>
      </c>
      <c r="O760" s="152" t="b">
        <f t="shared" si="213"/>
        <v>0</v>
      </c>
      <c r="P760" s="152">
        <f t="shared" si="217"/>
        <v>2021</v>
      </c>
      <c r="Q760" s="159">
        <f>'Monthly Prices'!B748</f>
        <v>72.8</v>
      </c>
      <c r="R760" s="159">
        <f t="shared" si="218"/>
        <v>69.070555555554989</v>
      </c>
      <c r="S760" s="155">
        <f>_xlfn.XLOOKUP(P760,'Annual Real'!A:A,'Annual Real'!B:B,0,0)</f>
        <v>68.678530223994798</v>
      </c>
      <c r="T760" s="155">
        <f t="shared" ca="1" si="219"/>
        <v>1.155321702802927</v>
      </c>
      <c r="U760" s="152">
        <f t="shared" ca="1" si="220"/>
        <v>1.155321702802927</v>
      </c>
      <c r="V760" s="152" t="b">
        <f t="shared" si="226"/>
        <v>0</v>
      </c>
      <c r="W760" s="152" t="b">
        <f t="shared" si="227"/>
        <v>0</v>
      </c>
      <c r="X760" s="154">
        <f>LOOKUP(D760,'US Implicit Deflator'!A:A,'US Implicit Deflator'!B:B)/100</f>
        <v>4.4000000000000004E-2</v>
      </c>
      <c r="Y760" s="154">
        <f t="shared" si="221"/>
        <v>3.5947364110451296E-3</v>
      </c>
      <c r="Z760" s="165">
        <f t="shared" ca="1" si="222"/>
        <v>5.9107286801093135</v>
      </c>
      <c r="AA760" s="152">
        <f t="shared" si="223"/>
        <v>7</v>
      </c>
      <c r="AB760" s="153">
        <f t="shared" si="224"/>
        <v>44440</v>
      </c>
      <c r="AC760" s="155">
        <f t="shared" ca="1" si="225"/>
        <v>1.155321702802927</v>
      </c>
    </row>
    <row r="761" spans="3:29">
      <c r="C761" s="152" t="str">
        <f>'Monthly Prices'!A749</f>
        <v>2021M10</v>
      </c>
      <c r="D761" s="153">
        <f t="shared" si="214"/>
        <v>44470</v>
      </c>
      <c r="E761" s="152">
        <f t="shared" si="215"/>
        <v>742</v>
      </c>
      <c r="F761" s="152" t="b">
        <f t="shared" si="209"/>
        <v>1</v>
      </c>
      <c r="G761" s="152" t="b">
        <f t="shared" si="210"/>
        <v>0</v>
      </c>
      <c r="H761" s="152" t="b">
        <f t="shared" si="211"/>
        <v>0</v>
      </c>
      <c r="I761" s="153" t="e">
        <f t="shared" si="212"/>
        <v>#N/A</v>
      </c>
      <c r="J761" s="158">
        <f>INDEX('Monthly Prices'!B749:CB749,$G$4)</f>
        <v>239.64876319999999</v>
      </c>
      <c r="K761" s="158" t="b">
        <f>IF(H761,INDEX('Monthly Prices'!B749:CB749,$G$4)*U761,FALSE)</f>
        <v>0</v>
      </c>
      <c r="L761" s="152" t="b">
        <f t="shared" si="216"/>
        <v>1</v>
      </c>
      <c r="M761" s="158" t="str">
        <f>INDEX('Monthly Prices'!B749:CB749,$G$5)</f>
        <v>...</v>
      </c>
      <c r="N761" s="158" t="b">
        <f>IF(H761,INDEX('Monthly Prices'!B749:CB749,$G$5)*U761,FALSE)</f>
        <v>0</v>
      </c>
      <c r="O761" s="152" t="b">
        <f t="shared" si="213"/>
        <v>0</v>
      </c>
      <c r="P761" s="152">
        <f t="shared" si="217"/>
        <v>2021</v>
      </c>
      <c r="Q761" s="159">
        <f>'Monthly Prices'!B749</f>
        <v>82.063333333329993</v>
      </c>
      <c r="R761" s="159">
        <f t="shared" si="218"/>
        <v>69.070555555554989</v>
      </c>
      <c r="S761" s="155">
        <f>_xlfn.XLOOKUP(P761,'Annual Real'!A:A,'Annual Real'!B:B,0,0)</f>
        <v>68.678530223994798</v>
      </c>
      <c r="T761" s="155">
        <f t="shared" ca="1" si="219"/>
        <v>1.1496350154385717</v>
      </c>
      <c r="U761" s="152">
        <f t="shared" ca="1" si="220"/>
        <v>1.1496350154385717</v>
      </c>
      <c r="V761" s="152" t="b">
        <f t="shared" si="226"/>
        <v>0</v>
      </c>
      <c r="W761" s="152" t="b">
        <f t="shared" si="227"/>
        <v>0</v>
      </c>
      <c r="X761" s="154">
        <f>LOOKUP(D761,'US Implicit Deflator'!A:A,'US Implicit Deflator'!B:B)/100</f>
        <v>6.0999999999999999E-2</v>
      </c>
      <c r="Y761" s="154">
        <f t="shared" si="221"/>
        <v>4.946515448805977E-3</v>
      </c>
      <c r="Z761" s="165">
        <f t="shared" ca="1" si="222"/>
        <v>5.9399661908391748</v>
      </c>
      <c r="AA761" s="152">
        <f t="shared" si="223"/>
        <v>7</v>
      </c>
      <c r="AB761" s="153">
        <f t="shared" si="224"/>
        <v>44470</v>
      </c>
      <c r="AC761" s="155">
        <f t="shared" ca="1" si="225"/>
        <v>1.1496350154385717</v>
      </c>
    </row>
    <row r="762" spans="3:29">
      <c r="C762" s="152" t="str">
        <f>'Monthly Prices'!A750</f>
        <v>2021M11</v>
      </c>
      <c r="D762" s="153">
        <f t="shared" si="214"/>
        <v>44501</v>
      </c>
      <c r="E762" s="152">
        <f t="shared" si="215"/>
        <v>743</v>
      </c>
      <c r="F762" s="152" t="b">
        <f t="shared" si="209"/>
        <v>1</v>
      </c>
      <c r="G762" s="152" t="b">
        <f t="shared" si="210"/>
        <v>0</v>
      </c>
      <c r="H762" s="152" t="b">
        <f t="shared" si="211"/>
        <v>0</v>
      </c>
      <c r="I762" s="153" t="e">
        <f t="shared" si="212"/>
        <v>#N/A</v>
      </c>
      <c r="J762" s="158">
        <f>INDEX('Monthly Prices'!B750:CB750,$G$4)</f>
        <v>248.71915039999999</v>
      </c>
      <c r="K762" s="158" t="b">
        <f>IF(H762,INDEX('Monthly Prices'!B750:CB750,$G$4)*U762,FALSE)</f>
        <v>0</v>
      </c>
      <c r="L762" s="152" t="b">
        <f t="shared" si="216"/>
        <v>1</v>
      </c>
      <c r="M762" s="158" t="str">
        <f>INDEX('Monthly Prices'!B750:CB750,$G$5)</f>
        <v>...</v>
      </c>
      <c r="N762" s="158" t="b">
        <f>IF(H762,INDEX('Monthly Prices'!B750:CB750,$G$5)*U762,FALSE)</f>
        <v>0</v>
      </c>
      <c r="O762" s="152" t="b">
        <f t="shared" si="213"/>
        <v>0</v>
      </c>
      <c r="P762" s="152">
        <f t="shared" si="217"/>
        <v>2021</v>
      </c>
      <c r="Q762" s="159">
        <f>'Monthly Prices'!B750</f>
        <v>79.916666666669997</v>
      </c>
      <c r="R762" s="159">
        <f t="shared" si="218"/>
        <v>69.070555555554989</v>
      </c>
      <c r="S762" s="155">
        <f>_xlfn.XLOOKUP(P762,'Annual Real'!A:A,'Annual Real'!B:B,0,0)</f>
        <v>68.678530223994798</v>
      </c>
      <c r="T762" s="155">
        <f t="shared" ca="1" si="219"/>
        <v>1.1439763189040446</v>
      </c>
      <c r="U762" s="152">
        <f t="shared" ca="1" si="220"/>
        <v>1.1439763189040446</v>
      </c>
      <c r="V762" s="152" t="b">
        <f t="shared" si="226"/>
        <v>0</v>
      </c>
      <c r="W762" s="152" t="b">
        <f t="shared" si="227"/>
        <v>0</v>
      </c>
      <c r="X762" s="154">
        <f>LOOKUP(D762,'US Implicit Deflator'!A:A,'US Implicit Deflator'!B:B)/100</f>
        <v>6.0999999999999999E-2</v>
      </c>
      <c r="Y762" s="154">
        <f t="shared" si="221"/>
        <v>4.946515448805977E-3</v>
      </c>
      <c r="Z762" s="165">
        <f t="shared" ca="1" si="222"/>
        <v>5.9693483253675463</v>
      </c>
      <c r="AA762" s="152">
        <f t="shared" si="223"/>
        <v>7</v>
      </c>
      <c r="AB762" s="153">
        <f t="shared" si="224"/>
        <v>44501</v>
      </c>
      <c r="AC762" s="155">
        <f t="shared" ca="1" si="225"/>
        <v>1.1439763189040446</v>
      </c>
    </row>
    <row r="763" spans="3:29">
      <c r="C763" s="152" t="str">
        <f>'Monthly Prices'!A751</f>
        <v>2021M12</v>
      </c>
      <c r="D763" s="153">
        <f t="shared" si="214"/>
        <v>44531</v>
      </c>
      <c r="E763" s="152">
        <f t="shared" si="215"/>
        <v>744</v>
      </c>
      <c r="F763" s="152" t="b">
        <f t="shared" si="209"/>
        <v>1</v>
      </c>
      <c r="G763" s="152" t="b">
        <f t="shared" si="210"/>
        <v>0</v>
      </c>
      <c r="H763" s="152" t="b">
        <f t="shared" si="211"/>
        <v>0</v>
      </c>
      <c r="I763" s="153" t="e">
        <f t="shared" si="212"/>
        <v>#N/A</v>
      </c>
      <c r="J763" s="158">
        <f>INDEX('Monthly Prices'!B751:CB751,$G$4)</f>
        <v>264.53721280000002</v>
      </c>
      <c r="K763" s="158" t="b">
        <f>IF(H763,INDEX('Monthly Prices'!B751:CB751,$G$4)*U763,FALSE)</f>
        <v>0</v>
      </c>
      <c r="L763" s="152" t="b">
        <f t="shared" si="216"/>
        <v>1</v>
      </c>
      <c r="M763" s="158" t="str">
        <f>INDEX('Monthly Prices'!B751:CB751,$G$5)</f>
        <v>...</v>
      </c>
      <c r="N763" s="158" t="b">
        <f>IF(H763,INDEX('Monthly Prices'!B751:CB751,$G$5)*U763,FALSE)</f>
        <v>0</v>
      </c>
      <c r="O763" s="152" t="b">
        <f t="shared" si="213"/>
        <v>0</v>
      </c>
      <c r="P763" s="152">
        <f t="shared" si="217"/>
        <v>2021</v>
      </c>
      <c r="Q763" s="159">
        <f>'Monthly Prices'!B751</f>
        <v>72.86666666667</v>
      </c>
      <c r="R763" s="159">
        <f t="shared" si="218"/>
        <v>69.070555555554989</v>
      </c>
      <c r="S763" s="155">
        <f>_xlfn.XLOOKUP(P763,'Annual Real'!A:A,'Annual Real'!B:B,0,0)</f>
        <v>68.678530223994798</v>
      </c>
      <c r="T763" s="155">
        <f t="shared" ca="1" si="219"/>
        <v>1.1383454754237825</v>
      </c>
      <c r="U763" s="152">
        <f t="shared" ca="1" si="220"/>
        <v>1.1383454754237825</v>
      </c>
      <c r="V763" s="152" t="b">
        <f t="shared" si="226"/>
        <v>0</v>
      </c>
      <c r="W763" s="152" t="b">
        <f t="shared" si="227"/>
        <v>0</v>
      </c>
      <c r="X763" s="154">
        <f>LOOKUP(D763,'US Implicit Deflator'!A:A,'US Implicit Deflator'!B:B)/100</f>
        <v>6.0999999999999999E-2</v>
      </c>
      <c r="Y763" s="154">
        <f t="shared" si="221"/>
        <v>4.946515448805977E-3</v>
      </c>
      <c r="Z763" s="165">
        <f t="shared" ca="1" si="222"/>
        <v>5.9988757990782808</v>
      </c>
      <c r="AA763" s="152">
        <f t="shared" si="223"/>
        <v>7</v>
      </c>
      <c r="AB763" s="153">
        <f t="shared" si="224"/>
        <v>44531</v>
      </c>
      <c r="AC763" s="155">
        <f t="shared" ca="1" si="225"/>
        <v>1.1383454754237825</v>
      </c>
    </row>
    <row r="764" spans="3:29">
      <c r="C764" s="152" t="str">
        <f>'Monthly Prices'!A752</f>
        <v>2022M01</v>
      </c>
      <c r="D764" s="153">
        <f t="shared" si="214"/>
        <v>44562</v>
      </c>
      <c r="E764" s="152">
        <f t="shared" si="215"/>
        <v>745</v>
      </c>
      <c r="F764" s="152" t="b">
        <f t="shared" si="209"/>
        <v>1</v>
      </c>
      <c r="G764" s="152" t="b">
        <f t="shared" si="210"/>
        <v>0</v>
      </c>
      <c r="H764" s="152" t="b">
        <f t="shared" si="211"/>
        <v>0</v>
      </c>
      <c r="I764" s="153" t="e">
        <f t="shared" si="212"/>
        <v>#N/A</v>
      </c>
      <c r="J764" s="158">
        <f>INDEX('Monthly Prices'!B752:CB752,$G$4)</f>
        <v>276.62318879999998</v>
      </c>
      <c r="K764" s="158" t="b">
        <f>IF(H764,INDEX('Monthly Prices'!B752:CB752,$G$4)*U764,FALSE)</f>
        <v>0</v>
      </c>
      <c r="L764" s="152" t="b">
        <f t="shared" si="216"/>
        <v>1</v>
      </c>
      <c r="M764" s="158" t="str">
        <f>INDEX('Monthly Prices'!B752:CB752,$G$5)</f>
        <v>...</v>
      </c>
      <c r="N764" s="158" t="b">
        <f>IF(H764,INDEX('Monthly Prices'!B752:CB752,$G$5)*U764,FALSE)</f>
        <v>0</v>
      </c>
      <c r="O764" s="152" t="b">
        <f t="shared" si="213"/>
        <v>0</v>
      </c>
      <c r="P764" s="152">
        <f t="shared" si="217"/>
        <v>2022</v>
      </c>
      <c r="Q764" s="159">
        <f>'Monthly Prices'!B752</f>
        <v>83.92</v>
      </c>
      <c r="R764" s="159">
        <f t="shared" si="218"/>
        <v>97.101388888889161</v>
      </c>
      <c r="S764" s="155">
        <f>_xlfn.XLOOKUP(P764,'Annual Real'!A:A,'Annual Real'!B:B,0,0)</f>
        <v>0</v>
      </c>
      <c r="T764" s="155">
        <f t="shared" ca="1" si="219"/>
        <v>1.1319452921712572</v>
      </c>
      <c r="U764" s="152">
        <f t="shared" ca="1" si="220"/>
        <v>1.1319452921712572</v>
      </c>
      <c r="V764" s="152" t="b">
        <f t="shared" si="226"/>
        <v>0</v>
      </c>
      <c r="W764" s="152" t="b">
        <f t="shared" si="227"/>
        <v>0</v>
      </c>
      <c r="X764" s="154">
        <f>LOOKUP(D764,'US Implicit Deflator'!A:A,'US Implicit Deflator'!B:B)/100</f>
        <v>7.0000000000000007E-2</v>
      </c>
      <c r="Y764" s="154">
        <f t="shared" si="221"/>
        <v>5.6541453874052738E-3</v>
      </c>
      <c r="Z764" s="165">
        <f t="shared" ca="1" si="222"/>
        <v>6.0327943150072567</v>
      </c>
      <c r="AA764" s="152">
        <f t="shared" si="223"/>
        <v>7</v>
      </c>
      <c r="AB764" s="153">
        <f t="shared" si="224"/>
        <v>44562</v>
      </c>
      <c r="AC764" s="155">
        <f t="shared" ca="1" si="225"/>
        <v>1.1319452921712572</v>
      </c>
    </row>
    <row r="765" spans="3:29">
      <c r="C765" s="152" t="str">
        <f>'Monthly Prices'!A753</f>
        <v>2022M02</v>
      </c>
      <c r="D765" s="153">
        <f t="shared" si="214"/>
        <v>44593</v>
      </c>
      <c r="E765" s="152">
        <f t="shared" si="215"/>
        <v>746</v>
      </c>
      <c r="F765" s="152" t="b">
        <f t="shared" si="209"/>
        <v>1</v>
      </c>
      <c r="G765" s="152" t="b">
        <f t="shared" si="210"/>
        <v>0</v>
      </c>
      <c r="H765" s="152" t="b">
        <f t="shared" si="211"/>
        <v>0</v>
      </c>
      <c r="I765" s="153" t="e">
        <f t="shared" si="212"/>
        <v>#N/A</v>
      </c>
      <c r="J765" s="158">
        <f>INDEX('Monthly Prices'!B753:CB753,$G$4)</f>
        <v>292.622344</v>
      </c>
      <c r="K765" s="158" t="b">
        <f>IF(H765,INDEX('Monthly Prices'!B753:CB753,$G$4)*U765,FALSE)</f>
        <v>0</v>
      </c>
      <c r="L765" s="152" t="b">
        <f t="shared" si="216"/>
        <v>1</v>
      </c>
      <c r="M765" s="158" t="str">
        <f>INDEX('Monthly Prices'!B753:CB753,$G$5)</f>
        <v>...</v>
      </c>
      <c r="N765" s="158" t="b">
        <f>IF(H765,INDEX('Monthly Prices'!B753:CB753,$G$5)*U765,FALSE)</f>
        <v>0</v>
      </c>
      <c r="O765" s="152" t="b">
        <f t="shared" si="213"/>
        <v>0</v>
      </c>
      <c r="P765" s="152">
        <f t="shared" si="217"/>
        <v>2022</v>
      </c>
      <c r="Q765" s="159">
        <f>'Monthly Prices'!B753</f>
        <v>93.543333333329997</v>
      </c>
      <c r="R765" s="159">
        <f t="shared" si="218"/>
        <v>97.101388888889161</v>
      </c>
      <c r="S765" s="155">
        <f>_xlfn.XLOOKUP(P765,'Annual Real'!A:A,'Annual Real'!B:B,0,0)</f>
        <v>0</v>
      </c>
      <c r="T765" s="155">
        <f t="shared" ca="1" si="219"/>
        <v>1.125581093025974</v>
      </c>
      <c r="U765" s="152">
        <f t="shared" ca="1" si="220"/>
        <v>1.125581093025974</v>
      </c>
      <c r="V765" s="152" t="b">
        <f t="shared" si="226"/>
        <v>0</v>
      </c>
      <c r="W765" s="152" t="b">
        <f t="shared" si="227"/>
        <v>0</v>
      </c>
      <c r="X765" s="154">
        <f>LOOKUP(D765,'US Implicit Deflator'!A:A,'US Implicit Deflator'!B:B)/100</f>
        <v>7.0000000000000007E-2</v>
      </c>
      <c r="Y765" s="154">
        <f t="shared" si="221"/>
        <v>5.6541453874052738E-3</v>
      </c>
      <c r="Z765" s="165">
        <f t="shared" ca="1" si="222"/>
        <v>6.0669046111566196</v>
      </c>
      <c r="AA765" s="152">
        <f t="shared" si="223"/>
        <v>7</v>
      </c>
      <c r="AB765" s="153">
        <f t="shared" si="224"/>
        <v>44593</v>
      </c>
      <c r="AC765" s="155">
        <f t="shared" ca="1" si="225"/>
        <v>1.125581093025974</v>
      </c>
    </row>
    <row r="766" spans="3:29">
      <c r="C766" s="152" t="str">
        <f>'Monthly Prices'!A754</f>
        <v>2022M03</v>
      </c>
      <c r="D766" s="153">
        <f t="shared" si="214"/>
        <v>44621</v>
      </c>
      <c r="E766" s="152">
        <f t="shared" si="215"/>
        <v>747</v>
      </c>
      <c r="F766" s="152" t="b">
        <f t="shared" si="209"/>
        <v>1</v>
      </c>
      <c r="G766" s="152" t="b">
        <f t="shared" si="210"/>
        <v>0</v>
      </c>
      <c r="H766" s="152" t="b">
        <f t="shared" si="211"/>
        <v>0</v>
      </c>
      <c r="I766" s="153" t="e">
        <f t="shared" si="212"/>
        <v>#N/A</v>
      </c>
      <c r="J766" s="158">
        <f>INDEX('Monthly Prices'!B754:CB754,$G$4)</f>
        <v>335.52952720000002</v>
      </c>
      <c r="K766" s="158" t="b">
        <f>IF(H766,INDEX('Monthly Prices'!B754:CB754,$G$4)*U766,FALSE)</f>
        <v>0</v>
      </c>
      <c r="L766" s="152" t="b">
        <f t="shared" si="216"/>
        <v>1</v>
      </c>
      <c r="M766" s="158" t="str">
        <f>INDEX('Monthly Prices'!B754:CB754,$G$5)</f>
        <v>...</v>
      </c>
      <c r="N766" s="158" t="b">
        <f>IF(H766,INDEX('Monthly Prices'!B754:CB754,$G$5)*U766,FALSE)</f>
        <v>0</v>
      </c>
      <c r="O766" s="152" t="b">
        <f t="shared" si="213"/>
        <v>0</v>
      </c>
      <c r="P766" s="152">
        <f t="shared" si="217"/>
        <v>2022</v>
      </c>
      <c r="Q766" s="159">
        <f>'Monthly Prices'!B754</f>
        <v>112.39666666667</v>
      </c>
      <c r="R766" s="159">
        <f t="shared" si="218"/>
        <v>97.101388888889161</v>
      </c>
      <c r="S766" s="155">
        <f>_xlfn.XLOOKUP(P766,'Annual Real'!A:A,'Annual Real'!B:B,0,0)</f>
        <v>0</v>
      </c>
      <c r="T766" s="155">
        <f t="shared" ca="1" si="219"/>
        <v>1.1192526756724794</v>
      </c>
      <c r="U766" s="152">
        <f t="shared" ca="1" si="220"/>
        <v>1.1192526756724794</v>
      </c>
      <c r="V766" s="152" t="b">
        <f t="shared" si="226"/>
        <v>0</v>
      </c>
      <c r="W766" s="152" t="b">
        <f t="shared" si="227"/>
        <v>0</v>
      </c>
      <c r="X766" s="154">
        <f>LOOKUP(D766,'US Implicit Deflator'!A:A,'US Implicit Deflator'!B:B)/100</f>
        <v>7.0000000000000007E-2</v>
      </c>
      <c r="Y766" s="154">
        <f t="shared" si="221"/>
        <v>5.6541453874052738E-3</v>
      </c>
      <c r="Z766" s="165">
        <f t="shared" ca="1" si="222"/>
        <v>6.1012077718796185</v>
      </c>
      <c r="AA766" s="152">
        <f t="shared" si="223"/>
        <v>7</v>
      </c>
      <c r="AB766" s="153">
        <f t="shared" si="224"/>
        <v>44621</v>
      </c>
      <c r="AC766" s="155">
        <f t="shared" ca="1" si="225"/>
        <v>1.1192526756724794</v>
      </c>
    </row>
    <row r="767" spans="3:29">
      <c r="C767" s="152" t="str">
        <f>'Monthly Prices'!A755</f>
        <v>2022M04</v>
      </c>
      <c r="D767" s="153">
        <f t="shared" ref="D767:D815" si="228">EDATE(D766,1)</f>
        <v>44652</v>
      </c>
      <c r="E767" s="152">
        <f t="shared" ref="E767:E815" si="229">E766+1</f>
        <v>748</v>
      </c>
      <c r="F767" s="152" t="b">
        <f t="shared" si="209"/>
        <v>1</v>
      </c>
      <c r="G767" s="152" t="b">
        <f t="shared" si="210"/>
        <v>0</v>
      </c>
      <c r="H767" s="152" t="b">
        <f t="shared" ref="H767:H815" si="230">AND(F767:G767)</f>
        <v>0</v>
      </c>
      <c r="I767" s="153" t="e">
        <f t="shared" si="212"/>
        <v>#N/A</v>
      </c>
      <c r="J767" s="158">
        <f>INDEX('Monthly Prices'!B755:CB755,$G$4)</f>
        <v>348.16665519999998</v>
      </c>
      <c r="K767" s="158" t="b">
        <f>IF(H767,INDEX('Monthly Prices'!B755:CB755,$G$4)*U767,FALSE)</f>
        <v>0</v>
      </c>
      <c r="L767" s="152" t="b">
        <f t="shared" ref="L767:L815" si="231">ISNUMBER(J767)</f>
        <v>1</v>
      </c>
      <c r="M767" s="158" t="str">
        <f>INDEX('Monthly Prices'!B755:CB755,$G$5)</f>
        <v>...</v>
      </c>
      <c r="N767" s="158" t="b">
        <f>IF(H767,INDEX('Monthly Prices'!B755:CB755,$G$5)*U767,FALSE)</f>
        <v>0</v>
      </c>
      <c r="O767" s="152" t="b">
        <f t="shared" ref="O767:O815" si="232">AND(ISNUMBER(M767),M767&gt;0)</f>
        <v>0</v>
      </c>
      <c r="P767" s="152">
        <f t="shared" ref="P767:P815" si="233">YEAR(D767)</f>
        <v>2022</v>
      </c>
      <c r="Q767" s="159">
        <f>'Monthly Prices'!B755</f>
        <v>103.41333333333</v>
      </c>
      <c r="R767" s="159">
        <f t="shared" si="218"/>
        <v>97.101388888889161</v>
      </c>
      <c r="S767" s="155">
        <f>_xlfn.XLOOKUP(P767,'Annual Real'!A:A,'Annual Real'!B:B,0,0)</f>
        <v>0</v>
      </c>
      <c r="T767" s="155">
        <f t="shared" ca="1" si="219"/>
        <v>1.1122691998092282</v>
      </c>
      <c r="U767" s="152">
        <f t="shared" ca="1" si="220"/>
        <v>1.1122691998092282</v>
      </c>
      <c r="V767" s="152" t="b">
        <f t="shared" si="226"/>
        <v>0</v>
      </c>
      <c r="W767" s="152" t="b">
        <f t="shared" si="227"/>
        <v>0</v>
      </c>
      <c r="X767" s="154">
        <f>LOOKUP(D767,'US Implicit Deflator'!A:A,'US Implicit Deflator'!B:B)/100</f>
        <v>7.8E-2</v>
      </c>
      <c r="Y767" s="154">
        <f t="shared" si="221"/>
        <v>6.2785842352273136E-3</v>
      </c>
      <c r="Z767" s="165">
        <f t="shared" ca="1" si="222"/>
        <v>6.1395147188119878</v>
      </c>
      <c r="AA767" s="152">
        <f t="shared" si="223"/>
        <v>7</v>
      </c>
      <c r="AB767" s="153">
        <f t="shared" si="224"/>
        <v>44652</v>
      </c>
      <c r="AC767" s="155">
        <f t="shared" ca="1" si="225"/>
        <v>1.1122691998092282</v>
      </c>
    </row>
    <row r="768" spans="3:29">
      <c r="C768" s="152" t="str">
        <f>'Monthly Prices'!A756</f>
        <v>2022M05</v>
      </c>
      <c r="D768" s="153">
        <f t="shared" si="228"/>
        <v>44682</v>
      </c>
      <c r="E768" s="152">
        <f t="shared" si="229"/>
        <v>749</v>
      </c>
      <c r="F768" s="152" t="b">
        <f t="shared" si="209"/>
        <v>1</v>
      </c>
      <c r="G768" s="152" t="b">
        <f t="shared" si="210"/>
        <v>0</v>
      </c>
      <c r="H768" s="152" t="b">
        <f t="shared" si="230"/>
        <v>0</v>
      </c>
      <c r="I768" s="153" t="e">
        <f t="shared" si="212"/>
        <v>#N/A</v>
      </c>
      <c r="J768" s="158">
        <f>INDEX('Monthly Prices'!B756:CB756,$G$4)</f>
        <v>344.84005919999998</v>
      </c>
      <c r="K768" s="158" t="b">
        <f>IF(H768,INDEX('Monthly Prices'!B756:CB756,$G$4)*U768,FALSE)</f>
        <v>0</v>
      </c>
      <c r="L768" s="152" t="b">
        <f t="shared" si="231"/>
        <v>1</v>
      </c>
      <c r="M768" s="158" t="str">
        <f>INDEX('Monthly Prices'!B756:CB756,$G$5)</f>
        <v>...</v>
      </c>
      <c r="N768" s="158" t="b">
        <f>IF(H768,INDEX('Monthly Prices'!B756:CB756,$G$5)*U768,FALSE)</f>
        <v>0</v>
      </c>
      <c r="O768" s="152" t="b">
        <f t="shared" si="232"/>
        <v>0</v>
      </c>
      <c r="P768" s="152">
        <f t="shared" si="233"/>
        <v>2022</v>
      </c>
      <c r="Q768" s="159">
        <f>'Monthly Prices'!B756</f>
        <v>110.09666666667</v>
      </c>
      <c r="R768" s="159">
        <f t="shared" si="218"/>
        <v>97.101388888889161</v>
      </c>
      <c r="S768" s="155">
        <f>_xlfn.XLOOKUP(P768,'Annual Real'!A:A,'Annual Real'!B:B,0,0)</f>
        <v>0</v>
      </c>
      <c r="T768" s="155">
        <f t="shared" ca="1" si="219"/>
        <v>1.1053292967121564</v>
      </c>
      <c r="U768" s="152">
        <f t="shared" ca="1" si="220"/>
        <v>1.1053292967121564</v>
      </c>
      <c r="V768" s="152" t="b">
        <f t="shared" si="226"/>
        <v>0</v>
      </c>
      <c r="W768" s="152" t="b">
        <f t="shared" si="227"/>
        <v>0</v>
      </c>
      <c r="X768" s="154">
        <f>LOOKUP(D768,'US Implicit Deflator'!A:A,'US Implicit Deflator'!B:B)/100</f>
        <v>7.8E-2</v>
      </c>
      <c r="Y768" s="154">
        <f t="shared" si="221"/>
        <v>6.2785842352273136E-3</v>
      </c>
      <c r="Z768" s="165">
        <f t="shared" ca="1" si="222"/>
        <v>6.1780621791374672</v>
      </c>
      <c r="AA768" s="152">
        <f t="shared" si="223"/>
        <v>7</v>
      </c>
      <c r="AB768" s="153">
        <f t="shared" si="224"/>
        <v>44682</v>
      </c>
      <c r="AC768" s="155">
        <f t="shared" ca="1" si="225"/>
        <v>1.1053292967121564</v>
      </c>
    </row>
    <row r="769" spans="3:29">
      <c r="C769" s="152" t="str">
        <f>'Monthly Prices'!A757</f>
        <v>2022M06</v>
      </c>
      <c r="D769" s="153">
        <f t="shared" si="228"/>
        <v>44713</v>
      </c>
      <c r="E769" s="152">
        <f t="shared" si="229"/>
        <v>750</v>
      </c>
      <c r="F769" s="152" t="b">
        <f t="shared" si="209"/>
        <v>1</v>
      </c>
      <c r="G769" s="152" t="b">
        <f t="shared" si="210"/>
        <v>0</v>
      </c>
      <c r="H769" s="152" t="b">
        <f t="shared" si="230"/>
        <v>0</v>
      </c>
      <c r="I769" s="153" t="e">
        <f t="shared" si="212"/>
        <v>#N/A</v>
      </c>
      <c r="J769" s="158">
        <f>INDEX('Monthly Prices'!B757:CB757,$G$4)</f>
        <v>335.71455680000003</v>
      </c>
      <c r="K769" s="158" t="b">
        <f>IF(H769,INDEX('Monthly Prices'!B757:CB757,$G$4)*U769,FALSE)</f>
        <v>0</v>
      </c>
      <c r="L769" s="152" t="b">
        <f t="shared" si="231"/>
        <v>1</v>
      </c>
      <c r="M769" s="158" t="str">
        <f>INDEX('Monthly Prices'!B757:CB757,$G$5)</f>
        <v>...</v>
      </c>
      <c r="N769" s="158" t="b">
        <f>IF(H769,INDEX('Monthly Prices'!B757:CB757,$G$5)*U769,FALSE)</f>
        <v>0</v>
      </c>
      <c r="O769" s="152" t="b">
        <f t="shared" si="232"/>
        <v>0</v>
      </c>
      <c r="P769" s="152">
        <f t="shared" si="233"/>
        <v>2022</v>
      </c>
      <c r="Q769" s="159">
        <f>'Monthly Prices'!B757</f>
        <v>116.8</v>
      </c>
      <c r="R769" s="159">
        <f t="shared" si="218"/>
        <v>97.101388888889161</v>
      </c>
      <c r="S769" s="155">
        <f>_xlfn.XLOOKUP(P769,'Annual Real'!A:A,'Annual Real'!B:B,0,0)</f>
        <v>0</v>
      </c>
      <c r="T769" s="155">
        <f t="shared" ca="1" si="219"/>
        <v>1.0984326945129292</v>
      </c>
      <c r="U769" s="152">
        <f t="shared" ca="1" si="220"/>
        <v>1.0984326945129292</v>
      </c>
      <c r="V769" s="152" t="b">
        <f t="shared" si="226"/>
        <v>0</v>
      </c>
      <c r="W769" s="152" t="b">
        <f t="shared" si="227"/>
        <v>0</v>
      </c>
      <c r="X769" s="154">
        <f>LOOKUP(D769,'US Implicit Deflator'!A:A,'US Implicit Deflator'!B:B)/100</f>
        <v>7.8E-2</v>
      </c>
      <c r="Y769" s="154">
        <f t="shared" si="221"/>
        <v>6.2785842352273136E-3</v>
      </c>
      <c r="Z769" s="165">
        <f t="shared" ca="1" si="222"/>
        <v>6.2168516629396535</v>
      </c>
      <c r="AA769" s="152">
        <f t="shared" si="223"/>
        <v>7</v>
      </c>
      <c r="AB769" s="153">
        <f t="shared" si="224"/>
        <v>44713</v>
      </c>
      <c r="AC769" s="155">
        <f t="shared" ca="1" si="225"/>
        <v>1.0984326945129292</v>
      </c>
    </row>
    <row r="770" spans="3:29">
      <c r="C770" s="152" t="str">
        <f>'Monthly Prices'!A758</f>
        <v>2022M07</v>
      </c>
      <c r="D770" s="153">
        <f t="shared" si="228"/>
        <v>44743</v>
      </c>
      <c r="E770" s="152">
        <f t="shared" si="229"/>
        <v>751</v>
      </c>
      <c r="F770" s="152" t="b">
        <f t="shared" si="209"/>
        <v>1</v>
      </c>
      <c r="G770" s="152" t="b">
        <f t="shared" si="210"/>
        <v>0</v>
      </c>
      <c r="H770" s="152" t="b">
        <f t="shared" si="230"/>
        <v>0</v>
      </c>
      <c r="I770" s="153" t="e">
        <f t="shared" si="212"/>
        <v>#N/A</v>
      </c>
      <c r="J770" s="158">
        <f>INDEX('Monthly Prices'!B758:CB758,$G$4)</f>
        <v>322.96719839999997</v>
      </c>
      <c r="K770" s="158" t="b">
        <f>IF(H770,INDEX('Monthly Prices'!B758:CB758,$G$4)*U770,FALSE)</f>
        <v>0</v>
      </c>
      <c r="L770" s="152" t="b">
        <f t="shared" si="231"/>
        <v>1</v>
      </c>
      <c r="M770" s="158" t="str">
        <f>INDEX('Monthly Prices'!B758:CB758,$G$5)</f>
        <v>...</v>
      </c>
      <c r="N770" s="158" t="b">
        <f>IF(H770,INDEX('Monthly Prices'!B758:CB758,$G$5)*U770,FALSE)</f>
        <v>0</v>
      </c>
      <c r="O770" s="152" t="b">
        <f t="shared" si="232"/>
        <v>0</v>
      </c>
      <c r="P770" s="152">
        <f t="shared" si="233"/>
        <v>2022</v>
      </c>
      <c r="Q770" s="159">
        <f>'Monthly Prices'!B758</f>
        <v>105.08333333333</v>
      </c>
      <c r="R770" s="159">
        <f t="shared" si="218"/>
        <v>97.101388888889161</v>
      </c>
      <c r="S770" s="155">
        <f>_xlfn.XLOOKUP(P770,'Annual Real'!A:A,'Annual Real'!B:B,0,0)</f>
        <v>0</v>
      </c>
      <c r="T770" s="155">
        <f t="shared" ca="1" si="219"/>
        <v>1.0915791230395102</v>
      </c>
      <c r="U770" s="152">
        <f t="shared" ca="1" si="220"/>
        <v>1.0915791230395102</v>
      </c>
      <c r="V770" s="152" t="b">
        <f t="shared" si="226"/>
        <v>0</v>
      </c>
      <c r="W770" s="152" t="b">
        <f t="shared" si="227"/>
        <v>0</v>
      </c>
      <c r="X770" s="154">
        <f>LOOKUP(D770,'US Implicit Deflator'!A:A,'US Implicit Deflator'!B:B)/100</f>
        <v>7.8E-2</v>
      </c>
      <c r="Y770" s="154">
        <f t="shared" si="221"/>
        <v>6.2785842352273136E-3</v>
      </c>
      <c r="Z770" s="165">
        <f t="shared" ca="1" si="222"/>
        <v>6.2558846897833336</v>
      </c>
      <c r="AA770" s="152">
        <f t="shared" si="223"/>
        <v>7</v>
      </c>
      <c r="AB770" s="153">
        <f t="shared" si="224"/>
        <v>44743</v>
      </c>
      <c r="AC770" s="155">
        <f t="shared" ca="1" si="225"/>
        <v>1.0915791230395102</v>
      </c>
    </row>
    <row r="771" spans="3:29">
      <c r="C771" s="152" t="str">
        <f>'Monthly Prices'!A759</f>
        <v>2022M08</v>
      </c>
      <c r="D771" s="153">
        <f t="shared" si="228"/>
        <v>44774</v>
      </c>
      <c r="E771" s="152">
        <f t="shared" si="229"/>
        <v>752</v>
      </c>
      <c r="F771" s="152" t="b">
        <f t="shared" si="209"/>
        <v>1</v>
      </c>
      <c r="G771" s="152" t="b">
        <f t="shared" si="210"/>
        <v>0</v>
      </c>
      <c r="H771" s="152" t="b">
        <f t="shared" si="230"/>
        <v>0</v>
      </c>
      <c r="I771" s="153" t="e">
        <f t="shared" si="212"/>
        <v>#N/A</v>
      </c>
      <c r="J771" s="158">
        <f>INDEX('Monthly Prices'!B759:CB759,$G$4)</f>
        <v>289.8350896</v>
      </c>
      <c r="K771" s="158" t="b">
        <f>IF(H771,INDEX('Monthly Prices'!B759:CB759,$G$4)*U771,FALSE)</f>
        <v>0</v>
      </c>
      <c r="L771" s="152" t="b">
        <f t="shared" si="231"/>
        <v>1</v>
      </c>
      <c r="M771" s="158" t="str">
        <f>INDEX('Monthly Prices'!B759:CB759,$G$5)</f>
        <v>...</v>
      </c>
      <c r="N771" s="158" t="b">
        <f>IF(H771,INDEX('Monthly Prices'!B759:CB759,$G$5)*U771,FALSE)</f>
        <v>0</v>
      </c>
      <c r="O771" s="152" t="b">
        <f t="shared" si="232"/>
        <v>0</v>
      </c>
      <c r="P771" s="152">
        <f t="shared" si="233"/>
        <v>2022</v>
      </c>
      <c r="Q771" s="159">
        <f>'Monthly Prices'!B759</f>
        <v>95.973333333330004</v>
      </c>
      <c r="R771" s="159">
        <f t="shared" si="218"/>
        <v>97.101388888889161</v>
      </c>
      <c r="S771" s="155">
        <f>_xlfn.XLOOKUP(P771,'Annual Real'!A:A,'Annual Real'!B:B,0,0)</f>
        <v>0</v>
      </c>
      <c r="T771" s="155">
        <f t="shared" ca="1" si="219"/>
        <v>1.0847683138055764</v>
      </c>
      <c r="U771" s="152">
        <f t="shared" ca="1" si="220"/>
        <v>1.0847683138055764</v>
      </c>
      <c r="V771" s="152" t="b">
        <f t="shared" si="226"/>
        <v>0</v>
      </c>
      <c r="W771" s="152" t="b">
        <f t="shared" si="227"/>
        <v>0</v>
      </c>
      <c r="X771" s="154">
        <f>LOOKUP(D771,'US Implicit Deflator'!A:A,'US Implicit Deflator'!B:B)/100</f>
        <v>7.8E-2</v>
      </c>
      <c r="Y771" s="154">
        <f t="shared" si="221"/>
        <v>6.2785842352273136E-3</v>
      </c>
      <c r="Z771" s="165">
        <f t="shared" ca="1" si="222"/>
        <v>6.2951627887740074</v>
      </c>
      <c r="AA771" s="152">
        <f t="shared" si="223"/>
        <v>7</v>
      </c>
      <c r="AB771" s="153">
        <f t="shared" si="224"/>
        <v>44774</v>
      </c>
      <c r="AC771" s="155">
        <f t="shared" ca="1" si="225"/>
        <v>1.0847683138055764</v>
      </c>
    </row>
    <row r="772" spans="3:29">
      <c r="C772" s="152" t="str">
        <f>'Monthly Prices'!A760</f>
        <v>2022M09</v>
      </c>
      <c r="D772" s="153">
        <f t="shared" si="228"/>
        <v>44805</v>
      </c>
      <c r="E772" s="152">
        <f t="shared" si="229"/>
        <v>753</v>
      </c>
      <c r="F772" s="152" t="b">
        <f t="shared" si="209"/>
        <v>1</v>
      </c>
      <c r="G772" s="152" t="b">
        <f t="shared" si="210"/>
        <v>0</v>
      </c>
      <c r="H772" s="152" t="b">
        <f t="shared" si="230"/>
        <v>0</v>
      </c>
      <c r="I772" s="153" t="e">
        <f t="shared" si="212"/>
        <v>#N/A</v>
      </c>
      <c r="J772" s="158">
        <f>INDEX('Monthly Prices'!B760:CB760,$G$4)</f>
        <v>312.6567192</v>
      </c>
      <c r="K772" s="158" t="b">
        <f>IF(H772,INDEX('Monthly Prices'!B760:CB760,$G$4)*U772,FALSE)</f>
        <v>0</v>
      </c>
      <c r="L772" s="152" t="b">
        <f t="shared" si="231"/>
        <v>1</v>
      </c>
      <c r="M772" s="158" t="str">
        <f>INDEX('Monthly Prices'!B760:CB760,$G$5)</f>
        <v>...</v>
      </c>
      <c r="N772" s="158" t="b">
        <f>IF(H772,INDEX('Monthly Prices'!B760:CB760,$G$5)*U772,FALSE)</f>
        <v>0</v>
      </c>
      <c r="O772" s="152" t="b">
        <f t="shared" si="232"/>
        <v>0</v>
      </c>
      <c r="P772" s="152">
        <f t="shared" si="233"/>
        <v>2022</v>
      </c>
      <c r="Q772" s="159">
        <f>'Monthly Prices'!B760</f>
        <v>88.22</v>
      </c>
      <c r="R772" s="159">
        <f t="shared" si="218"/>
        <v>97.101388888889161</v>
      </c>
      <c r="S772" s="155">
        <f>_xlfn.XLOOKUP(P772,'Annual Real'!A:A,'Annual Real'!B:B,0,0)</f>
        <v>0</v>
      </c>
      <c r="T772" s="155">
        <f t="shared" ca="1" si="219"/>
        <v>1.0780000000000012</v>
      </c>
      <c r="U772" s="152">
        <f t="shared" ca="1" si="220"/>
        <v>1.0780000000000012</v>
      </c>
      <c r="V772" s="152" t="b">
        <f t="shared" si="226"/>
        <v>0</v>
      </c>
      <c r="W772" s="152" t="b">
        <f t="shared" si="227"/>
        <v>0</v>
      </c>
      <c r="X772" s="154">
        <f>LOOKUP(D772,'US Implicit Deflator'!A:A,'US Implicit Deflator'!B:B)/100</f>
        <v>7.8E-2</v>
      </c>
      <c r="Y772" s="154">
        <f t="shared" si="221"/>
        <v>6.2785842352273136E-3</v>
      </c>
      <c r="Z772" s="165">
        <f t="shared" ca="1" si="222"/>
        <v>6.3346874986177939</v>
      </c>
      <c r="AA772" s="152">
        <f t="shared" si="223"/>
        <v>7</v>
      </c>
      <c r="AB772" s="153">
        <f t="shared" si="224"/>
        <v>44805</v>
      </c>
      <c r="AC772" s="155">
        <f t="shared" ca="1" si="225"/>
        <v>1.0780000000000012</v>
      </c>
    </row>
    <row r="773" spans="3:29">
      <c r="C773" s="152" t="str">
        <f>'Monthly Prices'!A761</f>
        <v>2022M10</v>
      </c>
      <c r="D773" s="153">
        <f t="shared" si="228"/>
        <v>44835</v>
      </c>
      <c r="E773" s="152">
        <f t="shared" si="229"/>
        <v>754</v>
      </c>
      <c r="F773" s="152" t="b">
        <f t="shared" si="209"/>
        <v>1</v>
      </c>
      <c r="G773" s="152" t="b">
        <f t="shared" si="210"/>
        <v>0</v>
      </c>
      <c r="H773" s="152" t="b">
        <f t="shared" si="230"/>
        <v>0</v>
      </c>
      <c r="I773" s="153" t="e">
        <f t="shared" si="212"/>
        <v>#N/A</v>
      </c>
      <c r="J773" s="158">
        <f>INDEX('Monthly Prices'!B761:CB761,$G$4)</f>
        <v>343.55666239999999</v>
      </c>
      <c r="K773" s="158" t="b">
        <f>IF(H773,INDEX('Monthly Prices'!B761:CB761,$G$4)*U773,FALSE)</f>
        <v>0</v>
      </c>
      <c r="L773" s="152" t="b">
        <f t="shared" si="231"/>
        <v>1</v>
      </c>
      <c r="M773" s="158" t="str">
        <f>INDEX('Monthly Prices'!B761:CB761,$G$5)</f>
        <v>...</v>
      </c>
      <c r="N773" s="158" t="b">
        <f>IF(H773,INDEX('Monthly Prices'!B761:CB761,$G$5)*U773,FALSE)</f>
        <v>0</v>
      </c>
      <c r="O773" s="152" t="b">
        <f t="shared" si="232"/>
        <v>0</v>
      </c>
      <c r="P773" s="152">
        <f t="shared" si="233"/>
        <v>2022</v>
      </c>
      <c r="Q773" s="159">
        <f>'Monthly Prices'!B761</f>
        <v>90.326666666669993</v>
      </c>
      <c r="R773" s="159">
        <f t="shared" si="218"/>
        <v>97.101388888889161</v>
      </c>
      <c r="S773" s="155">
        <f>_xlfn.XLOOKUP(P773,'Annual Real'!A:A,'Annual Real'!B:B,0,0)</f>
        <v>0</v>
      </c>
      <c r="T773" s="155">
        <f t="shared" ca="1" si="219"/>
        <v>1.0712739164764022</v>
      </c>
      <c r="U773" s="152">
        <f t="shared" ca="1" si="220"/>
        <v>1.0712739164764022</v>
      </c>
      <c r="V773" s="152" t="b">
        <f t="shared" si="226"/>
        <v>0</v>
      </c>
      <c r="W773" s="152" t="b">
        <f t="shared" si="227"/>
        <v>0</v>
      </c>
      <c r="X773" s="154">
        <f>LOOKUP(D773,'US Implicit Deflator'!A:A,'US Implicit Deflator'!B:B)/100</f>
        <v>7.8E-2</v>
      </c>
      <c r="Y773" s="154">
        <f t="shared" si="221"/>
        <v>6.2785842352273136E-3</v>
      </c>
      <c r="Z773" s="165">
        <f t="shared" ca="1" si="222"/>
        <v>6.3744603676817073</v>
      </c>
      <c r="AA773" s="152">
        <f t="shared" si="223"/>
        <v>7</v>
      </c>
      <c r="AB773" s="153">
        <f t="shared" si="224"/>
        <v>44835</v>
      </c>
      <c r="AC773" s="155">
        <f t="shared" ca="1" si="225"/>
        <v>1.0712739164764022</v>
      </c>
    </row>
    <row r="774" spans="3:29">
      <c r="C774" s="152" t="str">
        <f>'Monthly Prices'!A762</f>
        <v>2022M11</v>
      </c>
      <c r="D774" s="153">
        <f t="shared" si="228"/>
        <v>44866</v>
      </c>
      <c r="E774" s="152">
        <f t="shared" si="229"/>
        <v>755</v>
      </c>
      <c r="F774" s="152" t="b">
        <f t="shared" si="209"/>
        <v>1</v>
      </c>
      <c r="G774" s="152" t="b">
        <f t="shared" si="210"/>
        <v>0</v>
      </c>
      <c r="H774" s="152" t="b">
        <f t="shared" si="230"/>
        <v>0</v>
      </c>
      <c r="I774" s="153" t="e">
        <f t="shared" si="212"/>
        <v>#N/A</v>
      </c>
      <c r="J774" s="158">
        <f>INDEX('Monthly Prices'!B762:CB762,$G$4)</f>
        <v>320.92006240000001</v>
      </c>
      <c r="K774" s="158" t="b">
        <f>IF(H774,INDEX('Monthly Prices'!B762:CB762,$G$4)*U774,FALSE)</f>
        <v>0</v>
      </c>
      <c r="L774" s="152" t="b">
        <f t="shared" si="231"/>
        <v>1</v>
      </c>
      <c r="M774" s="158" t="str">
        <f>INDEX('Monthly Prices'!B762:CB762,$G$5)</f>
        <v>...</v>
      </c>
      <c r="N774" s="158" t="b">
        <f>IF(H774,INDEX('Monthly Prices'!B762:CB762,$G$5)*U774,FALSE)</f>
        <v>0</v>
      </c>
      <c r="O774" s="152" t="b">
        <f t="shared" si="232"/>
        <v>0</v>
      </c>
      <c r="P774" s="152">
        <f t="shared" si="233"/>
        <v>2022</v>
      </c>
      <c r="Q774" s="159">
        <f>'Monthly Prices'!B762</f>
        <v>87.376666666670005</v>
      </c>
      <c r="R774" s="159">
        <f t="shared" si="218"/>
        <v>97.101388888889161</v>
      </c>
      <c r="S774" s="155">
        <f>_xlfn.XLOOKUP(P774,'Annual Real'!A:A,'Annual Real'!B:B,0,0)</f>
        <v>0</v>
      </c>
      <c r="T774" s="155">
        <f t="shared" ca="1" si="219"/>
        <v>1.0645897997427534</v>
      </c>
      <c r="U774" s="152">
        <f t="shared" ca="1" si="220"/>
        <v>1.0645897997427534</v>
      </c>
      <c r="V774" s="152" t="b">
        <f t="shared" si="226"/>
        <v>0</v>
      </c>
      <c r="W774" s="152" t="b">
        <f t="shared" si="227"/>
        <v>0</v>
      </c>
      <c r="X774" s="154">
        <f>LOOKUP(D774,'US Implicit Deflator'!A:A,'US Implicit Deflator'!B:B)/100</f>
        <v>7.8E-2</v>
      </c>
      <c r="Y774" s="154">
        <f t="shared" si="221"/>
        <v>6.2785842352273136E-3</v>
      </c>
      <c r="Z774" s="165">
        <f t="shared" ca="1" si="222"/>
        <v>6.4144829540543151</v>
      </c>
      <c r="AA774" s="152">
        <f t="shared" si="223"/>
        <v>7</v>
      </c>
      <c r="AB774" s="153">
        <f t="shared" si="224"/>
        <v>44866</v>
      </c>
      <c r="AC774" s="155">
        <f t="shared" ca="1" si="225"/>
        <v>1.0645897997427534</v>
      </c>
    </row>
    <row r="775" spans="3:29">
      <c r="C775" s="152" t="str">
        <f>'Monthly Prices'!A763</f>
        <v>2022M12</v>
      </c>
      <c r="D775" s="153">
        <f t="shared" si="228"/>
        <v>44896</v>
      </c>
      <c r="E775" s="152">
        <f t="shared" si="229"/>
        <v>756</v>
      </c>
      <c r="F775" s="152" t="b">
        <f t="shared" si="209"/>
        <v>1</v>
      </c>
      <c r="G775" s="152" t="b">
        <f t="shared" si="210"/>
        <v>0</v>
      </c>
      <c r="H775" s="152" t="b">
        <f t="shared" si="230"/>
        <v>0</v>
      </c>
      <c r="I775" s="153" t="e">
        <f t="shared" si="212"/>
        <v>#N/A</v>
      </c>
      <c r="J775" s="158">
        <f>INDEX('Monthly Prices'!B763:CB763,$G$4)</f>
        <v>302.24781999999999</v>
      </c>
      <c r="K775" s="158" t="b">
        <f>IF(H775,INDEX('Monthly Prices'!B763:CB763,$G$4)*U775,FALSE)</f>
        <v>0</v>
      </c>
      <c r="L775" s="152" t="b">
        <f t="shared" si="231"/>
        <v>1</v>
      </c>
      <c r="M775" s="158" t="str">
        <f>INDEX('Monthly Prices'!B763:CB763,$G$5)</f>
        <v>...</v>
      </c>
      <c r="N775" s="158" t="b">
        <f>IF(H775,INDEX('Monthly Prices'!B763:CB763,$G$5)*U775,FALSE)</f>
        <v>0</v>
      </c>
      <c r="O775" s="152" t="b">
        <f t="shared" si="232"/>
        <v>0</v>
      </c>
      <c r="P775" s="152">
        <f t="shared" si="233"/>
        <v>2022</v>
      </c>
      <c r="Q775" s="159">
        <f>'Monthly Prices'!B763</f>
        <v>78.066666666670002</v>
      </c>
      <c r="R775" s="159">
        <f t="shared" si="218"/>
        <v>97.101388888889161</v>
      </c>
      <c r="S775" s="155">
        <f>_xlfn.XLOOKUP(P775,'Annual Real'!A:A,'Annual Real'!B:B,0,0)</f>
        <v>0</v>
      </c>
      <c r="T775" s="155">
        <f t="shared" ca="1" si="219"/>
        <v>1.0579473879510641</v>
      </c>
      <c r="U775" s="152">
        <f t="shared" ca="1" si="220"/>
        <v>1.0579473879510641</v>
      </c>
      <c r="V775" s="152" t="b">
        <f t="shared" si="226"/>
        <v>0</v>
      </c>
      <c r="W775" s="152" t="b">
        <f t="shared" si="227"/>
        <v>0</v>
      </c>
      <c r="X775" s="154">
        <f>LOOKUP(D775,'US Implicit Deflator'!A:A,'US Implicit Deflator'!B:B)/100</f>
        <v>7.8E-2</v>
      </c>
      <c r="Y775" s="154">
        <f t="shared" si="221"/>
        <v>6.2785842352273136E-3</v>
      </c>
      <c r="Z775" s="165">
        <f t="shared" ca="1" si="222"/>
        <v>6.4547568256067747</v>
      </c>
      <c r="AA775" s="152">
        <f t="shared" si="223"/>
        <v>7</v>
      </c>
      <c r="AB775" s="153">
        <f t="shared" si="224"/>
        <v>44896</v>
      </c>
      <c r="AC775" s="155">
        <f t="shared" ca="1" si="225"/>
        <v>1.0579473879510641</v>
      </c>
    </row>
    <row r="776" spans="3:29">
      <c r="C776" s="152" t="str">
        <f>'Monthly Prices'!A764</f>
        <v>2023M01</v>
      </c>
      <c r="D776" s="153">
        <f t="shared" si="228"/>
        <v>44927</v>
      </c>
      <c r="E776" s="152">
        <f t="shared" si="229"/>
        <v>757</v>
      </c>
      <c r="F776" s="152" t="b">
        <f t="shared" si="209"/>
        <v>1</v>
      </c>
      <c r="G776" s="152" t="b">
        <f t="shared" si="210"/>
        <v>0</v>
      </c>
      <c r="H776" s="152" t="b">
        <f t="shared" si="230"/>
        <v>0</v>
      </c>
      <c r="I776" s="153" t="e">
        <f t="shared" si="212"/>
        <v>#N/A</v>
      </c>
      <c r="J776" s="158">
        <f>INDEX('Monthly Prices'!B764:CB764,$G$4)</f>
        <v>302.77535119999999</v>
      </c>
      <c r="K776" s="158" t="b">
        <f>IF(H776,INDEX('Monthly Prices'!B764:CB764,$G$4)*U776,FALSE)</f>
        <v>0</v>
      </c>
      <c r="L776" s="152" t="b">
        <f t="shared" si="231"/>
        <v>1</v>
      </c>
      <c r="M776" s="158" t="str">
        <f>INDEX('Monthly Prices'!B764:CB764,$G$5)</f>
        <v>...</v>
      </c>
      <c r="N776" s="158" t="b">
        <f>IF(H776,INDEX('Monthly Prices'!B764:CB764,$G$5)*U776,FALSE)</f>
        <v>0</v>
      </c>
      <c r="O776" s="152" t="b">
        <f t="shared" si="232"/>
        <v>0</v>
      </c>
      <c r="P776" s="152">
        <f t="shared" si="233"/>
        <v>2023</v>
      </c>
      <c r="Q776" s="159">
        <f>'Monthly Prices'!B764</f>
        <v>80.41</v>
      </c>
      <c r="R776" s="159">
        <f t="shared" si="218"/>
        <v>60.242583333331659</v>
      </c>
      <c r="S776" s="155">
        <f>_xlfn.XLOOKUP(P776,'Annual Real'!A:A,'Annual Real'!B:B,0,0)</f>
        <v>0</v>
      </c>
      <c r="T776" s="155">
        <f t="shared" ca="1" si="219"/>
        <v>1.0513464208871195</v>
      </c>
      <c r="U776" s="152">
        <f t="shared" ca="1" si="220"/>
        <v>1.0513464208871195</v>
      </c>
      <c r="V776" s="152" t="b">
        <f t="shared" si="226"/>
        <v>0</v>
      </c>
      <c r="W776" s="152" t="b">
        <f t="shared" si="227"/>
        <v>0</v>
      </c>
      <c r="X776" s="154">
        <f>LOOKUP(D776,'US Implicit Deflator'!A:A,'US Implicit Deflator'!B:B)/100</f>
        <v>7.8E-2</v>
      </c>
      <c r="Y776" s="154">
        <f t="shared" si="221"/>
        <v>6.2785842352273136E-3</v>
      </c>
      <c r="Z776" s="165">
        <f t="shared" ca="1" si="222"/>
        <v>6.4952835600542551</v>
      </c>
      <c r="AA776" s="152">
        <f t="shared" si="223"/>
        <v>7</v>
      </c>
      <c r="AB776" s="153">
        <f t="shared" si="224"/>
        <v>44927</v>
      </c>
      <c r="AC776" s="155">
        <f t="shared" ca="1" si="225"/>
        <v>1.0513464208871195</v>
      </c>
    </row>
    <row r="777" spans="3:29">
      <c r="C777" s="152" t="str">
        <f>'Monthly Prices'!A765</f>
        <v>2023M02</v>
      </c>
      <c r="D777" s="153">
        <f t="shared" si="228"/>
        <v>44958</v>
      </c>
      <c r="E777" s="152">
        <f t="shared" si="229"/>
        <v>758</v>
      </c>
      <c r="F777" s="152" t="b">
        <f t="shared" si="209"/>
        <v>1</v>
      </c>
      <c r="G777" s="152" t="b">
        <f t="shared" si="210"/>
        <v>0</v>
      </c>
      <c r="H777" s="152" t="b">
        <f t="shared" si="230"/>
        <v>0</v>
      </c>
      <c r="I777" s="153" t="e">
        <f t="shared" si="212"/>
        <v>#N/A</v>
      </c>
      <c r="J777" s="158">
        <f>INDEX('Monthly Prices'!B765:CB765,$G$4)</f>
        <v>298.1771688</v>
      </c>
      <c r="K777" s="158" t="b">
        <f>IF(H777,INDEX('Monthly Prices'!B765:CB765,$G$4)*U777,FALSE)</f>
        <v>0</v>
      </c>
      <c r="L777" s="152" t="b">
        <f t="shared" si="231"/>
        <v>1</v>
      </c>
      <c r="M777" s="158" t="str">
        <f>INDEX('Monthly Prices'!B765:CB765,$G$5)</f>
        <v>...</v>
      </c>
      <c r="N777" s="158" t="b">
        <f>IF(H777,INDEX('Monthly Prices'!B765:CB765,$G$5)*U777,FALSE)</f>
        <v>0</v>
      </c>
      <c r="O777" s="152" t="b">
        <f t="shared" si="232"/>
        <v>0</v>
      </c>
      <c r="P777" s="152">
        <f t="shared" si="233"/>
        <v>2023</v>
      </c>
      <c r="Q777" s="159">
        <f>'Monthly Prices'!B765</f>
        <v>80.253333333330005</v>
      </c>
      <c r="R777" s="159">
        <f t="shared" si="218"/>
        <v>60.242583333331659</v>
      </c>
      <c r="S777" s="155">
        <f>_xlfn.XLOOKUP(P777,'Annual Real'!A:A,'Annual Real'!B:B,0,0)</f>
        <v>0</v>
      </c>
      <c r="T777" s="155">
        <f t="shared" ca="1" si="219"/>
        <v>1.0447866399602888</v>
      </c>
      <c r="U777" s="152">
        <f t="shared" ca="1" si="220"/>
        <v>1.0447866399602888</v>
      </c>
      <c r="V777" s="152" t="b">
        <f t="shared" si="226"/>
        <v>0</v>
      </c>
      <c r="W777" s="152" t="b">
        <f t="shared" si="227"/>
        <v>0</v>
      </c>
      <c r="X777" s="154">
        <f>LOOKUP(D777,'US Implicit Deflator'!A:A,'US Implicit Deflator'!B:B)/100</f>
        <v>7.8E-2</v>
      </c>
      <c r="Y777" s="154">
        <f t="shared" si="221"/>
        <v>6.2785842352273136E-3</v>
      </c>
      <c r="Z777" s="165">
        <f t="shared" ca="1" si="222"/>
        <v>6.5360647450177431</v>
      </c>
      <c r="AA777" s="152">
        <f t="shared" si="223"/>
        <v>7</v>
      </c>
      <c r="AB777" s="153">
        <f t="shared" si="224"/>
        <v>44958</v>
      </c>
      <c r="AC777" s="155">
        <f t="shared" ca="1" si="225"/>
        <v>1.0447866399602888</v>
      </c>
    </row>
    <row r="778" spans="3:29">
      <c r="C778" s="152" t="str">
        <f>'Monthly Prices'!A766</f>
        <v>2023M03</v>
      </c>
      <c r="D778" s="153">
        <f t="shared" si="228"/>
        <v>44986</v>
      </c>
      <c r="E778" s="152">
        <f t="shared" si="229"/>
        <v>759</v>
      </c>
      <c r="F778" s="152" t="b">
        <f t="shared" si="209"/>
        <v>1</v>
      </c>
      <c r="G778" s="152" t="b">
        <f t="shared" si="210"/>
        <v>0</v>
      </c>
      <c r="H778" s="152" t="b">
        <f t="shared" si="230"/>
        <v>0</v>
      </c>
      <c r="I778" s="153" t="e">
        <f t="shared" si="212"/>
        <v>#N/A</v>
      </c>
      <c r="J778" s="158">
        <f>INDEX('Monthly Prices'!B766:CB766,$G$4)</f>
        <v>282.48902079999999</v>
      </c>
      <c r="K778" s="158" t="b">
        <f>IF(H778,INDEX('Monthly Prices'!B766:CB766,$G$4)*U778,FALSE)</f>
        <v>0</v>
      </c>
      <c r="L778" s="152" t="b">
        <f t="shared" si="231"/>
        <v>1</v>
      </c>
      <c r="M778" s="158" t="str">
        <f>INDEX('Monthly Prices'!B766:CB766,$G$5)</f>
        <v>...</v>
      </c>
      <c r="N778" s="158" t="b">
        <f>IF(H778,INDEX('Monthly Prices'!B766:CB766,$G$5)*U778,FALSE)</f>
        <v>0</v>
      </c>
      <c r="O778" s="152" t="b">
        <f t="shared" si="232"/>
        <v>0</v>
      </c>
      <c r="P778" s="152">
        <f t="shared" si="233"/>
        <v>2023</v>
      </c>
      <c r="Q778" s="159">
        <f>'Monthly Prices'!B766</f>
        <v>76.473333333330004</v>
      </c>
      <c r="R778" s="159">
        <f t="shared" si="218"/>
        <v>60.242583333331659</v>
      </c>
      <c r="S778" s="155">
        <f>_xlfn.XLOOKUP(P778,'Annual Real'!A:A,'Annual Real'!B:B,0,0)</f>
        <v>0</v>
      </c>
      <c r="T778" s="155">
        <f t="shared" ca="1" si="219"/>
        <v>1.0382677881933933</v>
      </c>
      <c r="U778" s="152">
        <f t="shared" ca="1" si="220"/>
        <v>1.0382677881933933</v>
      </c>
      <c r="V778" s="152" t="b">
        <f t="shared" si="226"/>
        <v>0</v>
      </c>
      <c r="W778" s="152" t="b">
        <f t="shared" si="227"/>
        <v>0</v>
      </c>
      <c r="X778" s="154">
        <f>LOOKUP(D778,'US Implicit Deflator'!A:A,'US Implicit Deflator'!B:B)/100</f>
        <v>7.8E-2</v>
      </c>
      <c r="Y778" s="154">
        <f t="shared" si="221"/>
        <v>6.2785842352273136E-3</v>
      </c>
      <c r="Z778" s="165">
        <f t="shared" ca="1" si="222"/>
        <v>6.5771019780862368</v>
      </c>
      <c r="AA778" s="152">
        <f t="shared" si="223"/>
        <v>7</v>
      </c>
      <c r="AB778" s="153">
        <f t="shared" si="224"/>
        <v>44986</v>
      </c>
      <c r="AC778" s="155">
        <f t="shared" ca="1" si="225"/>
        <v>1.0382677881933933</v>
      </c>
    </row>
    <row r="779" spans="3:29">
      <c r="C779" s="152" t="str">
        <f>'Monthly Prices'!A767</f>
        <v>2023M04</v>
      </c>
      <c r="D779" s="153">
        <f t="shared" si="228"/>
        <v>45017</v>
      </c>
      <c r="E779" s="152">
        <f t="shared" si="229"/>
        <v>760</v>
      </c>
      <c r="F779" s="152" t="b">
        <f t="shared" si="209"/>
        <v>1</v>
      </c>
      <c r="G779" s="152" t="b">
        <f t="shared" si="210"/>
        <v>0</v>
      </c>
      <c r="H779" s="152" t="b">
        <f t="shared" si="230"/>
        <v>0</v>
      </c>
      <c r="I779" s="153" t="e">
        <f t="shared" si="212"/>
        <v>#N/A</v>
      </c>
      <c r="J779" s="158">
        <f>INDEX('Monthly Prices'!B767:CB767,$G$4)</f>
        <v>291.11454959999998</v>
      </c>
      <c r="K779" s="158" t="b">
        <f>IF(H779,INDEX('Monthly Prices'!B767:CB767,$G$4)*U779,FALSE)</f>
        <v>0</v>
      </c>
      <c r="L779" s="152" t="b">
        <f t="shared" si="231"/>
        <v>1</v>
      </c>
      <c r="M779" s="158" t="str">
        <f>INDEX('Monthly Prices'!B767:CB767,$G$5)</f>
        <v>...</v>
      </c>
      <c r="N779" s="158" t="b">
        <f>IF(H779,INDEX('Monthly Prices'!B767:CB767,$G$5)*U779,FALSE)</f>
        <v>0</v>
      </c>
      <c r="O779" s="152" t="b">
        <f t="shared" si="232"/>
        <v>0</v>
      </c>
      <c r="P779" s="152">
        <f t="shared" si="233"/>
        <v>2023</v>
      </c>
      <c r="Q779" s="159">
        <f>'Monthly Prices'!B767</f>
        <v>82.46</v>
      </c>
      <c r="R779" s="159">
        <f t="shared" si="218"/>
        <v>60.242583333331659</v>
      </c>
      <c r="S779" s="155">
        <f>_xlfn.XLOOKUP(P779,'Annual Real'!A:A,'Annual Real'!B:B,0,0)</f>
        <v>0</v>
      </c>
      <c r="T779" s="155">
        <f t="shared" ca="1" si="219"/>
        <v>1.0317896102126409</v>
      </c>
      <c r="U779" s="152">
        <f t="shared" ca="1" si="220"/>
        <v>1.0317896102126409</v>
      </c>
      <c r="V779" s="152" t="b">
        <f t="shared" si="226"/>
        <v>0</v>
      </c>
      <c r="W779" s="152" t="b">
        <f t="shared" si="227"/>
        <v>0</v>
      </c>
      <c r="X779" s="154">
        <f>LOOKUP(D779,'US Implicit Deflator'!A:A,'US Implicit Deflator'!B:B)/100</f>
        <v>7.8E-2</v>
      </c>
      <c r="Y779" s="154">
        <f t="shared" si="221"/>
        <v>6.2785842352273136E-3</v>
      </c>
      <c r="Z779" s="165">
        <f t="shared" ca="1" si="222"/>
        <v>6.6183968668793316</v>
      </c>
      <c r="AA779" s="152">
        <f t="shared" si="223"/>
        <v>7</v>
      </c>
      <c r="AB779" s="153">
        <f t="shared" si="224"/>
        <v>45017</v>
      </c>
      <c r="AC779" s="155">
        <f t="shared" ca="1" si="225"/>
        <v>1.0317896102126409</v>
      </c>
    </row>
    <row r="780" spans="3:29">
      <c r="C780" s="152" t="str">
        <f>'Monthly Prices'!A768</f>
        <v>2023M05</v>
      </c>
      <c r="D780" s="153">
        <f t="shared" si="228"/>
        <v>45047</v>
      </c>
      <c r="E780" s="152">
        <f t="shared" si="229"/>
        <v>761</v>
      </c>
      <c r="F780" s="152" t="b">
        <f t="shared" si="209"/>
        <v>1</v>
      </c>
      <c r="G780" s="152" t="b">
        <f t="shared" si="210"/>
        <v>0</v>
      </c>
      <c r="H780" s="152" t="b">
        <f t="shared" si="230"/>
        <v>0</v>
      </c>
      <c r="I780" s="153" t="e">
        <f t="shared" si="212"/>
        <v>#N/A</v>
      </c>
      <c r="J780" s="158">
        <f>INDEX('Monthly Prices'!B768:CB768,$G$4)</f>
        <v>268.135448</v>
      </c>
      <c r="K780" s="158" t="b">
        <f>IF(H780,INDEX('Monthly Prices'!B768:CB768,$G$4)*U780,FALSE)</f>
        <v>0</v>
      </c>
      <c r="L780" s="152" t="b">
        <f t="shared" si="231"/>
        <v>1</v>
      </c>
      <c r="M780" s="158" t="str">
        <f>INDEX('Monthly Prices'!B768:CB768,$G$5)</f>
        <v>...</v>
      </c>
      <c r="N780" s="158" t="b">
        <f>IF(H780,INDEX('Monthly Prices'!B768:CB768,$G$5)*U780,FALSE)</f>
        <v>0</v>
      </c>
      <c r="O780" s="152" t="b">
        <f t="shared" si="232"/>
        <v>0</v>
      </c>
      <c r="P780" s="152">
        <f t="shared" si="233"/>
        <v>2023</v>
      </c>
      <c r="Q780" s="159">
        <f>'Monthly Prices'!B768</f>
        <v>74.123333333329995</v>
      </c>
      <c r="R780" s="159">
        <f t="shared" si="218"/>
        <v>60.242583333331659</v>
      </c>
      <c r="S780" s="155">
        <f>_xlfn.XLOOKUP(P780,'Annual Real'!A:A,'Annual Real'!B:B,0,0)</f>
        <v>0</v>
      </c>
      <c r="T780" s="155">
        <f t="shared" ca="1" si="219"/>
        <v>1.0253518522376206</v>
      </c>
      <c r="U780" s="152">
        <f t="shared" ca="1" si="220"/>
        <v>1.0253518522376206</v>
      </c>
      <c r="V780" s="152" t="b">
        <f t="shared" si="226"/>
        <v>0</v>
      </c>
      <c r="W780" s="152" t="b">
        <f t="shared" si="227"/>
        <v>0</v>
      </c>
      <c r="X780" s="154">
        <f>LOOKUP(D780,'US Implicit Deflator'!A:A,'US Implicit Deflator'!B:B)/100</f>
        <v>7.8E-2</v>
      </c>
      <c r="Y780" s="154">
        <f t="shared" si="221"/>
        <v>6.2785842352273136E-3</v>
      </c>
      <c r="Z780" s="165">
        <f t="shared" ca="1" si="222"/>
        <v>6.6599510291101982</v>
      </c>
      <c r="AA780" s="152">
        <f t="shared" si="223"/>
        <v>7</v>
      </c>
      <c r="AB780" s="153">
        <f t="shared" si="224"/>
        <v>45047</v>
      </c>
      <c r="AC780" s="155">
        <f t="shared" ca="1" si="225"/>
        <v>1.0253518522376206</v>
      </c>
    </row>
    <row r="781" spans="3:29">
      <c r="C781" s="152" t="str">
        <f>'Monthly Prices'!A769</f>
        <v>2023M06</v>
      </c>
      <c r="D781" s="153">
        <f t="shared" si="228"/>
        <v>45078</v>
      </c>
      <c r="E781" s="152">
        <f t="shared" si="229"/>
        <v>762</v>
      </c>
      <c r="F781" s="152" t="b">
        <f t="shared" si="209"/>
        <v>1</v>
      </c>
      <c r="G781" s="152" t="b">
        <f t="shared" si="210"/>
        <v>0</v>
      </c>
      <c r="H781" s="152" t="b">
        <f t="shared" si="230"/>
        <v>0</v>
      </c>
      <c r="I781" s="153" t="e">
        <f t="shared" si="212"/>
        <v>#N/A</v>
      </c>
      <c r="J781" s="158">
        <f>INDEX('Monthly Prices'!B769:CB769,$G$4)</f>
        <v>266.86779840000003</v>
      </c>
      <c r="K781" s="158" t="b">
        <f>IF(H781,INDEX('Monthly Prices'!B769:CB769,$G$4)*U781,FALSE)</f>
        <v>0</v>
      </c>
      <c r="L781" s="152" t="b">
        <f t="shared" si="231"/>
        <v>1</v>
      </c>
      <c r="M781" s="158" t="str">
        <f>INDEX('Monthly Prices'!B769:CB769,$G$5)</f>
        <v>...</v>
      </c>
      <c r="N781" s="158" t="b">
        <f>IF(H781,INDEX('Monthly Prices'!B769:CB769,$G$5)*U781,FALSE)</f>
        <v>0</v>
      </c>
      <c r="O781" s="152" t="b">
        <f t="shared" si="232"/>
        <v>0</v>
      </c>
      <c r="P781" s="152">
        <f t="shared" si="233"/>
        <v>2023</v>
      </c>
      <c r="Q781" s="159">
        <f>'Monthly Prices'!B769</f>
        <v>73.263333333329996</v>
      </c>
      <c r="R781" s="159">
        <f t="shared" si="218"/>
        <v>60.242583333331659</v>
      </c>
      <c r="S781" s="155">
        <f>_xlfn.XLOOKUP(P781,'Annual Real'!A:A,'Annual Real'!B:B,0,0)</f>
        <v>0</v>
      </c>
      <c r="T781" s="155">
        <f t="shared" ca="1" si="219"/>
        <v>1.0189542620713616</v>
      </c>
      <c r="U781" s="152">
        <f t="shared" ca="1" si="220"/>
        <v>1.0189542620713616</v>
      </c>
      <c r="V781" s="152" t="b">
        <f t="shared" si="226"/>
        <v>0</v>
      </c>
      <c r="W781" s="152" t="b">
        <f t="shared" si="227"/>
        <v>0</v>
      </c>
      <c r="X781" s="154">
        <f>LOOKUP(D781,'US Implicit Deflator'!A:A,'US Implicit Deflator'!B:B)/100</f>
        <v>7.8E-2</v>
      </c>
      <c r="Y781" s="154">
        <f t="shared" si="221"/>
        <v>6.2785842352273136E-3</v>
      </c>
      <c r="Z781" s="165">
        <f t="shared" ca="1" si="222"/>
        <v>6.7017660926489553</v>
      </c>
      <c r="AA781" s="152">
        <f t="shared" si="223"/>
        <v>7</v>
      </c>
      <c r="AB781" s="153">
        <f t="shared" si="224"/>
        <v>45078</v>
      </c>
      <c r="AC781" s="155">
        <f t="shared" ca="1" si="225"/>
        <v>1.0189542620713616</v>
      </c>
    </row>
    <row r="782" spans="3:29">
      <c r="C782" s="152" t="str">
        <f>'Monthly Prices'!A770</f>
        <v>2023M07</v>
      </c>
      <c r="D782" s="153">
        <f t="shared" si="228"/>
        <v>45108</v>
      </c>
      <c r="E782" s="152">
        <f t="shared" si="229"/>
        <v>763</v>
      </c>
      <c r="F782" s="152" t="b">
        <f t="shared" si="209"/>
        <v>1</v>
      </c>
      <c r="G782" s="152" t="b">
        <f t="shared" si="210"/>
        <v>0</v>
      </c>
      <c r="H782" s="152" t="b">
        <f t="shared" si="230"/>
        <v>0</v>
      </c>
      <c r="I782" s="153" t="e">
        <f t="shared" si="212"/>
        <v>#N/A</v>
      </c>
      <c r="J782" s="158">
        <f>INDEX('Monthly Prices'!B770:CB770,$G$4)</f>
        <v>242.38483919999999</v>
      </c>
      <c r="K782" s="158" t="b">
        <f>IF(H782,INDEX('Monthly Prices'!B770:CB770,$G$4)*U782,FALSE)</f>
        <v>0</v>
      </c>
      <c r="L782" s="152" t="b">
        <f t="shared" si="231"/>
        <v>1</v>
      </c>
      <c r="M782" s="158" t="str">
        <f>INDEX('Monthly Prices'!B770:CB770,$G$5)</f>
        <v>...</v>
      </c>
      <c r="N782" s="158" t="b">
        <f>IF(H782,INDEX('Monthly Prices'!B770:CB770,$G$5)*U782,FALSE)</f>
        <v>0</v>
      </c>
      <c r="O782" s="152" t="b">
        <f t="shared" si="232"/>
        <v>0</v>
      </c>
      <c r="P782" s="152">
        <f t="shared" si="233"/>
        <v>2023</v>
      </c>
      <c r="Q782" s="159">
        <f>'Monthly Prices'!B770</f>
        <v>78.983333333329995</v>
      </c>
      <c r="R782" s="159">
        <f t="shared" si="218"/>
        <v>60.242583333331659</v>
      </c>
      <c r="S782" s="155">
        <f>_xlfn.XLOOKUP(P782,'Annual Real'!A:A,'Annual Real'!B:B,0,0)</f>
        <v>0</v>
      </c>
      <c r="T782" s="155">
        <f t="shared" ca="1" si="219"/>
        <v>1.0125965890904534</v>
      </c>
      <c r="U782" s="152">
        <f t="shared" ca="1" si="220"/>
        <v>1.0125965890904534</v>
      </c>
      <c r="V782" s="152" t="b">
        <f t="shared" si="226"/>
        <v>0</v>
      </c>
      <c r="W782" s="152" t="b">
        <f t="shared" si="227"/>
        <v>0</v>
      </c>
      <c r="X782" s="154">
        <f>LOOKUP(D782,'US Implicit Deflator'!A:A,'US Implicit Deflator'!B:B)/100</f>
        <v>7.8E-2</v>
      </c>
      <c r="Y782" s="154">
        <f t="shared" si="221"/>
        <v>6.2785842352273136E-3</v>
      </c>
      <c r="Z782" s="165">
        <f t="shared" ca="1" si="222"/>
        <v>6.7438436955864418</v>
      </c>
      <c r="AA782" s="152">
        <f t="shared" si="223"/>
        <v>7</v>
      </c>
      <c r="AB782" s="153">
        <f t="shared" si="224"/>
        <v>45108</v>
      </c>
      <c r="AC782" s="155">
        <f t="shared" ca="1" si="225"/>
        <v>1.0125965890904534</v>
      </c>
    </row>
    <row r="783" spans="3:29">
      <c r="C783" s="152" t="str">
        <f>'Monthly Prices'!A771</f>
        <v>2023M08</v>
      </c>
      <c r="D783" s="153">
        <f t="shared" si="228"/>
        <v>45139</v>
      </c>
      <c r="E783" s="152">
        <f t="shared" si="229"/>
        <v>764</v>
      </c>
      <c r="F783" s="152" t="b">
        <f t="shared" si="209"/>
        <v>1</v>
      </c>
      <c r="G783" s="152" t="b">
        <f t="shared" si="210"/>
        <v>0</v>
      </c>
      <c r="H783" s="152" t="b">
        <f t="shared" si="230"/>
        <v>0</v>
      </c>
      <c r="I783" s="153" t="e">
        <f t="shared" si="212"/>
        <v>#N/A</v>
      </c>
      <c r="J783" s="158">
        <f>INDEX('Monthly Prices'!B771:CB771,$G$4)</f>
        <v>207.607148</v>
      </c>
      <c r="K783" s="158" t="b">
        <f>IF(H783,INDEX('Monthly Prices'!B771:CB771,$G$4)*U783,FALSE)</f>
        <v>0</v>
      </c>
      <c r="L783" s="152" t="b">
        <f t="shared" si="231"/>
        <v>1</v>
      </c>
      <c r="M783" s="158" t="str">
        <f>INDEX('Monthly Prices'!B771:CB771,$G$5)</f>
        <v>...</v>
      </c>
      <c r="N783" s="158" t="b">
        <f>IF(H783,INDEX('Monthly Prices'!B771:CB771,$G$5)*U783,FALSE)</f>
        <v>0</v>
      </c>
      <c r="O783" s="152" t="b">
        <f t="shared" si="232"/>
        <v>0</v>
      </c>
      <c r="P783" s="152">
        <f t="shared" si="233"/>
        <v>2023</v>
      </c>
      <c r="Q783" s="159">
        <f>'Monthly Prices'!B771</f>
        <v>84.724333333329994</v>
      </c>
      <c r="R783" s="159">
        <f t="shared" si="218"/>
        <v>60.242583333331659</v>
      </c>
      <c r="S783" s="155">
        <f>_xlfn.XLOOKUP(P783,'Annual Real'!A:A,'Annual Real'!B:B,0,0)</f>
        <v>0</v>
      </c>
      <c r="T783" s="155">
        <f t="shared" ca="1" si="219"/>
        <v>1.0062785842352273</v>
      </c>
      <c r="U783" s="152">
        <f t="shared" ca="1" si="220"/>
        <v>1.0062785842352273</v>
      </c>
      <c r="V783" s="152" t="b">
        <f t="shared" si="226"/>
        <v>0</v>
      </c>
      <c r="W783" s="152" t="b">
        <f t="shared" si="227"/>
        <v>0</v>
      </c>
      <c r="X783" s="154">
        <f>LOOKUP(D783,'US Implicit Deflator'!A:A,'US Implicit Deflator'!B:B)/100</f>
        <v>7.8E-2</v>
      </c>
      <c r="Y783" s="154">
        <f t="shared" si="221"/>
        <v>6.2785842352273136E-3</v>
      </c>
      <c r="Z783" s="165">
        <f t="shared" ca="1" si="222"/>
        <v>6.7861854862983879</v>
      </c>
      <c r="AA783" s="152">
        <f t="shared" si="223"/>
        <v>7</v>
      </c>
      <c r="AB783" s="153">
        <f t="shared" si="224"/>
        <v>45139</v>
      </c>
      <c r="AC783" s="155">
        <f t="shared" ca="1" si="225"/>
        <v>1.0062785842352273</v>
      </c>
    </row>
    <row r="784" spans="3:29">
      <c r="C784" s="152" t="str">
        <f>'Monthly Prices'!A772</f>
        <v>2023M09</v>
      </c>
      <c r="D784" s="153">
        <f t="shared" si="228"/>
        <v>45170</v>
      </c>
      <c r="E784" s="152">
        <f t="shared" si="229"/>
        <v>765</v>
      </c>
      <c r="F784" s="152" t="b">
        <f t="shared" si="209"/>
        <v>1</v>
      </c>
      <c r="G784" s="152" t="b">
        <f t="shared" si="210"/>
        <v>0</v>
      </c>
      <c r="H784" s="152" t="b">
        <f t="shared" si="230"/>
        <v>0</v>
      </c>
      <c r="I784" s="153" t="e">
        <f t="shared" si="212"/>
        <v>#N/A</v>
      </c>
      <c r="J784" s="158">
        <f>INDEX('Monthly Prices'!B772:CB772,$G$4)</f>
        <v>223.80708000000001</v>
      </c>
      <c r="K784" s="158" t="b">
        <f>IF(H784,INDEX('Monthly Prices'!B772:CB772,$G$4)*U784,FALSE)</f>
        <v>0</v>
      </c>
      <c r="L784" s="152" t="b">
        <f t="shared" si="231"/>
        <v>1</v>
      </c>
      <c r="M784" s="158" t="str">
        <f>INDEX('Monthly Prices'!B772:CB772,$G$5)</f>
        <v>...</v>
      </c>
      <c r="N784" s="158" t="b">
        <f>IF(H784,INDEX('Monthly Prices'!B772:CB772,$G$5)*U784,FALSE)</f>
        <v>0</v>
      </c>
      <c r="O784" s="152" t="b">
        <f t="shared" si="232"/>
        <v>0</v>
      </c>
      <c r="P784" s="152">
        <f t="shared" si="233"/>
        <v>2023</v>
      </c>
      <c r="Q784" s="159">
        <f>'Monthly Prices'!B772</f>
        <v>92.22</v>
      </c>
      <c r="R784" s="159">
        <f t="shared" si="218"/>
        <v>60.242583333331659</v>
      </c>
      <c r="S784" s="155">
        <f>_xlfn.XLOOKUP(P784,'Annual Real'!A:A,'Annual Real'!B:B,0,0)</f>
        <v>0</v>
      </c>
      <c r="T784" s="155">
        <f t="shared" ca="1" si="219"/>
        <v>1</v>
      </c>
      <c r="U784" s="152">
        <f t="shared" ca="1" si="220"/>
        <v>1</v>
      </c>
      <c r="V784" s="152" t="b">
        <f t="shared" si="226"/>
        <v>0</v>
      </c>
      <c r="W784" s="152" t="b">
        <f t="shared" si="227"/>
        <v>0</v>
      </c>
      <c r="X784" s="154">
        <f>LOOKUP(D784,'US Implicit Deflator'!A:A,'US Implicit Deflator'!B:B)/100</f>
        <v>7.8E-2</v>
      </c>
      <c r="Y784" s="154">
        <f t="shared" si="221"/>
        <v>6.2785842352273136E-3</v>
      </c>
      <c r="Z784" s="165">
        <f t="shared" ca="1" si="222"/>
        <v>6.828793123509989</v>
      </c>
      <c r="AA784" s="152">
        <f t="shared" si="223"/>
        <v>7</v>
      </c>
      <c r="AB784" s="153">
        <f t="shared" si="224"/>
        <v>45170</v>
      </c>
      <c r="AC784" s="155">
        <f t="shared" ca="1" si="225"/>
        <v>1</v>
      </c>
    </row>
    <row r="785" spans="3:29">
      <c r="C785" s="152">
        <f>'Monthly Prices'!A773</f>
        <v>0</v>
      </c>
      <c r="D785" s="153">
        <f t="shared" si="228"/>
        <v>45200</v>
      </c>
      <c r="E785" s="152">
        <f t="shared" si="229"/>
        <v>766</v>
      </c>
      <c r="F785" s="152" t="b">
        <f t="shared" si="209"/>
        <v>1</v>
      </c>
      <c r="G785" s="152" t="b">
        <f t="shared" si="210"/>
        <v>0</v>
      </c>
      <c r="H785" s="152" t="b">
        <f t="shared" si="230"/>
        <v>0</v>
      </c>
      <c r="I785" s="153" t="e">
        <f t="shared" si="212"/>
        <v>#N/A</v>
      </c>
      <c r="J785" s="158">
        <f>INDEX('Monthly Prices'!B773:CB773,$G$4)</f>
        <v>0</v>
      </c>
      <c r="K785" s="158" t="b">
        <f>IF(H785,INDEX('Monthly Prices'!B773:CB773,$G$4)*U785,FALSE)</f>
        <v>0</v>
      </c>
      <c r="L785" s="152" t="b">
        <f t="shared" si="231"/>
        <v>1</v>
      </c>
      <c r="M785" s="158">
        <f>INDEX('Monthly Prices'!B773:CB773,$G$5)</f>
        <v>0</v>
      </c>
      <c r="N785" s="158" t="b">
        <f>IF(H785,INDEX('Monthly Prices'!B773:CB773,$G$5)*U785,FALSE)</f>
        <v>0</v>
      </c>
      <c r="O785" s="152" t="b">
        <f t="shared" si="232"/>
        <v>0</v>
      </c>
      <c r="P785" s="152">
        <f t="shared" si="233"/>
        <v>2023</v>
      </c>
      <c r="Q785" s="159">
        <f>'Monthly Prices'!B773</f>
        <v>0</v>
      </c>
      <c r="R785" s="159">
        <f t="shared" si="218"/>
        <v>60.242583333331659</v>
      </c>
      <c r="S785" s="155">
        <f>_xlfn.XLOOKUP(P785,'Annual Real'!A:A,'Annual Real'!B:B,0,0)</f>
        <v>0</v>
      </c>
      <c r="T785" s="155">
        <f t="shared" ca="1" si="219"/>
        <v>0.99376059042337761</v>
      </c>
      <c r="U785" s="152">
        <f t="shared" ca="1" si="220"/>
        <v>0.99376059042337761</v>
      </c>
      <c r="V785" s="152" t="b">
        <f t="shared" si="226"/>
        <v>0</v>
      </c>
      <c r="W785" s="152" t="b">
        <f t="shared" si="227"/>
        <v>0</v>
      </c>
      <c r="X785" s="154">
        <f>LOOKUP(D785,'US Implicit Deflator'!A:A,'US Implicit Deflator'!B:B)/100</f>
        <v>7.8E-2</v>
      </c>
      <c r="Y785" s="154">
        <f t="shared" si="221"/>
        <v>6.2785842352273136E-3</v>
      </c>
      <c r="Z785" s="165">
        <f t="shared" ca="1" si="222"/>
        <v>6.8716682763608876</v>
      </c>
      <c r="AA785" s="152">
        <f t="shared" si="223"/>
        <v>1</v>
      </c>
      <c r="AB785" s="153">
        <f t="shared" si="224"/>
        <v>0</v>
      </c>
      <c r="AC785" s="155">
        <f t="shared" ca="1" si="225"/>
        <v>0.99376059042337761</v>
      </c>
    </row>
    <row r="786" spans="3:29">
      <c r="C786" s="152">
        <f>'Monthly Prices'!A774</f>
        <v>0</v>
      </c>
      <c r="D786" s="153">
        <f t="shared" si="228"/>
        <v>45231</v>
      </c>
      <c r="E786" s="152">
        <f t="shared" si="229"/>
        <v>767</v>
      </c>
      <c r="F786" s="152" t="b">
        <f t="shared" si="209"/>
        <v>1</v>
      </c>
      <c r="G786" s="152" t="b">
        <f t="shared" si="210"/>
        <v>0</v>
      </c>
      <c r="H786" s="152" t="b">
        <f t="shared" si="230"/>
        <v>0</v>
      </c>
      <c r="I786" s="153" t="e">
        <f t="shared" si="212"/>
        <v>#N/A</v>
      </c>
      <c r="J786" s="158">
        <f>INDEX('Monthly Prices'!B774:CB774,$G$4)</f>
        <v>0</v>
      </c>
      <c r="K786" s="158" t="b">
        <f>IF(H786,INDEX('Monthly Prices'!B774:CB774,$G$4)*U786,FALSE)</f>
        <v>0</v>
      </c>
      <c r="L786" s="152" t="b">
        <f t="shared" si="231"/>
        <v>1</v>
      </c>
      <c r="M786" s="158">
        <f>INDEX('Monthly Prices'!B774:CB774,$G$5)</f>
        <v>0</v>
      </c>
      <c r="N786" s="158" t="b">
        <f>IF(H786,INDEX('Monthly Prices'!B774:CB774,$G$5)*U786,FALSE)</f>
        <v>0</v>
      </c>
      <c r="O786" s="152" t="b">
        <f t="shared" si="232"/>
        <v>0</v>
      </c>
      <c r="P786" s="152">
        <f t="shared" si="233"/>
        <v>2023</v>
      </c>
      <c r="Q786" s="159">
        <f>'Monthly Prices'!B774</f>
        <v>0</v>
      </c>
      <c r="R786" s="159">
        <f t="shared" si="218"/>
        <v>60.242583333331659</v>
      </c>
      <c r="S786" s="155">
        <f>_xlfn.XLOOKUP(P786,'Annual Real'!A:A,'Annual Real'!B:B,0,0)</f>
        <v>0</v>
      </c>
      <c r="T786" s="155">
        <f t="shared" ca="1" si="219"/>
        <v>0.98756011107862007</v>
      </c>
      <c r="U786" s="152">
        <f t="shared" ca="1" si="220"/>
        <v>0.98756011107862007</v>
      </c>
      <c r="V786" s="152" t="b">
        <f t="shared" si="226"/>
        <v>0</v>
      </c>
      <c r="W786" s="152" t="b">
        <f t="shared" si="227"/>
        <v>0</v>
      </c>
      <c r="X786" s="154">
        <f>LOOKUP(D786,'US Implicit Deflator'!A:A,'US Implicit Deflator'!B:B)/100</f>
        <v>7.8E-2</v>
      </c>
      <c r="Y786" s="154">
        <f t="shared" si="221"/>
        <v>6.2785842352273136E-3</v>
      </c>
      <c r="Z786" s="165">
        <f t="shared" ca="1" si="222"/>
        <v>6.9148126244705583</v>
      </c>
      <c r="AA786" s="152">
        <f t="shared" si="223"/>
        <v>1</v>
      </c>
      <c r="AB786" s="153">
        <f t="shared" si="224"/>
        <v>0</v>
      </c>
      <c r="AC786" s="155">
        <f t="shared" ca="1" si="225"/>
        <v>0.98756011107862007</v>
      </c>
    </row>
    <row r="787" spans="3:29">
      <c r="C787" s="152">
        <f>'Monthly Prices'!A775</f>
        <v>0</v>
      </c>
      <c r="D787" s="153">
        <f t="shared" si="228"/>
        <v>45261</v>
      </c>
      <c r="E787" s="152">
        <f t="shared" si="229"/>
        <v>768</v>
      </c>
      <c r="F787" s="152" t="b">
        <f t="shared" si="209"/>
        <v>1</v>
      </c>
      <c r="G787" s="152" t="b">
        <f t="shared" si="210"/>
        <v>0</v>
      </c>
      <c r="H787" s="152" t="b">
        <f t="shared" si="230"/>
        <v>0</v>
      </c>
      <c r="I787" s="153" t="e">
        <f t="shared" si="212"/>
        <v>#N/A</v>
      </c>
      <c r="J787" s="158">
        <f>INDEX('Monthly Prices'!B775:CB775,$G$4)</f>
        <v>0</v>
      </c>
      <c r="K787" s="158" t="b">
        <f>IF(H787,INDEX('Monthly Prices'!B775:CB775,$G$4)*U787,FALSE)</f>
        <v>0</v>
      </c>
      <c r="L787" s="152" t="b">
        <f t="shared" si="231"/>
        <v>1</v>
      </c>
      <c r="M787" s="158">
        <f>INDEX('Monthly Prices'!B775:CB775,$G$5)</f>
        <v>0</v>
      </c>
      <c r="N787" s="158" t="b">
        <f>IF(H787,INDEX('Monthly Prices'!B775:CB775,$G$5)*U787,FALSE)</f>
        <v>0</v>
      </c>
      <c r="O787" s="152" t="b">
        <f t="shared" si="232"/>
        <v>0</v>
      </c>
      <c r="P787" s="152">
        <f t="shared" si="233"/>
        <v>2023</v>
      </c>
      <c r="Q787" s="159">
        <f>'Monthly Prices'!B775</f>
        <v>0</v>
      </c>
      <c r="R787" s="159">
        <f t="shared" si="218"/>
        <v>60.242583333331659</v>
      </c>
      <c r="S787" s="155">
        <f>_xlfn.XLOOKUP(P787,'Annual Real'!A:A,'Annual Real'!B:B,0,0)</f>
        <v>0</v>
      </c>
      <c r="T787" s="155">
        <f t="shared" ca="1" si="219"/>
        <v>0.98139831906406583</v>
      </c>
      <c r="U787" s="152">
        <f t="shared" ca="1" si="220"/>
        <v>0.98139831906406583</v>
      </c>
      <c r="V787" s="152" t="b">
        <f t="shared" si="226"/>
        <v>0</v>
      </c>
      <c r="W787" s="152" t="b">
        <f t="shared" si="227"/>
        <v>0</v>
      </c>
      <c r="X787" s="154">
        <f>LOOKUP(D787,'US Implicit Deflator'!A:A,'US Implicit Deflator'!B:B)/100</f>
        <v>7.8E-2</v>
      </c>
      <c r="Y787" s="154">
        <f t="shared" si="221"/>
        <v>6.2785842352273136E-3</v>
      </c>
      <c r="Z787" s="165">
        <f t="shared" ca="1" si="222"/>
        <v>6.9582278580041104</v>
      </c>
      <c r="AA787" s="152">
        <f t="shared" si="223"/>
        <v>1</v>
      </c>
      <c r="AB787" s="153">
        <f t="shared" si="224"/>
        <v>0</v>
      </c>
      <c r="AC787" s="155">
        <f t="shared" ca="1" si="225"/>
        <v>0.98139831906406583</v>
      </c>
    </row>
    <row r="788" spans="3:29">
      <c r="C788" s="152">
        <f>'Monthly Prices'!A776</f>
        <v>0</v>
      </c>
      <c r="D788" s="153">
        <f t="shared" si="228"/>
        <v>45292</v>
      </c>
      <c r="E788" s="152">
        <f t="shared" si="229"/>
        <v>769</v>
      </c>
      <c r="F788" s="152" t="b">
        <f t="shared" ref="F788:F800" si="234">AND(E788&gt;=$M$4,L788)</f>
        <v>1</v>
      </c>
      <c r="G788" s="152" t="b">
        <f t="shared" ref="G788:G800" si="235">AND(E788&lt;=$M$5,O788)</f>
        <v>0</v>
      </c>
      <c r="H788" s="152" t="b">
        <f t="shared" si="230"/>
        <v>0</v>
      </c>
      <c r="I788" s="153" t="e">
        <f t="shared" ref="I788:I815" si="236">IF(H788,D788,NA)</f>
        <v>#N/A</v>
      </c>
      <c r="J788" s="158">
        <f>INDEX('Monthly Prices'!B776:CB776,$G$4)</f>
        <v>0</v>
      </c>
      <c r="K788" s="158" t="b">
        <f>IF(H788,INDEX('Monthly Prices'!B776:CB776,$G$4)*U788,FALSE)</f>
        <v>0</v>
      </c>
      <c r="L788" s="152" t="b">
        <f t="shared" si="231"/>
        <v>1</v>
      </c>
      <c r="M788" s="158">
        <f>INDEX('Monthly Prices'!B776:CB776,$G$5)</f>
        <v>0</v>
      </c>
      <c r="N788" s="158" t="b">
        <f>IF(H788,INDEX('Monthly Prices'!B776:CB776,$G$5)*U788,FALSE)</f>
        <v>0</v>
      </c>
      <c r="O788" s="152" t="b">
        <f t="shared" si="232"/>
        <v>0</v>
      </c>
      <c r="P788" s="152">
        <f t="shared" si="233"/>
        <v>2024</v>
      </c>
      <c r="Q788" s="159">
        <f>'Monthly Prices'!B776</f>
        <v>0</v>
      </c>
      <c r="R788" s="159">
        <f t="shared" si="218"/>
        <v>0</v>
      </c>
      <c r="S788" s="155">
        <f>_xlfn.XLOOKUP(P788,'Annual Real'!A:A,'Annual Real'!B:B,0,0)</f>
        <v>0</v>
      </c>
      <c r="T788" s="155">
        <f t="shared" ca="1" si="219"/>
        <v>0.97527497299361643</v>
      </c>
      <c r="U788" s="152">
        <f t="shared" ca="1" si="220"/>
        <v>0.97527497299361643</v>
      </c>
      <c r="V788" s="152" t="b">
        <f t="shared" si="226"/>
        <v>0</v>
      </c>
      <c r="W788" s="152" t="b">
        <f t="shared" si="227"/>
        <v>0</v>
      </c>
      <c r="X788" s="154">
        <f>LOOKUP(D788,'US Implicit Deflator'!A:A,'US Implicit Deflator'!B:B)/100</f>
        <v>7.8E-2</v>
      </c>
      <c r="Y788" s="154">
        <f t="shared" si="221"/>
        <v>6.2785842352273136E-3</v>
      </c>
      <c r="Z788" s="165">
        <f t="shared" ca="1" si="222"/>
        <v>7.0019156777384941</v>
      </c>
      <c r="AA788" s="152">
        <f t="shared" si="223"/>
        <v>1</v>
      </c>
      <c r="AB788" s="153">
        <f t="shared" si="224"/>
        <v>0</v>
      </c>
      <c r="AC788" s="155">
        <f t="shared" ca="1" si="225"/>
        <v>0.97527497299361643</v>
      </c>
    </row>
    <row r="789" spans="3:29">
      <c r="C789" s="152">
        <f>'Monthly Prices'!A777</f>
        <v>0</v>
      </c>
      <c r="D789" s="153">
        <f t="shared" si="228"/>
        <v>45323</v>
      </c>
      <c r="E789" s="152">
        <f t="shared" si="229"/>
        <v>770</v>
      </c>
      <c r="F789" s="152" t="b">
        <f t="shared" si="234"/>
        <v>1</v>
      </c>
      <c r="G789" s="152" t="b">
        <f t="shared" si="235"/>
        <v>0</v>
      </c>
      <c r="H789" s="152" t="b">
        <f t="shared" si="230"/>
        <v>0</v>
      </c>
      <c r="I789" s="153" t="e">
        <f t="shared" si="236"/>
        <v>#N/A</v>
      </c>
      <c r="J789" s="158">
        <f>INDEX('Monthly Prices'!B777:CB777,$G$4)</f>
        <v>0</v>
      </c>
      <c r="K789" s="158" t="b">
        <f>IF(H789,INDEX('Monthly Prices'!B777:CB777,$G$4)*U789,FALSE)</f>
        <v>0</v>
      </c>
      <c r="L789" s="152" t="b">
        <f t="shared" si="231"/>
        <v>1</v>
      </c>
      <c r="M789" s="158">
        <f>INDEX('Monthly Prices'!B777:CB777,$G$5)</f>
        <v>0</v>
      </c>
      <c r="N789" s="158" t="b">
        <f>IF(H789,INDEX('Monthly Prices'!B777:CB777,$G$5)*U789,FALSE)</f>
        <v>0</v>
      </c>
      <c r="O789" s="152" t="b">
        <f t="shared" si="232"/>
        <v>0</v>
      </c>
      <c r="P789" s="152">
        <f t="shared" si="233"/>
        <v>2024</v>
      </c>
      <c r="Q789" s="159">
        <f>'Monthly Prices'!B777</f>
        <v>0</v>
      </c>
      <c r="R789" s="159">
        <f t="shared" ref="R789:R815" si="237">AVERAGEIF(P:P,P789,Q:Q)</f>
        <v>0</v>
      </c>
      <c r="S789" s="155">
        <f>_xlfn.XLOOKUP(P789,'Annual Real'!A:A,'Annual Real'!B:B,0,0)</f>
        <v>0</v>
      </c>
      <c r="T789" s="155">
        <f t="shared" ref="T789:T815" ca="1" si="238">AC789</f>
        <v>0.9691898329872799</v>
      </c>
      <c r="U789" s="152">
        <f t="shared" ref="U789:U815" ca="1" si="239">IF($U$19,T789,1)</f>
        <v>0.9691898329872799</v>
      </c>
      <c r="V789" s="152" t="b">
        <f t="shared" si="226"/>
        <v>0</v>
      </c>
      <c r="W789" s="152" t="b">
        <f t="shared" si="227"/>
        <v>0</v>
      </c>
      <c r="X789" s="154">
        <f>LOOKUP(D789,'US Implicit Deflator'!A:A,'US Implicit Deflator'!B:B)/100</f>
        <v>7.8E-2</v>
      </c>
      <c r="Y789" s="154">
        <f t="shared" ref="Y789:Y815" si="240">(1+X789)^(1/12)-1</f>
        <v>6.2785842352273136E-3</v>
      </c>
      <c r="Z789" s="165">
        <f t="shared" ref="Z789:Z815" ca="1" si="241">Z788*(1+Y789)</f>
        <v>7.045877795129134</v>
      </c>
      <c r="AA789" s="152">
        <f t="shared" ref="AA789:AA815" si="242">LEN(C789)</f>
        <v>1</v>
      </c>
      <c r="AB789" s="153">
        <f t="shared" ref="AB789:AB815" si="243">IF(AA789&gt;2,D789,0)</f>
        <v>0</v>
      </c>
      <c r="AC789" s="155">
        <f t="shared" ref="AC789:AC815" ca="1" si="244">$AC$17/Z789</f>
        <v>0.9691898329872799</v>
      </c>
    </row>
    <row r="790" spans="3:29">
      <c r="C790" s="152">
        <f>'Monthly Prices'!A778</f>
        <v>0</v>
      </c>
      <c r="D790" s="153">
        <f t="shared" si="228"/>
        <v>45352</v>
      </c>
      <c r="E790" s="152">
        <f t="shared" si="229"/>
        <v>771</v>
      </c>
      <c r="F790" s="152" t="b">
        <f t="shared" si="234"/>
        <v>1</v>
      </c>
      <c r="G790" s="152" t="b">
        <f t="shared" si="235"/>
        <v>0</v>
      </c>
      <c r="H790" s="152" t="b">
        <f t="shared" si="230"/>
        <v>0</v>
      </c>
      <c r="I790" s="153" t="e">
        <f t="shared" si="236"/>
        <v>#N/A</v>
      </c>
      <c r="J790" s="158">
        <f>INDEX('Monthly Prices'!B778:CB778,$G$4)</f>
        <v>0</v>
      </c>
      <c r="K790" s="158" t="b">
        <f>IF(H790,INDEX('Monthly Prices'!B778:CB778,$G$4)*U790,FALSE)</f>
        <v>0</v>
      </c>
      <c r="L790" s="152" t="b">
        <f t="shared" si="231"/>
        <v>1</v>
      </c>
      <c r="M790" s="158">
        <f>INDEX('Monthly Prices'!B778:CB778,$G$5)</f>
        <v>0</v>
      </c>
      <c r="N790" s="158" t="b">
        <f>IF(H790,INDEX('Monthly Prices'!B778:CB778,$G$5)*U790,FALSE)</f>
        <v>0</v>
      </c>
      <c r="O790" s="152" t="b">
        <f t="shared" si="232"/>
        <v>0</v>
      </c>
      <c r="P790" s="152">
        <f t="shared" si="233"/>
        <v>2024</v>
      </c>
      <c r="Q790" s="159">
        <f>'Monthly Prices'!B778</f>
        <v>0</v>
      </c>
      <c r="R790" s="159">
        <f t="shared" si="237"/>
        <v>0</v>
      </c>
      <c r="S790" s="155">
        <f>_xlfn.XLOOKUP(P790,'Annual Real'!A:A,'Annual Real'!B:B,0,0)</f>
        <v>0</v>
      </c>
      <c r="T790" s="155">
        <f t="shared" ca="1" si="238"/>
        <v>0.9631426606617739</v>
      </c>
      <c r="U790" s="152">
        <f t="shared" ca="1" si="239"/>
        <v>0.9631426606617739</v>
      </c>
      <c r="V790" s="152" t="b">
        <f t="shared" ref="V790:V815" si="245">IF(AND(H789,H790),LN(K790/K789))</f>
        <v>0</v>
      </c>
      <c r="W790" s="152" t="b">
        <f t="shared" ref="W790:W815" si="246">IF(AND($H789,$H790),LN(N790/N789))</f>
        <v>0</v>
      </c>
      <c r="X790" s="154">
        <f>LOOKUP(D790,'US Implicit Deflator'!A:A,'US Implicit Deflator'!B:B)/100</f>
        <v>7.8E-2</v>
      </c>
      <c r="Y790" s="154">
        <f t="shared" si="240"/>
        <v>6.2785842352273136E-3</v>
      </c>
      <c r="Z790" s="165">
        <f t="shared" ca="1" si="241"/>
        <v>7.0901159323769702</v>
      </c>
      <c r="AA790" s="152">
        <f t="shared" si="242"/>
        <v>1</v>
      </c>
      <c r="AB790" s="153">
        <f t="shared" si="243"/>
        <v>0</v>
      </c>
      <c r="AC790" s="155">
        <f t="shared" ca="1" si="244"/>
        <v>0.9631426606617739</v>
      </c>
    </row>
    <row r="791" spans="3:29">
      <c r="C791" s="152">
        <f>'Monthly Prices'!A779</f>
        <v>0</v>
      </c>
      <c r="D791" s="153">
        <f t="shared" si="228"/>
        <v>45383</v>
      </c>
      <c r="E791" s="152">
        <f t="shared" si="229"/>
        <v>772</v>
      </c>
      <c r="F791" s="152" t="b">
        <f t="shared" si="234"/>
        <v>1</v>
      </c>
      <c r="G791" s="152" t="b">
        <f t="shared" si="235"/>
        <v>0</v>
      </c>
      <c r="H791" s="152" t="b">
        <f t="shared" si="230"/>
        <v>0</v>
      </c>
      <c r="I791" s="153" t="e">
        <f t="shared" si="236"/>
        <v>#N/A</v>
      </c>
      <c r="J791" s="158">
        <f>INDEX('Monthly Prices'!B779:CB779,$G$4)</f>
        <v>0</v>
      </c>
      <c r="K791" s="158" t="b">
        <f>IF(H791,INDEX('Monthly Prices'!B779:CB779,$G$4)*U791,FALSE)</f>
        <v>0</v>
      </c>
      <c r="L791" s="152" t="b">
        <f t="shared" si="231"/>
        <v>1</v>
      </c>
      <c r="M791" s="158">
        <f>INDEX('Monthly Prices'!B779:CB779,$G$5)</f>
        <v>0</v>
      </c>
      <c r="N791" s="158" t="b">
        <f>IF(H791,INDEX('Monthly Prices'!B779:CB779,$G$5)*U791,FALSE)</f>
        <v>0</v>
      </c>
      <c r="O791" s="152" t="b">
        <f t="shared" si="232"/>
        <v>0</v>
      </c>
      <c r="P791" s="152">
        <f t="shared" si="233"/>
        <v>2024</v>
      </c>
      <c r="Q791" s="159">
        <f>'Monthly Prices'!B779</f>
        <v>0</v>
      </c>
      <c r="R791" s="159">
        <f t="shared" si="237"/>
        <v>0</v>
      </c>
      <c r="S791" s="155">
        <f>_xlfn.XLOOKUP(P791,'Annual Real'!A:A,'Annual Real'!B:B,0,0)</f>
        <v>0</v>
      </c>
      <c r="T791" s="155">
        <f t="shared" ca="1" si="238"/>
        <v>0.95713321912118732</v>
      </c>
      <c r="U791" s="152">
        <f t="shared" ca="1" si="239"/>
        <v>0.95713321912118732</v>
      </c>
      <c r="V791" s="152" t="b">
        <f t="shared" si="245"/>
        <v>0</v>
      </c>
      <c r="W791" s="152" t="b">
        <f t="shared" si="246"/>
        <v>0</v>
      </c>
      <c r="X791" s="154">
        <f>LOOKUP(D791,'US Implicit Deflator'!A:A,'US Implicit Deflator'!B:B)/100</f>
        <v>7.8E-2</v>
      </c>
      <c r="Y791" s="154">
        <f t="shared" si="240"/>
        <v>6.2785842352273136E-3</v>
      </c>
      <c r="Z791" s="165">
        <f t="shared" ca="1" si="241"/>
        <v>7.1346318224959262</v>
      </c>
      <c r="AA791" s="152">
        <f t="shared" si="242"/>
        <v>1</v>
      </c>
      <c r="AB791" s="153">
        <f t="shared" si="243"/>
        <v>0</v>
      </c>
      <c r="AC791" s="155">
        <f t="shared" ca="1" si="244"/>
        <v>0.95713321912118732</v>
      </c>
    </row>
    <row r="792" spans="3:29">
      <c r="C792" s="152">
        <f>'Monthly Prices'!A780</f>
        <v>0</v>
      </c>
      <c r="D792" s="153">
        <f t="shared" si="228"/>
        <v>45413</v>
      </c>
      <c r="E792" s="152">
        <f t="shared" si="229"/>
        <v>773</v>
      </c>
      <c r="F792" s="152" t="b">
        <f t="shared" si="234"/>
        <v>1</v>
      </c>
      <c r="G792" s="152" t="b">
        <f t="shared" si="235"/>
        <v>0</v>
      </c>
      <c r="H792" s="152" t="b">
        <f t="shared" si="230"/>
        <v>0</v>
      </c>
      <c r="I792" s="153" t="e">
        <f t="shared" si="236"/>
        <v>#N/A</v>
      </c>
      <c r="J792" s="158">
        <f>INDEX('Monthly Prices'!B780:CB780,$G$4)</f>
        <v>0</v>
      </c>
      <c r="K792" s="158" t="b">
        <f>IF(H792,INDEX('Monthly Prices'!B780:CB780,$G$4)*U792,FALSE)</f>
        <v>0</v>
      </c>
      <c r="L792" s="152" t="b">
        <f t="shared" si="231"/>
        <v>1</v>
      </c>
      <c r="M792" s="158">
        <f>INDEX('Monthly Prices'!B780:CB780,$G$5)</f>
        <v>0</v>
      </c>
      <c r="N792" s="158" t="b">
        <f>IF(H792,INDEX('Monthly Prices'!B780:CB780,$G$5)*U792,FALSE)</f>
        <v>0</v>
      </c>
      <c r="O792" s="152" t="b">
        <f t="shared" si="232"/>
        <v>0</v>
      </c>
      <c r="P792" s="152">
        <f t="shared" si="233"/>
        <v>2024</v>
      </c>
      <c r="Q792" s="159">
        <f>'Monthly Prices'!B780</f>
        <v>0</v>
      </c>
      <c r="R792" s="159">
        <f t="shared" si="237"/>
        <v>0</v>
      </c>
      <c r="S792" s="155">
        <f>_xlfn.XLOOKUP(P792,'Annual Real'!A:A,'Annual Real'!B:B,0,0)</f>
        <v>0</v>
      </c>
      <c r="T792" s="155">
        <f t="shared" ca="1" si="238"/>
        <v>0.95116127294769914</v>
      </c>
      <c r="U792" s="152">
        <f t="shared" ca="1" si="239"/>
        <v>0.95116127294769914</v>
      </c>
      <c r="V792" s="152" t="b">
        <f t="shared" si="245"/>
        <v>0</v>
      </c>
      <c r="W792" s="152" t="b">
        <f t="shared" si="246"/>
        <v>0</v>
      </c>
      <c r="X792" s="154">
        <f>LOOKUP(D792,'US Implicit Deflator'!A:A,'US Implicit Deflator'!B:B)/100</f>
        <v>7.8E-2</v>
      </c>
      <c r="Y792" s="154">
        <f t="shared" si="240"/>
        <v>6.2785842352273136E-3</v>
      </c>
      <c r="Z792" s="165">
        <f t="shared" ca="1" si="241"/>
        <v>7.1794272093808003</v>
      </c>
      <c r="AA792" s="152">
        <f t="shared" si="242"/>
        <v>1</v>
      </c>
      <c r="AB792" s="153">
        <f t="shared" si="243"/>
        <v>0</v>
      </c>
      <c r="AC792" s="155">
        <f t="shared" ca="1" si="244"/>
        <v>0.95116127294769914</v>
      </c>
    </row>
    <row r="793" spans="3:29">
      <c r="C793" s="152">
        <f>'Monthly Prices'!A781</f>
        <v>0</v>
      </c>
      <c r="D793" s="153">
        <f t="shared" si="228"/>
        <v>45444</v>
      </c>
      <c r="E793" s="152">
        <f t="shared" si="229"/>
        <v>774</v>
      </c>
      <c r="F793" s="152" t="b">
        <f t="shared" si="234"/>
        <v>1</v>
      </c>
      <c r="G793" s="152" t="b">
        <f t="shared" si="235"/>
        <v>0</v>
      </c>
      <c r="H793" s="152" t="b">
        <f t="shared" si="230"/>
        <v>0</v>
      </c>
      <c r="I793" s="153" t="e">
        <f t="shared" si="236"/>
        <v>#N/A</v>
      </c>
      <c r="J793" s="158">
        <f>INDEX('Monthly Prices'!B781:CB781,$G$4)</f>
        <v>0</v>
      </c>
      <c r="K793" s="158" t="b">
        <f>IF(H793,INDEX('Monthly Prices'!B781:CB781,$G$4)*U793,FALSE)</f>
        <v>0</v>
      </c>
      <c r="L793" s="152" t="b">
        <f t="shared" si="231"/>
        <v>1</v>
      </c>
      <c r="M793" s="158">
        <f>INDEX('Monthly Prices'!B781:CB781,$G$5)</f>
        <v>0</v>
      </c>
      <c r="N793" s="158" t="b">
        <f>IF(H793,INDEX('Monthly Prices'!B781:CB781,$G$5)*U793,FALSE)</f>
        <v>0</v>
      </c>
      <c r="O793" s="152" t="b">
        <f t="shared" si="232"/>
        <v>0</v>
      </c>
      <c r="P793" s="152">
        <f t="shared" si="233"/>
        <v>2024</v>
      </c>
      <c r="Q793" s="159">
        <f>'Monthly Prices'!B781</f>
        <v>0</v>
      </c>
      <c r="R793" s="159">
        <f t="shared" si="237"/>
        <v>0</v>
      </c>
      <c r="S793" s="155">
        <f>_xlfn.XLOOKUP(P793,'Annual Real'!A:A,'Annual Real'!B:B,0,0)</f>
        <v>0</v>
      </c>
      <c r="T793" s="155">
        <f t="shared" ca="1" si="238"/>
        <v>0.94522658819235683</v>
      </c>
      <c r="U793" s="152">
        <f t="shared" ca="1" si="239"/>
        <v>0.94522658819235683</v>
      </c>
      <c r="V793" s="152" t="b">
        <f t="shared" si="245"/>
        <v>0</v>
      </c>
      <c r="W793" s="152" t="b">
        <f t="shared" si="246"/>
        <v>0</v>
      </c>
      <c r="X793" s="154">
        <f>LOOKUP(D793,'US Implicit Deflator'!A:A,'US Implicit Deflator'!B:B)/100</f>
        <v>7.8E-2</v>
      </c>
      <c r="Y793" s="154">
        <f t="shared" si="240"/>
        <v>6.2785842352273136E-3</v>
      </c>
      <c r="Z793" s="165">
        <f t="shared" ca="1" si="241"/>
        <v>7.2245038478755808</v>
      </c>
      <c r="AA793" s="152">
        <f t="shared" si="242"/>
        <v>1</v>
      </c>
      <c r="AB793" s="153">
        <f t="shared" si="243"/>
        <v>0</v>
      </c>
      <c r="AC793" s="155">
        <f t="shared" ca="1" si="244"/>
        <v>0.94522658819235683</v>
      </c>
    </row>
    <row r="794" spans="3:29">
      <c r="C794" s="152">
        <f>'Monthly Prices'!A782</f>
        <v>0</v>
      </c>
      <c r="D794" s="153">
        <f t="shared" si="228"/>
        <v>45474</v>
      </c>
      <c r="E794" s="152">
        <f t="shared" si="229"/>
        <v>775</v>
      </c>
      <c r="F794" s="152" t="b">
        <f t="shared" si="234"/>
        <v>1</v>
      </c>
      <c r="G794" s="152" t="b">
        <f t="shared" si="235"/>
        <v>0</v>
      </c>
      <c r="H794" s="152" t="b">
        <f t="shared" si="230"/>
        <v>0</v>
      </c>
      <c r="I794" s="153" t="e">
        <f t="shared" si="236"/>
        <v>#N/A</v>
      </c>
      <c r="J794" s="158">
        <f>INDEX('Monthly Prices'!B782:CB782,$G$4)</f>
        <v>0</v>
      </c>
      <c r="K794" s="158" t="b">
        <f>IF(H794,INDEX('Monthly Prices'!B782:CB782,$G$4)*U794,FALSE)</f>
        <v>0</v>
      </c>
      <c r="L794" s="152" t="b">
        <f t="shared" si="231"/>
        <v>1</v>
      </c>
      <c r="M794" s="158">
        <f>INDEX('Monthly Prices'!B782:CB782,$G$5)</f>
        <v>0</v>
      </c>
      <c r="N794" s="158" t="b">
        <f>IF(H794,INDEX('Monthly Prices'!B782:CB782,$G$5)*U794,FALSE)</f>
        <v>0</v>
      </c>
      <c r="O794" s="152" t="b">
        <f t="shared" si="232"/>
        <v>0</v>
      </c>
      <c r="P794" s="152">
        <f t="shared" si="233"/>
        <v>2024</v>
      </c>
      <c r="Q794" s="159">
        <f>'Monthly Prices'!B782</f>
        <v>0</v>
      </c>
      <c r="R794" s="159">
        <f t="shared" si="237"/>
        <v>0</v>
      </c>
      <c r="S794" s="155">
        <f>_xlfn.XLOOKUP(P794,'Annual Real'!A:A,'Annual Real'!B:B,0,0)</f>
        <v>0</v>
      </c>
      <c r="T794" s="155">
        <f t="shared" ca="1" si="238"/>
        <v>0.93932893236591142</v>
      </c>
      <c r="U794" s="152">
        <f t="shared" ca="1" si="239"/>
        <v>0.93932893236591142</v>
      </c>
      <c r="V794" s="152" t="b">
        <f t="shared" si="245"/>
        <v>0</v>
      </c>
      <c r="W794" s="152" t="b">
        <f t="shared" si="246"/>
        <v>0</v>
      </c>
      <c r="X794" s="154">
        <f>LOOKUP(D794,'US Implicit Deflator'!A:A,'US Implicit Deflator'!B:B)/100</f>
        <v>7.8E-2</v>
      </c>
      <c r="Y794" s="154">
        <f t="shared" si="240"/>
        <v>6.2785842352273136E-3</v>
      </c>
      <c r="Z794" s="165">
        <f t="shared" ca="1" si="241"/>
        <v>7.269863503842191</v>
      </c>
      <c r="AA794" s="152">
        <f t="shared" si="242"/>
        <v>1</v>
      </c>
      <c r="AB794" s="153">
        <f t="shared" si="243"/>
        <v>0</v>
      </c>
      <c r="AC794" s="155">
        <f t="shared" ca="1" si="244"/>
        <v>0.93932893236591142</v>
      </c>
    </row>
    <row r="795" spans="3:29">
      <c r="C795" s="152">
        <f>'Monthly Prices'!A783</f>
        <v>0</v>
      </c>
      <c r="D795" s="153">
        <f t="shared" si="228"/>
        <v>45505</v>
      </c>
      <c r="E795" s="152">
        <f t="shared" si="229"/>
        <v>776</v>
      </c>
      <c r="F795" s="152" t="b">
        <f t="shared" si="234"/>
        <v>1</v>
      </c>
      <c r="G795" s="152" t="b">
        <f t="shared" si="235"/>
        <v>0</v>
      </c>
      <c r="H795" s="152" t="b">
        <f t="shared" si="230"/>
        <v>0</v>
      </c>
      <c r="I795" s="153" t="e">
        <f t="shared" si="236"/>
        <v>#N/A</v>
      </c>
      <c r="J795" s="158">
        <f>INDEX('Monthly Prices'!B783:CB783,$G$4)</f>
        <v>0</v>
      </c>
      <c r="K795" s="158" t="b">
        <f>IF(H795,INDEX('Monthly Prices'!B783:CB783,$G$4)*U795,FALSE)</f>
        <v>0</v>
      </c>
      <c r="L795" s="152" t="b">
        <f t="shared" si="231"/>
        <v>1</v>
      </c>
      <c r="M795" s="158">
        <f>INDEX('Monthly Prices'!B783:CB783,$G$5)</f>
        <v>0</v>
      </c>
      <c r="N795" s="158" t="b">
        <f>IF(H795,INDEX('Monthly Prices'!B783:CB783,$G$5)*U795,FALSE)</f>
        <v>0</v>
      </c>
      <c r="O795" s="152" t="b">
        <f t="shared" si="232"/>
        <v>0</v>
      </c>
      <c r="P795" s="152">
        <f t="shared" si="233"/>
        <v>2024</v>
      </c>
      <c r="Q795" s="159">
        <f>'Monthly Prices'!B783</f>
        <v>0</v>
      </c>
      <c r="R795" s="159">
        <f t="shared" si="237"/>
        <v>0</v>
      </c>
      <c r="S795" s="155">
        <f>_xlfn.XLOOKUP(P795,'Annual Real'!A:A,'Annual Real'!B:B,0,0)</f>
        <v>0</v>
      </c>
      <c r="T795" s="155">
        <f t="shared" ca="1" si="238"/>
        <v>0.93346807442970903</v>
      </c>
      <c r="U795" s="152">
        <f t="shared" ca="1" si="239"/>
        <v>0.93346807442970903</v>
      </c>
      <c r="V795" s="152" t="b">
        <f t="shared" si="245"/>
        <v>0</v>
      </c>
      <c r="W795" s="152" t="b">
        <f t="shared" si="246"/>
        <v>0</v>
      </c>
      <c r="X795" s="154">
        <f>LOOKUP(D795,'US Implicit Deflator'!A:A,'US Implicit Deflator'!B:B)/100</f>
        <v>7.8E-2</v>
      </c>
      <c r="Y795" s="154">
        <f t="shared" si="240"/>
        <v>6.2785842352273136E-3</v>
      </c>
      <c r="Z795" s="165">
        <f t="shared" ca="1" si="241"/>
        <v>7.3155079542296688</v>
      </c>
      <c r="AA795" s="152">
        <f t="shared" si="242"/>
        <v>1</v>
      </c>
      <c r="AB795" s="153">
        <f t="shared" si="243"/>
        <v>0</v>
      </c>
      <c r="AC795" s="155">
        <f t="shared" ca="1" si="244"/>
        <v>0.93346807442970903</v>
      </c>
    </row>
    <row r="796" spans="3:29">
      <c r="C796" s="152">
        <f>'Monthly Prices'!A784</f>
        <v>0</v>
      </c>
      <c r="D796" s="153">
        <f t="shared" si="228"/>
        <v>45536</v>
      </c>
      <c r="E796" s="152">
        <f t="shared" si="229"/>
        <v>777</v>
      </c>
      <c r="F796" s="152" t="b">
        <f t="shared" si="234"/>
        <v>1</v>
      </c>
      <c r="G796" s="152" t="b">
        <f t="shared" si="235"/>
        <v>0</v>
      </c>
      <c r="H796" s="152" t="b">
        <f t="shared" si="230"/>
        <v>0</v>
      </c>
      <c r="I796" s="153" t="e">
        <f t="shared" si="236"/>
        <v>#N/A</v>
      </c>
      <c r="J796" s="158">
        <f>INDEX('Monthly Prices'!B784:CB784,$G$4)</f>
        <v>0</v>
      </c>
      <c r="K796" s="158" t="b">
        <f>IF(H796,INDEX('Monthly Prices'!B784:CB784,$G$4)*U796,FALSE)</f>
        <v>0</v>
      </c>
      <c r="L796" s="152" t="b">
        <f t="shared" si="231"/>
        <v>1</v>
      </c>
      <c r="M796" s="158">
        <f>INDEX('Monthly Prices'!B784:CB784,$G$5)</f>
        <v>0</v>
      </c>
      <c r="N796" s="158" t="b">
        <f>IF(H796,INDEX('Monthly Prices'!B784:CB784,$G$5)*U796,FALSE)</f>
        <v>0</v>
      </c>
      <c r="O796" s="152" t="b">
        <f t="shared" si="232"/>
        <v>0</v>
      </c>
      <c r="P796" s="152">
        <f t="shared" si="233"/>
        <v>2024</v>
      </c>
      <c r="Q796" s="159">
        <f>'Monthly Prices'!B784</f>
        <v>0</v>
      </c>
      <c r="R796" s="159">
        <f t="shared" si="237"/>
        <v>0</v>
      </c>
      <c r="S796" s="155">
        <f>_xlfn.XLOOKUP(P796,'Annual Real'!A:A,'Annual Real'!B:B,0,0)</f>
        <v>0</v>
      </c>
      <c r="T796" s="155">
        <f t="shared" ca="1" si="238"/>
        <v>0.927643784786641</v>
      </c>
      <c r="U796" s="152">
        <f t="shared" ca="1" si="239"/>
        <v>0.927643784786641</v>
      </c>
      <c r="V796" s="152" t="b">
        <f t="shared" si="245"/>
        <v>0</v>
      </c>
      <c r="W796" s="152" t="b">
        <f t="shared" si="246"/>
        <v>0</v>
      </c>
      <c r="X796" s="154">
        <f>LOOKUP(D796,'US Implicit Deflator'!A:A,'US Implicit Deflator'!B:B)/100</f>
        <v>7.8E-2</v>
      </c>
      <c r="Y796" s="154">
        <f t="shared" si="240"/>
        <v>6.2785842352273136E-3</v>
      </c>
      <c r="Z796" s="165">
        <f t="shared" ca="1" si="241"/>
        <v>7.3614389871437753</v>
      </c>
      <c r="AA796" s="152">
        <f t="shared" si="242"/>
        <v>1</v>
      </c>
      <c r="AB796" s="153">
        <f t="shared" si="243"/>
        <v>0</v>
      </c>
      <c r="AC796" s="155">
        <f t="shared" ca="1" si="244"/>
        <v>0.927643784786641</v>
      </c>
    </row>
    <row r="797" spans="3:29">
      <c r="C797" s="152">
        <f>'Monthly Prices'!A785</f>
        <v>0</v>
      </c>
      <c r="D797" s="153">
        <f t="shared" si="228"/>
        <v>45566</v>
      </c>
      <c r="E797" s="152">
        <f t="shared" si="229"/>
        <v>778</v>
      </c>
      <c r="F797" s="152" t="b">
        <f t="shared" si="234"/>
        <v>1</v>
      </c>
      <c r="G797" s="152" t="b">
        <f t="shared" si="235"/>
        <v>0</v>
      </c>
      <c r="H797" s="152" t="b">
        <f t="shared" si="230"/>
        <v>0</v>
      </c>
      <c r="I797" s="153" t="e">
        <f t="shared" si="236"/>
        <v>#N/A</v>
      </c>
      <c r="J797" s="158">
        <f>INDEX('Monthly Prices'!B785:CB785,$G$4)</f>
        <v>0</v>
      </c>
      <c r="K797" s="158" t="b">
        <f>IF(H797,INDEX('Monthly Prices'!B785:CB785,$G$4)*U797,FALSE)</f>
        <v>0</v>
      </c>
      <c r="L797" s="152" t="b">
        <f t="shared" si="231"/>
        <v>1</v>
      </c>
      <c r="M797" s="158">
        <f>INDEX('Monthly Prices'!B785:CB785,$G$5)</f>
        <v>0</v>
      </c>
      <c r="N797" s="158" t="b">
        <f>IF(H797,INDEX('Monthly Prices'!B785:CB785,$G$5)*U797,FALSE)</f>
        <v>0</v>
      </c>
      <c r="O797" s="152" t="b">
        <f t="shared" si="232"/>
        <v>0</v>
      </c>
      <c r="P797" s="152">
        <f t="shared" si="233"/>
        <v>2024</v>
      </c>
      <c r="Q797" s="159">
        <f>'Monthly Prices'!B785</f>
        <v>0</v>
      </c>
      <c r="R797" s="159">
        <f t="shared" si="237"/>
        <v>0</v>
      </c>
      <c r="S797" s="155">
        <f>_xlfn.XLOOKUP(P797,'Annual Real'!A:A,'Annual Real'!B:B,0,0)</f>
        <v>0</v>
      </c>
      <c r="T797" s="155">
        <f t="shared" ca="1" si="238"/>
        <v>0.92185583527214898</v>
      </c>
      <c r="U797" s="152">
        <f t="shared" ca="1" si="239"/>
        <v>0.92185583527214898</v>
      </c>
      <c r="V797" s="152" t="b">
        <f t="shared" si="245"/>
        <v>0</v>
      </c>
      <c r="W797" s="152" t="b">
        <f t="shared" si="246"/>
        <v>0</v>
      </c>
      <c r="X797" s="154">
        <f>LOOKUP(D797,'US Implicit Deflator'!A:A,'US Implicit Deflator'!B:B)/100</f>
        <v>7.8E-2</v>
      </c>
      <c r="Y797" s="154">
        <f t="shared" si="240"/>
        <v>6.2785842352273136E-3</v>
      </c>
      <c r="Z797" s="165">
        <f t="shared" ca="1" si="241"/>
        <v>7.4076584019170442</v>
      </c>
      <c r="AA797" s="152">
        <f t="shared" si="242"/>
        <v>1</v>
      </c>
      <c r="AB797" s="153">
        <f t="shared" si="243"/>
        <v>0</v>
      </c>
      <c r="AC797" s="155">
        <f t="shared" ca="1" si="244"/>
        <v>0.92185583527214898</v>
      </c>
    </row>
    <row r="798" spans="3:29">
      <c r="C798" s="152">
        <f>'Monthly Prices'!A786</f>
        <v>0</v>
      </c>
      <c r="D798" s="153">
        <f t="shared" si="228"/>
        <v>45597</v>
      </c>
      <c r="E798" s="152">
        <f t="shared" si="229"/>
        <v>779</v>
      </c>
      <c r="F798" s="152" t="b">
        <f t="shared" si="234"/>
        <v>1</v>
      </c>
      <c r="G798" s="152" t="b">
        <f t="shared" si="235"/>
        <v>0</v>
      </c>
      <c r="H798" s="152" t="b">
        <f t="shared" si="230"/>
        <v>0</v>
      </c>
      <c r="I798" s="153" t="e">
        <f t="shared" si="236"/>
        <v>#N/A</v>
      </c>
      <c r="J798" s="158">
        <f>INDEX('Monthly Prices'!B786:CB786,$G$4)</f>
        <v>0</v>
      </c>
      <c r="K798" s="158" t="b">
        <f>IF(H798,INDEX('Monthly Prices'!B786:CB786,$G$4)*U798,FALSE)</f>
        <v>0</v>
      </c>
      <c r="L798" s="152" t="b">
        <f t="shared" si="231"/>
        <v>1</v>
      </c>
      <c r="M798" s="158">
        <f>INDEX('Monthly Prices'!B786:CB786,$G$5)</f>
        <v>0</v>
      </c>
      <c r="N798" s="158" t="b">
        <f>IF(H798,INDEX('Monthly Prices'!B786:CB786,$G$5)*U798,FALSE)</f>
        <v>0</v>
      </c>
      <c r="O798" s="152" t="b">
        <f t="shared" si="232"/>
        <v>0</v>
      </c>
      <c r="P798" s="152">
        <f t="shared" si="233"/>
        <v>2024</v>
      </c>
      <c r="Q798" s="159">
        <f>'Monthly Prices'!B786</f>
        <v>0</v>
      </c>
      <c r="R798" s="159">
        <f t="shared" si="237"/>
        <v>0</v>
      </c>
      <c r="S798" s="155">
        <f>_xlfn.XLOOKUP(P798,'Annual Real'!A:A,'Annual Real'!B:B,0,0)</f>
        <v>0</v>
      </c>
      <c r="T798" s="155">
        <f t="shared" ca="1" si="238"/>
        <v>0.91610399914528662</v>
      </c>
      <c r="U798" s="152">
        <f t="shared" ca="1" si="239"/>
        <v>0.91610399914528662</v>
      </c>
      <c r="V798" s="152" t="b">
        <f t="shared" si="245"/>
        <v>0</v>
      </c>
      <c r="W798" s="152" t="b">
        <f t="shared" si="246"/>
        <v>0</v>
      </c>
      <c r="X798" s="154">
        <f>LOOKUP(D798,'US Implicit Deflator'!A:A,'US Implicit Deflator'!B:B)/100</f>
        <v>7.8E-2</v>
      </c>
      <c r="Y798" s="154">
        <f t="shared" si="240"/>
        <v>6.2785842352273136E-3</v>
      </c>
      <c r="Z798" s="165">
        <f t="shared" ca="1" si="241"/>
        <v>7.4541680091792699</v>
      </c>
      <c r="AA798" s="152">
        <f t="shared" si="242"/>
        <v>1</v>
      </c>
      <c r="AB798" s="153">
        <f t="shared" si="243"/>
        <v>0</v>
      </c>
      <c r="AC798" s="155">
        <f t="shared" ca="1" si="244"/>
        <v>0.91610399914528662</v>
      </c>
    </row>
    <row r="799" spans="3:29">
      <c r="C799" s="152">
        <f>'Monthly Prices'!A787</f>
        <v>0</v>
      </c>
      <c r="D799" s="153">
        <f t="shared" si="228"/>
        <v>45627</v>
      </c>
      <c r="E799" s="152">
        <f t="shared" si="229"/>
        <v>780</v>
      </c>
      <c r="F799" s="152" t="b">
        <f t="shared" si="234"/>
        <v>1</v>
      </c>
      <c r="G799" s="152" t="b">
        <f t="shared" si="235"/>
        <v>0</v>
      </c>
      <c r="H799" s="152" t="b">
        <f t="shared" si="230"/>
        <v>0</v>
      </c>
      <c r="I799" s="153" t="e">
        <f t="shared" si="236"/>
        <v>#N/A</v>
      </c>
      <c r="J799" s="158">
        <f>INDEX('Monthly Prices'!B787:CB787,$G$4)</f>
        <v>0</v>
      </c>
      <c r="K799" s="158" t="b">
        <f>IF(H799,INDEX('Monthly Prices'!B787:CB787,$G$4)*U799,FALSE)</f>
        <v>0</v>
      </c>
      <c r="L799" s="152" t="b">
        <f t="shared" si="231"/>
        <v>1</v>
      </c>
      <c r="M799" s="158">
        <f>INDEX('Monthly Prices'!B787:CB787,$G$5)</f>
        <v>0</v>
      </c>
      <c r="N799" s="158" t="b">
        <f>IF(H799,INDEX('Monthly Prices'!B787:CB787,$G$5)*U799,FALSE)</f>
        <v>0</v>
      </c>
      <c r="O799" s="152" t="b">
        <f t="shared" si="232"/>
        <v>0</v>
      </c>
      <c r="P799" s="152">
        <f t="shared" si="233"/>
        <v>2024</v>
      </c>
      <c r="Q799" s="159">
        <f>'Monthly Prices'!B787</f>
        <v>0</v>
      </c>
      <c r="R799" s="159">
        <f t="shared" si="237"/>
        <v>0</v>
      </c>
      <c r="S799" s="155">
        <f>_xlfn.XLOOKUP(P799,'Annual Real'!A:A,'Annual Real'!B:B,0,0)</f>
        <v>0</v>
      </c>
      <c r="T799" s="155">
        <f t="shared" ca="1" si="238"/>
        <v>0.91038805107983745</v>
      </c>
      <c r="U799" s="152">
        <f t="shared" ca="1" si="239"/>
        <v>0.91038805107983745</v>
      </c>
      <c r="V799" s="152" t="b">
        <f t="shared" si="245"/>
        <v>0</v>
      </c>
      <c r="W799" s="152" t="b">
        <f t="shared" si="246"/>
        <v>0</v>
      </c>
      <c r="X799" s="154">
        <f>LOOKUP(D799,'US Implicit Deflator'!A:A,'US Implicit Deflator'!B:B)/100</f>
        <v>7.8E-2</v>
      </c>
      <c r="Y799" s="154">
        <f t="shared" si="240"/>
        <v>6.2785842352273136E-3</v>
      </c>
      <c r="Z799" s="165">
        <f t="shared" ca="1" si="241"/>
        <v>7.5009696309284388</v>
      </c>
      <c r="AA799" s="152">
        <f t="shared" si="242"/>
        <v>1</v>
      </c>
      <c r="AB799" s="153">
        <f t="shared" si="243"/>
        <v>0</v>
      </c>
      <c r="AC799" s="155">
        <f t="shared" ca="1" si="244"/>
        <v>0.91038805107983745</v>
      </c>
    </row>
    <row r="800" spans="3:29">
      <c r="C800" s="152">
        <f>'Monthly Prices'!A788</f>
        <v>0</v>
      </c>
      <c r="D800" s="153">
        <f t="shared" si="228"/>
        <v>45658</v>
      </c>
      <c r="E800" s="152">
        <f t="shared" si="229"/>
        <v>781</v>
      </c>
      <c r="F800" s="152" t="b">
        <f t="shared" si="234"/>
        <v>1</v>
      </c>
      <c r="G800" s="152" t="b">
        <f t="shared" si="235"/>
        <v>0</v>
      </c>
      <c r="H800" s="152" t="b">
        <f t="shared" si="230"/>
        <v>0</v>
      </c>
      <c r="I800" s="153" t="e">
        <f t="shared" si="236"/>
        <v>#N/A</v>
      </c>
      <c r="J800" s="158">
        <f>INDEX('Monthly Prices'!B788:CB788,$G$4)</f>
        <v>0</v>
      </c>
      <c r="K800" s="158" t="b">
        <f>IF(H800,INDEX('Monthly Prices'!B788:CB788,$G$4)*U800,FALSE)</f>
        <v>0</v>
      </c>
      <c r="L800" s="152" t="b">
        <f t="shared" si="231"/>
        <v>1</v>
      </c>
      <c r="M800" s="158">
        <f>INDEX('Monthly Prices'!B788:CB788,$G$5)</f>
        <v>0</v>
      </c>
      <c r="N800" s="158" t="b">
        <f>IF(H800,INDEX('Monthly Prices'!B788:CB788,$G$5)*U800,FALSE)</f>
        <v>0</v>
      </c>
      <c r="O800" s="152" t="b">
        <f t="shared" si="232"/>
        <v>0</v>
      </c>
      <c r="P800" s="152">
        <f t="shared" si="233"/>
        <v>2025</v>
      </c>
      <c r="Q800" s="159">
        <f>'Monthly Prices'!B788</f>
        <v>0</v>
      </c>
      <c r="R800" s="159">
        <f t="shared" si="237"/>
        <v>0</v>
      </c>
      <c r="S800" s="155">
        <f>_xlfn.XLOOKUP(P800,'Annual Real'!A:A,'Annual Real'!B:B,0,0)</f>
        <v>0</v>
      </c>
      <c r="T800" s="155">
        <f t="shared" ca="1" si="238"/>
        <v>0.90470776715548729</v>
      </c>
      <c r="U800" s="152">
        <f t="shared" ca="1" si="239"/>
        <v>0.90470776715548729</v>
      </c>
      <c r="V800" s="152" t="b">
        <f t="shared" si="245"/>
        <v>0</v>
      </c>
      <c r="W800" s="152" t="b">
        <f t="shared" si="246"/>
        <v>0</v>
      </c>
      <c r="X800" s="154">
        <f>LOOKUP(D800,'US Implicit Deflator'!A:A,'US Implicit Deflator'!B:B)/100</f>
        <v>7.8E-2</v>
      </c>
      <c r="Y800" s="154">
        <f t="shared" si="240"/>
        <v>6.2785842352273136E-3</v>
      </c>
      <c r="Z800" s="165">
        <f t="shared" ca="1" si="241"/>
        <v>7.5480651006021047</v>
      </c>
      <c r="AA800" s="152">
        <f t="shared" si="242"/>
        <v>1</v>
      </c>
      <c r="AB800" s="153">
        <f t="shared" si="243"/>
        <v>0</v>
      </c>
      <c r="AC800" s="155">
        <f t="shared" ca="1" si="244"/>
        <v>0.90470776715548729</v>
      </c>
    </row>
    <row r="801" spans="3:29">
      <c r="C801" s="152">
        <f>'Monthly Prices'!A789</f>
        <v>0</v>
      </c>
      <c r="D801" s="153">
        <f t="shared" si="228"/>
        <v>45689</v>
      </c>
      <c r="E801" s="152">
        <f t="shared" si="229"/>
        <v>782</v>
      </c>
      <c r="F801" s="152" t="b">
        <f>AND(E801&gt;='Prices for Graph'!$M$4,L801)</f>
        <v>1</v>
      </c>
      <c r="G801" s="152" t="b">
        <f>AND(E801&lt;='Prices for Graph'!$M$5,O801)</f>
        <v>0</v>
      </c>
      <c r="H801" s="152" t="b">
        <f t="shared" si="230"/>
        <v>0</v>
      </c>
      <c r="I801" s="153" t="e">
        <f t="shared" si="236"/>
        <v>#N/A</v>
      </c>
      <c r="J801" s="158">
        <f>INDEX('Monthly Prices'!B789:CB789,'Prices for Graph'!$G$4)</f>
        <v>0</v>
      </c>
      <c r="K801" s="158" t="b">
        <f>IF(H801,INDEX('Monthly Prices'!B789:CB789,$G$4)*U801,FALSE)</f>
        <v>0</v>
      </c>
      <c r="L801" s="152" t="b">
        <f t="shared" si="231"/>
        <v>1</v>
      </c>
      <c r="M801" s="158">
        <f>INDEX('Monthly Prices'!B789:CB789,'Prices for Graph'!$G$5)</f>
        <v>0</v>
      </c>
      <c r="N801" s="158" t="b">
        <f>IF(H801,INDEX('Monthly Prices'!B789:CB789,$G$5)*U801,FALSE)</f>
        <v>0</v>
      </c>
      <c r="O801" s="152" t="b">
        <f t="shared" si="232"/>
        <v>0</v>
      </c>
      <c r="P801" s="152">
        <f t="shared" si="233"/>
        <v>2025</v>
      </c>
      <c r="Q801" s="159">
        <f>'Monthly Prices'!B789</f>
        <v>0</v>
      </c>
      <c r="R801" s="159">
        <f t="shared" si="237"/>
        <v>0</v>
      </c>
      <c r="S801" s="155">
        <f>_xlfn.XLOOKUP(P801,'Annual Real'!A:A,'Annual Real'!B:B,0,0)</f>
        <v>0</v>
      </c>
      <c r="T801" s="155">
        <f t="shared" ca="1" si="238"/>
        <v>0.8990629248490527</v>
      </c>
      <c r="U801" s="152">
        <f t="shared" ca="1" si="239"/>
        <v>0.8990629248490527</v>
      </c>
      <c r="V801" s="152" t="b">
        <f t="shared" si="245"/>
        <v>0</v>
      </c>
      <c r="W801" s="152" t="b">
        <f t="shared" si="246"/>
        <v>0</v>
      </c>
      <c r="X801" s="154">
        <f>LOOKUP(D801,'US Implicit Deflator'!A:A,'US Implicit Deflator'!B:B)/100</f>
        <v>7.8E-2</v>
      </c>
      <c r="Y801" s="154">
        <f t="shared" si="240"/>
        <v>6.2785842352273136E-3</v>
      </c>
      <c r="Z801" s="165">
        <f t="shared" ca="1" si="241"/>
        <v>7.5954562631492148</v>
      </c>
      <c r="AA801" s="152">
        <f t="shared" si="242"/>
        <v>1</v>
      </c>
      <c r="AB801" s="153">
        <f t="shared" si="243"/>
        <v>0</v>
      </c>
      <c r="AC801" s="155">
        <f t="shared" ca="1" si="244"/>
        <v>0.8990629248490527</v>
      </c>
    </row>
    <row r="802" spans="3:29">
      <c r="C802" s="152">
        <f>'Monthly Prices'!A790</f>
        <v>0</v>
      </c>
      <c r="D802" s="153">
        <f t="shared" si="228"/>
        <v>45717</v>
      </c>
      <c r="E802" s="152">
        <f t="shared" si="229"/>
        <v>783</v>
      </c>
      <c r="F802" s="152" t="b">
        <f>AND(E802&gt;='Prices for Graph'!$M$4,L802)</f>
        <v>1</v>
      </c>
      <c r="G802" s="152" t="b">
        <f>AND(E802&lt;='Prices for Graph'!$M$5,O802)</f>
        <v>0</v>
      </c>
      <c r="H802" s="152" t="b">
        <f t="shared" si="230"/>
        <v>0</v>
      </c>
      <c r="I802" s="153" t="e">
        <f t="shared" si="236"/>
        <v>#N/A</v>
      </c>
      <c r="J802" s="158">
        <f>INDEX('Monthly Prices'!B790:CB790,'Prices for Graph'!$G$4)</f>
        <v>0</v>
      </c>
      <c r="K802" s="158" t="b">
        <f>IF(H802,INDEX('Monthly Prices'!B790:CB790,$G$4)*U802,FALSE)</f>
        <v>0</v>
      </c>
      <c r="L802" s="152" t="b">
        <f t="shared" si="231"/>
        <v>1</v>
      </c>
      <c r="M802" s="158">
        <f>INDEX('Monthly Prices'!B790:CB790,'Prices for Graph'!$G$5)</f>
        <v>0</v>
      </c>
      <c r="N802" s="158" t="b">
        <f>IF(H802,INDEX('Monthly Prices'!B790:CB790,$G$5)*U802,FALSE)</f>
        <v>0</v>
      </c>
      <c r="O802" s="152" t="b">
        <f t="shared" si="232"/>
        <v>0</v>
      </c>
      <c r="P802" s="152">
        <f t="shared" si="233"/>
        <v>2025</v>
      </c>
      <c r="Q802" s="159">
        <f>'Monthly Prices'!B790</f>
        <v>0</v>
      </c>
      <c r="R802" s="159">
        <f t="shared" si="237"/>
        <v>0</v>
      </c>
      <c r="S802" s="155">
        <f>_xlfn.XLOOKUP(P802,'Annual Real'!A:A,'Annual Real'!B:B,0,0)</f>
        <v>0</v>
      </c>
      <c r="T802" s="155">
        <f t="shared" ca="1" si="238"/>
        <v>0.89345330302576331</v>
      </c>
      <c r="U802" s="152">
        <f t="shared" ca="1" si="239"/>
        <v>0.89345330302576331</v>
      </c>
      <c r="V802" s="152" t="b">
        <f t="shared" si="245"/>
        <v>0</v>
      </c>
      <c r="W802" s="152" t="b">
        <f t="shared" si="246"/>
        <v>0</v>
      </c>
      <c r="X802" s="154">
        <f>LOOKUP(D802,'US Implicit Deflator'!A:A,'US Implicit Deflator'!B:B)/100</f>
        <v>7.8E-2</v>
      </c>
      <c r="Y802" s="154">
        <f t="shared" si="240"/>
        <v>6.2785842352273136E-3</v>
      </c>
      <c r="Z802" s="165">
        <f t="shared" ca="1" si="241"/>
        <v>7.6431449751023823</v>
      </c>
      <c r="AA802" s="152">
        <f t="shared" si="242"/>
        <v>1</v>
      </c>
      <c r="AB802" s="153">
        <f t="shared" si="243"/>
        <v>0</v>
      </c>
      <c r="AC802" s="155">
        <f t="shared" ca="1" si="244"/>
        <v>0.89345330302576331</v>
      </c>
    </row>
    <row r="803" spans="3:29">
      <c r="C803" s="152">
        <f>'Monthly Prices'!A791</f>
        <v>0</v>
      </c>
      <c r="D803" s="153">
        <f t="shared" si="228"/>
        <v>45748</v>
      </c>
      <c r="E803" s="152">
        <f t="shared" si="229"/>
        <v>784</v>
      </c>
      <c r="F803" s="152" t="b">
        <f>AND(E803&gt;='Prices for Graph'!$M$4,L803)</f>
        <v>1</v>
      </c>
      <c r="G803" s="152" t="b">
        <f>AND(E803&lt;='Prices for Graph'!$M$5,O803)</f>
        <v>0</v>
      </c>
      <c r="H803" s="152" t="b">
        <f t="shared" si="230"/>
        <v>0</v>
      </c>
      <c r="I803" s="153" t="e">
        <f t="shared" si="236"/>
        <v>#N/A</v>
      </c>
      <c r="J803" s="158">
        <f>INDEX('Monthly Prices'!B791:CB791,'Prices for Graph'!$G$4)</f>
        <v>0</v>
      </c>
      <c r="K803" s="158" t="b">
        <f>IF(H803,INDEX('Monthly Prices'!B791:CB791,$G$4)*U803,FALSE)</f>
        <v>0</v>
      </c>
      <c r="L803" s="152" t="b">
        <f t="shared" si="231"/>
        <v>1</v>
      </c>
      <c r="M803" s="158">
        <f>INDEX('Monthly Prices'!B791:CB791,'Prices for Graph'!$G$5)</f>
        <v>0</v>
      </c>
      <c r="N803" s="158" t="b">
        <f>IF(H803,INDEX('Monthly Prices'!B791:CB791,$G$5)*U803,FALSE)</f>
        <v>0</v>
      </c>
      <c r="O803" s="152" t="b">
        <f t="shared" si="232"/>
        <v>0</v>
      </c>
      <c r="P803" s="152">
        <f t="shared" si="233"/>
        <v>2025</v>
      </c>
      <c r="Q803" s="159">
        <f>'Monthly Prices'!B791</f>
        <v>0</v>
      </c>
      <c r="R803" s="159">
        <f t="shared" si="237"/>
        <v>0</v>
      </c>
      <c r="S803" s="155">
        <f>_xlfn.XLOOKUP(P803,'Annual Real'!A:A,'Annual Real'!B:B,0,0)</f>
        <v>0</v>
      </c>
      <c r="T803" s="155">
        <f t="shared" ca="1" si="238"/>
        <v>0.88787868193059949</v>
      </c>
      <c r="U803" s="152">
        <f t="shared" ca="1" si="239"/>
        <v>0.88787868193059949</v>
      </c>
      <c r="V803" s="152" t="b">
        <f t="shared" si="245"/>
        <v>0</v>
      </c>
      <c r="W803" s="152" t="b">
        <f t="shared" si="246"/>
        <v>0</v>
      </c>
      <c r="X803" s="154">
        <f>LOOKUP(D803,'US Implicit Deflator'!A:A,'US Implicit Deflator'!B:B)/100</f>
        <v>7.8E-2</v>
      </c>
      <c r="Y803" s="154">
        <f t="shared" si="240"/>
        <v>6.2785842352273136E-3</v>
      </c>
      <c r="Z803" s="165">
        <f t="shared" ca="1" si="241"/>
        <v>7.6911331046506168</v>
      </c>
      <c r="AA803" s="152">
        <f t="shared" si="242"/>
        <v>1</v>
      </c>
      <c r="AB803" s="153">
        <f t="shared" si="243"/>
        <v>0</v>
      </c>
      <c r="AC803" s="155">
        <f t="shared" ca="1" si="244"/>
        <v>0.88787868193059949</v>
      </c>
    </row>
    <row r="804" spans="3:29">
      <c r="C804" s="152">
        <f>'Monthly Prices'!A792</f>
        <v>0</v>
      </c>
      <c r="D804" s="153">
        <f t="shared" si="228"/>
        <v>45778</v>
      </c>
      <c r="E804" s="152">
        <f t="shared" si="229"/>
        <v>785</v>
      </c>
      <c r="F804" s="152" t="b">
        <f>AND(E804&gt;='Prices for Graph'!$M$4,L804)</f>
        <v>1</v>
      </c>
      <c r="G804" s="152" t="b">
        <f>AND(E804&lt;='Prices for Graph'!$M$5,O804)</f>
        <v>0</v>
      </c>
      <c r="H804" s="152" t="b">
        <f t="shared" si="230"/>
        <v>0</v>
      </c>
      <c r="I804" s="153" t="e">
        <f t="shared" si="236"/>
        <v>#N/A</v>
      </c>
      <c r="J804" s="158">
        <f>INDEX('Monthly Prices'!B792:CB792,'Prices for Graph'!$G$4)</f>
        <v>0</v>
      </c>
      <c r="K804" s="158" t="b">
        <f>IF(H804,INDEX('Monthly Prices'!B792:CB792,$G$4)*U804,FALSE)</f>
        <v>0</v>
      </c>
      <c r="L804" s="152" t="b">
        <f t="shared" si="231"/>
        <v>1</v>
      </c>
      <c r="M804" s="158">
        <f>INDEX('Monthly Prices'!B792:CB792,'Prices for Graph'!$G$5)</f>
        <v>0</v>
      </c>
      <c r="N804" s="158" t="b">
        <f>IF(H804,INDEX('Monthly Prices'!B792:CB792,$G$5)*U804,FALSE)</f>
        <v>0</v>
      </c>
      <c r="O804" s="152" t="b">
        <f t="shared" si="232"/>
        <v>0</v>
      </c>
      <c r="P804" s="152">
        <f t="shared" si="233"/>
        <v>2025</v>
      </c>
      <c r="Q804" s="159">
        <f>'Monthly Prices'!B792</f>
        <v>0</v>
      </c>
      <c r="R804" s="159">
        <f t="shared" si="237"/>
        <v>0</v>
      </c>
      <c r="S804" s="155">
        <f>_xlfn.XLOOKUP(P804,'Annual Real'!A:A,'Annual Real'!B:B,0,0)</f>
        <v>0</v>
      </c>
      <c r="T804" s="155">
        <f t="shared" ca="1" si="238"/>
        <v>0.88233884317968281</v>
      </c>
      <c r="U804" s="152">
        <f t="shared" ca="1" si="239"/>
        <v>0.88233884317968281</v>
      </c>
      <c r="V804" s="152" t="b">
        <f t="shared" si="245"/>
        <v>0</v>
      </c>
      <c r="W804" s="152" t="b">
        <f t="shared" si="246"/>
        <v>0</v>
      </c>
      <c r="X804" s="154">
        <f>LOOKUP(D804,'US Implicit Deflator'!A:A,'US Implicit Deflator'!B:B)/100</f>
        <v>7.8E-2</v>
      </c>
      <c r="Y804" s="154">
        <f t="shared" si="240"/>
        <v>6.2785842352273136E-3</v>
      </c>
      <c r="Z804" s="165">
        <f t="shared" ca="1" si="241"/>
        <v>7.7394225317125107</v>
      </c>
      <c r="AA804" s="152">
        <f t="shared" si="242"/>
        <v>1</v>
      </c>
      <c r="AB804" s="153">
        <f t="shared" si="243"/>
        <v>0</v>
      </c>
      <c r="AC804" s="155">
        <f t="shared" ca="1" si="244"/>
        <v>0.88233884317968281</v>
      </c>
    </row>
    <row r="805" spans="3:29">
      <c r="C805" s="152">
        <f>'Monthly Prices'!A793</f>
        <v>0</v>
      </c>
      <c r="D805" s="153">
        <f t="shared" si="228"/>
        <v>45809</v>
      </c>
      <c r="E805" s="152">
        <f t="shared" si="229"/>
        <v>786</v>
      </c>
      <c r="F805" s="152" t="b">
        <f>AND(E805&gt;='Prices for Graph'!$M$4,L805)</f>
        <v>1</v>
      </c>
      <c r="G805" s="152" t="b">
        <f>AND(E805&lt;='Prices for Graph'!$M$5,O805)</f>
        <v>0</v>
      </c>
      <c r="H805" s="152" t="b">
        <f t="shared" si="230"/>
        <v>0</v>
      </c>
      <c r="I805" s="153" t="e">
        <f t="shared" si="236"/>
        <v>#N/A</v>
      </c>
      <c r="J805" s="158">
        <f>INDEX('Monthly Prices'!B793:CB793,'Prices for Graph'!$G$4)</f>
        <v>0</v>
      </c>
      <c r="K805" s="158" t="b">
        <f>IF(H805,INDEX('Monthly Prices'!B793:CB793,$G$4)*U805,FALSE)</f>
        <v>0</v>
      </c>
      <c r="L805" s="152" t="b">
        <f t="shared" si="231"/>
        <v>1</v>
      </c>
      <c r="M805" s="158">
        <f>INDEX('Monthly Prices'!B793:CB793,'Prices for Graph'!$G$5)</f>
        <v>0</v>
      </c>
      <c r="N805" s="158" t="b">
        <f>IF(H805,INDEX('Monthly Prices'!B793:CB793,$G$5)*U805,FALSE)</f>
        <v>0</v>
      </c>
      <c r="O805" s="152" t="b">
        <f t="shared" si="232"/>
        <v>0</v>
      </c>
      <c r="P805" s="152">
        <f t="shared" si="233"/>
        <v>2025</v>
      </c>
      <c r="Q805" s="159">
        <f>'Monthly Prices'!B793</f>
        <v>0</v>
      </c>
      <c r="R805" s="159">
        <f t="shared" si="237"/>
        <v>0</v>
      </c>
      <c r="S805" s="155">
        <f>_xlfn.XLOOKUP(P805,'Annual Real'!A:A,'Annual Real'!B:B,0,0)</f>
        <v>0</v>
      </c>
      <c r="T805" s="155">
        <f t="shared" ca="1" si="238"/>
        <v>0.87683356975172155</v>
      </c>
      <c r="U805" s="152">
        <f t="shared" ca="1" si="239"/>
        <v>0.87683356975172155</v>
      </c>
      <c r="V805" s="152" t="b">
        <f t="shared" si="245"/>
        <v>0</v>
      </c>
      <c r="W805" s="152" t="b">
        <f t="shared" si="246"/>
        <v>0</v>
      </c>
      <c r="X805" s="154">
        <f>LOOKUP(D805,'US Implicit Deflator'!A:A,'US Implicit Deflator'!B:B)/100</f>
        <v>7.8E-2</v>
      </c>
      <c r="Y805" s="154">
        <f t="shared" si="240"/>
        <v>6.2785842352273136E-3</v>
      </c>
      <c r="Z805" s="165">
        <f t="shared" ca="1" si="241"/>
        <v>7.788015148009884</v>
      </c>
      <c r="AA805" s="152">
        <f t="shared" si="242"/>
        <v>1</v>
      </c>
      <c r="AB805" s="153">
        <f t="shared" si="243"/>
        <v>0</v>
      </c>
      <c r="AC805" s="155">
        <f t="shared" ca="1" si="244"/>
        <v>0.87683356975172155</v>
      </c>
    </row>
    <row r="806" spans="3:29">
      <c r="C806" s="152">
        <f>'Monthly Prices'!A794</f>
        <v>0</v>
      </c>
      <c r="D806" s="153">
        <f t="shared" si="228"/>
        <v>45839</v>
      </c>
      <c r="E806" s="152">
        <f t="shared" si="229"/>
        <v>787</v>
      </c>
      <c r="F806" s="152" t="b">
        <f>AND(E806&gt;='Prices for Graph'!$M$4,L806)</f>
        <v>1</v>
      </c>
      <c r="G806" s="152" t="b">
        <f>AND(E806&lt;='Prices for Graph'!$M$5,O806)</f>
        <v>0</v>
      </c>
      <c r="H806" s="152" t="b">
        <f t="shared" si="230"/>
        <v>0</v>
      </c>
      <c r="I806" s="153" t="e">
        <f t="shared" si="236"/>
        <v>#N/A</v>
      </c>
      <c r="J806" s="158">
        <f>INDEX('Monthly Prices'!B794:CB794,'Prices for Graph'!$G$4)</f>
        <v>0</v>
      </c>
      <c r="K806" s="158" t="b">
        <f>IF(H806,INDEX('Monthly Prices'!B794:CB794,$G$4)*U806,FALSE)</f>
        <v>0</v>
      </c>
      <c r="L806" s="152" t="b">
        <f t="shared" si="231"/>
        <v>1</v>
      </c>
      <c r="M806" s="158">
        <f>INDEX('Monthly Prices'!B794:CB794,'Prices for Graph'!$G$5)</f>
        <v>0</v>
      </c>
      <c r="N806" s="158" t="b">
        <f>IF(H806,INDEX('Monthly Prices'!B794:CB794,$G$5)*U806,FALSE)</f>
        <v>0</v>
      </c>
      <c r="O806" s="152" t="b">
        <f t="shared" si="232"/>
        <v>0</v>
      </c>
      <c r="P806" s="152">
        <f t="shared" si="233"/>
        <v>2025</v>
      </c>
      <c r="Q806" s="159">
        <f>'Monthly Prices'!B794</f>
        <v>0</v>
      </c>
      <c r="R806" s="159">
        <f t="shared" si="237"/>
        <v>0</v>
      </c>
      <c r="S806" s="155">
        <f>_xlfn.XLOOKUP(P806,'Annual Real'!A:A,'Annual Real'!B:B,0,0)</f>
        <v>0</v>
      </c>
      <c r="T806" s="155">
        <f t="shared" ca="1" si="238"/>
        <v>0.87136264597950863</v>
      </c>
      <c r="U806" s="152">
        <f t="shared" ca="1" si="239"/>
        <v>0.87136264597950863</v>
      </c>
      <c r="V806" s="152" t="b">
        <f t="shared" si="245"/>
        <v>0</v>
      </c>
      <c r="W806" s="152" t="b">
        <f t="shared" si="246"/>
        <v>0</v>
      </c>
      <c r="X806" s="154">
        <f>LOOKUP(D806,'US Implicit Deflator'!A:A,'US Implicit Deflator'!B:B)/100</f>
        <v>7.8E-2</v>
      </c>
      <c r="Y806" s="154">
        <f t="shared" si="240"/>
        <v>6.2785842352273136E-3</v>
      </c>
      <c r="Z806" s="165">
        <f t="shared" ca="1" si="241"/>
        <v>7.8369128571418907</v>
      </c>
      <c r="AA806" s="152">
        <f t="shared" si="242"/>
        <v>1</v>
      </c>
      <c r="AB806" s="153">
        <f t="shared" si="243"/>
        <v>0</v>
      </c>
      <c r="AC806" s="155">
        <f t="shared" ca="1" si="244"/>
        <v>0.87136264597950863</v>
      </c>
    </row>
    <row r="807" spans="3:29">
      <c r="C807" s="152">
        <f>'Monthly Prices'!A795</f>
        <v>0</v>
      </c>
      <c r="D807" s="153">
        <f t="shared" si="228"/>
        <v>45870</v>
      </c>
      <c r="E807" s="152">
        <f t="shared" si="229"/>
        <v>788</v>
      </c>
      <c r="F807" s="152" t="b">
        <f>AND(E807&gt;='Prices for Graph'!$M$4,L807)</f>
        <v>1</v>
      </c>
      <c r="G807" s="152" t="b">
        <f>AND(E807&lt;='Prices for Graph'!$M$5,O807)</f>
        <v>0</v>
      </c>
      <c r="H807" s="152" t="b">
        <f t="shared" si="230"/>
        <v>0</v>
      </c>
      <c r="I807" s="153" t="e">
        <f t="shared" si="236"/>
        <v>#N/A</v>
      </c>
      <c r="J807" s="158">
        <f>INDEX('Monthly Prices'!B795:CB795,'Prices for Graph'!$G$4)</f>
        <v>0</v>
      </c>
      <c r="K807" s="158" t="b">
        <f>IF(H807,INDEX('Monthly Prices'!B795:CB795,$G$4)*U807,FALSE)</f>
        <v>0</v>
      </c>
      <c r="L807" s="152" t="b">
        <f t="shared" si="231"/>
        <v>1</v>
      </c>
      <c r="M807" s="158">
        <f>INDEX('Monthly Prices'!B795:CB795,'Prices for Graph'!$G$5)</f>
        <v>0</v>
      </c>
      <c r="N807" s="158" t="b">
        <f>IF(H807,INDEX('Monthly Prices'!B795:CB795,$G$5)*U807,FALSE)</f>
        <v>0</v>
      </c>
      <c r="O807" s="152" t="b">
        <f t="shared" si="232"/>
        <v>0</v>
      </c>
      <c r="P807" s="152">
        <f t="shared" si="233"/>
        <v>2025</v>
      </c>
      <c r="Q807" s="159">
        <f>'Monthly Prices'!B795</f>
        <v>0</v>
      </c>
      <c r="R807" s="159">
        <f t="shared" si="237"/>
        <v>0</v>
      </c>
      <c r="S807" s="155">
        <f>_xlfn.XLOOKUP(P807,'Annual Real'!A:A,'Annual Real'!B:B,0,0)</f>
        <v>0</v>
      </c>
      <c r="T807" s="155">
        <f t="shared" ca="1" si="238"/>
        <v>0.865925857541473</v>
      </c>
      <c r="U807" s="152">
        <f t="shared" ca="1" si="239"/>
        <v>0.865925857541473</v>
      </c>
      <c r="V807" s="152" t="b">
        <f t="shared" si="245"/>
        <v>0</v>
      </c>
      <c r="W807" s="152" t="b">
        <f t="shared" si="246"/>
        <v>0</v>
      </c>
      <c r="X807" s="154">
        <f>LOOKUP(D807,'US Implicit Deflator'!A:A,'US Implicit Deflator'!B:B)/100</f>
        <v>7.8E-2</v>
      </c>
      <c r="Y807" s="154">
        <f t="shared" si="240"/>
        <v>6.2785842352273136E-3</v>
      </c>
      <c r="Z807" s="165">
        <f t="shared" ca="1" si="241"/>
        <v>7.8861175746595924</v>
      </c>
      <c r="AA807" s="152">
        <f t="shared" si="242"/>
        <v>1</v>
      </c>
      <c r="AB807" s="153">
        <f t="shared" si="243"/>
        <v>0</v>
      </c>
      <c r="AC807" s="155">
        <f t="shared" ca="1" si="244"/>
        <v>0.865925857541473</v>
      </c>
    </row>
    <row r="808" spans="3:29">
      <c r="C808" s="152">
        <f>'Monthly Prices'!A796</f>
        <v>0</v>
      </c>
      <c r="D808" s="153">
        <f t="shared" si="228"/>
        <v>45901</v>
      </c>
      <c r="E808" s="152">
        <f t="shared" si="229"/>
        <v>789</v>
      </c>
      <c r="F808" s="152" t="b">
        <f>AND(E808&gt;='Prices for Graph'!$M$4,L808)</f>
        <v>1</v>
      </c>
      <c r="G808" s="152" t="b">
        <f>AND(E808&lt;='Prices for Graph'!$M$5,O808)</f>
        <v>0</v>
      </c>
      <c r="H808" s="152" t="b">
        <f t="shared" si="230"/>
        <v>0</v>
      </c>
      <c r="I808" s="153" t="e">
        <f t="shared" si="236"/>
        <v>#N/A</v>
      </c>
      <c r="J808" s="158">
        <f>INDEX('Monthly Prices'!B796:CB796,'Prices for Graph'!$G$4)</f>
        <v>0</v>
      </c>
      <c r="K808" s="158" t="b">
        <f>IF(H808,INDEX('Monthly Prices'!B796:CB796,$G$4)*U808,FALSE)</f>
        <v>0</v>
      </c>
      <c r="L808" s="152" t="b">
        <f t="shared" si="231"/>
        <v>1</v>
      </c>
      <c r="M808" s="158">
        <f>INDEX('Monthly Prices'!B796:CB796,'Prices for Graph'!$G$5)</f>
        <v>0</v>
      </c>
      <c r="N808" s="158" t="b">
        <f>IF(H808,INDEX('Monthly Prices'!B796:CB796,$G$5)*U808,FALSE)</f>
        <v>0</v>
      </c>
      <c r="O808" s="152" t="b">
        <f t="shared" si="232"/>
        <v>0</v>
      </c>
      <c r="P808" s="152">
        <f t="shared" si="233"/>
        <v>2025</v>
      </c>
      <c r="Q808" s="159">
        <f>'Monthly Prices'!B796</f>
        <v>0</v>
      </c>
      <c r="R808" s="159">
        <f t="shared" si="237"/>
        <v>0</v>
      </c>
      <c r="S808" s="155">
        <f>_xlfn.XLOOKUP(P808,'Annual Real'!A:A,'Annual Real'!B:B,0,0)</f>
        <v>0</v>
      </c>
      <c r="T808" s="155">
        <f t="shared" ca="1" si="238"/>
        <v>0.86052299145328381</v>
      </c>
      <c r="U808" s="152">
        <f t="shared" ca="1" si="239"/>
        <v>0.86052299145328381</v>
      </c>
      <c r="V808" s="152" t="b">
        <f t="shared" si="245"/>
        <v>0</v>
      </c>
      <c r="W808" s="152" t="b">
        <f t="shared" si="246"/>
        <v>0</v>
      </c>
      <c r="X808" s="154">
        <f>LOOKUP(D808,'US Implicit Deflator'!A:A,'US Implicit Deflator'!B:B)/100</f>
        <v>7.8E-2</v>
      </c>
      <c r="Y808" s="154">
        <f t="shared" si="240"/>
        <v>6.2785842352273136E-3</v>
      </c>
      <c r="Z808" s="165">
        <f t="shared" ca="1" si="241"/>
        <v>7.9356312281409993</v>
      </c>
      <c r="AA808" s="152">
        <f t="shared" si="242"/>
        <v>1</v>
      </c>
      <c r="AB808" s="153">
        <f t="shared" si="243"/>
        <v>0</v>
      </c>
      <c r="AC808" s="155">
        <f t="shared" ca="1" si="244"/>
        <v>0.86052299145328381</v>
      </c>
    </row>
    <row r="809" spans="3:29">
      <c r="C809" s="152">
        <f>'Monthly Prices'!A797</f>
        <v>0</v>
      </c>
      <c r="D809" s="153">
        <f t="shared" si="228"/>
        <v>45931</v>
      </c>
      <c r="E809" s="152">
        <f t="shared" si="229"/>
        <v>790</v>
      </c>
      <c r="F809" s="152" t="b">
        <f>AND(E809&gt;='Prices for Graph'!$M$4,L809)</f>
        <v>1</v>
      </c>
      <c r="G809" s="152" t="b">
        <f>AND(E809&lt;='Prices for Graph'!$M$5,O809)</f>
        <v>0</v>
      </c>
      <c r="H809" s="152" t="b">
        <f t="shared" si="230"/>
        <v>0</v>
      </c>
      <c r="I809" s="153" t="e">
        <f t="shared" si="236"/>
        <v>#N/A</v>
      </c>
      <c r="J809" s="158">
        <f>INDEX('Monthly Prices'!B797:CB797,'Prices for Graph'!$G$4)</f>
        <v>0</v>
      </c>
      <c r="K809" s="158" t="b">
        <f>IF(H809,INDEX('Monthly Prices'!B797:CB797,$G$4)*U809,FALSE)</f>
        <v>0</v>
      </c>
      <c r="L809" s="152" t="b">
        <f t="shared" si="231"/>
        <v>1</v>
      </c>
      <c r="M809" s="158">
        <f>INDEX('Monthly Prices'!B797:CB797,'Prices for Graph'!$G$5)</f>
        <v>0</v>
      </c>
      <c r="N809" s="158" t="b">
        <f>IF(H809,INDEX('Monthly Prices'!B797:CB797,$G$5)*U809,FALSE)</f>
        <v>0</v>
      </c>
      <c r="O809" s="152" t="b">
        <f t="shared" si="232"/>
        <v>0</v>
      </c>
      <c r="P809" s="152">
        <f t="shared" si="233"/>
        <v>2025</v>
      </c>
      <c r="Q809" s="159">
        <f>'Monthly Prices'!B797</f>
        <v>0</v>
      </c>
      <c r="R809" s="159">
        <f t="shared" si="237"/>
        <v>0</v>
      </c>
      <c r="S809" s="155">
        <f>_xlfn.XLOOKUP(P809,'Annual Real'!A:A,'Annual Real'!B:B,0,0)</f>
        <v>0</v>
      </c>
      <c r="T809" s="155">
        <f t="shared" ca="1" si="238"/>
        <v>0.85515383605950646</v>
      </c>
      <c r="U809" s="152">
        <f t="shared" ca="1" si="239"/>
        <v>0.85515383605950646</v>
      </c>
      <c r="V809" s="152" t="b">
        <f t="shared" si="245"/>
        <v>0</v>
      </c>
      <c r="W809" s="152" t="b">
        <f t="shared" si="246"/>
        <v>0</v>
      </c>
      <c r="X809" s="154">
        <f>LOOKUP(D809,'US Implicit Deflator'!A:A,'US Implicit Deflator'!B:B)/100</f>
        <v>7.8E-2</v>
      </c>
      <c r="Y809" s="154">
        <f t="shared" si="240"/>
        <v>6.2785842352273136E-3</v>
      </c>
      <c r="Z809" s="165">
        <f t="shared" ca="1" si="241"/>
        <v>7.9854557572665827</v>
      </c>
      <c r="AA809" s="152">
        <f t="shared" si="242"/>
        <v>1</v>
      </c>
      <c r="AB809" s="153">
        <f t="shared" si="243"/>
        <v>0</v>
      </c>
      <c r="AC809" s="155">
        <f t="shared" ca="1" si="244"/>
        <v>0.85515383605950646</v>
      </c>
    </row>
    <row r="810" spans="3:29">
      <c r="C810" s="152">
        <f>'Monthly Prices'!A798</f>
        <v>0</v>
      </c>
      <c r="D810" s="153">
        <f t="shared" si="228"/>
        <v>45962</v>
      </c>
      <c r="E810" s="152">
        <f t="shared" si="229"/>
        <v>791</v>
      </c>
      <c r="F810" s="152" t="b">
        <f>AND(E810&gt;='Prices for Graph'!$M$4,L810)</f>
        <v>1</v>
      </c>
      <c r="G810" s="152" t="b">
        <f>AND(E810&lt;='Prices for Graph'!$M$5,O810)</f>
        <v>0</v>
      </c>
      <c r="H810" s="152" t="b">
        <f t="shared" si="230"/>
        <v>0</v>
      </c>
      <c r="I810" s="153" t="e">
        <f t="shared" si="236"/>
        <v>#N/A</v>
      </c>
      <c r="J810" s="158">
        <f>INDEX('Monthly Prices'!B798:CB798,'Prices for Graph'!$G$4)</f>
        <v>0</v>
      </c>
      <c r="K810" s="158" t="b">
        <f>IF(H810,INDEX('Monthly Prices'!B798:CB798,$G$4)*U810,FALSE)</f>
        <v>0</v>
      </c>
      <c r="L810" s="152" t="b">
        <f t="shared" si="231"/>
        <v>1</v>
      </c>
      <c r="M810" s="158">
        <f>INDEX('Monthly Prices'!B798:CB798,'Prices for Graph'!$G$5)</f>
        <v>0</v>
      </c>
      <c r="N810" s="158" t="b">
        <f>IF(H810,INDEX('Monthly Prices'!B798:CB798,$G$5)*U810,FALSE)</f>
        <v>0</v>
      </c>
      <c r="O810" s="152" t="b">
        <f t="shared" si="232"/>
        <v>0</v>
      </c>
      <c r="P810" s="152">
        <f t="shared" si="233"/>
        <v>2025</v>
      </c>
      <c r="Q810" s="159">
        <f>'Monthly Prices'!B798</f>
        <v>0</v>
      </c>
      <c r="R810" s="159">
        <f t="shared" si="237"/>
        <v>0</v>
      </c>
      <c r="S810" s="155">
        <f>_xlfn.XLOOKUP(P810,'Annual Real'!A:A,'Annual Real'!B:B,0,0)</f>
        <v>0</v>
      </c>
      <c r="T810" s="155">
        <f t="shared" ca="1" si="238"/>
        <v>0.84981818102531137</v>
      </c>
      <c r="U810" s="152">
        <f t="shared" ca="1" si="239"/>
        <v>0.84981818102531137</v>
      </c>
      <c r="V810" s="152" t="b">
        <f t="shared" si="245"/>
        <v>0</v>
      </c>
      <c r="W810" s="152" t="b">
        <f t="shared" si="246"/>
        <v>0</v>
      </c>
      <c r="X810" s="154">
        <f>LOOKUP(D810,'US Implicit Deflator'!A:A,'US Implicit Deflator'!B:B)/100</f>
        <v>7.8E-2</v>
      </c>
      <c r="Y810" s="154">
        <f t="shared" si="240"/>
        <v>6.2785842352273136E-3</v>
      </c>
      <c r="Z810" s="165">
        <f t="shared" ca="1" si="241"/>
        <v>8.0355931138952617</v>
      </c>
      <c r="AA810" s="152">
        <f t="shared" si="242"/>
        <v>1</v>
      </c>
      <c r="AB810" s="153">
        <f t="shared" si="243"/>
        <v>0</v>
      </c>
      <c r="AC810" s="155">
        <f t="shared" ca="1" si="244"/>
        <v>0.84981818102531137</v>
      </c>
    </row>
    <row r="811" spans="3:29">
      <c r="C811" s="152">
        <f>'Monthly Prices'!A799</f>
        <v>0</v>
      </c>
      <c r="D811" s="153">
        <f t="shared" si="228"/>
        <v>45992</v>
      </c>
      <c r="E811" s="152">
        <f t="shared" si="229"/>
        <v>792</v>
      </c>
      <c r="F811" s="152" t="b">
        <f>AND(E811&gt;='Prices for Graph'!$M$4,L811)</f>
        <v>1</v>
      </c>
      <c r="G811" s="152" t="b">
        <f>AND(E811&lt;='Prices for Graph'!$M$5,O811)</f>
        <v>0</v>
      </c>
      <c r="H811" s="152" t="b">
        <f t="shared" si="230"/>
        <v>0</v>
      </c>
      <c r="I811" s="153" t="e">
        <f t="shared" si="236"/>
        <v>#N/A</v>
      </c>
      <c r="J811" s="158">
        <f>INDEX('Monthly Prices'!B799:CB799,'Prices for Graph'!$G$4)</f>
        <v>0</v>
      </c>
      <c r="K811" s="158" t="b">
        <f>IF(H811,INDEX('Monthly Prices'!B799:CB799,$G$4)*U811,FALSE)</f>
        <v>0</v>
      </c>
      <c r="L811" s="152" t="b">
        <f t="shared" si="231"/>
        <v>1</v>
      </c>
      <c r="M811" s="158">
        <f>INDEX('Monthly Prices'!B799:CB799,'Prices for Graph'!$G$5)</f>
        <v>0</v>
      </c>
      <c r="N811" s="158" t="b">
        <f>IF(H811,INDEX('Monthly Prices'!B799:CB799,$G$5)*U811,FALSE)</f>
        <v>0</v>
      </c>
      <c r="O811" s="152" t="b">
        <f t="shared" si="232"/>
        <v>0</v>
      </c>
      <c r="P811" s="152">
        <f t="shared" si="233"/>
        <v>2025</v>
      </c>
      <c r="Q811" s="159">
        <f>'Monthly Prices'!B799</f>
        <v>0</v>
      </c>
      <c r="R811" s="159">
        <f t="shared" si="237"/>
        <v>0</v>
      </c>
      <c r="S811" s="155">
        <f>_xlfn.XLOOKUP(P811,'Annual Real'!A:A,'Annual Real'!B:B,0,0)</f>
        <v>0</v>
      </c>
      <c r="T811" s="155">
        <f t="shared" ca="1" si="238"/>
        <v>0.84451581732823422</v>
      </c>
      <c r="U811" s="152">
        <f t="shared" ca="1" si="239"/>
        <v>0.84451581732823422</v>
      </c>
      <c r="V811" s="152" t="b">
        <f t="shared" si="245"/>
        <v>0</v>
      </c>
      <c r="W811" s="152" t="b">
        <f t="shared" si="246"/>
        <v>0</v>
      </c>
      <c r="X811" s="154">
        <f>LOOKUP(D811,'US Implicit Deflator'!A:A,'US Implicit Deflator'!B:B)/100</f>
        <v>7.8E-2</v>
      </c>
      <c r="Y811" s="154">
        <f t="shared" si="240"/>
        <v>6.2785842352273136E-3</v>
      </c>
      <c r="Z811" s="165">
        <f t="shared" ca="1" si="241"/>
        <v>8.0860452621408658</v>
      </c>
      <c r="AA811" s="152">
        <f t="shared" si="242"/>
        <v>1</v>
      </c>
      <c r="AB811" s="153">
        <f t="shared" si="243"/>
        <v>0</v>
      </c>
      <c r="AC811" s="155">
        <f t="shared" ca="1" si="244"/>
        <v>0.84451581732823422</v>
      </c>
    </row>
    <row r="812" spans="3:29">
      <c r="C812" s="152">
        <f>'Monthly Prices'!A800</f>
        <v>0</v>
      </c>
      <c r="D812" s="153">
        <f t="shared" si="228"/>
        <v>46023</v>
      </c>
      <c r="E812" s="152">
        <f t="shared" si="229"/>
        <v>793</v>
      </c>
      <c r="F812" s="152" t="b">
        <f>AND(E812&gt;='Prices for Graph'!$M$4,L812)</f>
        <v>1</v>
      </c>
      <c r="G812" s="152" t="b">
        <f>AND(E812&lt;='Prices for Graph'!$M$5,O812)</f>
        <v>0</v>
      </c>
      <c r="H812" s="152" t="b">
        <f t="shared" si="230"/>
        <v>0</v>
      </c>
      <c r="I812" s="153" t="e">
        <f t="shared" si="236"/>
        <v>#N/A</v>
      </c>
      <c r="J812" s="158">
        <f>INDEX('Monthly Prices'!B800:CB800,'Prices for Graph'!$G$4)</f>
        <v>0</v>
      </c>
      <c r="K812" s="158" t="b">
        <f>IF(H812,INDEX('Monthly Prices'!B800:CB800,$G$4)*U812,FALSE)</f>
        <v>0</v>
      </c>
      <c r="L812" s="152" t="b">
        <f t="shared" si="231"/>
        <v>1</v>
      </c>
      <c r="M812" s="158">
        <f>INDEX('Monthly Prices'!B800:CB800,'Prices for Graph'!$G$5)</f>
        <v>0</v>
      </c>
      <c r="N812" s="158" t="b">
        <f>IF(H812,INDEX('Monthly Prices'!B800:CB800,$G$5)*U812,FALSE)</f>
        <v>0</v>
      </c>
      <c r="O812" s="152" t="b">
        <f t="shared" si="232"/>
        <v>0</v>
      </c>
      <c r="P812" s="152">
        <f t="shared" si="233"/>
        <v>2026</v>
      </c>
      <c r="Q812" s="159">
        <f>'Monthly Prices'!B800</f>
        <v>0</v>
      </c>
      <c r="R812" s="159">
        <f t="shared" si="237"/>
        <v>0</v>
      </c>
      <c r="S812" s="155">
        <f>_xlfn.XLOOKUP(P812,'Annual Real'!A:A,'Annual Real'!B:B,0,0)</f>
        <v>0</v>
      </c>
      <c r="T812" s="155">
        <f t="shared" ca="1" si="238"/>
        <v>0.83924653724998721</v>
      </c>
      <c r="U812" s="152">
        <f t="shared" ca="1" si="239"/>
        <v>0.83924653724998721</v>
      </c>
      <c r="V812" s="152" t="b">
        <f t="shared" si="245"/>
        <v>0</v>
      </c>
      <c r="W812" s="152" t="b">
        <f t="shared" si="246"/>
        <v>0</v>
      </c>
      <c r="X812" s="154">
        <f>LOOKUP(D812,'US Implicit Deflator'!A:A,'US Implicit Deflator'!B:B)/100</f>
        <v>7.8E-2</v>
      </c>
      <c r="Y812" s="154">
        <f t="shared" si="240"/>
        <v>6.2785842352273136E-3</v>
      </c>
      <c r="Z812" s="165">
        <f t="shared" ca="1" si="241"/>
        <v>8.1368141784490788</v>
      </c>
      <c r="AA812" s="152">
        <f t="shared" si="242"/>
        <v>1</v>
      </c>
      <c r="AB812" s="153">
        <f t="shared" si="243"/>
        <v>0</v>
      </c>
      <c r="AC812" s="155">
        <f t="shared" ca="1" si="244"/>
        <v>0.83924653724998721</v>
      </c>
    </row>
    <row r="813" spans="3:29">
      <c r="C813" s="152">
        <f>'Monthly Prices'!A801</f>
        <v>0</v>
      </c>
      <c r="D813" s="153">
        <f t="shared" si="228"/>
        <v>46054</v>
      </c>
      <c r="E813" s="152">
        <f t="shared" si="229"/>
        <v>794</v>
      </c>
      <c r="F813" s="152" t="b">
        <f>AND(E813&gt;='Prices for Graph'!$M$4,L813)</f>
        <v>1</v>
      </c>
      <c r="G813" s="152" t="b">
        <f>AND(E813&lt;='Prices for Graph'!$M$5,O813)</f>
        <v>0</v>
      </c>
      <c r="H813" s="152" t="b">
        <f t="shared" si="230"/>
        <v>0</v>
      </c>
      <c r="I813" s="153" t="e">
        <f t="shared" si="236"/>
        <v>#N/A</v>
      </c>
      <c r="J813" s="158">
        <f>INDEX('Monthly Prices'!B801:CB801,'Prices for Graph'!$G$4)</f>
        <v>0</v>
      </c>
      <c r="K813" s="158" t="b">
        <f>IF(H813,INDEX('Monthly Prices'!B801:CB801,$G$4)*U813,FALSE)</f>
        <v>0</v>
      </c>
      <c r="L813" s="152" t="b">
        <f t="shared" si="231"/>
        <v>1</v>
      </c>
      <c r="M813" s="158">
        <f>INDEX('Monthly Prices'!B801:CB801,'Prices for Graph'!$G$5)</f>
        <v>0</v>
      </c>
      <c r="N813" s="158" t="b">
        <f>IF(H813,INDEX('Monthly Prices'!B801:CB801,$G$5)*U813,FALSE)</f>
        <v>0</v>
      </c>
      <c r="O813" s="152" t="b">
        <f t="shared" si="232"/>
        <v>0</v>
      </c>
      <c r="P813" s="152">
        <f t="shared" si="233"/>
        <v>2026</v>
      </c>
      <c r="Q813" s="159">
        <f>'Monthly Prices'!B801</f>
        <v>0</v>
      </c>
      <c r="R813" s="159">
        <f t="shared" si="237"/>
        <v>0</v>
      </c>
      <c r="S813" s="155">
        <f>_xlfn.XLOOKUP(P813,'Annual Real'!A:A,'Annual Real'!B:B,0,0)</f>
        <v>0</v>
      </c>
      <c r="T813" s="155">
        <f t="shared" ca="1" si="238"/>
        <v>0.83401013436832239</v>
      </c>
      <c r="U813" s="152">
        <f t="shared" ca="1" si="239"/>
        <v>0.83401013436832239</v>
      </c>
      <c r="V813" s="152" t="b">
        <f t="shared" si="245"/>
        <v>0</v>
      </c>
      <c r="W813" s="152" t="b">
        <f t="shared" si="246"/>
        <v>0</v>
      </c>
      <c r="X813" s="154">
        <f>LOOKUP(D813,'US Implicit Deflator'!A:A,'US Implicit Deflator'!B:B)/100</f>
        <v>7.8E-2</v>
      </c>
      <c r="Y813" s="154">
        <f t="shared" si="240"/>
        <v>6.2785842352273136E-3</v>
      </c>
      <c r="Z813" s="165">
        <f t="shared" ca="1" si="241"/>
        <v>8.1879018516748641</v>
      </c>
      <c r="AA813" s="152">
        <f t="shared" si="242"/>
        <v>1</v>
      </c>
      <c r="AB813" s="153">
        <f t="shared" si="243"/>
        <v>0</v>
      </c>
      <c r="AC813" s="155">
        <f t="shared" ca="1" si="244"/>
        <v>0.83401013436832239</v>
      </c>
    </row>
    <row r="814" spans="3:29">
      <c r="C814" s="152">
        <f>'Monthly Prices'!A802</f>
        <v>0</v>
      </c>
      <c r="D814" s="153">
        <f t="shared" si="228"/>
        <v>46082</v>
      </c>
      <c r="E814" s="152">
        <f t="shared" si="229"/>
        <v>795</v>
      </c>
      <c r="F814" s="152" t="b">
        <f>AND(E814&gt;='Prices for Graph'!$M$4,L814)</f>
        <v>1</v>
      </c>
      <c r="G814" s="152" t="b">
        <f>AND(E814&lt;='Prices for Graph'!$M$5,O814)</f>
        <v>0</v>
      </c>
      <c r="H814" s="152" t="b">
        <f t="shared" si="230"/>
        <v>0</v>
      </c>
      <c r="I814" s="153" t="e">
        <f t="shared" si="236"/>
        <v>#N/A</v>
      </c>
      <c r="J814" s="158">
        <f>INDEX('Monthly Prices'!B802:CB802,'Prices for Graph'!$G$4)</f>
        <v>0</v>
      </c>
      <c r="K814" s="158" t="b">
        <f>IF(H814,INDEX('Monthly Prices'!B802:CB802,$G$4)*U814,FALSE)</f>
        <v>0</v>
      </c>
      <c r="L814" s="152" t="b">
        <f t="shared" si="231"/>
        <v>1</v>
      </c>
      <c r="M814" s="158">
        <f>INDEX('Monthly Prices'!B802:CB802,'Prices for Graph'!$G$5)</f>
        <v>0</v>
      </c>
      <c r="N814" s="158" t="b">
        <f>IF(H814,INDEX('Monthly Prices'!B802:CB802,$G$5)*U814,FALSE)</f>
        <v>0</v>
      </c>
      <c r="O814" s="152" t="b">
        <f t="shared" si="232"/>
        <v>0</v>
      </c>
      <c r="P814" s="152">
        <f t="shared" si="233"/>
        <v>2026</v>
      </c>
      <c r="Q814" s="159">
        <f>'Monthly Prices'!B802</f>
        <v>0</v>
      </c>
      <c r="R814" s="159">
        <f t="shared" si="237"/>
        <v>0</v>
      </c>
      <c r="S814" s="155">
        <f>_xlfn.XLOOKUP(P814,'Annual Real'!A:A,'Annual Real'!B:B,0,0)</f>
        <v>0</v>
      </c>
      <c r="T814" s="155">
        <f t="shared" ca="1" si="238"/>
        <v>0.82880640354894453</v>
      </c>
      <c r="U814" s="152">
        <f t="shared" ca="1" si="239"/>
        <v>0.82880640354894453</v>
      </c>
      <c r="V814" s="152" t="b">
        <f t="shared" si="245"/>
        <v>0</v>
      </c>
      <c r="W814" s="152" t="b">
        <f t="shared" si="246"/>
        <v>0</v>
      </c>
      <c r="X814" s="154">
        <f>LOOKUP(D814,'US Implicit Deflator'!A:A,'US Implicit Deflator'!B:B)/100</f>
        <v>7.8E-2</v>
      </c>
      <c r="Y814" s="154">
        <f t="shared" si="240"/>
        <v>6.2785842352273136E-3</v>
      </c>
      <c r="Z814" s="165">
        <f t="shared" ca="1" si="241"/>
        <v>8.2393102831603784</v>
      </c>
      <c r="AA814" s="152">
        <f t="shared" si="242"/>
        <v>1</v>
      </c>
      <c r="AB814" s="153">
        <f t="shared" si="243"/>
        <v>0</v>
      </c>
      <c r="AC814" s="155">
        <f t="shared" ca="1" si="244"/>
        <v>0.82880640354894453</v>
      </c>
    </row>
    <row r="815" spans="3:29">
      <c r="C815" s="152">
        <f>'Monthly Prices'!A803</f>
        <v>0</v>
      </c>
      <c r="D815" s="153">
        <f t="shared" si="228"/>
        <v>46113</v>
      </c>
      <c r="E815" s="152">
        <f t="shared" si="229"/>
        <v>796</v>
      </c>
      <c r="F815" s="152" t="b">
        <f>AND(E815&gt;='Prices for Graph'!$M$4,L815)</f>
        <v>1</v>
      </c>
      <c r="G815" s="152" t="b">
        <f>AND(E815&lt;='Prices for Graph'!$M$5,O815)</f>
        <v>0</v>
      </c>
      <c r="H815" s="152" t="b">
        <f t="shared" si="230"/>
        <v>0</v>
      </c>
      <c r="I815" s="153" t="e">
        <f t="shared" si="236"/>
        <v>#N/A</v>
      </c>
      <c r="J815" s="158">
        <f>INDEX('Monthly Prices'!B803:CB803,'Prices for Graph'!$G$4)</f>
        <v>0</v>
      </c>
      <c r="K815" s="158" t="b">
        <f>IF(H815,INDEX('Monthly Prices'!B803:CB803,$G$4)*U815,FALSE)</f>
        <v>0</v>
      </c>
      <c r="L815" s="152" t="b">
        <f t="shared" si="231"/>
        <v>1</v>
      </c>
      <c r="M815" s="158">
        <f>INDEX('Monthly Prices'!B803:CB803,'Prices for Graph'!$G$5)</f>
        <v>0</v>
      </c>
      <c r="N815" s="158" t="b">
        <f>IF(H815,INDEX('Monthly Prices'!B803:CB803,$G$5)*U815,FALSE)</f>
        <v>0</v>
      </c>
      <c r="O815" s="152" t="b">
        <f t="shared" si="232"/>
        <v>0</v>
      </c>
      <c r="P815" s="152">
        <f t="shared" si="233"/>
        <v>2026</v>
      </c>
      <c r="Q815" s="159">
        <f>'Monthly Prices'!B803</f>
        <v>0</v>
      </c>
      <c r="R815" s="159">
        <f t="shared" si="237"/>
        <v>0</v>
      </c>
      <c r="S815" s="155">
        <f>_xlfn.XLOOKUP(P815,'Annual Real'!A:A,'Annual Real'!B:B,0,0)</f>
        <v>0</v>
      </c>
      <c r="T815" s="155">
        <f t="shared" ca="1" si="238"/>
        <v>0.82363514093747525</v>
      </c>
      <c r="U815" s="152">
        <f t="shared" ca="1" si="239"/>
        <v>0.82363514093747525</v>
      </c>
      <c r="V815" s="152" t="b">
        <f t="shared" si="245"/>
        <v>0</v>
      </c>
      <c r="W815" s="152" t="b">
        <f t="shared" si="246"/>
        <v>0</v>
      </c>
      <c r="X815" s="154">
        <f>LOOKUP(D815,'US Implicit Deflator'!A:A,'US Implicit Deflator'!B:B)/100</f>
        <v>7.8E-2</v>
      </c>
      <c r="Y815" s="154">
        <f t="shared" si="240"/>
        <v>6.2785842352273136E-3</v>
      </c>
      <c r="Z815" s="165">
        <f t="shared" ca="1" si="241"/>
        <v>8.2910414868133753</v>
      </c>
      <c r="AA815" s="152">
        <f t="shared" si="242"/>
        <v>1</v>
      </c>
      <c r="AB815" s="153">
        <f t="shared" si="243"/>
        <v>0</v>
      </c>
      <c r="AC815" s="155">
        <f t="shared" ca="1" si="244"/>
        <v>0.82363514093747525</v>
      </c>
    </row>
  </sheetData>
  <conditionalFormatting sqref="F20:H815">
    <cfRule type="containsText" dxfId="4" priority="1" operator="containsText" text="F">
      <formula>NOT(ISERROR(SEARCH("F",F20)))</formula>
    </cfRule>
    <cfRule type="containsText" dxfId="3" priority="2" operator="containsText" text="T">
      <formula>NOT(ISERROR(SEARCH("T",F20)))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953" r:id="rId3" name="Drop Down 1">
              <controlPr defaultSize="0" autoLine="0" autoPict="0">
                <anchor moveWithCells="1">
                  <from>
                    <xdr:col>10</xdr:col>
                    <xdr:colOff>495300</xdr:colOff>
                    <xdr:row>3</xdr:row>
                    <xdr:rowOff>11430</xdr:rowOff>
                  </from>
                  <to>
                    <xdr:col>12</xdr:col>
                    <xdr:colOff>95250</xdr:colOff>
                    <xdr:row>3</xdr:row>
                    <xdr:rowOff>160020</xdr:rowOff>
                  </to>
                </anchor>
              </controlPr>
            </control>
          </mc:Choice>
        </mc:AlternateContent>
        <mc:AlternateContent xmlns:mc="http://schemas.openxmlformats.org/markup-compatibility/2006">
          <mc:Choice Requires="x14">
            <control shapeId="125954" r:id="rId4" name="Drop Down 2">
              <controlPr defaultSize="0" autoLine="0" autoPict="0">
                <anchor moveWithCells="1">
                  <from>
                    <xdr:col>3</xdr:col>
                    <xdr:colOff>430530</xdr:colOff>
                    <xdr:row>3</xdr:row>
                    <xdr:rowOff>0</xdr:rowOff>
                  </from>
                  <to>
                    <xdr:col>5</xdr:col>
                    <xdr:colOff>598170</xdr:colOff>
                    <xdr:row>4</xdr:row>
                    <xdr:rowOff>0</xdr:rowOff>
                  </to>
                </anchor>
              </controlPr>
            </control>
          </mc:Choice>
        </mc:AlternateContent>
        <mc:AlternateContent xmlns:mc="http://schemas.openxmlformats.org/markup-compatibility/2006">
          <mc:Choice Requires="x14">
            <control shapeId="125955" r:id="rId5" name="Drop Down 3">
              <controlPr defaultSize="0" autoLine="0" autoPict="0">
                <anchor moveWithCells="1">
                  <from>
                    <xdr:col>3</xdr:col>
                    <xdr:colOff>419100</xdr:colOff>
                    <xdr:row>4</xdr:row>
                    <xdr:rowOff>19050</xdr:rowOff>
                  </from>
                  <to>
                    <xdr:col>5</xdr:col>
                    <xdr:colOff>582930</xdr:colOff>
                    <xdr:row>5</xdr:row>
                    <xdr:rowOff>19050</xdr:rowOff>
                  </to>
                </anchor>
              </controlPr>
            </control>
          </mc:Choice>
        </mc:AlternateContent>
        <mc:AlternateContent xmlns:mc="http://schemas.openxmlformats.org/markup-compatibility/2006">
          <mc:Choice Requires="x14">
            <control shapeId="125956" r:id="rId6" name="Spinner 4">
              <controlPr defaultSize="0" autoPict="0">
                <anchor moveWithCells="1" sizeWithCells="1">
                  <from>
                    <xdr:col>7</xdr:col>
                    <xdr:colOff>19050</xdr:colOff>
                    <xdr:row>4</xdr:row>
                    <xdr:rowOff>19050</xdr:rowOff>
                  </from>
                  <to>
                    <xdr:col>7</xdr:col>
                    <xdr:colOff>571500</xdr:colOff>
                    <xdr:row>5</xdr:row>
                    <xdr:rowOff>0</xdr:rowOff>
                  </to>
                </anchor>
              </controlPr>
            </control>
          </mc:Choice>
        </mc:AlternateContent>
        <mc:AlternateContent xmlns:mc="http://schemas.openxmlformats.org/markup-compatibility/2006">
          <mc:Choice Requires="x14">
            <control shapeId="125957" r:id="rId7" name="Drop Down 5">
              <controlPr defaultSize="0" autoLine="0" autoPict="0">
                <anchor moveWithCells="1">
                  <from>
                    <xdr:col>10</xdr:col>
                    <xdr:colOff>495300</xdr:colOff>
                    <xdr:row>4</xdr:row>
                    <xdr:rowOff>11430</xdr:rowOff>
                  </from>
                  <to>
                    <xdr:col>12</xdr:col>
                    <xdr:colOff>95250</xdr:colOff>
                    <xdr:row>4</xdr:row>
                    <xdr:rowOff>144780</xdr:rowOff>
                  </to>
                </anchor>
              </controlPr>
            </control>
          </mc:Choice>
        </mc:AlternateContent>
        <mc:AlternateContent xmlns:mc="http://schemas.openxmlformats.org/markup-compatibility/2006">
          <mc:Choice Requires="x14">
            <control shapeId="125958" r:id="rId8" name="Spinner 6">
              <controlPr defaultSize="0" autoPict="0">
                <anchor moveWithCells="1" sizeWithCells="1">
                  <from>
                    <xdr:col>11</xdr:col>
                    <xdr:colOff>678180</xdr:colOff>
                    <xdr:row>3</xdr:row>
                    <xdr:rowOff>38100</xdr:rowOff>
                  </from>
                  <to>
                    <xdr:col>12</xdr:col>
                    <xdr:colOff>316230</xdr:colOff>
                    <xdr:row>4</xdr:row>
                    <xdr:rowOff>0</xdr:rowOff>
                  </to>
                </anchor>
              </controlPr>
            </control>
          </mc:Choice>
        </mc:AlternateContent>
        <mc:AlternateContent xmlns:mc="http://schemas.openxmlformats.org/markup-compatibility/2006">
          <mc:Choice Requires="x14">
            <control shapeId="125959" r:id="rId9" name="Button 7">
              <controlPr defaultSize="0" print="0" autoFill="0" autoPict="0" macro="[0]!Macro2">
                <anchor moveWithCells="1" sizeWithCells="1">
                  <from>
                    <xdr:col>23</xdr:col>
                    <xdr:colOff>49530</xdr:colOff>
                    <xdr:row>2</xdr:row>
                    <xdr:rowOff>121920</xdr:rowOff>
                  </from>
                  <to>
                    <xdr:col>24</xdr:col>
                    <xdr:colOff>392430</xdr:colOff>
                    <xdr:row>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Q26"/>
  <sheetViews>
    <sheetView showGridLines="0" zoomScale="90" zoomScaleNormal="90" workbookViewId="0">
      <selection activeCell="K25" sqref="K25"/>
    </sheetView>
  </sheetViews>
  <sheetFormatPr defaultRowHeight="12.3"/>
  <cols>
    <col min="2" max="2" width="11.83203125" customWidth="1"/>
    <col min="7" max="7" width="11.5546875" bestFit="1" customWidth="1"/>
    <col min="8" max="8" width="12.5546875" customWidth="1"/>
    <col min="9" max="13" width="11.44140625" customWidth="1"/>
    <col min="14" max="14" width="11.27734375" customWidth="1"/>
  </cols>
  <sheetData>
    <row r="2" spans="2:17">
      <c r="N2" s="7" t="s">
        <v>1360</v>
      </c>
      <c r="P2">
        <v>2</v>
      </c>
      <c r="Q2" t="str">
        <f>Q10</f>
        <v>http://pubdocs.worldbank.org/en/497071555972921166/CMO-April-2019-forecasts.xlsx</v>
      </c>
    </row>
    <row r="3" spans="2:17">
      <c r="B3" s="7" t="s">
        <v>1433</v>
      </c>
    </row>
    <row r="4" spans="2:17" ht="14.4">
      <c r="Q4" s="18" t="s">
        <v>1262</v>
      </c>
    </row>
    <row r="5" spans="2:17" ht="14.4">
      <c r="Q5" s="18" t="s">
        <v>1277</v>
      </c>
    </row>
    <row r="6" spans="2:17" ht="14.4">
      <c r="B6" s="7" t="s">
        <v>883</v>
      </c>
      <c r="C6" t="s">
        <v>1410</v>
      </c>
      <c r="Q6" s="18" t="s">
        <v>948</v>
      </c>
    </row>
    <row r="7" spans="2:17" ht="14.4">
      <c r="B7" s="7" t="s">
        <v>884</v>
      </c>
      <c r="C7" s="18" t="s">
        <v>1425</v>
      </c>
      <c r="Q7" s="18" t="s">
        <v>951</v>
      </c>
    </row>
    <row r="8" spans="2:17" ht="14.4">
      <c r="B8" s="7" t="s">
        <v>950</v>
      </c>
      <c r="C8" s="18"/>
      <c r="Q8" s="18" t="s">
        <v>952</v>
      </c>
    </row>
    <row r="9" spans="2:17" ht="14.4">
      <c r="B9" s="7"/>
      <c r="C9" s="18"/>
      <c r="Q9" s="18" t="s">
        <v>1290</v>
      </c>
    </row>
    <row r="10" spans="2:17" ht="14.4">
      <c r="B10" s="7" t="s">
        <v>933</v>
      </c>
      <c r="C10" s="18"/>
      <c r="Q10" t="s">
        <v>1361</v>
      </c>
    </row>
    <row r="11" spans="2:17" ht="14.4">
      <c r="C11" s="18" t="s">
        <v>949</v>
      </c>
    </row>
    <row r="12" spans="2:17" ht="14.4">
      <c r="B12" s="7" t="s">
        <v>947</v>
      </c>
      <c r="C12" s="18" t="s">
        <v>1434</v>
      </c>
    </row>
    <row r="17" spans="2:7" ht="14.4">
      <c r="F17" s="40" t="s">
        <v>949</v>
      </c>
      <c r="G17" s="7" t="s">
        <v>932</v>
      </c>
    </row>
    <row r="18" spans="2:7" ht="14.4">
      <c r="F18" s="40" t="s">
        <v>941</v>
      </c>
      <c r="G18" s="7" t="s">
        <v>934</v>
      </c>
    </row>
    <row r="19" spans="2:7" ht="14.4">
      <c r="F19" s="40" t="s">
        <v>941</v>
      </c>
      <c r="G19" s="7" t="s">
        <v>942</v>
      </c>
    </row>
    <row r="22" spans="2:7">
      <c r="B22" s="7" t="s">
        <v>1435</v>
      </c>
    </row>
    <row r="24" spans="2:7" ht="14.4">
      <c r="B24" s="7" t="s">
        <v>947</v>
      </c>
      <c r="C24" s="18" t="s">
        <v>1434</v>
      </c>
    </row>
    <row r="26" spans="2:7">
      <c r="B26" s="7" t="s">
        <v>1436</v>
      </c>
    </row>
  </sheetData>
  <hyperlinks>
    <hyperlink ref="C12" r:id="rId1" display="http://www.worldbank.org/en/research/commodity-markets" xr:uid="{00000000-0004-0000-0300-000000000000}"/>
    <hyperlink ref="Q6" r:id="rId2" xr:uid="{00000000-0004-0000-0300-000001000000}"/>
    <hyperlink ref="C11" r:id="rId3" location="3" xr:uid="{00000000-0004-0000-0300-000002000000}"/>
    <hyperlink ref="Q8" r:id="rId4" xr:uid="{00000000-0004-0000-0300-000003000000}"/>
    <hyperlink ref="F18" r:id="rId5" xr:uid="{00000000-0004-0000-0300-000004000000}"/>
    <hyperlink ref="F17" r:id="rId6" location="3" xr:uid="{00000000-0004-0000-0300-000005000000}"/>
    <hyperlink ref="Q9" r:id="rId7" xr:uid="{00000000-0004-0000-0300-000007000000}"/>
    <hyperlink ref="F19" r:id="rId8" xr:uid="{3459D254-BE71-4DB1-BC98-D95A9DB3DAD1}"/>
    <hyperlink ref="C24" r:id="rId9" display="http://www.worldbank.org/en/research/commodity-markets" xr:uid="{394B58ED-5591-43D4-BE61-C2742295C706}"/>
  </hyperlinks>
  <pageMargins left="0.7" right="0.7" top="0.75" bottom="0.75" header="0.3" footer="0.3"/>
  <pageSetup orientation="portrait" r:id="rId10"/>
  <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K862"/>
  <sheetViews>
    <sheetView tabSelected="1" zoomScale="70" zoomScaleNormal="70" workbookViewId="0">
      <pane xSplit="1" ySplit="7" topLeftCell="I8" activePane="bottomRight" state="frozen"/>
      <selection pane="topRight" activeCell="B1" sqref="B1"/>
      <selection pane="bottomLeft" activeCell="A9" sqref="A9"/>
      <selection pane="bottomRight" activeCell="AE8" sqref="AE8"/>
    </sheetView>
  </sheetViews>
  <sheetFormatPr defaultColWidth="9.1640625" defaultRowHeight="15"/>
  <cols>
    <col min="1" max="1" width="10.71875" style="50" customWidth="1"/>
    <col min="2" max="5" width="9.27734375" style="50" customWidth="1"/>
    <col min="6" max="6" width="11.44140625" style="50" customWidth="1"/>
    <col min="7" max="9" width="9.1640625" style="50" customWidth="1"/>
    <col min="10" max="11" width="10.44140625" style="50" customWidth="1"/>
    <col min="12" max="19" width="9.1640625" style="50" customWidth="1"/>
    <col min="20" max="20" width="10.5546875" style="50" customWidth="1"/>
    <col min="21" max="21" width="9.1640625" style="50" customWidth="1"/>
    <col min="22" max="22" width="10.1640625" style="50" customWidth="1"/>
    <col min="23" max="28" width="9.1640625" style="50" customWidth="1"/>
    <col min="29" max="29" width="9.71875" style="50" customWidth="1"/>
    <col min="30" max="34" width="9.1640625" style="50" customWidth="1"/>
    <col min="35" max="35" width="9.1640625" style="50"/>
    <col min="36" max="36" width="9.71875" style="50" customWidth="1"/>
    <col min="37" max="37" width="10.27734375" style="50" customWidth="1"/>
    <col min="38" max="49" width="9.1640625" style="50" customWidth="1"/>
    <col min="50" max="50" width="9.71875" style="50" customWidth="1"/>
    <col min="51" max="51" width="9.1640625" style="50" customWidth="1"/>
    <col min="52" max="52" width="10.5546875" style="50" customWidth="1"/>
    <col min="53" max="53" width="10.83203125" style="50" customWidth="1"/>
    <col min="54" max="57" width="9.1640625" style="50" customWidth="1"/>
    <col min="58" max="58" width="9.71875" style="50" customWidth="1"/>
    <col min="59" max="61" width="9.1640625" style="50" customWidth="1"/>
    <col min="62" max="62" width="10" style="50" customWidth="1"/>
    <col min="63" max="63" width="9.1640625" style="50" customWidth="1"/>
    <col min="64" max="64" width="9.71875" style="50" customWidth="1"/>
    <col min="65" max="67" width="9.1640625" style="50" customWidth="1"/>
    <col min="68" max="68" width="9.83203125" style="50" bestFit="1" customWidth="1"/>
    <col min="69" max="70" width="9.1640625" style="50" customWidth="1"/>
    <col min="71" max="16384" width="9.1640625" style="50"/>
  </cols>
  <sheetData>
    <row r="1" spans="1:89" s="7" customFormat="1" ht="30.6" thickBot="1">
      <c r="A1" s="42" t="s">
        <v>135</v>
      </c>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row>
    <row r="2" spans="1:89" s="7" customFormat="1" ht="15.3" thickTop="1">
      <c r="A2" s="44" t="s">
        <v>115</v>
      </c>
    </row>
    <row r="3" spans="1:89" s="7" customFormat="1" ht="14.1">
      <c r="A3" s="45" t="s">
        <v>116</v>
      </c>
      <c r="B3" s="46"/>
      <c r="C3" s="46"/>
      <c r="D3" s="46"/>
      <c r="E3" s="46"/>
      <c r="F3" s="46"/>
      <c r="G3" s="46"/>
      <c r="H3" s="46"/>
      <c r="I3" s="46"/>
      <c r="J3" s="46"/>
      <c r="K3" s="46"/>
    </row>
    <row r="4" spans="1:89" s="7" customFormat="1" ht="12.3">
      <c r="A4" s="7" t="s">
        <v>1601</v>
      </c>
    </row>
    <row r="5" spans="1:89" s="47" customFormat="1" ht="37.5">
      <c r="A5" s="46"/>
      <c r="B5" s="19" t="s">
        <v>123</v>
      </c>
      <c r="C5" s="19" t="s">
        <v>117</v>
      </c>
      <c r="D5" s="19" t="s">
        <v>118</v>
      </c>
      <c r="E5" s="19" t="s">
        <v>119</v>
      </c>
      <c r="F5" s="19" t="s">
        <v>25</v>
      </c>
      <c r="G5" s="19" t="s">
        <v>1567</v>
      </c>
      <c r="H5" s="19" t="s">
        <v>26</v>
      </c>
      <c r="I5" s="19" t="s">
        <v>27</v>
      </c>
      <c r="J5" s="19" t="s">
        <v>28</v>
      </c>
      <c r="K5" s="19" t="s">
        <v>845</v>
      </c>
      <c r="L5" s="19" t="s">
        <v>6</v>
      </c>
      <c r="M5" s="19" t="s">
        <v>1054</v>
      </c>
      <c r="N5" s="19" t="s">
        <v>1289</v>
      </c>
      <c r="O5" s="19" t="s">
        <v>29</v>
      </c>
      <c r="P5" s="19" t="s">
        <v>30</v>
      </c>
      <c r="Q5" s="19" t="s">
        <v>31</v>
      </c>
      <c r="R5" s="19" t="s">
        <v>32</v>
      </c>
      <c r="S5" s="19" t="s">
        <v>33</v>
      </c>
      <c r="T5" s="19" t="s">
        <v>127</v>
      </c>
      <c r="U5" s="19" t="s">
        <v>46</v>
      </c>
      <c r="V5" s="19" t="s">
        <v>1568</v>
      </c>
      <c r="W5" s="19" t="s">
        <v>35</v>
      </c>
      <c r="X5" s="19" t="s">
        <v>36</v>
      </c>
      <c r="Y5" s="19" t="s">
        <v>12</v>
      </c>
      <c r="Z5" s="19" t="s">
        <v>37</v>
      </c>
      <c r="AA5" s="19" t="s">
        <v>38</v>
      </c>
      <c r="AB5" s="19" t="s">
        <v>908</v>
      </c>
      <c r="AC5" s="19" t="s">
        <v>909</v>
      </c>
      <c r="AD5" s="19" t="s">
        <v>7</v>
      </c>
      <c r="AE5" s="19" t="s">
        <v>10</v>
      </c>
      <c r="AF5" s="19" t="s">
        <v>11</v>
      </c>
      <c r="AG5" s="19" t="s">
        <v>39</v>
      </c>
      <c r="AH5" s="19" t="s">
        <v>40</v>
      </c>
      <c r="AI5" s="19" t="s">
        <v>41</v>
      </c>
      <c r="AJ5" s="19" t="s">
        <v>42</v>
      </c>
      <c r="AK5" s="19" t="s">
        <v>43</v>
      </c>
      <c r="AL5" s="19" t="s">
        <v>44</v>
      </c>
      <c r="AM5" s="19" t="s">
        <v>130</v>
      </c>
      <c r="AN5" s="19" t="s">
        <v>45</v>
      </c>
      <c r="AO5" s="19" t="s">
        <v>8</v>
      </c>
      <c r="AP5" s="19" t="s">
        <v>9</v>
      </c>
      <c r="AQ5" s="19" t="s">
        <v>1569</v>
      </c>
      <c r="AR5" s="19" t="s">
        <v>1570</v>
      </c>
      <c r="AS5" s="19" t="s">
        <v>1291</v>
      </c>
      <c r="AT5" s="19" t="s">
        <v>114</v>
      </c>
      <c r="AU5" s="19" t="s">
        <v>47</v>
      </c>
      <c r="AV5" s="19" t="s">
        <v>48</v>
      </c>
      <c r="AW5" s="19" t="s">
        <v>49</v>
      </c>
      <c r="AX5" s="19" t="s">
        <v>50</v>
      </c>
      <c r="AY5" s="19" t="s">
        <v>51</v>
      </c>
      <c r="AZ5" s="19" t="s">
        <v>52</v>
      </c>
      <c r="BA5" s="19" t="s">
        <v>53</v>
      </c>
      <c r="BB5" s="19" t="s">
        <v>14</v>
      </c>
      <c r="BC5" s="19" t="s">
        <v>54</v>
      </c>
      <c r="BD5" s="19" t="s">
        <v>1571</v>
      </c>
      <c r="BE5" s="19" t="s">
        <v>1572</v>
      </c>
      <c r="BF5" s="19" t="s">
        <v>57</v>
      </c>
      <c r="BG5" s="19" t="s">
        <v>0</v>
      </c>
      <c r="BH5" s="19" t="s">
        <v>1</v>
      </c>
      <c r="BI5" s="19" t="s">
        <v>19</v>
      </c>
      <c r="BJ5" s="19" t="s">
        <v>1573</v>
      </c>
      <c r="BK5" s="19" t="s">
        <v>20</v>
      </c>
      <c r="BL5" s="19" t="s">
        <v>846</v>
      </c>
      <c r="BM5" s="19" t="s">
        <v>15</v>
      </c>
      <c r="BN5" s="19" t="s">
        <v>16</v>
      </c>
      <c r="BO5" s="19" t="s">
        <v>17</v>
      </c>
      <c r="BP5" s="19" t="s">
        <v>21</v>
      </c>
      <c r="BQ5" s="19" t="s">
        <v>18</v>
      </c>
      <c r="BR5" s="19" t="s">
        <v>23</v>
      </c>
      <c r="BS5" s="19" t="s">
        <v>124</v>
      </c>
      <c r="BT5" s="19" t="s">
        <v>22</v>
      </c>
      <c r="BU5" s="7"/>
      <c r="BV5" s="7"/>
      <c r="BW5" s="7"/>
      <c r="BX5" s="7"/>
      <c r="BY5" s="7"/>
      <c r="BZ5" s="7"/>
      <c r="CA5" s="7"/>
      <c r="CB5" s="7"/>
      <c r="CC5" s="7"/>
      <c r="CD5" s="7"/>
      <c r="CE5" s="7"/>
      <c r="CF5" s="7"/>
      <c r="CG5" s="7"/>
      <c r="CH5" s="7"/>
      <c r="CI5" s="7"/>
      <c r="CJ5" s="7"/>
      <c r="CK5" s="7"/>
    </row>
    <row r="6" spans="1:89" s="7" customFormat="1" ht="12.3">
      <c r="B6" s="7" t="s">
        <v>4</v>
      </c>
      <c r="C6" s="7" t="s">
        <v>4</v>
      </c>
      <c r="D6" s="7" t="s">
        <v>4</v>
      </c>
      <c r="E6" s="7" t="s">
        <v>4</v>
      </c>
      <c r="F6" s="7" t="s">
        <v>2</v>
      </c>
      <c r="G6" s="7" t="s">
        <v>2</v>
      </c>
      <c r="H6" s="7" t="s">
        <v>5</v>
      </c>
      <c r="I6" s="7" t="s">
        <v>5</v>
      </c>
      <c r="J6" s="7" t="s">
        <v>5</v>
      </c>
      <c r="K6" s="7" t="s">
        <v>847</v>
      </c>
      <c r="L6" s="7" t="s">
        <v>848</v>
      </c>
      <c r="M6" s="7" t="s">
        <v>848</v>
      </c>
      <c r="N6" s="7" t="s">
        <v>848</v>
      </c>
      <c r="O6" s="7" t="s">
        <v>848</v>
      </c>
      <c r="P6" s="7" t="s">
        <v>848</v>
      </c>
      <c r="Q6" s="7" t="s">
        <v>848</v>
      </c>
      <c r="R6" s="7" t="s">
        <v>848</v>
      </c>
      <c r="S6" s="7" t="s">
        <v>2</v>
      </c>
      <c r="T6" s="7" t="s">
        <v>2</v>
      </c>
      <c r="U6" s="7" t="s">
        <v>2</v>
      </c>
      <c r="V6" s="7" t="s">
        <v>2</v>
      </c>
      <c r="W6" s="7" t="s">
        <v>2</v>
      </c>
      <c r="X6" s="7" t="s">
        <v>2</v>
      </c>
      <c r="Y6" s="7" t="s">
        <v>2</v>
      </c>
      <c r="Z6" s="7" t="s">
        <v>2</v>
      </c>
      <c r="AA6" s="7" t="s">
        <v>2</v>
      </c>
      <c r="AB6" s="7" t="s">
        <v>2</v>
      </c>
      <c r="AC6" s="7" t="s">
        <v>2</v>
      </c>
      <c r="AD6" s="7" t="s">
        <v>2</v>
      </c>
      <c r="AE6" s="7" t="s">
        <v>2</v>
      </c>
      <c r="AF6" s="7" t="s">
        <v>2</v>
      </c>
      <c r="AG6" s="7" t="s">
        <v>2</v>
      </c>
      <c r="AH6" s="7" t="s">
        <v>2</v>
      </c>
      <c r="AI6" s="7" t="s">
        <v>2</v>
      </c>
      <c r="AJ6" s="7" t="s">
        <v>2</v>
      </c>
      <c r="AK6" s="7" t="s">
        <v>2</v>
      </c>
      <c r="AL6" s="7" t="s">
        <v>2</v>
      </c>
      <c r="AM6" s="7" t="s">
        <v>848</v>
      </c>
      <c r="AN6" s="7" t="s">
        <v>848</v>
      </c>
      <c r="AO6" s="7" t="s">
        <v>848</v>
      </c>
      <c r="AP6" s="7" t="s">
        <v>848</v>
      </c>
      <c r="AQ6" s="7" t="s">
        <v>848</v>
      </c>
      <c r="AR6" s="7" t="s">
        <v>848</v>
      </c>
      <c r="AS6" s="7" t="s">
        <v>848</v>
      </c>
      <c r="AT6" s="7" t="s">
        <v>848</v>
      </c>
      <c r="AU6" s="7" t="s">
        <v>848</v>
      </c>
      <c r="AV6" s="7" t="s">
        <v>848</v>
      </c>
      <c r="AW6" s="7" t="s">
        <v>2</v>
      </c>
      <c r="AX6" s="7" t="s">
        <v>13</v>
      </c>
      <c r="AY6" s="7" t="s">
        <v>13</v>
      </c>
      <c r="AZ6" s="7" t="s">
        <v>13</v>
      </c>
      <c r="BA6" s="7" t="s">
        <v>13</v>
      </c>
      <c r="BB6" s="7" t="s">
        <v>3</v>
      </c>
      <c r="BC6" s="7" t="s">
        <v>848</v>
      </c>
      <c r="BD6" s="7" t="s">
        <v>848</v>
      </c>
      <c r="BE6" s="7" t="s">
        <v>848</v>
      </c>
      <c r="BF6" s="7" t="s">
        <v>2</v>
      </c>
      <c r="BG6" s="7" t="s">
        <v>2</v>
      </c>
      <c r="BH6" s="7" t="s">
        <v>2</v>
      </c>
      <c r="BI6" s="7" t="s">
        <v>2</v>
      </c>
      <c r="BJ6" s="7" t="s">
        <v>2</v>
      </c>
      <c r="BK6" s="7" t="s">
        <v>2</v>
      </c>
      <c r="BL6" s="7" t="s">
        <v>849</v>
      </c>
      <c r="BM6" s="7" t="s">
        <v>2</v>
      </c>
      <c r="BN6" s="7" t="s">
        <v>2</v>
      </c>
      <c r="BO6" s="7" t="s">
        <v>2</v>
      </c>
      <c r="BP6" s="7" t="s">
        <v>2</v>
      </c>
      <c r="BQ6" s="7" t="s">
        <v>2</v>
      </c>
      <c r="BR6" s="7" t="s">
        <v>125</v>
      </c>
      <c r="BS6" s="7" t="s">
        <v>125</v>
      </c>
      <c r="BT6" s="7" t="s">
        <v>125</v>
      </c>
    </row>
    <row r="7" spans="1:89" s="47" customFormat="1" hidden="1">
      <c r="A7" s="7"/>
      <c r="B7" s="7" t="s">
        <v>58</v>
      </c>
      <c r="C7" s="7" t="s">
        <v>120</v>
      </c>
      <c r="D7" s="7" t="s">
        <v>121</v>
      </c>
      <c r="E7" s="7" t="s">
        <v>122</v>
      </c>
      <c r="F7" s="7" t="s">
        <v>59</v>
      </c>
      <c r="G7" s="7" t="s">
        <v>132</v>
      </c>
      <c r="H7" s="7" t="s">
        <v>60</v>
      </c>
      <c r="I7" s="7" t="s">
        <v>61</v>
      </c>
      <c r="J7" s="7" t="s">
        <v>62</v>
      </c>
      <c r="K7" s="7" t="s">
        <v>850</v>
      </c>
      <c r="L7" s="7" t="s">
        <v>63</v>
      </c>
      <c r="M7" s="7" t="s">
        <v>64</v>
      </c>
      <c r="N7" s="7" t="s">
        <v>65</v>
      </c>
      <c r="O7" s="7" t="s">
        <v>66</v>
      </c>
      <c r="P7" s="7" t="s">
        <v>67</v>
      </c>
      <c r="Q7" s="7" t="s">
        <v>68</v>
      </c>
      <c r="R7" s="7" t="s">
        <v>69</v>
      </c>
      <c r="S7" s="7" t="s">
        <v>70</v>
      </c>
      <c r="T7" s="7" t="s">
        <v>128</v>
      </c>
      <c r="U7" s="7" t="s">
        <v>90</v>
      </c>
      <c r="V7" s="7" t="s">
        <v>71</v>
      </c>
      <c r="W7" s="7" t="s">
        <v>72</v>
      </c>
      <c r="X7" s="7" t="s">
        <v>73</v>
      </c>
      <c r="Y7" s="7" t="s">
        <v>74</v>
      </c>
      <c r="Z7" s="7" t="s">
        <v>75</v>
      </c>
      <c r="AA7" s="7" t="s">
        <v>76</v>
      </c>
      <c r="AB7" s="7" t="s">
        <v>910</v>
      </c>
      <c r="AC7" s="7" t="s">
        <v>911</v>
      </c>
      <c r="AD7" s="7" t="s">
        <v>77</v>
      </c>
      <c r="AE7" s="7" t="s">
        <v>78</v>
      </c>
      <c r="AF7" s="7" t="s">
        <v>79</v>
      </c>
      <c r="AG7" s="7" t="s">
        <v>80</v>
      </c>
      <c r="AH7" s="7" t="s">
        <v>81</v>
      </c>
      <c r="AI7" s="7" t="s">
        <v>82</v>
      </c>
      <c r="AJ7" s="7" t="s">
        <v>83</v>
      </c>
      <c r="AK7" s="7" t="s">
        <v>84</v>
      </c>
      <c r="AL7" s="7" t="s">
        <v>85</v>
      </c>
      <c r="AM7" s="7" t="s">
        <v>131</v>
      </c>
      <c r="AN7" s="7" t="s">
        <v>86</v>
      </c>
      <c r="AO7" s="7" t="s">
        <v>87</v>
      </c>
      <c r="AP7" s="7" t="s">
        <v>88</v>
      </c>
      <c r="AQ7" s="7" t="s">
        <v>89</v>
      </c>
      <c r="AR7" s="7" t="s">
        <v>134</v>
      </c>
      <c r="AS7" s="7" t="s">
        <v>91</v>
      </c>
      <c r="AT7" s="7" t="s">
        <v>92</v>
      </c>
      <c r="AU7" s="7" t="s">
        <v>93</v>
      </c>
      <c r="AV7" s="7" t="s">
        <v>94</v>
      </c>
      <c r="AW7" s="7" t="s">
        <v>95</v>
      </c>
      <c r="AX7" s="7" t="s">
        <v>96</v>
      </c>
      <c r="AY7" s="7" t="s">
        <v>97</v>
      </c>
      <c r="AZ7" s="7" t="s">
        <v>98</v>
      </c>
      <c r="BA7" s="7" t="s">
        <v>99</v>
      </c>
      <c r="BB7" s="7" t="s">
        <v>100</v>
      </c>
      <c r="BC7" s="7" t="s">
        <v>101</v>
      </c>
      <c r="BD7" s="7" t="s">
        <v>103</v>
      </c>
      <c r="BE7" s="7" t="s">
        <v>102</v>
      </c>
      <c r="BF7" s="7" t="s">
        <v>104</v>
      </c>
      <c r="BG7" s="7" t="s">
        <v>0</v>
      </c>
      <c r="BH7" s="7" t="s">
        <v>1</v>
      </c>
      <c r="BI7" s="7" t="s">
        <v>105</v>
      </c>
      <c r="BJ7" s="7" t="s">
        <v>106</v>
      </c>
      <c r="BK7" s="7" t="s">
        <v>107</v>
      </c>
      <c r="BL7" s="7" t="s">
        <v>113</v>
      </c>
      <c r="BM7" s="7" t="s">
        <v>108</v>
      </c>
      <c r="BN7" s="7" t="s">
        <v>109</v>
      </c>
      <c r="BO7" s="7" t="s">
        <v>17</v>
      </c>
      <c r="BP7" s="7" t="s">
        <v>110</v>
      </c>
      <c r="BQ7" s="7" t="s">
        <v>18</v>
      </c>
      <c r="BR7" s="7" t="s">
        <v>111</v>
      </c>
      <c r="BS7" s="7" t="s">
        <v>126</v>
      </c>
      <c r="BT7" s="7" t="s">
        <v>112</v>
      </c>
      <c r="BU7" s="7"/>
      <c r="BV7" s="7"/>
      <c r="BW7" s="7"/>
      <c r="BX7" s="7"/>
      <c r="BY7" s="7"/>
      <c r="BZ7" s="7"/>
      <c r="CA7" s="7"/>
      <c r="CB7" s="7"/>
      <c r="CC7" s="7"/>
      <c r="CD7" s="7"/>
      <c r="CE7" s="7"/>
      <c r="CF7" s="7"/>
      <c r="CG7" s="7"/>
      <c r="CH7" s="7"/>
      <c r="CI7" s="7"/>
      <c r="CJ7" s="7"/>
      <c r="CK7" s="7"/>
    </row>
    <row r="8" spans="1:89">
      <c r="A8" s="48" t="s">
        <v>136</v>
      </c>
      <c r="B8" s="49">
        <v>1.63000011444</v>
      </c>
      <c r="C8" s="49">
        <v>1.63000011444</v>
      </c>
      <c r="D8" s="49">
        <v>1.63000011444</v>
      </c>
      <c r="E8" s="49" t="s">
        <v>1574</v>
      </c>
      <c r="F8" s="49" t="s">
        <v>1574</v>
      </c>
      <c r="G8" s="49" t="s">
        <v>1574</v>
      </c>
      <c r="H8" s="49">
        <v>0.14000000000000001</v>
      </c>
      <c r="I8" s="49">
        <v>0.40477399635</v>
      </c>
      <c r="J8" s="49" t="s">
        <v>1574</v>
      </c>
      <c r="K8" s="49" t="s">
        <v>1574</v>
      </c>
      <c r="L8" s="49">
        <v>0.63400000000000001</v>
      </c>
      <c r="M8" s="49">
        <v>0.94089999999999996</v>
      </c>
      <c r="N8" s="49">
        <v>0.69686429999999999</v>
      </c>
      <c r="O8" s="49">
        <v>1.0297000000000001</v>
      </c>
      <c r="P8" s="49">
        <v>0.93030089999999999</v>
      </c>
      <c r="Q8" s="49">
        <v>1.1214010000000001</v>
      </c>
      <c r="R8" s="49">
        <v>1.0374000000000001</v>
      </c>
      <c r="S8" s="49">
        <v>390</v>
      </c>
      <c r="T8" s="49" t="s">
        <v>1574</v>
      </c>
      <c r="U8" s="49" t="s">
        <v>1574</v>
      </c>
      <c r="V8" s="49">
        <v>334</v>
      </c>
      <c r="W8" s="49">
        <v>233</v>
      </c>
      <c r="X8" s="49" t="s">
        <v>1574</v>
      </c>
      <c r="Y8" s="49">
        <v>94</v>
      </c>
      <c r="Z8" s="49">
        <v>204</v>
      </c>
      <c r="AA8" s="49">
        <v>91.9</v>
      </c>
      <c r="AB8" s="49" t="s">
        <v>1574</v>
      </c>
      <c r="AC8" s="49" t="s">
        <v>1574</v>
      </c>
      <c r="AD8" s="49">
        <v>20.364800394620001</v>
      </c>
      <c r="AE8" s="49">
        <v>45</v>
      </c>
      <c r="AF8" s="49">
        <v>39</v>
      </c>
      <c r="AG8" s="49">
        <v>104.45</v>
      </c>
      <c r="AH8" s="49" t="s">
        <v>1574</v>
      </c>
      <c r="AI8" s="49" t="s">
        <v>1574</v>
      </c>
      <c r="AJ8" s="49" t="s">
        <v>1574</v>
      </c>
      <c r="AK8" s="49" t="s">
        <v>1574</v>
      </c>
      <c r="AL8" s="49">
        <v>59.89</v>
      </c>
      <c r="AM8" s="49" t="s">
        <v>1574</v>
      </c>
      <c r="AN8" s="49">
        <v>0.14308000000000001</v>
      </c>
      <c r="AO8" s="49">
        <v>0.11509999999999999</v>
      </c>
      <c r="AP8" s="49">
        <v>0.70550000000000002</v>
      </c>
      <c r="AQ8" s="49">
        <v>0.29736879193999999</v>
      </c>
      <c r="AR8" s="49" t="s">
        <v>1574</v>
      </c>
      <c r="AS8" s="49">
        <v>1.433003</v>
      </c>
      <c r="AT8" s="49">
        <v>0.12235641</v>
      </c>
      <c r="AU8" s="49">
        <v>0.11684485999999999</v>
      </c>
      <c r="AV8" s="49">
        <v>6.6600000000000006E-2</v>
      </c>
      <c r="AW8" s="49">
        <v>1736.87</v>
      </c>
      <c r="AX8" s="49" t="s">
        <v>1574</v>
      </c>
      <c r="AY8" s="49">
        <v>31.94</v>
      </c>
      <c r="AZ8" s="49" t="s">
        <v>1574</v>
      </c>
      <c r="BA8" s="49">
        <v>149.17497836621001</v>
      </c>
      <c r="BB8" s="49" t="s">
        <v>1574</v>
      </c>
      <c r="BC8" s="49">
        <v>0.64859999999999995</v>
      </c>
      <c r="BD8" s="49" t="s">
        <v>1574</v>
      </c>
      <c r="BE8" s="49">
        <v>0.82230000000000003</v>
      </c>
      <c r="BF8" s="49">
        <v>13</v>
      </c>
      <c r="BG8" s="49" t="s">
        <v>1599</v>
      </c>
      <c r="BH8" s="49">
        <v>53</v>
      </c>
      <c r="BI8" s="49">
        <v>42.25</v>
      </c>
      <c r="BJ8" s="49">
        <v>28.5</v>
      </c>
      <c r="BK8" s="49">
        <v>511.47183227539</v>
      </c>
      <c r="BL8" s="49">
        <v>11.42</v>
      </c>
      <c r="BM8" s="49">
        <v>715.4</v>
      </c>
      <c r="BN8" s="49">
        <v>206.1</v>
      </c>
      <c r="BO8" s="49">
        <v>2180.4</v>
      </c>
      <c r="BP8" s="49">
        <v>1631</v>
      </c>
      <c r="BQ8" s="49">
        <v>260.8</v>
      </c>
      <c r="BR8" s="49">
        <v>35.270000000000003</v>
      </c>
      <c r="BS8" s="49">
        <v>83.5</v>
      </c>
      <c r="BT8" s="49">
        <v>0.91369999999999996</v>
      </c>
      <c r="BU8" s="41"/>
      <c r="BV8" s="41"/>
      <c r="BW8" s="41"/>
      <c r="BX8" s="41"/>
      <c r="BY8" s="41"/>
      <c r="BZ8" s="41"/>
      <c r="CA8" s="41"/>
      <c r="CB8" s="41"/>
      <c r="CC8" s="41"/>
      <c r="CD8" s="41"/>
      <c r="CE8" s="41"/>
      <c r="CF8" s="41"/>
      <c r="CG8" s="41"/>
      <c r="CH8" s="41"/>
      <c r="CI8" s="41"/>
      <c r="CJ8" s="41"/>
      <c r="CK8" s="41"/>
    </row>
    <row r="9" spans="1:89">
      <c r="A9" s="41" t="s">
        <v>138</v>
      </c>
      <c r="B9" s="51">
        <v>1.63000011444</v>
      </c>
      <c r="C9" s="51">
        <v>1.63000011444</v>
      </c>
      <c r="D9" s="51">
        <v>1.63000011444</v>
      </c>
      <c r="E9" s="51" t="s">
        <v>1574</v>
      </c>
      <c r="F9" s="51" t="s">
        <v>1574</v>
      </c>
      <c r="G9" s="51" t="s">
        <v>1574</v>
      </c>
      <c r="H9" s="51">
        <v>0.14000000000000001</v>
      </c>
      <c r="I9" s="51">
        <v>0.40477399635</v>
      </c>
      <c r="J9" s="51" t="s">
        <v>1574</v>
      </c>
      <c r="K9" s="51" t="s">
        <v>1574</v>
      </c>
      <c r="L9" s="51">
        <v>0.60799999999999998</v>
      </c>
      <c r="M9" s="51">
        <v>0.94689999999999996</v>
      </c>
      <c r="N9" s="51">
        <v>0.68870739999999997</v>
      </c>
      <c r="O9" s="51">
        <v>1.0297000000000001</v>
      </c>
      <c r="P9" s="51">
        <v>0.93030089999999999</v>
      </c>
      <c r="Q9" s="51">
        <v>1.1214010000000001</v>
      </c>
      <c r="R9" s="51">
        <v>1.0374000000000001</v>
      </c>
      <c r="S9" s="51">
        <v>379</v>
      </c>
      <c r="T9" s="51" t="s">
        <v>1574</v>
      </c>
      <c r="U9" s="51" t="s">
        <v>1574</v>
      </c>
      <c r="V9" s="51">
        <v>341</v>
      </c>
      <c r="W9" s="51">
        <v>229</v>
      </c>
      <c r="X9" s="51" t="s">
        <v>1574</v>
      </c>
      <c r="Y9" s="51">
        <v>91</v>
      </c>
      <c r="Z9" s="51">
        <v>201</v>
      </c>
      <c r="AA9" s="51">
        <v>86.7</v>
      </c>
      <c r="AB9" s="51" t="s">
        <v>1574</v>
      </c>
      <c r="AC9" s="51" t="s">
        <v>1574</v>
      </c>
      <c r="AD9" s="51">
        <v>20.41046354993</v>
      </c>
      <c r="AE9" s="51">
        <v>44</v>
      </c>
      <c r="AF9" s="51">
        <v>39</v>
      </c>
      <c r="AG9" s="51">
        <v>103.54</v>
      </c>
      <c r="AH9" s="51" t="s">
        <v>1574</v>
      </c>
      <c r="AI9" s="51" t="s">
        <v>1574</v>
      </c>
      <c r="AJ9" s="51" t="s">
        <v>1574</v>
      </c>
      <c r="AK9" s="51" t="s">
        <v>1574</v>
      </c>
      <c r="AL9" s="51">
        <v>60.99</v>
      </c>
      <c r="AM9" s="51" t="s">
        <v>1574</v>
      </c>
      <c r="AN9" s="51">
        <v>0.14308000000000001</v>
      </c>
      <c r="AO9" s="51">
        <v>0.10920000000000001</v>
      </c>
      <c r="AP9" s="51">
        <v>0.71209999999999996</v>
      </c>
      <c r="AQ9" s="51">
        <v>0.29742454679000002</v>
      </c>
      <c r="AR9" s="51" t="s">
        <v>1574</v>
      </c>
      <c r="AS9" s="51">
        <v>1.4991416</v>
      </c>
      <c r="AT9" s="51">
        <v>0.12235641</v>
      </c>
      <c r="AU9" s="51">
        <v>0.11904948</v>
      </c>
      <c r="AV9" s="51">
        <v>6.7900000000000002E-2</v>
      </c>
      <c r="AW9" s="51">
        <v>1736.87</v>
      </c>
      <c r="AX9" s="51" t="s">
        <v>1574</v>
      </c>
      <c r="AY9" s="51">
        <v>31.94</v>
      </c>
      <c r="AZ9" s="51" t="s">
        <v>1574</v>
      </c>
      <c r="BA9" s="51">
        <v>149.17497836621001</v>
      </c>
      <c r="BB9" s="51" t="s">
        <v>1574</v>
      </c>
      <c r="BC9" s="51">
        <v>0.64529999999999998</v>
      </c>
      <c r="BD9" s="51" t="s">
        <v>1574</v>
      </c>
      <c r="BE9" s="51">
        <v>0.82889999999999997</v>
      </c>
      <c r="BF9" s="51">
        <v>13</v>
      </c>
      <c r="BG9" s="51" t="s">
        <v>1599</v>
      </c>
      <c r="BH9" s="51">
        <v>53</v>
      </c>
      <c r="BI9" s="51">
        <v>42.25</v>
      </c>
      <c r="BJ9" s="51">
        <v>28.5</v>
      </c>
      <c r="BK9" s="51">
        <v>511.47183227539</v>
      </c>
      <c r="BL9" s="51">
        <v>11.42</v>
      </c>
      <c r="BM9" s="51">
        <v>728.19</v>
      </c>
      <c r="BN9" s="51">
        <v>203.7</v>
      </c>
      <c r="BO9" s="51">
        <v>2180.4</v>
      </c>
      <c r="BP9" s="51">
        <v>1631</v>
      </c>
      <c r="BQ9" s="51">
        <v>244.9</v>
      </c>
      <c r="BR9" s="51">
        <v>35.270000000000003</v>
      </c>
      <c r="BS9" s="51">
        <v>83.5</v>
      </c>
      <c r="BT9" s="51">
        <v>0.91369999999999996</v>
      </c>
      <c r="BU9" s="41"/>
      <c r="BV9" s="41"/>
      <c r="BW9" s="41"/>
      <c r="BX9" s="41"/>
      <c r="BY9" s="41"/>
      <c r="BZ9" s="41"/>
      <c r="CA9" s="41"/>
      <c r="CB9" s="41"/>
      <c r="CC9" s="41"/>
      <c r="CD9" s="41"/>
      <c r="CE9" s="41"/>
      <c r="CF9" s="41"/>
      <c r="CG9" s="41"/>
      <c r="CH9" s="41"/>
      <c r="CI9" s="41"/>
      <c r="CJ9" s="41"/>
      <c r="CK9" s="41"/>
    </row>
    <row r="10" spans="1:89">
      <c r="A10" s="48" t="s">
        <v>139</v>
      </c>
      <c r="B10" s="49">
        <v>1.63000011444</v>
      </c>
      <c r="C10" s="49">
        <v>1.63000011444</v>
      </c>
      <c r="D10" s="49">
        <v>1.63000011444</v>
      </c>
      <c r="E10" s="49" t="s">
        <v>1574</v>
      </c>
      <c r="F10" s="49" t="s">
        <v>1574</v>
      </c>
      <c r="G10" s="49" t="s">
        <v>1574</v>
      </c>
      <c r="H10" s="49">
        <v>0.14000000000000001</v>
      </c>
      <c r="I10" s="49">
        <v>0.40477399635</v>
      </c>
      <c r="J10" s="49" t="s">
        <v>1574</v>
      </c>
      <c r="K10" s="49" t="s">
        <v>1574</v>
      </c>
      <c r="L10" s="49">
        <v>0.57889999999999997</v>
      </c>
      <c r="M10" s="49">
        <v>0.92810000000000004</v>
      </c>
      <c r="N10" s="49">
        <v>0.68870739999999997</v>
      </c>
      <c r="O10" s="49">
        <v>1.0297000000000001</v>
      </c>
      <c r="P10" s="49">
        <v>0.93030089999999999</v>
      </c>
      <c r="Q10" s="49">
        <v>1.1214010000000001</v>
      </c>
      <c r="R10" s="49">
        <v>1.0374000000000001</v>
      </c>
      <c r="S10" s="49">
        <v>361</v>
      </c>
      <c r="T10" s="49" t="s">
        <v>1574</v>
      </c>
      <c r="U10" s="49" t="s">
        <v>1574</v>
      </c>
      <c r="V10" s="49">
        <v>338</v>
      </c>
      <c r="W10" s="49">
        <v>225</v>
      </c>
      <c r="X10" s="49" t="s">
        <v>1574</v>
      </c>
      <c r="Y10" s="49">
        <v>92</v>
      </c>
      <c r="Z10" s="49">
        <v>201</v>
      </c>
      <c r="AA10" s="49">
        <v>84.1</v>
      </c>
      <c r="AB10" s="49" t="s">
        <v>1574</v>
      </c>
      <c r="AC10" s="49" t="s">
        <v>1574</v>
      </c>
      <c r="AD10" s="49">
        <v>20.718174862910001</v>
      </c>
      <c r="AE10" s="49">
        <v>45</v>
      </c>
      <c r="AF10" s="49">
        <v>35</v>
      </c>
      <c r="AG10" s="49">
        <v>103.79</v>
      </c>
      <c r="AH10" s="49" t="s">
        <v>1574</v>
      </c>
      <c r="AI10" s="49" t="s">
        <v>1574</v>
      </c>
      <c r="AJ10" s="49" t="s">
        <v>1574</v>
      </c>
      <c r="AK10" s="49" t="s">
        <v>1574</v>
      </c>
      <c r="AL10" s="49">
        <v>61.73</v>
      </c>
      <c r="AM10" s="49" t="s">
        <v>1574</v>
      </c>
      <c r="AN10" s="49">
        <v>0.14308000000000001</v>
      </c>
      <c r="AO10" s="49">
        <v>0.13189999999999999</v>
      </c>
      <c r="AP10" s="49">
        <v>0.76939999999999997</v>
      </c>
      <c r="AQ10" s="49">
        <v>0.29783404399000002</v>
      </c>
      <c r="AR10" s="49" t="s">
        <v>1574</v>
      </c>
      <c r="AS10" s="49">
        <v>1.4991416</v>
      </c>
      <c r="AT10" s="49">
        <v>0.12235641</v>
      </c>
      <c r="AU10" s="49">
        <v>0.1212541</v>
      </c>
      <c r="AV10" s="49">
        <v>6.83E-2</v>
      </c>
      <c r="AW10" s="49">
        <v>1736.87</v>
      </c>
      <c r="AX10" s="49" t="s">
        <v>1574</v>
      </c>
      <c r="AY10" s="49">
        <v>31.94</v>
      </c>
      <c r="AZ10" s="49" t="s">
        <v>1574</v>
      </c>
      <c r="BA10" s="49">
        <v>149.17497836621001</v>
      </c>
      <c r="BB10" s="49" t="s">
        <v>1574</v>
      </c>
      <c r="BC10" s="49">
        <v>0.64639999999999997</v>
      </c>
      <c r="BD10" s="49" t="s">
        <v>1574</v>
      </c>
      <c r="BE10" s="49">
        <v>0.85760000000000003</v>
      </c>
      <c r="BF10" s="49">
        <v>13</v>
      </c>
      <c r="BG10" s="49" t="s">
        <v>1599</v>
      </c>
      <c r="BH10" s="49">
        <v>53</v>
      </c>
      <c r="BI10" s="49">
        <v>42.25</v>
      </c>
      <c r="BJ10" s="49">
        <v>28.5</v>
      </c>
      <c r="BK10" s="49">
        <v>511.47183227539</v>
      </c>
      <c r="BL10" s="49">
        <v>11.42</v>
      </c>
      <c r="BM10" s="49">
        <v>684.94</v>
      </c>
      <c r="BN10" s="49">
        <v>210.3</v>
      </c>
      <c r="BO10" s="49">
        <v>2173.8000000000002</v>
      </c>
      <c r="BP10" s="49">
        <v>1631</v>
      </c>
      <c r="BQ10" s="49">
        <v>248.7</v>
      </c>
      <c r="BR10" s="49">
        <v>35.270000000000003</v>
      </c>
      <c r="BS10" s="49">
        <v>83.5</v>
      </c>
      <c r="BT10" s="49">
        <v>0.91369999999999996</v>
      </c>
      <c r="BU10" s="41"/>
      <c r="BV10" s="41"/>
      <c r="BW10" s="41"/>
      <c r="BX10" s="41"/>
      <c r="BY10" s="41"/>
      <c r="BZ10" s="41"/>
      <c r="CA10" s="41"/>
      <c r="CB10" s="41"/>
      <c r="CC10" s="41"/>
      <c r="CD10" s="41"/>
      <c r="CE10" s="41"/>
      <c r="CF10" s="41"/>
      <c r="CG10" s="41"/>
      <c r="CH10" s="41"/>
      <c r="CI10" s="41"/>
      <c r="CJ10" s="41"/>
      <c r="CK10" s="41"/>
    </row>
    <row r="11" spans="1:89">
      <c r="A11" s="41" t="s">
        <v>140</v>
      </c>
      <c r="B11" s="51">
        <v>1.63000011444</v>
      </c>
      <c r="C11" s="51">
        <v>1.63000011444</v>
      </c>
      <c r="D11" s="51">
        <v>1.63000011444</v>
      </c>
      <c r="E11" s="51" t="s">
        <v>1574</v>
      </c>
      <c r="F11" s="51" t="s">
        <v>1574</v>
      </c>
      <c r="G11" s="51" t="s">
        <v>1574</v>
      </c>
      <c r="H11" s="51">
        <v>0.14000000000000001</v>
      </c>
      <c r="I11" s="51">
        <v>0.40477399635</v>
      </c>
      <c r="J11" s="51" t="s">
        <v>1574</v>
      </c>
      <c r="K11" s="51" t="s">
        <v>1574</v>
      </c>
      <c r="L11" s="51">
        <v>0.59830000000000005</v>
      </c>
      <c r="M11" s="51">
        <v>0.93030000000000002</v>
      </c>
      <c r="N11" s="51">
        <v>0.68451870000000004</v>
      </c>
      <c r="O11" s="51">
        <v>1.0297000000000001</v>
      </c>
      <c r="P11" s="51">
        <v>0.93030089999999999</v>
      </c>
      <c r="Q11" s="51">
        <v>1.1214010000000001</v>
      </c>
      <c r="R11" s="51">
        <v>1.0374000000000001</v>
      </c>
      <c r="S11" s="51">
        <v>338</v>
      </c>
      <c r="T11" s="51" t="s">
        <v>1574</v>
      </c>
      <c r="U11" s="51" t="s">
        <v>1574</v>
      </c>
      <c r="V11" s="51">
        <v>333</v>
      </c>
      <c r="W11" s="51">
        <v>225</v>
      </c>
      <c r="X11" s="51" t="s">
        <v>1574</v>
      </c>
      <c r="Y11" s="51">
        <v>93</v>
      </c>
      <c r="Z11" s="51">
        <v>207</v>
      </c>
      <c r="AA11" s="51">
        <v>86.7</v>
      </c>
      <c r="AB11" s="51" t="s">
        <v>1574</v>
      </c>
      <c r="AC11" s="51" t="s">
        <v>1574</v>
      </c>
      <c r="AD11" s="51">
        <v>20.638036355250001</v>
      </c>
      <c r="AE11" s="51">
        <v>45</v>
      </c>
      <c r="AF11" s="51">
        <v>35</v>
      </c>
      <c r="AG11" s="51">
        <v>100.97</v>
      </c>
      <c r="AH11" s="51" t="s">
        <v>1574</v>
      </c>
      <c r="AI11" s="51" t="s">
        <v>1574</v>
      </c>
      <c r="AJ11" s="51" t="s">
        <v>1574</v>
      </c>
      <c r="AK11" s="51" t="s">
        <v>1574</v>
      </c>
      <c r="AL11" s="51">
        <v>60.99</v>
      </c>
      <c r="AM11" s="51" t="s">
        <v>1574</v>
      </c>
      <c r="AN11" s="51">
        <v>0.14308000000000001</v>
      </c>
      <c r="AO11" s="51">
        <v>0.1363</v>
      </c>
      <c r="AP11" s="51">
        <v>0.83779999999999999</v>
      </c>
      <c r="AQ11" s="51">
        <v>0.29902148269000001</v>
      </c>
      <c r="AR11" s="51" t="s">
        <v>1574</v>
      </c>
      <c r="AS11" s="51">
        <v>1.6755112000000001</v>
      </c>
      <c r="AT11" s="51">
        <v>0.12235641</v>
      </c>
      <c r="AU11" s="51">
        <v>0.12345871999999999</v>
      </c>
      <c r="AV11" s="51">
        <v>6.8099999999999994E-2</v>
      </c>
      <c r="AW11" s="51">
        <v>1736.87</v>
      </c>
      <c r="AX11" s="51" t="s">
        <v>1574</v>
      </c>
      <c r="AY11" s="51">
        <v>31.94</v>
      </c>
      <c r="AZ11" s="51" t="s">
        <v>1574</v>
      </c>
      <c r="BA11" s="51">
        <v>149.17497836621001</v>
      </c>
      <c r="BB11" s="51" t="s">
        <v>1574</v>
      </c>
      <c r="BC11" s="51">
        <v>0.64349999999999996</v>
      </c>
      <c r="BD11" s="51" t="s">
        <v>1574</v>
      </c>
      <c r="BE11" s="51">
        <v>0.86419999999999997</v>
      </c>
      <c r="BF11" s="51">
        <v>13</v>
      </c>
      <c r="BG11" s="51" t="s">
        <v>1599</v>
      </c>
      <c r="BH11" s="51">
        <v>53</v>
      </c>
      <c r="BI11" s="51">
        <v>42.25</v>
      </c>
      <c r="BJ11" s="51">
        <v>28.5</v>
      </c>
      <c r="BK11" s="51">
        <v>511.47183227539</v>
      </c>
      <c r="BL11" s="51">
        <v>11.42</v>
      </c>
      <c r="BM11" s="51">
        <v>723.11</v>
      </c>
      <c r="BN11" s="51">
        <v>213.6</v>
      </c>
      <c r="BO11" s="51">
        <v>2178.1999999999998</v>
      </c>
      <c r="BP11" s="51">
        <v>1631</v>
      </c>
      <c r="BQ11" s="51">
        <v>254.6</v>
      </c>
      <c r="BR11" s="51">
        <v>35.270000000000003</v>
      </c>
      <c r="BS11" s="51">
        <v>83.5</v>
      </c>
      <c r="BT11" s="51">
        <v>0.91369999999999996</v>
      </c>
      <c r="BU11" s="41"/>
      <c r="BV11" s="41"/>
      <c r="BW11" s="41"/>
      <c r="BX11" s="41"/>
      <c r="BY11" s="41"/>
      <c r="BZ11" s="41"/>
      <c r="CA11" s="41"/>
      <c r="CB11" s="41"/>
      <c r="CC11" s="41"/>
      <c r="CD11" s="41"/>
      <c r="CE11" s="41"/>
      <c r="CF11" s="41"/>
      <c r="CG11" s="41"/>
      <c r="CH11" s="41"/>
      <c r="CI11" s="41"/>
      <c r="CJ11" s="41"/>
      <c r="CK11" s="41"/>
    </row>
    <row r="12" spans="1:89">
      <c r="A12" s="48" t="s">
        <v>141</v>
      </c>
      <c r="B12" s="49">
        <v>1.63000011444</v>
      </c>
      <c r="C12" s="49">
        <v>1.63000011444</v>
      </c>
      <c r="D12" s="49">
        <v>1.63000011444</v>
      </c>
      <c r="E12" s="49" t="s">
        <v>1574</v>
      </c>
      <c r="F12" s="49" t="s">
        <v>1574</v>
      </c>
      <c r="G12" s="49" t="s">
        <v>1574</v>
      </c>
      <c r="H12" s="49">
        <v>0.14000000000000001</v>
      </c>
      <c r="I12" s="49">
        <v>0.40477399635</v>
      </c>
      <c r="J12" s="49" t="s">
        <v>1574</v>
      </c>
      <c r="K12" s="49" t="s">
        <v>1574</v>
      </c>
      <c r="L12" s="49">
        <v>0.60009999999999997</v>
      </c>
      <c r="M12" s="49">
        <v>0.92</v>
      </c>
      <c r="N12" s="49">
        <v>0.69069150000000001</v>
      </c>
      <c r="O12" s="49">
        <v>1.0297000000000001</v>
      </c>
      <c r="P12" s="49">
        <v>0.93030089999999999</v>
      </c>
      <c r="Q12" s="49">
        <v>1.1214010000000001</v>
      </c>
      <c r="R12" s="49">
        <v>1.0374000000000001</v>
      </c>
      <c r="S12" s="49">
        <v>321</v>
      </c>
      <c r="T12" s="49" t="s">
        <v>1574</v>
      </c>
      <c r="U12" s="49" t="s">
        <v>1574</v>
      </c>
      <c r="V12" s="49">
        <v>335</v>
      </c>
      <c r="W12" s="49">
        <v>225</v>
      </c>
      <c r="X12" s="49" t="s">
        <v>1574</v>
      </c>
      <c r="Y12" s="49">
        <v>93</v>
      </c>
      <c r="Z12" s="49">
        <v>209</v>
      </c>
      <c r="AA12" s="49">
        <v>81.5</v>
      </c>
      <c r="AB12" s="49" t="s">
        <v>1574</v>
      </c>
      <c r="AC12" s="49" t="s">
        <v>1574</v>
      </c>
      <c r="AD12" s="49">
        <v>20.606055828519999</v>
      </c>
      <c r="AE12" s="49">
        <v>48</v>
      </c>
      <c r="AF12" s="49">
        <v>35</v>
      </c>
      <c r="AG12" s="49">
        <v>102.15</v>
      </c>
      <c r="AH12" s="49" t="s">
        <v>1574</v>
      </c>
      <c r="AI12" s="49" t="s">
        <v>1574</v>
      </c>
      <c r="AJ12" s="49" t="s">
        <v>1574</v>
      </c>
      <c r="AK12" s="49" t="s">
        <v>1574</v>
      </c>
      <c r="AL12" s="49">
        <v>57.69</v>
      </c>
      <c r="AM12" s="49" t="s">
        <v>1574</v>
      </c>
      <c r="AN12" s="49">
        <v>0.14899999999999999</v>
      </c>
      <c r="AO12" s="49">
        <v>0.1444</v>
      </c>
      <c r="AP12" s="49">
        <v>0.75619999999999998</v>
      </c>
      <c r="AQ12" s="49">
        <v>0.29903147753999998</v>
      </c>
      <c r="AR12" s="49" t="s">
        <v>1574</v>
      </c>
      <c r="AS12" s="49">
        <v>1.7636959999999999</v>
      </c>
      <c r="AT12" s="49">
        <v>0.12235641</v>
      </c>
      <c r="AU12" s="49">
        <v>0.1212541</v>
      </c>
      <c r="AV12" s="49">
        <v>6.83E-2</v>
      </c>
      <c r="AW12" s="49">
        <v>1736.87</v>
      </c>
      <c r="AX12" s="49" t="s">
        <v>1574</v>
      </c>
      <c r="AY12" s="49">
        <v>31.94</v>
      </c>
      <c r="AZ12" s="49" t="s">
        <v>1574</v>
      </c>
      <c r="BA12" s="49">
        <v>149.17497836621001</v>
      </c>
      <c r="BB12" s="49" t="s">
        <v>1574</v>
      </c>
      <c r="BC12" s="49">
        <v>0.64680000000000004</v>
      </c>
      <c r="BD12" s="49" t="s">
        <v>1574</v>
      </c>
      <c r="BE12" s="49">
        <v>0.92810000000000004</v>
      </c>
      <c r="BF12" s="49">
        <v>13</v>
      </c>
      <c r="BG12" s="49" t="s">
        <v>1599</v>
      </c>
      <c r="BH12" s="49">
        <v>53</v>
      </c>
      <c r="BI12" s="49">
        <v>42.25</v>
      </c>
      <c r="BJ12" s="49">
        <v>28.5</v>
      </c>
      <c r="BK12" s="49">
        <v>511.47183227539</v>
      </c>
      <c r="BL12" s="49">
        <v>11.42</v>
      </c>
      <c r="BM12" s="49">
        <v>684.75</v>
      </c>
      <c r="BN12" s="49">
        <v>213.4</v>
      </c>
      <c r="BO12" s="49">
        <v>2162.6999999999998</v>
      </c>
      <c r="BP12" s="49">
        <v>1631</v>
      </c>
      <c r="BQ12" s="49">
        <v>253.8</v>
      </c>
      <c r="BR12" s="49">
        <v>35.270000000000003</v>
      </c>
      <c r="BS12" s="49">
        <v>83.5</v>
      </c>
      <c r="BT12" s="49">
        <v>0.91369999999999996</v>
      </c>
      <c r="BU12" s="41"/>
      <c r="BV12" s="41"/>
      <c r="BW12" s="41"/>
      <c r="BX12" s="41"/>
      <c r="BY12" s="41"/>
      <c r="BZ12" s="41"/>
      <c r="CA12" s="41"/>
      <c r="CB12" s="41"/>
      <c r="CC12" s="41"/>
      <c r="CD12" s="41"/>
      <c r="CE12" s="41"/>
      <c r="CF12" s="41"/>
      <c r="CG12" s="41"/>
      <c r="CH12" s="41"/>
      <c r="CI12" s="41"/>
      <c r="CJ12" s="41"/>
      <c r="CK12" s="41"/>
    </row>
    <row r="13" spans="1:89">
      <c r="A13" s="41" t="s">
        <v>142</v>
      </c>
      <c r="B13" s="51">
        <v>1.63000011444</v>
      </c>
      <c r="C13" s="51">
        <v>1.63000011444</v>
      </c>
      <c r="D13" s="51">
        <v>1.63000011444</v>
      </c>
      <c r="E13" s="51" t="s">
        <v>1574</v>
      </c>
      <c r="F13" s="51" t="s">
        <v>1574</v>
      </c>
      <c r="G13" s="51" t="s">
        <v>1574</v>
      </c>
      <c r="H13" s="51">
        <v>0.14000000000000001</v>
      </c>
      <c r="I13" s="51">
        <v>0.40477399635</v>
      </c>
      <c r="J13" s="51" t="s">
        <v>1574</v>
      </c>
      <c r="K13" s="51" t="s">
        <v>1574</v>
      </c>
      <c r="L13" s="51">
        <v>0.59440000000000004</v>
      </c>
      <c r="M13" s="51">
        <v>0.9123</v>
      </c>
      <c r="N13" s="51">
        <v>0.69686429999999999</v>
      </c>
      <c r="O13" s="51">
        <v>1.0297000000000001</v>
      </c>
      <c r="P13" s="51">
        <v>0.93030089999999999</v>
      </c>
      <c r="Q13" s="51">
        <v>1.1214010000000001</v>
      </c>
      <c r="R13" s="51">
        <v>1.0374000000000001</v>
      </c>
      <c r="S13" s="51">
        <v>287</v>
      </c>
      <c r="T13" s="51" t="s">
        <v>1574</v>
      </c>
      <c r="U13" s="51" t="s">
        <v>1574</v>
      </c>
      <c r="V13" s="51">
        <v>334</v>
      </c>
      <c r="W13" s="51">
        <v>219</v>
      </c>
      <c r="X13" s="51" t="s">
        <v>1574</v>
      </c>
      <c r="Y13" s="51">
        <v>91</v>
      </c>
      <c r="Z13" s="51">
        <v>218</v>
      </c>
      <c r="AA13" s="51">
        <v>80.3</v>
      </c>
      <c r="AB13" s="51" t="s">
        <v>1574</v>
      </c>
      <c r="AC13" s="51" t="s">
        <v>1574</v>
      </c>
      <c r="AD13" s="51">
        <v>20.126535821000001</v>
      </c>
      <c r="AE13" s="51">
        <v>47</v>
      </c>
      <c r="AF13" s="51">
        <v>36</v>
      </c>
      <c r="AG13" s="51">
        <v>103.13</v>
      </c>
      <c r="AH13" s="51" t="s">
        <v>1574</v>
      </c>
      <c r="AI13" s="51" t="s">
        <v>1574</v>
      </c>
      <c r="AJ13" s="51" t="s">
        <v>1574</v>
      </c>
      <c r="AK13" s="51" t="s">
        <v>1574</v>
      </c>
      <c r="AL13" s="51">
        <v>55.48</v>
      </c>
      <c r="AM13" s="51" t="s">
        <v>1574</v>
      </c>
      <c r="AN13" s="51">
        <v>0.14899999999999999</v>
      </c>
      <c r="AO13" s="51">
        <v>0.13850000000000001</v>
      </c>
      <c r="AP13" s="51">
        <v>0.7077</v>
      </c>
      <c r="AQ13" s="51">
        <v>0.29964312136999999</v>
      </c>
      <c r="AR13" s="51" t="s">
        <v>1574</v>
      </c>
      <c r="AS13" s="51">
        <v>1.7636959999999999</v>
      </c>
      <c r="AT13" s="51">
        <v>0.12235641</v>
      </c>
      <c r="AU13" s="51">
        <v>0.12566334000000001</v>
      </c>
      <c r="AV13" s="51">
        <v>6.6600000000000006E-2</v>
      </c>
      <c r="AW13" s="51">
        <v>1736.87</v>
      </c>
      <c r="AX13" s="51" t="s">
        <v>1574</v>
      </c>
      <c r="AY13" s="51">
        <v>31.94</v>
      </c>
      <c r="AZ13" s="51" t="s">
        <v>1574</v>
      </c>
      <c r="BA13" s="51">
        <v>149.17497836621001</v>
      </c>
      <c r="BB13" s="51" t="s">
        <v>1574</v>
      </c>
      <c r="BC13" s="51">
        <v>0.65590000000000004</v>
      </c>
      <c r="BD13" s="51" t="s">
        <v>1574</v>
      </c>
      <c r="BE13" s="51">
        <v>0.89290000000000003</v>
      </c>
      <c r="BF13" s="51">
        <v>13</v>
      </c>
      <c r="BG13" s="51" t="s">
        <v>1599</v>
      </c>
      <c r="BH13" s="51">
        <v>53</v>
      </c>
      <c r="BI13" s="51">
        <v>42.25</v>
      </c>
      <c r="BJ13" s="51">
        <v>28.5</v>
      </c>
      <c r="BK13" s="51">
        <v>511.47183227539</v>
      </c>
      <c r="BL13" s="51">
        <v>11.42</v>
      </c>
      <c r="BM13" s="51">
        <v>691.59</v>
      </c>
      <c r="BN13" s="51">
        <v>202.4</v>
      </c>
      <c r="BO13" s="51">
        <v>2184.8000000000002</v>
      </c>
      <c r="BP13" s="51">
        <v>1631</v>
      </c>
      <c r="BQ13" s="51">
        <v>249.8</v>
      </c>
      <c r="BR13" s="51">
        <v>35.270000000000003</v>
      </c>
      <c r="BS13" s="51">
        <v>83.5</v>
      </c>
      <c r="BT13" s="51">
        <v>0.91369999999999996</v>
      </c>
      <c r="BU13" s="41"/>
      <c r="BV13" s="41"/>
      <c r="BW13" s="41"/>
      <c r="BX13" s="41"/>
      <c r="BY13" s="41"/>
      <c r="BZ13" s="41"/>
      <c r="CA13" s="41"/>
      <c r="CB13" s="41"/>
      <c r="CC13" s="41"/>
      <c r="CD13" s="41"/>
      <c r="CE13" s="41"/>
      <c r="CF13" s="41"/>
      <c r="CG13" s="41"/>
      <c r="CH13" s="41"/>
      <c r="CI13" s="41"/>
      <c r="CJ13" s="41"/>
      <c r="CK13" s="41"/>
    </row>
    <row r="14" spans="1:89">
      <c r="A14" s="48" t="s">
        <v>143</v>
      </c>
      <c r="B14" s="49">
        <v>1.63000011444</v>
      </c>
      <c r="C14" s="49">
        <v>1.63000011444</v>
      </c>
      <c r="D14" s="49">
        <v>1.63000011444</v>
      </c>
      <c r="E14" s="49" t="s">
        <v>1574</v>
      </c>
      <c r="F14" s="49" t="s">
        <v>1574</v>
      </c>
      <c r="G14" s="49" t="s">
        <v>1574</v>
      </c>
      <c r="H14" s="49">
        <v>0.14000000000000001</v>
      </c>
      <c r="I14" s="49">
        <v>0.40477399635</v>
      </c>
      <c r="J14" s="49" t="s">
        <v>1574</v>
      </c>
      <c r="K14" s="49" t="s">
        <v>1574</v>
      </c>
      <c r="L14" s="49">
        <v>0.60450000000000004</v>
      </c>
      <c r="M14" s="49">
        <v>0.91600000000000004</v>
      </c>
      <c r="N14" s="49">
        <v>0.69069150000000001</v>
      </c>
      <c r="O14" s="49">
        <v>1.0297000000000001</v>
      </c>
      <c r="P14" s="49">
        <v>0.93030089999999999</v>
      </c>
      <c r="Q14" s="49">
        <v>1.1214010000000001</v>
      </c>
      <c r="R14" s="49">
        <v>1.0374000000000001</v>
      </c>
      <c r="S14" s="49">
        <v>298</v>
      </c>
      <c r="T14" s="49" t="s">
        <v>1574</v>
      </c>
      <c r="U14" s="49" t="s">
        <v>1574</v>
      </c>
      <c r="V14" s="49">
        <v>336</v>
      </c>
      <c r="W14" s="49">
        <v>221</v>
      </c>
      <c r="X14" s="49" t="s">
        <v>1574</v>
      </c>
      <c r="Y14" s="49">
        <v>92</v>
      </c>
      <c r="Z14" s="49">
        <v>224</v>
      </c>
      <c r="AA14" s="49">
        <v>77.7</v>
      </c>
      <c r="AB14" s="49" t="s">
        <v>1574</v>
      </c>
      <c r="AC14" s="49" t="s">
        <v>1574</v>
      </c>
      <c r="AD14" s="49">
        <v>20.037785748379999</v>
      </c>
      <c r="AE14" s="49">
        <v>47</v>
      </c>
      <c r="AF14" s="49">
        <v>39.9</v>
      </c>
      <c r="AG14" s="49">
        <v>102.05</v>
      </c>
      <c r="AH14" s="49" t="s">
        <v>1574</v>
      </c>
      <c r="AI14" s="49" t="s">
        <v>1574</v>
      </c>
      <c r="AJ14" s="49" t="s">
        <v>1574</v>
      </c>
      <c r="AK14" s="49" t="s">
        <v>1574</v>
      </c>
      <c r="AL14" s="49">
        <v>54.75</v>
      </c>
      <c r="AM14" s="49" t="s">
        <v>1574</v>
      </c>
      <c r="AN14" s="49">
        <v>0.14899999999999999</v>
      </c>
      <c r="AO14" s="49">
        <v>0.12920000000000001</v>
      </c>
      <c r="AP14" s="49">
        <v>0.74739999999999995</v>
      </c>
      <c r="AQ14" s="49">
        <v>0.30002403052999999</v>
      </c>
      <c r="AR14" s="49" t="s">
        <v>1574</v>
      </c>
      <c r="AS14" s="49">
        <v>1.7416498</v>
      </c>
      <c r="AT14" s="49">
        <v>0.12235641</v>
      </c>
      <c r="AU14" s="49">
        <v>0.13227720000000001</v>
      </c>
      <c r="AV14" s="49">
        <v>7.2800000000000004E-2</v>
      </c>
      <c r="AW14" s="49">
        <v>1736.87</v>
      </c>
      <c r="AX14" s="49" t="s">
        <v>1574</v>
      </c>
      <c r="AY14" s="49">
        <v>31.94</v>
      </c>
      <c r="AZ14" s="49" t="s">
        <v>1574</v>
      </c>
      <c r="BA14" s="49">
        <v>149.17497836621001</v>
      </c>
      <c r="BB14" s="49" t="s">
        <v>1574</v>
      </c>
      <c r="BC14" s="49">
        <v>0.65720000000000001</v>
      </c>
      <c r="BD14" s="49" t="s">
        <v>1574</v>
      </c>
      <c r="BE14" s="49">
        <v>0.78700000000000003</v>
      </c>
      <c r="BF14" s="49">
        <v>13</v>
      </c>
      <c r="BG14" s="49" t="s">
        <v>1599</v>
      </c>
      <c r="BH14" s="49">
        <v>53</v>
      </c>
      <c r="BI14" s="49">
        <v>42.25</v>
      </c>
      <c r="BJ14" s="49">
        <v>28.5</v>
      </c>
      <c r="BK14" s="49">
        <v>511.47183227539</v>
      </c>
      <c r="BL14" s="49">
        <v>11.42</v>
      </c>
      <c r="BM14" s="49">
        <v>702.39</v>
      </c>
      <c r="BN14" s="49">
        <v>196.2</v>
      </c>
      <c r="BO14" s="49">
        <v>2248.6999999999998</v>
      </c>
      <c r="BP14" s="49">
        <v>1631</v>
      </c>
      <c r="BQ14" s="49">
        <v>248.7</v>
      </c>
      <c r="BR14" s="49">
        <v>35.270000000000003</v>
      </c>
      <c r="BS14" s="49">
        <v>83.5</v>
      </c>
      <c r="BT14" s="49">
        <v>0.91369999999999996</v>
      </c>
      <c r="BU14" s="41"/>
      <c r="BV14" s="41"/>
      <c r="BW14" s="41"/>
      <c r="BX14" s="41"/>
      <c r="BY14" s="41"/>
      <c r="BZ14" s="41"/>
      <c r="CA14" s="41"/>
      <c r="CB14" s="41"/>
      <c r="CC14" s="41"/>
      <c r="CD14" s="41"/>
      <c r="CE14" s="41"/>
      <c r="CF14" s="41"/>
      <c r="CG14" s="41"/>
      <c r="CH14" s="41"/>
      <c r="CI14" s="41"/>
      <c r="CJ14" s="41"/>
      <c r="CK14" s="41"/>
    </row>
    <row r="15" spans="1:89">
      <c r="A15" s="41" t="s">
        <v>144</v>
      </c>
      <c r="B15" s="51">
        <v>1.63000011444</v>
      </c>
      <c r="C15" s="51">
        <v>1.63000011444</v>
      </c>
      <c r="D15" s="51">
        <v>1.63000011444</v>
      </c>
      <c r="E15" s="51" t="s">
        <v>1574</v>
      </c>
      <c r="F15" s="51" t="s">
        <v>1574</v>
      </c>
      <c r="G15" s="51" t="s">
        <v>1574</v>
      </c>
      <c r="H15" s="51">
        <v>0.14000000000000001</v>
      </c>
      <c r="I15" s="51">
        <v>0.40477399635</v>
      </c>
      <c r="J15" s="51" t="s">
        <v>1574</v>
      </c>
      <c r="K15" s="51" t="s">
        <v>1574</v>
      </c>
      <c r="L15" s="51">
        <v>0.58819999999999995</v>
      </c>
      <c r="M15" s="51">
        <v>0.92920000000000003</v>
      </c>
      <c r="N15" s="51">
        <v>0.69884840000000004</v>
      </c>
      <c r="O15" s="51">
        <v>1.0297000000000001</v>
      </c>
      <c r="P15" s="51">
        <v>0.93030089999999999</v>
      </c>
      <c r="Q15" s="51">
        <v>1.1214010000000001</v>
      </c>
      <c r="R15" s="51">
        <v>1.0374000000000001</v>
      </c>
      <c r="S15" s="51">
        <v>292</v>
      </c>
      <c r="T15" s="51" t="s">
        <v>1574</v>
      </c>
      <c r="U15" s="51" t="s">
        <v>1574</v>
      </c>
      <c r="V15" s="51">
        <v>336</v>
      </c>
      <c r="W15" s="51">
        <v>225</v>
      </c>
      <c r="X15" s="51" t="s">
        <v>1574</v>
      </c>
      <c r="Y15" s="51">
        <v>93</v>
      </c>
      <c r="Z15" s="51">
        <v>237</v>
      </c>
      <c r="AA15" s="51">
        <v>77.7</v>
      </c>
      <c r="AB15" s="51" t="s">
        <v>1574</v>
      </c>
      <c r="AC15" s="51" t="s">
        <v>1574</v>
      </c>
      <c r="AD15" s="51">
        <v>20.133178932290001</v>
      </c>
      <c r="AE15" s="51">
        <v>47</v>
      </c>
      <c r="AF15" s="51">
        <v>39</v>
      </c>
      <c r="AG15" s="51">
        <v>109.71</v>
      </c>
      <c r="AH15" s="51" t="s">
        <v>1574</v>
      </c>
      <c r="AI15" s="51" t="s">
        <v>1574</v>
      </c>
      <c r="AJ15" s="51" t="s">
        <v>1574</v>
      </c>
      <c r="AK15" s="51" t="s">
        <v>1574</v>
      </c>
      <c r="AL15" s="51">
        <v>55.12</v>
      </c>
      <c r="AM15" s="51" t="s">
        <v>1574</v>
      </c>
      <c r="AN15" s="51">
        <v>0.12698999999999999</v>
      </c>
      <c r="AO15" s="51">
        <v>0.12920000000000001</v>
      </c>
      <c r="AP15" s="51">
        <v>0.78259999999999996</v>
      </c>
      <c r="AQ15" s="51">
        <v>0.30082839881000001</v>
      </c>
      <c r="AR15" s="51" t="s">
        <v>1574</v>
      </c>
      <c r="AS15" s="51">
        <v>1.5873264</v>
      </c>
      <c r="AT15" s="51">
        <v>0.12235641</v>
      </c>
      <c r="AU15" s="51">
        <v>0.12786796</v>
      </c>
      <c r="AV15" s="51">
        <v>7.4099999999999999E-2</v>
      </c>
      <c r="AW15" s="51">
        <v>1736.87</v>
      </c>
      <c r="AX15" s="51" t="s">
        <v>1574</v>
      </c>
      <c r="AY15" s="51">
        <v>31.94</v>
      </c>
      <c r="AZ15" s="51" t="s">
        <v>1574</v>
      </c>
      <c r="BA15" s="51">
        <v>149.17497836621001</v>
      </c>
      <c r="BB15" s="51" t="s">
        <v>1574</v>
      </c>
      <c r="BC15" s="51">
        <v>0.65339999999999998</v>
      </c>
      <c r="BD15" s="51" t="s">
        <v>1574</v>
      </c>
      <c r="BE15" s="51">
        <v>0.72089999999999999</v>
      </c>
      <c r="BF15" s="51">
        <v>13</v>
      </c>
      <c r="BG15" s="51" t="s">
        <v>1599</v>
      </c>
      <c r="BH15" s="51">
        <v>53</v>
      </c>
      <c r="BI15" s="51">
        <v>42.25</v>
      </c>
      <c r="BJ15" s="51">
        <v>28.5</v>
      </c>
      <c r="BK15" s="51">
        <v>511.47183227539</v>
      </c>
      <c r="BL15" s="51">
        <v>11.42</v>
      </c>
      <c r="BM15" s="51">
        <v>675.94</v>
      </c>
      <c r="BN15" s="51">
        <v>195.3</v>
      </c>
      <c r="BO15" s="51">
        <v>2204.6</v>
      </c>
      <c r="BP15" s="51">
        <v>1631</v>
      </c>
      <c r="BQ15" s="51">
        <v>241</v>
      </c>
      <c r="BR15" s="51">
        <v>35.270000000000003</v>
      </c>
      <c r="BS15" s="51">
        <v>83.5</v>
      </c>
      <c r="BT15" s="51">
        <v>0.91369999999999996</v>
      </c>
      <c r="BU15" s="41"/>
      <c r="BV15" s="41"/>
      <c r="BW15" s="41"/>
      <c r="BX15" s="41"/>
      <c r="BY15" s="41"/>
      <c r="BZ15" s="41"/>
      <c r="CA15" s="41"/>
      <c r="CB15" s="41"/>
      <c r="CC15" s="41"/>
      <c r="CD15" s="41"/>
      <c r="CE15" s="41"/>
      <c r="CF15" s="41"/>
      <c r="CG15" s="41"/>
      <c r="CH15" s="41"/>
      <c r="CI15" s="41"/>
      <c r="CJ15" s="41"/>
      <c r="CK15" s="41"/>
    </row>
    <row r="16" spans="1:89">
      <c r="A16" s="48" t="s">
        <v>145</v>
      </c>
      <c r="B16" s="49">
        <v>1.63000011444</v>
      </c>
      <c r="C16" s="49">
        <v>1.63000011444</v>
      </c>
      <c r="D16" s="49">
        <v>1.63000011444</v>
      </c>
      <c r="E16" s="49" t="s">
        <v>1574</v>
      </c>
      <c r="F16" s="49" t="s">
        <v>1574</v>
      </c>
      <c r="G16" s="49" t="s">
        <v>1574</v>
      </c>
      <c r="H16" s="49">
        <v>0.14000000000000001</v>
      </c>
      <c r="I16" s="49">
        <v>0.40477399635</v>
      </c>
      <c r="J16" s="49" t="s">
        <v>1574</v>
      </c>
      <c r="K16" s="49" t="s">
        <v>1574</v>
      </c>
      <c r="L16" s="49">
        <v>0.5827</v>
      </c>
      <c r="M16" s="49">
        <v>0.92259999999999998</v>
      </c>
      <c r="N16" s="49">
        <v>0.70281660000000001</v>
      </c>
      <c r="O16" s="49">
        <v>1.0297000000000001</v>
      </c>
      <c r="P16" s="49">
        <v>0.93030089999999999</v>
      </c>
      <c r="Q16" s="49">
        <v>1.1214010000000001</v>
      </c>
      <c r="R16" s="49">
        <v>1.0374000000000001</v>
      </c>
      <c r="S16" s="49">
        <v>276</v>
      </c>
      <c r="T16" s="49" t="s">
        <v>1574</v>
      </c>
      <c r="U16" s="49" t="s">
        <v>1574</v>
      </c>
      <c r="V16" s="49">
        <v>323</v>
      </c>
      <c r="W16" s="49">
        <v>224</v>
      </c>
      <c r="X16" s="49" t="s">
        <v>1574</v>
      </c>
      <c r="Y16" s="49">
        <v>92</v>
      </c>
      <c r="Z16" s="49">
        <v>231</v>
      </c>
      <c r="AA16" s="49">
        <v>82.8</v>
      </c>
      <c r="AB16" s="49" t="s">
        <v>1574</v>
      </c>
      <c r="AC16" s="49" t="s">
        <v>1574</v>
      </c>
      <c r="AD16" s="49">
        <v>20.260414622950002</v>
      </c>
      <c r="AE16" s="49">
        <v>46</v>
      </c>
      <c r="AF16" s="49">
        <v>35</v>
      </c>
      <c r="AG16" s="49">
        <v>116.1</v>
      </c>
      <c r="AH16" s="49" t="s">
        <v>1574</v>
      </c>
      <c r="AI16" s="49" t="s">
        <v>1574</v>
      </c>
      <c r="AJ16" s="49" t="s">
        <v>1574</v>
      </c>
      <c r="AK16" s="49" t="s">
        <v>1574</v>
      </c>
      <c r="AL16" s="49">
        <v>56.59</v>
      </c>
      <c r="AM16" s="49" t="s">
        <v>1574</v>
      </c>
      <c r="AN16" s="49">
        <v>0.13800000000000001</v>
      </c>
      <c r="AO16" s="49">
        <v>0.12920000000000001</v>
      </c>
      <c r="AP16" s="49">
        <v>0.80910000000000004</v>
      </c>
      <c r="AQ16" s="49">
        <v>0.30245576462000001</v>
      </c>
      <c r="AR16" s="49" t="s">
        <v>1574</v>
      </c>
      <c r="AS16" s="49">
        <v>1.5211878000000001</v>
      </c>
      <c r="AT16" s="49">
        <v>0.12235641</v>
      </c>
      <c r="AU16" s="49">
        <v>0.13227720000000001</v>
      </c>
      <c r="AV16" s="49">
        <v>7.2499999999999995E-2</v>
      </c>
      <c r="AW16" s="49">
        <v>1736.87</v>
      </c>
      <c r="AX16" s="49" t="s">
        <v>1574</v>
      </c>
      <c r="AY16" s="49">
        <v>31.94</v>
      </c>
      <c r="AZ16" s="49" t="s">
        <v>1574</v>
      </c>
      <c r="BA16" s="49">
        <v>149.17497836621001</v>
      </c>
      <c r="BB16" s="49" t="s">
        <v>1574</v>
      </c>
      <c r="BC16" s="49">
        <v>0.66180000000000005</v>
      </c>
      <c r="BD16" s="49" t="s">
        <v>1574</v>
      </c>
      <c r="BE16" s="49">
        <v>0.72750000000000004</v>
      </c>
      <c r="BF16" s="49">
        <v>13</v>
      </c>
      <c r="BG16" s="49" t="s">
        <v>1599</v>
      </c>
      <c r="BH16" s="49">
        <v>53</v>
      </c>
      <c r="BI16" s="49">
        <v>42.25</v>
      </c>
      <c r="BJ16" s="49">
        <v>28.5</v>
      </c>
      <c r="BK16" s="49">
        <v>511.47183227539</v>
      </c>
      <c r="BL16" s="49">
        <v>11.42</v>
      </c>
      <c r="BM16" s="49">
        <v>647.05999999999995</v>
      </c>
      <c r="BN16" s="49">
        <v>192.7</v>
      </c>
      <c r="BO16" s="49">
        <v>2226.6999999999998</v>
      </c>
      <c r="BP16" s="49">
        <v>1631</v>
      </c>
      <c r="BQ16" s="49">
        <v>240.1</v>
      </c>
      <c r="BR16" s="49">
        <v>35.270000000000003</v>
      </c>
      <c r="BS16" s="49">
        <v>83.5</v>
      </c>
      <c r="BT16" s="49">
        <v>0.91369999999999996</v>
      </c>
      <c r="BU16" s="41"/>
      <c r="BV16" s="41"/>
      <c r="BW16" s="41"/>
      <c r="BX16" s="41"/>
      <c r="BY16" s="41"/>
      <c r="BZ16" s="41"/>
      <c r="CA16" s="41"/>
      <c r="CB16" s="41"/>
      <c r="CC16" s="41"/>
      <c r="CD16" s="41"/>
      <c r="CE16" s="41"/>
      <c r="CF16" s="41"/>
      <c r="CG16" s="41"/>
      <c r="CH16" s="41"/>
      <c r="CI16" s="41"/>
      <c r="CJ16" s="41"/>
      <c r="CK16" s="41"/>
    </row>
    <row r="17" spans="1:89">
      <c r="A17" s="41" t="s">
        <v>146</v>
      </c>
      <c r="B17" s="51">
        <v>1.63000011444</v>
      </c>
      <c r="C17" s="51">
        <v>1.63000011444</v>
      </c>
      <c r="D17" s="51">
        <v>1.63000011444</v>
      </c>
      <c r="E17" s="51" t="s">
        <v>1574</v>
      </c>
      <c r="F17" s="51" t="s">
        <v>1574</v>
      </c>
      <c r="G17" s="51" t="s">
        <v>1574</v>
      </c>
      <c r="H17" s="51">
        <v>0.14000000000000001</v>
      </c>
      <c r="I17" s="51">
        <v>0.40477399635</v>
      </c>
      <c r="J17" s="51" t="s">
        <v>1574</v>
      </c>
      <c r="K17" s="51" t="s">
        <v>1574</v>
      </c>
      <c r="L17" s="51">
        <v>0.58579999999999999</v>
      </c>
      <c r="M17" s="51">
        <v>0.92369999999999997</v>
      </c>
      <c r="N17" s="51">
        <v>0.70678490000000005</v>
      </c>
      <c r="O17" s="51">
        <v>1.0297000000000001</v>
      </c>
      <c r="P17" s="51">
        <v>0.93030089999999999</v>
      </c>
      <c r="Q17" s="51">
        <v>1.1214010000000001</v>
      </c>
      <c r="R17" s="51">
        <v>1.0374000000000001</v>
      </c>
      <c r="S17" s="51">
        <v>280</v>
      </c>
      <c r="T17" s="51" t="s">
        <v>1574</v>
      </c>
      <c r="U17" s="51" t="s">
        <v>1574</v>
      </c>
      <c r="V17" s="51">
        <v>310</v>
      </c>
      <c r="W17" s="51">
        <v>222</v>
      </c>
      <c r="X17" s="51" t="s">
        <v>1574</v>
      </c>
      <c r="Y17" s="51">
        <v>88</v>
      </c>
      <c r="Z17" s="51">
        <v>237</v>
      </c>
      <c r="AA17" s="51">
        <v>75.099999999999994</v>
      </c>
      <c r="AB17" s="51" t="s">
        <v>1574</v>
      </c>
      <c r="AC17" s="51" t="s">
        <v>1574</v>
      </c>
      <c r="AD17" s="51">
        <v>19.722910320699999</v>
      </c>
      <c r="AE17" s="51">
        <v>42</v>
      </c>
      <c r="AF17" s="51">
        <v>35</v>
      </c>
      <c r="AG17" s="51">
        <v>115.21</v>
      </c>
      <c r="AH17" s="51" t="s">
        <v>1574</v>
      </c>
      <c r="AI17" s="51" t="s">
        <v>1574</v>
      </c>
      <c r="AJ17" s="51" t="s">
        <v>1574</v>
      </c>
      <c r="AK17" s="51" t="s">
        <v>1574</v>
      </c>
      <c r="AL17" s="51">
        <v>56.95</v>
      </c>
      <c r="AM17" s="51" t="s">
        <v>1574</v>
      </c>
      <c r="AN17" s="51">
        <v>0.15409999999999999</v>
      </c>
      <c r="AO17" s="51">
        <v>0.12920000000000001</v>
      </c>
      <c r="AP17" s="51">
        <v>0.70989999999999998</v>
      </c>
      <c r="AQ17" s="51">
        <v>0.30200390083</v>
      </c>
      <c r="AR17" s="51" t="s">
        <v>1574</v>
      </c>
      <c r="AS17" s="51">
        <v>1.6314188000000001</v>
      </c>
      <c r="AT17" s="51">
        <v>0.12235641</v>
      </c>
      <c r="AU17" s="51">
        <v>0.13007257999999999</v>
      </c>
      <c r="AV17" s="51">
        <v>5.3800000000000001E-2</v>
      </c>
      <c r="AW17" s="51">
        <v>1736.87</v>
      </c>
      <c r="AX17" s="51" t="s">
        <v>1574</v>
      </c>
      <c r="AY17" s="51">
        <v>31.94</v>
      </c>
      <c r="AZ17" s="51" t="s">
        <v>1574</v>
      </c>
      <c r="BA17" s="51">
        <v>149.17497836621001</v>
      </c>
      <c r="BB17" s="51" t="s">
        <v>1574</v>
      </c>
      <c r="BC17" s="51">
        <v>0.66559999999999997</v>
      </c>
      <c r="BD17" s="51" t="s">
        <v>1574</v>
      </c>
      <c r="BE17" s="51">
        <v>0.68559999999999999</v>
      </c>
      <c r="BF17" s="51">
        <v>13</v>
      </c>
      <c r="BG17" s="51" t="s">
        <v>1599</v>
      </c>
      <c r="BH17" s="51">
        <v>53</v>
      </c>
      <c r="BI17" s="51">
        <v>42.25</v>
      </c>
      <c r="BJ17" s="51">
        <v>28.5</v>
      </c>
      <c r="BK17" s="51">
        <v>511.47183227539</v>
      </c>
      <c r="BL17" s="51">
        <v>11.42</v>
      </c>
      <c r="BM17" s="51">
        <v>612.66</v>
      </c>
      <c r="BN17" s="51">
        <v>185.2</v>
      </c>
      <c r="BO17" s="51">
        <v>2226.6999999999998</v>
      </c>
      <c r="BP17" s="51">
        <v>1631</v>
      </c>
      <c r="BQ17" s="51">
        <v>242.3</v>
      </c>
      <c r="BR17" s="51">
        <v>35.270000000000003</v>
      </c>
      <c r="BS17" s="51">
        <v>83.5</v>
      </c>
      <c r="BT17" s="51">
        <v>0.91369999999999996</v>
      </c>
      <c r="BU17" s="41"/>
      <c r="BV17" s="41"/>
      <c r="BW17" s="41"/>
      <c r="BX17" s="41"/>
      <c r="BY17" s="41"/>
      <c r="BZ17" s="41"/>
      <c r="CA17" s="41"/>
      <c r="CB17" s="41"/>
      <c r="CC17" s="41"/>
      <c r="CD17" s="41"/>
      <c r="CE17" s="41"/>
      <c r="CF17" s="41"/>
      <c r="CG17" s="41"/>
      <c r="CH17" s="41"/>
      <c r="CI17" s="41"/>
      <c r="CJ17" s="41"/>
      <c r="CK17" s="41"/>
    </row>
    <row r="18" spans="1:89">
      <c r="A18" s="48" t="s">
        <v>147</v>
      </c>
      <c r="B18" s="49">
        <v>1.63000011444</v>
      </c>
      <c r="C18" s="49">
        <v>1.63000011444</v>
      </c>
      <c r="D18" s="49">
        <v>1.63000011444</v>
      </c>
      <c r="E18" s="49" t="s">
        <v>1574</v>
      </c>
      <c r="F18" s="49" t="s">
        <v>1574</v>
      </c>
      <c r="G18" s="49" t="s">
        <v>1574</v>
      </c>
      <c r="H18" s="49">
        <v>0.14000000000000001</v>
      </c>
      <c r="I18" s="49">
        <v>0.40477399635</v>
      </c>
      <c r="J18" s="49" t="s">
        <v>1574</v>
      </c>
      <c r="K18" s="49" t="s">
        <v>1574</v>
      </c>
      <c r="L18" s="49">
        <v>0.56950000000000001</v>
      </c>
      <c r="M18" s="49">
        <v>0.91159999999999997</v>
      </c>
      <c r="N18" s="49">
        <v>0.70898950000000005</v>
      </c>
      <c r="O18" s="49">
        <v>1.0297000000000001</v>
      </c>
      <c r="P18" s="49">
        <v>0.93030089999999999</v>
      </c>
      <c r="Q18" s="49">
        <v>1.1214010000000001</v>
      </c>
      <c r="R18" s="49">
        <v>1.0374000000000001</v>
      </c>
      <c r="S18" s="49">
        <v>274</v>
      </c>
      <c r="T18" s="49" t="s">
        <v>1574</v>
      </c>
      <c r="U18" s="49" t="s">
        <v>1574</v>
      </c>
      <c r="V18" s="49">
        <v>303</v>
      </c>
      <c r="W18" s="49">
        <v>222</v>
      </c>
      <c r="X18" s="49" t="s">
        <v>1574</v>
      </c>
      <c r="Y18" s="49">
        <v>90</v>
      </c>
      <c r="Z18" s="49">
        <v>259</v>
      </c>
      <c r="AA18" s="49">
        <v>68.599999999999994</v>
      </c>
      <c r="AB18" s="49" t="s">
        <v>1574</v>
      </c>
      <c r="AC18" s="49" t="s">
        <v>1574</v>
      </c>
      <c r="AD18" s="49">
        <v>19.19704754548</v>
      </c>
      <c r="AE18" s="49">
        <v>38</v>
      </c>
      <c r="AF18" s="49">
        <v>35</v>
      </c>
      <c r="AG18" s="49">
        <v>114.43</v>
      </c>
      <c r="AH18" s="49" t="s">
        <v>1574</v>
      </c>
      <c r="AI18" s="49" t="s">
        <v>1574</v>
      </c>
      <c r="AJ18" s="49" t="s">
        <v>1574</v>
      </c>
      <c r="AK18" s="49" t="s">
        <v>1574</v>
      </c>
      <c r="AL18" s="49">
        <v>57.69</v>
      </c>
      <c r="AM18" s="49" t="s">
        <v>1574</v>
      </c>
      <c r="AN18" s="49">
        <v>0.127</v>
      </c>
      <c r="AO18" s="49">
        <v>0.14879999999999999</v>
      </c>
      <c r="AP18" s="49">
        <v>0.63490000000000002</v>
      </c>
      <c r="AQ18" s="49">
        <v>0.30164398589000002</v>
      </c>
      <c r="AR18" s="49" t="s">
        <v>1574</v>
      </c>
      <c r="AS18" s="49">
        <v>1.6314188000000001</v>
      </c>
      <c r="AT18" s="49">
        <v>0.12235641</v>
      </c>
      <c r="AU18" s="49">
        <v>0.13007257999999999</v>
      </c>
      <c r="AV18" s="49">
        <v>5.1999999999999998E-2</v>
      </c>
      <c r="AW18" s="49">
        <v>1736.87</v>
      </c>
      <c r="AX18" s="49" t="s">
        <v>1574</v>
      </c>
      <c r="AY18" s="49">
        <v>31.94</v>
      </c>
      <c r="AZ18" s="49" t="s">
        <v>1574</v>
      </c>
      <c r="BA18" s="49">
        <v>149.17497836621001</v>
      </c>
      <c r="BB18" s="49" t="s">
        <v>1574</v>
      </c>
      <c r="BC18" s="49">
        <v>0.66510000000000002</v>
      </c>
      <c r="BD18" s="49" t="s">
        <v>1574</v>
      </c>
      <c r="BE18" s="49">
        <v>0.62829999999999997</v>
      </c>
      <c r="BF18" s="49">
        <v>13</v>
      </c>
      <c r="BG18" s="49" t="s">
        <v>1599</v>
      </c>
      <c r="BH18" s="49">
        <v>53</v>
      </c>
      <c r="BI18" s="49">
        <v>42.25</v>
      </c>
      <c r="BJ18" s="49">
        <v>28.5</v>
      </c>
      <c r="BK18" s="49">
        <v>511.47183227539</v>
      </c>
      <c r="BL18" s="49">
        <v>11.42</v>
      </c>
      <c r="BM18" s="49">
        <v>642.13</v>
      </c>
      <c r="BN18" s="49">
        <v>188.1</v>
      </c>
      <c r="BO18" s="49">
        <v>2204.6</v>
      </c>
      <c r="BP18" s="49">
        <v>1631</v>
      </c>
      <c r="BQ18" s="49">
        <v>241.4</v>
      </c>
      <c r="BR18" s="49">
        <v>35.270000000000003</v>
      </c>
      <c r="BS18" s="49">
        <v>83.5</v>
      </c>
      <c r="BT18" s="49">
        <v>0.91369999999999996</v>
      </c>
      <c r="BU18" s="41"/>
      <c r="BV18" s="41"/>
      <c r="BW18" s="41"/>
      <c r="BX18" s="41"/>
      <c r="BY18" s="41"/>
      <c r="BZ18" s="41"/>
      <c r="CA18" s="41"/>
      <c r="CB18" s="41"/>
      <c r="CC18" s="41"/>
      <c r="CD18" s="41"/>
      <c r="CE18" s="41"/>
      <c r="CF18" s="41"/>
      <c r="CG18" s="41"/>
      <c r="CH18" s="41"/>
      <c r="CI18" s="41"/>
      <c r="CJ18" s="41"/>
      <c r="CK18" s="41"/>
    </row>
    <row r="19" spans="1:89">
      <c r="A19" s="41" t="s">
        <v>148</v>
      </c>
      <c r="B19" s="51">
        <v>1.63000011444</v>
      </c>
      <c r="C19" s="51">
        <v>1.63000011444</v>
      </c>
      <c r="D19" s="51">
        <v>1.63000011444</v>
      </c>
      <c r="E19" s="51" t="s">
        <v>1574</v>
      </c>
      <c r="F19" s="51" t="s">
        <v>1574</v>
      </c>
      <c r="G19" s="51" t="s">
        <v>1574</v>
      </c>
      <c r="H19" s="51">
        <v>0.14000000000000001</v>
      </c>
      <c r="I19" s="51">
        <v>0.40477399635</v>
      </c>
      <c r="J19" s="51" t="s">
        <v>1574</v>
      </c>
      <c r="K19" s="51" t="s">
        <v>1574</v>
      </c>
      <c r="L19" s="51">
        <v>0.52380000000000004</v>
      </c>
      <c r="M19" s="51">
        <v>0.90059999999999996</v>
      </c>
      <c r="N19" s="51">
        <v>0.69686429999999999</v>
      </c>
      <c r="O19" s="51">
        <v>1.0297000000000001</v>
      </c>
      <c r="P19" s="51">
        <v>0.93030089999999999</v>
      </c>
      <c r="Q19" s="51">
        <v>1.1214010000000001</v>
      </c>
      <c r="R19" s="51">
        <v>1.0374000000000001</v>
      </c>
      <c r="S19" s="51">
        <v>252</v>
      </c>
      <c r="T19" s="51" t="s">
        <v>1574</v>
      </c>
      <c r="U19" s="51" t="s">
        <v>1574</v>
      </c>
      <c r="V19" s="51">
        <v>301</v>
      </c>
      <c r="W19" s="51">
        <v>223</v>
      </c>
      <c r="X19" s="51" t="s">
        <v>1574</v>
      </c>
      <c r="Y19" s="51">
        <v>93</v>
      </c>
      <c r="Z19" s="51">
        <v>259</v>
      </c>
      <c r="AA19" s="51">
        <v>79</v>
      </c>
      <c r="AB19" s="51" t="s">
        <v>1574</v>
      </c>
      <c r="AC19" s="51" t="s">
        <v>1574</v>
      </c>
      <c r="AD19" s="51">
        <v>19.62896467785</v>
      </c>
      <c r="AE19" s="51">
        <v>40</v>
      </c>
      <c r="AF19" s="51">
        <v>36</v>
      </c>
      <c r="AG19" s="51">
        <v>112.66</v>
      </c>
      <c r="AH19" s="51" t="s">
        <v>1574</v>
      </c>
      <c r="AI19" s="51" t="s">
        <v>1574</v>
      </c>
      <c r="AJ19" s="51" t="s">
        <v>1574</v>
      </c>
      <c r="AK19" s="51" t="s">
        <v>1574</v>
      </c>
      <c r="AL19" s="51">
        <v>58.05</v>
      </c>
      <c r="AM19" s="51" t="s">
        <v>1574</v>
      </c>
      <c r="AN19" s="51">
        <v>0.14899999999999999</v>
      </c>
      <c r="AO19" s="51">
        <v>0.1188</v>
      </c>
      <c r="AP19" s="51">
        <v>0.66579999999999995</v>
      </c>
      <c r="AQ19" s="51">
        <v>0.30428324670000001</v>
      </c>
      <c r="AR19" s="51" t="s">
        <v>1574</v>
      </c>
      <c r="AS19" s="51">
        <v>1.5211878000000001</v>
      </c>
      <c r="AT19" s="51">
        <v>0.12235641</v>
      </c>
      <c r="AU19" s="51">
        <v>0.13007257999999999</v>
      </c>
      <c r="AV19" s="51">
        <v>6.3500000000000001E-2</v>
      </c>
      <c r="AW19" s="51">
        <v>1736.87</v>
      </c>
      <c r="AX19" s="51" t="s">
        <v>1574</v>
      </c>
      <c r="AY19" s="51">
        <v>31.94</v>
      </c>
      <c r="AZ19" s="51" t="s">
        <v>1574</v>
      </c>
      <c r="BA19" s="51">
        <v>149.17497836621001</v>
      </c>
      <c r="BB19" s="51" t="s">
        <v>1574</v>
      </c>
      <c r="BC19" s="51">
        <v>0.66490000000000005</v>
      </c>
      <c r="BD19" s="51" t="s">
        <v>1574</v>
      </c>
      <c r="BE19" s="51">
        <v>0.61950000000000005</v>
      </c>
      <c r="BF19" s="51">
        <v>13</v>
      </c>
      <c r="BG19" s="51" t="s">
        <v>1599</v>
      </c>
      <c r="BH19" s="51">
        <v>53</v>
      </c>
      <c r="BI19" s="51">
        <v>42.25</v>
      </c>
      <c r="BJ19" s="51">
        <v>28.5</v>
      </c>
      <c r="BK19" s="51">
        <v>511.47183227539</v>
      </c>
      <c r="BL19" s="51">
        <v>11.42</v>
      </c>
      <c r="BM19" s="51">
        <v>636.91</v>
      </c>
      <c r="BN19" s="51">
        <v>179.2</v>
      </c>
      <c r="BO19" s="51">
        <v>2189.1999999999998</v>
      </c>
      <c r="BP19" s="51">
        <v>1631</v>
      </c>
      <c r="BQ19" s="51">
        <v>228.2</v>
      </c>
      <c r="BR19" s="51">
        <v>35.270000000000003</v>
      </c>
      <c r="BS19" s="51">
        <v>83.5</v>
      </c>
      <c r="BT19" s="51">
        <v>0.91369999999999996</v>
      </c>
      <c r="BU19" s="41"/>
      <c r="BV19" s="41"/>
      <c r="BW19" s="41"/>
      <c r="BX19" s="41"/>
      <c r="BY19" s="41"/>
      <c r="BZ19" s="41"/>
      <c r="CA19" s="41"/>
      <c r="CB19" s="41"/>
      <c r="CC19" s="41"/>
      <c r="CD19" s="41"/>
      <c r="CE19" s="41"/>
      <c r="CF19" s="41"/>
      <c r="CG19" s="41"/>
      <c r="CH19" s="41"/>
      <c r="CI19" s="41"/>
      <c r="CJ19" s="41"/>
      <c r="CK19" s="41"/>
    </row>
    <row r="20" spans="1:89">
      <c r="A20" s="48" t="s">
        <v>149</v>
      </c>
      <c r="B20" s="49">
        <v>1.57</v>
      </c>
      <c r="C20" s="49">
        <v>1.57</v>
      </c>
      <c r="D20" s="49">
        <v>1.57</v>
      </c>
      <c r="E20" s="49" t="s">
        <v>1574</v>
      </c>
      <c r="F20" s="49" t="s">
        <v>1574</v>
      </c>
      <c r="G20" s="49" t="s">
        <v>1574</v>
      </c>
      <c r="H20" s="49">
        <v>0.15</v>
      </c>
      <c r="I20" s="49">
        <v>0.40477399635</v>
      </c>
      <c r="J20" s="49" t="s">
        <v>1574</v>
      </c>
      <c r="K20" s="49" t="s">
        <v>1574</v>
      </c>
      <c r="L20" s="49">
        <v>0.48499999999999999</v>
      </c>
      <c r="M20" s="49">
        <v>0.91449999999999998</v>
      </c>
      <c r="N20" s="49">
        <v>0.67658229999999997</v>
      </c>
      <c r="O20" s="49">
        <v>0.95179999999999998</v>
      </c>
      <c r="P20" s="49">
        <v>0.89250090000000004</v>
      </c>
      <c r="Q20" s="49">
        <v>0.97860100000000005</v>
      </c>
      <c r="R20" s="49">
        <v>0.98419959999999995</v>
      </c>
      <c r="S20" s="49">
        <v>269</v>
      </c>
      <c r="T20" s="49" t="s">
        <v>1574</v>
      </c>
      <c r="U20" s="49" t="s">
        <v>1574</v>
      </c>
      <c r="V20" s="49">
        <v>331</v>
      </c>
      <c r="W20" s="49">
        <v>223</v>
      </c>
      <c r="X20" s="49" t="s">
        <v>1574</v>
      </c>
      <c r="Y20" s="49">
        <v>102</v>
      </c>
      <c r="Z20" s="49">
        <v>278</v>
      </c>
      <c r="AA20" s="49">
        <v>85.4</v>
      </c>
      <c r="AB20" s="49" t="s">
        <v>1574</v>
      </c>
      <c r="AC20" s="49" t="s">
        <v>1574</v>
      </c>
      <c r="AD20" s="49">
        <v>20.276955512939999</v>
      </c>
      <c r="AE20" s="49">
        <v>43</v>
      </c>
      <c r="AF20" s="49">
        <v>38</v>
      </c>
      <c r="AG20" s="49">
        <v>113.47</v>
      </c>
      <c r="AH20" s="49" t="s">
        <v>1574</v>
      </c>
      <c r="AI20" s="49" t="s">
        <v>1574</v>
      </c>
      <c r="AJ20" s="49" t="s">
        <v>1574</v>
      </c>
      <c r="AK20" s="49" t="s">
        <v>1574</v>
      </c>
      <c r="AL20" s="49">
        <v>58.79</v>
      </c>
      <c r="AM20" s="49" t="s">
        <v>1574</v>
      </c>
      <c r="AN20" s="49">
        <v>0.127</v>
      </c>
      <c r="AO20" s="49">
        <v>0.1143</v>
      </c>
      <c r="AP20" s="49">
        <v>0.6371</v>
      </c>
      <c r="AQ20" s="49">
        <v>0.30611670552999998</v>
      </c>
      <c r="AR20" s="49" t="s">
        <v>1574</v>
      </c>
      <c r="AS20" s="49">
        <v>1.5211878000000001</v>
      </c>
      <c r="AT20" s="49">
        <v>0.124340568</v>
      </c>
      <c r="AU20" s="49">
        <v>0.12786796</v>
      </c>
      <c r="AV20" s="49">
        <v>6.4600000000000005E-2</v>
      </c>
      <c r="AW20" s="49">
        <v>1563.19</v>
      </c>
      <c r="AX20" s="49" t="s">
        <v>1574</v>
      </c>
      <c r="AY20" s="49">
        <v>33.06</v>
      </c>
      <c r="AZ20" s="49" t="s">
        <v>1574</v>
      </c>
      <c r="BA20" s="49">
        <v>151.97728078764999</v>
      </c>
      <c r="BB20" s="49" t="s">
        <v>1574</v>
      </c>
      <c r="BC20" s="49">
        <v>0.66359999999999997</v>
      </c>
      <c r="BD20" s="49" t="s">
        <v>1574</v>
      </c>
      <c r="BE20" s="49">
        <v>0.59970000000000001</v>
      </c>
      <c r="BF20" s="49">
        <v>13</v>
      </c>
      <c r="BG20" s="49" t="s">
        <v>1599</v>
      </c>
      <c r="BH20" s="49">
        <v>52</v>
      </c>
      <c r="BI20" s="49">
        <v>42.25</v>
      </c>
      <c r="BJ20" s="49">
        <v>30</v>
      </c>
      <c r="BK20" s="49">
        <v>511.47183227539</v>
      </c>
      <c r="BL20" s="49">
        <v>11.02</v>
      </c>
      <c r="BM20" s="49">
        <v>606.71</v>
      </c>
      <c r="BN20" s="49">
        <v>175.9</v>
      </c>
      <c r="BO20" s="49">
        <v>2162.6999999999998</v>
      </c>
      <c r="BP20" s="49">
        <v>1711</v>
      </c>
      <c r="BQ20" s="49">
        <v>218</v>
      </c>
      <c r="BR20" s="49">
        <v>35.25</v>
      </c>
      <c r="BS20" s="49">
        <v>83.5</v>
      </c>
      <c r="BT20" s="49">
        <v>0.91369999999999996</v>
      </c>
      <c r="BU20" s="41"/>
      <c r="BV20" s="41"/>
      <c r="BW20" s="41"/>
      <c r="BX20" s="41"/>
      <c r="BY20" s="41"/>
      <c r="BZ20" s="41"/>
      <c r="CA20" s="41"/>
      <c r="CB20" s="41"/>
      <c r="CC20" s="41"/>
      <c r="CD20" s="41"/>
      <c r="CE20" s="41"/>
      <c r="CF20" s="41"/>
      <c r="CG20" s="41"/>
      <c r="CH20" s="41"/>
      <c r="CI20" s="41"/>
      <c r="CJ20" s="41"/>
      <c r="CK20" s="41"/>
    </row>
    <row r="21" spans="1:89">
      <c r="A21" s="41" t="s">
        <v>150</v>
      </c>
      <c r="B21" s="51">
        <v>1.57</v>
      </c>
      <c r="C21" s="51">
        <v>1.57</v>
      </c>
      <c r="D21" s="51">
        <v>1.57</v>
      </c>
      <c r="E21" s="51" t="s">
        <v>1574</v>
      </c>
      <c r="F21" s="51" t="s">
        <v>1574</v>
      </c>
      <c r="G21" s="51" t="s">
        <v>1574</v>
      </c>
      <c r="H21" s="51">
        <v>0.15</v>
      </c>
      <c r="I21" s="51">
        <v>0.40477399635</v>
      </c>
      <c r="J21" s="51" t="s">
        <v>1574</v>
      </c>
      <c r="K21" s="51" t="s">
        <v>1574</v>
      </c>
      <c r="L21" s="51">
        <v>0.48809999999999998</v>
      </c>
      <c r="M21" s="51">
        <v>0.91669999999999996</v>
      </c>
      <c r="N21" s="51">
        <v>0.67658229999999997</v>
      </c>
      <c r="O21" s="51">
        <v>0.95179999999999998</v>
      </c>
      <c r="P21" s="51">
        <v>0.89250090000000004</v>
      </c>
      <c r="Q21" s="51">
        <v>0.97860100000000005</v>
      </c>
      <c r="R21" s="51">
        <v>0.98419959999999995</v>
      </c>
      <c r="S21" s="51">
        <v>281</v>
      </c>
      <c r="T21" s="51" t="s">
        <v>1574</v>
      </c>
      <c r="U21" s="51" t="s">
        <v>1574</v>
      </c>
      <c r="V21" s="51">
        <v>349</v>
      </c>
      <c r="W21" s="51">
        <v>228</v>
      </c>
      <c r="X21" s="51" t="s">
        <v>1574</v>
      </c>
      <c r="Y21" s="51">
        <v>114</v>
      </c>
      <c r="Z21" s="51">
        <v>303</v>
      </c>
      <c r="AA21" s="51">
        <v>94.6</v>
      </c>
      <c r="AB21" s="51" t="s">
        <v>1574</v>
      </c>
      <c r="AC21" s="51" t="s">
        <v>1574</v>
      </c>
      <c r="AD21" s="51">
        <v>20.531742813849998</v>
      </c>
      <c r="AE21" s="51">
        <v>44</v>
      </c>
      <c r="AF21" s="51">
        <v>39</v>
      </c>
      <c r="AG21" s="51">
        <v>109.52</v>
      </c>
      <c r="AH21" s="51" t="s">
        <v>1574</v>
      </c>
      <c r="AI21" s="51" t="s">
        <v>1574</v>
      </c>
      <c r="AJ21" s="51" t="s">
        <v>1574</v>
      </c>
      <c r="AK21" s="51" t="s">
        <v>1574</v>
      </c>
      <c r="AL21" s="51">
        <v>59.16</v>
      </c>
      <c r="AM21" s="51" t="s">
        <v>1574</v>
      </c>
      <c r="AN21" s="51">
        <v>0.127</v>
      </c>
      <c r="AO21" s="51">
        <v>0.1116</v>
      </c>
      <c r="AP21" s="51">
        <v>0.63929999999999998</v>
      </c>
      <c r="AQ21" s="51">
        <v>0.30827661225000003</v>
      </c>
      <c r="AR21" s="51" t="s">
        <v>1574</v>
      </c>
      <c r="AS21" s="51">
        <v>1.543234</v>
      </c>
      <c r="AT21" s="51">
        <v>0.124340568</v>
      </c>
      <c r="AU21" s="51">
        <v>0.12566334000000001</v>
      </c>
      <c r="AV21" s="51">
        <v>6.2600000000000003E-2</v>
      </c>
      <c r="AW21" s="51">
        <v>1563.19</v>
      </c>
      <c r="AX21" s="51" t="s">
        <v>1574</v>
      </c>
      <c r="AY21" s="51">
        <v>33.06</v>
      </c>
      <c r="AZ21" s="51" t="s">
        <v>1574</v>
      </c>
      <c r="BA21" s="51">
        <v>151.97728078764999</v>
      </c>
      <c r="BB21" s="51" t="s">
        <v>1574</v>
      </c>
      <c r="BC21" s="51">
        <v>0.6784</v>
      </c>
      <c r="BD21" s="51" t="s">
        <v>1574</v>
      </c>
      <c r="BE21" s="51">
        <v>0.57540000000000002</v>
      </c>
      <c r="BF21" s="51">
        <v>13</v>
      </c>
      <c r="BG21" s="51" t="s">
        <v>1599</v>
      </c>
      <c r="BH21" s="51">
        <v>52</v>
      </c>
      <c r="BI21" s="51">
        <v>42.25</v>
      </c>
      <c r="BJ21" s="51">
        <v>30</v>
      </c>
      <c r="BK21" s="51">
        <v>511.47183227539</v>
      </c>
      <c r="BL21" s="51">
        <v>11.02</v>
      </c>
      <c r="BM21" s="51">
        <v>616.63</v>
      </c>
      <c r="BN21" s="51">
        <v>179.9</v>
      </c>
      <c r="BO21" s="51">
        <v>2187</v>
      </c>
      <c r="BP21" s="51">
        <v>1711</v>
      </c>
      <c r="BQ21" s="51">
        <v>228.2</v>
      </c>
      <c r="BR21" s="51">
        <v>35.25</v>
      </c>
      <c r="BS21" s="51">
        <v>83.5</v>
      </c>
      <c r="BT21" s="51">
        <v>0.91369999999999996</v>
      </c>
      <c r="BU21" s="41"/>
      <c r="BV21" s="41"/>
      <c r="BW21" s="41"/>
      <c r="BX21" s="41"/>
      <c r="BY21" s="41"/>
      <c r="BZ21" s="41"/>
      <c r="CA21" s="41"/>
      <c r="CB21" s="41"/>
      <c r="CC21" s="41"/>
      <c r="CD21" s="41"/>
      <c r="CE21" s="41"/>
      <c r="CF21" s="41"/>
      <c r="CG21" s="41"/>
      <c r="CH21" s="41"/>
      <c r="CI21" s="41"/>
      <c r="CJ21" s="41"/>
      <c r="CK21" s="41"/>
    </row>
    <row r="22" spans="1:89">
      <c r="A22" s="48" t="s">
        <v>151</v>
      </c>
      <c r="B22" s="49">
        <v>1.57</v>
      </c>
      <c r="C22" s="49">
        <v>1.57</v>
      </c>
      <c r="D22" s="49">
        <v>1.57</v>
      </c>
      <c r="E22" s="49" t="s">
        <v>1574</v>
      </c>
      <c r="F22" s="49" t="s">
        <v>1574</v>
      </c>
      <c r="G22" s="49" t="s">
        <v>1574</v>
      </c>
      <c r="H22" s="49">
        <v>0.15</v>
      </c>
      <c r="I22" s="49">
        <v>0.40477399635</v>
      </c>
      <c r="J22" s="49" t="s">
        <v>1574</v>
      </c>
      <c r="K22" s="49" t="s">
        <v>1574</v>
      </c>
      <c r="L22" s="49">
        <v>0.45810000000000001</v>
      </c>
      <c r="M22" s="49">
        <v>0.91049999999999998</v>
      </c>
      <c r="N22" s="49">
        <v>0.66842539999999995</v>
      </c>
      <c r="O22" s="49">
        <v>0.95179999999999998</v>
      </c>
      <c r="P22" s="49">
        <v>0.89250090000000004</v>
      </c>
      <c r="Q22" s="49">
        <v>0.97860100000000005</v>
      </c>
      <c r="R22" s="49">
        <v>0.98419959999999995</v>
      </c>
      <c r="S22" s="49">
        <v>276</v>
      </c>
      <c r="T22" s="49" t="s">
        <v>1574</v>
      </c>
      <c r="U22" s="49" t="s">
        <v>1574</v>
      </c>
      <c r="V22" s="49">
        <v>373</v>
      </c>
      <c r="W22" s="49">
        <v>231</v>
      </c>
      <c r="X22" s="49" t="s">
        <v>1574</v>
      </c>
      <c r="Y22" s="49">
        <v>121</v>
      </c>
      <c r="Z22" s="49">
        <v>311</v>
      </c>
      <c r="AA22" s="49">
        <v>98.5</v>
      </c>
      <c r="AB22" s="49" t="s">
        <v>1574</v>
      </c>
      <c r="AC22" s="49" t="s">
        <v>1574</v>
      </c>
      <c r="AD22" s="49">
        <v>20.387849192800001</v>
      </c>
      <c r="AE22" s="49">
        <v>44</v>
      </c>
      <c r="AF22" s="49">
        <v>39</v>
      </c>
      <c r="AG22" s="49">
        <v>117.65</v>
      </c>
      <c r="AH22" s="49" t="s">
        <v>1574</v>
      </c>
      <c r="AI22" s="49" t="s">
        <v>1574</v>
      </c>
      <c r="AJ22" s="49" t="s">
        <v>1574</v>
      </c>
      <c r="AK22" s="49" t="s">
        <v>1574</v>
      </c>
      <c r="AL22" s="49">
        <v>58.05</v>
      </c>
      <c r="AM22" s="49" t="s">
        <v>1574</v>
      </c>
      <c r="AN22" s="49">
        <v>0.14308000000000001</v>
      </c>
      <c r="AO22" s="49">
        <v>0.12379999999999999</v>
      </c>
      <c r="AP22" s="49">
        <v>0.78259999999999996</v>
      </c>
      <c r="AQ22" s="49">
        <v>0.30963119519999999</v>
      </c>
      <c r="AR22" s="49" t="s">
        <v>1574</v>
      </c>
      <c r="AS22" s="49">
        <v>1.5211878000000001</v>
      </c>
      <c r="AT22" s="49">
        <v>0.124340568</v>
      </c>
      <c r="AU22" s="49">
        <v>0.12345871999999999</v>
      </c>
      <c r="AV22" s="49">
        <v>6.2600000000000003E-2</v>
      </c>
      <c r="AW22" s="49">
        <v>1563.19</v>
      </c>
      <c r="AX22" s="49" t="s">
        <v>1574</v>
      </c>
      <c r="AY22" s="49">
        <v>33.06</v>
      </c>
      <c r="AZ22" s="49" t="s">
        <v>1574</v>
      </c>
      <c r="BA22" s="49">
        <v>151.97728078764999</v>
      </c>
      <c r="BB22" s="49" t="s">
        <v>1574</v>
      </c>
      <c r="BC22" s="49">
        <v>0.67479999999999996</v>
      </c>
      <c r="BD22" s="49" t="s">
        <v>1574</v>
      </c>
      <c r="BE22" s="49">
        <v>0.61509999999999998</v>
      </c>
      <c r="BF22" s="49">
        <v>13</v>
      </c>
      <c r="BG22" s="49" t="s">
        <v>1599</v>
      </c>
      <c r="BH22" s="49">
        <v>52</v>
      </c>
      <c r="BI22" s="49">
        <v>42.25</v>
      </c>
      <c r="BJ22" s="49">
        <v>30</v>
      </c>
      <c r="BK22" s="49">
        <v>511.47183227539</v>
      </c>
      <c r="BL22" s="49">
        <v>11.02</v>
      </c>
      <c r="BM22" s="49">
        <v>621.26</v>
      </c>
      <c r="BN22" s="49">
        <v>181.7</v>
      </c>
      <c r="BO22" s="49">
        <v>2248.6999999999998</v>
      </c>
      <c r="BP22" s="49">
        <v>1711</v>
      </c>
      <c r="BQ22" s="49">
        <v>233.2</v>
      </c>
      <c r="BR22" s="49">
        <v>35.25</v>
      </c>
      <c r="BS22" s="49">
        <v>83.5</v>
      </c>
      <c r="BT22" s="49">
        <v>0.91369999999999996</v>
      </c>
      <c r="BU22" s="41"/>
      <c r="BV22" s="41"/>
      <c r="BW22" s="41"/>
      <c r="BX22" s="41"/>
      <c r="BY22" s="41"/>
      <c r="BZ22" s="41"/>
      <c r="CA22" s="41"/>
      <c r="CB22" s="41"/>
      <c r="CC22" s="41"/>
      <c r="CD22" s="41"/>
      <c r="CE22" s="41"/>
      <c r="CF22" s="41"/>
      <c r="CG22" s="41"/>
      <c r="CH22" s="41"/>
      <c r="CI22" s="41"/>
      <c r="CJ22" s="41"/>
      <c r="CK22" s="41"/>
    </row>
    <row r="23" spans="1:89">
      <c r="A23" s="41" t="s">
        <v>152</v>
      </c>
      <c r="B23" s="51">
        <v>1.57</v>
      </c>
      <c r="C23" s="51">
        <v>1.57</v>
      </c>
      <c r="D23" s="51">
        <v>1.57</v>
      </c>
      <c r="E23" s="51" t="s">
        <v>1574</v>
      </c>
      <c r="F23" s="51" t="s">
        <v>1574</v>
      </c>
      <c r="G23" s="51" t="s">
        <v>1574</v>
      </c>
      <c r="H23" s="51">
        <v>0.15</v>
      </c>
      <c r="I23" s="51">
        <v>0.40477399635</v>
      </c>
      <c r="J23" s="51" t="s">
        <v>1574</v>
      </c>
      <c r="K23" s="51" t="s">
        <v>1574</v>
      </c>
      <c r="L23" s="51">
        <v>0.43540000000000001</v>
      </c>
      <c r="M23" s="51">
        <v>0.90169999999999995</v>
      </c>
      <c r="N23" s="51">
        <v>0.66445719999999997</v>
      </c>
      <c r="O23" s="51">
        <v>0.95179999999999998</v>
      </c>
      <c r="P23" s="51">
        <v>0.89250090000000004</v>
      </c>
      <c r="Q23" s="51">
        <v>0.97860100000000005</v>
      </c>
      <c r="R23" s="51">
        <v>0.98419959999999995</v>
      </c>
      <c r="S23" s="51">
        <v>269</v>
      </c>
      <c r="T23" s="51" t="s">
        <v>1574</v>
      </c>
      <c r="U23" s="51" t="s">
        <v>1574</v>
      </c>
      <c r="V23" s="51">
        <v>369</v>
      </c>
      <c r="W23" s="51">
        <v>233</v>
      </c>
      <c r="X23" s="51" t="s">
        <v>1574</v>
      </c>
      <c r="Y23" s="51">
        <v>129</v>
      </c>
      <c r="Z23" s="51">
        <v>322</v>
      </c>
      <c r="AA23" s="51">
        <v>110.7</v>
      </c>
      <c r="AB23" s="51" t="s">
        <v>1574</v>
      </c>
      <c r="AC23" s="51" t="s">
        <v>1574</v>
      </c>
      <c r="AD23" s="51">
        <v>20.142683211790001</v>
      </c>
      <c r="AE23" s="51">
        <v>43</v>
      </c>
      <c r="AF23" s="51">
        <v>38</v>
      </c>
      <c r="AG23" s="51">
        <v>115.17</v>
      </c>
      <c r="AH23" s="51" t="s">
        <v>1574</v>
      </c>
      <c r="AI23" s="51" t="s">
        <v>1574</v>
      </c>
      <c r="AJ23" s="51" t="s">
        <v>1574</v>
      </c>
      <c r="AK23" s="51" t="s">
        <v>1574</v>
      </c>
      <c r="AL23" s="51">
        <v>57.32</v>
      </c>
      <c r="AM23" s="51" t="s">
        <v>1574</v>
      </c>
      <c r="AN23" s="51">
        <v>0.14308000000000001</v>
      </c>
      <c r="AO23" s="51">
        <v>0.1293</v>
      </c>
      <c r="AP23" s="51">
        <v>0.70989999999999998</v>
      </c>
      <c r="AQ23" s="51">
        <v>0.31200864933</v>
      </c>
      <c r="AR23" s="51" t="s">
        <v>1574</v>
      </c>
      <c r="AS23" s="51">
        <v>1.5211878000000001</v>
      </c>
      <c r="AT23" s="51">
        <v>0.124340568</v>
      </c>
      <c r="AU23" s="51">
        <v>0.12345871999999999</v>
      </c>
      <c r="AV23" s="51">
        <v>6.6799999999999998E-2</v>
      </c>
      <c r="AW23" s="51">
        <v>1563.19</v>
      </c>
      <c r="AX23" s="51" t="s">
        <v>1574</v>
      </c>
      <c r="AY23" s="51">
        <v>33.06</v>
      </c>
      <c r="AZ23" s="51" t="s">
        <v>1574</v>
      </c>
      <c r="BA23" s="51">
        <v>151.97728078764999</v>
      </c>
      <c r="BB23" s="51" t="s">
        <v>1574</v>
      </c>
      <c r="BC23" s="51">
        <v>0.67259999999999998</v>
      </c>
      <c r="BD23" s="51" t="s">
        <v>1574</v>
      </c>
      <c r="BE23" s="51">
        <v>0.63929999999999998</v>
      </c>
      <c r="BF23" s="51">
        <v>13</v>
      </c>
      <c r="BG23" s="51" t="s">
        <v>1599</v>
      </c>
      <c r="BH23" s="51">
        <v>52</v>
      </c>
      <c r="BI23" s="51">
        <v>42.25</v>
      </c>
      <c r="BJ23" s="51">
        <v>30</v>
      </c>
      <c r="BK23" s="51">
        <v>511.47183227539</v>
      </c>
      <c r="BL23" s="51">
        <v>11.02</v>
      </c>
      <c r="BM23" s="51">
        <v>631.84</v>
      </c>
      <c r="BN23" s="51">
        <v>185</v>
      </c>
      <c r="BO23" s="51">
        <v>2308.1999999999998</v>
      </c>
      <c r="BP23" s="51">
        <v>1711</v>
      </c>
      <c r="BQ23" s="51">
        <v>231.3</v>
      </c>
      <c r="BR23" s="51">
        <v>35.25</v>
      </c>
      <c r="BS23" s="51">
        <v>83.5</v>
      </c>
      <c r="BT23" s="51">
        <v>0.91369999999999996</v>
      </c>
      <c r="BU23" s="41"/>
      <c r="BV23" s="41"/>
      <c r="BW23" s="41"/>
      <c r="BX23" s="41"/>
      <c r="BY23" s="41"/>
      <c r="BZ23" s="41"/>
      <c r="CA23" s="41"/>
      <c r="CB23" s="41"/>
      <c r="CC23" s="41"/>
      <c r="CD23" s="41"/>
      <c r="CE23" s="41"/>
      <c r="CF23" s="41"/>
      <c r="CG23" s="41"/>
      <c r="CH23" s="41"/>
      <c r="CI23" s="41"/>
      <c r="CJ23" s="41"/>
      <c r="CK23" s="41"/>
    </row>
    <row r="24" spans="1:89">
      <c r="A24" s="48" t="s">
        <v>153</v>
      </c>
      <c r="B24" s="49">
        <v>1.57</v>
      </c>
      <c r="C24" s="49">
        <v>1.57</v>
      </c>
      <c r="D24" s="49">
        <v>1.57</v>
      </c>
      <c r="E24" s="49" t="s">
        <v>1574</v>
      </c>
      <c r="F24" s="49" t="s">
        <v>1574</v>
      </c>
      <c r="G24" s="49" t="s">
        <v>1574</v>
      </c>
      <c r="H24" s="49">
        <v>0.15</v>
      </c>
      <c r="I24" s="49">
        <v>0.40477399635</v>
      </c>
      <c r="J24" s="49" t="s">
        <v>1574</v>
      </c>
      <c r="K24" s="49" t="s">
        <v>1574</v>
      </c>
      <c r="L24" s="49">
        <v>0.48480000000000001</v>
      </c>
      <c r="M24" s="49">
        <v>0.89290000000000003</v>
      </c>
      <c r="N24" s="49">
        <v>0.66225259999999997</v>
      </c>
      <c r="O24" s="49">
        <v>0.95179999999999998</v>
      </c>
      <c r="P24" s="49">
        <v>0.89250090000000004</v>
      </c>
      <c r="Q24" s="49">
        <v>0.97860100000000005</v>
      </c>
      <c r="R24" s="49">
        <v>0.98419959999999995</v>
      </c>
      <c r="S24" s="49">
        <v>258</v>
      </c>
      <c r="T24" s="49" t="s">
        <v>1574</v>
      </c>
      <c r="U24" s="49" t="s">
        <v>1574</v>
      </c>
      <c r="V24" s="49">
        <v>352</v>
      </c>
      <c r="W24" s="49">
        <v>234</v>
      </c>
      <c r="X24" s="49" t="s">
        <v>1574</v>
      </c>
      <c r="Y24" s="49">
        <v>122</v>
      </c>
      <c r="Z24" s="49">
        <v>314</v>
      </c>
      <c r="AA24" s="49">
        <v>109.1</v>
      </c>
      <c r="AB24" s="49" t="s">
        <v>1574</v>
      </c>
      <c r="AC24" s="49" t="s">
        <v>1574</v>
      </c>
      <c r="AD24" s="49">
        <v>20.25290293794</v>
      </c>
      <c r="AE24" s="49">
        <v>45</v>
      </c>
      <c r="AF24" s="49">
        <v>42</v>
      </c>
      <c r="AG24" s="49">
        <v>119.42</v>
      </c>
      <c r="AH24" s="49" t="s">
        <v>1574</v>
      </c>
      <c r="AI24" s="49" t="s">
        <v>1574</v>
      </c>
      <c r="AJ24" s="49" t="s">
        <v>1574</v>
      </c>
      <c r="AK24" s="49" t="s">
        <v>1574</v>
      </c>
      <c r="AL24" s="49">
        <v>55.85</v>
      </c>
      <c r="AM24" s="49" t="s">
        <v>1574</v>
      </c>
      <c r="AN24" s="49">
        <v>0.129</v>
      </c>
      <c r="AO24" s="49">
        <v>0.1293</v>
      </c>
      <c r="AP24" s="49">
        <v>0.6371</v>
      </c>
      <c r="AQ24" s="49">
        <v>0.31264425820000002</v>
      </c>
      <c r="AR24" s="49" t="s">
        <v>1574</v>
      </c>
      <c r="AS24" s="49">
        <v>1.4991416</v>
      </c>
      <c r="AT24" s="49">
        <v>0.124340568</v>
      </c>
      <c r="AU24" s="49">
        <v>0.13007257999999999</v>
      </c>
      <c r="AV24" s="49">
        <v>7.0300000000000001E-2</v>
      </c>
      <c r="AW24" s="49">
        <v>1563.19</v>
      </c>
      <c r="AX24" s="49" t="s">
        <v>1574</v>
      </c>
      <c r="AY24" s="49">
        <v>33.06</v>
      </c>
      <c r="AZ24" s="49" t="s">
        <v>1574</v>
      </c>
      <c r="BA24" s="49">
        <v>151.97728078764999</v>
      </c>
      <c r="BB24" s="49" t="s">
        <v>1574</v>
      </c>
      <c r="BC24" s="49">
        <v>0.67810000000000004</v>
      </c>
      <c r="BD24" s="49" t="s">
        <v>1574</v>
      </c>
      <c r="BE24" s="49">
        <v>0.64370000000000005</v>
      </c>
      <c r="BF24" s="49">
        <v>13</v>
      </c>
      <c r="BG24" s="49" t="s">
        <v>1599</v>
      </c>
      <c r="BH24" s="49">
        <v>52</v>
      </c>
      <c r="BI24" s="49">
        <v>42.25</v>
      </c>
      <c r="BJ24" s="49">
        <v>30</v>
      </c>
      <c r="BK24" s="49">
        <v>511.47183227539</v>
      </c>
      <c r="BL24" s="49">
        <v>11.02</v>
      </c>
      <c r="BM24" s="49">
        <v>668.44</v>
      </c>
      <c r="BN24" s="49">
        <v>183.6</v>
      </c>
      <c r="BO24" s="49">
        <v>2376.6</v>
      </c>
      <c r="BP24" s="49">
        <v>1711</v>
      </c>
      <c r="BQ24" s="49">
        <v>227.1</v>
      </c>
      <c r="BR24" s="49">
        <v>35.25</v>
      </c>
      <c r="BS24" s="49">
        <v>83.5</v>
      </c>
      <c r="BT24" s="49">
        <v>0.91369999999999996</v>
      </c>
      <c r="BU24" s="41"/>
      <c r="BV24" s="41"/>
      <c r="BW24" s="41"/>
      <c r="BX24" s="41"/>
      <c r="BY24" s="41"/>
      <c r="BZ24" s="41"/>
      <c r="CA24" s="41"/>
      <c r="CB24" s="41"/>
      <c r="CC24" s="41"/>
      <c r="CD24" s="41"/>
      <c r="CE24" s="41"/>
      <c r="CF24" s="41"/>
      <c r="CG24" s="41"/>
      <c r="CH24" s="41"/>
      <c r="CI24" s="41"/>
      <c r="CJ24" s="41"/>
      <c r="CK24" s="41"/>
    </row>
    <row r="25" spans="1:89">
      <c r="A25" s="41" t="s">
        <v>154</v>
      </c>
      <c r="B25" s="51">
        <v>1.57</v>
      </c>
      <c r="C25" s="51">
        <v>1.57</v>
      </c>
      <c r="D25" s="51">
        <v>1.57</v>
      </c>
      <c r="E25" s="51" t="s">
        <v>1574</v>
      </c>
      <c r="F25" s="51" t="s">
        <v>1574</v>
      </c>
      <c r="G25" s="51" t="s">
        <v>1574</v>
      </c>
      <c r="H25" s="51">
        <v>0.15</v>
      </c>
      <c r="I25" s="51">
        <v>0.40477399635</v>
      </c>
      <c r="J25" s="51" t="s">
        <v>1574</v>
      </c>
      <c r="K25" s="51" t="s">
        <v>1574</v>
      </c>
      <c r="L25" s="51">
        <v>0.49070000000000003</v>
      </c>
      <c r="M25" s="51">
        <v>0.8891</v>
      </c>
      <c r="N25" s="51">
        <v>0.66644119999999996</v>
      </c>
      <c r="O25" s="51">
        <v>0.95179999999999998</v>
      </c>
      <c r="P25" s="51">
        <v>0.89250090000000004</v>
      </c>
      <c r="Q25" s="51">
        <v>0.97860100000000005</v>
      </c>
      <c r="R25" s="51">
        <v>0.98419959999999995</v>
      </c>
      <c r="S25" s="51">
        <v>243</v>
      </c>
      <c r="T25" s="51" t="s">
        <v>1574</v>
      </c>
      <c r="U25" s="51" t="s">
        <v>1574</v>
      </c>
      <c r="V25" s="51">
        <v>330</v>
      </c>
      <c r="W25" s="51">
        <v>233</v>
      </c>
      <c r="X25" s="51" t="s">
        <v>1574</v>
      </c>
      <c r="Y25" s="51">
        <v>114</v>
      </c>
      <c r="Z25" s="51">
        <v>295</v>
      </c>
      <c r="AA25" s="51">
        <v>98.5</v>
      </c>
      <c r="AB25" s="51" t="s">
        <v>1574</v>
      </c>
      <c r="AC25" s="51" t="s">
        <v>1574</v>
      </c>
      <c r="AD25" s="51">
        <v>19.884612191519999</v>
      </c>
      <c r="AE25" s="51">
        <v>44</v>
      </c>
      <c r="AF25" s="51">
        <v>45</v>
      </c>
      <c r="AG25" s="51">
        <v>121.4</v>
      </c>
      <c r="AH25" s="51" t="s">
        <v>1574</v>
      </c>
      <c r="AI25" s="51" t="s">
        <v>1574</v>
      </c>
      <c r="AJ25" s="51" t="s">
        <v>1574</v>
      </c>
      <c r="AK25" s="51" t="s">
        <v>1574</v>
      </c>
      <c r="AL25" s="51">
        <v>54.38</v>
      </c>
      <c r="AM25" s="51" t="s">
        <v>1574</v>
      </c>
      <c r="AN25" s="51">
        <v>0.121</v>
      </c>
      <c r="AO25" s="51">
        <v>0.19320000000000001</v>
      </c>
      <c r="AP25" s="51">
        <v>0.67679999999999996</v>
      </c>
      <c r="AQ25" s="51">
        <v>0.31210954492999998</v>
      </c>
      <c r="AR25" s="51" t="s">
        <v>1574</v>
      </c>
      <c r="AS25" s="51">
        <v>1.5211878000000001</v>
      </c>
      <c r="AT25" s="51">
        <v>0.124340568</v>
      </c>
      <c r="AU25" s="51">
        <v>0.13007257999999999</v>
      </c>
      <c r="AV25" s="51">
        <v>6.5500000000000003E-2</v>
      </c>
      <c r="AW25" s="51">
        <v>1563.19</v>
      </c>
      <c r="AX25" s="51" t="s">
        <v>1574</v>
      </c>
      <c r="AY25" s="51">
        <v>33.06</v>
      </c>
      <c r="AZ25" s="51" t="s">
        <v>1574</v>
      </c>
      <c r="BA25" s="51">
        <v>151.97728078764999</v>
      </c>
      <c r="BB25" s="51" t="s">
        <v>1574</v>
      </c>
      <c r="BC25" s="51">
        <v>0.6764</v>
      </c>
      <c r="BD25" s="51" t="s">
        <v>1574</v>
      </c>
      <c r="BE25" s="51">
        <v>0.60629999999999995</v>
      </c>
      <c r="BF25" s="51">
        <v>13</v>
      </c>
      <c r="BG25" s="51" t="s">
        <v>1599</v>
      </c>
      <c r="BH25" s="51">
        <v>52</v>
      </c>
      <c r="BI25" s="51">
        <v>42.25</v>
      </c>
      <c r="BJ25" s="51">
        <v>30</v>
      </c>
      <c r="BK25" s="51">
        <v>511.47183227539</v>
      </c>
      <c r="BL25" s="51">
        <v>11.02</v>
      </c>
      <c r="BM25" s="51">
        <v>652.12</v>
      </c>
      <c r="BN25" s="51">
        <v>178.4</v>
      </c>
      <c r="BO25" s="51">
        <v>2467</v>
      </c>
      <c r="BP25" s="51">
        <v>1711</v>
      </c>
      <c r="BQ25" s="51">
        <v>217.8</v>
      </c>
      <c r="BR25" s="51">
        <v>35.25</v>
      </c>
      <c r="BS25" s="51">
        <v>83.5</v>
      </c>
      <c r="BT25" s="51">
        <v>0.91369999999999996</v>
      </c>
      <c r="BU25" s="41"/>
      <c r="BV25" s="41"/>
      <c r="BW25" s="41"/>
      <c r="BX25" s="41"/>
      <c r="BY25" s="41"/>
      <c r="BZ25" s="41"/>
      <c r="CA25" s="41"/>
      <c r="CB25" s="41"/>
      <c r="CC25" s="41"/>
      <c r="CD25" s="41"/>
      <c r="CE25" s="41"/>
      <c r="CF25" s="41"/>
      <c r="CG25" s="41"/>
      <c r="CH25" s="41"/>
      <c r="CI25" s="41"/>
      <c r="CJ25" s="41"/>
      <c r="CK25" s="41"/>
    </row>
    <row r="26" spans="1:89">
      <c r="A26" s="48" t="s">
        <v>155</v>
      </c>
      <c r="B26" s="49">
        <v>1.57</v>
      </c>
      <c r="C26" s="49">
        <v>1.57</v>
      </c>
      <c r="D26" s="49">
        <v>1.57</v>
      </c>
      <c r="E26" s="49" t="s">
        <v>1574</v>
      </c>
      <c r="F26" s="49" t="s">
        <v>1574</v>
      </c>
      <c r="G26" s="49" t="s">
        <v>1574</v>
      </c>
      <c r="H26" s="49">
        <v>0.15</v>
      </c>
      <c r="I26" s="49">
        <v>0.40477399635</v>
      </c>
      <c r="J26" s="49" t="s">
        <v>1574</v>
      </c>
      <c r="K26" s="49" t="s">
        <v>1574</v>
      </c>
      <c r="L26" s="49">
        <v>0.4753</v>
      </c>
      <c r="M26" s="49">
        <v>0.89290000000000003</v>
      </c>
      <c r="N26" s="49">
        <v>0.66842539999999995</v>
      </c>
      <c r="O26" s="49">
        <v>0.95179999999999998</v>
      </c>
      <c r="P26" s="49">
        <v>0.89250090000000004</v>
      </c>
      <c r="Q26" s="49">
        <v>0.97860100000000005</v>
      </c>
      <c r="R26" s="49">
        <v>0.98419959999999995</v>
      </c>
      <c r="S26" s="49">
        <v>245</v>
      </c>
      <c r="T26" s="49" t="s">
        <v>1574</v>
      </c>
      <c r="U26" s="49" t="s">
        <v>1574</v>
      </c>
      <c r="V26" s="49">
        <v>328</v>
      </c>
      <c r="W26" s="49">
        <v>229</v>
      </c>
      <c r="X26" s="49" t="s">
        <v>1574</v>
      </c>
      <c r="Y26" s="49">
        <v>112</v>
      </c>
      <c r="Z26" s="49">
        <v>282</v>
      </c>
      <c r="AA26" s="49">
        <v>99.9</v>
      </c>
      <c r="AB26" s="49" t="s">
        <v>1574</v>
      </c>
      <c r="AC26" s="49" t="s">
        <v>1574</v>
      </c>
      <c r="AD26" s="49">
        <v>20.443309274600001</v>
      </c>
      <c r="AE26" s="49">
        <v>45</v>
      </c>
      <c r="AF26" s="49">
        <v>45</v>
      </c>
      <c r="AG26" s="49">
        <v>123.41</v>
      </c>
      <c r="AH26" s="49" t="s">
        <v>1574</v>
      </c>
      <c r="AI26" s="49" t="s">
        <v>1574</v>
      </c>
      <c r="AJ26" s="49" t="s">
        <v>1574</v>
      </c>
      <c r="AK26" s="49" t="s">
        <v>1574</v>
      </c>
      <c r="AL26" s="49">
        <v>56.59</v>
      </c>
      <c r="AM26" s="49" t="s">
        <v>1574</v>
      </c>
      <c r="AN26" s="49">
        <v>0.13200000000000001</v>
      </c>
      <c r="AO26" s="49">
        <v>0.13300000000000001</v>
      </c>
      <c r="AP26" s="49">
        <v>0.66800000000000004</v>
      </c>
      <c r="AQ26" s="49">
        <v>0.31312891829</v>
      </c>
      <c r="AR26" s="49" t="s">
        <v>1574</v>
      </c>
      <c r="AS26" s="49">
        <v>1.5652801999999999</v>
      </c>
      <c r="AT26" s="49">
        <v>0.124340568</v>
      </c>
      <c r="AU26" s="49">
        <v>0.12786796</v>
      </c>
      <c r="AV26" s="49">
        <v>6.0900000000000003E-2</v>
      </c>
      <c r="AW26" s="49">
        <v>1563.19</v>
      </c>
      <c r="AX26" s="49" t="s">
        <v>1574</v>
      </c>
      <c r="AY26" s="49">
        <v>33.06</v>
      </c>
      <c r="AZ26" s="49" t="s">
        <v>1574</v>
      </c>
      <c r="BA26" s="49">
        <v>151.97728078764999</v>
      </c>
      <c r="BB26" s="49" t="s">
        <v>1574</v>
      </c>
      <c r="BC26" s="49">
        <v>0.67569999999999997</v>
      </c>
      <c r="BD26" s="49" t="s">
        <v>1574</v>
      </c>
      <c r="BE26" s="49">
        <v>0.60850000000000004</v>
      </c>
      <c r="BF26" s="49">
        <v>13</v>
      </c>
      <c r="BG26" s="49" t="s">
        <v>1599</v>
      </c>
      <c r="BH26" s="49">
        <v>52</v>
      </c>
      <c r="BI26" s="49">
        <v>42.25</v>
      </c>
      <c r="BJ26" s="49">
        <v>30</v>
      </c>
      <c r="BK26" s="49">
        <v>511.47183227539</v>
      </c>
      <c r="BL26" s="49">
        <v>11.02</v>
      </c>
      <c r="BM26" s="49">
        <v>633.39</v>
      </c>
      <c r="BN26" s="49">
        <v>178.8</v>
      </c>
      <c r="BO26" s="49">
        <v>2519.9</v>
      </c>
      <c r="BP26" s="49">
        <v>1711</v>
      </c>
      <c r="BQ26" s="49">
        <v>214.7</v>
      </c>
      <c r="BR26" s="49">
        <v>35.25</v>
      </c>
      <c r="BS26" s="49">
        <v>83.5</v>
      </c>
      <c r="BT26" s="49">
        <v>0.91369999999999996</v>
      </c>
      <c r="BU26" s="41"/>
      <c r="BV26" s="41"/>
      <c r="BW26" s="41"/>
      <c r="BX26" s="41"/>
      <c r="BY26" s="41"/>
      <c r="BZ26" s="41"/>
      <c r="CA26" s="41"/>
      <c r="CB26" s="41"/>
      <c r="CC26" s="41"/>
      <c r="CD26" s="41"/>
      <c r="CE26" s="41"/>
      <c r="CF26" s="41"/>
      <c r="CG26" s="41"/>
      <c r="CH26" s="41"/>
      <c r="CI26" s="41"/>
      <c r="CJ26" s="41"/>
      <c r="CK26" s="41"/>
    </row>
    <row r="27" spans="1:89">
      <c r="A27" s="41" t="s">
        <v>156</v>
      </c>
      <c r="B27" s="51">
        <v>1.57</v>
      </c>
      <c r="C27" s="51">
        <v>1.57</v>
      </c>
      <c r="D27" s="51">
        <v>1.57</v>
      </c>
      <c r="E27" s="51" t="s">
        <v>1574</v>
      </c>
      <c r="F27" s="51" t="s">
        <v>1574</v>
      </c>
      <c r="G27" s="51" t="s">
        <v>1574</v>
      </c>
      <c r="H27" s="51">
        <v>0.15</v>
      </c>
      <c r="I27" s="51">
        <v>0.40477399635</v>
      </c>
      <c r="J27" s="51" t="s">
        <v>1574</v>
      </c>
      <c r="K27" s="51" t="s">
        <v>1574</v>
      </c>
      <c r="L27" s="51">
        <v>0.47949999999999998</v>
      </c>
      <c r="M27" s="51">
        <v>0.89349999999999996</v>
      </c>
      <c r="N27" s="51">
        <v>0.66842539999999995</v>
      </c>
      <c r="O27" s="51">
        <v>0.95179999999999998</v>
      </c>
      <c r="P27" s="51">
        <v>0.89250090000000004</v>
      </c>
      <c r="Q27" s="51">
        <v>0.97860100000000005</v>
      </c>
      <c r="R27" s="51">
        <v>0.98419959999999995</v>
      </c>
      <c r="S27" s="51">
        <v>248</v>
      </c>
      <c r="T27" s="51" t="s">
        <v>1574</v>
      </c>
      <c r="U27" s="51" t="s">
        <v>1574</v>
      </c>
      <c r="V27" s="51">
        <v>321</v>
      </c>
      <c r="W27" s="51">
        <v>226</v>
      </c>
      <c r="X27" s="51" t="s">
        <v>1574</v>
      </c>
      <c r="Y27" s="51">
        <v>101</v>
      </c>
      <c r="Z27" s="51">
        <v>276</v>
      </c>
      <c r="AA27" s="51">
        <v>102.5</v>
      </c>
      <c r="AB27" s="51" t="s">
        <v>1574</v>
      </c>
      <c r="AC27" s="51" t="s">
        <v>1574</v>
      </c>
      <c r="AD27" s="51">
        <v>20.67747910456</v>
      </c>
      <c r="AE27" s="51">
        <v>44</v>
      </c>
      <c r="AF27" s="51">
        <v>44</v>
      </c>
      <c r="AG27" s="51">
        <v>119.63</v>
      </c>
      <c r="AH27" s="51" t="s">
        <v>1574</v>
      </c>
      <c r="AI27" s="51" t="s">
        <v>1574</v>
      </c>
      <c r="AJ27" s="51" t="s">
        <v>1574</v>
      </c>
      <c r="AK27" s="51" t="s">
        <v>1574</v>
      </c>
      <c r="AL27" s="51">
        <v>58.79</v>
      </c>
      <c r="AM27" s="51" t="s">
        <v>1574</v>
      </c>
      <c r="AN27" s="51">
        <v>0.13200000000000001</v>
      </c>
      <c r="AO27" s="51">
        <v>0.13300000000000001</v>
      </c>
      <c r="AP27" s="51">
        <v>0.69450000000000001</v>
      </c>
      <c r="AQ27" s="51">
        <v>0.31430717108</v>
      </c>
      <c r="AR27" s="51" t="s">
        <v>1574</v>
      </c>
      <c r="AS27" s="51">
        <v>1.8077884</v>
      </c>
      <c r="AT27" s="51">
        <v>0.124340568</v>
      </c>
      <c r="AU27" s="51">
        <v>0.1212541</v>
      </c>
      <c r="AV27" s="51">
        <v>5.3600000000000002E-2</v>
      </c>
      <c r="AW27" s="51">
        <v>1563.19</v>
      </c>
      <c r="AX27" s="51" t="s">
        <v>1574</v>
      </c>
      <c r="AY27" s="51">
        <v>33.06</v>
      </c>
      <c r="AZ27" s="51" t="s">
        <v>1574</v>
      </c>
      <c r="BA27" s="51">
        <v>151.97728078764999</v>
      </c>
      <c r="BB27" s="51" t="s">
        <v>1574</v>
      </c>
      <c r="BC27" s="51">
        <v>0.67169999999999996</v>
      </c>
      <c r="BD27" s="51" t="s">
        <v>1574</v>
      </c>
      <c r="BE27" s="51">
        <v>0.61509999999999998</v>
      </c>
      <c r="BF27" s="51">
        <v>13</v>
      </c>
      <c r="BG27" s="51" t="s">
        <v>1599</v>
      </c>
      <c r="BH27" s="51">
        <v>52</v>
      </c>
      <c r="BI27" s="51">
        <v>42.25</v>
      </c>
      <c r="BJ27" s="51">
        <v>30</v>
      </c>
      <c r="BK27" s="51">
        <v>511.47183227539</v>
      </c>
      <c r="BL27" s="51">
        <v>11.02</v>
      </c>
      <c r="BM27" s="51">
        <v>636.47</v>
      </c>
      <c r="BN27" s="51">
        <v>178.4</v>
      </c>
      <c r="BO27" s="51">
        <v>2605.9</v>
      </c>
      <c r="BP27" s="51">
        <v>1711</v>
      </c>
      <c r="BQ27" s="51">
        <v>210.8</v>
      </c>
      <c r="BR27" s="51">
        <v>35.25</v>
      </c>
      <c r="BS27" s="51">
        <v>83.5</v>
      </c>
      <c r="BT27" s="51">
        <v>0.91369999999999996</v>
      </c>
      <c r="BU27" s="41"/>
      <c r="BV27" s="41"/>
      <c r="BW27" s="41"/>
      <c r="BX27" s="41"/>
      <c r="BY27" s="41"/>
      <c r="BZ27" s="41"/>
      <c r="CA27" s="41"/>
      <c r="CB27" s="41"/>
      <c r="CC27" s="41"/>
      <c r="CD27" s="41"/>
      <c r="CE27" s="41"/>
      <c r="CF27" s="41"/>
      <c r="CG27" s="41"/>
      <c r="CH27" s="41"/>
      <c r="CI27" s="41"/>
      <c r="CJ27" s="41"/>
      <c r="CK27" s="41"/>
    </row>
    <row r="28" spans="1:89">
      <c r="A28" s="48" t="s">
        <v>157</v>
      </c>
      <c r="B28" s="49">
        <v>1.57</v>
      </c>
      <c r="C28" s="49">
        <v>1.57</v>
      </c>
      <c r="D28" s="49">
        <v>1.57</v>
      </c>
      <c r="E28" s="49" t="s">
        <v>1574</v>
      </c>
      <c r="F28" s="49" t="s">
        <v>1574</v>
      </c>
      <c r="G28" s="49" t="s">
        <v>1574</v>
      </c>
      <c r="H28" s="49">
        <v>0.15</v>
      </c>
      <c r="I28" s="49">
        <v>0.40477399635</v>
      </c>
      <c r="J28" s="49" t="s">
        <v>1574</v>
      </c>
      <c r="K28" s="49" t="s">
        <v>1574</v>
      </c>
      <c r="L28" s="49">
        <v>0.46500000000000002</v>
      </c>
      <c r="M28" s="49">
        <v>0.8891</v>
      </c>
      <c r="N28" s="49">
        <v>0.67239360000000004</v>
      </c>
      <c r="O28" s="49">
        <v>0.95179999999999998</v>
      </c>
      <c r="P28" s="49">
        <v>0.89250090000000004</v>
      </c>
      <c r="Q28" s="49">
        <v>0.97860100000000005</v>
      </c>
      <c r="R28" s="49">
        <v>0.98419959999999995</v>
      </c>
      <c r="S28" s="49">
        <v>243</v>
      </c>
      <c r="T28" s="49" t="s">
        <v>1574</v>
      </c>
      <c r="U28" s="49" t="s">
        <v>1574</v>
      </c>
      <c r="V28" s="49">
        <v>301</v>
      </c>
      <c r="W28" s="49">
        <v>226</v>
      </c>
      <c r="X28" s="49" t="s">
        <v>1574</v>
      </c>
      <c r="Y28" s="49">
        <v>98</v>
      </c>
      <c r="Z28" s="49">
        <v>267</v>
      </c>
      <c r="AA28" s="49">
        <v>92</v>
      </c>
      <c r="AB28" s="49" t="s">
        <v>1574</v>
      </c>
      <c r="AC28" s="49" t="s">
        <v>1574</v>
      </c>
      <c r="AD28" s="49">
        <v>20.72334962931</v>
      </c>
      <c r="AE28" s="49">
        <v>43</v>
      </c>
      <c r="AF28" s="49">
        <v>45</v>
      </c>
      <c r="AG28" s="49">
        <v>118.99</v>
      </c>
      <c r="AH28" s="49" t="s">
        <v>1574</v>
      </c>
      <c r="AI28" s="49" t="s">
        <v>1574</v>
      </c>
      <c r="AJ28" s="49" t="s">
        <v>1574</v>
      </c>
      <c r="AK28" s="49" t="s">
        <v>1574</v>
      </c>
      <c r="AL28" s="49">
        <v>59.89</v>
      </c>
      <c r="AM28" s="49" t="s">
        <v>1574</v>
      </c>
      <c r="AN28" s="49">
        <v>0.1459</v>
      </c>
      <c r="AO28" s="49">
        <v>0.13300000000000001</v>
      </c>
      <c r="AP28" s="49">
        <v>0.70550000000000002</v>
      </c>
      <c r="AQ28" s="49">
        <v>0.31369094446000001</v>
      </c>
      <c r="AR28" s="49" t="s">
        <v>1574</v>
      </c>
      <c r="AS28" s="49">
        <v>1.8959732</v>
      </c>
      <c r="AT28" s="49">
        <v>0.124340568</v>
      </c>
      <c r="AU28" s="49">
        <v>0.1212541</v>
      </c>
      <c r="AV28" s="49">
        <v>5.4199999999999998E-2</v>
      </c>
      <c r="AW28" s="49">
        <v>1563.19</v>
      </c>
      <c r="AX28" s="49" t="s">
        <v>1574</v>
      </c>
      <c r="AY28" s="49">
        <v>33.06</v>
      </c>
      <c r="AZ28" s="49" t="s">
        <v>1574</v>
      </c>
      <c r="BA28" s="49">
        <v>151.97728078764999</v>
      </c>
      <c r="BB28" s="49" t="s">
        <v>1574</v>
      </c>
      <c r="BC28" s="49">
        <v>0.67369999999999997</v>
      </c>
      <c r="BD28" s="49" t="s">
        <v>1574</v>
      </c>
      <c r="BE28" s="49">
        <v>0.61729999999999996</v>
      </c>
      <c r="BF28" s="49">
        <v>13</v>
      </c>
      <c r="BG28" s="49" t="s">
        <v>1599</v>
      </c>
      <c r="BH28" s="49">
        <v>52</v>
      </c>
      <c r="BI28" s="49">
        <v>42.25</v>
      </c>
      <c r="BJ28" s="49">
        <v>30</v>
      </c>
      <c r="BK28" s="49">
        <v>511.47183227539</v>
      </c>
      <c r="BL28" s="49">
        <v>11.02</v>
      </c>
      <c r="BM28" s="49">
        <v>632.72</v>
      </c>
      <c r="BN28" s="49">
        <v>176.4</v>
      </c>
      <c r="BO28" s="49">
        <v>2630.1</v>
      </c>
      <c r="BP28" s="49">
        <v>1711</v>
      </c>
      <c r="BQ28" s="49">
        <v>203.7</v>
      </c>
      <c r="BR28" s="49">
        <v>35.25</v>
      </c>
      <c r="BS28" s="49">
        <v>83.5</v>
      </c>
      <c r="BT28" s="49">
        <v>0.91369999999999996</v>
      </c>
      <c r="BU28" s="41"/>
      <c r="BV28" s="41"/>
      <c r="BW28" s="41"/>
      <c r="BX28" s="41"/>
      <c r="BY28" s="41"/>
      <c r="BZ28" s="41"/>
      <c r="CA28" s="41"/>
      <c r="CB28" s="41"/>
      <c r="CC28" s="41"/>
      <c r="CD28" s="41"/>
      <c r="CE28" s="41"/>
      <c r="CF28" s="41"/>
      <c r="CG28" s="41"/>
      <c r="CH28" s="41"/>
      <c r="CI28" s="41"/>
      <c r="CJ28" s="41"/>
      <c r="CK28" s="41"/>
    </row>
    <row r="29" spans="1:89">
      <c r="A29" s="41" t="s">
        <v>158</v>
      </c>
      <c r="B29" s="51">
        <v>1.57</v>
      </c>
      <c r="C29" s="51">
        <v>1.57</v>
      </c>
      <c r="D29" s="51">
        <v>1.57</v>
      </c>
      <c r="E29" s="51" t="s">
        <v>1574</v>
      </c>
      <c r="F29" s="51" t="s">
        <v>1574</v>
      </c>
      <c r="G29" s="51" t="s">
        <v>1574</v>
      </c>
      <c r="H29" s="51">
        <v>0.15</v>
      </c>
      <c r="I29" s="51">
        <v>0.40477399635</v>
      </c>
      <c r="J29" s="51" t="s">
        <v>1574</v>
      </c>
      <c r="K29" s="51" t="s">
        <v>1574</v>
      </c>
      <c r="L29" s="51">
        <v>0.46029999999999999</v>
      </c>
      <c r="M29" s="51">
        <v>0.88519999999999999</v>
      </c>
      <c r="N29" s="51">
        <v>0.67239360000000004</v>
      </c>
      <c r="O29" s="51">
        <v>0.95179999999999998</v>
      </c>
      <c r="P29" s="51">
        <v>0.89250090000000004</v>
      </c>
      <c r="Q29" s="51">
        <v>0.97860100000000005</v>
      </c>
      <c r="R29" s="51">
        <v>0.98419959999999995</v>
      </c>
      <c r="S29" s="51">
        <v>236</v>
      </c>
      <c r="T29" s="51" t="s">
        <v>1574</v>
      </c>
      <c r="U29" s="51" t="s">
        <v>1574</v>
      </c>
      <c r="V29" s="51">
        <v>293</v>
      </c>
      <c r="W29" s="51">
        <v>226</v>
      </c>
      <c r="X29" s="51" t="s">
        <v>1574</v>
      </c>
      <c r="Y29" s="51">
        <v>98</v>
      </c>
      <c r="Z29" s="51">
        <v>270</v>
      </c>
      <c r="AA29" s="51">
        <v>86.7</v>
      </c>
      <c r="AB29" s="51" t="s">
        <v>1574</v>
      </c>
      <c r="AC29" s="51" t="s">
        <v>1574</v>
      </c>
      <c r="AD29" s="51">
        <v>21.567326153780002</v>
      </c>
      <c r="AE29" s="51">
        <v>47.64</v>
      </c>
      <c r="AF29" s="51">
        <v>40</v>
      </c>
      <c r="AG29" s="51">
        <v>120.32</v>
      </c>
      <c r="AH29" s="51" t="s">
        <v>1574</v>
      </c>
      <c r="AI29" s="51" t="s">
        <v>1574</v>
      </c>
      <c r="AJ29" s="51" t="s">
        <v>1574</v>
      </c>
      <c r="AK29" s="51" t="s">
        <v>1574</v>
      </c>
      <c r="AL29" s="51">
        <v>60.26</v>
      </c>
      <c r="AM29" s="51" t="s">
        <v>1574</v>
      </c>
      <c r="AN29" s="51">
        <v>0.13200000000000001</v>
      </c>
      <c r="AO29" s="51">
        <v>0.13300000000000001</v>
      </c>
      <c r="AP29" s="51">
        <v>0.67459999999999998</v>
      </c>
      <c r="AQ29" s="51">
        <v>0.31372890514000001</v>
      </c>
      <c r="AR29" s="51" t="s">
        <v>1574</v>
      </c>
      <c r="AS29" s="51">
        <v>1.9400656000000001</v>
      </c>
      <c r="AT29" s="51">
        <v>0.124340568</v>
      </c>
      <c r="AU29" s="51">
        <v>0.12345871999999999</v>
      </c>
      <c r="AV29" s="51">
        <v>5.2699999999999997E-2</v>
      </c>
      <c r="AW29" s="51">
        <v>1563.19</v>
      </c>
      <c r="AX29" s="51" t="s">
        <v>1574</v>
      </c>
      <c r="AY29" s="51">
        <v>33.06</v>
      </c>
      <c r="AZ29" s="51" t="s">
        <v>1574</v>
      </c>
      <c r="BA29" s="51">
        <v>151.97728078764999</v>
      </c>
      <c r="BB29" s="51" t="s">
        <v>1574</v>
      </c>
      <c r="BC29" s="51">
        <v>0.6764</v>
      </c>
      <c r="BD29" s="51" t="s">
        <v>1574</v>
      </c>
      <c r="BE29" s="51">
        <v>0.59299999999999997</v>
      </c>
      <c r="BF29" s="51">
        <v>13</v>
      </c>
      <c r="BG29" s="51" t="s">
        <v>1599</v>
      </c>
      <c r="BH29" s="51">
        <v>52</v>
      </c>
      <c r="BI29" s="51">
        <v>42.25</v>
      </c>
      <c r="BJ29" s="51">
        <v>30</v>
      </c>
      <c r="BK29" s="51">
        <v>511.47183227539</v>
      </c>
      <c r="BL29" s="51">
        <v>11.02</v>
      </c>
      <c r="BM29" s="51">
        <v>630.29999999999995</v>
      </c>
      <c r="BN29" s="51">
        <v>172.5</v>
      </c>
      <c r="BO29" s="51">
        <v>2605.9</v>
      </c>
      <c r="BP29" s="51">
        <v>1711</v>
      </c>
      <c r="BQ29" s="51">
        <v>198.2</v>
      </c>
      <c r="BR29" s="51">
        <v>35.25</v>
      </c>
      <c r="BS29" s="51">
        <v>83.5</v>
      </c>
      <c r="BT29" s="51">
        <v>0.91369999999999996</v>
      </c>
      <c r="BU29" s="41"/>
      <c r="BV29" s="41"/>
      <c r="BW29" s="41"/>
      <c r="BX29" s="41"/>
      <c r="BY29" s="41"/>
      <c r="BZ29" s="41"/>
      <c r="CA29" s="41"/>
      <c r="CB29" s="41"/>
      <c r="CC29" s="41"/>
      <c r="CD29" s="41"/>
      <c r="CE29" s="41"/>
      <c r="CF29" s="41"/>
      <c r="CG29" s="41"/>
      <c r="CH29" s="41"/>
      <c r="CI29" s="41"/>
      <c r="CJ29" s="41"/>
      <c r="CK29" s="41"/>
    </row>
    <row r="30" spans="1:89">
      <c r="A30" s="48" t="s">
        <v>159</v>
      </c>
      <c r="B30" s="49">
        <v>1.57</v>
      </c>
      <c r="C30" s="49">
        <v>1.57</v>
      </c>
      <c r="D30" s="49">
        <v>1.57</v>
      </c>
      <c r="E30" s="49" t="s">
        <v>1574</v>
      </c>
      <c r="F30" s="49" t="s">
        <v>1574</v>
      </c>
      <c r="G30" s="49" t="s">
        <v>1574</v>
      </c>
      <c r="H30" s="49">
        <v>0.15</v>
      </c>
      <c r="I30" s="49">
        <v>0.40477399635</v>
      </c>
      <c r="J30" s="49" t="s">
        <v>1574</v>
      </c>
      <c r="K30" s="49" t="s">
        <v>1574</v>
      </c>
      <c r="L30" s="49">
        <v>0.48080000000000001</v>
      </c>
      <c r="M30" s="49">
        <v>0.88300000000000001</v>
      </c>
      <c r="N30" s="49">
        <v>0.67040949999999999</v>
      </c>
      <c r="O30" s="49">
        <v>0.95179999999999998</v>
      </c>
      <c r="P30" s="49">
        <v>0.89250090000000004</v>
      </c>
      <c r="Q30" s="49">
        <v>0.97860100000000005</v>
      </c>
      <c r="R30" s="49">
        <v>0.98419959999999995</v>
      </c>
      <c r="S30" s="49">
        <v>236</v>
      </c>
      <c r="T30" s="49" t="s">
        <v>1574</v>
      </c>
      <c r="U30" s="49" t="s">
        <v>1574</v>
      </c>
      <c r="V30" s="49">
        <v>297</v>
      </c>
      <c r="W30" s="49">
        <v>226</v>
      </c>
      <c r="X30" s="49" t="s">
        <v>1574</v>
      </c>
      <c r="Y30" s="49">
        <v>100</v>
      </c>
      <c r="Z30" s="49">
        <v>265</v>
      </c>
      <c r="AA30" s="49">
        <v>92</v>
      </c>
      <c r="AB30" s="49" t="s">
        <v>1574</v>
      </c>
      <c r="AC30" s="49" t="s">
        <v>1574</v>
      </c>
      <c r="AD30" s="49">
        <v>21.96639030907</v>
      </c>
      <c r="AE30" s="49">
        <v>48.42</v>
      </c>
      <c r="AF30" s="49">
        <v>41</v>
      </c>
      <c r="AG30" s="49">
        <v>128.32</v>
      </c>
      <c r="AH30" s="49" t="s">
        <v>1574</v>
      </c>
      <c r="AI30" s="49" t="s">
        <v>1574</v>
      </c>
      <c r="AJ30" s="49" t="s">
        <v>1574</v>
      </c>
      <c r="AK30" s="49" t="s">
        <v>1574</v>
      </c>
      <c r="AL30" s="49">
        <v>61.73</v>
      </c>
      <c r="AM30" s="49" t="s">
        <v>1574</v>
      </c>
      <c r="AN30" s="49">
        <v>0.14899999999999999</v>
      </c>
      <c r="AO30" s="49">
        <v>0.1565</v>
      </c>
      <c r="AP30" s="49">
        <v>0.6371</v>
      </c>
      <c r="AQ30" s="49">
        <v>0.31536261584000003</v>
      </c>
      <c r="AR30" s="49" t="s">
        <v>1574</v>
      </c>
      <c r="AS30" s="49">
        <v>1.9621118</v>
      </c>
      <c r="AT30" s="49">
        <v>0.124340568</v>
      </c>
      <c r="AU30" s="49">
        <v>0.12566334000000001</v>
      </c>
      <c r="AV30" s="49">
        <v>5.0900000000000001E-2</v>
      </c>
      <c r="AW30" s="49">
        <v>1563.19</v>
      </c>
      <c r="AX30" s="49" t="s">
        <v>1574</v>
      </c>
      <c r="AY30" s="49">
        <v>33.06</v>
      </c>
      <c r="AZ30" s="49" t="s">
        <v>1574</v>
      </c>
      <c r="BA30" s="49">
        <v>151.97728078764999</v>
      </c>
      <c r="BB30" s="49" t="s">
        <v>1574</v>
      </c>
      <c r="BC30" s="49">
        <v>0.6643</v>
      </c>
      <c r="BD30" s="49" t="s">
        <v>1574</v>
      </c>
      <c r="BE30" s="49">
        <v>0.5423</v>
      </c>
      <c r="BF30" s="49">
        <v>13</v>
      </c>
      <c r="BG30" s="49" t="s">
        <v>1599</v>
      </c>
      <c r="BH30" s="49">
        <v>52</v>
      </c>
      <c r="BI30" s="49">
        <v>42.25</v>
      </c>
      <c r="BJ30" s="49">
        <v>30</v>
      </c>
      <c r="BK30" s="49">
        <v>511.47183227539</v>
      </c>
      <c r="BL30" s="49">
        <v>11.02</v>
      </c>
      <c r="BM30" s="49">
        <v>632.28</v>
      </c>
      <c r="BN30" s="49">
        <v>166.4</v>
      </c>
      <c r="BO30" s="49">
        <v>2667.6</v>
      </c>
      <c r="BP30" s="49">
        <v>1711</v>
      </c>
      <c r="BQ30" s="49">
        <v>191.8</v>
      </c>
      <c r="BR30" s="49">
        <v>35.25</v>
      </c>
      <c r="BS30" s="49">
        <v>83.5</v>
      </c>
      <c r="BT30" s="49">
        <v>0.92310000000000003</v>
      </c>
      <c r="BU30" s="41"/>
      <c r="BV30" s="41"/>
      <c r="BW30" s="41"/>
      <c r="BX30" s="41"/>
      <c r="BY30" s="41"/>
      <c r="BZ30" s="41"/>
      <c r="CA30" s="41"/>
      <c r="CB30" s="41"/>
      <c r="CC30" s="41"/>
      <c r="CD30" s="41"/>
      <c r="CE30" s="41"/>
      <c r="CF30" s="41"/>
      <c r="CG30" s="41"/>
      <c r="CH30" s="41"/>
      <c r="CI30" s="41"/>
      <c r="CJ30" s="41"/>
      <c r="CK30" s="41"/>
    </row>
    <row r="31" spans="1:89">
      <c r="A31" s="41" t="s">
        <v>160</v>
      </c>
      <c r="B31" s="51">
        <v>1.57</v>
      </c>
      <c r="C31" s="51">
        <v>1.57</v>
      </c>
      <c r="D31" s="51">
        <v>1.57</v>
      </c>
      <c r="E31" s="51" t="s">
        <v>1574</v>
      </c>
      <c r="F31" s="51" t="s">
        <v>1574</v>
      </c>
      <c r="G31" s="51" t="s">
        <v>1574</v>
      </c>
      <c r="H31" s="51">
        <v>0.15</v>
      </c>
      <c r="I31" s="51">
        <v>0.40477399635</v>
      </c>
      <c r="J31" s="51" t="s">
        <v>1574</v>
      </c>
      <c r="K31" s="51" t="s">
        <v>1574</v>
      </c>
      <c r="L31" s="51">
        <v>0.53969999999999996</v>
      </c>
      <c r="M31" s="51">
        <v>0.87739999999999996</v>
      </c>
      <c r="N31" s="51">
        <v>0.66644119999999996</v>
      </c>
      <c r="O31" s="51">
        <v>0.95179999999999998</v>
      </c>
      <c r="P31" s="51">
        <v>0.89250090000000004</v>
      </c>
      <c r="Q31" s="51">
        <v>0.97860100000000005</v>
      </c>
      <c r="R31" s="51">
        <v>0.98419959999999995</v>
      </c>
      <c r="S31" s="51">
        <v>237</v>
      </c>
      <c r="T31" s="51" t="s">
        <v>1574</v>
      </c>
      <c r="U31" s="51" t="s">
        <v>1574</v>
      </c>
      <c r="V31" s="51">
        <v>319</v>
      </c>
      <c r="W31" s="51">
        <v>226</v>
      </c>
      <c r="X31" s="51" t="s">
        <v>1574</v>
      </c>
      <c r="Y31" s="51">
        <v>101</v>
      </c>
      <c r="Z31" s="51">
        <v>265</v>
      </c>
      <c r="AA31" s="51">
        <v>93</v>
      </c>
      <c r="AB31" s="51" t="s">
        <v>1574</v>
      </c>
      <c r="AC31" s="51" t="s">
        <v>1574</v>
      </c>
      <c r="AD31" s="51">
        <v>22.121876896629999</v>
      </c>
      <c r="AE31" s="51">
        <v>48.42</v>
      </c>
      <c r="AF31" s="51">
        <v>41</v>
      </c>
      <c r="AG31" s="51">
        <v>120.1</v>
      </c>
      <c r="AH31" s="51" t="s">
        <v>1574</v>
      </c>
      <c r="AI31" s="51" t="s">
        <v>1574</v>
      </c>
      <c r="AJ31" s="51" t="s">
        <v>1574</v>
      </c>
      <c r="AK31" s="51" t="s">
        <v>1574</v>
      </c>
      <c r="AL31" s="51">
        <v>62.46</v>
      </c>
      <c r="AM31" s="51" t="s">
        <v>1574</v>
      </c>
      <c r="AN31" s="51">
        <v>0.13800000000000001</v>
      </c>
      <c r="AO31" s="51">
        <v>0.1061</v>
      </c>
      <c r="AP31" s="51">
        <v>0.72089999999999999</v>
      </c>
      <c r="AQ31" s="51">
        <v>0.31634795408999999</v>
      </c>
      <c r="AR31" s="51" t="s">
        <v>1574</v>
      </c>
      <c r="AS31" s="51">
        <v>2.0282504000000001</v>
      </c>
      <c r="AT31" s="51">
        <v>0.124340568</v>
      </c>
      <c r="AU31" s="51">
        <v>0.12786796</v>
      </c>
      <c r="AV31" s="51">
        <v>4.87E-2</v>
      </c>
      <c r="AW31" s="51">
        <v>1563.19</v>
      </c>
      <c r="AX31" s="51" t="s">
        <v>1574</v>
      </c>
      <c r="AY31" s="51">
        <v>33.06</v>
      </c>
      <c r="AZ31" s="51" t="s">
        <v>1574</v>
      </c>
      <c r="BA31" s="51">
        <v>151.97728078764999</v>
      </c>
      <c r="BB31" s="51" t="s">
        <v>1574</v>
      </c>
      <c r="BC31" s="51">
        <v>0.66049999999999998</v>
      </c>
      <c r="BD31" s="51" t="s">
        <v>1574</v>
      </c>
      <c r="BE31" s="51">
        <v>0.56000000000000005</v>
      </c>
      <c r="BF31" s="51">
        <v>13</v>
      </c>
      <c r="BG31" s="51" t="s">
        <v>1599</v>
      </c>
      <c r="BH31" s="51">
        <v>52</v>
      </c>
      <c r="BI31" s="51">
        <v>42.25</v>
      </c>
      <c r="BJ31" s="51">
        <v>30</v>
      </c>
      <c r="BK31" s="51">
        <v>511.47183227539</v>
      </c>
      <c r="BL31" s="51">
        <v>11.02</v>
      </c>
      <c r="BM31" s="51">
        <v>634.85</v>
      </c>
      <c r="BN31" s="51">
        <v>166.7</v>
      </c>
      <c r="BO31" s="51">
        <v>2619.1</v>
      </c>
      <c r="BP31" s="51">
        <v>1711</v>
      </c>
      <c r="BQ31" s="51">
        <v>196.9</v>
      </c>
      <c r="BR31" s="51">
        <v>35.25</v>
      </c>
      <c r="BS31" s="51">
        <v>83.5</v>
      </c>
      <c r="BT31" s="51">
        <v>1.0331999999999999</v>
      </c>
      <c r="BU31" s="41"/>
      <c r="BV31" s="41"/>
      <c r="BW31" s="41"/>
      <c r="BX31" s="41"/>
      <c r="BY31" s="41"/>
      <c r="BZ31" s="41"/>
      <c r="CA31" s="41"/>
      <c r="CB31" s="41"/>
      <c r="CC31" s="41"/>
      <c r="CD31" s="41"/>
      <c r="CE31" s="41"/>
      <c r="CF31" s="41"/>
      <c r="CG31" s="41"/>
      <c r="CH31" s="41"/>
      <c r="CI31" s="41"/>
      <c r="CJ31" s="41"/>
      <c r="CK31" s="41"/>
    </row>
    <row r="32" spans="1:89">
      <c r="A32" s="48" t="s">
        <v>161</v>
      </c>
      <c r="B32" s="49">
        <v>1.52</v>
      </c>
      <c r="C32" s="49">
        <v>1.52</v>
      </c>
      <c r="D32" s="49">
        <v>1.52</v>
      </c>
      <c r="E32" s="49" t="s">
        <v>1574</v>
      </c>
      <c r="F32" s="49" t="s">
        <v>1574</v>
      </c>
      <c r="G32" s="49" t="s">
        <v>1574</v>
      </c>
      <c r="H32" s="49">
        <v>0.16</v>
      </c>
      <c r="I32" s="49">
        <v>0.40477399635</v>
      </c>
      <c r="J32" s="49" t="s">
        <v>1574</v>
      </c>
      <c r="K32" s="49" t="s">
        <v>1574</v>
      </c>
      <c r="L32" s="49">
        <v>0.45879999999999999</v>
      </c>
      <c r="M32" s="49">
        <v>0.87739999999999996</v>
      </c>
      <c r="N32" s="49">
        <v>0.66842539999999995</v>
      </c>
      <c r="O32" s="49">
        <v>0.97299999999999998</v>
      </c>
      <c r="P32" s="49">
        <v>0.86100089999999996</v>
      </c>
      <c r="Q32" s="49">
        <v>1.1046009999999999</v>
      </c>
      <c r="R32" s="49">
        <v>0.95339960000000001</v>
      </c>
      <c r="S32" s="49">
        <v>246.9</v>
      </c>
      <c r="T32" s="49" t="s">
        <v>1574</v>
      </c>
      <c r="U32" s="49" t="s">
        <v>1574</v>
      </c>
      <c r="V32" s="49">
        <v>327.94</v>
      </c>
      <c r="W32" s="49">
        <v>235.89</v>
      </c>
      <c r="X32" s="49" t="s">
        <v>1574</v>
      </c>
      <c r="Y32" s="49">
        <v>101.41</v>
      </c>
      <c r="Z32" s="49">
        <v>265</v>
      </c>
      <c r="AA32" s="49">
        <v>80.2</v>
      </c>
      <c r="AB32" s="49" t="s">
        <v>1574</v>
      </c>
      <c r="AC32" s="49" t="s">
        <v>1574</v>
      </c>
      <c r="AD32" s="49">
        <v>21.797246652470001</v>
      </c>
      <c r="AE32" s="49">
        <v>48.03</v>
      </c>
      <c r="AF32" s="49">
        <v>44.53</v>
      </c>
      <c r="AG32" s="49">
        <v>117.79</v>
      </c>
      <c r="AH32" s="49" t="s">
        <v>1574</v>
      </c>
      <c r="AI32" s="49" t="s">
        <v>1574</v>
      </c>
      <c r="AJ32" s="49" t="s">
        <v>1574</v>
      </c>
      <c r="AK32" s="49" t="s">
        <v>1574</v>
      </c>
      <c r="AL32" s="49">
        <v>60.63</v>
      </c>
      <c r="AM32" s="49" t="s">
        <v>1574</v>
      </c>
      <c r="AN32" s="49">
        <v>0.13100000000000001</v>
      </c>
      <c r="AO32" s="49">
        <v>0.10100000000000001</v>
      </c>
      <c r="AP32" s="49">
        <v>0.76280000000000003</v>
      </c>
      <c r="AQ32" s="49">
        <v>0.31518829480999999</v>
      </c>
      <c r="AR32" s="49" t="s">
        <v>1574</v>
      </c>
      <c r="AS32" s="49">
        <v>2.0282504000000001</v>
      </c>
      <c r="AT32" s="49">
        <v>0.126324726</v>
      </c>
      <c r="AU32" s="49">
        <v>0.12786796</v>
      </c>
      <c r="AV32" s="49">
        <v>4.65E-2</v>
      </c>
      <c r="AW32" s="49">
        <v>1404.9</v>
      </c>
      <c r="AX32" s="49" t="s">
        <v>1574</v>
      </c>
      <c r="AY32" s="49">
        <v>36.39</v>
      </c>
      <c r="AZ32" s="49" t="s">
        <v>1574</v>
      </c>
      <c r="BA32" s="49">
        <v>160.06096878503001</v>
      </c>
      <c r="BB32" s="49" t="s">
        <v>1574</v>
      </c>
      <c r="BC32" s="49">
        <v>0.65980000000000005</v>
      </c>
      <c r="BD32" s="49" t="s">
        <v>1574</v>
      </c>
      <c r="BE32" s="49">
        <v>0.57540000000000002</v>
      </c>
      <c r="BF32" s="49">
        <v>11.5</v>
      </c>
      <c r="BG32" s="49" t="s">
        <v>1599</v>
      </c>
      <c r="BH32" s="49">
        <v>51</v>
      </c>
      <c r="BI32" s="49">
        <v>42.25</v>
      </c>
      <c r="BJ32" s="49">
        <v>30</v>
      </c>
      <c r="BK32" s="49">
        <v>511.47183227539</v>
      </c>
      <c r="BL32" s="49">
        <v>11.01</v>
      </c>
      <c r="BM32" s="49">
        <v>635.37</v>
      </c>
      <c r="BN32" s="49">
        <v>162.9</v>
      </c>
      <c r="BO32" s="49">
        <v>2610.3000000000002</v>
      </c>
      <c r="BP32" s="49">
        <v>1761</v>
      </c>
      <c r="BQ32" s="49">
        <v>193.6</v>
      </c>
      <c r="BR32" s="49">
        <v>35.229999999999997</v>
      </c>
      <c r="BS32" s="49">
        <v>83.5</v>
      </c>
      <c r="BT32" s="49">
        <v>1.0427999999999999</v>
      </c>
      <c r="BU32" s="41"/>
      <c r="BV32" s="41"/>
      <c r="BW32" s="41"/>
      <c r="BX32" s="41"/>
      <c r="BY32" s="41"/>
      <c r="BZ32" s="41"/>
      <c r="CA32" s="41"/>
      <c r="CB32" s="41"/>
      <c r="CC32" s="41"/>
      <c r="CD32" s="41"/>
      <c r="CE32" s="41"/>
      <c r="CF32" s="41"/>
      <c r="CG32" s="41"/>
      <c r="CH32" s="41"/>
      <c r="CI32" s="41"/>
      <c r="CJ32" s="41"/>
      <c r="CK32" s="41"/>
    </row>
    <row r="33" spans="1:89">
      <c r="A33" s="41" t="s">
        <v>162</v>
      </c>
      <c r="B33" s="51">
        <v>1.52</v>
      </c>
      <c r="C33" s="51">
        <v>1.52</v>
      </c>
      <c r="D33" s="51">
        <v>1.52</v>
      </c>
      <c r="E33" s="51" t="s">
        <v>1574</v>
      </c>
      <c r="F33" s="51" t="s">
        <v>1574</v>
      </c>
      <c r="G33" s="51" t="s">
        <v>1574</v>
      </c>
      <c r="H33" s="51">
        <v>0.16</v>
      </c>
      <c r="I33" s="51">
        <v>0.40477399635</v>
      </c>
      <c r="J33" s="51" t="s">
        <v>1574</v>
      </c>
      <c r="K33" s="51" t="s">
        <v>1574</v>
      </c>
      <c r="L33" s="51">
        <v>0.4945</v>
      </c>
      <c r="M33" s="51">
        <v>0.877</v>
      </c>
      <c r="N33" s="51">
        <v>0.66842539999999995</v>
      </c>
      <c r="O33" s="51">
        <v>0.97299999999999998</v>
      </c>
      <c r="P33" s="51">
        <v>0.86100089999999996</v>
      </c>
      <c r="Q33" s="51">
        <v>1.1046009999999999</v>
      </c>
      <c r="R33" s="51">
        <v>0.95339960000000001</v>
      </c>
      <c r="S33" s="51">
        <v>248.6</v>
      </c>
      <c r="T33" s="51" t="s">
        <v>1574</v>
      </c>
      <c r="U33" s="51" t="s">
        <v>1574</v>
      </c>
      <c r="V33" s="51">
        <v>299.27999999999997</v>
      </c>
      <c r="W33" s="51">
        <v>237</v>
      </c>
      <c r="X33" s="51" t="s">
        <v>1574</v>
      </c>
      <c r="Y33" s="51">
        <v>100.59</v>
      </c>
      <c r="Z33" s="51">
        <v>259</v>
      </c>
      <c r="AA33" s="51">
        <v>77.900000000000006</v>
      </c>
      <c r="AB33" s="51" t="s">
        <v>1574</v>
      </c>
      <c r="AC33" s="51" t="s">
        <v>1574</v>
      </c>
      <c r="AD33" s="51">
        <v>21.95367181692</v>
      </c>
      <c r="AE33" s="51">
        <v>48.03</v>
      </c>
      <c r="AF33" s="51">
        <v>44.53</v>
      </c>
      <c r="AG33" s="51">
        <v>119.18</v>
      </c>
      <c r="AH33" s="51" t="s">
        <v>1574</v>
      </c>
      <c r="AI33" s="51" t="s">
        <v>1574</v>
      </c>
      <c r="AJ33" s="51" t="s">
        <v>1574</v>
      </c>
      <c r="AK33" s="51" t="s">
        <v>1574</v>
      </c>
      <c r="AL33" s="51">
        <v>61.36</v>
      </c>
      <c r="AM33" s="51" t="s">
        <v>1574</v>
      </c>
      <c r="AN33" s="51">
        <v>0.13600000000000001</v>
      </c>
      <c r="AO33" s="51">
        <v>0.1031</v>
      </c>
      <c r="AP33" s="51">
        <v>0.75839999999999996</v>
      </c>
      <c r="AQ33" s="51">
        <v>0.31533553019999999</v>
      </c>
      <c r="AR33" s="51" t="s">
        <v>1574</v>
      </c>
      <c r="AS33" s="51">
        <v>2.0723427999999999</v>
      </c>
      <c r="AT33" s="51">
        <v>0.126324726</v>
      </c>
      <c r="AU33" s="51">
        <v>0.12786796</v>
      </c>
      <c r="AV33" s="51">
        <v>4.9799999999999997E-2</v>
      </c>
      <c r="AW33" s="51">
        <v>1404.9</v>
      </c>
      <c r="AX33" s="51" t="s">
        <v>1574</v>
      </c>
      <c r="AY33" s="51">
        <v>36.39</v>
      </c>
      <c r="AZ33" s="51" t="s">
        <v>1574</v>
      </c>
      <c r="BA33" s="51">
        <v>160.06096878503001</v>
      </c>
      <c r="BB33" s="51" t="s">
        <v>1574</v>
      </c>
      <c r="BC33" s="51">
        <v>0.66310000000000002</v>
      </c>
      <c r="BD33" s="51" t="s">
        <v>1574</v>
      </c>
      <c r="BE33" s="51">
        <v>0.59519999999999995</v>
      </c>
      <c r="BF33" s="51">
        <v>11.5</v>
      </c>
      <c r="BG33" s="51" t="s">
        <v>1599</v>
      </c>
      <c r="BH33" s="51">
        <v>51</v>
      </c>
      <c r="BI33" s="51">
        <v>42.25</v>
      </c>
      <c r="BJ33" s="51">
        <v>30</v>
      </c>
      <c r="BK33" s="51">
        <v>504.85797119141</v>
      </c>
      <c r="BL33" s="51">
        <v>11.01</v>
      </c>
      <c r="BM33" s="51">
        <v>647.94000000000005</v>
      </c>
      <c r="BN33" s="51">
        <v>161.9</v>
      </c>
      <c r="BO33" s="51">
        <v>2623.5</v>
      </c>
      <c r="BP33" s="51">
        <v>1761</v>
      </c>
      <c r="BQ33" s="51">
        <v>189.6</v>
      </c>
      <c r="BR33" s="51">
        <v>35.229999999999997</v>
      </c>
      <c r="BS33" s="51">
        <v>83.5</v>
      </c>
      <c r="BT33" s="51">
        <v>1.0246999999999999</v>
      </c>
      <c r="BU33" s="41"/>
      <c r="BV33" s="41"/>
      <c r="BW33" s="41"/>
      <c r="BX33" s="41"/>
      <c r="BY33" s="41"/>
      <c r="BZ33" s="41"/>
      <c r="CA33" s="41"/>
      <c r="CB33" s="41"/>
      <c r="CC33" s="41"/>
      <c r="CD33" s="41"/>
      <c r="CE33" s="41"/>
      <c r="CF33" s="41"/>
      <c r="CG33" s="41"/>
      <c r="CH33" s="41"/>
      <c r="CI33" s="41"/>
      <c r="CJ33" s="41"/>
      <c r="CK33" s="41"/>
    </row>
    <row r="34" spans="1:89">
      <c r="A34" s="48" t="s">
        <v>163</v>
      </c>
      <c r="B34" s="49">
        <v>1.52</v>
      </c>
      <c r="C34" s="49">
        <v>1.52</v>
      </c>
      <c r="D34" s="49">
        <v>1.52</v>
      </c>
      <c r="E34" s="49" t="s">
        <v>1574</v>
      </c>
      <c r="F34" s="49" t="s">
        <v>1574</v>
      </c>
      <c r="G34" s="49" t="s">
        <v>1574</v>
      </c>
      <c r="H34" s="49">
        <v>0.16</v>
      </c>
      <c r="I34" s="49">
        <v>0.40477399635</v>
      </c>
      <c r="J34" s="49" t="s">
        <v>1574</v>
      </c>
      <c r="K34" s="49" t="s">
        <v>1574</v>
      </c>
      <c r="L34" s="49">
        <v>0.44140000000000001</v>
      </c>
      <c r="M34" s="49">
        <v>0.8609</v>
      </c>
      <c r="N34" s="49">
        <v>0.67040949999999999</v>
      </c>
      <c r="O34" s="49">
        <v>0.97299999999999998</v>
      </c>
      <c r="P34" s="49">
        <v>0.86100089999999996</v>
      </c>
      <c r="Q34" s="49">
        <v>1.1046009999999999</v>
      </c>
      <c r="R34" s="49">
        <v>0.95339960000000001</v>
      </c>
      <c r="S34" s="49">
        <v>250.8</v>
      </c>
      <c r="T34" s="49" t="s">
        <v>1574</v>
      </c>
      <c r="U34" s="49" t="s">
        <v>1574</v>
      </c>
      <c r="V34" s="49">
        <v>290.73</v>
      </c>
      <c r="W34" s="49">
        <v>223.22</v>
      </c>
      <c r="X34" s="49" t="s">
        <v>1574</v>
      </c>
      <c r="Y34" s="49">
        <v>102.79</v>
      </c>
      <c r="Z34" s="49">
        <v>256</v>
      </c>
      <c r="AA34" s="49">
        <v>82.5</v>
      </c>
      <c r="AB34" s="49" t="s">
        <v>1574</v>
      </c>
      <c r="AC34" s="49" t="s">
        <v>1574</v>
      </c>
      <c r="AD34" s="49">
        <v>22.17561032843</v>
      </c>
      <c r="AE34" s="49">
        <v>48.82</v>
      </c>
      <c r="AF34" s="49">
        <v>45.64</v>
      </c>
      <c r="AG34" s="49">
        <v>123.75</v>
      </c>
      <c r="AH34" s="49" t="s">
        <v>1574</v>
      </c>
      <c r="AI34" s="49" t="s">
        <v>1574</v>
      </c>
      <c r="AJ34" s="49" t="s">
        <v>1574</v>
      </c>
      <c r="AK34" s="49" t="s">
        <v>1574</v>
      </c>
      <c r="AL34" s="49">
        <v>61.73</v>
      </c>
      <c r="AM34" s="49" t="s">
        <v>1574</v>
      </c>
      <c r="AN34" s="49">
        <v>0.14899999999999999</v>
      </c>
      <c r="AO34" s="49">
        <v>0.1072</v>
      </c>
      <c r="AP34" s="49">
        <v>0.70550000000000002</v>
      </c>
      <c r="AQ34" s="49">
        <v>0.31665114792999999</v>
      </c>
      <c r="AR34" s="49" t="s">
        <v>1574</v>
      </c>
      <c r="AS34" s="49">
        <v>2.0723427999999999</v>
      </c>
      <c r="AT34" s="49">
        <v>0.126324726</v>
      </c>
      <c r="AU34" s="49">
        <v>0.12786796</v>
      </c>
      <c r="AV34" s="49">
        <v>5.5800000000000002E-2</v>
      </c>
      <c r="AW34" s="49">
        <v>1404.9</v>
      </c>
      <c r="AX34" s="49" t="s">
        <v>1574</v>
      </c>
      <c r="AY34" s="49">
        <v>36.39</v>
      </c>
      <c r="AZ34" s="49" t="s">
        <v>1574</v>
      </c>
      <c r="BA34" s="49">
        <v>160.06096878503001</v>
      </c>
      <c r="BB34" s="49" t="s">
        <v>1574</v>
      </c>
      <c r="BC34" s="49">
        <v>0.66339999999999999</v>
      </c>
      <c r="BD34" s="49" t="s">
        <v>1574</v>
      </c>
      <c r="BE34" s="49">
        <v>0.57540000000000002</v>
      </c>
      <c r="BF34" s="49">
        <v>11.5</v>
      </c>
      <c r="BG34" s="49" t="s">
        <v>1599</v>
      </c>
      <c r="BH34" s="49">
        <v>51</v>
      </c>
      <c r="BI34" s="49">
        <v>42.25</v>
      </c>
      <c r="BJ34" s="49">
        <v>30</v>
      </c>
      <c r="BK34" s="49">
        <v>496.03948974609</v>
      </c>
      <c r="BL34" s="49">
        <v>11.01</v>
      </c>
      <c r="BM34" s="49">
        <v>647.5</v>
      </c>
      <c r="BN34" s="49">
        <v>167.1</v>
      </c>
      <c r="BO34" s="49">
        <v>2652.2</v>
      </c>
      <c r="BP34" s="49">
        <v>1761</v>
      </c>
      <c r="BQ34" s="49">
        <v>191.4</v>
      </c>
      <c r="BR34" s="49">
        <v>35.229999999999997</v>
      </c>
      <c r="BS34" s="49">
        <v>83.5</v>
      </c>
      <c r="BT34" s="49">
        <v>1.0149999999999999</v>
      </c>
      <c r="BU34" s="41"/>
      <c r="BV34" s="41"/>
      <c r="BW34" s="41"/>
      <c r="BX34" s="41"/>
      <c r="BY34" s="41"/>
      <c r="BZ34" s="41"/>
      <c r="CA34" s="41"/>
      <c r="CB34" s="41"/>
      <c r="CC34" s="41"/>
      <c r="CD34" s="41"/>
      <c r="CE34" s="41"/>
      <c r="CF34" s="41"/>
      <c r="CG34" s="41"/>
      <c r="CH34" s="41"/>
      <c r="CI34" s="41"/>
      <c r="CJ34" s="41"/>
      <c r="CK34" s="41"/>
    </row>
    <row r="35" spans="1:89">
      <c r="A35" s="41" t="s">
        <v>164</v>
      </c>
      <c r="B35" s="51">
        <v>1.52</v>
      </c>
      <c r="C35" s="51">
        <v>1.52</v>
      </c>
      <c r="D35" s="51">
        <v>1.52</v>
      </c>
      <c r="E35" s="51" t="s">
        <v>1574</v>
      </c>
      <c r="F35" s="51" t="s">
        <v>1574</v>
      </c>
      <c r="G35" s="51" t="s">
        <v>1574</v>
      </c>
      <c r="H35" s="51">
        <v>0.16</v>
      </c>
      <c r="I35" s="51">
        <v>0.40477399635</v>
      </c>
      <c r="J35" s="51" t="s">
        <v>1574</v>
      </c>
      <c r="K35" s="51" t="s">
        <v>1574</v>
      </c>
      <c r="L35" s="51">
        <v>0.4647</v>
      </c>
      <c r="M35" s="51">
        <v>0.84660000000000002</v>
      </c>
      <c r="N35" s="51">
        <v>0.67437769999999997</v>
      </c>
      <c r="O35" s="51">
        <v>0.97299999999999998</v>
      </c>
      <c r="P35" s="51">
        <v>0.86100089999999996</v>
      </c>
      <c r="Q35" s="51">
        <v>1.1046009999999999</v>
      </c>
      <c r="R35" s="51">
        <v>0.95339960000000001</v>
      </c>
      <c r="S35" s="51">
        <v>260.7</v>
      </c>
      <c r="T35" s="51" t="s">
        <v>1574</v>
      </c>
      <c r="U35" s="51" t="s">
        <v>1574</v>
      </c>
      <c r="V35" s="51">
        <v>281.64</v>
      </c>
      <c r="W35" s="51">
        <v>220.46</v>
      </c>
      <c r="X35" s="51" t="s">
        <v>1574</v>
      </c>
      <c r="Y35" s="51">
        <v>104.44</v>
      </c>
      <c r="Z35" s="51">
        <v>254</v>
      </c>
      <c r="AA35" s="51">
        <v>83.7</v>
      </c>
      <c r="AB35" s="51" t="s">
        <v>1574</v>
      </c>
      <c r="AC35" s="51" t="s">
        <v>1574</v>
      </c>
      <c r="AD35" s="51">
        <v>22.27341882951</v>
      </c>
      <c r="AE35" s="51">
        <v>48.82</v>
      </c>
      <c r="AF35" s="51">
        <v>46.52</v>
      </c>
      <c r="AG35" s="51">
        <v>130.84</v>
      </c>
      <c r="AH35" s="51" t="s">
        <v>1574</v>
      </c>
      <c r="AI35" s="51" t="s">
        <v>1574</v>
      </c>
      <c r="AJ35" s="51" t="s">
        <v>1574</v>
      </c>
      <c r="AK35" s="51" t="s">
        <v>1574</v>
      </c>
      <c r="AL35" s="51">
        <v>62.1</v>
      </c>
      <c r="AM35" s="51" t="s">
        <v>1574</v>
      </c>
      <c r="AN35" s="51">
        <v>0.1459</v>
      </c>
      <c r="AO35" s="51">
        <v>0.1024</v>
      </c>
      <c r="AP35" s="51">
        <v>0.65480000000000005</v>
      </c>
      <c r="AQ35" s="51">
        <v>0.31738923354999998</v>
      </c>
      <c r="AR35" s="51" t="s">
        <v>1574</v>
      </c>
      <c r="AS35" s="51">
        <v>2.0943890000000001</v>
      </c>
      <c r="AT35" s="51">
        <v>0.126324726</v>
      </c>
      <c r="AU35" s="51">
        <v>0.12786796</v>
      </c>
      <c r="AV35" s="51">
        <v>5.7099999999999998E-2</v>
      </c>
      <c r="AW35" s="51">
        <v>1404.9</v>
      </c>
      <c r="AX35" s="51" t="s">
        <v>1574</v>
      </c>
      <c r="AY35" s="51">
        <v>36.39</v>
      </c>
      <c r="AZ35" s="51" t="s">
        <v>1574</v>
      </c>
      <c r="BA35" s="51">
        <v>160.06096878503001</v>
      </c>
      <c r="BB35" s="51" t="s">
        <v>1574</v>
      </c>
      <c r="BC35" s="51">
        <v>0.65980000000000005</v>
      </c>
      <c r="BD35" s="51" t="s">
        <v>1574</v>
      </c>
      <c r="BE35" s="51">
        <v>0.56659999999999999</v>
      </c>
      <c r="BF35" s="51">
        <v>11.5</v>
      </c>
      <c r="BG35" s="51" t="s">
        <v>1599</v>
      </c>
      <c r="BH35" s="51">
        <v>51</v>
      </c>
      <c r="BI35" s="51">
        <v>42.25</v>
      </c>
      <c r="BJ35" s="51">
        <v>30</v>
      </c>
      <c r="BK35" s="51">
        <v>496.03948974609</v>
      </c>
      <c r="BL35" s="51">
        <v>11.01</v>
      </c>
      <c r="BM35" s="51">
        <v>645.95000000000005</v>
      </c>
      <c r="BN35" s="51">
        <v>166.7</v>
      </c>
      <c r="BO35" s="51">
        <v>2614.6999999999998</v>
      </c>
      <c r="BP35" s="51">
        <v>1761</v>
      </c>
      <c r="BQ35" s="51">
        <v>191.4</v>
      </c>
      <c r="BR35" s="51">
        <v>35.229999999999997</v>
      </c>
      <c r="BS35" s="51">
        <v>83.5</v>
      </c>
      <c r="BT35" s="51">
        <v>1.0149999999999999</v>
      </c>
      <c r="BU35" s="41"/>
      <c r="BV35" s="41"/>
      <c r="BW35" s="41"/>
      <c r="BX35" s="41"/>
      <c r="BY35" s="41"/>
      <c r="BZ35" s="41"/>
      <c r="CA35" s="41"/>
      <c r="CB35" s="41"/>
      <c r="CC35" s="41"/>
      <c r="CD35" s="41"/>
      <c r="CE35" s="41"/>
      <c r="CF35" s="41"/>
      <c r="CG35" s="41"/>
      <c r="CH35" s="41"/>
      <c r="CI35" s="41"/>
      <c r="CJ35" s="41"/>
      <c r="CK35" s="41"/>
    </row>
    <row r="36" spans="1:89">
      <c r="A36" s="48" t="s">
        <v>165</v>
      </c>
      <c r="B36" s="49">
        <v>1.52</v>
      </c>
      <c r="C36" s="49">
        <v>1.52</v>
      </c>
      <c r="D36" s="49">
        <v>1.52</v>
      </c>
      <c r="E36" s="49" t="s">
        <v>1574</v>
      </c>
      <c r="F36" s="49" t="s">
        <v>1574</v>
      </c>
      <c r="G36" s="49" t="s">
        <v>1574</v>
      </c>
      <c r="H36" s="49">
        <v>0.16</v>
      </c>
      <c r="I36" s="49">
        <v>0.40477399635</v>
      </c>
      <c r="J36" s="49" t="s">
        <v>1574</v>
      </c>
      <c r="K36" s="49" t="s">
        <v>1574</v>
      </c>
      <c r="L36" s="49">
        <v>0.46539999999999998</v>
      </c>
      <c r="M36" s="49">
        <v>0.8256</v>
      </c>
      <c r="N36" s="49">
        <v>0.67239360000000004</v>
      </c>
      <c r="O36" s="49">
        <v>0.97299999999999998</v>
      </c>
      <c r="P36" s="49">
        <v>0.86100089999999996</v>
      </c>
      <c r="Q36" s="49">
        <v>1.1046009999999999</v>
      </c>
      <c r="R36" s="49">
        <v>0.95339960000000001</v>
      </c>
      <c r="S36" s="49">
        <v>253.3</v>
      </c>
      <c r="T36" s="49" t="s">
        <v>1574</v>
      </c>
      <c r="U36" s="49" t="s">
        <v>1574</v>
      </c>
      <c r="V36" s="49">
        <v>270.33999999999997</v>
      </c>
      <c r="W36" s="49">
        <v>219.08</v>
      </c>
      <c r="X36" s="49" t="s">
        <v>1574</v>
      </c>
      <c r="Y36" s="49">
        <v>103.62</v>
      </c>
      <c r="Z36" s="49">
        <v>234</v>
      </c>
      <c r="AA36" s="49">
        <v>85.9</v>
      </c>
      <c r="AB36" s="49" t="s">
        <v>1574</v>
      </c>
      <c r="AC36" s="49" t="s">
        <v>1574</v>
      </c>
      <c r="AD36" s="49">
        <v>22.675147729230002</v>
      </c>
      <c r="AE36" s="49">
        <v>49.6</v>
      </c>
      <c r="AF36" s="49">
        <v>47.18</v>
      </c>
      <c r="AG36" s="49">
        <v>149.13999999999999</v>
      </c>
      <c r="AH36" s="49" t="s">
        <v>1574</v>
      </c>
      <c r="AI36" s="49" t="s">
        <v>1574</v>
      </c>
      <c r="AJ36" s="49" t="s">
        <v>1574</v>
      </c>
      <c r="AK36" s="49" t="s">
        <v>1574</v>
      </c>
      <c r="AL36" s="49">
        <v>63.57</v>
      </c>
      <c r="AM36" s="49" t="s">
        <v>1574</v>
      </c>
      <c r="AN36" s="49">
        <v>0.13689999999999999</v>
      </c>
      <c r="AO36" s="49">
        <v>0.1017</v>
      </c>
      <c r="AP36" s="49">
        <v>0.72970000000000002</v>
      </c>
      <c r="AQ36" s="49">
        <v>0.31828552760000001</v>
      </c>
      <c r="AR36" s="49" t="s">
        <v>1574</v>
      </c>
      <c r="AS36" s="49">
        <v>2.1605276</v>
      </c>
      <c r="AT36" s="49">
        <v>0.126324726</v>
      </c>
      <c r="AU36" s="49">
        <v>0.12786796</v>
      </c>
      <c r="AV36" s="49">
        <v>5.5300000000000002E-2</v>
      </c>
      <c r="AW36" s="49">
        <v>1404.9</v>
      </c>
      <c r="AX36" s="49" t="s">
        <v>1574</v>
      </c>
      <c r="AY36" s="49">
        <v>36.39</v>
      </c>
      <c r="AZ36" s="49" t="s">
        <v>1574</v>
      </c>
      <c r="BA36" s="49">
        <v>160.06096878503001</v>
      </c>
      <c r="BB36" s="49" t="s">
        <v>1574</v>
      </c>
      <c r="BC36" s="49">
        <v>0.65980000000000005</v>
      </c>
      <c r="BD36" s="49" t="s">
        <v>1574</v>
      </c>
      <c r="BE36" s="49">
        <v>0.56440000000000001</v>
      </c>
      <c r="BF36" s="49">
        <v>11.5</v>
      </c>
      <c r="BG36" s="49" t="s">
        <v>1599</v>
      </c>
      <c r="BH36" s="49">
        <v>51</v>
      </c>
      <c r="BI36" s="49">
        <v>42.25</v>
      </c>
      <c r="BJ36" s="49">
        <v>30</v>
      </c>
      <c r="BK36" s="49">
        <v>496.03948974609</v>
      </c>
      <c r="BL36" s="49">
        <v>11.01</v>
      </c>
      <c r="BM36" s="49">
        <v>645.73</v>
      </c>
      <c r="BN36" s="49">
        <v>164.9</v>
      </c>
      <c r="BO36" s="49">
        <v>2533.1</v>
      </c>
      <c r="BP36" s="49">
        <v>1761</v>
      </c>
      <c r="BQ36" s="49">
        <v>188.5</v>
      </c>
      <c r="BR36" s="49">
        <v>35.229999999999997</v>
      </c>
      <c r="BS36" s="49">
        <v>83.5</v>
      </c>
      <c r="BT36" s="49">
        <v>1.0149999999999999</v>
      </c>
      <c r="BU36" s="41"/>
      <c r="BV36" s="41"/>
      <c r="BW36" s="41"/>
      <c r="BX36" s="41"/>
      <c r="BY36" s="41"/>
      <c r="BZ36" s="41"/>
      <c r="CA36" s="41"/>
      <c r="CB36" s="41"/>
      <c r="CC36" s="41"/>
      <c r="CD36" s="41"/>
      <c r="CE36" s="41"/>
      <c r="CF36" s="41"/>
      <c r="CG36" s="41"/>
      <c r="CH36" s="41"/>
      <c r="CI36" s="41"/>
      <c r="CJ36" s="41"/>
      <c r="CK36" s="41"/>
    </row>
    <row r="37" spans="1:89">
      <c r="A37" s="41" t="s">
        <v>166</v>
      </c>
      <c r="B37" s="51">
        <v>1.52</v>
      </c>
      <c r="C37" s="51">
        <v>1.52</v>
      </c>
      <c r="D37" s="51">
        <v>1.52</v>
      </c>
      <c r="E37" s="51" t="s">
        <v>1574</v>
      </c>
      <c r="F37" s="51" t="s">
        <v>1574</v>
      </c>
      <c r="G37" s="51" t="s">
        <v>1574</v>
      </c>
      <c r="H37" s="51">
        <v>0.16</v>
      </c>
      <c r="I37" s="51">
        <v>0.40477399635</v>
      </c>
      <c r="J37" s="51" t="s">
        <v>1574</v>
      </c>
      <c r="K37" s="51" t="s">
        <v>1574</v>
      </c>
      <c r="L37" s="51">
        <v>0.47289999999999999</v>
      </c>
      <c r="M37" s="51">
        <v>0.80469999999999997</v>
      </c>
      <c r="N37" s="51">
        <v>0.67239360000000004</v>
      </c>
      <c r="O37" s="51">
        <v>0.97299999999999998</v>
      </c>
      <c r="P37" s="51">
        <v>0.86100089999999996</v>
      </c>
      <c r="Q37" s="51">
        <v>1.1046009999999999</v>
      </c>
      <c r="R37" s="51">
        <v>0.95339960000000001</v>
      </c>
      <c r="S37" s="51">
        <v>239.5</v>
      </c>
      <c r="T37" s="51" t="s">
        <v>1574</v>
      </c>
      <c r="U37" s="51" t="s">
        <v>1574</v>
      </c>
      <c r="V37" s="51">
        <v>264.58999999999997</v>
      </c>
      <c r="W37" s="51">
        <v>216.33</v>
      </c>
      <c r="X37" s="51" t="s">
        <v>1574</v>
      </c>
      <c r="Y37" s="51">
        <v>102.24</v>
      </c>
      <c r="Z37" s="51">
        <v>215</v>
      </c>
      <c r="AA37" s="51">
        <v>89.4</v>
      </c>
      <c r="AB37" s="51" t="s">
        <v>1574</v>
      </c>
      <c r="AC37" s="51" t="s">
        <v>1574</v>
      </c>
      <c r="AD37" s="51">
        <v>22.832105960450001</v>
      </c>
      <c r="AE37" s="51">
        <v>49.6</v>
      </c>
      <c r="AF37" s="51">
        <v>47.18</v>
      </c>
      <c r="AG37" s="51">
        <v>144.11000000000001</v>
      </c>
      <c r="AH37" s="51" t="s">
        <v>1574</v>
      </c>
      <c r="AI37" s="51" t="s">
        <v>1574</v>
      </c>
      <c r="AJ37" s="51" t="s">
        <v>1574</v>
      </c>
      <c r="AK37" s="51" t="s">
        <v>1574</v>
      </c>
      <c r="AL37" s="51">
        <v>64.3</v>
      </c>
      <c r="AM37" s="51" t="s">
        <v>1574</v>
      </c>
      <c r="AN37" s="51">
        <v>0.1239</v>
      </c>
      <c r="AO37" s="51">
        <v>0.1038</v>
      </c>
      <c r="AP37" s="51">
        <v>0.7893</v>
      </c>
      <c r="AQ37" s="51">
        <v>0.31937532361999998</v>
      </c>
      <c r="AR37" s="51" t="s">
        <v>1574</v>
      </c>
      <c r="AS37" s="51">
        <v>2.2707586000000002</v>
      </c>
      <c r="AT37" s="51">
        <v>0.126324726</v>
      </c>
      <c r="AU37" s="51">
        <v>0.12786796</v>
      </c>
      <c r="AV37" s="51">
        <v>5.62E-2</v>
      </c>
      <c r="AW37" s="51">
        <v>1404.9</v>
      </c>
      <c r="AX37" s="51" t="s">
        <v>1574</v>
      </c>
      <c r="AY37" s="51">
        <v>36.39</v>
      </c>
      <c r="AZ37" s="51" t="s">
        <v>1574</v>
      </c>
      <c r="BA37" s="51">
        <v>160.06096878503001</v>
      </c>
      <c r="BB37" s="51" t="s">
        <v>1574</v>
      </c>
      <c r="BC37" s="51">
        <v>0.65720000000000001</v>
      </c>
      <c r="BD37" s="51" t="s">
        <v>1574</v>
      </c>
      <c r="BE37" s="51">
        <v>0.54010000000000002</v>
      </c>
      <c r="BF37" s="51">
        <v>11.5</v>
      </c>
      <c r="BG37" s="51" t="s">
        <v>1599</v>
      </c>
      <c r="BH37" s="51">
        <v>51</v>
      </c>
      <c r="BI37" s="51">
        <v>42.25</v>
      </c>
      <c r="BJ37" s="51">
        <v>30</v>
      </c>
      <c r="BK37" s="51">
        <v>496.03948974609</v>
      </c>
      <c r="BL37" s="51">
        <v>11.01</v>
      </c>
      <c r="BM37" s="51">
        <v>645.51</v>
      </c>
      <c r="BN37" s="51">
        <v>159</v>
      </c>
      <c r="BO37" s="51">
        <v>2414.1</v>
      </c>
      <c r="BP37" s="51">
        <v>1761</v>
      </c>
      <c r="BQ37" s="51">
        <v>184.7</v>
      </c>
      <c r="BR37" s="51">
        <v>35.229999999999997</v>
      </c>
      <c r="BS37" s="51">
        <v>83.5</v>
      </c>
      <c r="BT37" s="51">
        <v>1.0226999999999999</v>
      </c>
      <c r="BU37" s="41"/>
      <c r="BV37" s="41"/>
      <c r="BW37" s="41"/>
      <c r="BX37" s="41"/>
      <c r="BY37" s="41"/>
      <c r="BZ37" s="41"/>
      <c r="CA37" s="41"/>
      <c r="CB37" s="41"/>
      <c r="CC37" s="41"/>
      <c r="CD37" s="41"/>
      <c r="CE37" s="41"/>
      <c r="CF37" s="41"/>
      <c r="CG37" s="41"/>
      <c r="CH37" s="41"/>
      <c r="CI37" s="41"/>
      <c r="CJ37" s="41"/>
      <c r="CK37" s="41"/>
    </row>
    <row r="38" spans="1:89">
      <c r="A38" s="48" t="s">
        <v>167</v>
      </c>
      <c r="B38" s="49">
        <v>1.52</v>
      </c>
      <c r="C38" s="49">
        <v>1.52</v>
      </c>
      <c r="D38" s="49">
        <v>1.52</v>
      </c>
      <c r="E38" s="49" t="s">
        <v>1574</v>
      </c>
      <c r="F38" s="49" t="s">
        <v>1574</v>
      </c>
      <c r="G38" s="49" t="s">
        <v>1574</v>
      </c>
      <c r="H38" s="49">
        <v>0.16</v>
      </c>
      <c r="I38" s="49">
        <v>0.40477399635</v>
      </c>
      <c r="J38" s="49" t="s">
        <v>1574</v>
      </c>
      <c r="K38" s="49" t="s">
        <v>1574</v>
      </c>
      <c r="L38" s="49">
        <v>0.46100000000000002</v>
      </c>
      <c r="M38" s="49">
        <v>0.81310000000000004</v>
      </c>
      <c r="N38" s="49">
        <v>0.67658229999999997</v>
      </c>
      <c r="O38" s="49">
        <v>0.97299999999999998</v>
      </c>
      <c r="P38" s="49">
        <v>0.86100089999999996</v>
      </c>
      <c r="Q38" s="49">
        <v>1.1046009999999999</v>
      </c>
      <c r="R38" s="49">
        <v>0.95339960000000001</v>
      </c>
      <c r="S38" s="49">
        <v>240.3</v>
      </c>
      <c r="T38" s="49" t="s">
        <v>1574</v>
      </c>
      <c r="U38" s="49" t="s">
        <v>1574</v>
      </c>
      <c r="V38" s="49">
        <v>266.76</v>
      </c>
      <c r="W38" s="49">
        <v>212.75</v>
      </c>
      <c r="X38" s="49" t="s">
        <v>1574</v>
      </c>
      <c r="Y38" s="49">
        <v>100.86</v>
      </c>
      <c r="Z38" s="49">
        <v>198</v>
      </c>
      <c r="AA38" s="49">
        <v>91.7</v>
      </c>
      <c r="AB38" s="49" t="s">
        <v>1574</v>
      </c>
      <c r="AC38" s="49" t="s">
        <v>1574</v>
      </c>
      <c r="AD38" s="49">
        <v>22.922736732760001</v>
      </c>
      <c r="AE38" s="49">
        <v>48.82</v>
      </c>
      <c r="AF38" s="49">
        <v>44.34</v>
      </c>
      <c r="AG38" s="49">
        <v>144.22</v>
      </c>
      <c r="AH38" s="49" t="s">
        <v>1574</v>
      </c>
      <c r="AI38" s="49" t="s">
        <v>1574</v>
      </c>
      <c r="AJ38" s="49" t="s">
        <v>1574</v>
      </c>
      <c r="AK38" s="49" t="s">
        <v>1574</v>
      </c>
      <c r="AL38" s="49">
        <v>65.400000000000006</v>
      </c>
      <c r="AM38" s="49" t="s">
        <v>1574</v>
      </c>
      <c r="AN38" s="49">
        <v>0.11508</v>
      </c>
      <c r="AO38" s="49">
        <v>0.108</v>
      </c>
      <c r="AP38" s="49">
        <v>0.75619999999999998</v>
      </c>
      <c r="AQ38" s="49">
        <v>0.32026978996</v>
      </c>
      <c r="AR38" s="49" t="s">
        <v>1574</v>
      </c>
      <c r="AS38" s="49">
        <v>2.2707586000000002</v>
      </c>
      <c r="AT38" s="49">
        <v>0.126324726</v>
      </c>
      <c r="AU38" s="49">
        <v>0.12786796</v>
      </c>
      <c r="AV38" s="49">
        <v>6.2100000000000002E-2</v>
      </c>
      <c r="AW38" s="49">
        <v>1404.9</v>
      </c>
      <c r="AX38" s="49" t="s">
        <v>1574</v>
      </c>
      <c r="AY38" s="49">
        <v>36.39</v>
      </c>
      <c r="AZ38" s="49" t="s">
        <v>1574</v>
      </c>
      <c r="BA38" s="49">
        <v>160.06096878503001</v>
      </c>
      <c r="BB38" s="49" t="s">
        <v>1574</v>
      </c>
      <c r="BC38" s="49">
        <v>0.64900000000000002</v>
      </c>
      <c r="BD38" s="49" t="s">
        <v>1574</v>
      </c>
      <c r="BE38" s="49">
        <v>0.54669999999999996</v>
      </c>
      <c r="BF38" s="49">
        <v>11.5</v>
      </c>
      <c r="BG38" s="49" t="s">
        <v>1599</v>
      </c>
      <c r="BH38" s="49">
        <v>51</v>
      </c>
      <c r="BI38" s="49">
        <v>42.25</v>
      </c>
      <c r="BJ38" s="49">
        <v>30</v>
      </c>
      <c r="BK38" s="49">
        <v>496.03948974609</v>
      </c>
      <c r="BL38" s="49">
        <v>11.01</v>
      </c>
      <c r="BM38" s="49">
        <v>645.51</v>
      </c>
      <c r="BN38" s="49">
        <v>148.4</v>
      </c>
      <c r="BO38" s="49">
        <v>2376.6</v>
      </c>
      <c r="BP38" s="49">
        <v>1761</v>
      </c>
      <c r="BQ38" s="49">
        <v>182.1</v>
      </c>
      <c r="BR38" s="49">
        <v>35.229999999999997</v>
      </c>
      <c r="BS38" s="49">
        <v>83.5</v>
      </c>
      <c r="BT38" s="49">
        <v>1.0355000000000001</v>
      </c>
      <c r="BU38" s="41"/>
      <c r="BV38" s="41"/>
      <c r="BW38" s="41"/>
      <c r="BX38" s="41"/>
      <c r="BY38" s="41"/>
      <c r="BZ38" s="41"/>
      <c r="CA38" s="41"/>
      <c r="CB38" s="41"/>
      <c r="CC38" s="41"/>
      <c r="CD38" s="41"/>
      <c r="CE38" s="41"/>
      <c r="CF38" s="41"/>
      <c r="CG38" s="41"/>
      <c r="CH38" s="41"/>
      <c r="CI38" s="41"/>
      <c r="CJ38" s="41"/>
      <c r="CK38" s="41"/>
    </row>
    <row r="39" spans="1:89">
      <c r="A39" s="41" t="s">
        <v>168</v>
      </c>
      <c r="B39" s="51">
        <v>1.52</v>
      </c>
      <c r="C39" s="51">
        <v>1.52</v>
      </c>
      <c r="D39" s="51">
        <v>1.52</v>
      </c>
      <c r="E39" s="51" t="s">
        <v>1574</v>
      </c>
      <c r="F39" s="51" t="s">
        <v>1574</v>
      </c>
      <c r="G39" s="51" t="s">
        <v>1574</v>
      </c>
      <c r="H39" s="51">
        <v>0.16</v>
      </c>
      <c r="I39" s="51">
        <v>0.40477399635</v>
      </c>
      <c r="J39" s="51" t="s">
        <v>1574</v>
      </c>
      <c r="K39" s="51" t="s">
        <v>1574</v>
      </c>
      <c r="L39" s="51">
        <v>0.45879999999999999</v>
      </c>
      <c r="M39" s="51">
        <v>0.81899999999999995</v>
      </c>
      <c r="N39" s="51">
        <v>0.68451870000000004</v>
      </c>
      <c r="O39" s="51">
        <v>0.97299999999999998</v>
      </c>
      <c r="P39" s="51">
        <v>0.86100089999999996</v>
      </c>
      <c r="Q39" s="51">
        <v>1.1046009999999999</v>
      </c>
      <c r="R39" s="51">
        <v>0.95339960000000001</v>
      </c>
      <c r="S39" s="51">
        <v>244.7</v>
      </c>
      <c r="T39" s="51" t="s">
        <v>1574</v>
      </c>
      <c r="U39" s="51" t="s">
        <v>1574</v>
      </c>
      <c r="V39" s="51">
        <v>265.10000000000002</v>
      </c>
      <c r="W39" s="51">
        <v>209.16</v>
      </c>
      <c r="X39" s="51" t="s">
        <v>1574</v>
      </c>
      <c r="Y39" s="51">
        <v>95.35</v>
      </c>
      <c r="Z39" s="51">
        <v>198</v>
      </c>
      <c r="AA39" s="51">
        <v>94</v>
      </c>
      <c r="AB39" s="51" t="s">
        <v>1574</v>
      </c>
      <c r="AC39" s="51" t="s">
        <v>1574</v>
      </c>
      <c r="AD39" s="51">
        <v>22.87706753977</v>
      </c>
      <c r="AE39" s="51">
        <v>47.24</v>
      </c>
      <c r="AF39" s="51">
        <v>42.55</v>
      </c>
      <c r="AG39" s="51">
        <v>142.91999999999999</v>
      </c>
      <c r="AH39" s="51" t="s">
        <v>1574</v>
      </c>
      <c r="AI39" s="51" t="s">
        <v>1574</v>
      </c>
      <c r="AJ39" s="51" t="s">
        <v>1574</v>
      </c>
      <c r="AK39" s="51" t="s">
        <v>1574</v>
      </c>
      <c r="AL39" s="51">
        <v>66.510000000000005</v>
      </c>
      <c r="AM39" s="51" t="s">
        <v>1574</v>
      </c>
      <c r="AN39" s="51">
        <v>0.11509999999999999</v>
      </c>
      <c r="AO39" s="51">
        <v>0.108</v>
      </c>
      <c r="AP39" s="51">
        <v>0.74519999999999997</v>
      </c>
      <c r="AQ39" s="51">
        <v>0.32115812178999997</v>
      </c>
      <c r="AR39" s="51" t="s">
        <v>1574</v>
      </c>
      <c r="AS39" s="51">
        <v>2.3809895999999999</v>
      </c>
      <c r="AT39" s="51">
        <v>0.126324726</v>
      </c>
      <c r="AU39" s="51">
        <v>0.13007257999999999</v>
      </c>
      <c r="AV39" s="51">
        <v>6.4600000000000005E-2</v>
      </c>
      <c r="AW39" s="51">
        <v>1404.9</v>
      </c>
      <c r="AX39" s="51" t="s">
        <v>1574</v>
      </c>
      <c r="AY39" s="51">
        <v>36.39</v>
      </c>
      <c r="AZ39" s="51" t="s">
        <v>1574</v>
      </c>
      <c r="BA39" s="51">
        <v>160.06096878503001</v>
      </c>
      <c r="BB39" s="51" t="s">
        <v>1574</v>
      </c>
      <c r="BC39" s="51">
        <v>0.63870000000000005</v>
      </c>
      <c r="BD39" s="51" t="s">
        <v>1574</v>
      </c>
      <c r="BE39" s="51">
        <v>0.53129999999999999</v>
      </c>
      <c r="BF39" s="51">
        <v>11.5</v>
      </c>
      <c r="BG39" s="51" t="s">
        <v>1599</v>
      </c>
      <c r="BH39" s="51">
        <v>51</v>
      </c>
      <c r="BI39" s="51">
        <v>42.25</v>
      </c>
      <c r="BJ39" s="51">
        <v>30</v>
      </c>
      <c r="BK39" s="51">
        <v>496.03948974609</v>
      </c>
      <c r="BL39" s="51">
        <v>11.01</v>
      </c>
      <c r="BM39" s="51">
        <v>645.51</v>
      </c>
      <c r="BN39" s="51">
        <v>140.69999999999999</v>
      </c>
      <c r="BO39" s="51">
        <v>2350.1</v>
      </c>
      <c r="BP39" s="51">
        <v>1761</v>
      </c>
      <c r="BQ39" s="51">
        <v>178.1</v>
      </c>
      <c r="BR39" s="51">
        <v>35.229999999999997</v>
      </c>
      <c r="BS39" s="51">
        <v>83.5</v>
      </c>
      <c r="BT39" s="51">
        <v>1.083</v>
      </c>
      <c r="BU39" s="41"/>
      <c r="BV39" s="41"/>
      <c r="BW39" s="41"/>
      <c r="BX39" s="41"/>
      <c r="BY39" s="41"/>
      <c r="BZ39" s="41"/>
      <c r="CA39" s="41"/>
      <c r="CB39" s="41"/>
      <c r="CC39" s="41"/>
      <c r="CD39" s="41"/>
      <c r="CE39" s="41"/>
      <c r="CF39" s="41"/>
      <c r="CG39" s="41"/>
      <c r="CH39" s="41"/>
      <c r="CI39" s="41"/>
      <c r="CJ39" s="41"/>
      <c r="CK39" s="41"/>
    </row>
    <row r="40" spans="1:89">
      <c r="A40" s="48" t="s">
        <v>169</v>
      </c>
      <c r="B40" s="49">
        <v>1.52</v>
      </c>
      <c r="C40" s="49">
        <v>1.52</v>
      </c>
      <c r="D40" s="49">
        <v>1.52</v>
      </c>
      <c r="E40" s="49" t="s">
        <v>1574</v>
      </c>
      <c r="F40" s="49" t="s">
        <v>1574</v>
      </c>
      <c r="G40" s="49" t="s">
        <v>1574</v>
      </c>
      <c r="H40" s="49">
        <v>0.16</v>
      </c>
      <c r="I40" s="49">
        <v>0.40477399635</v>
      </c>
      <c r="J40" s="49" t="s">
        <v>1574</v>
      </c>
      <c r="K40" s="49" t="s">
        <v>1574</v>
      </c>
      <c r="L40" s="49">
        <v>0.45</v>
      </c>
      <c r="M40" s="49">
        <v>0.8256</v>
      </c>
      <c r="N40" s="49">
        <v>0.69465969999999999</v>
      </c>
      <c r="O40" s="49">
        <v>0.97299999999999998</v>
      </c>
      <c r="P40" s="49">
        <v>0.86100089999999996</v>
      </c>
      <c r="Q40" s="49">
        <v>1.1046009999999999</v>
      </c>
      <c r="R40" s="49">
        <v>0.95339960000000001</v>
      </c>
      <c r="S40" s="49">
        <v>246.6</v>
      </c>
      <c r="T40" s="49" t="s">
        <v>1574</v>
      </c>
      <c r="U40" s="49" t="s">
        <v>1574</v>
      </c>
      <c r="V40" s="49">
        <v>268.69</v>
      </c>
      <c r="W40" s="49">
        <v>205.3</v>
      </c>
      <c r="X40" s="49" t="s">
        <v>1574</v>
      </c>
      <c r="Y40" s="49">
        <v>95.35</v>
      </c>
      <c r="Z40" s="49">
        <v>198</v>
      </c>
      <c r="AA40" s="49">
        <v>102</v>
      </c>
      <c r="AB40" s="49" t="s">
        <v>1574</v>
      </c>
      <c r="AC40" s="49" t="s">
        <v>1574</v>
      </c>
      <c r="AD40" s="49">
        <v>22.864260300200002</v>
      </c>
      <c r="AE40" s="49">
        <v>47.64</v>
      </c>
      <c r="AF40" s="49">
        <v>42.55</v>
      </c>
      <c r="AG40" s="49">
        <v>140.63999999999999</v>
      </c>
      <c r="AH40" s="49" t="s">
        <v>1574</v>
      </c>
      <c r="AI40" s="49" t="s">
        <v>1574</v>
      </c>
      <c r="AJ40" s="49" t="s">
        <v>1574</v>
      </c>
      <c r="AK40" s="49" t="s">
        <v>1574</v>
      </c>
      <c r="AL40" s="49">
        <v>65.77</v>
      </c>
      <c r="AM40" s="49" t="s">
        <v>1574</v>
      </c>
      <c r="AN40" s="49">
        <v>0.11899999999999999</v>
      </c>
      <c r="AO40" s="49">
        <v>0.108</v>
      </c>
      <c r="AP40" s="49">
        <v>0.80030000000000001</v>
      </c>
      <c r="AQ40" s="49">
        <v>0.322833288</v>
      </c>
      <c r="AR40" s="49" t="s">
        <v>1574</v>
      </c>
      <c r="AS40" s="49">
        <v>2.5353129999999999</v>
      </c>
      <c r="AT40" s="49">
        <v>0.126324726</v>
      </c>
      <c r="AU40" s="49">
        <v>0.12786796</v>
      </c>
      <c r="AV40" s="49">
        <v>6.2600000000000003E-2</v>
      </c>
      <c r="AW40" s="49">
        <v>1404.9</v>
      </c>
      <c r="AX40" s="49" t="s">
        <v>1574</v>
      </c>
      <c r="AY40" s="49">
        <v>36.39</v>
      </c>
      <c r="AZ40" s="49" t="s">
        <v>1574</v>
      </c>
      <c r="BA40" s="49">
        <v>160.06096878503001</v>
      </c>
      <c r="BB40" s="49" t="s">
        <v>1574</v>
      </c>
      <c r="BC40" s="49">
        <v>0.627</v>
      </c>
      <c r="BD40" s="49" t="s">
        <v>1574</v>
      </c>
      <c r="BE40" s="49">
        <v>0.54010000000000002</v>
      </c>
      <c r="BF40" s="49">
        <v>11.5</v>
      </c>
      <c r="BG40" s="49" t="s">
        <v>1599</v>
      </c>
      <c r="BH40" s="49">
        <v>51</v>
      </c>
      <c r="BI40" s="49">
        <v>42.25</v>
      </c>
      <c r="BJ40" s="49">
        <v>30</v>
      </c>
      <c r="BK40" s="49">
        <v>496.03948974609</v>
      </c>
      <c r="BL40" s="49">
        <v>11.01</v>
      </c>
      <c r="BM40" s="49">
        <v>645.51</v>
      </c>
      <c r="BN40" s="49">
        <v>143.1</v>
      </c>
      <c r="BO40" s="49">
        <v>2350.1</v>
      </c>
      <c r="BP40" s="49">
        <v>1761</v>
      </c>
      <c r="BQ40" s="49">
        <v>176.6</v>
      </c>
      <c r="BR40" s="49">
        <v>35.229999999999997</v>
      </c>
      <c r="BS40" s="49">
        <v>83.5</v>
      </c>
      <c r="BT40" s="49">
        <v>1.1546000000000001</v>
      </c>
      <c r="BU40" s="41"/>
      <c r="BV40" s="41"/>
      <c r="BW40" s="41"/>
      <c r="BX40" s="41"/>
      <c r="BY40" s="41"/>
      <c r="BZ40" s="41"/>
      <c r="CA40" s="41"/>
      <c r="CB40" s="41"/>
      <c r="CC40" s="41"/>
      <c r="CD40" s="41"/>
      <c r="CE40" s="41"/>
      <c r="CF40" s="41"/>
      <c r="CG40" s="41"/>
      <c r="CH40" s="41"/>
      <c r="CI40" s="41"/>
      <c r="CJ40" s="41"/>
      <c r="CK40" s="41"/>
    </row>
    <row r="41" spans="1:89">
      <c r="A41" s="41" t="s">
        <v>170</v>
      </c>
      <c r="B41" s="51">
        <v>1.52</v>
      </c>
      <c r="C41" s="51">
        <v>1.52</v>
      </c>
      <c r="D41" s="51">
        <v>1.52</v>
      </c>
      <c r="E41" s="51" t="s">
        <v>1574</v>
      </c>
      <c r="F41" s="51" t="s">
        <v>1574</v>
      </c>
      <c r="G41" s="51" t="s">
        <v>1574</v>
      </c>
      <c r="H41" s="51">
        <v>0.16</v>
      </c>
      <c r="I41" s="51">
        <v>0.40477399635</v>
      </c>
      <c r="J41" s="51" t="s">
        <v>1574</v>
      </c>
      <c r="K41" s="51" t="s">
        <v>1574</v>
      </c>
      <c r="L41" s="51">
        <v>0.4365</v>
      </c>
      <c r="M41" s="51">
        <v>0.81089999999999995</v>
      </c>
      <c r="N41" s="51">
        <v>0.69465969999999999</v>
      </c>
      <c r="O41" s="51">
        <v>0.97299999999999998</v>
      </c>
      <c r="P41" s="51">
        <v>0.86100089999999996</v>
      </c>
      <c r="Q41" s="51">
        <v>1.1046009999999999</v>
      </c>
      <c r="R41" s="51">
        <v>0.95339960000000001</v>
      </c>
      <c r="S41" s="51">
        <v>253.5</v>
      </c>
      <c r="T41" s="51" t="s">
        <v>1574</v>
      </c>
      <c r="U41" s="51" t="s">
        <v>1574</v>
      </c>
      <c r="V41" s="51">
        <v>251.6</v>
      </c>
      <c r="W41" s="51">
        <v>196.76</v>
      </c>
      <c r="X41" s="51" t="s">
        <v>1574</v>
      </c>
      <c r="Y41" s="51">
        <v>97</v>
      </c>
      <c r="Z41" s="51">
        <v>212</v>
      </c>
      <c r="AA41" s="51">
        <v>92.8</v>
      </c>
      <c r="AB41" s="51" t="s">
        <v>1574</v>
      </c>
      <c r="AC41" s="51" t="s">
        <v>1574</v>
      </c>
      <c r="AD41" s="51">
        <v>22.66588606885</v>
      </c>
      <c r="AE41" s="51">
        <v>47.64</v>
      </c>
      <c r="AF41" s="51">
        <v>42.77</v>
      </c>
      <c r="AG41" s="51">
        <v>142.94999999999999</v>
      </c>
      <c r="AH41" s="51" t="s">
        <v>1574</v>
      </c>
      <c r="AI41" s="51" t="s">
        <v>1574</v>
      </c>
      <c r="AJ41" s="51" t="s">
        <v>1574</v>
      </c>
      <c r="AK41" s="51" t="s">
        <v>1574</v>
      </c>
      <c r="AL41" s="51">
        <v>64.3</v>
      </c>
      <c r="AM41" s="51" t="s">
        <v>1574</v>
      </c>
      <c r="AN41" s="51">
        <v>0.1239</v>
      </c>
      <c r="AO41" s="51">
        <v>0.108</v>
      </c>
      <c r="AP41" s="51">
        <v>0.67679999999999996</v>
      </c>
      <c r="AQ41" s="51">
        <v>0.32208198892000001</v>
      </c>
      <c r="AR41" s="51" t="s">
        <v>1574</v>
      </c>
      <c r="AS41" s="51">
        <v>2.4912206000000001</v>
      </c>
      <c r="AT41" s="51">
        <v>0.126324726</v>
      </c>
      <c r="AU41" s="51">
        <v>0.13007257999999999</v>
      </c>
      <c r="AV41" s="51">
        <v>6.6600000000000006E-2</v>
      </c>
      <c r="AW41" s="51">
        <v>1404.9</v>
      </c>
      <c r="AX41" s="51" t="s">
        <v>1574</v>
      </c>
      <c r="AY41" s="51">
        <v>36.39</v>
      </c>
      <c r="AZ41" s="51" t="s">
        <v>1574</v>
      </c>
      <c r="BA41" s="51">
        <v>160.06096878503001</v>
      </c>
      <c r="BB41" s="51" t="s">
        <v>1574</v>
      </c>
      <c r="BC41" s="51">
        <v>0.62660000000000005</v>
      </c>
      <c r="BD41" s="51" t="s">
        <v>1574</v>
      </c>
      <c r="BE41" s="51">
        <v>0.56879999999999997</v>
      </c>
      <c r="BF41" s="51">
        <v>11.5</v>
      </c>
      <c r="BG41" s="51" t="s">
        <v>1599</v>
      </c>
      <c r="BH41" s="51">
        <v>51</v>
      </c>
      <c r="BI41" s="51">
        <v>42.25</v>
      </c>
      <c r="BJ41" s="51">
        <v>30</v>
      </c>
      <c r="BK41" s="51">
        <v>496.03948974609</v>
      </c>
      <c r="BL41" s="51">
        <v>11.01</v>
      </c>
      <c r="BM41" s="51">
        <v>645.95000000000005</v>
      </c>
      <c r="BN41" s="51">
        <v>146.19999999999999</v>
      </c>
      <c r="BO41" s="51">
        <v>2358.9</v>
      </c>
      <c r="BP41" s="51">
        <v>1761</v>
      </c>
      <c r="BQ41" s="51">
        <v>181.9</v>
      </c>
      <c r="BR41" s="51">
        <v>35.229999999999997</v>
      </c>
      <c r="BS41" s="51">
        <v>83.5</v>
      </c>
      <c r="BT41" s="51">
        <v>1.206</v>
      </c>
      <c r="BU41" s="41"/>
      <c r="BV41" s="41"/>
      <c r="BW41" s="41"/>
      <c r="BX41" s="41"/>
      <c r="BY41" s="41"/>
      <c r="BZ41" s="41"/>
      <c r="CA41" s="41"/>
      <c r="CB41" s="41"/>
      <c r="CC41" s="41"/>
      <c r="CD41" s="41"/>
      <c r="CE41" s="41"/>
      <c r="CF41" s="41"/>
      <c r="CG41" s="41"/>
      <c r="CH41" s="41"/>
      <c r="CI41" s="41"/>
      <c r="CJ41" s="41"/>
      <c r="CK41" s="41"/>
    </row>
    <row r="42" spans="1:89">
      <c r="A42" s="48" t="s">
        <v>171</v>
      </c>
      <c r="B42" s="49">
        <v>1.52</v>
      </c>
      <c r="C42" s="49">
        <v>1.52</v>
      </c>
      <c r="D42" s="49">
        <v>1.52</v>
      </c>
      <c r="E42" s="49" t="s">
        <v>1574</v>
      </c>
      <c r="F42" s="49" t="s">
        <v>1574</v>
      </c>
      <c r="G42" s="49" t="s">
        <v>1574</v>
      </c>
      <c r="H42" s="49">
        <v>0.16</v>
      </c>
      <c r="I42" s="49">
        <v>0.40477399635</v>
      </c>
      <c r="J42" s="49" t="s">
        <v>1574</v>
      </c>
      <c r="K42" s="49" t="s">
        <v>1574</v>
      </c>
      <c r="L42" s="49">
        <v>0.43830000000000002</v>
      </c>
      <c r="M42" s="49">
        <v>0.81240000000000001</v>
      </c>
      <c r="N42" s="49">
        <v>0.69267570000000001</v>
      </c>
      <c r="O42" s="49">
        <v>0.97299999999999998</v>
      </c>
      <c r="P42" s="49">
        <v>0.86100089999999996</v>
      </c>
      <c r="Q42" s="49">
        <v>1.1046009999999999</v>
      </c>
      <c r="R42" s="49">
        <v>0.95339960000000001</v>
      </c>
      <c r="S42" s="49">
        <v>257.39999999999998</v>
      </c>
      <c r="T42" s="49" t="s">
        <v>1574</v>
      </c>
      <c r="U42" s="49" t="s">
        <v>1574</v>
      </c>
      <c r="V42" s="49">
        <v>251.05</v>
      </c>
      <c r="W42" s="49">
        <v>208.06</v>
      </c>
      <c r="X42" s="49" t="s">
        <v>1574</v>
      </c>
      <c r="Y42" s="49">
        <v>100.59</v>
      </c>
      <c r="Z42" s="49">
        <v>220</v>
      </c>
      <c r="AA42" s="49">
        <v>94</v>
      </c>
      <c r="AB42" s="49" t="s">
        <v>1574</v>
      </c>
      <c r="AC42" s="49" t="s">
        <v>1574</v>
      </c>
      <c r="AD42" s="49">
        <v>23.537040897090002</v>
      </c>
      <c r="AE42" s="49">
        <v>48.42</v>
      </c>
      <c r="AF42" s="49">
        <v>43.43</v>
      </c>
      <c r="AG42" s="49">
        <v>142.5</v>
      </c>
      <c r="AH42" s="49" t="s">
        <v>1574</v>
      </c>
      <c r="AI42" s="49" t="s">
        <v>1574</v>
      </c>
      <c r="AJ42" s="49" t="s">
        <v>1574</v>
      </c>
      <c r="AK42" s="49" t="s">
        <v>1574</v>
      </c>
      <c r="AL42" s="49">
        <v>68.709999999999994</v>
      </c>
      <c r="AM42" s="49" t="s">
        <v>1574</v>
      </c>
      <c r="AN42" s="49">
        <v>0.14990000000000001</v>
      </c>
      <c r="AO42" s="49">
        <v>0.14460000000000001</v>
      </c>
      <c r="AP42" s="49">
        <v>0.58860000000000001</v>
      </c>
      <c r="AQ42" s="49">
        <v>0.32281075629</v>
      </c>
      <c r="AR42" s="49" t="s">
        <v>1574</v>
      </c>
      <c r="AS42" s="49">
        <v>2.3809895999999999</v>
      </c>
      <c r="AT42" s="49">
        <v>0.126324726</v>
      </c>
      <c r="AU42" s="49">
        <v>0.12786796</v>
      </c>
      <c r="AV42" s="49">
        <v>7.5399999999999995E-2</v>
      </c>
      <c r="AW42" s="49">
        <v>1404.9</v>
      </c>
      <c r="AX42" s="49" t="s">
        <v>1574</v>
      </c>
      <c r="AY42" s="49">
        <v>36.39</v>
      </c>
      <c r="AZ42" s="49" t="s">
        <v>1574</v>
      </c>
      <c r="BA42" s="49">
        <v>160.06096878503001</v>
      </c>
      <c r="BB42" s="49" t="s">
        <v>1574</v>
      </c>
      <c r="BC42" s="49">
        <v>0.63449999999999995</v>
      </c>
      <c r="BD42" s="49" t="s">
        <v>1574</v>
      </c>
      <c r="BE42" s="49">
        <v>0.5776</v>
      </c>
      <c r="BF42" s="49">
        <v>11.5</v>
      </c>
      <c r="BG42" s="49" t="s">
        <v>1599</v>
      </c>
      <c r="BH42" s="49">
        <v>51</v>
      </c>
      <c r="BI42" s="49">
        <v>42.25</v>
      </c>
      <c r="BJ42" s="49">
        <v>30</v>
      </c>
      <c r="BK42" s="49">
        <v>496.03948974609</v>
      </c>
      <c r="BL42" s="49">
        <v>11.01</v>
      </c>
      <c r="BM42" s="49">
        <v>645.51</v>
      </c>
      <c r="BN42" s="49">
        <v>149.69999999999999</v>
      </c>
      <c r="BO42" s="49">
        <v>2407.4</v>
      </c>
      <c r="BP42" s="49">
        <v>1761</v>
      </c>
      <c r="BQ42" s="49">
        <v>188.5</v>
      </c>
      <c r="BR42" s="49">
        <v>35.229999999999997</v>
      </c>
      <c r="BS42" s="49">
        <v>83.5</v>
      </c>
      <c r="BT42" s="49">
        <v>1.1917</v>
      </c>
      <c r="BU42" s="41"/>
      <c r="BV42" s="41"/>
      <c r="BW42" s="41"/>
      <c r="BX42" s="41"/>
      <c r="BY42" s="41"/>
      <c r="BZ42" s="41"/>
      <c r="CA42" s="41"/>
      <c r="CB42" s="41"/>
      <c r="CC42" s="41"/>
      <c r="CD42" s="41"/>
      <c r="CE42" s="41"/>
      <c r="CF42" s="41"/>
      <c r="CG42" s="41"/>
      <c r="CH42" s="41"/>
      <c r="CI42" s="41"/>
      <c r="CJ42" s="41"/>
      <c r="CK42" s="41"/>
    </row>
    <row r="43" spans="1:89">
      <c r="A43" s="41" t="s">
        <v>172</v>
      </c>
      <c r="B43" s="51">
        <v>1.52</v>
      </c>
      <c r="C43" s="51">
        <v>1.52</v>
      </c>
      <c r="D43" s="51">
        <v>1.52</v>
      </c>
      <c r="E43" s="51" t="s">
        <v>1574</v>
      </c>
      <c r="F43" s="51" t="s">
        <v>1574</v>
      </c>
      <c r="G43" s="51" t="s">
        <v>1574</v>
      </c>
      <c r="H43" s="51">
        <v>0.16</v>
      </c>
      <c r="I43" s="51">
        <v>0.40477399635</v>
      </c>
      <c r="J43" s="51" t="s">
        <v>1574</v>
      </c>
      <c r="K43" s="51" t="s">
        <v>1574</v>
      </c>
      <c r="L43" s="51">
        <v>0.45329999999999998</v>
      </c>
      <c r="M43" s="51">
        <v>0.81789999999999996</v>
      </c>
      <c r="N43" s="51">
        <v>0.7169259</v>
      </c>
      <c r="O43" s="51">
        <v>0.97299999999999998</v>
      </c>
      <c r="P43" s="51">
        <v>0.86100089999999996</v>
      </c>
      <c r="Q43" s="51">
        <v>1.1046009999999999</v>
      </c>
      <c r="R43" s="51">
        <v>0.95339960000000001</v>
      </c>
      <c r="S43" s="51">
        <v>272.3</v>
      </c>
      <c r="T43" s="51" t="s">
        <v>1574</v>
      </c>
      <c r="U43" s="51" t="s">
        <v>1574</v>
      </c>
      <c r="V43" s="51">
        <v>254.36</v>
      </c>
      <c r="W43" s="51">
        <v>210.82</v>
      </c>
      <c r="X43" s="51" t="s">
        <v>1574</v>
      </c>
      <c r="Y43" s="51">
        <v>102.24</v>
      </c>
      <c r="Z43" s="51">
        <v>215</v>
      </c>
      <c r="AA43" s="51">
        <v>94</v>
      </c>
      <c r="AB43" s="51" t="s">
        <v>1574</v>
      </c>
      <c r="AC43" s="51" t="s">
        <v>1574</v>
      </c>
      <c r="AD43" s="51">
        <v>23.85507759379</v>
      </c>
      <c r="AE43" s="51">
        <v>51.18</v>
      </c>
      <c r="AF43" s="51">
        <v>45.19</v>
      </c>
      <c r="AG43" s="51">
        <v>121.07</v>
      </c>
      <c r="AH43" s="51" t="s">
        <v>1574</v>
      </c>
      <c r="AI43" s="51" t="s">
        <v>1574</v>
      </c>
      <c r="AJ43" s="51" t="s">
        <v>1574</v>
      </c>
      <c r="AK43" s="51" t="s">
        <v>1574</v>
      </c>
      <c r="AL43" s="51">
        <v>67.61</v>
      </c>
      <c r="AM43" s="51" t="s">
        <v>1574</v>
      </c>
      <c r="AN43" s="51">
        <v>0.13100000000000001</v>
      </c>
      <c r="AO43" s="51">
        <v>0.1003</v>
      </c>
      <c r="AP43" s="51">
        <v>0.60189999999999999</v>
      </c>
      <c r="AQ43" s="51">
        <v>0.32336352213000003</v>
      </c>
      <c r="AR43" s="51" t="s">
        <v>1574</v>
      </c>
      <c r="AS43" s="51">
        <v>2.2707586000000002</v>
      </c>
      <c r="AT43" s="51">
        <v>0.126324726</v>
      </c>
      <c r="AU43" s="51">
        <v>0.13007257999999999</v>
      </c>
      <c r="AV43" s="51">
        <v>8.8200000000000001E-2</v>
      </c>
      <c r="AW43" s="51">
        <v>1404.9</v>
      </c>
      <c r="AX43" s="51" t="s">
        <v>1574</v>
      </c>
      <c r="AY43" s="51">
        <v>36.39</v>
      </c>
      <c r="AZ43" s="51" t="s">
        <v>1574</v>
      </c>
      <c r="BA43" s="51">
        <v>160.06096878503001</v>
      </c>
      <c r="BB43" s="51" t="s">
        <v>1574</v>
      </c>
      <c r="BC43" s="51">
        <v>0.65300000000000002</v>
      </c>
      <c r="BD43" s="51" t="s">
        <v>1574</v>
      </c>
      <c r="BE43" s="51">
        <v>0.58199999999999996</v>
      </c>
      <c r="BF43" s="51">
        <v>11.5</v>
      </c>
      <c r="BG43" s="51" t="s">
        <v>1599</v>
      </c>
      <c r="BH43" s="51">
        <v>51</v>
      </c>
      <c r="BI43" s="51">
        <v>42.25</v>
      </c>
      <c r="BJ43" s="51">
        <v>30</v>
      </c>
      <c r="BK43" s="51">
        <v>496.03948974609</v>
      </c>
      <c r="BL43" s="51">
        <v>11.01</v>
      </c>
      <c r="BM43" s="51">
        <v>645.73</v>
      </c>
      <c r="BN43" s="51">
        <v>152.80000000000001</v>
      </c>
      <c r="BO43" s="51">
        <v>2365.6</v>
      </c>
      <c r="BP43" s="51">
        <v>1761</v>
      </c>
      <c r="BQ43" s="51">
        <v>184.7</v>
      </c>
      <c r="BR43" s="51">
        <v>35.229999999999997</v>
      </c>
      <c r="BS43" s="51">
        <v>83.5</v>
      </c>
      <c r="BT43" s="51">
        <v>1.1987000000000001</v>
      </c>
      <c r="BU43" s="41"/>
      <c r="BV43" s="41"/>
      <c r="BW43" s="41"/>
      <c r="BX43" s="41"/>
      <c r="BY43" s="41"/>
      <c r="BZ43" s="41"/>
      <c r="CA43" s="41"/>
      <c r="CB43" s="41"/>
      <c r="CC43" s="41"/>
      <c r="CD43" s="41"/>
      <c r="CE43" s="41"/>
      <c r="CF43" s="41"/>
      <c r="CG43" s="41"/>
      <c r="CH43" s="41"/>
      <c r="CI43" s="41"/>
      <c r="CJ43" s="41"/>
      <c r="CK43" s="41"/>
    </row>
    <row r="44" spans="1:89">
      <c r="A44" s="48" t="s">
        <v>173</v>
      </c>
      <c r="B44" s="49">
        <v>1.5</v>
      </c>
      <c r="C44" s="49">
        <v>1.5</v>
      </c>
      <c r="D44" s="49">
        <v>1.5</v>
      </c>
      <c r="E44" s="49" t="s">
        <v>1574</v>
      </c>
      <c r="F44" s="49" t="s">
        <v>1574</v>
      </c>
      <c r="G44" s="49" t="s">
        <v>1574</v>
      </c>
      <c r="H44" s="49">
        <v>0.16</v>
      </c>
      <c r="I44" s="49">
        <v>0.39135113794999998</v>
      </c>
      <c r="J44" s="49" t="s">
        <v>1574</v>
      </c>
      <c r="K44" s="49" t="s">
        <v>1574</v>
      </c>
      <c r="L44" s="49">
        <v>0.49909999999999999</v>
      </c>
      <c r="M44" s="49">
        <v>0.82669999999999999</v>
      </c>
      <c r="N44" s="49">
        <v>0.65211160000000001</v>
      </c>
      <c r="O44" s="49">
        <v>0.95289999999999997</v>
      </c>
      <c r="P44" s="49">
        <v>0.81480079999999999</v>
      </c>
      <c r="Q44" s="49">
        <v>1.083601</v>
      </c>
      <c r="R44" s="49">
        <v>0.96039960000000002</v>
      </c>
      <c r="S44" s="49">
        <v>278.89999999999998</v>
      </c>
      <c r="T44" s="49" t="s">
        <v>1574</v>
      </c>
      <c r="U44" s="49" t="s">
        <v>1574</v>
      </c>
      <c r="V44" s="49">
        <v>261.25</v>
      </c>
      <c r="W44" s="49">
        <v>217.71</v>
      </c>
      <c r="X44" s="49" t="s">
        <v>1574</v>
      </c>
      <c r="Y44" s="49">
        <v>107.47</v>
      </c>
      <c r="Z44" s="49">
        <v>223</v>
      </c>
      <c r="AA44" s="49">
        <v>92.3</v>
      </c>
      <c r="AB44" s="49" t="s">
        <v>1574</v>
      </c>
      <c r="AC44" s="49" t="s">
        <v>1574</v>
      </c>
      <c r="AD44" s="49">
        <v>24.08490904168</v>
      </c>
      <c r="AE44" s="49">
        <v>52.75</v>
      </c>
      <c r="AF44" s="49">
        <v>46.52</v>
      </c>
      <c r="AG44" s="49">
        <v>121.77</v>
      </c>
      <c r="AH44" s="49" t="s">
        <v>1574</v>
      </c>
      <c r="AI44" s="49" t="s">
        <v>1574</v>
      </c>
      <c r="AJ44" s="49" t="s">
        <v>1574</v>
      </c>
      <c r="AK44" s="49" t="s">
        <v>1574</v>
      </c>
      <c r="AL44" s="49">
        <v>67.239999999999995</v>
      </c>
      <c r="AM44" s="49" t="s">
        <v>1574</v>
      </c>
      <c r="AN44" s="49">
        <v>0.13100000000000001</v>
      </c>
      <c r="AO44" s="49">
        <v>8.0100000000000005E-2</v>
      </c>
      <c r="AP44" s="49">
        <v>0.57099999999999995</v>
      </c>
      <c r="AQ44" s="49">
        <v>0.32366461983</v>
      </c>
      <c r="AR44" s="49" t="s">
        <v>1574</v>
      </c>
      <c r="AS44" s="49">
        <v>2.2928047999999999</v>
      </c>
      <c r="AT44" s="49">
        <v>0.12676565000000001</v>
      </c>
      <c r="AU44" s="49">
        <v>0.13448182</v>
      </c>
      <c r="AV44" s="49">
        <v>0.1157</v>
      </c>
      <c r="AW44" s="49">
        <v>1343.61</v>
      </c>
      <c r="AX44" s="49" t="s">
        <v>1574</v>
      </c>
      <c r="AY44" s="49">
        <v>36.67</v>
      </c>
      <c r="AZ44" s="49" t="s">
        <v>1574</v>
      </c>
      <c r="BA44" s="49">
        <v>160.72484756487</v>
      </c>
      <c r="BB44" s="49" t="s">
        <v>1574</v>
      </c>
      <c r="BC44" s="49">
        <v>0.65810000000000002</v>
      </c>
      <c r="BD44" s="49" t="s">
        <v>1574</v>
      </c>
      <c r="BE44" s="49">
        <v>0.57320000000000004</v>
      </c>
      <c r="BF44" s="49">
        <v>11.5</v>
      </c>
      <c r="BG44" s="49" t="s">
        <v>1599</v>
      </c>
      <c r="BH44" s="49">
        <v>52</v>
      </c>
      <c r="BI44" s="49">
        <v>42.25</v>
      </c>
      <c r="BJ44" s="49">
        <v>30</v>
      </c>
      <c r="BK44" s="49">
        <v>496.03948974609</v>
      </c>
      <c r="BL44" s="49">
        <v>11.02</v>
      </c>
      <c r="BM44" s="49">
        <v>645.51</v>
      </c>
      <c r="BN44" s="49">
        <v>149.4</v>
      </c>
      <c r="BO44" s="49">
        <v>2350.1</v>
      </c>
      <c r="BP44" s="49">
        <v>1741</v>
      </c>
      <c r="BQ44" s="49">
        <v>186.3</v>
      </c>
      <c r="BR44" s="49">
        <v>35.090000000000003</v>
      </c>
      <c r="BS44" s="49">
        <v>83.5</v>
      </c>
      <c r="BT44" s="49">
        <v>1.2438</v>
      </c>
      <c r="BU44" s="41"/>
      <c r="BV44" s="41"/>
      <c r="BW44" s="41"/>
      <c r="BX44" s="41"/>
      <c r="BY44" s="41"/>
      <c r="BZ44" s="41"/>
      <c r="CA44" s="41"/>
      <c r="CB44" s="41"/>
      <c r="CC44" s="41"/>
      <c r="CD44" s="41"/>
      <c r="CE44" s="41"/>
      <c r="CF44" s="41"/>
      <c r="CG44" s="41"/>
      <c r="CH44" s="41"/>
      <c r="CI44" s="41"/>
      <c r="CJ44" s="41"/>
      <c r="CK44" s="41"/>
    </row>
    <row r="45" spans="1:89">
      <c r="A45" s="41" t="s">
        <v>174</v>
      </c>
      <c r="B45" s="51">
        <v>1.5</v>
      </c>
      <c r="C45" s="51">
        <v>1.5</v>
      </c>
      <c r="D45" s="51">
        <v>1.5</v>
      </c>
      <c r="E45" s="51" t="s">
        <v>1574</v>
      </c>
      <c r="F45" s="51" t="s">
        <v>1574</v>
      </c>
      <c r="G45" s="51" t="s">
        <v>1574</v>
      </c>
      <c r="H45" s="51">
        <v>0.16</v>
      </c>
      <c r="I45" s="51">
        <v>0.39135113794999998</v>
      </c>
      <c r="J45" s="51" t="s">
        <v>1574</v>
      </c>
      <c r="K45" s="51" t="s">
        <v>1574</v>
      </c>
      <c r="L45" s="51">
        <v>0.54390000000000005</v>
      </c>
      <c r="M45" s="51">
        <v>0.80310000000000004</v>
      </c>
      <c r="N45" s="51">
        <v>0.61375210000000002</v>
      </c>
      <c r="O45" s="51">
        <v>0.95289999999999997</v>
      </c>
      <c r="P45" s="51">
        <v>0.81480079999999999</v>
      </c>
      <c r="Q45" s="51">
        <v>1.083601</v>
      </c>
      <c r="R45" s="51">
        <v>0.96039960000000002</v>
      </c>
      <c r="S45" s="51">
        <v>272.5</v>
      </c>
      <c r="T45" s="51" t="s">
        <v>1574</v>
      </c>
      <c r="U45" s="51" t="s">
        <v>1574</v>
      </c>
      <c r="V45" s="51">
        <v>264.83</v>
      </c>
      <c r="W45" s="51">
        <v>217.71</v>
      </c>
      <c r="X45" s="51" t="s">
        <v>1574</v>
      </c>
      <c r="Y45" s="51">
        <v>109.96</v>
      </c>
      <c r="Z45" s="51">
        <v>231</v>
      </c>
      <c r="AA45" s="51">
        <v>92.3</v>
      </c>
      <c r="AB45" s="51" t="s">
        <v>1574</v>
      </c>
      <c r="AC45" s="51" t="s">
        <v>1574</v>
      </c>
      <c r="AD45" s="51">
        <v>24.368774699269999</v>
      </c>
      <c r="AE45" s="51">
        <v>53.15</v>
      </c>
      <c r="AF45" s="51">
        <v>47.18</v>
      </c>
      <c r="AG45" s="51">
        <v>123.35</v>
      </c>
      <c r="AH45" s="51" t="s">
        <v>1574</v>
      </c>
      <c r="AI45" s="51" t="s">
        <v>1574</v>
      </c>
      <c r="AJ45" s="51" t="s">
        <v>1574</v>
      </c>
      <c r="AK45" s="51" t="s">
        <v>1574</v>
      </c>
      <c r="AL45" s="51">
        <v>68.34</v>
      </c>
      <c r="AM45" s="51" t="s">
        <v>1574</v>
      </c>
      <c r="AN45" s="51">
        <v>0.13100000000000001</v>
      </c>
      <c r="AO45" s="51">
        <v>8.0600000000000005E-2</v>
      </c>
      <c r="AP45" s="51">
        <v>0.55559999999999998</v>
      </c>
      <c r="AQ45" s="51">
        <v>0.32448775452</v>
      </c>
      <c r="AR45" s="51" t="s">
        <v>1574</v>
      </c>
      <c r="AS45" s="51">
        <v>2.2928047999999999</v>
      </c>
      <c r="AT45" s="51">
        <v>0.12676565000000001</v>
      </c>
      <c r="AU45" s="51">
        <v>0.13668643999999999</v>
      </c>
      <c r="AV45" s="51">
        <v>0.1305</v>
      </c>
      <c r="AW45" s="51">
        <v>1343.61</v>
      </c>
      <c r="AX45" s="51" t="s">
        <v>1574</v>
      </c>
      <c r="AY45" s="51">
        <v>36.67</v>
      </c>
      <c r="AZ45" s="51" t="s">
        <v>1574</v>
      </c>
      <c r="BA45" s="51">
        <v>160.72484756487</v>
      </c>
      <c r="BB45" s="51" t="s">
        <v>1574</v>
      </c>
      <c r="BC45" s="51">
        <v>0.65459999999999996</v>
      </c>
      <c r="BD45" s="51" t="s">
        <v>1574</v>
      </c>
      <c r="BE45" s="51">
        <v>0.56440000000000001</v>
      </c>
      <c r="BF45" s="51">
        <v>11.5</v>
      </c>
      <c r="BG45" s="51" t="s">
        <v>1599</v>
      </c>
      <c r="BH45" s="51">
        <v>52</v>
      </c>
      <c r="BI45" s="51">
        <v>42.25</v>
      </c>
      <c r="BJ45" s="51">
        <v>30</v>
      </c>
      <c r="BK45" s="51">
        <v>496.03948974609</v>
      </c>
      <c r="BL45" s="51">
        <v>11.02</v>
      </c>
      <c r="BM45" s="51">
        <v>645.51</v>
      </c>
      <c r="BN45" s="51">
        <v>150.6</v>
      </c>
      <c r="BO45" s="51">
        <v>2350.1</v>
      </c>
      <c r="BP45" s="51">
        <v>1742</v>
      </c>
      <c r="BQ45" s="51">
        <v>191.6</v>
      </c>
      <c r="BR45" s="51">
        <v>35.090000000000003</v>
      </c>
      <c r="BS45" s="51">
        <v>83.5</v>
      </c>
      <c r="BT45" s="51">
        <v>1.2564</v>
      </c>
      <c r="BU45" s="41"/>
      <c r="BV45" s="41"/>
      <c r="BW45" s="41"/>
      <c r="BX45" s="41"/>
      <c r="BY45" s="41"/>
      <c r="BZ45" s="41"/>
      <c r="CA45" s="41"/>
      <c r="CB45" s="41"/>
      <c r="CC45" s="41"/>
      <c r="CD45" s="41"/>
      <c r="CE45" s="41"/>
      <c r="CF45" s="41"/>
      <c r="CG45" s="41"/>
      <c r="CH45" s="41"/>
      <c r="CI45" s="41"/>
      <c r="CJ45" s="41"/>
      <c r="CK45" s="41"/>
    </row>
    <row r="46" spans="1:89">
      <c r="A46" s="48" t="s">
        <v>175</v>
      </c>
      <c r="B46" s="49">
        <v>1.5</v>
      </c>
      <c r="C46" s="49">
        <v>1.5</v>
      </c>
      <c r="D46" s="49">
        <v>1.5</v>
      </c>
      <c r="E46" s="49" t="s">
        <v>1574</v>
      </c>
      <c r="F46" s="49" t="s">
        <v>1574</v>
      </c>
      <c r="G46" s="49" t="s">
        <v>1574</v>
      </c>
      <c r="H46" s="49">
        <v>0.16</v>
      </c>
      <c r="I46" s="49">
        <v>0.39135113794999998</v>
      </c>
      <c r="J46" s="49" t="s">
        <v>1574</v>
      </c>
      <c r="K46" s="49" t="s">
        <v>1574</v>
      </c>
      <c r="L46" s="49">
        <v>0.53180000000000005</v>
      </c>
      <c r="M46" s="49">
        <v>0.81089999999999995</v>
      </c>
      <c r="N46" s="49">
        <v>0.61573619999999996</v>
      </c>
      <c r="O46" s="49">
        <v>0.95289999999999997</v>
      </c>
      <c r="P46" s="49">
        <v>0.81480079999999999</v>
      </c>
      <c r="Q46" s="49">
        <v>1.083601</v>
      </c>
      <c r="R46" s="49">
        <v>0.96039960000000002</v>
      </c>
      <c r="S46" s="49">
        <v>272.5</v>
      </c>
      <c r="T46" s="49" t="s">
        <v>1574</v>
      </c>
      <c r="U46" s="49" t="s">
        <v>1574</v>
      </c>
      <c r="V46" s="49">
        <v>264.27999999999997</v>
      </c>
      <c r="W46" s="49">
        <v>217.71</v>
      </c>
      <c r="X46" s="49" t="s">
        <v>1574</v>
      </c>
      <c r="Y46" s="49">
        <v>109.13</v>
      </c>
      <c r="Z46" s="49">
        <v>229</v>
      </c>
      <c r="AA46" s="49">
        <v>90.1</v>
      </c>
      <c r="AB46" s="49" t="s">
        <v>1574</v>
      </c>
      <c r="AC46" s="49" t="s">
        <v>1574</v>
      </c>
      <c r="AD46" s="49">
        <v>24.463360895099999</v>
      </c>
      <c r="AE46" s="49">
        <v>52.36</v>
      </c>
      <c r="AF46" s="49">
        <v>47.18</v>
      </c>
      <c r="AG46" s="49">
        <v>123.28</v>
      </c>
      <c r="AH46" s="49" t="s">
        <v>1574</v>
      </c>
      <c r="AI46" s="49" t="s">
        <v>1574</v>
      </c>
      <c r="AJ46" s="49" t="s">
        <v>1574</v>
      </c>
      <c r="AK46" s="49" t="s">
        <v>1574</v>
      </c>
      <c r="AL46" s="49">
        <v>69.45</v>
      </c>
      <c r="AM46" s="49" t="s">
        <v>1574</v>
      </c>
      <c r="AN46" s="49">
        <v>0.13100000000000001</v>
      </c>
      <c r="AO46" s="49">
        <v>8.4699999999999998E-2</v>
      </c>
      <c r="AP46" s="49">
        <v>0.56220000000000003</v>
      </c>
      <c r="AQ46" s="49">
        <v>0.32497767592999999</v>
      </c>
      <c r="AR46" s="49" t="s">
        <v>1574</v>
      </c>
      <c r="AS46" s="49">
        <v>2.2928047999999999</v>
      </c>
      <c r="AT46" s="49">
        <v>0.12676565000000001</v>
      </c>
      <c r="AU46" s="49">
        <v>0.14109568</v>
      </c>
      <c r="AV46" s="49">
        <v>0.1431</v>
      </c>
      <c r="AW46" s="49">
        <v>1343.61</v>
      </c>
      <c r="AX46" s="49" t="s">
        <v>1574</v>
      </c>
      <c r="AY46" s="49">
        <v>36.94</v>
      </c>
      <c r="AZ46" s="49" t="s">
        <v>1574</v>
      </c>
      <c r="BA46" s="49">
        <v>161.36281156287001</v>
      </c>
      <c r="BB46" s="49" t="s">
        <v>1574</v>
      </c>
      <c r="BC46" s="49">
        <v>0.64949999999999997</v>
      </c>
      <c r="BD46" s="49" t="s">
        <v>1574</v>
      </c>
      <c r="BE46" s="49">
        <v>0.54449999999999998</v>
      </c>
      <c r="BF46" s="49">
        <v>11.5</v>
      </c>
      <c r="BG46" s="49" t="s">
        <v>1599</v>
      </c>
      <c r="BH46" s="49">
        <v>52</v>
      </c>
      <c r="BI46" s="49">
        <v>42.25</v>
      </c>
      <c r="BJ46" s="49">
        <v>30</v>
      </c>
      <c r="BK46" s="49">
        <v>496.03948974609</v>
      </c>
      <c r="BL46" s="49">
        <v>11.02</v>
      </c>
      <c r="BM46" s="49">
        <v>645.51</v>
      </c>
      <c r="BN46" s="49">
        <v>153.69999999999999</v>
      </c>
      <c r="BO46" s="49">
        <v>2358.9</v>
      </c>
      <c r="BP46" s="49">
        <v>1742</v>
      </c>
      <c r="BQ46" s="49">
        <v>197.5</v>
      </c>
      <c r="BR46" s="49">
        <v>35.090000000000003</v>
      </c>
      <c r="BS46" s="49">
        <v>83.5</v>
      </c>
      <c r="BT46" s="49">
        <v>1.2714000000000001</v>
      </c>
      <c r="BU46" s="41"/>
      <c r="BV46" s="41"/>
      <c r="BW46" s="41"/>
      <c r="BX46" s="41"/>
      <c r="BY46" s="41"/>
      <c r="BZ46" s="41"/>
      <c r="CA46" s="41"/>
      <c r="CB46" s="41"/>
      <c r="CC46" s="41"/>
      <c r="CD46" s="41"/>
      <c r="CE46" s="41"/>
      <c r="CF46" s="41"/>
      <c r="CG46" s="41"/>
      <c r="CH46" s="41"/>
      <c r="CI46" s="41"/>
      <c r="CJ46" s="41"/>
      <c r="CK46" s="41"/>
    </row>
    <row r="47" spans="1:89">
      <c r="A47" s="41" t="s">
        <v>176</v>
      </c>
      <c r="B47" s="51">
        <v>1.5</v>
      </c>
      <c r="C47" s="51">
        <v>1.5</v>
      </c>
      <c r="D47" s="51">
        <v>1.5</v>
      </c>
      <c r="E47" s="51" t="s">
        <v>1574</v>
      </c>
      <c r="F47" s="51" t="s">
        <v>1574</v>
      </c>
      <c r="G47" s="51" t="s">
        <v>1574</v>
      </c>
      <c r="H47" s="51">
        <v>0.16</v>
      </c>
      <c r="I47" s="51">
        <v>0.39135113794999998</v>
      </c>
      <c r="J47" s="51" t="s">
        <v>1574</v>
      </c>
      <c r="K47" s="51" t="s">
        <v>1574</v>
      </c>
      <c r="L47" s="51">
        <v>0.56310000000000004</v>
      </c>
      <c r="M47" s="51">
        <v>0.80800000000000005</v>
      </c>
      <c r="N47" s="51">
        <v>0.61573619999999996</v>
      </c>
      <c r="O47" s="51">
        <v>0.95289999999999997</v>
      </c>
      <c r="P47" s="51">
        <v>0.81480079999999999</v>
      </c>
      <c r="Q47" s="51">
        <v>1.083601</v>
      </c>
      <c r="R47" s="51">
        <v>0.96039960000000002</v>
      </c>
      <c r="S47" s="51">
        <v>278.3</v>
      </c>
      <c r="T47" s="51" t="s">
        <v>1574</v>
      </c>
      <c r="U47" s="51" t="s">
        <v>1574</v>
      </c>
      <c r="V47" s="51">
        <v>261.52</v>
      </c>
      <c r="W47" s="51">
        <v>217.71</v>
      </c>
      <c r="X47" s="51" t="s">
        <v>1574</v>
      </c>
      <c r="Y47" s="51">
        <v>107.2</v>
      </c>
      <c r="Z47" s="51">
        <v>229</v>
      </c>
      <c r="AA47" s="51">
        <v>86.8</v>
      </c>
      <c r="AB47" s="51" t="s">
        <v>1574</v>
      </c>
      <c r="AC47" s="51" t="s">
        <v>1574</v>
      </c>
      <c r="AD47" s="51">
        <v>24.676750106379998</v>
      </c>
      <c r="AE47" s="51">
        <v>51.97</v>
      </c>
      <c r="AF47" s="51">
        <v>46.3</v>
      </c>
      <c r="AG47" s="51">
        <v>122.38</v>
      </c>
      <c r="AH47" s="51" t="s">
        <v>1574</v>
      </c>
      <c r="AI47" s="51" t="s">
        <v>1574</v>
      </c>
      <c r="AJ47" s="51" t="s">
        <v>1574</v>
      </c>
      <c r="AK47" s="51" t="s">
        <v>1574</v>
      </c>
      <c r="AL47" s="51">
        <v>70.92</v>
      </c>
      <c r="AM47" s="51" t="s">
        <v>1574</v>
      </c>
      <c r="AN47" s="51">
        <v>0.13100000000000001</v>
      </c>
      <c r="AO47" s="51">
        <v>9.69E-2</v>
      </c>
      <c r="AP47" s="51">
        <v>0.65039999999999998</v>
      </c>
      <c r="AQ47" s="51">
        <v>0.32528488073</v>
      </c>
      <c r="AR47" s="51" t="s">
        <v>1574</v>
      </c>
      <c r="AS47" s="51">
        <v>2.2928047999999999</v>
      </c>
      <c r="AT47" s="51">
        <v>0.12676565000000001</v>
      </c>
      <c r="AU47" s="51">
        <v>0.16314187999999999</v>
      </c>
      <c r="AV47" s="51">
        <v>0.16470000000000001</v>
      </c>
      <c r="AW47" s="51">
        <v>1343.61</v>
      </c>
      <c r="AX47" s="51" t="s">
        <v>1574</v>
      </c>
      <c r="AY47" s="51">
        <v>36.94</v>
      </c>
      <c r="AZ47" s="51" t="s">
        <v>1574</v>
      </c>
      <c r="BA47" s="51">
        <v>161.36281156287001</v>
      </c>
      <c r="BB47" s="51" t="s">
        <v>1574</v>
      </c>
      <c r="BC47" s="51">
        <v>0.64219999999999999</v>
      </c>
      <c r="BD47" s="51" t="s">
        <v>1574</v>
      </c>
      <c r="BE47" s="51">
        <v>0.54900000000000004</v>
      </c>
      <c r="BF47" s="51">
        <v>11.5</v>
      </c>
      <c r="BG47" s="51" t="s">
        <v>1599</v>
      </c>
      <c r="BH47" s="51">
        <v>52</v>
      </c>
      <c r="BI47" s="51">
        <v>42.25</v>
      </c>
      <c r="BJ47" s="51">
        <v>30</v>
      </c>
      <c r="BK47" s="51">
        <v>496.03948974609</v>
      </c>
      <c r="BL47" s="51">
        <v>11.02</v>
      </c>
      <c r="BM47" s="51">
        <v>645.73</v>
      </c>
      <c r="BN47" s="51">
        <v>159.4</v>
      </c>
      <c r="BO47" s="51">
        <v>2427.3000000000002</v>
      </c>
      <c r="BP47" s="51">
        <v>1741</v>
      </c>
      <c r="BQ47" s="51">
        <v>204.4</v>
      </c>
      <c r="BR47" s="51">
        <v>35.090000000000003</v>
      </c>
      <c r="BS47" s="51">
        <v>78.5</v>
      </c>
      <c r="BT47" s="51">
        <v>1.2728999999999999</v>
      </c>
      <c r="BU47" s="41"/>
      <c r="BV47" s="41"/>
      <c r="BW47" s="41"/>
      <c r="BX47" s="41"/>
      <c r="BY47" s="41"/>
      <c r="BZ47" s="41"/>
      <c r="CA47" s="41"/>
      <c r="CB47" s="41"/>
      <c r="CC47" s="41"/>
      <c r="CD47" s="41"/>
      <c r="CE47" s="41"/>
      <c r="CF47" s="41"/>
      <c r="CG47" s="41"/>
      <c r="CH47" s="41"/>
      <c r="CI47" s="41"/>
      <c r="CJ47" s="41"/>
      <c r="CK47" s="41"/>
    </row>
    <row r="48" spans="1:89">
      <c r="A48" s="48" t="s">
        <v>177</v>
      </c>
      <c r="B48" s="49">
        <v>1.5</v>
      </c>
      <c r="C48" s="49">
        <v>1.5</v>
      </c>
      <c r="D48" s="49">
        <v>1.5</v>
      </c>
      <c r="E48" s="49" t="s">
        <v>1574</v>
      </c>
      <c r="F48" s="49" t="s">
        <v>1574</v>
      </c>
      <c r="G48" s="49" t="s">
        <v>1574</v>
      </c>
      <c r="H48" s="49">
        <v>0.16</v>
      </c>
      <c r="I48" s="49">
        <v>0.39135113794999998</v>
      </c>
      <c r="J48" s="49" t="s">
        <v>1574</v>
      </c>
      <c r="K48" s="49" t="s">
        <v>1574</v>
      </c>
      <c r="L48" s="49">
        <v>0.60760000000000003</v>
      </c>
      <c r="M48" s="49">
        <v>0.79700000000000004</v>
      </c>
      <c r="N48" s="49">
        <v>0.61176790000000003</v>
      </c>
      <c r="O48" s="49">
        <v>0.95289999999999997</v>
      </c>
      <c r="P48" s="49">
        <v>0.81480079999999999</v>
      </c>
      <c r="Q48" s="49">
        <v>1.083601</v>
      </c>
      <c r="R48" s="49">
        <v>0.96039960000000002</v>
      </c>
      <c r="S48" s="49">
        <v>279.7</v>
      </c>
      <c r="T48" s="49" t="s">
        <v>1574</v>
      </c>
      <c r="U48" s="49" t="s">
        <v>1574</v>
      </c>
      <c r="V48" s="49">
        <v>268.69</v>
      </c>
      <c r="W48" s="49">
        <v>217.71</v>
      </c>
      <c r="X48" s="49" t="s">
        <v>1574</v>
      </c>
      <c r="Y48" s="49">
        <v>109.13</v>
      </c>
      <c r="Z48" s="49">
        <v>231</v>
      </c>
      <c r="AA48" s="49">
        <v>86.8</v>
      </c>
      <c r="AB48" s="49" t="s">
        <v>1574</v>
      </c>
      <c r="AC48" s="49" t="s">
        <v>1574</v>
      </c>
      <c r="AD48" s="49">
        <v>24.244075698789999</v>
      </c>
      <c r="AE48" s="49">
        <v>52.36</v>
      </c>
      <c r="AF48" s="49">
        <v>46.52</v>
      </c>
      <c r="AG48" s="49">
        <v>123.17</v>
      </c>
      <c r="AH48" s="49" t="s">
        <v>1574</v>
      </c>
      <c r="AI48" s="49" t="s">
        <v>1574</v>
      </c>
      <c r="AJ48" s="49" t="s">
        <v>1574</v>
      </c>
      <c r="AK48" s="49" t="s">
        <v>1574</v>
      </c>
      <c r="AL48" s="49">
        <v>67.61</v>
      </c>
      <c r="AM48" s="49" t="s">
        <v>1574</v>
      </c>
      <c r="AN48" s="49">
        <v>0.13100000000000001</v>
      </c>
      <c r="AO48" s="49">
        <v>0.1143</v>
      </c>
      <c r="AP48" s="49">
        <v>0.69</v>
      </c>
      <c r="AQ48" s="49">
        <v>0.32611213603</v>
      </c>
      <c r="AR48" s="49" t="s">
        <v>1574</v>
      </c>
      <c r="AS48" s="49">
        <v>2.2266661999999999</v>
      </c>
      <c r="AT48" s="49">
        <v>0.12676565000000001</v>
      </c>
      <c r="AU48" s="49">
        <v>0.22487124</v>
      </c>
      <c r="AV48" s="49">
        <v>0.21909999999999999</v>
      </c>
      <c r="AW48" s="49">
        <v>1343.61</v>
      </c>
      <c r="AX48" s="49" t="s">
        <v>1574</v>
      </c>
      <c r="AY48" s="49">
        <v>37.78</v>
      </c>
      <c r="AZ48" s="49" t="s">
        <v>1574</v>
      </c>
      <c r="BA48" s="49">
        <v>163.33399554735999</v>
      </c>
      <c r="BB48" s="49" t="s">
        <v>1574</v>
      </c>
      <c r="BC48" s="49">
        <v>0.6391</v>
      </c>
      <c r="BD48" s="49" t="s">
        <v>1574</v>
      </c>
      <c r="BE48" s="49">
        <v>0.54010000000000002</v>
      </c>
      <c r="BF48" s="49">
        <v>11.5</v>
      </c>
      <c r="BG48" s="49" t="s">
        <v>1599</v>
      </c>
      <c r="BH48" s="49">
        <v>52</v>
      </c>
      <c r="BI48" s="49">
        <v>42.25</v>
      </c>
      <c r="BJ48" s="49">
        <v>30</v>
      </c>
      <c r="BK48" s="49">
        <v>496.03948974609</v>
      </c>
      <c r="BL48" s="49">
        <v>11.02</v>
      </c>
      <c r="BM48" s="49">
        <v>645.51</v>
      </c>
      <c r="BN48" s="49">
        <v>167.1</v>
      </c>
      <c r="BO48" s="49">
        <v>2495.6</v>
      </c>
      <c r="BP48" s="49">
        <v>1742</v>
      </c>
      <c r="BQ48" s="49">
        <v>209.4</v>
      </c>
      <c r="BR48" s="49">
        <v>35.090000000000003</v>
      </c>
      <c r="BS48" s="49">
        <v>78.5</v>
      </c>
      <c r="BT48" s="49">
        <v>1.2786999999999999</v>
      </c>
      <c r="BU48" s="41"/>
      <c r="BV48" s="41"/>
      <c r="BW48" s="41"/>
      <c r="BX48" s="41"/>
      <c r="BY48" s="41"/>
      <c r="BZ48" s="41"/>
      <c r="CA48" s="41"/>
      <c r="CB48" s="41"/>
      <c r="CC48" s="41"/>
      <c r="CD48" s="41"/>
      <c r="CE48" s="41"/>
      <c r="CF48" s="41"/>
      <c r="CG48" s="41"/>
      <c r="CH48" s="41"/>
      <c r="CI48" s="41"/>
      <c r="CJ48" s="41"/>
      <c r="CK48" s="41"/>
    </row>
    <row r="49" spans="1:89">
      <c r="A49" s="41" t="s">
        <v>178</v>
      </c>
      <c r="B49" s="51">
        <v>1.5</v>
      </c>
      <c r="C49" s="51">
        <v>1.5</v>
      </c>
      <c r="D49" s="51">
        <v>1.5</v>
      </c>
      <c r="E49" s="51" t="s">
        <v>1574</v>
      </c>
      <c r="F49" s="51" t="s">
        <v>1574</v>
      </c>
      <c r="G49" s="51" t="s">
        <v>1574</v>
      </c>
      <c r="H49" s="51">
        <v>0.16</v>
      </c>
      <c r="I49" s="51">
        <v>0.39135113794999998</v>
      </c>
      <c r="J49" s="51" t="s">
        <v>1574</v>
      </c>
      <c r="K49" s="51" t="s">
        <v>1574</v>
      </c>
      <c r="L49" s="51">
        <v>0.56220000000000003</v>
      </c>
      <c r="M49" s="51">
        <v>0.79920000000000002</v>
      </c>
      <c r="N49" s="51">
        <v>0.61176790000000003</v>
      </c>
      <c r="O49" s="51">
        <v>0.95289999999999997</v>
      </c>
      <c r="P49" s="51">
        <v>0.81480079999999999</v>
      </c>
      <c r="Q49" s="51">
        <v>1.083601</v>
      </c>
      <c r="R49" s="51">
        <v>0.96039960000000002</v>
      </c>
      <c r="S49" s="51">
        <v>282.5</v>
      </c>
      <c r="T49" s="51" t="s">
        <v>1574</v>
      </c>
      <c r="U49" s="51" t="s">
        <v>1574</v>
      </c>
      <c r="V49" s="51">
        <v>274.47000000000003</v>
      </c>
      <c r="W49" s="51">
        <v>219.91</v>
      </c>
      <c r="X49" s="51" t="s">
        <v>1574</v>
      </c>
      <c r="Y49" s="51">
        <v>108.3</v>
      </c>
      <c r="Z49" s="51">
        <v>231</v>
      </c>
      <c r="AA49" s="51">
        <v>90.1</v>
      </c>
      <c r="AB49" s="51" t="s">
        <v>1574</v>
      </c>
      <c r="AC49" s="51" t="s">
        <v>1574</v>
      </c>
      <c r="AD49" s="51">
        <v>23.173049503649999</v>
      </c>
      <c r="AE49" s="51">
        <v>55.51</v>
      </c>
      <c r="AF49" s="51">
        <v>48.28</v>
      </c>
      <c r="AG49" s="51">
        <v>128.13</v>
      </c>
      <c r="AH49" s="51" t="s">
        <v>1574</v>
      </c>
      <c r="AI49" s="51" t="s">
        <v>1574</v>
      </c>
      <c r="AJ49" s="51" t="s">
        <v>1574</v>
      </c>
      <c r="AK49" s="51" t="s">
        <v>1574</v>
      </c>
      <c r="AL49" s="51">
        <v>58.42</v>
      </c>
      <c r="AM49" s="51" t="s">
        <v>1574</v>
      </c>
      <c r="AN49" s="51">
        <v>0.13100000000000001</v>
      </c>
      <c r="AO49" s="51">
        <v>0.12039999999999999</v>
      </c>
      <c r="AP49" s="51">
        <v>0.69</v>
      </c>
      <c r="AQ49" s="51">
        <v>0.32746340893999998</v>
      </c>
      <c r="AR49" s="51" t="s">
        <v>1574</v>
      </c>
      <c r="AS49" s="51">
        <v>2.2046199999999998</v>
      </c>
      <c r="AT49" s="51">
        <v>0.12676565000000001</v>
      </c>
      <c r="AU49" s="51">
        <v>0.17857422000000001</v>
      </c>
      <c r="AV49" s="51">
        <v>0.21540000000000001</v>
      </c>
      <c r="AW49" s="51">
        <v>1343.61</v>
      </c>
      <c r="AX49" s="51" t="s">
        <v>1574</v>
      </c>
      <c r="AY49" s="51">
        <v>37.5</v>
      </c>
      <c r="AZ49" s="51" t="s">
        <v>1574</v>
      </c>
      <c r="BA49" s="51">
        <v>162.67919539459999</v>
      </c>
      <c r="BB49" s="51" t="s">
        <v>1574</v>
      </c>
      <c r="BC49" s="51">
        <v>0.63890000000000002</v>
      </c>
      <c r="BD49" s="51" t="s">
        <v>1574</v>
      </c>
      <c r="BE49" s="51">
        <v>0.53129999999999999</v>
      </c>
      <c r="BF49" s="51">
        <v>11.5</v>
      </c>
      <c r="BG49" s="51" t="s">
        <v>1599</v>
      </c>
      <c r="BH49" s="51">
        <v>52</v>
      </c>
      <c r="BI49" s="51">
        <v>42.25</v>
      </c>
      <c r="BJ49" s="51">
        <v>30</v>
      </c>
      <c r="BK49" s="51">
        <v>496.03948974609</v>
      </c>
      <c r="BL49" s="51">
        <v>11.02</v>
      </c>
      <c r="BM49" s="51">
        <v>645.73</v>
      </c>
      <c r="BN49" s="51">
        <v>179</v>
      </c>
      <c r="BO49" s="51">
        <v>2500</v>
      </c>
      <c r="BP49" s="51">
        <v>1742</v>
      </c>
      <c r="BQ49" s="51">
        <v>209.2</v>
      </c>
      <c r="BR49" s="51">
        <v>35.090000000000003</v>
      </c>
      <c r="BS49" s="51">
        <v>78.5</v>
      </c>
      <c r="BT49" s="51">
        <v>1.2767999999999999</v>
      </c>
      <c r="BU49" s="41"/>
      <c r="BV49" s="41"/>
      <c r="BW49" s="41"/>
      <c r="BX49" s="41"/>
      <c r="BY49" s="41"/>
      <c r="BZ49" s="41"/>
      <c r="CA49" s="41"/>
      <c r="CB49" s="41"/>
      <c r="CC49" s="41"/>
      <c r="CD49" s="41"/>
      <c r="CE49" s="41"/>
      <c r="CF49" s="41"/>
      <c r="CG49" s="41"/>
      <c r="CH49" s="41"/>
      <c r="CI49" s="41"/>
      <c r="CJ49" s="41"/>
      <c r="CK49" s="41"/>
    </row>
    <row r="50" spans="1:89">
      <c r="A50" s="48" t="s">
        <v>179</v>
      </c>
      <c r="B50" s="49">
        <v>1.5</v>
      </c>
      <c r="C50" s="49">
        <v>1.5</v>
      </c>
      <c r="D50" s="49">
        <v>1.5</v>
      </c>
      <c r="E50" s="49" t="s">
        <v>1574</v>
      </c>
      <c r="F50" s="49" t="s">
        <v>1574</v>
      </c>
      <c r="G50" s="49" t="s">
        <v>1574</v>
      </c>
      <c r="H50" s="49">
        <v>0.16</v>
      </c>
      <c r="I50" s="49">
        <v>0.39135113794999998</v>
      </c>
      <c r="J50" s="49" t="s">
        <v>1574</v>
      </c>
      <c r="K50" s="49" t="s">
        <v>1574</v>
      </c>
      <c r="L50" s="49">
        <v>0.52490000000000003</v>
      </c>
      <c r="M50" s="49">
        <v>0.80640000000000001</v>
      </c>
      <c r="N50" s="49">
        <v>0.61573619999999996</v>
      </c>
      <c r="O50" s="49">
        <v>0.95289999999999997</v>
      </c>
      <c r="P50" s="49">
        <v>0.81480079999999999</v>
      </c>
      <c r="Q50" s="49">
        <v>1.083601</v>
      </c>
      <c r="R50" s="49">
        <v>0.96039960000000002</v>
      </c>
      <c r="S50" s="49">
        <v>286.3</v>
      </c>
      <c r="T50" s="49" t="s">
        <v>1574</v>
      </c>
      <c r="U50" s="49" t="s">
        <v>1574</v>
      </c>
      <c r="V50" s="49">
        <v>274.47000000000003</v>
      </c>
      <c r="W50" s="49">
        <v>221.84</v>
      </c>
      <c r="X50" s="49" t="s">
        <v>1574</v>
      </c>
      <c r="Y50" s="49">
        <v>108.58</v>
      </c>
      <c r="Z50" s="49">
        <v>229</v>
      </c>
      <c r="AA50" s="49">
        <v>91</v>
      </c>
      <c r="AB50" s="49" t="s">
        <v>1574</v>
      </c>
      <c r="AC50" s="49" t="s">
        <v>1574</v>
      </c>
      <c r="AD50" s="49">
        <v>23.246436737829999</v>
      </c>
      <c r="AE50" s="49">
        <v>56.69</v>
      </c>
      <c r="AF50" s="49">
        <v>48.38</v>
      </c>
      <c r="AG50" s="49">
        <v>130.63</v>
      </c>
      <c r="AH50" s="49" t="s">
        <v>1574</v>
      </c>
      <c r="AI50" s="49" t="s">
        <v>1574</v>
      </c>
      <c r="AJ50" s="49" t="s">
        <v>1574</v>
      </c>
      <c r="AK50" s="49" t="s">
        <v>1574</v>
      </c>
      <c r="AL50" s="49">
        <v>57.69</v>
      </c>
      <c r="AM50" s="49" t="s">
        <v>1574</v>
      </c>
      <c r="AN50" s="49">
        <v>0.13100000000000001</v>
      </c>
      <c r="AO50" s="49">
        <v>9.4E-2</v>
      </c>
      <c r="AP50" s="49">
        <v>0.75619999999999998</v>
      </c>
      <c r="AQ50" s="49">
        <v>0.32843572303000002</v>
      </c>
      <c r="AR50" s="49" t="s">
        <v>1574</v>
      </c>
      <c r="AS50" s="49">
        <v>2.0282504000000001</v>
      </c>
      <c r="AT50" s="49">
        <v>0.12676565000000001</v>
      </c>
      <c r="AU50" s="49">
        <v>0.16314187999999999</v>
      </c>
      <c r="AV50" s="49">
        <v>0.19750000000000001</v>
      </c>
      <c r="AW50" s="49">
        <v>1343.61</v>
      </c>
      <c r="AX50" s="49" t="s">
        <v>1574</v>
      </c>
      <c r="AY50" s="49">
        <v>36.11</v>
      </c>
      <c r="AZ50" s="49" t="s">
        <v>1574</v>
      </c>
      <c r="BA50" s="49">
        <v>159.39473605820001</v>
      </c>
      <c r="BB50" s="49" t="s">
        <v>1574</v>
      </c>
      <c r="BC50" s="49">
        <v>0.63849999999999996</v>
      </c>
      <c r="BD50" s="49" t="s">
        <v>1574</v>
      </c>
      <c r="BE50" s="49">
        <v>0.52029999999999998</v>
      </c>
      <c r="BF50" s="49">
        <v>11.5</v>
      </c>
      <c r="BG50" s="49" t="s">
        <v>1599</v>
      </c>
      <c r="BH50" s="49">
        <v>52</v>
      </c>
      <c r="BI50" s="49">
        <v>42.25</v>
      </c>
      <c r="BJ50" s="49">
        <v>30</v>
      </c>
      <c r="BK50" s="49">
        <v>496.03948974609</v>
      </c>
      <c r="BL50" s="49">
        <v>11.02</v>
      </c>
      <c r="BM50" s="49">
        <v>645.51</v>
      </c>
      <c r="BN50" s="49">
        <v>179.5</v>
      </c>
      <c r="BO50" s="49">
        <v>2482.4</v>
      </c>
      <c r="BP50" s="49">
        <v>1741</v>
      </c>
      <c r="BQ50" s="49">
        <v>204.8</v>
      </c>
      <c r="BR50" s="49">
        <v>35.090000000000003</v>
      </c>
      <c r="BS50" s="49">
        <v>78.5</v>
      </c>
      <c r="BT50" s="49">
        <v>1.2899</v>
      </c>
      <c r="BU50" s="41"/>
      <c r="BV50" s="41"/>
      <c r="BW50" s="41"/>
      <c r="BX50" s="41"/>
      <c r="BY50" s="41"/>
      <c r="BZ50" s="41"/>
      <c r="CA50" s="41"/>
      <c r="CB50" s="41"/>
      <c r="CC50" s="41"/>
      <c r="CD50" s="41"/>
      <c r="CE50" s="41"/>
      <c r="CF50" s="41"/>
      <c r="CG50" s="41"/>
      <c r="CH50" s="41"/>
      <c r="CI50" s="41"/>
      <c r="CJ50" s="41"/>
      <c r="CK50" s="41"/>
    </row>
    <row r="51" spans="1:89">
      <c r="A51" s="41" t="s">
        <v>180</v>
      </c>
      <c r="B51" s="51">
        <v>1.5</v>
      </c>
      <c r="C51" s="51">
        <v>1.5</v>
      </c>
      <c r="D51" s="51">
        <v>1.5</v>
      </c>
      <c r="E51" s="51" t="s">
        <v>1574</v>
      </c>
      <c r="F51" s="51" t="s">
        <v>1574</v>
      </c>
      <c r="G51" s="51" t="s">
        <v>1574</v>
      </c>
      <c r="H51" s="51">
        <v>0.16</v>
      </c>
      <c r="I51" s="51">
        <v>0.39135113794999998</v>
      </c>
      <c r="J51" s="51" t="s">
        <v>1574</v>
      </c>
      <c r="K51" s="51" t="s">
        <v>1574</v>
      </c>
      <c r="L51" s="51">
        <v>0.52100000000000002</v>
      </c>
      <c r="M51" s="51">
        <v>0.80469999999999997</v>
      </c>
      <c r="N51" s="51">
        <v>0.61176790000000003</v>
      </c>
      <c r="O51" s="51">
        <v>0.95289999999999997</v>
      </c>
      <c r="P51" s="51">
        <v>0.81480079999999999</v>
      </c>
      <c r="Q51" s="51">
        <v>1.083601</v>
      </c>
      <c r="R51" s="51">
        <v>0.96039960000000002</v>
      </c>
      <c r="S51" s="51">
        <v>291.8</v>
      </c>
      <c r="T51" s="51" t="s">
        <v>1574</v>
      </c>
      <c r="U51" s="51" t="s">
        <v>1574</v>
      </c>
      <c r="V51" s="51">
        <v>264.55</v>
      </c>
      <c r="W51" s="51">
        <v>224.6</v>
      </c>
      <c r="X51" s="51" t="s">
        <v>1574</v>
      </c>
      <c r="Y51" s="51">
        <v>105.82</v>
      </c>
      <c r="Z51" s="51">
        <v>207</v>
      </c>
      <c r="AA51" s="51">
        <v>91</v>
      </c>
      <c r="AB51" s="51" t="s">
        <v>1574</v>
      </c>
      <c r="AC51" s="51" t="s">
        <v>1574</v>
      </c>
      <c r="AD51" s="51">
        <v>23.250049880550002</v>
      </c>
      <c r="AE51" s="51">
        <v>55.51</v>
      </c>
      <c r="AF51" s="51">
        <v>47.84</v>
      </c>
      <c r="AG51" s="51">
        <v>129.86000000000001</v>
      </c>
      <c r="AH51" s="51" t="s">
        <v>1574</v>
      </c>
      <c r="AI51" s="51" t="s">
        <v>1574</v>
      </c>
      <c r="AJ51" s="51" t="s">
        <v>1574</v>
      </c>
      <c r="AK51" s="51" t="s">
        <v>1574</v>
      </c>
      <c r="AL51" s="51">
        <v>58.42</v>
      </c>
      <c r="AM51" s="51" t="s">
        <v>1574</v>
      </c>
      <c r="AN51" s="51">
        <v>0.16800000000000001</v>
      </c>
      <c r="AO51" s="51">
        <v>9.4E-2</v>
      </c>
      <c r="AP51" s="51">
        <v>0.83330000000000004</v>
      </c>
      <c r="AQ51" s="51">
        <v>0.32927099146</v>
      </c>
      <c r="AR51" s="51" t="s">
        <v>1574</v>
      </c>
      <c r="AS51" s="51">
        <v>1.7196035999999999</v>
      </c>
      <c r="AT51" s="51">
        <v>0.12676565000000001</v>
      </c>
      <c r="AU51" s="51">
        <v>0.13227720000000001</v>
      </c>
      <c r="AV51" s="51">
        <v>0.14130000000000001</v>
      </c>
      <c r="AW51" s="51">
        <v>1343.61</v>
      </c>
      <c r="AX51" s="51" t="s">
        <v>1574</v>
      </c>
      <c r="AY51" s="51">
        <v>34.72</v>
      </c>
      <c r="AZ51" s="51" t="s">
        <v>1574</v>
      </c>
      <c r="BA51" s="51">
        <v>156.05158283118001</v>
      </c>
      <c r="BB51" s="51" t="s">
        <v>1574</v>
      </c>
      <c r="BC51" s="51">
        <v>0.64329999999999998</v>
      </c>
      <c r="BD51" s="51" t="s">
        <v>1574</v>
      </c>
      <c r="BE51" s="51">
        <v>0.49159999999999998</v>
      </c>
      <c r="BF51" s="51">
        <v>11.5</v>
      </c>
      <c r="BG51" s="51" t="s">
        <v>1599</v>
      </c>
      <c r="BH51" s="51">
        <v>52</v>
      </c>
      <c r="BI51" s="51">
        <v>42.25</v>
      </c>
      <c r="BJ51" s="51">
        <v>30</v>
      </c>
      <c r="BK51" s="51">
        <v>496.03948974609</v>
      </c>
      <c r="BL51" s="51">
        <v>11.02</v>
      </c>
      <c r="BM51" s="51">
        <v>645.51</v>
      </c>
      <c r="BN51" s="51">
        <v>184.7</v>
      </c>
      <c r="BO51" s="51">
        <v>2495.6</v>
      </c>
      <c r="BP51" s="51">
        <v>1742</v>
      </c>
      <c r="BQ51" s="51">
        <v>210.3</v>
      </c>
      <c r="BR51" s="51">
        <v>35.090000000000003</v>
      </c>
      <c r="BS51" s="51">
        <v>78.95</v>
      </c>
      <c r="BT51" s="51">
        <v>1.2878000000000001</v>
      </c>
      <c r="BU51" s="41"/>
      <c r="BV51" s="41"/>
      <c r="BW51" s="41"/>
      <c r="BX51" s="41"/>
      <c r="BY51" s="41"/>
      <c r="BZ51" s="41"/>
      <c r="CA51" s="41"/>
      <c r="CB51" s="41"/>
      <c r="CC51" s="41"/>
      <c r="CD51" s="41"/>
      <c r="CE51" s="41"/>
      <c r="CF51" s="41"/>
      <c r="CG51" s="41"/>
      <c r="CH51" s="41"/>
      <c r="CI51" s="41"/>
      <c r="CJ51" s="41"/>
      <c r="CK51" s="41"/>
    </row>
    <row r="52" spans="1:89">
      <c r="A52" s="48" t="s">
        <v>181</v>
      </c>
      <c r="B52" s="49">
        <v>1.5</v>
      </c>
      <c r="C52" s="49">
        <v>1.5</v>
      </c>
      <c r="D52" s="49">
        <v>1.5</v>
      </c>
      <c r="E52" s="49" t="s">
        <v>1574</v>
      </c>
      <c r="F52" s="49" t="s">
        <v>1574</v>
      </c>
      <c r="G52" s="49" t="s">
        <v>1574</v>
      </c>
      <c r="H52" s="49">
        <v>0.16</v>
      </c>
      <c r="I52" s="49">
        <v>0.39135113794999998</v>
      </c>
      <c r="J52" s="49" t="s">
        <v>1574</v>
      </c>
      <c r="K52" s="49" t="s">
        <v>1574</v>
      </c>
      <c r="L52" s="49">
        <v>0.55089999999999995</v>
      </c>
      <c r="M52" s="49">
        <v>0.80200000000000005</v>
      </c>
      <c r="N52" s="49">
        <v>0.62389309999999998</v>
      </c>
      <c r="O52" s="49">
        <v>0.95289999999999997</v>
      </c>
      <c r="P52" s="49">
        <v>0.81480079999999999</v>
      </c>
      <c r="Q52" s="49">
        <v>1.083601</v>
      </c>
      <c r="R52" s="49">
        <v>0.96039960000000002</v>
      </c>
      <c r="S52" s="49">
        <v>297.60000000000002</v>
      </c>
      <c r="T52" s="49" t="s">
        <v>1574</v>
      </c>
      <c r="U52" s="49" t="s">
        <v>1574</v>
      </c>
      <c r="V52" s="49">
        <v>265.66000000000003</v>
      </c>
      <c r="W52" s="49">
        <v>224.6</v>
      </c>
      <c r="X52" s="49" t="s">
        <v>1574</v>
      </c>
      <c r="Y52" s="49">
        <v>108.58</v>
      </c>
      <c r="Z52" s="49">
        <v>204</v>
      </c>
      <c r="AA52" s="49">
        <v>91</v>
      </c>
      <c r="AB52" s="49" t="s">
        <v>1574</v>
      </c>
      <c r="AC52" s="49" t="s">
        <v>1574</v>
      </c>
      <c r="AD52" s="49">
        <v>23.7462806576</v>
      </c>
      <c r="AE52" s="49">
        <v>55.9</v>
      </c>
      <c r="AF52" s="49">
        <v>48.94</v>
      </c>
      <c r="AG52" s="49">
        <v>130.29</v>
      </c>
      <c r="AH52" s="49" t="s">
        <v>1574</v>
      </c>
      <c r="AI52" s="49" t="s">
        <v>1574</v>
      </c>
      <c r="AJ52" s="49" t="s">
        <v>1574</v>
      </c>
      <c r="AK52" s="49" t="s">
        <v>1574</v>
      </c>
      <c r="AL52" s="49">
        <v>60.63</v>
      </c>
      <c r="AM52" s="49" t="s">
        <v>1574</v>
      </c>
      <c r="AN52" s="49">
        <v>0.15609999999999999</v>
      </c>
      <c r="AO52" s="49">
        <v>9.4E-2</v>
      </c>
      <c r="AP52" s="49">
        <v>0.69669999999999999</v>
      </c>
      <c r="AQ52" s="49">
        <v>0.33010838411999999</v>
      </c>
      <c r="AR52" s="49" t="s">
        <v>1574</v>
      </c>
      <c r="AS52" s="49">
        <v>1.6755112000000001</v>
      </c>
      <c r="AT52" s="49">
        <v>0.12676565000000001</v>
      </c>
      <c r="AU52" s="49">
        <v>0.14991415999999999</v>
      </c>
      <c r="AV52" s="49">
        <v>0.16070000000000001</v>
      </c>
      <c r="AW52" s="49">
        <v>1343.61</v>
      </c>
      <c r="AX52" s="49" t="s">
        <v>1574</v>
      </c>
      <c r="AY52" s="49">
        <v>33.89</v>
      </c>
      <c r="AZ52" s="49" t="s">
        <v>1574</v>
      </c>
      <c r="BA52" s="49">
        <v>154.02590822862999</v>
      </c>
      <c r="BB52" s="49" t="s">
        <v>1574</v>
      </c>
      <c r="BC52" s="49">
        <v>0.64990000000000003</v>
      </c>
      <c r="BD52" s="49" t="s">
        <v>1574</v>
      </c>
      <c r="BE52" s="49">
        <v>0.48060000000000003</v>
      </c>
      <c r="BF52" s="49">
        <v>11.5</v>
      </c>
      <c r="BG52" s="49" t="s">
        <v>1599</v>
      </c>
      <c r="BH52" s="49">
        <v>52</v>
      </c>
      <c r="BI52" s="49">
        <v>42.25</v>
      </c>
      <c r="BJ52" s="49">
        <v>30</v>
      </c>
      <c r="BK52" s="49">
        <v>496.03948974609</v>
      </c>
      <c r="BL52" s="49">
        <v>11.02</v>
      </c>
      <c r="BM52" s="49">
        <v>645.51</v>
      </c>
      <c r="BN52" s="49">
        <v>187</v>
      </c>
      <c r="BO52" s="49">
        <v>2572.8000000000002</v>
      </c>
      <c r="BP52" s="49">
        <v>1742</v>
      </c>
      <c r="BQ52" s="49">
        <v>211.2</v>
      </c>
      <c r="BR52" s="49">
        <v>35.090000000000003</v>
      </c>
      <c r="BS52" s="49">
        <v>80.75</v>
      </c>
      <c r="BT52" s="49">
        <v>1.2926</v>
      </c>
      <c r="BU52" s="41"/>
      <c r="BV52" s="41"/>
      <c r="BW52" s="41"/>
      <c r="BX52" s="41"/>
      <c r="BY52" s="41"/>
      <c r="BZ52" s="41"/>
      <c r="CA52" s="41"/>
      <c r="CB52" s="41"/>
      <c r="CC52" s="41"/>
      <c r="CD52" s="41"/>
      <c r="CE52" s="41"/>
      <c r="CF52" s="41"/>
      <c r="CG52" s="41"/>
      <c r="CH52" s="41"/>
      <c r="CI52" s="41"/>
      <c r="CJ52" s="41"/>
      <c r="CK52" s="41"/>
    </row>
    <row r="53" spans="1:89">
      <c r="A53" s="41" t="s">
        <v>182</v>
      </c>
      <c r="B53" s="51">
        <v>1.5</v>
      </c>
      <c r="C53" s="51">
        <v>1.5</v>
      </c>
      <c r="D53" s="51">
        <v>1.5</v>
      </c>
      <c r="E53" s="51" t="s">
        <v>1574</v>
      </c>
      <c r="F53" s="51" t="s">
        <v>1574</v>
      </c>
      <c r="G53" s="51" t="s">
        <v>1574</v>
      </c>
      <c r="H53" s="51">
        <v>0.16</v>
      </c>
      <c r="I53" s="51">
        <v>0.39135113794999998</v>
      </c>
      <c r="J53" s="51" t="s">
        <v>1574</v>
      </c>
      <c r="K53" s="51" t="s">
        <v>1574</v>
      </c>
      <c r="L53" s="51">
        <v>0.58069999999999999</v>
      </c>
      <c r="M53" s="51">
        <v>0.80420000000000003</v>
      </c>
      <c r="N53" s="51">
        <v>0.62587720000000002</v>
      </c>
      <c r="O53" s="51">
        <v>0.95289999999999997</v>
      </c>
      <c r="P53" s="51">
        <v>0.81480079999999999</v>
      </c>
      <c r="Q53" s="51">
        <v>1.083601</v>
      </c>
      <c r="R53" s="51">
        <v>0.96039960000000002</v>
      </c>
      <c r="S53" s="51">
        <v>303.7</v>
      </c>
      <c r="T53" s="51" t="s">
        <v>1574</v>
      </c>
      <c r="U53" s="51" t="s">
        <v>1574</v>
      </c>
      <c r="V53" s="51">
        <v>275.58</v>
      </c>
      <c r="W53" s="51">
        <v>227.35</v>
      </c>
      <c r="X53" s="51" t="s">
        <v>1574</v>
      </c>
      <c r="Y53" s="51">
        <v>116.84</v>
      </c>
      <c r="Z53" s="51">
        <v>234</v>
      </c>
      <c r="AA53" s="51">
        <v>91</v>
      </c>
      <c r="AB53" s="51" t="s">
        <v>1574</v>
      </c>
      <c r="AC53" s="51" t="s">
        <v>1574</v>
      </c>
      <c r="AD53" s="51">
        <v>24.13976486436</v>
      </c>
      <c r="AE53" s="51">
        <v>53.15</v>
      </c>
      <c r="AF53" s="51">
        <v>48.98</v>
      </c>
      <c r="AG53" s="51">
        <v>128.72</v>
      </c>
      <c r="AH53" s="51" t="s">
        <v>1574</v>
      </c>
      <c r="AI53" s="51" t="s">
        <v>1574</v>
      </c>
      <c r="AJ53" s="51" t="s">
        <v>1574</v>
      </c>
      <c r="AK53" s="51" t="s">
        <v>1574</v>
      </c>
      <c r="AL53" s="51">
        <v>65.040000000000006</v>
      </c>
      <c r="AM53" s="51" t="s">
        <v>1574</v>
      </c>
      <c r="AN53" s="51">
        <v>0.1759</v>
      </c>
      <c r="AO53" s="51">
        <v>9.4E-2</v>
      </c>
      <c r="AP53" s="51">
        <v>0.66800000000000004</v>
      </c>
      <c r="AQ53" s="51">
        <v>0.33094790640999999</v>
      </c>
      <c r="AR53" s="51" t="s">
        <v>1574</v>
      </c>
      <c r="AS53" s="51">
        <v>1.5873264</v>
      </c>
      <c r="AT53" s="51">
        <v>0.12676565000000001</v>
      </c>
      <c r="AU53" s="51">
        <v>0.19400655999999999</v>
      </c>
      <c r="AV53" s="51">
        <v>0.23039999999999999</v>
      </c>
      <c r="AW53" s="51">
        <v>1343.61</v>
      </c>
      <c r="AX53" s="51" t="s">
        <v>1574</v>
      </c>
      <c r="AY53" s="51">
        <v>32.78</v>
      </c>
      <c r="AZ53" s="51" t="s">
        <v>1574</v>
      </c>
      <c r="BA53" s="51">
        <v>151.28085269523999</v>
      </c>
      <c r="BB53" s="51" t="s">
        <v>1574</v>
      </c>
      <c r="BC53" s="51">
        <v>0.64529999999999998</v>
      </c>
      <c r="BD53" s="51" t="s">
        <v>1574</v>
      </c>
      <c r="BE53" s="51">
        <v>0.496</v>
      </c>
      <c r="BF53" s="51">
        <v>11.5</v>
      </c>
      <c r="BG53" s="51" t="s">
        <v>1599</v>
      </c>
      <c r="BH53" s="51">
        <v>52</v>
      </c>
      <c r="BI53" s="51">
        <v>42.25</v>
      </c>
      <c r="BJ53" s="51">
        <v>30</v>
      </c>
      <c r="BK53" s="51">
        <v>507.06259155273</v>
      </c>
      <c r="BL53" s="51">
        <v>11.02</v>
      </c>
      <c r="BM53" s="51">
        <v>645.51</v>
      </c>
      <c r="BN53" s="51">
        <v>192</v>
      </c>
      <c r="BO53" s="51">
        <v>2590.4</v>
      </c>
      <c r="BP53" s="51">
        <v>1741</v>
      </c>
      <c r="BQ53" s="51">
        <v>220.9</v>
      </c>
      <c r="BR53" s="51">
        <v>35.090000000000003</v>
      </c>
      <c r="BS53" s="51">
        <v>80.5</v>
      </c>
      <c r="BT53" s="51">
        <v>1.2929999999999999</v>
      </c>
      <c r="BU53" s="41"/>
      <c r="BV53" s="41"/>
      <c r="BW53" s="41"/>
      <c r="BX53" s="41"/>
      <c r="BY53" s="41"/>
      <c r="BZ53" s="41"/>
      <c r="CA53" s="41"/>
      <c r="CB53" s="41"/>
      <c r="CC53" s="41"/>
      <c r="CD53" s="41"/>
      <c r="CE53" s="41"/>
      <c r="CF53" s="41"/>
      <c r="CG53" s="41"/>
      <c r="CH53" s="41"/>
      <c r="CI53" s="41"/>
      <c r="CJ53" s="41"/>
      <c r="CK53" s="41"/>
    </row>
    <row r="54" spans="1:89">
      <c r="A54" s="48" t="s">
        <v>183</v>
      </c>
      <c r="B54" s="49">
        <v>1.5</v>
      </c>
      <c r="C54" s="49">
        <v>1.5</v>
      </c>
      <c r="D54" s="49">
        <v>1.5</v>
      </c>
      <c r="E54" s="49" t="s">
        <v>1574</v>
      </c>
      <c r="F54" s="49" t="s">
        <v>1574</v>
      </c>
      <c r="G54" s="49" t="s">
        <v>1574</v>
      </c>
      <c r="H54" s="49">
        <v>0.16</v>
      </c>
      <c r="I54" s="49">
        <v>0.39135113794999998</v>
      </c>
      <c r="J54" s="49" t="s">
        <v>1574</v>
      </c>
      <c r="K54" s="49" t="s">
        <v>1574</v>
      </c>
      <c r="L54" s="49">
        <v>0.5706</v>
      </c>
      <c r="M54" s="49">
        <v>0.80689999999999995</v>
      </c>
      <c r="N54" s="49">
        <v>0.63182950000000004</v>
      </c>
      <c r="O54" s="49">
        <v>0.95289999999999997</v>
      </c>
      <c r="P54" s="49">
        <v>0.81480079999999999</v>
      </c>
      <c r="Q54" s="49">
        <v>1.083601</v>
      </c>
      <c r="R54" s="49">
        <v>0.96039960000000002</v>
      </c>
      <c r="S54" s="49">
        <v>303.39999999999998</v>
      </c>
      <c r="T54" s="49" t="s">
        <v>1574</v>
      </c>
      <c r="U54" s="49" t="s">
        <v>1574</v>
      </c>
      <c r="V54" s="49">
        <v>274.47000000000003</v>
      </c>
      <c r="W54" s="49">
        <v>230.11</v>
      </c>
      <c r="X54" s="49" t="s">
        <v>1574</v>
      </c>
      <c r="Y54" s="49">
        <v>116.02</v>
      </c>
      <c r="Z54" s="49">
        <v>223</v>
      </c>
      <c r="AA54" s="49">
        <v>91</v>
      </c>
      <c r="AB54" s="49" t="s">
        <v>1574</v>
      </c>
      <c r="AC54" s="49" t="s">
        <v>1574</v>
      </c>
      <c r="AD54" s="49">
        <v>24.05495380584</v>
      </c>
      <c r="AE54" s="49">
        <v>52.36</v>
      </c>
      <c r="AF54" s="49">
        <v>48.98</v>
      </c>
      <c r="AG54" s="49">
        <v>124.84</v>
      </c>
      <c r="AH54" s="49" t="s">
        <v>1574</v>
      </c>
      <c r="AI54" s="49" t="s">
        <v>1574</v>
      </c>
      <c r="AJ54" s="49" t="s">
        <v>1574</v>
      </c>
      <c r="AK54" s="49" t="s">
        <v>1574</v>
      </c>
      <c r="AL54" s="49">
        <v>65.040000000000006</v>
      </c>
      <c r="AM54" s="49" t="s">
        <v>1574</v>
      </c>
      <c r="AN54" s="49">
        <v>0.153</v>
      </c>
      <c r="AO54" s="49">
        <v>9.4E-2</v>
      </c>
      <c r="AP54" s="49">
        <v>0.63270000000000004</v>
      </c>
      <c r="AQ54" s="49">
        <v>0.33178956376000002</v>
      </c>
      <c r="AR54" s="49" t="s">
        <v>1574</v>
      </c>
      <c r="AS54" s="49">
        <v>1.653465</v>
      </c>
      <c r="AT54" s="49">
        <v>0.12676565000000001</v>
      </c>
      <c r="AU54" s="49">
        <v>0.19180194</v>
      </c>
      <c r="AV54" s="49">
        <v>0.25419999999999998</v>
      </c>
      <c r="AW54" s="49">
        <v>1343.61</v>
      </c>
      <c r="AX54" s="49" t="s">
        <v>1574</v>
      </c>
      <c r="AY54" s="49">
        <v>32.5</v>
      </c>
      <c r="AZ54" s="49" t="s">
        <v>1574</v>
      </c>
      <c r="BA54" s="49">
        <v>150.5816827559</v>
      </c>
      <c r="BB54" s="49" t="s">
        <v>1574</v>
      </c>
      <c r="BC54" s="49">
        <v>0.64349999999999996</v>
      </c>
      <c r="BD54" s="49" t="s">
        <v>1574</v>
      </c>
      <c r="BE54" s="49">
        <v>0.496</v>
      </c>
      <c r="BF54" s="49">
        <v>11.5</v>
      </c>
      <c r="BG54" s="49" t="s">
        <v>1599</v>
      </c>
      <c r="BH54" s="49">
        <v>52</v>
      </c>
      <c r="BI54" s="49">
        <v>42.25</v>
      </c>
      <c r="BJ54" s="49">
        <v>30</v>
      </c>
      <c r="BK54" s="49">
        <v>507.06259155273</v>
      </c>
      <c r="BL54" s="49">
        <v>11.02</v>
      </c>
      <c r="BM54" s="49">
        <v>645.73</v>
      </c>
      <c r="BN54" s="49">
        <v>190.5</v>
      </c>
      <c r="BO54" s="49">
        <v>2687.4</v>
      </c>
      <c r="BP54" s="49">
        <v>1742</v>
      </c>
      <c r="BQ54" s="49">
        <v>231.5</v>
      </c>
      <c r="BR54" s="49">
        <v>35.090000000000003</v>
      </c>
      <c r="BS54" s="49">
        <v>82.97</v>
      </c>
      <c r="BT54" s="49">
        <v>1.2929999999999999</v>
      </c>
      <c r="BU54" s="41"/>
      <c r="BV54" s="41"/>
      <c r="BW54" s="41"/>
      <c r="BX54" s="41"/>
      <c r="BY54" s="41"/>
      <c r="BZ54" s="41"/>
      <c r="CA54" s="41"/>
      <c r="CB54" s="41"/>
      <c r="CC54" s="41"/>
      <c r="CD54" s="41"/>
      <c r="CE54" s="41"/>
      <c r="CF54" s="41"/>
      <c r="CG54" s="41"/>
      <c r="CH54" s="41"/>
      <c r="CI54" s="41"/>
      <c r="CJ54" s="41"/>
      <c r="CK54" s="41"/>
    </row>
    <row r="55" spans="1:89">
      <c r="A55" s="41" t="s">
        <v>184</v>
      </c>
      <c r="B55" s="51">
        <v>1.5</v>
      </c>
      <c r="C55" s="51">
        <v>1.5</v>
      </c>
      <c r="D55" s="51">
        <v>1.5</v>
      </c>
      <c r="E55" s="51" t="s">
        <v>1574</v>
      </c>
      <c r="F55" s="51" t="s">
        <v>1574</v>
      </c>
      <c r="G55" s="51" t="s">
        <v>1574</v>
      </c>
      <c r="H55" s="51">
        <v>0.16</v>
      </c>
      <c r="I55" s="51">
        <v>0.39135113794999998</v>
      </c>
      <c r="J55" s="51" t="s">
        <v>1574</v>
      </c>
      <c r="K55" s="51" t="s">
        <v>1574</v>
      </c>
      <c r="L55" s="51">
        <v>0.57230000000000003</v>
      </c>
      <c r="M55" s="51">
        <v>0.79979999999999996</v>
      </c>
      <c r="N55" s="51">
        <v>0.65211160000000001</v>
      </c>
      <c r="O55" s="51">
        <v>0.95289999999999997</v>
      </c>
      <c r="P55" s="51">
        <v>0.81480079999999999</v>
      </c>
      <c r="Q55" s="51">
        <v>1.083601</v>
      </c>
      <c r="R55" s="51">
        <v>0.96039960000000002</v>
      </c>
      <c r="S55" s="51">
        <v>288.8</v>
      </c>
      <c r="T55" s="51" t="s">
        <v>1574</v>
      </c>
      <c r="U55" s="51" t="s">
        <v>1574</v>
      </c>
      <c r="V55" s="51">
        <v>272.27</v>
      </c>
      <c r="W55" s="51">
        <v>231.76</v>
      </c>
      <c r="X55" s="51" t="s">
        <v>1574</v>
      </c>
      <c r="Y55" s="51">
        <v>114.09</v>
      </c>
      <c r="Z55" s="51">
        <v>212</v>
      </c>
      <c r="AA55" s="51">
        <v>98.8</v>
      </c>
      <c r="AB55" s="51" t="s">
        <v>1574</v>
      </c>
      <c r="AC55" s="51" t="s">
        <v>1574</v>
      </c>
      <c r="AD55" s="51">
        <v>24.281283312949999</v>
      </c>
      <c r="AE55" s="51">
        <v>53.54</v>
      </c>
      <c r="AF55" s="51">
        <v>48.98</v>
      </c>
      <c r="AG55" s="51">
        <v>121.54</v>
      </c>
      <c r="AH55" s="51" t="s">
        <v>1574</v>
      </c>
      <c r="AI55" s="51" t="s">
        <v>1574</v>
      </c>
      <c r="AJ55" s="51" t="s">
        <v>1574</v>
      </c>
      <c r="AK55" s="51" t="s">
        <v>1574</v>
      </c>
      <c r="AL55" s="51">
        <v>65.040000000000006</v>
      </c>
      <c r="AM55" s="51" t="s">
        <v>1574</v>
      </c>
      <c r="AN55" s="51">
        <v>0.159</v>
      </c>
      <c r="AO55" s="51">
        <v>8.1100000000000005E-2</v>
      </c>
      <c r="AP55" s="51">
        <v>0.69</v>
      </c>
      <c r="AQ55" s="51">
        <v>0.33380479678000002</v>
      </c>
      <c r="AR55" s="51" t="s">
        <v>1574</v>
      </c>
      <c r="AS55" s="51">
        <v>1.6975574</v>
      </c>
      <c r="AT55" s="51">
        <v>0.12676565000000001</v>
      </c>
      <c r="AU55" s="51">
        <v>0.18077884</v>
      </c>
      <c r="AV55" s="51">
        <v>0.22620000000000001</v>
      </c>
      <c r="AW55" s="51">
        <v>1343.61</v>
      </c>
      <c r="AX55" s="51" t="s">
        <v>1574</v>
      </c>
      <c r="AY55" s="51">
        <v>33.33</v>
      </c>
      <c r="AZ55" s="51" t="s">
        <v>1574</v>
      </c>
      <c r="BA55" s="51">
        <v>152.64627140931</v>
      </c>
      <c r="BB55" s="51" t="s">
        <v>1574</v>
      </c>
      <c r="BC55" s="51">
        <v>0.64419999999999999</v>
      </c>
      <c r="BD55" s="51" t="s">
        <v>1574</v>
      </c>
      <c r="BE55" s="51">
        <v>0.46960000000000002</v>
      </c>
      <c r="BF55" s="51">
        <v>11.5</v>
      </c>
      <c r="BG55" s="51" t="s">
        <v>1599</v>
      </c>
      <c r="BH55" s="51">
        <v>52</v>
      </c>
      <c r="BI55" s="51">
        <v>42.25</v>
      </c>
      <c r="BJ55" s="51">
        <v>30</v>
      </c>
      <c r="BK55" s="51">
        <v>507.06259155273</v>
      </c>
      <c r="BL55" s="51">
        <v>11.02</v>
      </c>
      <c r="BM55" s="51">
        <v>650.14</v>
      </c>
      <c r="BN55" s="51">
        <v>204.8</v>
      </c>
      <c r="BO55" s="51">
        <v>2782.2</v>
      </c>
      <c r="BP55" s="51">
        <v>1742</v>
      </c>
      <c r="BQ55" s="51">
        <v>261</v>
      </c>
      <c r="BR55" s="51">
        <v>35.090000000000003</v>
      </c>
      <c r="BS55" s="51">
        <v>83.5</v>
      </c>
      <c r="BT55" s="51">
        <v>1.2929999999999999</v>
      </c>
      <c r="BU55" s="41"/>
      <c r="BV55" s="41"/>
      <c r="BW55" s="41"/>
      <c r="BX55" s="41"/>
      <c r="BY55" s="41"/>
      <c r="BZ55" s="41"/>
      <c r="CA55" s="41"/>
      <c r="CB55" s="41"/>
      <c r="CC55" s="41"/>
      <c r="CD55" s="41"/>
      <c r="CE55" s="41"/>
      <c r="CF55" s="41"/>
      <c r="CG55" s="41"/>
      <c r="CH55" s="41"/>
      <c r="CI55" s="41"/>
      <c r="CJ55" s="41"/>
      <c r="CK55" s="41"/>
    </row>
    <row r="56" spans="1:89">
      <c r="A56" s="48" t="s">
        <v>185</v>
      </c>
      <c r="B56" s="49">
        <v>1.45</v>
      </c>
      <c r="C56" s="49">
        <v>1.45</v>
      </c>
      <c r="D56" s="49">
        <v>1.45</v>
      </c>
      <c r="E56" s="49" t="s">
        <v>1574</v>
      </c>
      <c r="F56" s="49" t="s">
        <v>1574</v>
      </c>
      <c r="G56" s="49" t="s">
        <v>1574</v>
      </c>
      <c r="H56" s="49">
        <v>0.15</v>
      </c>
      <c r="I56" s="49">
        <v>0.38414980236000001</v>
      </c>
      <c r="J56" s="49" t="s">
        <v>1574</v>
      </c>
      <c r="K56" s="49" t="s">
        <v>1574</v>
      </c>
      <c r="L56" s="49">
        <v>0.55489999999999995</v>
      </c>
      <c r="M56" s="49">
        <v>0.92589999999999995</v>
      </c>
      <c r="N56" s="49">
        <v>0.70083260000000003</v>
      </c>
      <c r="O56" s="49">
        <v>0.92700000000000005</v>
      </c>
      <c r="P56" s="49">
        <v>0.81900079999999997</v>
      </c>
      <c r="Q56" s="49">
        <v>1.039501</v>
      </c>
      <c r="R56" s="49">
        <v>0.92259959999999996</v>
      </c>
      <c r="S56" s="49">
        <v>286.89999999999998</v>
      </c>
      <c r="T56" s="49" t="s">
        <v>1574</v>
      </c>
      <c r="U56" s="49" t="s">
        <v>1574</v>
      </c>
      <c r="V56" s="49">
        <v>269.79000000000002</v>
      </c>
      <c r="W56" s="49">
        <v>232.86</v>
      </c>
      <c r="X56" s="49" t="s">
        <v>1574</v>
      </c>
      <c r="Y56" s="49">
        <v>116.84</v>
      </c>
      <c r="Z56" s="49">
        <v>215</v>
      </c>
      <c r="AA56" s="49">
        <v>98.8</v>
      </c>
      <c r="AB56" s="49" t="s">
        <v>1574</v>
      </c>
      <c r="AC56" s="49" t="s">
        <v>1574</v>
      </c>
      <c r="AD56" s="49">
        <v>24.393359444910001</v>
      </c>
      <c r="AE56" s="49">
        <v>55.12</v>
      </c>
      <c r="AF56" s="49">
        <v>49.6</v>
      </c>
      <c r="AG56" s="49">
        <v>124.01</v>
      </c>
      <c r="AH56" s="49" t="s">
        <v>1574</v>
      </c>
      <c r="AI56" s="49" t="s">
        <v>1574</v>
      </c>
      <c r="AJ56" s="49" t="s">
        <v>1574</v>
      </c>
      <c r="AK56" s="49" t="s">
        <v>1574</v>
      </c>
      <c r="AL56" s="49">
        <v>64.040000000000006</v>
      </c>
      <c r="AM56" s="49" t="s">
        <v>1574</v>
      </c>
      <c r="AN56" s="49">
        <v>0.15190000000000001</v>
      </c>
      <c r="AO56" s="49">
        <v>7.6600000000000001E-2</v>
      </c>
      <c r="AP56" s="49">
        <v>0.72970000000000002</v>
      </c>
      <c r="AQ56" s="49">
        <v>0.33465371969000002</v>
      </c>
      <c r="AR56" s="49" t="s">
        <v>1574</v>
      </c>
      <c r="AS56" s="49">
        <v>1.7636959999999999</v>
      </c>
      <c r="AT56" s="49">
        <v>0.12676565000000001</v>
      </c>
      <c r="AU56" s="49">
        <v>0.19180194</v>
      </c>
      <c r="AV56" s="49">
        <v>0.23100000000000001</v>
      </c>
      <c r="AW56" s="49">
        <v>1488.3</v>
      </c>
      <c r="AX56" s="49" t="s">
        <v>1574</v>
      </c>
      <c r="AY56" s="49">
        <v>32.78</v>
      </c>
      <c r="AZ56" s="49" t="s">
        <v>1574</v>
      </c>
      <c r="BA56" s="49">
        <v>151.28085269523999</v>
      </c>
      <c r="BB56" s="49" t="s">
        <v>1574</v>
      </c>
      <c r="BC56" s="49">
        <v>0.65590000000000004</v>
      </c>
      <c r="BD56" s="49" t="s">
        <v>1574</v>
      </c>
      <c r="BE56" s="49">
        <v>0.45190000000000002</v>
      </c>
      <c r="BF56" s="49">
        <v>12.5</v>
      </c>
      <c r="BG56" s="49" t="s">
        <v>1599</v>
      </c>
      <c r="BH56" s="49">
        <v>53</v>
      </c>
      <c r="BI56" s="49">
        <v>60.5</v>
      </c>
      <c r="BJ56" s="49">
        <v>32.5</v>
      </c>
      <c r="BK56" s="49">
        <v>507.06259155273</v>
      </c>
      <c r="BL56" s="49">
        <v>10.24</v>
      </c>
      <c r="BM56" s="49">
        <v>655.65</v>
      </c>
      <c r="BN56" s="49">
        <v>217.6</v>
      </c>
      <c r="BO56" s="49">
        <v>2872.6</v>
      </c>
      <c r="BP56" s="49">
        <v>1741</v>
      </c>
      <c r="BQ56" s="49">
        <v>264.10000000000002</v>
      </c>
      <c r="BR56" s="49">
        <v>35.1</v>
      </c>
      <c r="BS56" s="49">
        <v>88.27</v>
      </c>
      <c r="BT56" s="49">
        <v>1.2929999999999999</v>
      </c>
      <c r="BU56" s="41"/>
      <c r="BV56" s="41"/>
      <c r="BW56" s="41"/>
      <c r="BX56" s="41"/>
      <c r="BY56" s="41"/>
      <c r="BZ56" s="41"/>
      <c r="CA56" s="41"/>
      <c r="CB56" s="41"/>
      <c r="CC56" s="41"/>
      <c r="CD56" s="41"/>
      <c r="CE56" s="41"/>
      <c r="CF56" s="41"/>
      <c r="CG56" s="41"/>
      <c r="CH56" s="41"/>
      <c r="CI56" s="41"/>
      <c r="CJ56" s="41"/>
      <c r="CK56" s="41"/>
    </row>
    <row r="57" spans="1:89">
      <c r="A57" s="41" t="s">
        <v>186</v>
      </c>
      <c r="B57" s="51">
        <v>1.45</v>
      </c>
      <c r="C57" s="51">
        <v>1.45</v>
      </c>
      <c r="D57" s="51">
        <v>1.45</v>
      </c>
      <c r="E57" s="51" t="s">
        <v>1574</v>
      </c>
      <c r="F57" s="51" t="s">
        <v>1574</v>
      </c>
      <c r="G57" s="51" t="s">
        <v>1574</v>
      </c>
      <c r="H57" s="51">
        <v>0.15</v>
      </c>
      <c r="I57" s="51">
        <v>0.38414980236000001</v>
      </c>
      <c r="J57" s="51" t="s">
        <v>1574</v>
      </c>
      <c r="K57" s="51" t="s">
        <v>1574</v>
      </c>
      <c r="L57" s="51">
        <v>0.50770000000000004</v>
      </c>
      <c r="M57" s="51">
        <v>0.94140000000000001</v>
      </c>
      <c r="N57" s="51">
        <v>0.72111449999999999</v>
      </c>
      <c r="O57" s="51">
        <v>0.92700000000000005</v>
      </c>
      <c r="P57" s="51">
        <v>0.81900079999999997</v>
      </c>
      <c r="Q57" s="51">
        <v>1.039501</v>
      </c>
      <c r="R57" s="51">
        <v>0.92259959999999996</v>
      </c>
      <c r="S57" s="51">
        <v>271.39999999999998</v>
      </c>
      <c r="T57" s="51" t="s">
        <v>1574</v>
      </c>
      <c r="U57" s="51" t="s">
        <v>1574</v>
      </c>
      <c r="V57" s="51">
        <v>258.49</v>
      </c>
      <c r="W57" s="51">
        <v>232.59</v>
      </c>
      <c r="X57" s="51" t="s">
        <v>1574</v>
      </c>
      <c r="Y57" s="51">
        <v>112.71</v>
      </c>
      <c r="Z57" s="51">
        <v>209</v>
      </c>
      <c r="AA57" s="51">
        <v>95.5</v>
      </c>
      <c r="AB57" s="51" t="s">
        <v>1574</v>
      </c>
      <c r="AC57" s="51" t="s">
        <v>1574</v>
      </c>
      <c r="AD57" s="51">
        <v>24.4243118055</v>
      </c>
      <c r="AE57" s="51">
        <v>52.75</v>
      </c>
      <c r="AF57" s="51">
        <v>49.9</v>
      </c>
      <c r="AG57" s="51">
        <v>119.06</v>
      </c>
      <c r="AH57" s="51" t="s">
        <v>1574</v>
      </c>
      <c r="AI57" s="51" t="s">
        <v>1574</v>
      </c>
      <c r="AJ57" s="51" t="s">
        <v>1574</v>
      </c>
      <c r="AK57" s="51" t="s">
        <v>1574</v>
      </c>
      <c r="AL57" s="51">
        <v>66.14</v>
      </c>
      <c r="AM57" s="51" t="s">
        <v>1574</v>
      </c>
      <c r="AN57" s="51">
        <v>0.16009999999999999</v>
      </c>
      <c r="AO57" s="51">
        <v>8.0500000000000002E-2</v>
      </c>
      <c r="AP57" s="51">
        <v>0.79149999999999998</v>
      </c>
      <c r="AQ57" s="51">
        <v>0.33498084706999998</v>
      </c>
      <c r="AR57" s="51" t="s">
        <v>1574</v>
      </c>
      <c r="AS57" s="51">
        <v>1.6975574</v>
      </c>
      <c r="AT57" s="51">
        <v>0.12676565000000001</v>
      </c>
      <c r="AU57" s="51">
        <v>0.16314187999999999</v>
      </c>
      <c r="AV57" s="51">
        <v>0.1991</v>
      </c>
      <c r="AW57" s="51">
        <v>1488.3</v>
      </c>
      <c r="AX57" s="51" t="s">
        <v>1574</v>
      </c>
      <c r="AY57" s="51">
        <v>32.78</v>
      </c>
      <c r="AZ57" s="51" t="s">
        <v>1574</v>
      </c>
      <c r="BA57" s="51">
        <v>151.28085269523999</v>
      </c>
      <c r="BB57" s="51" t="s">
        <v>1574</v>
      </c>
      <c r="BC57" s="51">
        <v>0.65559999999999996</v>
      </c>
      <c r="BD57" s="51" t="s">
        <v>1574</v>
      </c>
      <c r="BE57" s="51">
        <v>0.4718</v>
      </c>
      <c r="BF57" s="51">
        <v>12.5</v>
      </c>
      <c r="BG57" s="51" t="s">
        <v>1599</v>
      </c>
      <c r="BH57" s="51">
        <v>53</v>
      </c>
      <c r="BI57" s="51">
        <v>60.5</v>
      </c>
      <c r="BJ57" s="51">
        <v>32.5</v>
      </c>
      <c r="BK57" s="51">
        <v>507.06259155273</v>
      </c>
      <c r="BL57" s="51">
        <v>10.24</v>
      </c>
      <c r="BM57" s="51">
        <v>693.79</v>
      </c>
      <c r="BN57" s="51">
        <v>223.1</v>
      </c>
      <c r="BO57" s="51">
        <v>3060</v>
      </c>
      <c r="BP57" s="51">
        <v>1742</v>
      </c>
      <c r="BQ57" s="51">
        <v>270.5</v>
      </c>
      <c r="BR57" s="51">
        <v>35.1</v>
      </c>
      <c r="BS57" s="51">
        <v>88.5</v>
      </c>
      <c r="BT57" s="51">
        <v>1.2929999999999999</v>
      </c>
      <c r="BU57" s="41"/>
      <c r="BV57" s="41"/>
      <c r="BW57" s="41"/>
      <c r="BX57" s="41"/>
      <c r="BY57" s="41"/>
      <c r="BZ57" s="41"/>
      <c r="CA57" s="41"/>
      <c r="CB57" s="41"/>
      <c r="CC57" s="41"/>
      <c r="CD57" s="41"/>
      <c r="CE57" s="41"/>
      <c r="CF57" s="41"/>
      <c r="CG57" s="41"/>
      <c r="CH57" s="41"/>
      <c r="CI57" s="41"/>
      <c r="CJ57" s="41"/>
      <c r="CK57" s="41"/>
    </row>
    <row r="58" spans="1:89">
      <c r="A58" s="48" t="s">
        <v>187</v>
      </c>
      <c r="B58" s="49">
        <v>1.45</v>
      </c>
      <c r="C58" s="49">
        <v>1.45</v>
      </c>
      <c r="D58" s="49">
        <v>1.45</v>
      </c>
      <c r="E58" s="49" t="s">
        <v>1574</v>
      </c>
      <c r="F58" s="49" t="s">
        <v>1574</v>
      </c>
      <c r="G58" s="49" t="s">
        <v>1574</v>
      </c>
      <c r="H58" s="49">
        <v>0.15</v>
      </c>
      <c r="I58" s="49">
        <v>0.38414980236000001</v>
      </c>
      <c r="J58" s="49" t="s">
        <v>1574</v>
      </c>
      <c r="K58" s="49" t="s">
        <v>1574</v>
      </c>
      <c r="L58" s="49">
        <v>0.50839999999999996</v>
      </c>
      <c r="M58" s="49">
        <v>1.0350999999999999</v>
      </c>
      <c r="N58" s="49">
        <v>0.77975609999999995</v>
      </c>
      <c r="O58" s="49">
        <v>0.92700000000000005</v>
      </c>
      <c r="P58" s="49">
        <v>0.81900079999999997</v>
      </c>
      <c r="Q58" s="49">
        <v>1.039501</v>
      </c>
      <c r="R58" s="49">
        <v>0.92259959999999996</v>
      </c>
      <c r="S58" s="49">
        <v>280.5</v>
      </c>
      <c r="T58" s="49" t="s">
        <v>1574</v>
      </c>
      <c r="U58" s="49" t="s">
        <v>1574</v>
      </c>
      <c r="V58" s="49">
        <v>265.10000000000002</v>
      </c>
      <c r="W58" s="49">
        <v>232.86</v>
      </c>
      <c r="X58" s="49" t="s">
        <v>1574</v>
      </c>
      <c r="Y58" s="49">
        <v>110.51</v>
      </c>
      <c r="Z58" s="49">
        <v>209</v>
      </c>
      <c r="AA58" s="49">
        <v>94.4</v>
      </c>
      <c r="AB58" s="49" t="s">
        <v>1574</v>
      </c>
      <c r="AC58" s="49" t="s">
        <v>1574</v>
      </c>
      <c r="AD58" s="49">
        <v>24.8406099752</v>
      </c>
      <c r="AE58" s="49">
        <v>54.33</v>
      </c>
      <c r="AF58" s="49">
        <v>48.98</v>
      </c>
      <c r="AG58" s="49">
        <v>115.11</v>
      </c>
      <c r="AH58" s="49" t="s">
        <v>1574</v>
      </c>
      <c r="AI58" s="49" t="s">
        <v>1574</v>
      </c>
      <c r="AJ58" s="49" t="s">
        <v>1574</v>
      </c>
      <c r="AK58" s="49" t="s">
        <v>1574</v>
      </c>
      <c r="AL58" s="49">
        <v>66.87</v>
      </c>
      <c r="AM58" s="49" t="s">
        <v>1574</v>
      </c>
      <c r="AN58" s="49">
        <v>0.16489999999999999</v>
      </c>
      <c r="AO58" s="49">
        <v>8.7099999999999997E-2</v>
      </c>
      <c r="AP58" s="49">
        <v>0.81569999999999998</v>
      </c>
      <c r="AQ58" s="49">
        <v>0.33562932596</v>
      </c>
      <c r="AR58" s="49" t="s">
        <v>1574</v>
      </c>
      <c r="AS58" s="49">
        <v>1.6314188000000001</v>
      </c>
      <c r="AT58" s="49">
        <v>0.12676565000000001</v>
      </c>
      <c r="AU58" s="49">
        <v>0.14770954</v>
      </c>
      <c r="AV58" s="49">
        <v>0.16120000000000001</v>
      </c>
      <c r="AW58" s="49">
        <v>1488.3</v>
      </c>
      <c r="AX58" s="49" t="s">
        <v>1574</v>
      </c>
      <c r="AY58" s="49">
        <v>31.94</v>
      </c>
      <c r="AZ58" s="49" t="s">
        <v>1574</v>
      </c>
      <c r="BA58" s="49">
        <v>149.17497836621001</v>
      </c>
      <c r="BB58" s="49" t="s">
        <v>1574</v>
      </c>
      <c r="BC58" s="49">
        <v>0.65480000000000005</v>
      </c>
      <c r="BD58" s="49" t="s">
        <v>1574</v>
      </c>
      <c r="BE58" s="49">
        <v>0.496</v>
      </c>
      <c r="BF58" s="49">
        <v>12.5</v>
      </c>
      <c r="BG58" s="49" t="s">
        <v>1599</v>
      </c>
      <c r="BH58" s="49">
        <v>53</v>
      </c>
      <c r="BI58" s="49">
        <v>60.5</v>
      </c>
      <c r="BJ58" s="49">
        <v>32.5</v>
      </c>
      <c r="BK58" s="49">
        <v>524.69946289063</v>
      </c>
      <c r="BL58" s="49">
        <v>10.24</v>
      </c>
      <c r="BM58" s="49">
        <v>745.16</v>
      </c>
      <c r="BN58" s="49">
        <v>223.8</v>
      </c>
      <c r="BO58" s="49">
        <v>2958.6</v>
      </c>
      <c r="BP58" s="49">
        <v>1742</v>
      </c>
      <c r="BQ58" s="49">
        <v>277.10000000000002</v>
      </c>
      <c r="BR58" s="49">
        <v>35.1</v>
      </c>
      <c r="BS58" s="49">
        <v>88.5</v>
      </c>
      <c r="BT58" s="49">
        <v>1.2929999999999999</v>
      </c>
      <c r="BU58" s="41"/>
      <c r="BV58" s="41"/>
      <c r="BW58" s="41"/>
      <c r="BX58" s="41"/>
      <c r="BY58" s="41"/>
      <c r="BZ58" s="41"/>
      <c r="CA58" s="41"/>
      <c r="CB58" s="41"/>
      <c r="CC58" s="41"/>
      <c r="CD58" s="41"/>
      <c r="CE58" s="41"/>
      <c r="CF58" s="41"/>
      <c r="CG58" s="41"/>
      <c r="CH58" s="41"/>
      <c r="CI58" s="41"/>
      <c r="CJ58" s="41"/>
      <c r="CK58" s="41"/>
    </row>
    <row r="59" spans="1:89">
      <c r="A59" s="41" t="s">
        <v>188</v>
      </c>
      <c r="B59" s="51">
        <v>1.45</v>
      </c>
      <c r="C59" s="51">
        <v>1.45</v>
      </c>
      <c r="D59" s="51">
        <v>1.45</v>
      </c>
      <c r="E59" s="51" t="s">
        <v>1574</v>
      </c>
      <c r="F59" s="51" t="s">
        <v>1574</v>
      </c>
      <c r="G59" s="51" t="s">
        <v>1574</v>
      </c>
      <c r="H59" s="51">
        <v>0.15</v>
      </c>
      <c r="I59" s="51">
        <v>0.38414980236000001</v>
      </c>
      <c r="J59" s="51" t="s">
        <v>1574</v>
      </c>
      <c r="K59" s="51" t="s">
        <v>1574</v>
      </c>
      <c r="L59" s="51">
        <v>0.47839999999999999</v>
      </c>
      <c r="M59" s="51">
        <v>1.0042</v>
      </c>
      <c r="N59" s="51">
        <v>0.81613150000000001</v>
      </c>
      <c r="O59" s="51">
        <v>0.92700000000000005</v>
      </c>
      <c r="P59" s="51">
        <v>0.81900079999999997</v>
      </c>
      <c r="Q59" s="51">
        <v>1.039501</v>
      </c>
      <c r="R59" s="51">
        <v>0.92259959999999996</v>
      </c>
      <c r="S59" s="51">
        <v>280.3</v>
      </c>
      <c r="T59" s="51" t="s">
        <v>1574</v>
      </c>
      <c r="U59" s="51" t="s">
        <v>1574</v>
      </c>
      <c r="V59" s="51">
        <v>273.10000000000002</v>
      </c>
      <c r="W59" s="51">
        <v>232.86</v>
      </c>
      <c r="X59" s="51" t="s">
        <v>1574</v>
      </c>
      <c r="Y59" s="51">
        <v>106.65</v>
      </c>
      <c r="Z59" s="51">
        <v>204</v>
      </c>
      <c r="AA59" s="51">
        <v>90</v>
      </c>
      <c r="AB59" s="51" t="s">
        <v>1574</v>
      </c>
      <c r="AC59" s="51" t="s">
        <v>1574</v>
      </c>
      <c r="AD59" s="51">
        <v>25.19431726534</v>
      </c>
      <c r="AE59" s="51">
        <v>55.51</v>
      </c>
      <c r="AF59" s="51">
        <v>48.06</v>
      </c>
      <c r="AG59" s="51">
        <v>116.89</v>
      </c>
      <c r="AH59" s="51" t="s">
        <v>1574</v>
      </c>
      <c r="AI59" s="51" t="s">
        <v>1574</v>
      </c>
      <c r="AJ59" s="51" t="s">
        <v>1574</v>
      </c>
      <c r="AK59" s="51" t="s">
        <v>1574</v>
      </c>
      <c r="AL59" s="51">
        <v>67.61</v>
      </c>
      <c r="AM59" s="51" t="s">
        <v>1574</v>
      </c>
      <c r="AN59" s="51">
        <v>0.20100000000000001</v>
      </c>
      <c r="AO59" s="51">
        <v>8.5800000000000001E-2</v>
      </c>
      <c r="AP59" s="51">
        <v>0.82889999999999997</v>
      </c>
      <c r="AQ59" s="51">
        <v>0.33575985011999998</v>
      </c>
      <c r="AR59" s="51" t="s">
        <v>1574</v>
      </c>
      <c r="AS59" s="51">
        <v>1.6093725999999999</v>
      </c>
      <c r="AT59" s="51">
        <v>0.12676565000000001</v>
      </c>
      <c r="AU59" s="51">
        <v>0.14991415999999999</v>
      </c>
      <c r="AV59" s="51">
        <v>0.1711</v>
      </c>
      <c r="AW59" s="51">
        <v>1488.3</v>
      </c>
      <c r="AX59" s="51" t="s">
        <v>1574</v>
      </c>
      <c r="AY59" s="51">
        <v>30.56</v>
      </c>
      <c r="AZ59" s="51" t="s">
        <v>1574</v>
      </c>
      <c r="BA59" s="51">
        <v>145.65920662297</v>
      </c>
      <c r="BB59" s="51" t="s">
        <v>1574</v>
      </c>
      <c r="BC59" s="51">
        <v>0.65210000000000001</v>
      </c>
      <c r="BD59" s="51" t="s">
        <v>1574</v>
      </c>
      <c r="BE59" s="51">
        <v>0.49819999999999998</v>
      </c>
      <c r="BF59" s="51">
        <v>12.5</v>
      </c>
      <c r="BG59" s="51" t="s">
        <v>1599</v>
      </c>
      <c r="BH59" s="51">
        <v>53</v>
      </c>
      <c r="BI59" s="51">
        <v>60.5</v>
      </c>
      <c r="BJ59" s="51">
        <v>32.5</v>
      </c>
      <c r="BK59" s="51">
        <v>529.10888671875</v>
      </c>
      <c r="BL59" s="51">
        <v>10.24</v>
      </c>
      <c r="BM59" s="51">
        <v>861.56</v>
      </c>
      <c r="BN59" s="51">
        <v>226.8</v>
      </c>
      <c r="BO59" s="51">
        <v>2879.2</v>
      </c>
      <c r="BP59" s="51">
        <v>1741</v>
      </c>
      <c r="BQ59" s="51">
        <v>298.7</v>
      </c>
      <c r="BR59" s="51">
        <v>35.1</v>
      </c>
      <c r="BS59" s="51">
        <v>88.5</v>
      </c>
      <c r="BT59" s="51">
        <v>1.2929999999999999</v>
      </c>
      <c r="BU59" s="41"/>
      <c r="BV59" s="41"/>
      <c r="BW59" s="41"/>
      <c r="BX59" s="41"/>
      <c r="BY59" s="41"/>
      <c r="BZ59" s="41"/>
      <c r="CA59" s="41"/>
      <c r="CB59" s="41"/>
      <c r="CC59" s="41"/>
      <c r="CD59" s="41"/>
      <c r="CE59" s="41"/>
      <c r="CF59" s="41"/>
      <c r="CG59" s="41"/>
      <c r="CH59" s="41"/>
      <c r="CI59" s="41"/>
      <c r="CJ59" s="41"/>
      <c r="CK59" s="41"/>
    </row>
    <row r="60" spans="1:89">
      <c r="A60" s="48" t="s">
        <v>189</v>
      </c>
      <c r="B60" s="49">
        <v>1.45</v>
      </c>
      <c r="C60" s="49">
        <v>1.45</v>
      </c>
      <c r="D60" s="49">
        <v>1.45</v>
      </c>
      <c r="E60" s="49" t="s">
        <v>1574</v>
      </c>
      <c r="F60" s="49" t="s">
        <v>1574</v>
      </c>
      <c r="G60" s="49" t="s">
        <v>1574</v>
      </c>
      <c r="H60" s="49">
        <v>0.15</v>
      </c>
      <c r="I60" s="49">
        <v>0.38414980236000001</v>
      </c>
      <c r="J60" s="49" t="s">
        <v>1574</v>
      </c>
      <c r="K60" s="49" t="s">
        <v>1574</v>
      </c>
      <c r="L60" s="49">
        <v>0.47660000000000002</v>
      </c>
      <c r="M60" s="49">
        <v>1.0203</v>
      </c>
      <c r="N60" s="49">
        <v>0.82847709999999997</v>
      </c>
      <c r="O60" s="49">
        <v>0.92700000000000005</v>
      </c>
      <c r="P60" s="49">
        <v>0.81900079999999997</v>
      </c>
      <c r="Q60" s="49">
        <v>1.039501</v>
      </c>
      <c r="R60" s="49">
        <v>0.92259959999999996</v>
      </c>
      <c r="S60" s="49">
        <v>282.5</v>
      </c>
      <c r="T60" s="49" t="s">
        <v>1574</v>
      </c>
      <c r="U60" s="49" t="s">
        <v>1574</v>
      </c>
      <c r="V60" s="49">
        <v>292.39</v>
      </c>
      <c r="W60" s="49">
        <v>232.86</v>
      </c>
      <c r="X60" s="49" t="s">
        <v>1574</v>
      </c>
      <c r="Y60" s="49">
        <v>104.72</v>
      </c>
      <c r="Z60" s="49">
        <v>215</v>
      </c>
      <c r="AA60" s="49">
        <v>84.5</v>
      </c>
      <c r="AB60" s="49" t="s">
        <v>1574</v>
      </c>
      <c r="AC60" s="49" t="s">
        <v>1574</v>
      </c>
      <c r="AD60" s="49">
        <v>25.610940160159998</v>
      </c>
      <c r="AE60" s="49">
        <v>55.9</v>
      </c>
      <c r="AF60" s="49">
        <v>48.06</v>
      </c>
      <c r="AG60" s="49">
        <v>117.02</v>
      </c>
      <c r="AH60" s="49" t="s">
        <v>1574</v>
      </c>
      <c r="AI60" s="49" t="s">
        <v>1574</v>
      </c>
      <c r="AJ60" s="49" t="s">
        <v>1574</v>
      </c>
      <c r="AK60" s="49" t="s">
        <v>1574</v>
      </c>
      <c r="AL60" s="49">
        <v>69.45</v>
      </c>
      <c r="AM60" s="49" t="s">
        <v>1574</v>
      </c>
      <c r="AN60" s="49">
        <v>0.20499999999999999</v>
      </c>
      <c r="AO60" s="49">
        <v>7.9200000000000007E-2</v>
      </c>
      <c r="AP60" s="49">
        <v>0.87080000000000002</v>
      </c>
      <c r="AQ60" s="49">
        <v>0.33567042602000002</v>
      </c>
      <c r="AR60" s="49" t="s">
        <v>1574</v>
      </c>
      <c r="AS60" s="49">
        <v>1.6314188000000001</v>
      </c>
      <c r="AT60" s="49">
        <v>0.12676565000000001</v>
      </c>
      <c r="AU60" s="49">
        <v>0.13227720000000001</v>
      </c>
      <c r="AV60" s="49">
        <v>0.1545</v>
      </c>
      <c r="AW60" s="49">
        <v>1488.3</v>
      </c>
      <c r="AX60" s="49" t="s">
        <v>1574</v>
      </c>
      <c r="AY60" s="49">
        <v>29.44</v>
      </c>
      <c r="AZ60" s="49" t="s">
        <v>1574</v>
      </c>
      <c r="BA60" s="49">
        <v>142.75178459014001</v>
      </c>
      <c r="BB60" s="49" t="s">
        <v>1574</v>
      </c>
      <c r="BC60" s="49">
        <v>0.65590000000000004</v>
      </c>
      <c r="BD60" s="49" t="s">
        <v>1574</v>
      </c>
      <c r="BE60" s="49">
        <v>0.496</v>
      </c>
      <c r="BF60" s="49">
        <v>12.5</v>
      </c>
      <c r="BG60" s="49" t="s">
        <v>1599</v>
      </c>
      <c r="BH60" s="49">
        <v>53</v>
      </c>
      <c r="BI60" s="49">
        <v>60.5</v>
      </c>
      <c r="BJ60" s="49">
        <v>32.5</v>
      </c>
      <c r="BK60" s="49">
        <v>529.10888671875</v>
      </c>
      <c r="BL60" s="49">
        <v>10.24</v>
      </c>
      <c r="BM60" s="49">
        <v>828.28</v>
      </c>
      <c r="BN60" s="49">
        <v>243.8</v>
      </c>
      <c r="BO60" s="49">
        <v>2910.1</v>
      </c>
      <c r="BP60" s="49">
        <v>1742</v>
      </c>
      <c r="BQ60" s="49">
        <v>343</v>
      </c>
      <c r="BR60" s="49">
        <v>35.1</v>
      </c>
      <c r="BS60" s="49">
        <v>88.5</v>
      </c>
      <c r="BT60" s="49">
        <v>1.2929999999999999</v>
      </c>
      <c r="BU60" s="41"/>
      <c r="BV60" s="41"/>
      <c r="BW60" s="41"/>
      <c r="BX60" s="41"/>
      <c r="BY60" s="41"/>
      <c r="BZ60" s="41"/>
      <c r="CA60" s="41"/>
      <c r="CB60" s="41"/>
      <c r="CC60" s="41"/>
      <c r="CD60" s="41"/>
      <c r="CE60" s="41"/>
      <c r="CF60" s="41"/>
      <c r="CG60" s="41"/>
      <c r="CH60" s="41"/>
      <c r="CI60" s="41"/>
      <c r="CJ60" s="41"/>
      <c r="CK60" s="41"/>
    </row>
    <row r="61" spans="1:89">
      <c r="A61" s="41" t="s">
        <v>190</v>
      </c>
      <c r="B61" s="51">
        <v>1.45</v>
      </c>
      <c r="C61" s="51">
        <v>1.45</v>
      </c>
      <c r="D61" s="51">
        <v>1.45</v>
      </c>
      <c r="E61" s="51" t="s">
        <v>1574</v>
      </c>
      <c r="F61" s="51" t="s">
        <v>1574</v>
      </c>
      <c r="G61" s="51" t="s">
        <v>1574</v>
      </c>
      <c r="H61" s="51">
        <v>0.15</v>
      </c>
      <c r="I61" s="51">
        <v>0.38414980236000001</v>
      </c>
      <c r="J61" s="51" t="s">
        <v>1574</v>
      </c>
      <c r="K61" s="51" t="s">
        <v>1574</v>
      </c>
      <c r="L61" s="51">
        <v>0.49540000000000001</v>
      </c>
      <c r="M61" s="51">
        <v>1.0053000000000001</v>
      </c>
      <c r="N61" s="51">
        <v>0.84655449999999999</v>
      </c>
      <c r="O61" s="51">
        <v>0.92700000000000005</v>
      </c>
      <c r="P61" s="51">
        <v>0.81900079999999997</v>
      </c>
      <c r="Q61" s="51">
        <v>1.039501</v>
      </c>
      <c r="R61" s="51">
        <v>0.92259959999999996</v>
      </c>
      <c r="S61" s="51">
        <v>294.89999999999998</v>
      </c>
      <c r="T61" s="51" t="s">
        <v>1574</v>
      </c>
      <c r="U61" s="51" t="s">
        <v>1574</v>
      </c>
      <c r="V61" s="51">
        <v>317.19</v>
      </c>
      <c r="W61" s="51">
        <v>233.96</v>
      </c>
      <c r="X61" s="51" t="s">
        <v>1574</v>
      </c>
      <c r="Y61" s="51">
        <v>104.44</v>
      </c>
      <c r="Z61" s="51">
        <v>212</v>
      </c>
      <c r="AA61" s="51">
        <v>85.6</v>
      </c>
      <c r="AB61" s="51" t="s">
        <v>1574</v>
      </c>
      <c r="AC61" s="51" t="s">
        <v>1574</v>
      </c>
      <c r="AD61" s="51">
        <v>24.954118393009999</v>
      </c>
      <c r="AE61" s="51">
        <v>56.3</v>
      </c>
      <c r="AF61" s="51">
        <v>47.4</v>
      </c>
      <c r="AG61" s="51">
        <v>119.18</v>
      </c>
      <c r="AH61" s="51" t="s">
        <v>1574</v>
      </c>
      <c r="AI61" s="51" t="s">
        <v>1574</v>
      </c>
      <c r="AJ61" s="51" t="s">
        <v>1574</v>
      </c>
      <c r="AK61" s="51" t="s">
        <v>1574</v>
      </c>
      <c r="AL61" s="51">
        <v>65.040000000000006</v>
      </c>
      <c r="AM61" s="51" t="s">
        <v>1574</v>
      </c>
      <c r="AN61" s="51">
        <v>0.20699999999999999</v>
      </c>
      <c r="AO61" s="51">
        <v>8.7099999999999997E-2</v>
      </c>
      <c r="AP61" s="51">
        <v>0.85540000000000005</v>
      </c>
      <c r="AQ61" s="51">
        <v>0.33667293363</v>
      </c>
      <c r="AR61" s="51" t="s">
        <v>1574</v>
      </c>
      <c r="AS61" s="51">
        <v>1.8077884</v>
      </c>
      <c r="AT61" s="51">
        <v>0.12676565000000001</v>
      </c>
      <c r="AU61" s="51">
        <v>0.12786796</v>
      </c>
      <c r="AV61" s="51">
        <v>0.11550000000000001</v>
      </c>
      <c r="AW61" s="51">
        <v>1488.3</v>
      </c>
      <c r="AX61" s="51" t="s">
        <v>1574</v>
      </c>
      <c r="AY61" s="51">
        <v>29.44</v>
      </c>
      <c r="AZ61" s="51" t="s">
        <v>1574</v>
      </c>
      <c r="BA61" s="51">
        <v>142.75178459014001</v>
      </c>
      <c r="BB61" s="51" t="s">
        <v>1574</v>
      </c>
      <c r="BC61" s="51">
        <v>0.65939999999999999</v>
      </c>
      <c r="BD61" s="51" t="s">
        <v>1574</v>
      </c>
      <c r="BE61" s="51">
        <v>0.4894</v>
      </c>
      <c r="BF61" s="51">
        <v>12.5</v>
      </c>
      <c r="BG61" s="51" t="s">
        <v>1599</v>
      </c>
      <c r="BH61" s="51">
        <v>53</v>
      </c>
      <c r="BI61" s="51">
        <v>60.5</v>
      </c>
      <c r="BJ61" s="51">
        <v>32.5</v>
      </c>
      <c r="BK61" s="51">
        <v>529.10888671875</v>
      </c>
      <c r="BL61" s="51">
        <v>10.24</v>
      </c>
      <c r="BM61" s="51">
        <v>808.43</v>
      </c>
      <c r="BN61" s="51">
        <v>246.3</v>
      </c>
      <c r="BO61" s="51">
        <v>3265</v>
      </c>
      <c r="BP61" s="51">
        <v>1742</v>
      </c>
      <c r="BQ61" s="51">
        <v>357.1</v>
      </c>
      <c r="BR61" s="51">
        <v>35.1</v>
      </c>
      <c r="BS61" s="51">
        <v>88.5</v>
      </c>
      <c r="BT61" s="51">
        <v>1.2929999999999999</v>
      </c>
      <c r="BU61" s="41"/>
      <c r="BV61" s="41"/>
      <c r="BW61" s="41"/>
      <c r="BX61" s="41"/>
      <c r="BY61" s="41"/>
      <c r="BZ61" s="41"/>
      <c r="CA61" s="41"/>
      <c r="CB61" s="41"/>
      <c r="CC61" s="41"/>
      <c r="CD61" s="41"/>
      <c r="CE61" s="41"/>
      <c r="CF61" s="41"/>
      <c r="CG61" s="41"/>
      <c r="CH61" s="41"/>
      <c r="CI61" s="41"/>
      <c r="CJ61" s="41"/>
      <c r="CK61" s="41"/>
    </row>
    <row r="62" spans="1:89">
      <c r="A62" s="48" t="s">
        <v>191</v>
      </c>
      <c r="B62" s="49">
        <v>1.45</v>
      </c>
      <c r="C62" s="49">
        <v>1.45</v>
      </c>
      <c r="D62" s="49">
        <v>1.45</v>
      </c>
      <c r="E62" s="49" t="s">
        <v>1574</v>
      </c>
      <c r="F62" s="49" t="s">
        <v>1574</v>
      </c>
      <c r="G62" s="49" t="s">
        <v>1574</v>
      </c>
      <c r="H62" s="49">
        <v>0.15</v>
      </c>
      <c r="I62" s="49">
        <v>0.38414980236000001</v>
      </c>
      <c r="J62" s="49" t="s">
        <v>1574</v>
      </c>
      <c r="K62" s="49" t="s">
        <v>1574</v>
      </c>
      <c r="L62" s="49">
        <v>0.50770000000000004</v>
      </c>
      <c r="M62" s="49">
        <v>1.0214000000000001</v>
      </c>
      <c r="N62" s="49">
        <v>0.81833610000000001</v>
      </c>
      <c r="O62" s="49">
        <v>0.92700000000000005</v>
      </c>
      <c r="P62" s="49">
        <v>0.81900079999999997</v>
      </c>
      <c r="Q62" s="49">
        <v>1.039501</v>
      </c>
      <c r="R62" s="49">
        <v>0.92259959999999996</v>
      </c>
      <c r="S62" s="49">
        <v>303.7</v>
      </c>
      <c r="T62" s="49" t="s">
        <v>1574</v>
      </c>
      <c r="U62" s="49" t="s">
        <v>1574</v>
      </c>
      <c r="V62" s="49">
        <v>335.1</v>
      </c>
      <c r="W62" s="49">
        <v>235.34</v>
      </c>
      <c r="X62" s="49" t="s">
        <v>1574</v>
      </c>
      <c r="Y62" s="49">
        <v>102.24</v>
      </c>
      <c r="Z62" s="49">
        <v>209</v>
      </c>
      <c r="AA62" s="49">
        <v>84.5</v>
      </c>
      <c r="AB62" s="49" t="s">
        <v>1574</v>
      </c>
      <c r="AC62" s="49" t="s">
        <v>1574</v>
      </c>
      <c r="AD62" s="49">
        <v>25.570036869679999</v>
      </c>
      <c r="AE62" s="49">
        <v>55.9</v>
      </c>
      <c r="AF62" s="49">
        <v>47.4</v>
      </c>
      <c r="AG62" s="49">
        <v>122.61</v>
      </c>
      <c r="AH62" s="49" t="s">
        <v>1574</v>
      </c>
      <c r="AI62" s="49" t="s">
        <v>1574</v>
      </c>
      <c r="AJ62" s="49" t="s">
        <v>1574</v>
      </c>
      <c r="AK62" s="49" t="s">
        <v>1574</v>
      </c>
      <c r="AL62" s="49">
        <v>68.709999999999994</v>
      </c>
      <c r="AM62" s="49" t="s">
        <v>1574</v>
      </c>
      <c r="AN62" s="49">
        <v>0.16800000000000001</v>
      </c>
      <c r="AO62" s="49">
        <v>8.4000000000000005E-2</v>
      </c>
      <c r="AP62" s="49">
        <v>0.94140000000000001</v>
      </c>
      <c r="AQ62" s="49">
        <v>0.33730524234999998</v>
      </c>
      <c r="AR62" s="49" t="s">
        <v>1574</v>
      </c>
      <c r="AS62" s="49">
        <v>1.8298346000000001</v>
      </c>
      <c r="AT62" s="49">
        <v>0.12676565000000001</v>
      </c>
      <c r="AU62" s="49">
        <v>0.12345871999999999</v>
      </c>
      <c r="AV62" s="49">
        <v>0.10340000000000001</v>
      </c>
      <c r="AW62" s="49">
        <v>1488.3</v>
      </c>
      <c r="AX62" s="49" t="s">
        <v>1574</v>
      </c>
      <c r="AY62" s="49">
        <v>29.17</v>
      </c>
      <c r="AZ62" s="49" t="s">
        <v>1574</v>
      </c>
      <c r="BA62" s="49">
        <v>142.04331617563</v>
      </c>
      <c r="BB62" s="49" t="s">
        <v>1574</v>
      </c>
      <c r="BC62" s="49">
        <v>0.64880000000000004</v>
      </c>
      <c r="BD62" s="49" t="s">
        <v>1574</v>
      </c>
      <c r="BE62" s="49">
        <v>0.47839999999999999</v>
      </c>
      <c r="BF62" s="49">
        <v>12.5</v>
      </c>
      <c r="BG62" s="49" t="s">
        <v>1599</v>
      </c>
      <c r="BH62" s="49">
        <v>53</v>
      </c>
      <c r="BI62" s="49">
        <v>60.5</v>
      </c>
      <c r="BJ62" s="49">
        <v>32.5</v>
      </c>
      <c r="BK62" s="49">
        <v>529.10888671875</v>
      </c>
      <c r="BL62" s="49">
        <v>10.24</v>
      </c>
      <c r="BM62" s="49">
        <v>854.95</v>
      </c>
      <c r="BN62" s="49">
        <v>270.89999999999998</v>
      </c>
      <c r="BO62" s="49">
        <v>3452.4</v>
      </c>
      <c r="BP62" s="49">
        <v>1741</v>
      </c>
      <c r="BQ62" s="49">
        <v>385.1</v>
      </c>
      <c r="BR62" s="49">
        <v>35.1</v>
      </c>
      <c r="BS62" s="49">
        <v>88.5</v>
      </c>
      <c r="BT62" s="49">
        <v>1.2929999999999999</v>
      </c>
      <c r="BU62" s="41"/>
      <c r="BV62" s="41"/>
      <c r="BW62" s="41"/>
      <c r="BX62" s="41"/>
      <c r="BY62" s="41"/>
      <c r="BZ62" s="41"/>
      <c r="CA62" s="41"/>
      <c r="CB62" s="41"/>
      <c r="CC62" s="41"/>
      <c r="CD62" s="41"/>
      <c r="CE62" s="41"/>
      <c r="CF62" s="41"/>
      <c r="CG62" s="41"/>
      <c r="CH62" s="41"/>
      <c r="CI62" s="41"/>
      <c r="CJ62" s="41"/>
      <c r="CK62" s="41"/>
    </row>
    <row r="63" spans="1:89">
      <c r="A63" s="41" t="s">
        <v>192</v>
      </c>
      <c r="B63" s="51">
        <v>1.45</v>
      </c>
      <c r="C63" s="51">
        <v>1.45</v>
      </c>
      <c r="D63" s="51">
        <v>1.45</v>
      </c>
      <c r="E63" s="51" t="s">
        <v>1574</v>
      </c>
      <c r="F63" s="51" t="s">
        <v>1574</v>
      </c>
      <c r="G63" s="51" t="s">
        <v>1574</v>
      </c>
      <c r="H63" s="51">
        <v>0.15</v>
      </c>
      <c r="I63" s="51">
        <v>0.38414980236000001</v>
      </c>
      <c r="J63" s="51" t="s">
        <v>1574</v>
      </c>
      <c r="K63" s="51" t="s">
        <v>1574</v>
      </c>
      <c r="L63" s="51">
        <v>0.4985</v>
      </c>
      <c r="M63" s="51">
        <v>1.0489999999999999</v>
      </c>
      <c r="N63" s="51">
        <v>0.81833610000000001</v>
      </c>
      <c r="O63" s="51">
        <v>0.92700000000000005</v>
      </c>
      <c r="P63" s="51">
        <v>0.81900079999999997</v>
      </c>
      <c r="Q63" s="51">
        <v>1.039501</v>
      </c>
      <c r="R63" s="51">
        <v>0.92259959999999996</v>
      </c>
      <c r="S63" s="51">
        <v>303.10000000000002</v>
      </c>
      <c r="T63" s="51" t="s">
        <v>1574</v>
      </c>
      <c r="U63" s="51" t="s">
        <v>1574</v>
      </c>
      <c r="V63" s="51">
        <v>323.52999999999997</v>
      </c>
      <c r="W63" s="51">
        <v>235.62</v>
      </c>
      <c r="X63" s="51" t="s">
        <v>1574</v>
      </c>
      <c r="Y63" s="51">
        <v>104.44</v>
      </c>
      <c r="Z63" s="51">
        <v>223</v>
      </c>
      <c r="AA63" s="51">
        <v>82.5</v>
      </c>
      <c r="AB63" s="51" t="s">
        <v>1574</v>
      </c>
      <c r="AC63" s="51" t="s">
        <v>1574</v>
      </c>
      <c r="AD63" s="51">
        <v>25.424226990680001</v>
      </c>
      <c r="AE63" s="51">
        <v>54.72</v>
      </c>
      <c r="AF63" s="51">
        <v>47.62</v>
      </c>
      <c r="AG63" s="51">
        <v>122.92</v>
      </c>
      <c r="AH63" s="51" t="s">
        <v>1574</v>
      </c>
      <c r="AI63" s="51" t="s">
        <v>1574</v>
      </c>
      <c r="AJ63" s="51" t="s">
        <v>1574</v>
      </c>
      <c r="AK63" s="51" t="s">
        <v>1574</v>
      </c>
      <c r="AL63" s="51">
        <v>68.709999999999994</v>
      </c>
      <c r="AM63" s="51" t="s">
        <v>1574</v>
      </c>
      <c r="AN63" s="51">
        <v>0.15609999999999999</v>
      </c>
      <c r="AO63" s="51">
        <v>8.4000000000000005E-2</v>
      </c>
      <c r="AP63" s="51">
        <v>0.89949999999999997</v>
      </c>
      <c r="AQ63" s="51">
        <v>0.33777958624999999</v>
      </c>
      <c r="AR63" s="51" t="s">
        <v>1574</v>
      </c>
      <c r="AS63" s="51">
        <v>1.7636959999999999</v>
      </c>
      <c r="AT63" s="51">
        <v>0.12676565000000001</v>
      </c>
      <c r="AU63" s="51">
        <v>0.12345871999999999</v>
      </c>
      <c r="AV63" s="51">
        <v>9.3299999999999994E-2</v>
      </c>
      <c r="AW63" s="51">
        <v>1488.3</v>
      </c>
      <c r="AX63" s="51" t="s">
        <v>1574</v>
      </c>
      <c r="AY63" s="51">
        <v>29.17</v>
      </c>
      <c r="AZ63" s="51" t="s">
        <v>1574</v>
      </c>
      <c r="BA63" s="51">
        <v>142.04331617563</v>
      </c>
      <c r="BB63" s="51" t="s">
        <v>1574</v>
      </c>
      <c r="BC63" s="51">
        <v>0.64370000000000005</v>
      </c>
      <c r="BD63" s="51" t="s">
        <v>1574</v>
      </c>
      <c r="BE63" s="51">
        <v>0.47839999999999999</v>
      </c>
      <c r="BF63" s="51">
        <v>12.5</v>
      </c>
      <c r="BG63" s="51" t="s">
        <v>1599</v>
      </c>
      <c r="BH63" s="51">
        <v>53</v>
      </c>
      <c r="BI63" s="51">
        <v>60.5</v>
      </c>
      <c r="BJ63" s="51">
        <v>32.5</v>
      </c>
      <c r="BK63" s="51">
        <v>529.10888671875</v>
      </c>
      <c r="BL63" s="51">
        <v>10.24</v>
      </c>
      <c r="BM63" s="51">
        <v>999.33</v>
      </c>
      <c r="BN63" s="51">
        <v>300.89999999999998</v>
      </c>
      <c r="BO63" s="51">
        <v>3512</v>
      </c>
      <c r="BP63" s="51">
        <v>1742</v>
      </c>
      <c r="BQ63" s="51">
        <v>345.2</v>
      </c>
      <c r="BR63" s="51">
        <v>35.1</v>
      </c>
      <c r="BS63" s="51">
        <v>88.5</v>
      </c>
      <c r="BT63" s="51">
        <v>1.2929999999999999</v>
      </c>
      <c r="BU63" s="41"/>
      <c r="BV63" s="41"/>
      <c r="BW63" s="41"/>
      <c r="BX63" s="41"/>
      <c r="BY63" s="41"/>
      <c r="BZ63" s="41"/>
      <c r="CA63" s="41"/>
      <c r="CB63" s="41"/>
      <c r="CC63" s="41"/>
      <c r="CD63" s="41"/>
      <c r="CE63" s="41"/>
      <c r="CF63" s="41"/>
      <c r="CG63" s="41"/>
      <c r="CH63" s="41"/>
      <c r="CI63" s="41"/>
      <c r="CJ63" s="41"/>
      <c r="CK63" s="41"/>
    </row>
    <row r="64" spans="1:89">
      <c r="A64" s="48" t="s">
        <v>193</v>
      </c>
      <c r="B64" s="49">
        <v>1.45</v>
      </c>
      <c r="C64" s="49">
        <v>1.45</v>
      </c>
      <c r="D64" s="49">
        <v>1.45</v>
      </c>
      <c r="E64" s="49" t="s">
        <v>1574</v>
      </c>
      <c r="F64" s="49" t="s">
        <v>1574</v>
      </c>
      <c r="G64" s="49" t="s">
        <v>1574</v>
      </c>
      <c r="H64" s="49">
        <v>0.15</v>
      </c>
      <c r="I64" s="49">
        <v>0.38414980236000001</v>
      </c>
      <c r="J64" s="49" t="s">
        <v>1574</v>
      </c>
      <c r="K64" s="49" t="s">
        <v>1574</v>
      </c>
      <c r="L64" s="49">
        <v>0.51039999999999996</v>
      </c>
      <c r="M64" s="49">
        <v>1.0373000000000001</v>
      </c>
      <c r="N64" s="49">
        <v>0.78989719999999997</v>
      </c>
      <c r="O64" s="49">
        <v>0.92700000000000005</v>
      </c>
      <c r="P64" s="49">
        <v>0.81900079999999997</v>
      </c>
      <c r="Q64" s="49">
        <v>1.039501</v>
      </c>
      <c r="R64" s="49">
        <v>0.92259959999999996</v>
      </c>
      <c r="S64" s="49">
        <v>302.60000000000002</v>
      </c>
      <c r="T64" s="49" t="s">
        <v>1574</v>
      </c>
      <c r="U64" s="49" t="s">
        <v>1574</v>
      </c>
      <c r="V64" s="49">
        <v>346.68</v>
      </c>
      <c r="W64" s="49">
        <v>237.55</v>
      </c>
      <c r="X64" s="49" t="s">
        <v>1574</v>
      </c>
      <c r="Y64" s="49">
        <v>109.96</v>
      </c>
      <c r="Z64" s="49">
        <v>243</v>
      </c>
      <c r="AA64" s="49">
        <v>92.2</v>
      </c>
      <c r="AB64" s="49" t="s">
        <v>1574</v>
      </c>
      <c r="AC64" s="49" t="s">
        <v>1574</v>
      </c>
      <c r="AD64" s="49">
        <v>25.59364599721</v>
      </c>
      <c r="AE64" s="49">
        <v>55.12</v>
      </c>
      <c r="AF64" s="49">
        <v>48.5</v>
      </c>
      <c r="AG64" s="49">
        <v>123.44</v>
      </c>
      <c r="AH64" s="49" t="s">
        <v>1574</v>
      </c>
      <c r="AI64" s="49" t="s">
        <v>1574</v>
      </c>
      <c r="AJ64" s="49" t="s">
        <v>1574</v>
      </c>
      <c r="AK64" s="49" t="s">
        <v>1574</v>
      </c>
      <c r="AL64" s="49">
        <v>69.08</v>
      </c>
      <c r="AM64" s="49" t="s">
        <v>1574</v>
      </c>
      <c r="AN64" s="49">
        <v>0.1759</v>
      </c>
      <c r="AO64" s="49">
        <v>8.4000000000000005E-2</v>
      </c>
      <c r="AP64" s="49">
        <v>0.81789999999999996</v>
      </c>
      <c r="AQ64" s="49">
        <v>0.34021397486999999</v>
      </c>
      <c r="AR64" s="49" t="s">
        <v>1574</v>
      </c>
      <c r="AS64" s="49">
        <v>1.8959732</v>
      </c>
      <c r="AT64" s="49">
        <v>0.12676565000000001</v>
      </c>
      <c r="AU64" s="49">
        <v>0.12345871999999999</v>
      </c>
      <c r="AV64" s="49">
        <v>7.8299999999999995E-2</v>
      </c>
      <c r="AW64" s="49">
        <v>1488.3</v>
      </c>
      <c r="AX64" s="49" t="s">
        <v>1574</v>
      </c>
      <c r="AY64" s="49">
        <v>28.89</v>
      </c>
      <c r="AZ64" s="49" t="s">
        <v>1574</v>
      </c>
      <c r="BA64" s="49">
        <v>141.30541463610001</v>
      </c>
      <c r="BB64" s="49" t="s">
        <v>1574</v>
      </c>
      <c r="BC64" s="49">
        <v>0.6482</v>
      </c>
      <c r="BD64" s="49" t="s">
        <v>1574</v>
      </c>
      <c r="BE64" s="49">
        <v>0.49819999999999998</v>
      </c>
      <c r="BF64" s="49">
        <v>12.5</v>
      </c>
      <c r="BG64" s="49" t="s">
        <v>1599</v>
      </c>
      <c r="BH64" s="49">
        <v>53</v>
      </c>
      <c r="BI64" s="49">
        <v>60.5</v>
      </c>
      <c r="BJ64" s="49">
        <v>32.5</v>
      </c>
      <c r="BK64" s="49">
        <v>529.10888671875</v>
      </c>
      <c r="BL64" s="49">
        <v>10.24</v>
      </c>
      <c r="BM64" s="49">
        <v>1162.05</v>
      </c>
      <c r="BN64" s="49">
        <v>300.89999999999998</v>
      </c>
      <c r="BO64" s="49">
        <v>3933</v>
      </c>
      <c r="BP64" s="49">
        <v>1742</v>
      </c>
      <c r="BQ64" s="49">
        <v>355.1</v>
      </c>
      <c r="BR64" s="49">
        <v>35.1</v>
      </c>
      <c r="BS64" s="49">
        <v>88.5</v>
      </c>
      <c r="BT64" s="49">
        <v>1.2929999999999999</v>
      </c>
      <c r="BU64" s="41"/>
      <c r="BV64" s="41"/>
      <c r="BW64" s="41"/>
      <c r="BX64" s="41"/>
      <c r="BY64" s="41"/>
      <c r="BZ64" s="41"/>
      <c r="CA64" s="41"/>
      <c r="CB64" s="41"/>
      <c r="CC64" s="41"/>
      <c r="CD64" s="41"/>
      <c r="CE64" s="41"/>
      <c r="CF64" s="41"/>
      <c r="CG64" s="41"/>
      <c r="CH64" s="41"/>
      <c r="CI64" s="41"/>
      <c r="CJ64" s="41"/>
      <c r="CK64" s="41"/>
    </row>
    <row r="65" spans="1:89">
      <c r="A65" s="41" t="s">
        <v>194</v>
      </c>
      <c r="B65" s="51">
        <v>1.45</v>
      </c>
      <c r="C65" s="51">
        <v>1.45</v>
      </c>
      <c r="D65" s="51">
        <v>1.45</v>
      </c>
      <c r="E65" s="51" t="s">
        <v>1574</v>
      </c>
      <c r="F65" s="51" t="s">
        <v>1574</v>
      </c>
      <c r="G65" s="51" t="s">
        <v>1574</v>
      </c>
      <c r="H65" s="51">
        <v>0.15</v>
      </c>
      <c r="I65" s="51">
        <v>0.38414980236000001</v>
      </c>
      <c r="J65" s="51" t="s">
        <v>1574</v>
      </c>
      <c r="K65" s="51" t="s">
        <v>1574</v>
      </c>
      <c r="L65" s="51">
        <v>0.50900000000000001</v>
      </c>
      <c r="M65" s="51">
        <v>1.0379</v>
      </c>
      <c r="N65" s="51">
        <v>0.77380380000000004</v>
      </c>
      <c r="O65" s="51">
        <v>0.92700000000000005</v>
      </c>
      <c r="P65" s="51">
        <v>0.81900079999999997</v>
      </c>
      <c r="Q65" s="51">
        <v>1.039501</v>
      </c>
      <c r="R65" s="51">
        <v>0.92259959999999996</v>
      </c>
      <c r="S65" s="51">
        <v>311.39999999999998</v>
      </c>
      <c r="T65" s="51" t="s">
        <v>1574</v>
      </c>
      <c r="U65" s="51" t="s">
        <v>1574</v>
      </c>
      <c r="V65" s="51">
        <v>370.65</v>
      </c>
      <c r="W65" s="51">
        <v>250.77</v>
      </c>
      <c r="X65" s="51" t="s">
        <v>1574</v>
      </c>
      <c r="Y65" s="51">
        <v>114.09</v>
      </c>
      <c r="Z65" s="51">
        <v>270</v>
      </c>
      <c r="AA65" s="51">
        <v>88.9</v>
      </c>
      <c r="AB65" s="51" t="s">
        <v>1574</v>
      </c>
      <c r="AC65" s="51" t="s">
        <v>1574</v>
      </c>
      <c r="AD65" s="51">
        <v>25.195592894899999</v>
      </c>
      <c r="AE65" s="51">
        <v>52.8</v>
      </c>
      <c r="AF65" s="51">
        <v>47.4</v>
      </c>
      <c r="AG65" s="51">
        <v>121.48</v>
      </c>
      <c r="AH65" s="51" t="s">
        <v>1574</v>
      </c>
      <c r="AI65" s="51" t="s">
        <v>1574</v>
      </c>
      <c r="AJ65" s="51" t="s">
        <v>1574</v>
      </c>
      <c r="AK65" s="51" t="s">
        <v>1574</v>
      </c>
      <c r="AL65" s="51">
        <v>68.709999999999994</v>
      </c>
      <c r="AM65" s="51" t="s">
        <v>1574</v>
      </c>
      <c r="AN65" s="51">
        <v>0.16400000000000001</v>
      </c>
      <c r="AO65" s="51">
        <v>8.4000000000000005E-2</v>
      </c>
      <c r="AP65" s="51">
        <v>0.84440000000000004</v>
      </c>
      <c r="AQ65" s="51">
        <v>0.34051048536</v>
      </c>
      <c r="AR65" s="51" t="s">
        <v>1574</v>
      </c>
      <c r="AS65" s="51">
        <v>1.9180193999999999</v>
      </c>
      <c r="AT65" s="51">
        <v>0.12676565000000001</v>
      </c>
      <c r="AU65" s="51">
        <v>0.12566334000000001</v>
      </c>
      <c r="AV65" s="51">
        <v>7.6899999999999996E-2</v>
      </c>
      <c r="AW65" s="51">
        <v>1488.3</v>
      </c>
      <c r="AX65" s="51" t="s">
        <v>1574</v>
      </c>
      <c r="AY65" s="51">
        <v>28.89</v>
      </c>
      <c r="AZ65" s="51" t="s">
        <v>1574</v>
      </c>
      <c r="BA65" s="51">
        <v>141.30541463610001</v>
      </c>
      <c r="BB65" s="51" t="s">
        <v>1574</v>
      </c>
      <c r="BC65" s="51">
        <v>0.64600000000000002</v>
      </c>
      <c r="BD65" s="51" t="s">
        <v>1574</v>
      </c>
      <c r="BE65" s="51">
        <v>0.5181</v>
      </c>
      <c r="BF65" s="51">
        <v>12.5</v>
      </c>
      <c r="BG65" s="51" t="s">
        <v>1599</v>
      </c>
      <c r="BH65" s="51">
        <v>53</v>
      </c>
      <c r="BI65" s="51">
        <v>60.5</v>
      </c>
      <c r="BJ65" s="51">
        <v>32.5</v>
      </c>
      <c r="BK65" s="51">
        <v>529.10888671875</v>
      </c>
      <c r="BL65" s="51">
        <v>10.24</v>
      </c>
      <c r="BM65" s="51">
        <v>1358.27</v>
      </c>
      <c r="BN65" s="51">
        <v>331.8</v>
      </c>
      <c r="BO65" s="51">
        <v>4371.8</v>
      </c>
      <c r="BP65" s="51">
        <v>1741</v>
      </c>
      <c r="BQ65" s="51">
        <v>334.4</v>
      </c>
      <c r="BR65" s="51">
        <v>35.1</v>
      </c>
      <c r="BS65" s="51">
        <v>88.5</v>
      </c>
      <c r="BT65" s="51">
        <v>1.2929999999999999</v>
      </c>
      <c r="BU65" s="41"/>
      <c r="BV65" s="41"/>
      <c r="BW65" s="41"/>
      <c r="BX65" s="41"/>
      <c r="BY65" s="41"/>
      <c r="BZ65" s="41"/>
      <c r="CA65" s="41"/>
      <c r="CB65" s="41"/>
      <c r="CC65" s="41"/>
      <c r="CD65" s="41"/>
      <c r="CE65" s="41"/>
      <c r="CF65" s="41"/>
      <c r="CG65" s="41"/>
      <c r="CH65" s="41"/>
      <c r="CI65" s="41"/>
      <c r="CJ65" s="41"/>
      <c r="CK65" s="41"/>
    </row>
    <row r="66" spans="1:89">
      <c r="A66" s="48" t="s">
        <v>195</v>
      </c>
      <c r="B66" s="49">
        <v>1.45</v>
      </c>
      <c r="C66" s="49">
        <v>1.45</v>
      </c>
      <c r="D66" s="49">
        <v>1.45</v>
      </c>
      <c r="E66" s="49" t="s">
        <v>1574</v>
      </c>
      <c r="F66" s="49" t="s">
        <v>1574</v>
      </c>
      <c r="G66" s="49" t="s">
        <v>1574</v>
      </c>
      <c r="H66" s="49">
        <v>0.15</v>
      </c>
      <c r="I66" s="49">
        <v>0.38414980236000001</v>
      </c>
      <c r="J66" s="49" t="s">
        <v>1574</v>
      </c>
      <c r="K66" s="49" t="s">
        <v>1574</v>
      </c>
      <c r="L66" s="49">
        <v>0.52010000000000001</v>
      </c>
      <c r="M66" s="49">
        <v>1.034</v>
      </c>
      <c r="N66" s="49">
        <v>0.78791299999999997</v>
      </c>
      <c r="O66" s="49">
        <v>0.92700000000000005</v>
      </c>
      <c r="P66" s="49">
        <v>0.81900079999999997</v>
      </c>
      <c r="Q66" s="49">
        <v>1.039501</v>
      </c>
      <c r="R66" s="49">
        <v>0.92259959999999996</v>
      </c>
      <c r="S66" s="49">
        <v>314.39999999999998</v>
      </c>
      <c r="T66" s="49" t="s">
        <v>1574</v>
      </c>
      <c r="U66" s="49" t="s">
        <v>1574</v>
      </c>
      <c r="V66" s="49">
        <v>359.63</v>
      </c>
      <c r="W66" s="49">
        <v>254.91</v>
      </c>
      <c r="X66" s="49" t="s">
        <v>1574</v>
      </c>
      <c r="Y66" s="49">
        <v>117.67</v>
      </c>
      <c r="Z66" s="49">
        <v>270</v>
      </c>
      <c r="AA66" s="49">
        <v>84.5</v>
      </c>
      <c r="AB66" s="49" t="s">
        <v>1574</v>
      </c>
      <c r="AC66" s="49" t="s">
        <v>1574</v>
      </c>
      <c r="AD66" s="49">
        <v>25.11402177958</v>
      </c>
      <c r="AE66" s="49">
        <v>52.8</v>
      </c>
      <c r="AF66" s="49">
        <v>47.18</v>
      </c>
      <c r="AG66" s="49">
        <v>120.97</v>
      </c>
      <c r="AH66" s="49" t="s">
        <v>1574</v>
      </c>
      <c r="AI66" s="49" t="s">
        <v>1574</v>
      </c>
      <c r="AJ66" s="49" t="s">
        <v>1574</v>
      </c>
      <c r="AK66" s="49" t="s">
        <v>1574</v>
      </c>
      <c r="AL66" s="49">
        <v>67.98</v>
      </c>
      <c r="AM66" s="49" t="s">
        <v>1574</v>
      </c>
      <c r="AN66" s="49">
        <v>0.16489999999999999</v>
      </c>
      <c r="AO66" s="49">
        <v>8.4000000000000005E-2</v>
      </c>
      <c r="AP66" s="49">
        <v>0.83560000000000001</v>
      </c>
      <c r="AQ66" s="49">
        <v>0.34059879992999997</v>
      </c>
      <c r="AR66" s="49" t="s">
        <v>1574</v>
      </c>
      <c r="AS66" s="49">
        <v>2.0943890000000001</v>
      </c>
      <c r="AT66" s="49">
        <v>0.12676565000000001</v>
      </c>
      <c r="AU66" s="49">
        <v>0.12345871999999999</v>
      </c>
      <c r="AV66" s="49">
        <v>7.2499999999999995E-2</v>
      </c>
      <c r="AW66" s="49">
        <v>1488.3</v>
      </c>
      <c r="AX66" s="49" t="s">
        <v>1574</v>
      </c>
      <c r="AY66" s="49">
        <v>29.44</v>
      </c>
      <c r="AZ66" s="49" t="s">
        <v>1574</v>
      </c>
      <c r="BA66" s="49">
        <v>142.75178459014001</v>
      </c>
      <c r="BB66" s="49" t="s">
        <v>1574</v>
      </c>
      <c r="BC66" s="49">
        <v>0.64129999999999998</v>
      </c>
      <c r="BD66" s="49" t="s">
        <v>1574</v>
      </c>
      <c r="BE66" s="49">
        <v>0.50929999999999997</v>
      </c>
      <c r="BF66" s="49">
        <v>12.5</v>
      </c>
      <c r="BG66" s="49" t="s">
        <v>1599</v>
      </c>
      <c r="BH66" s="49">
        <v>53</v>
      </c>
      <c r="BI66" s="49">
        <v>60.5</v>
      </c>
      <c r="BJ66" s="49">
        <v>32.5</v>
      </c>
      <c r="BK66" s="49">
        <v>529.10888671875</v>
      </c>
      <c r="BL66" s="49">
        <v>10.24</v>
      </c>
      <c r="BM66" s="49">
        <v>1400.37</v>
      </c>
      <c r="BN66" s="49">
        <v>365.1</v>
      </c>
      <c r="BO66" s="49">
        <v>4105</v>
      </c>
      <c r="BP66" s="49">
        <v>1742</v>
      </c>
      <c r="BQ66" s="49">
        <v>344.6</v>
      </c>
      <c r="BR66" s="49">
        <v>35.1</v>
      </c>
      <c r="BS66" s="49">
        <v>88.5</v>
      </c>
      <c r="BT66" s="49">
        <v>1.2929999999999999</v>
      </c>
      <c r="BU66" s="41"/>
      <c r="BV66" s="41"/>
      <c r="BW66" s="41"/>
      <c r="BX66" s="41"/>
      <c r="BY66" s="41"/>
      <c r="BZ66" s="41"/>
      <c r="CA66" s="41"/>
      <c r="CB66" s="41"/>
      <c r="CC66" s="41"/>
      <c r="CD66" s="41"/>
      <c r="CE66" s="41"/>
      <c r="CF66" s="41"/>
      <c r="CG66" s="41"/>
      <c r="CH66" s="41"/>
      <c r="CI66" s="41"/>
      <c r="CJ66" s="41"/>
      <c r="CK66" s="41"/>
    </row>
    <row r="67" spans="1:89">
      <c r="A67" s="41" t="s">
        <v>196</v>
      </c>
      <c r="B67" s="51">
        <v>1.45</v>
      </c>
      <c r="C67" s="51">
        <v>1.45</v>
      </c>
      <c r="D67" s="51">
        <v>1.45</v>
      </c>
      <c r="E67" s="51" t="s">
        <v>1574</v>
      </c>
      <c r="F67" s="51" t="s">
        <v>1574</v>
      </c>
      <c r="G67" s="51" t="s">
        <v>1574</v>
      </c>
      <c r="H67" s="51">
        <v>0.15</v>
      </c>
      <c r="I67" s="51">
        <v>0.38414980236000001</v>
      </c>
      <c r="J67" s="51" t="s">
        <v>1574</v>
      </c>
      <c r="K67" s="51" t="s">
        <v>1574</v>
      </c>
      <c r="L67" s="51">
        <v>0.50180000000000002</v>
      </c>
      <c r="M67" s="51">
        <v>1.0053000000000001</v>
      </c>
      <c r="N67" s="51">
        <v>0.76366279999999997</v>
      </c>
      <c r="O67" s="51">
        <v>0.92700000000000005</v>
      </c>
      <c r="P67" s="51">
        <v>0.81900079999999997</v>
      </c>
      <c r="Q67" s="51">
        <v>1.039501</v>
      </c>
      <c r="R67" s="51">
        <v>0.92259959999999996</v>
      </c>
      <c r="S67" s="51">
        <v>326</v>
      </c>
      <c r="T67" s="51" t="s">
        <v>1574</v>
      </c>
      <c r="U67" s="51" t="s">
        <v>1574</v>
      </c>
      <c r="V67" s="51">
        <v>372.86</v>
      </c>
      <c r="W67" s="51">
        <v>261.25</v>
      </c>
      <c r="X67" s="51" t="s">
        <v>1574</v>
      </c>
      <c r="Y67" s="51">
        <v>121.8</v>
      </c>
      <c r="Z67" s="51">
        <v>317</v>
      </c>
      <c r="AA67" s="51">
        <v>86.7</v>
      </c>
      <c r="AB67" s="51" t="s">
        <v>1574</v>
      </c>
      <c r="AC67" s="51" t="s">
        <v>1574</v>
      </c>
      <c r="AD67" s="51">
        <v>25.405418292450001</v>
      </c>
      <c r="AE67" s="51">
        <v>54.33</v>
      </c>
      <c r="AF67" s="51">
        <v>48.72</v>
      </c>
      <c r="AG67" s="51">
        <v>119.08</v>
      </c>
      <c r="AH67" s="51" t="s">
        <v>1574</v>
      </c>
      <c r="AI67" s="51" t="s">
        <v>1574</v>
      </c>
      <c r="AJ67" s="51" t="s">
        <v>1574</v>
      </c>
      <c r="AK67" s="51" t="s">
        <v>1574</v>
      </c>
      <c r="AL67" s="51">
        <v>67.98</v>
      </c>
      <c r="AM67" s="51" t="s">
        <v>1574</v>
      </c>
      <c r="AN67" s="51">
        <v>0.12609999999999999</v>
      </c>
      <c r="AO67" s="51">
        <v>9.1700000000000004E-2</v>
      </c>
      <c r="AP67" s="51">
        <v>0.85980000000000001</v>
      </c>
      <c r="AQ67" s="51">
        <v>0.34180254245000002</v>
      </c>
      <c r="AR67" s="51" t="s">
        <v>1574</v>
      </c>
      <c r="AS67" s="51">
        <v>2.1164352000000002</v>
      </c>
      <c r="AT67" s="51">
        <v>0.12456103</v>
      </c>
      <c r="AU67" s="51">
        <v>0.13227720000000001</v>
      </c>
      <c r="AV67" s="51">
        <v>5.91E-2</v>
      </c>
      <c r="AW67" s="51">
        <v>1488.3</v>
      </c>
      <c r="AX67" s="51" t="s">
        <v>1574</v>
      </c>
      <c r="AY67" s="51">
        <v>30.56</v>
      </c>
      <c r="AZ67" s="51" t="s">
        <v>1574</v>
      </c>
      <c r="BA67" s="51">
        <v>145.65920662297</v>
      </c>
      <c r="BB67" s="51" t="s">
        <v>1574</v>
      </c>
      <c r="BC67" s="51">
        <v>0.64259999999999995</v>
      </c>
      <c r="BD67" s="51" t="s">
        <v>1574</v>
      </c>
      <c r="BE67" s="51">
        <v>0.50039999999999996</v>
      </c>
      <c r="BF67" s="51">
        <v>12.5</v>
      </c>
      <c r="BG67" s="51" t="s">
        <v>1599</v>
      </c>
      <c r="BH67" s="51">
        <v>53</v>
      </c>
      <c r="BI67" s="51">
        <v>60.5</v>
      </c>
      <c r="BJ67" s="51">
        <v>32.5</v>
      </c>
      <c r="BK67" s="51">
        <v>540.1318359375</v>
      </c>
      <c r="BL67" s="51">
        <v>10.24</v>
      </c>
      <c r="BM67" s="51">
        <v>1269.2</v>
      </c>
      <c r="BN67" s="51">
        <v>383.6</v>
      </c>
      <c r="BO67" s="51">
        <v>3633.2</v>
      </c>
      <c r="BP67" s="51">
        <v>1742</v>
      </c>
      <c r="BQ67" s="51">
        <v>343</v>
      </c>
      <c r="BR67" s="51">
        <v>35.1</v>
      </c>
      <c r="BS67" s="51">
        <v>88.5</v>
      </c>
      <c r="BT67" s="51">
        <v>1.2929999999999999</v>
      </c>
      <c r="BU67" s="41"/>
      <c r="BV67" s="41"/>
      <c r="BW67" s="41"/>
      <c r="BX67" s="41"/>
      <c r="BY67" s="41"/>
      <c r="BZ67" s="41"/>
      <c r="CA67" s="41"/>
      <c r="CB67" s="41"/>
      <c r="CC67" s="41"/>
      <c r="CD67" s="41"/>
      <c r="CE67" s="41"/>
      <c r="CF67" s="41"/>
      <c r="CG67" s="41"/>
      <c r="CH67" s="41"/>
      <c r="CI67" s="41"/>
      <c r="CJ67" s="41"/>
      <c r="CK67" s="41"/>
    </row>
    <row r="68" spans="1:89">
      <c r="A68" s="48" t="s">
        <v>197</v>
      </c>
      <c r="B68" s="49">
        <v>1.42</v>
      </c>
      <c r="C68" s="49">
        <v>1.42</v>
      </c>
      <c r="D68" s="49">
        <v>1.42</v>
      </c>
      <c r="E68" s="49" t="s">
        <v>1574</v>
      </c>
      <c r="F68" s="49" t="s">
        <v>1574</v>
      </c>
      <c r="G68" s="49" t="s">
        <v>1574</v>
      </c>
      <c r="H68" s="49">
        <v>0.16</v>
      </c>
      <c r="I68" s="49">
        <v>0.41076610522000001</v>
      </c>
      <c r="J68" s="49" t="s">
        <v>1574</v>
      </c>
      <c r="K68" s="49" t="s">
        <v>1574</v>
      </c>
      <c r="L68" s="49">
        <v>0.47</v>
      </c>
      <c r="M68" s="49">
        <v>1.0119</v>
      </c>
      <c r="N68" s="49">
        <v>0.62830220000000003</v>
      </c>
      <c r="O68" s="49">
        <v>1.0003</v>
      </c>
      <c r="P68" s="49">
        <v>0.84630090000000002</v>
      </c>
      <c r="Q68" s="49">
        <v>1.142401</v>
      </c>
      <c r="R68" s="49">
        <v>1.0122</v>
      </c>
      <c r="S68" s="49">
        <v>337.6</v>
      </c>
      <c r="T68" s="49" t="s">
        <v>1574</v>
      </c>
      <c r="U68" s="49" t="s">
        <v>1574</v>
      </c>
      <c r="V68" s="49">
        <v>361.28</v>
      </c>
      <c r="W68" s="49">
        <v>266.20999999999998</v>
      </c>
      <c r="X68" s="49" t="s">
        <v>1574</v>
      </c>
      <c r="Y68" s="49">
        <v>123.46</v>
      </c>
      <c r="Z68" s="49">
        <v>284</v>
      </c>
      <c r="AA68" s="49">
        <v>92.4</v>
      </c>
      <c r="AB68" s="49" t="s">
        <v>1574</v>
      </c>
      <c r="AC68" s="49" t="s">
        <v>1574</v>
      </c>
      <c r="AD68" s="49">
        <v>25.37793498764</v>
      </c>
      <c r="AE68" s="49">
        <v>55.9</v>
      </c>
      <c r="AF68" s="49">
        <v>49.82</v>
      </c>
      <c r="AG68" s="49">
        <v>114.61</v>
      </c>
      <c r="AH68" s="49" t="s">
        <v>1574</v>
      </c>
      <c r="AI68" s="49" t="s">
        <v>1574</v>
      </c>
      <c r="AJ68" s="49" t="s">
        <v>1574</v>
      </c>
      <c r="AK68" s="49" t="s">
        <v>1574</v>
      </c>
      <c r="AL68" s="49">
        <v>66.14</v>
      </c>
      <c r="AM68" s="49" t="s">
        <v>1574</v>
      </c>
      <c r="AN68" s="49">
        <v>0.127</v>
      </c>
      <c r="AO68" s="49">
        <v>7.5899999999999995E-2</v>
      </c>
      <c r="AP68" s="49">
        <v>0.85250000000000004</v>
      </c>
      <c r="AQ68" s="49">
        <v>0.34356775693000002</v>
      </c>
      <c r="AR68" s="49" t="s">
        <v>1574</v>
      </c>
      <c r="AS68" s="49">
        <v>2.0943890000000001</v>
      </c>
      <c r="AT68" s="49">
        <v>0.12456103</v>
      </c>
      <c r="AU68" s="49">
        <v>0.13889106000000001</v>
      </c>
      <c r="AV68" s="49">
        <v>5.1299999999999998E-2</v>
      </c>
      <c r="AW68" s="49">
        <v>1265.4100000000001</v>
      </c>
      <c r="AX68" s="49" t="s">
        <v>1574</v>
      </c>
      <c r="AY68" s="49">
        <v>30.56</v>
      </c>
      <c r="AZ68" s="49" t="s">
        <v>1574</v>
      </c>
      <c r="BA68" s="49">
        <v>145.65920662297</v>
      </c>
      <c r="BB68" s="49" t="s">
        <v>1574</v>
      </c>
      <c r="BC68" s="49">
        <v>0.64239999999999997</v>
      </c>
      <c r="BD68" s="49" t="s">
        <v>1574</v>
      </c>
      <c r="BE68" s="49">
        <v>0.51370000000000005</v>
      </c>
      <c r="BF68" s="49">
        <v>14</v>
      </c>
      <c r="BG68" s="49" t="s">
        <v>1599</v>
      </c>
      <c r="BH68" s="49">
        <v>54</v>
      </c>
      <c r="BI68" s="49">
        <v>65.75</v>
      </c>
      <c r="BJ68" s="49">
        <v>29.5</v>
      </c>
      <c r="BK68" s="49">
        <v>540.1318359375</v>
      </c>
      <c r="BL68" s="49">
        <v>10.24</v>
      </c>
      <c r="BM68" s="49">
        <v>1000.68</v>
      </c>
      <c r="BN68" s="49">
        <v>347.9</v>
      </c>
      <c r="BO68" s="49">
        <v>3456.8</v>
      </c>
      <c r="BP68" s="49">
        <v>1735</v>
      </c>
      <c r="BQ68" s="49">
        <v>322.3</v>
      </c>
      <c r="BR68" s="49">
        <v>35.119999999999997</v>
      </c>
      <c r="BS68" s="49">
        <v>93</v>
      </c>
      <c r="BT68" s="49">
        <v>1.2929999999999999</v>
      </c>
      <c r="BU68" s="41"/>
      <c r="BV68" s="41"/>
      <c r="BW68" s="41"/>
      <c r="BX68" s="41"/>
      <c r="BY68" s="41"/>
      <c r="BZ68" s="41"/>
      <c r="CA68" s="41"/>
      <c r="CB68" s="41"/>
      <c r="CC68" s="41"/>
      <c r="CD68" s="41"/>
      <c r="CE68" s="41"/>
      <c r="CF68" s="41"/>
      <c r="CG68" s="41"/>
      <c r="CH68" s="41"/>
      <c r="CI68" s="41"/>
      <c r="CJ68" s="41"/>
      <c r="CK68" s="41"/>
    </row>
    <row r="69" spans="1:89">
      <c r="A69" s="41" t="s">
        <v>198</v>
      </c>
      <c r="B69" s="51">
        <v>1.42</v>
      </c>
      <c r="C69" s="51">
        <v>1.42</v>
      </c>
      <c r="D69" s="51">
        <v>1.42</v>
      </c>
      <c r="E69" s="51" t="s">
        <v>1574</v>
      </c>
      <c r="F69" s="51" t="s">
        <v>1574</v>
      </c>
      <c r="G69" s="51" t="s">
        <v>1574</v>
      </c>
      <c r="H69" s="51">
        <v>0.16</v>
      </c>
      <c r="I69" s="51">
        <v>0.41076610522000001</v>
      </c>
      <c r="J69" s="51" t="s">
        <v>1574</v>
      </c>
      <c r="K69" s="51" t="s">
        <v>1574</v>
      </c>
      <c r="L69" s="51">
        <v>0.41909999999999997</v>
      </c>
      <c r="M69" s="51">
        <v>1.0384</v>
      </c>
      <c r="N69" s="51">
        <v>0.63712049999999998</v>
      </c>
      <c r="O69" s="51">
        <v>1.0003</v>
      </c>
      <c r="P69" s="51">
        <v>0.84630090000000002</v>
      </c>
      <c r="Q69" s="51">
        <v>1.142401</v>
      </c>
      <c r="R69" s="51">
        <v>1.0122</v>
      </c>
      <c r="S69" s="51">
        <v>356.9</v>
      </c>
      <c r="T69" s="51" t="s">
        <v>1574</v>
      </c>
      <c r="U69" s="51" t="s">
        <v>1574</v>
      </c>
      <c r="V69" s="51">
        <v>373.13</v>
      </c>
      <c r="W69" s="51">
        <v>283.02</v>
      </c>
      <c r="X69" s="51" t="s">
        <v>1574</v>
      </c>
      <c r="Y69" s="51">
        <v>128.41999999999999</v>
      </c>
      <c r="Z69" s="51">
        <v>303</v>
      </c>
      <c r="AA69" s="51">
        <v>96</v>
      </c>
      <c r="AB69" s="51" t="s">
        <v>1574</v>
      </c>
      <c r="AC69" s="51" t="s">
        <v>1574</v>
      </c>
      <c r="AD69" s="51">
        <v>24.67937518051</v>
      </c>
      <c r="AE69" s="51">
        <v>56.69</v>
      </c>
      <c r="AF69" s="51">
        <v>49.82</v>
      </c>
      <c r="AG69" s="51">
        <v>115.94</v>
      </c>
      <c r="AH69" s="51" t="s">
        <v>1574</v>
      </c>
      <c r="AI69" s="51" t="s">
        <v>1574</v>
      </c>
      <c r="AJ69" s="51" t="s">
        <v>1574</v>
      </c>
      <c r="AK69" s="51" t="s">
        <v>1574</v>
      </c>
      <c r="AL69" s="51">
        <v>61.36</v>
      </c>
      <c r="AM69" s="51" t="s">
        <v>1574</v>
      </c>
      <c r="AN69" s="51">
        <v>0.15809999999999999</v>
      </c>
      <c r="AO69" s="51">
        <v>7.6999999999999999E-2</v>
      </c>
      <c r="AP69" s="51">
        <v>0.85189999999999999</v>
      </c>
      <c r="AQ69" s="51">
        <v>0.34520181425000002</v>
      </c>
      <c r="AR69" s="51" t="s">
        <v>1574</v>
      </c>
      <c r="AS69" s="51">
        <v>2.0062042</v>
      </c>
      <c r="AT69" s="51">
        <v>0.12456103</v>
      </c>
      <c r="AU69" s="51">
        <v>0.13889106000000001</v>
      </c>
      <c r="AV69" s="51">
        <v>4.7600000000000003E-2</v>
      </c>
      <c r="AW69" s="51">
        <v>1265.4100000000001</v>
      </c>
      <c r="AX69" s="51" t="s">
        <v>1574</v>
      </c>
      <c r="AY69" s="51">
        <v>33.33</v>
      </c>
      <c r="AZ69" s="51" t="s">
        <v>1574</v>
      </c>
      <c r="BA69" s="51">
        <v>152.64627140931</v>
      </c>
      <c r="BB69" s="51" t="s">
        <v>1574</v>
      </c>
      <c r="BC69" s="51">
        <v>0.67369999999999997</v>
      </c>
      <c r="BD69" s="51" t="s">
        <v>1574</v>
      </c>
      <c r="BE69" s="51">
        <v>0.5181</v>
      </c>
      <c r="BF69" s="51">
        <v>14</v>
      </c>
      <c r="BG69" s="51" t="s">
        <v>1599</v>
      </c>
      <c r="BH69" s="51">
        <v>54</v>
      </c>
      <c r="BI69" s="51">
        <v>65.75</v>
      </c>
      <c r="BJ69" s="51">
        <v>29.5</v>
      </c>
      <c r="BK69" s="51">
        <v>540.1318359375</v>
      </c>
      <c r="BL69" s="51">
        <v>10.24</v>
      </c>
      <c r="BM69" s="51">
        <v>1179.9100000000001</v>
      </c>
      <c r="BN69" s="51">
        <v>389.6</v>
      </c>
      <c r="BO69" s="51">
        <v>3390.7</v>
      </c>
      <c r="BP69" s="51">
        <v>1735</v>
      </c>
      <c r="BQ69" s="51">
        <v>320.3</v>
      </c>
      <c r="BR69" s="51">
        <v>35.119999999999997</v>
      </c>
      <c r="BS69" s="51">
        <v>98.5</v>
      </c>
      <c r="BT69" s="51">
        <v>1.2929999999999999</v>
      </c>
      <c r="BU69" s="41"/>
      <c r="BV69" s="41"/>
      <c r="BW69" s="41"/>
      <c r="BX69" s="41"/>
      <c r="BY69" s="41"/>
      <c r="BZ69" s="41"/>
      <c r="CA69" s="41"/>
      <c r="CB69" s="41"/>
      <c r="CC69" s="41"/>
      <c r="CD69" s="41"/>
      <c r="CE69" s="41"/>
      <c r="CF69" s="41"/>
      <c r="CG69" s="41"/>
      <c r="CH69" s="41"/>
      <c r="CI69" s="41"/>
      <c r="CJ69" s="41"/>
      <c r="CK69" s="41"/>
    </row>
    <row r="70" spans="1:89">
      <c r="A70" s="48" t="s">
        <v>199</v>
      </c>
      <c r="B70" s="49">
        <v>1.42</v>
      </c>
      <c r="C70" s="49">
        <v>1.42</v>
      </c>
      <c r="D70" s="49">
        <v>1.42</v>
      </c>
      <c r="E70" s="49" t="s">
        <v>1574</v>
      </c>
      <c r="F70" s="49" t="s">
        <v>1574</v>
      </c>
      <c r="G70" s="49" t="s">
        <v>1574</v>
      </c>
      <c r="H70" s="49">
        <v>0.16</v>
      </c>
      <c r="I70" s="49">
        <v>0.41076610522000001</v>
      </c>
      <c r="J70" s="49" t="s">
        <v>1574</v>
      </c>
      <c r="K70" s="49" t="s">
        <v>1574</v>
      </c>
      <c r="L70" s="49">
        <v>0.35299999999999998</v>
      </c>
      <c r="M70" s="49">
        <v>0.9899</v>
      </c>
      <c r="N70" s="49">
        <v>0.57980169999999998</v>
      </c>
      <c r="O70" s="49">
        <v>1.0003</v>
      </c>
      <c r="P70" s="49">
        <v>0.84630090000000002</v>
      </c>
      <c r="Q70" s="49">
        <v>1.142401</v>
      </c>
      <c r="R70" s="49">
        <v>1.0122</v>
      </c>
      <c r="S70" s="49">
        <v>356.9</v>
      </c>
      <c r="T70" s="49" t="s">
        <v>1574</v>
      </c>
      <c r="U70" s="49" t="s">
        <v>1574</v>
      </c>
      <c r="V70" s="49">
        <v>344.2</v>
      </c>
      <c r="W70" s="49">
        <v>292.11</v>
      </c>
      <c r="X70" s="49" t="s">
        <v>1574</v>
      </c>
      <c r="Y70" s="49">
        <v>124.84</v>
      </c>
      <c r="Z70" s="49">
        <v>300</v>
      </c>
      <c r="AA70" s="49">
        <v>93.6</v>
      </c>
      <c r="AB70" s="49" t="s">
        <v>1574</v>
      </c>
      <c r="AC70" s="49" t="s">
        <v>1574</v>
      </c>
      <c r="AD70" s="49">
        <v>24.710340438079999</v>
      </c>
      <c r="AE70" s="49">
        <v>57.08</v>
      </c>
      <c r="AF70" s="49">
        <v>48.94</v>
      </c>
      <c r="AG70" s="49">
        <v>115.56</v>
      </c>
      <c r="AH70" s="49" t="s">
        <v>1574</v>
      </c>
      <c r="AI70" s="49" t="s">
        <v>1574</v>
      </c>
      <c r="AJ70" s="49" t="s">
        <v>1574</v>
      </c>
      <c r="AK70" s="49" t="s">
        <v>1574</v>
      </c>
      <c r="AL70" s="49">
        <v>60.99</v>
      </c>
      <c r="AM70" s="49" t="s">
        <v>1574</v>
      </c>
      <c r="AN70" s="49">
        <v>0.15190000000000001</v>
      </c>
      <c r="AO70" s="49">
        <v>7.8E-2</v>
      </c>
      <c r="AP70" s="49">
        <v>0.85140000000000005</v>
      </c>
      <c r="AQ70" s="49">
        <v>0.34590283672</v>
      </c>
      <c r="AR70" s="49" t="s">
        <v>1574</v>
      </c>
      <c r="AS70" s="49">
        <v>2.0282504000000001</v>
      </c>
      <c r="AT70" s="49">
        <v>0.12456103</v>
      </c>
      <c r="AU70" s="49">
        <v>0.13227720000000001</v>
      </c>
      <c r="AV70" s="49">
        <v>5.3400000000000003E-2</v>
      </c>
      <c r="AW70" s="49">
        <v>1265.4100000000001</v>
      </c>
      <c r="AX70" s="49" t="s">
        <v>1574</v>
      </c>
      <c r="AY70" s="49">
        <v>34.17</v>
      </c>
      <c r="AZ70" s="49" t="s">
        <v>1574</v>
      </c>
      <c r="BA70" s="49">
        <v>154.71179313920999</v>
      </c>
      <c r="BB70" s="49" t="s">
        <v>1574</v>
      </c>
      <c r="BC70" s="49">
        <v>0.64639999999999997</v>
      </c>
      <c r="BD70" s="49" t="s">
        <v>1574</v>
      </c>
      <c r="BE70" s="49">
        <v>0.52029999999999998</v>
      </c>
      <c r="BF70" s="49">
        <v>14</v>
      </c>
      <c r="BG70" s="49" t="s">
        <v>1599</v>
      </c>
      <c r="BH70" s="49">
        <v>54</v>
      </c>
      <c r="BI70" s="49">
        <v>65.75</v>
      </c>
      <c r="BJ70" s="49">
        <v>29.5</v>
      </c>
      <c r="BK70" s="49">
        <v>540.1318359375</v>
      </c>
      <c r="BL70" s="49">
        <v>10.24</v>
      </c>
      <c r="BM70" s="49">
        <v>1237.23</v>
      </c>
      <c r="BN70" s="49">
        <v>395.3</v>
      </c>
      <c r="BO70" s="49">
        <v>3584.7</v>
      </c>
      <c r="BP70" s="49">
        <v>1735</v>
      </c>
      <c r="BQ70" s="49">
        <v>315.89999999999998</v>
      </c>
      <c r="BR70" s="49">
        <v>35.119999999999997</v>
      </c>
      <c r="BS70" s="49">
        <v>98.5</v>
      </c>
      <c r="BT70" s="49">
        <v>1.2929999999999999</v>
      </c>
      <c r="BU70" s="41"/>
      <c r="BV70" s="41"/>
      <c r="BW70" s="41"/>
      <c r="BX70" s="41"/>
      <c r="BY70" s="41"/>
      <c r="BZ70" s="41"/>
      <c r="CA70" s="41"/>
      <c r="CB70" s="41"/>
      <c r="CC70" s="41"/>
      <c r="CD70" s="41"/>
      <c r="CE70" s="41"/>
      <c r="CF70" s="41"/>
      <c r="CG70" s="41"/>
      <c r="CH70" s="41"/>
      <c r="CI70" s="41"/>
      <c r="CJ70" s="41"/>
      <c r="CK70" s="41"/>
    </row>
    <row r="71" spans="1:89">
      <c r="A71" s="41" t="s">
        <v>200</v>
      </c>
      <c r="B71" s="51">
        <v>1.42</v>
      </c>
      <c r="C71" s="51">
        <v>1.42</v>
      </c>
      <c r="D71" s="51">
        <v>1.42</v>
      </c>
      <c r="E71" s="51" t="s">
        <v>1574</v>
      </c>
      <c r="F71" s="51" t="s">
        <v>1574</v>
      </c>
      <c r="G71" s="51" t="s">
        <v>1574</v>
      </c>
      <c r="H71" s="51">
        <v>0.16</v>
      </c>
      <c r="I71" s="51">
        <v>0.41076610522000001</v>
      </c>
      <c r="J71" s="51" t="s">
        <v>1574</v>
      </c>
      <c r="K71" s="51" t="s">
        <v>1574</v>
      </c>
      <c r="L71" s="51">
        <v>0.34570000000000001</v>
      </c>
      <c r="M71" s="51">
        <v>0.97440000000000004</v>
      </c>
      <c r="N71" s="51">
        <v>0.54695360000000004</v>
      </c>
      <c r="O71" s="51">
        <v>1.0003</v>
      </c>
      <c r="P71" s="51">
        <v>0.84630090000000002</v>
      </c>
      <c r="Q71" s="51">
        <v>1.142401</v>
      </c>
      <c r="R71" s="51">
        <v>1.0122</v>
      </c>
      <c r="S71" s="51">
        <v>356.9</v>
      </c>
      <c r="T71" s="51" t="s">
        <v>1574</v>
      </c>
      <c r="U71" s="51" t="s">
        <v>1574</v>
      </c>
      <c r="V71" s="51">
        <v>325.73</v>
      </c>
      <c r="W71" s="51">
        <v>297.62</v>
      </c>
      <c r="X71" s="51" t="s">
        <v>1574</v>
      </c>
      <c r="Y71" s="51">
        <v>123.46</v>
      </c>
      <c r="Z71" s="51">
        <v>295</v>
      </c>
      <c r="AA71" s="51">
        <v>94.8</v>
      </c>
      <c r="AB71" s="51" t="s">
        <v>1574</v>
      </c>
      <c r="AC71" s="51" t="s">
        <v>1574</v>
      </c>
      <c r="AD71" s="51">
        <v>24.604843525650001</v>
      </c>
      <c r="AE71" s="51">
        <v>57.48</v>
      </c>
      <c r="AF71" s="51">
        <v>47.84</v>
      </c>
      <c r="AG71" s="51">
        <v>113.29</v>
      </c>
      <c r="AH71" s="51" t="s">
        <v>1574</v>
      </c>
      <c r="AI71" s="51" t="s">
        <v>1574</v>
      </c>
      <c r="AJ71" s="51" t="s">
        <v>1574</v>
      </c>
      <c r="AK71" s="51" t="s">
        <v>1574</v>
      </c>
      <c r="AL71" s="51">
        <v>59.89</v>
      </c>
      <c r="AM71" s="51" t="s">
        <v>1574</v>
      </c>
      <c r="AN71" s="51">
        <v>0.16200000000000001</v>
      </c>
      <c r="AO71" s="51">
        <v>9.2100000000000001E-2</v>
      </c>
      <c r="AP71" s="51">
        <v>0.85270000000000001</v>
      </c>
      <c r="AQ71" s="51">
        <v>0.34716961774999999</v>
      </c>
      <c r="AR71" s="51" t="s">
        <v>1574</v>
      </c>
      <c r="AS71" s="51">
        <v>2.0723427999999999</v>
      </c>
      <c r="AT71" s="51">
        <v>0.12456103</v>
      </c>
      <c r="AU71" s="51">
        <v>0.13227720000000001</v>
      </c>
      <c r="AV71" s="51">
        <v>5.1200000000000002E-2</v>
      </c>
      <c r="AW71" s="51">
        <v>1265.4100000000001</v>
      </c>
      <c r="AX71" s="51" t="s">
        <v>1574</v>
      </c>
      <c r="AY71" s="51">
        <v>35.56</v>
      </c>
      <c r="AZ71" s="51" t="s">
        <v>1574</v>
      </c>
      <c r="BA71" s="51">
        <v>158.07910827788999</v>
      </c>
      <c r="BB71" s="51" t="s">
        <v>1574</v>
      </c>
      <c r="BC71" s="51">
        <v>0.64929999999999999</v>
      </c>
      <c r="BD71" s="51" t="s">
        <v>1574</v>
      </c>
      <c r="BE71" s="51">
        <v>0.53349999999999997</v>
      </c>
      <c r="BF71" s="51">
        <v>14</v>
      </c>
      <c r="BG71" s="51" t="s">
        <v>1599</v>
      </c>
      <c r="BH71" s="51">
        <v>54</v>
      </c>
      <c r="BI71" s="51">
        <v>65.75</v>
      </c>
      <c r="BJ71" s="51">
        <v>29.5</v>
      </c>
      <c r="BK71" s="51">
        <v>540.1318359375</v>
      </c>
      <c r="BL71" s="51">
        <v>10.24</v>
      </c>
      <c r="BM71" s="51">
        <v>1348.34</v>
      </c>
      <c r="BN71" s="51">
        <v>353</v>
      </c>
      <c r="BO71" s="51">
        <v>3944.1</v>
      </c>
      <c r="BP71" s="51">
        <v>1735</v>
      </c>
      <c r="BQ71" s="51">
        <v>315.89999999999998</v>
      </c>
      <c r="BR71" s="51">
        <v>35.119999999999997</v>
      </c>
      <c r="BS71" s="51">
        <v>98.5</v>
      </c>
      <c r="BT71" s="51">
        <v>1.2929999999999999</v>
      </c>
      <c r="BU71" s="41"/>
      <c r="BV71" s="41"/>
      <c r="BW71" s="41"/>
      <c r="BX71" s="41"/>
      <c r="BY71" s="41"/>
      <c r="BZ71" s="41"/>
      <c r="CA71" s="41"/>
      <c r="CB71" s="41"/>
      <c r="CC71" s="41"/>
      <c r="CD71" s="41"/>
      <c r="CE71" s="41"/>
      <c r="CF71" s="41"/>
      <c r="CG71" s="41"/>
      <c r="CH71" s="41"/>
      <c r="CI71" s="41"/>
      <c r="CJ71" s="41"/>
      <c r="CK71" s="41"/>
    </row>
    <row r="72" spans="1:89">
      <c r="A72" s="48" t="s">
        <v>201</v>
      </c>
      <c r="B72" s="49">
        <v>1.42</v>
      </c>
      <c r="C72" s="49">
        <v>1.42</v>
      </c>
      <c r="D72" s="49">
        <v>1.42</v>
      </c>
      <c r="E72" s="49" t="s">
        <v>1574</v>
      </c>
      <c r="F72" s="49" t="s">
        <v>1574</v>
      </c>
      <c r="G72" s="49" t="s">
        <v>1574</v>
      </c>
      <c r="H72" s="49">
        <v>0.16</v>
      </c>
      <c r="I72" s="49">
        <v>0.41076610522000001</v>
      </c>
      <c r="J72" s="49" t="s">
        <v>1574</v>
      </c>
      <c r="K72" s="49" t="s">
        <v>1574</v>
      </c>
      <c r="L72" s="49">
        <v>0.3276</v>
      </c>
      <c r="M72" s="49">
        <v>0.96120000000000005</v>
      </c>
      <c r="N72" s="49">
        <v>0.48720980000000003</v>
      </c>
      <c r="O72" s="49">
        <v>1.0003</v>
      </c>
      <c r="P72" s="49">
        <v>0.84630090000000002</v>
      </c>
      <c r="Q72" s="49">
        <v>1.142401</v>
      </c>
      <c r="R72" s="49">
        <v>1.0122</v>
      </c>
      <c r="S72" s="49">
        <v>356.9</v>
      </c>
      <c r="T72" s="49" t="s">
        <v>1574</v>
      </c>
      <c r="U72" s="49" t="s">
        <v>1574</v>
      </c>
      <c r="V72" s="49">
        <v>293.76</v>
      </c>
      <c r="W72" s="49">
        <v>303.13</v>
      </c>
      <c r="X72" s="49" t="s">
        <v>1574</v>
      </c>
      <c r="Y72" s="49">
        <v>118.5</v>
      </c>
      <c r="Z72" s="49">
        <v>256</v>
      </c>
      <c r="AA72" s="49">
        <v>93.6</v>
      </c>
      <c r="AB72" s="49" t="s">
        <v>1574</v>
      </c>
      <c r="AC72" s="49" t="s">
        <v>1574</v>
      </c>
      <c r="AD72" s="49">
        <v>24.68019173743</v>
      </c>
      <c r="AE72" s="49">
        <v>58.66</v>
      </c>
      <c r="AF72" s="49">
        <v>47.84</v>
      </c>
      <c r="AG72" s="49">
        <v>111.77</v>
      </c>
      <c r="AH72" s="49" t="s">
        <v>1574</v>
      </c>
      <c r="AI72" s="49" t="s">
        <v>1574</v>
      </c>
      <c r="AJ72" s="49" t="s">
        <v>1574</v>
      </c>
      <c r="AK72" s="49" t="s">
        <v>1574</v>
      </c>
      <c r="AL72" s="49">
        <v>59.16</v>
      </c>
      <c r="AM72" s="49" t="s">
        <v>1574</v>
      </c>
      <c r="AN72" s="49">
        <v>0.14990000000000001</v>
      </c>
      <c r="AO72" s="49">
        <v>0.14630000000000001</v>
      </c>
      <c r="AP72" s="49">
        <v>0.84040000000000004</v>
      </c>
      <c r="AQ72" s="49">
        <v>0.34806174503999998</v>
      </c>
      <c r="AR72" s="49" t="s">
        <v>1574</v>
      </c>
      <c r="AS72" s="49">
        <v>2.0502965999999998</v>
      </c>
      <c r="AT72" s="49">
        <v>0.12456103</v>
      </c>
      <c r="AU72" s="49">
        <v>0.13668643999999999</v>
      </c>
      <c r="AV72" s="49">
        <v>4.9599999999999998E-2</v>
      </c>
      <c r="AW72" s="49">
        <v>1265.4100000000001</v>
      </c>
      <c r="AX72" s="49" t="s">
        <v>1574</v>
      </c>
      <c r="AY72" s="49">
        <v>35.56</v>
      </c>
      <c r="AZ72" s="49" t="s">
        <v>1574</v>
      </c>
      <c r="BA72" s="49">
        <v>158.07910827788999</v>
      </c>
      <c r="BB72" s="49" t="s">
        <v>1574</v>
      </c>
      <c r="BC72" s="49">
        <v>0.65039999999999998</v>
      </c>
      <c r="BD72" s="49" t="s">
        <v>1574</v>
      </c>
      <c r="BE72" s="49">
        <v>0.53129999999999999</v>
      </c>
      <c r="BF72" s="49">
        <v>14</v>
      </c>
      <c r="BG72" s="49" t="s">
        <v>1599</v>
      </c>
      <c r="BH72" s="49">
        <v>54</v>
      </c>
      <c r="BI72" s="49">
        <v>65.75</v>
      </c>
      <c r="BJ72" s="49">
        <v>29.5</v>
      </c>
      <c r="BK72" s="49">
        <v>540.1318359375</v>
      </c>
      <c r="BL72" s="49">
        <v>15.3</v>
      </c>
      <c r="BM72" s="49">
        <v>1378.55</v>
      </c>
      <c r="BN72" s="49">
        <v>302</v>
      </c>
      <c r="BO72" s="49">
        <v>4215.2</v>
      </c>
      <c r="BP72" s="49">
        <v>1735</v>
      </c>
      <c r="BQ72" s="49">
        <v>323.39999999999998</v>
      </c>
      <c r="BR72" s="49">
        <v>35.119999999999997</v>
      </c>
      <c r="BS72" s="49">
        <v>98.5</v>
      </c>
      <c r="BT72" s="49">
        <v>1.2929999999999999</v>
      </c>
      <c r="BU72" s="41"/>
      <c r="BV72" s="41"/>
      <c r="BW72" s="41"/>
      <c r="BX72" s="41"/>
      <c r="BY72" s="41"/>
      <c r="BZ72" s="41"/>
      <c r="CA72" s="41"/>
      <c r="CB72" s="41"/>
      <c r="CC72" s="41"/>
      <c r="CD72" s="41"/>
      <c r="CE72" s="41"/>
      <c r="CF72" s="41"/>
      <c r="CG72" s="41"/>
      <c r="CH72" s="41"/>
      <c r="CI72" s="41"/>
      <c r="CJ72" s="41"/>
      <c r="CK72" s="41"/>
    </row>
    <row r="73" spans="1:89">
      <c r="A73" s="41" t="s">
        <v>202</v>
      </c>
      <c r="B73" s="51">
        <v>1.42</v>
      </c>
      <c r="C73" s="51">
        <v>1.42</v>
      </c>
      <c r="D73" s="51">
        <v>1.42</v>
      </c>
      <c r="E73" s="51" t="s">
        <v>1574</v>
      </c>
      <c r="F73" s="51" t="s">
        <v>1574</v>
      </c>
      <c r="G73" s="51" t="s">
        <v>1574</v>
      </c>
      <c r="H73" s="51">
        <v>0.16</v>
      </c>
      <c r="I73" s="51">
        <v>0.41076610522000001</v>
      </c>
      <c r="J73" s="51" t="s">
        <v>1574</v>
      </c>
      <c r="K73" s="51" t="s">
        <v>1574</v>
      </c>
      <c r="L73" s="51">
        <v>0.29060000000000002</v>
      </c>
      <c r="M73" s="51">
        <v>0.98109999999999997</v>
      </c>
      <c r="N73" s="51">
        <v>0.61309060000000004</v>
      </c>
      <c r="O73" s="51">
        <v>1.0003</v>
      </c>
      <c r="P73" s="51">
        <v>0.84630090000000002</v>
      </c>
      <c r="Q73" s="51">
        <v>1.142401</v>
      </c>
      <c r="R73" s="51">
        <v>1.0122</v>
      </c>
      <c r="S73" s="51">
        <v>420.5</v>
      </c>
      <c r="T73" s="51" t="s">
        <v>1574</v>
      </c>
      <c r="U73" s="51" t="s">
        <v>1574</v>
      </c>
      <c r="V73" s="51">
        <v>296.52</v>
      </c>
      <c r="W73" s="51">
        <v>294.87</v>
      </c>
      <c r="X73" s="51" t="s">
        <v>1574</v>
      </c>
      <c r="Y73" s="51">
        <v>122.08</v>
      </c>
      <c r="Z73" s="51">
        <v>256</v>
      </c>
      <c r="AA73" s="51">
        <v>93.6</v>
      </c>
      <c r="AB73" s="51" t="s">
        <v>1574</v>
      </c>
      <c r="AC73" s="51" t="s">
        <v>1574</v>
      </c>
      <c r="AD73" s="51">
        <v>24.449309547799999</v>
      </c>
      <c r="AE73" s="51">
        <v>58.26</v>
      </c>
      <c r="AF73" s="51">
        <v>47.84</v>
      </c>
      <c r="AG73" s="51">
        <v>110.88</v>
      </c>
      <c r="AH73" s="51" t="s">
        <v>1574</v>
      </c>
      <c r="AI73" s="51" t="s">
        <v>1574</v>
      </c>
      <c r="AJ73" s="51" t="s">
        <v>1574</v>
      </c>
      <c r="AK73" s="51" t="s">
        <v>1574</v>
      </c>
      <c r="AL73" s="51">
        <v>58.05</v>
      </c>
      <c r="AM73" s="51" t="s">
        <v>1574</v>
      </c>
      <c r="AN73" s="51">
        <v>0.16600000000000001</v>
      </c>
      <c r="AO73" s="51">
        <v>0.11</v>
      </c>
      <c r="AP73" s="51">
        <v>0.86180000000000001</v>
      </c>
      <c r="AQ73" s="51">
        <v>0.34914624691000001</v>
      </c>
      <c r="AR73" s="51" t="s">
        <v>1574</v>
      </c>
      <c r="AS73" s="51">
        <v>1.9621118</v>
      </c>
      <c r="AT73" s="51">
        <v>0.12456103</v>
      </c>
      <c r="AU73" s="51">
        <v>0.13668643999999999</v>
      </c>
      <c r="AV73" s="51">
        <v>4.1200000000000001E-2</v>
      </c>
      <c r="AW73" s="51">
        <v>1265.4100000000001</v>
      </c>
      <c r="AX73" s="51" t="s">
        <v>1574</v>
      </c>
      <c r="AY73" s="51">
        <v>35.56</v>
      </c>
      <c r="AZ73" s="51" t="s">
        <v>1574</v>
      </c>
      <c r="BA73" s="51">
        <v>158.07910827788999</v>
      </c>
      <c r="BB73" s="51" t="s">
        <v>1574</v>
      </c>
      <c r="BC73" s="51">
        <v>0.629</v>
      </c>
      <c r="BD73" s="51" t="s">
        <v>1574</v>
      </c>
      <c r="BE73" s="51">
        <v>0.52249999999999996</v>
      </c>
      <c r="BF73" s="51">
        <v>14</v>
      </c>
      <c r="BG73" s="51" t="s">
        <v>1599</v>
      </c>
      <c r="BH73" s="51">
        <v>54</v>
      </c>
      <c r="BI73" s="51">
        <v>65.75</v>
      </c>
      <c r="BJ73" s="51">
        <v>29.5</v>
      </c>
      <c r="BK73" s="51">
        <v>540.1318359375</v>
      </c>
      <c r="BL73" s="51">
        <v>10.24</v>
      </c>
      <c r="BM73" s="51">
        <v>1308.8800000000001</v>
      </c>
      <c r="BN73" s="51">
        <v>278.7</v>
      </c>
      <c r="BO73" s="51">
        <v>4131.5</v>
      </c>
      <c r="BP73" s="51">
        <v>1735</v>
      </c>
      <c r="BQ73" s="51">
        <v>314.39999999999998</v>
      </c>
      <c r="BR73" s="51">
        <v>35.119999999999997</v>
      </c>
      <c r="BS73" s="51">
        <v>98.5</v>
      </c>
      <c r="BT73" s="51">
        <v>1.2929999999999999</v>
      </c>
      <c r="BU73" s="41"/>
      <c r="BV73" s="41"/>
      <c r="BW73" s="41"/>
      <c r="BX73" s="41"/>
      <c r="BY73" s="41"/>
      <c r="BZ73" s="41"/>
      <c r="CA73" s="41"/>
      <c r="CB73" s="41"/>
      <c r="CC73" s="41"/>
      <c r="CD73" s="41"/>
      <c r="CE73" s="41"/>
      <c r="CF73" s="41"/>
      <c r="CG73" s="41"/>
      <c r="CH73" s="41"/>
      <c r="CI73" s="41"/>
      <c r="CJ73" s="41"/>
      <c r="CK73" s="41"/>
    </row>
    <row r="74" spans="1:89">
      <c r="A74" s="48" t="s">
        <v>203</v>
      </c>
      <c r="B74" s="49">
        <v>1.42</v>
      </c>
      <c r="C74" s="49">
        <v>1.42</v>
      </c>
      <c r="D74" s="49">
        <v>1.42</v>
      </c>
      <c r="E74" s="49" t="s">
        <v>1574</v>
      </c>
      <c r="F74" s="49" t="s">
        <v>1574</v>
      </c>
      <c r="G74" s="49" t="s">
        <v>1574</v>
      </c>
      <c r="H74" s="49">
        <v>0.16</v>
      </c>
      <c r="I74" s="49">
        <v>0.41076610522000001</v>
      </c>
      <c r="J74" s="49" t="s">
        <v>1574</v>
      </c>
      <c r="K74" s="49" t="s">
        <v>1574</v>
      </c>
      <c r="L74" s="49">
        <v>0.25900000000000001</v>
      </c>
      <c r="M74" s="49">
        <v>0.98109999999999997</v>
      </c>
      <c r="N74" s="49">
        <v>0.71626449999999997</v>
      </c>
      <c r="O74" s="49">
        <v>1.0003</v>
      </c>
      <c r="P74" s="49">
        <v>0.84630090000000002</v>
      </c>
      <c r="Q74" s="49">
        <v>1.142401</v>
      </c>
      <c r="R74" s="49">
        <v>1.0122</v>
      </c>
      <c r="S74" s="49">
        <v>372.6</v>
      </c>
      <c r="T74" s="49" t="s">
        <v>1574</v>
      </c>
      <c r="U74" s="49" t="s">
        <v>1574</v>
      </c>
      <c r="V74" s="49">
        <v>301.76</v>
      </c>
      <c r="W74" s="49">
        <v>279.99</v>
      </c>
      <c r="X74" s="49" t="s">
        <v>1574</v>
      </c>
      <c r="Y74" s="49">
        <v>119.88</v>
      </c>
      <c r="Z74" s="49">
        <v>248</v>
      </c>
      <c r="AA74" s="49">
        <v>101.8</v>
      </c>
      <c r="AB74" s="49" t="s">
        <v>1574</v>
      </c>
      <c r="AC74" s="49" t="s">
        <v>1574</v>
      </c>
      <c r="AD74" s="49">
        <v>24.119177946930002</v>
      </c>
      <c r="AE74" s="49">
        <v>56.69</v>
      </c>
      <c r="AF74" s="49">
        <v>47.84</v>
      </c>
      <c r="AG74" s="49">
        <v>112.04</v>
      </c>
      <c r="AH74" s="49" t="s">
        <v>1574</v>
      </c>
      <c r="AI74" s="49" t="s">
        <v>1574</v>
      </c>
      <c r="AJ74" s="49" t="s">
        <v>1574</v>
      </c>
      <c r="AK74" s="49" t="s">
        <v>1574</v>
      </c>
      <c r="AL74" s="49">
        <v>57.32</v>
      </c>
      <c r="AM74" s="49" t="s">
        <v>1574</v>
      </c>
      <c r="AN74" s="49">
        <v>0.17699999999999999</v>
      </c>
      <c r="AO74" s="49">
        <v>9.6000000000000002E-2</v>
      </c>
      <c r="AP74" s="49">
        <v>0.88070000000000004</v>
      </c>
      <c r="AQ74" s="49">
        <v>0.35149371578999999</v>
      </c>
      <c r="AR74" s="49" t="s">
        <v>1574</v>
      </c>
      <c r="AS74" s="49">
        <v>1.9400656000000001</v>
      </c>
      <c r="AT74" s="49">
        <v>0.12456103</v>
      </c>
      <c r="AU74" s="49">
        <v>0.13448182</v>
      </c>
      <c r="AV74" s="49">
        <v>4.0800000000000003E-2</v>
      </c>
      <c r="AW74" s="49">
        <v>1265.4100000000001</v>
      </c>
      <c r="AX74" s="49" t="s">
        <v>1574</v>
      </c>
      <c r="AY74" s="49">
        <v>35.56</v>
      </c>
      <c r="AZ74" s="49" t="s">
        <v>1574</v>
      </c>
      <c r="BA74" s="49">
        <v>158.07910827788999</v>
      </c>
      <c r="BB74" s="49" t="s">
        <v>1574</v>
      </c>
      <c r="BC74" s="49">
        <v>0.63490000000000002</v>
      </c>
      <c r="BD74" s="49" t="s">
        <v>1574</v>
      </c>
      <c r="BE74" s="49">
        <v>0.49380000000000002</v>
      </c>
      <c r="BF74" s="49">
        <v>14</v>
      </c>
      <c r="BG74" s="49" t="s">
        <v>1599</v>
      </c>
      <c r="BH74" s="49">
        <v>54</v>
      </c>
      <c r="BI74" s="49">
        <v>65.75</v>
      </c>
      <c r="BJ74" s="49">
        <v>29.5</v>
      </c>
      <c r="BK74" s="49">
        <v>540.1318359375</v>
      </c>
      <c r="BL74" s="49">
        <v>10.24</v>
      </c>
      <c r="BM74" s="49">
        <v>1134.06</v>
      </c>
      <c r="BN74" s="49">
        <v>271.60000000000002</v>
      </c>
      <c r="BO74" s="49">
        <v>3966.1</v>
      </c>
      <c r="BP74" s="49">
        <v>1735</v>
      </c>
      <c r="BQ74" s="49">
        <v>310.39999999999998</v>
      </c>
      <c r="BR74" s="49">
        <v>35.119999999999997</v>
      </c>
      <c r="BS74" s="49">
        <v>98.5</v>
      </c>
      <c r="BT74" s="49">
        <v>1.2929999999999999</v>
      </c>
      <c r="BU74" s="41"/>
      <c r="BV74" s="41"/>
      <c r="BW74" s="41"/>
      <c r="BX74" s="41"/>
      <c r="BY74" s="41"/>
      <c r="BZ74" s="41"/>
      <c r="CA74" s="41"/>
      <c r="CB74" s="41"/>
      <c r="CC74" s="41"/>
      <c r="CD74" s="41"/>
      <c r="CE74" s="41"/>
      <c r="CF74" s="41"/>
      <c r="CG74" s="41"/>
      <c r="CH74" s="41"/>
      <c r="CI74" s="41"/>
      <c r="CJ74" s="41"/>
      <c r="CK74" s="41"/>
    </row>
    <row r="75" spans="1:89">
      <c r="A75" s="41" t="s">
        <v>204</v>
      </c>
      <c r="B75" s="51">
        <v>1.42</v>
      </c>
      <c r="C75" s="51">
        <v>1.42</v>
      </c>
      <c r="D75" s="51">
        <v>1.42</v>
      </c>
      <c r="E75" s="51" t="s">
        <v>1574</v>
      </c>
      <c r="F75" s="51" t="s">
        <v>1574</v>
      </c>
      <c r="G75" s="51" t="s">
        <v>1574</v>
      </c>
      <c r="H75" s="51">
        <v>0.16</v>
      </c>
      <c r="I75" s="51">
        <v>0.41076610522000001</v>
      </c>
      <c r="J75" s="51" t="s">
        <v>1574</v>
      </c>
      <c r="K75" s="51" t="s">
        <v>1574</v>
      </c>
      <c r="L75" s="51">
        <v>0.32579999999999998</v>
      </c>
      <c r="M75" s="51">
        <v>1.0008999999999999</v>
      </c>
      <c r="N75" s="51">
        <v>0.79496770000000005</v>
      </c>
      <c r="O75" s="51">
        <v>1.0003</v>
      </c>
      <c r="P75" s="51">
        <v>0.84630090000000002</v>
      </c>
      <c r="Q75" s="51">
        <v>1.142401</v>
      </c>
      <c r="R75" s="51">
        <v>1.0122</v>
      </c>
      <c r="S75" s="51">
        <v>334.8</v>
      </c>
      <c r="T75" s="51" t="s">
        <v>1574</v>
      </c>
      <c r="U75" s="51" t="s">
        <v>1574</v>
      </c>
      <c r="V75" s="51">
        <v>299.27999999999997</v>
      </c>
      <c r="W75" s="51">
        <v>257.66000000000003</v>
      </c>
      <c r="X75" s="51" t="s">
        <v>1574</v>
      </c>
      <c r="Y75" s="51">
        <v>110.78</v>
      </c>
      <c r="Z75" s="51">
        <v>234</v>
      </c>
      <c r="AA75" s="51">
        <v>96</v>
      </c>
      <c r="AB75" s="51" t="s">
        <v>1574</v>
      </c>
      <c r="AC75" s="51" t="s">
        <v>1574</v>
      </c>
      <c r="AD75" s="51">
        <v>23.99647841614</v>
      </c>
      <c r="AE75" s="51">
        <v>55.12</v>
      </c>
      <c r="AF75" s="51">
        <v>47.4</v>
      </c>
      <c r="AG75" s="51">
        <v>116.92</v>
      </c>
      <c r="AH75" s="51" t="s">
        <v>1574</v>
      </c>
      <c r="AI75" s="51" t="s">
        <v>1574</v>
      </c>
      <c r="AJ75" s="51" t="s">
        <v>1574</v>
      </c>
      <c r="AK75" s="51" t="s">
        <v>1574</v>
      </c>
      <c r="AL75" s="51">
        <v>57.69</v>
      </c>
      <c r="AM75" s="51" t="s">
        <v>1574</v>
      </c>
      <c r="AN75" s="51">
        <v>0.17</v>
      </c>
      <c r="AO75" s="51">
        <v>9.6000000000000002E-2</v>
      </c>
      <c r="AP75" s="51">
        <v>0.89419999999999999</v>
      </c>
      <c r="AQ75" s="51">
        <v>0.35170583883000001</v>
      </c>
      <c r="AR75" s="51" t="s">
        <v>1574</v>
      </c>
      <c r="AS75" s="51">
        <v>1.8739269999999999</v>
      </c>
      <c r="AT75" s="51">
        <v>0.12456103</v>
      </c>
      <c r="AU75" s="51">
        <v>0.13668643999999999</v>
      </c>
      <c r="AV75" s="51">
        <v>3.7699999999999997E-2</v>
      </c>
      <c r="AW75" s="51">
        <v>1265.4100000000001</v>
      </c>
      <c r="AX75" s="51" t="s">
        <v>1574</v>
      </c>
      <c r="AY75" s="51">
        <v>35.56</v>
      </c>
      <c r="AZ75" s="51" t="s">
        <v>1574</v>
      </c>
      <c r="BA75" s="51">
        <v>158.07910827788999</v>
      </c>
      <c r="BB75" s="51" t="s">
        <v>1574</v>
      </c>
      <c r="BC75" s="51">
        <v>0.63119999999999998</v>
      </c>
      <c r="BD75" s="51" t="s">
        <v>1574</v>
      </c>
      <c r="BE75" s="51">
        <v>0.48280000000000001</v>
      </c>
      <c r="BF75" s="51">
        <v>14</v>
      </c>
      <c r="BG75" s="51" t="s">
        <v>1599</v>
      </c>
      <c r="BH75" s="51">
        <v>54</v>
      </c>
      <c r="BI75" s="51">
        <v>65.75</v>
      </c>
      <c r="BJ75" s="51">
        <v>29.5</v>
      </c>
      <c r="BK75" s="51">
        <v>540.1318359375</v>
      </c>
      <c r="BL75" s="51">
        <v>10.24</v>
      </c>
      <c r="BM75" s="51">
        <v>1209.9000000000001</v>
      </c>
      <c r="BN75" s="51">
        <v>272</v>
      </c>
      <c r="BO75" s="51">
        <v>4091.8</v>
      </c>
      <c r="BP75" s="51">
        <v>1735</v>
      </c>
      <c r="BQ75" s="51">
        <v>303.60000000000002</v>
      </c>
      <c r="BR75" s="51">
        <v>35.119999999999997</v>
      </c>
      <c r="BS75" s="51">
        <v>98.5</v>
      </c>
      <c r="BT75" s="51">
        <v>1.2929999999999999</v>
      </c>
      <c r="BU75" s="41"/>
      <c r="BV75" s="41"/>
      <c r="BW75" s="41"/>
      <c r="BX75" s="41"/>
      <c r="BY75" s="41"/>
      <c r="BZ75" s="41"/>
      <c r="CA75" s="41"/>
      <c r="CB75" s="41"/>
      <c r="CC75" s="41"/>
      <c r="CD75" s="41"/>
      <c r="CE75" s="41"/>
      <c r="CF75" s="41"/>
      <c r="CG75" s="41"/>
      <c r="CH75" s="41"/>
      <c r="CI75" s="41"/>
      <c r="CJ75" s="41"/>
      <c r="CK75" s="41"/>
    </row>
    <row r="76" spans="1:89">
      <c r="A76" s="48" t="s">
        <v>205</v>
      </c>
      <c r="B76" s="49">
        <v>1.42</v>
      </c>
      <c r="C76" s="49">
        <v>1.42</v>
      </c>
      <c r="D76" s="49">
        <v>1.42</v>
      </c>
      <c r="E76" s="49" t="s">
        <v>1574</v>
      </c>
      <c r="F76" s="49" t="s">
        <v>1574</v>
      </c>
      <c r="G76" s="49" t="s">
        <v>1574</v>
      </c>
      <c r="H76" s="49">
        <v>0.16</v>
      </c>
      <c r="I76" s="49">
        <v>0.41076610522000001</v>
      </c>
      <c r="J76" s="49" t="s">
        <v>1574</v>
      </c>
      <c r="K76" s="49" t="s">
        <v>1574</v>
      </c>
      <c r="L76" s="49">
        <v>0.3649</v>
      </c>
      <c r="M76" s="49">
        <v>0.99870000000000003</v>
      </c>
      <c r="N76" s="49">
        <v>0.77755160000000001</v>
      </c>
      <c r="O76" s="49">
        <v>1.0003</v>
      </c>
      <c r="P76" s="49">
        <v>0.84630090000000002</v>
      </c>
      <c r="Q76" s="49">
        <v>1.142401</v>
      </c>
      <c r="R76" s="49">
        <v>1.0122</v>
      </c>
      <c r="S76" s="49">
        <v>312</v>
      </c>
      <c r="T76" s="49" t="s">
        <v>1574</v>
      </c>
      <c r="U76" s="49" t="s">
        <v>1574</v>
      </c>
      <c r="V76" s="49">
        <v>308.92</v>
      </c>
      <c r="W76" s="49">
        <v>246.64</v>
      </c>
      <c r="X76" s="49" t="s">
        <v>1574</v>
      </c>
      <c r="Y76" s="49">
        <v>106.1</v>
      </c>
      <c r="Z76" s="49">
        <v>248</v>
      </c>
      <c r="AA76" s="49">
        <v>105.3</v>
      </c>
      <c r="AB76" s="49" t="s">
        <v>1574</v>
      </c>
      <c r="AC76" s="49" t="s">
        <v>1574</v>
      </c>
      <c r="AD76" s="49">
        <v>23.993643982830001</v>
      </c>
      <c r="AE76" s="49">
        <v>53.93</v>
      </c>
      <c r="AF76" s="49">
        <v>47.4</v>
      </c>
      <c r="AG76" s="49">
        <v>126.55</v>
      </c>
      <c r="AH76" s="49" t="s">
        <v>1574</v>
      </c>
      <c r="AI76" s="49" t="s">
        <v>1574</v>
      </c>
      <c r="AJ76" s="49" t="s">
        <v>1574</v>
      </c>
      <c r="AK76" s="49" t="s">
        <v>1574</v>
      </c>
      <c r="AL76" s="49">
        <v>58.42</v>
      </c>
      <c r="AM76" s="49" t="s">
        <v>1574</v>
      </c>
      <c r="AN76" s="49">
        <v>0.18210000000000001</v>
      </c>
      <c r="AO76" s="49">
        <v>9.6000000000000002E-2</v>
      </c>
      <c r="AP76" s="49">
        <v>0.91320000000000001</v>
      </c>
      <c r="AQ76" s="49">
        <v>0.3541989753</v>
      </c>
      <c r="AR76" s="49" t="s">
        <v>1574</v>
      </c>
      <c r="AS76" s="49">
        <v>1.8959732</v>
      </c>
      <c r="AT76" s="49">
        <v>0.12456103</v>
      </c>
      <c r="AU76" s="49">
        <v>0.13668643999999999</v>
      </c>
      <c r="AV76" s="49">
        <v>3.9E-2</v>
      </c>
      <c r="AW76" s="49">
        <v>1265.4100000000001</v>
      </c>
      <c r="AX76" s="49" t="s">
        <v>1574</v>
      </c>
      <c r="AY76" s="49">
        <v>36.11</v>
      </c>
      <c r="AZ76" s="49" t="s">
        <v>1574</v>
      </c>
      <c r="BA76" s="49">
        <v>159.39473605820001</v>
      </c>
      <c r="BB76" s="49" t="s">
        <v>1574</v>
      </c>
      <c r="BC76" s="49">
        <v>0.63100000000000001</v>
      </c>
      <c r="BD76" s="49" t="s">
        <v>1574</v>
      </c>
      <c r="BE76" s="49">
        <v>0.47620000000000001</v>
      </c>
      <c r="BF76" s="49">
        <v>14</v>
      </c>
      <c r="BG76" s="49" t="s">
        <v>1599</v>
      </c>
      <c r="BH76" s="49">
        <v>54</v>
      </c>
      <c r="BI76" s="49">
        <v>65.75</v>
      </c>
      <c r="BJ76" s="49">
        <v>29.5</v>
      </c>
      <c r="BK76" s="49">
        <v>540.1318359375</v>
      </c>
      <c r="BL76" s="49">
        <v>10.24</v>
      </c>
      <c r="BM76" s="49">
        <v>1327.84</v>
      </c>
      <c r="BN76" s="49">
        <v>289.2</v>
      </c>
      <c r="BO76" s="49">
        <v>4208.6000000000004</v>
      </c>
      <c r="BP76" s="49">
        <v>1735</v>
      </c>
      <c r="BQ76" s="49">
        <v>299.60000000000002</v>
      </c>
      <c r="BR76" s="49">
        <v>35.119999999999997</v>
      </c>
      <c r="BS76" s="49">
        <v>98.5</v>
      </c>
      <c r="BT76" s="49">
        <v>1.2929999999999999</v>
      </c>
      <c r="BU76" s="41"/>
      <c r="BV76" s="41"/>
      <c r="BW76" s="41"/>
      <c r="BX76" s="41"/>
      <c r="BY76" s="41"/>
      <c r="BZ76" s="41"/>
      <c r="CA76" s="41"/>
      <c r="CB76" s="41"/>
      <c r="CC76" s="41"/>
      <c r="CD76" s="41"/>
      <c r="CE76" s="41"/>
      <c r="CF76" s="41"/>
      <c r="CG76" s="41"/>
      <c r="CH76" s="41"/>
      <c r="CI76" s="41"/>
      <c r="CJ76" s="41"/>
      <c r="CK76" s="41"/>
    </row>
    <row r="77" spans="1:89">
      <c r="A77" s="41" t="s">
        <v>206</v>
      </c>
      <c r="B77" s="51">
        <v>1.42</v>
      </c>
      <c r="C77" s="51">
        <v>1.42</v>
      </c>
      <c r="D77" s="51">
        <v>1.42</v>
      </c>
      <c r="E77" s="51" t="s">
        <v>1574</v>
      </c>
      <c r="F77" s="51" t="s">
        <v>1574</v>
      </c>
      <c r="G77" s="51" t="s">
        <v>1574</v>
      </c>
      <c r="H77" s="51">
        <v>0.16</v>
      </c>
      <c r="I77" s="51">
        <v>0.41076610522000001</v>
      </c>
      <c r="J77" s="51" t="s">
        <v>1574</v>
      </c>
      <c r="K77" s="51" t="s">
        <v>1574</v>
      </c>
      <c r="L77" s="51">
        <v>0.37059999999999998</v>
      </c>
      <c r="M77" s="51">
        <v>1.0097</v>
      </c>
      <c r="N77" s="51">
        <v>0.80731319999999995</v>
      </c>
      <c r="O77" s="51">
        <v>1.0003</v>
      </c>
      <c r="P77" s="51">
        <v>0.84630090000000002</v>
      </c>
      <c r="Q77" s="51">
        <v>1.142401</v>
      </c>
      <c r="R77" s="51">
        <v>1.0122</v>
      </c>
      <c r="S77" s="51">
        <v>331</v>
      </c>
      <c r="T77" s="51" t="s">
        <v>1574</v>
      </c>
      <c r="U77" s="51" t="s">
        <v>1574</v>
      </c>
      <c r="V77" s="51">
        <v>324.08</v>
      </c>
      <c r="W77" s="51">
        <v>250.22</v>
      </c>
      <c r="X77" s="51" t="s">
        <v>1574</v>
      </c>
      <c r="Y77" s="51">
        <v>104.44</v>
      </c>
      <c r="Z77" s="51">
        <v>284</v>
      </c>
      <c r="AA77" s="51">
        <v>97.1</v>
      </c>
      <c r="AB77" s="51" t="s">
        <v>1574</v>
      </c>
      <c r="AC77" s="51" t="s">
        <v>1574</v>
      </c>
      <c r="AD77" s="51">
        <v>23.595577371520001</v>
      </c>
      <c r="AE77" s="51">
        <v>51.57</v>
      </c>
      <c r="AF77" s="51">
        <v>46.52</v>
      </c>
      <c r="AG77" s="51">
        <v>126.65</v>
      </c>
      <c r="AH77" s="51" t="s">
        <v>1574</v>
      </c>
      <c r="AI77" s="51" t="s">
        <v>1574</v>
      </c>
      <c r="AJ77" s="51" t="s">
        <v>1574</v>
      </c>
      <c r="AK77" s="51" t="s">
        <v>1574</v>
      </c>
      <c r="AL77" s="51">
        <v>58.05</v>
      </c>
      <c r="AM77" s="51" t="s">
        <v>1574</v>
      </c>
      <c r="AN77" s="51">
        <v>0.18890000000000001</v>
      </c>
      <c r="AO77" s="51">
        <v>9.6000000000000002E-2</v>
      </c>
      <c r="AP77" s="51">
        <v>0.92920000000000003</v>
      </c>
      <c r="AQ77" s="51">
        <v>0.35407337028000002</v>
      </c>
      <c r="AR77" s="51" t="s">
        <v>1574</v>
      </c>
      <c r="AS77" s="51">
        <v>1.9180193999999999</v>
      </c>
      <c r="AT77" s="51">
        <v>0.12456103</v>
      </c>
      <c r="AU77" s="51">
        <v>0.13889106000000001</v>
      </c>
      <c r="AV77" s="51">
        <v>4.2799999999999998E-2</v>
      </c>
      <c r="AW77" s="51">
        <v>1265.4100000000001</v>
      </c>
      <c r="AX77" s="51" t="s">
        <v>1574</v>
      </c>
      <c r="AY77" s="51">
        <v>36.11</v>
      </c>
      <c r="AZ77" s="51" t="s">
        <v>1574</v>
      </c>
      <c r="BA77" s="51">
        <v>159.39473605820001</v>
      </c>
      <c r="BB77" s="51" t="s">
        <v>1574</v>
      </c>
      <c r="BC77" s="51">
        <v>0.62450000000000006</v>
      </c>
      <c r="BD77" s="51" t="s">
        <v>1574</v>
      </c>
      <c r="BE77" s="51">
        <v>0.4718</v>
      </c>
      <c r="BF77" s="51">
        <v>14</v>
      </c>
      <c r="BG77" s="51" t="s">
        <v>1599</v>
      </c>
      <c r="BH77" s="51">
        <v>54</v>
      </c>
      <c r="BI77" s="51">
        <v>65.75</v>
      </c>
      <c r="BJ77" s="51">
        <v>29.5</v>
      </c>
      <c r="BK77" s="51">
        <v>540.1318359375</v>
      </c>
      <c r="BL77" s="51">
        <v>10.24</v>
      </c>
      <c r="BM77" s="51">
        <v>1401.92</v>
      </c>
      <c r="BN77" s="51">
        <v>306.89999999999998</v>
      </c>
      <c r="BO77" s="51">
        <v>4010.2</v>
      </c>
      <c r="BP77" s="51">
        <v>1735</v>
      </c>
      <c r="BQ77" s="51">
        <v>307.8</v>
      </c>
      <c r="BR77" s="51">
        <v>35.119999999999997</v>
      </c>
      <c r="BS77" s="51">
        <v>98.5</v>
      </c>
      <c r="BT77" s="51">
        <v>1.2929999999999999</v>
      </c>
      <c r="BU77" s="41"/>
      <c r="BV77" s="41"/>
      <c r="BW77" s="41"/>
      <c r="BX77" s="41"/>
      <c r="BY77" s="41"/>
      <c r="BZ77" s="41"/>
      <c r="CA77" s="41"/>
      <c r="CB77" s="41"/>
      <c r="CC77" s="41"/>
      <c r="CD77" s="41"/>
      <c r="CE77" s="41"/>
      <c r="CF77" s="41"/>
      <c r="CG77" s="41"/>
      <c r="CH77" s="41"/>
      <c r="CI77" s="41"/>
      <c r="CJ77" s="41"/>
      <c r="CK77" s="41"/>
    </row>
    <row r="78" spans="1:89">
      <c r="A78" s="48" t="s">
        <v>207</v>
      </c>
      <c r="B78" s="49">
        <v>1.42</v>
      </c>
      <c r="C78" s="49">
        <v>1.42</v>
      </c>
      <c r="D78" s="49">
        <v>1.42</v>
      </c>
      <c r="E78" s="49" t="s">
        <v>1574</v>
      </c>
      <c r="F78" s="49" t="s">
        <v>1574</v>
      </c>
      <c r="G78" s="49" t="s">
        <v>1574</v>
      </c>
      <c r="H78" s="49">
        <v>0.16</v>
      </c>
      <c r="I78" s="49">
        <v>0.41076610522000001</v>
      </c>
      <c r="J78" s="49" t="s">
        <v>1574</v>
      </c>
      <c r="K78" s="49" t="s">
        <v>1574</v>
      </c>
      <c r="L78" s="49">
        <v>0.39860000000000001</v>
      </c>
      <c r="M78" s="49">
        <v>1.0250999999999999</v>
      </c>
      <c r="N78" s="49">
        <v>0.75682859999999996</v>
      </c>
      <c r="O78" s="49">
        <v>1.0003</v>
      </c>
      <c r="P78" s="49">
        <v>0.84630090000000002</v>
      </c>
      <c r="Q78" s="49">
        <v>1.142401</v>
      </c>
      <c r="R78" s="49">
        <v>1.0122</v>
      </c>
      <c r="S78" s="49">
        <v>334.8</v>
      </c>
      <c r="T78" s="49" t="s">
        <v>1574</v>
      </c>
      <c r="U78" s="49" t="s">
        <v>1574</v>
      </c>
      <c r="V78" s="49">
        <v>336.2</v>
      </c>
      <c r="W78" s="49">
        <v>250.22</v>
      </c>
      <c r="X78" s="49" t="s">
        <v>1574</v>
      </c>
      <c r="Y78" s="49">
        <v>107.47</v>
      </c>
      <c r="Z78" s="49">
        <v>276</v>
      </c>
      <c r="AA78" s="49">
        <v>103</v>
      </c>
      <c r="AB78" s="49" t="s">
        <v>1574</v>
      </c>
      <c r="AC78" s="49" t="s">
        <v>1574</v>
      </c>
      <c r="AD78" s="49">
        <v>23.634747044929998</v>
      </c>
      <c r="AE78" s="49">
        <v>51.57</v>
      </c>
      <c r="AF78" s="49">
        <v>46.3</v>
      </c>
      <c r="AG78" s="49">
        <v>129.19999999999999</v>
      </c>
      <c r="AH78" s="49" t="s">
        <v>1574</v>
      </c>
      <c r="AI78" s="49" t="s">
        <v>1574</v>
      </c>
      <c r="AJ78" s="49" t="s">
        <v>1574</v>
      </c>
      <c r="AK78" s="49" t="s">
        <v>1574</v>
      </c>
      <c r="AL78" s="49">
        <v>58.05</v>
      </c>
      <c r="AM78" s="49" t="s">
        <v>1574</v>
      </c>
      <c r="AN78" s="49">
        <v>0.15190000000000001</v>
      </c>
      <c r="AO78" s="49">
        <v>9.6000000000000002E-2</v>
      </c>
      <c r="AP78" s="49">
        <v>0.90939999999999999</v>
      </c>
      <c r="AQ78" s="49">
        <v>0.35607334770999999</v>
      </c>
      <c r="AR78" s="49" t="s">
        <v>1574</v>
      </c>
      <c r="AS78" s="49">
        <v>2.0062042</v>
      </c>
      <c r="AT78" s="49">
        <v>0.12456103</v>
      </c>
      <c r="AU78" s="49">
        <v>0.13668643999999999</v>
      </c>
      <c r="AV78" s="49">
        <v>3.7699999999999997E-2</v>
      </c>
      <c r="AW78" s="49">
        <v>1265.4100000000001</v>
      </c>
      <c r="AX78" s="49" t="s">
        <v>1574</v>
      </c>
      <c r="AY78" s="49">
        <v>36.11</v>
      </c>
      <c r="AZ78" s="49" t="s">
        <v>1574</v>
      </c>
      <c r="BA78" s="49">
        <v>159.39473605820001</v>
      </c>
      <c r="BB78" s="49" t="s">
        <v>1574</v>
      </c>
      <c r="BC78" s="49">
        <v>0.62280000000000002</v>
      </c>
      <c r="BD78" s="49" t="s">
        <v>1574</v>
      </c>
      <c r="BE78" s="49">
        <v>0.4894</v>
      </c>
      <c r="BF78" s="49">
        <v>14</v>
      </c>
      <c r="BG78" s="49" t="s">
        <v>1599</v>
      </c>
      <c r="BH78" s="49">
        <v>54</v>
      </c>
      <c r="BI78" s="49">
        <v>65.75</v>
      </c>
      <c r="BJ78" s="49">
        <v>29.5</v>
      </c>
      <c r="BK78" s="49">
        <v>540.1318359375</v>
      </c>
      <c r="BL78" s="49">
        <v>10.24</v>
      </c>
      <c r="BM78" s="49">
        <v>1469.16</v>
      </c>
      <c r="BN78" s="49">
        <v>299.2</v>
      </c>
      <c r="BO78" s="49">
        <v>3820.6</v>
      </c>
      <c r="BP78" s="49">
        <v>1735</v>
      </c>
      <c r="BQ78" s="49">
        <v>298.7</v>
      </c>
      <c r="BR78" s="49">
        <v>35.119999999999997</v>
      </c>
      <c r="BS78" s="49">
        <v>98.5</v>
      </c>
      <c r="BT78" s="49">
        <v>1.2929999999999999</v>
      </c>
      <c r="BU78" s="41"/>
      <c r="BV78" s="41"/>
      <c r="BW78" s="41"/>
      <c r="BX78" s="41"/>
      <c r="BY78" s="41"/>
      <c r="BZ78" s="41"/>
      <c r="CA78" s="41"/>
      <c r="CB78" s="41"/>
      <c r="CC78" s="41"/>
      <c r="CD78" s="41"/>
      <c r="CE78" s="41"/>
      <c r="CF78" s="41"/>
      <c r="CG78" s="41"/>
      <c r="CH78" s="41"/>
      <c r="CI78" s="41"/>
      <c r="CJ78" s="41"/>
      <c r="CK78" s="41"/>
    </row>
    <row r="79" spans="1:89">
      <c r="A79" s="41" t="s">
        <v>208</v>
      </c>
      <c r="B79" s="51">
        <v>1.42</v>
      </c>
      <c r="C79" s="51">
        <v>1.42</v>
      </c>
      <c r="D79" s="51">
        <v>1.42</v>
      </c>
      <c r="E79" s="51" t="s">
        <v>1574</v>
      </c>
      <c r="F79" s="51" t="s">
        <v>1574</v>
      </c>
      <c r="G79" s="51" t="s">
        <v>1574</v>
      </c>
      <c r="H79" s="51">
        <v>0.16</v>
      </c>
      <c r="I79" s="51">
        <v>0.41076610522000001</v>
      </c>
      <c r="J79" s="51" t="s">
        <v>1574</v>
      </c>
      <c r="K79" s="51" t="s">
        <v>1574</v>
      </c>
      <c r="L79" s="51">
        <v>0.45879999999999999</v>
      </c>
      <c r="M79" s="51">
        <v>1.0318000000000001</v>
      </c>
      <c r="N79" s="51">
        <v>0.79364489999999999</v>
      </c>
      <c r="O79" s="51">
        <v>1.0003</v>
      </c>
      <c r="P79" s="51">
        <v>0.84630090000000002</v>
      </c>
      <c r="Q79" s="51">
        <v>1.142401</v>
      </c>
      <c r="R79" s="51">
        <v>1.0122</v>
      </c>
      <c r="S79" s="51">
        <v>330.7</v>
      </c>
      <c r="T79" s="51" t="s">
        <v>1574</v>
      </c>
      <c r="U79" s="51" t="s">
        <v>1574</v>
      </c>
      <c r="V79" s="51">
        <v>322.14999999999998</v>
      </c>
      <c r="W79" s="51">
        <v>248.57</v>
      </c>
      <c r="X79" s="51" t="s">
        <v>1574</v>
      </c>
      <c r="Y79" s="51">
        <v>112.99</v>
      </c>
      <c r="Z79" s="51">
        <v>256</v>
      </c>
      <c r="AA79" s="51">
        <v>97.1</v>
      </c>
      <c r="AB79" s="51" t="s">
        <v>1574</v>
      </c>
      <c r="AC79" s="51" t="s">
        <v>1574</v>
      </c>
      <c r="AD79" s="51">
        <v>24.296005810560001</v>
      </c>
      <c r="AE79" s="51">
        <v>55.12</v>
      </c>
      <c r="AF79" s="51">
        <v>47.62</v>
      </c>
      <c r="AG79" s="51">
        <v>132.06</v>
      </c>
      <c r="AH79" s="51" t="s">
        <v>1574</v>
      </c>
      <c r="AI79" s="51" t="s">
        <v>1574</v>
      </c>
      <c r="AJ79" s="51" t="s">
        <v>1574</v>
      </c>
      <c r="AK79" s="51" t="s">
        <v>1574</v>
      </c>
      <c r="AL79" s="51">
        <v>58.42</v>
      </c>
      <c r="AM79" s="51" t="s">
        <v>1574</v>
      </c>
      <c r="AN79" s="51">
        <v>0.12809999999999999</v>
      </c>
      <c r="AO79" s="51">
        <v>9.2700000000000005E-2</v>
      </c>
      <c r="AP79" s="51">
        <v>0.94199999999999995</v>
      </c>
      <c r="AQ79" s="51">
        <v>0.35628327393999998</v>
      </c>
      <c r="AR79" s="51" t="s">
        <v>1574</v>
      </c>
      <c r="AS79" s="51">
        <v>2.0062042</v>
      </c>
      <c r="AT79" s="51">
        <v>0.12456103</v>
      </c>
      <c r="AU79" s="51">
        <v>0.13448182</v>
      </c>
      <c r="AV79" s="51">
        <v>3.8300000000000001E-2</v>
      </c>
      <c r="AW79" s="51">
        <v>1265.4100000000001</v>
      </c>
      <c r="AX79" s="51" t="s">
        <v>1574</v>
      </c>
      <c r="AY79" s="51">
        <v>36.11</v>
      </c>
      <c r="AZ79" s="51" t="s">
        <v>1574</v>
      </c>
      <c r="BA79" s="51">
        <v>159.39473605820001</v>
      </c>
      <c r="BB79" s="51" t="s">
        <v>1574</v>
      </c>
      <c r="BC79" s="51">
        <v>0.61950000000000005</v>
      </c>
      <c r="BD79" s="51" t="s">
        <v>1574</v>
      </c>
      <c r="BE79" s="51">
        <v>0.50490000000000002</v>
      </c>
      <c r="BF79" s="51">
        <v>14</v>
      </c>
      <c r="BG79" s="51" t="s">
        <v>1599</v>
      </c>
      <c r="BH79" s="51">
        <v>54</v>
      </c>
      <c r="BI79" s="51">
        <v>65.75</v>
      </c>
      <c r="BJ79" s="51">
        <v>29.5</v>
      </c>
      <c r="BK79" s="51">
        <v>540.1318359375</v>
      </c>
      <c r="BL79" s="51">
        <v>10.24</v>
      </c>
      <c r="BM79" s="51">
        <v>1517.66</v>
      </c>
      <c r="BN79" s="51">
        <v>300.7</v>
      </c>
      <c r="BO79" s="51">
        <v>3869.1</v>
      </c>
      <c r="BP79" s="51">
        <v>1735</v>
      </c>
      <c r="BQ79" s="51">
        <v>302.7</v>
      </c>
      <c r="BR79" s="51">
        <v>35.119999999999997</v>
      </c>
      <c r="BS79" s="51">
        <v>98.5</v>
      </c>
      <c r="BT79" s="51">
        <v>1.2929999999999999</v>
      </c>
      <c r="BU79" s="41"/>
      <c r="BV79" s="41"/>
      <c r="BW79" s="41"/>
      <c r="BX79" s="41"/>
      <c r="BY79" s="41"/>
      <c r="BZ79" s="41"/>
      <c r="CA79" s="41"/>
      <c r="CB79" s="41"/>
      <c r="CC79" s="41"/>
      <c r="CD79" s="41"/>
      <c r="CE79" s="41"/>
      <c r="CF79" s="41"/>
      <c r="CG79" s="41"/>
      <c r="CH79" s="41"/>
      <c r="CI79" s="41"/>
      <c r="CJ79" s="41"/>
      <c r="CK79" s="41"/>
    </row>
    <row r="80" spans="1:89">
      <c r="A80" s="48" t="s">
        <v>209</v>
      </c>
      <c r="B80" s="49">
        <v>1.36</v>
      </c>
      <c r="C80" s="49">
        <v>1.36</v>
      </c>
      <c r="D80" s="49">
        <v>1.36</v>
      </c>
      <c r="E80" s="49" t="s">
        <v>1574</v>
      </c>
      <c r="F80" s="49" t="s">
        <v>1574</v>
      </c>
      <c r="G80" s="49" t="s">
        <v>1574</v>
      </c>
      <c r="H80" s="49">
        <v>0.16</v>
      </c>
      <c r="I80" s="49">
        <v>0.42492866513999999</v>
      </c>
      <c r="J80" s="49" t="s">
        <v>1574</v>
      </c>
      <c r="K80" s="49" t="s">
        <v>1574</v>
      </c>
      <c r="L80" s="49">
        <v>0.47310000000000002</v>
      </c>
      <c r="M80" s="49">
        <v>1.0119</v>
      </c>
      <c r="N80" s="49">
        <v>0.80158130000000005</v>
      </c>
      <c r="O80" s="49">
        <v>0.95989999999999998</v>
      </c>
      <c r="P80" s="49">
        <v>0.76020080000000001</v>
      </c>
      <c r="Q80" s="49">
        <v>1.2054009999999999</v>
      </c>
      <c r="R80" s="49">
        <v>0.9141996</v>
      </c>
      <c r="S80" s="49">
        <v>355.5</v>
      </c>
      <c r="T80" s="49" t="s">
        <v>1574</v>
      </c>
      <c r="U80" s="49" t="s">
        <v>1574</v>
      </c>
      <c r="V80" s="49">
        <v>307.27</v>
      </c>
      <c r="W80" s="49">
        <v>246.92</v>
      </c>
      <c r="X80" s="49" t="s">
        <v>1574</v>
      </c>
      <c r="Y80" s="49">
        <v>119.6</v>
      </c>
      <c r="Z80" s="49">
        <v>267</v>
      </c>
      <c r="AA80" s="49">
        <v>101.93</v>
      </c>
      <c r="AB80" s="49" t="s">
        <v>1574</v>
      </c>
      <c r="AC80" s="49" t="s">
        <v>1574</v>
      </c>
      <c r="AD80" s="49">
        <v>24.632156512150001</v>
      </c>
      <c r="AE80" s="49">
        <v>57.08</v>
      </c>
      <c r="AF80" s="49">
        <v>47.62</v>
      </c>
      <c r="AG80" s="49">
        <v>125.51</v>
      </c>
      <c r="AH80" s="49" t="s">
        <v>1574</v>
      </c>
      <c r="AI80" s="49" t="s">
        <v>1574</v>
      </c>
      <c r="AJ80" s="49" t="s">
        <v>1574</v>
      </c>
      <c r="AK80" s="49" t="s">
        <v>1574</v>
      </c>
      <c r="AL80" s="49">
        <v>58.42</v>
      </c>
      <c r="AM80" s="49" t="s">
        <v>1574</v>
      </c>
      <c r="AN80" s="49">
        <v>0.129</v>
      </c>
      <c r="AO80" s="49">
        <v>9.1399999999999995E-2</v>
      </c>
      <c r="AP80" s="49">
        <v>0.96760000000000002</v>
      </c>
      <c r="AQ80" s="49">
        <v>0.35813582505000002</v>
      </c>
      <c r="AR80" s="49" t="s">
        <v>1574</v>
      </c>
      <c r="AS80" s="49">
        <v>2.314851</v>
      </c>
      <c r="AT80" s="49">
        <v>0.13095442800000001</v>
      </c>
      <c r="AU80" s="49">
        <v>0.13889106000000001</v>
      </c>
      <c r="AV80" s="49">
        <v>5.3100000000000001E-2</v>
      </c>
      <c r="AW80" s="49">
        <v>1581.22</v>
      </c>
      <c r="AX80" s="49" t="s">
        <v>1574</v>
      </c>
      <c r="AY80" s="49">
        <v>36.11</v>
      </c>
      <c r="AZ80" s="49" t="s">
        <v>1574</v>
      </c>
      <c r="BA80" s="49">
        <v>159.39473605820001</v>
      </c>
      <c r="BB80" s="49" t="s">
        <v>1574</v>
      </c>
      <c r="BC80" s="49">
        <v>0.61950000000000005</v>
      </c>
      <c r="BD80" s="49" t="s">
        <v>1574</v>
      </c>
      <c r="BE80" s="49">
        <v>0.50509999999999999</v>
      </c>
      <c r="BF80" s="49">
        <v>13</v>
      </c>
      <c r="BG80" s="49" t="s">
        <v>1599</v>
      </c>
      <c r="BH80" s="49">
        <v>50</v>
      </c>
      <c r="BI80" s="49">
        <v>59.25</v>
      </c>
      <c r="BJ80" s="49">
        <v>27.5</v>
      </c>
      <c r="BK80" s="49">
        <v>540.1318359375</v>
      </c>
      <c r="BL80" s="49">
        <v>9.52</v>
      </c>
      <c r="BM80" s="49">
        <v>1679.04</v>
      </c>
      <c r="BN80" s="49">
        <v>301.2</v>
      </c>
      <c r="BO80" s="49">
        <v>3926.4</v>
      </c>
      <c r="BP80" s="49">
        <v>1739</v>
      </c>
      <c r="BQ80" s="49">
        <v>302.7</v>
      </c>
      <c r="BR80" s="49">
        <v>35.130000000000003</v>
      </c>
      <c r="BS80" s="49">
        <v>98.5</v>
      </c>
      <c r="BT80" s="49">
        <v>1.2929999999999999</v>
      </c>
      <c r="BU80" s="41"/>
      <c r="BV80" s="41"/>
      <c r="BW80" s="41"/>
      <c r="BX80" s="41"/>
      <c r="BY80" s="41"/>
      <c r="BZ80" s="41"/>
      <c r="CA80" s="41"/>
      <c r="CB80" s="41"/>
      <c r="CC80" s="41"/>
      <c r="CD80" s="41"/>
      <c r="CE80" s="41"/>
      <c r="CF80" s="41"/>
      <c r="CG80" s="41"/>
      <c r="CH80" s="41"/>
      <c r="CI80" s="41"/>
      <c r="CJ80" s="41"/>
      <c r="CK80" s="41"/>
    </row>
    <row r="81" spans="1:89">
      <c r="A81" s="41" t="s">
        <v>210</v>
      </c>
      <c r="B81" s="51">
        <v>1.36</v>
      </c>
      <c r="C81" s="51">
        <v>1.36</v>
      </c>
      <c r="D81" s="51">
        <v>1.36</v>
      </c>
      <c r="E81" s="51" t="s">
        <v>1574</v>
      </c>
      <c r="F81" s="51" t="s">
        <v>1574</v>
      </c>
      <c r="G81" s="51" t="s">
        <v>1574</v>
      </c>
      <c r="H81" s="51">
        <v>0.16</v>
      </c>
      <c r="I81" s="51">
        <v>0.42492866513999999</v>
      </c>
      <c r="J81" s="51" t="s">
        <v>1574</v>
      </c>
      <c r="K81" s="51" t="s">
        <v>1574</v>
      </c>
      <c r="L81" s="51">
        <v>0.4718</v>
      </c>
      <c r="M81" s="51">
        <v>0.97219999999999995</v>
      </c>
      <c r="N81" s="51">
        <v>0.75771029999999995</v>
      </c>
      <c r="O81" s="51">
        <v>0.95989999999999998</v>
      </c>
      <c r="P81" s="51">
        <v>0.76020080000000001</v>
      </c>
      <c r="Q81" s="51">
        <v>1.2054009999999999</v>
      </c>
      <c r="R81" s="51">
        <v>0.9141996</v>
      </c>
      <c r="S81" s="51">
        <v>348.6</v>
      </c>
      <c r="T81" s="51" t="s">
        <v>1574</v>
      </c>
      <c r="U81" s="51" t="s">
        <v>1574</v>
      </c>
      <c r="V81" s="51">
        <v>299.69</v>
      </c>
      <c r="W81" s="51">
        <v>248.02</v>
      </c>
      <c r="X81" s="51" t="s">
        <v>1574</v>
      </c>
      <c r="Y81" s="51">
        <v>121.8</v>
      </c>
      <c r="Z81" s="51">
        <v>273</v>
      </c>
      <c r="AA81" s="51">
        <v>99.1</v>
      </c>
      <c r="AB81" s="51" t="s">
        <v>1574</v>
      </c>
      <c r="AC81" s="51" t="s">
        <v>1574</v>
      </c>
      <c r="AD81" s="51">
        <v>24.744632186930001</v>
      </c>
      <c r="AE81" s="51">
        <v>57.08</v>
      </c>
      <c r="AF81" s="51">
        <v>48.5</v>
      </c>
      <c r="AG81" s="51">
        <v>124.79</v>
      </c>
      <c r="AH81" s="51" t="s">
        <v>1574</v>
      </c>
      <c r="AI81" s="51" t="s">
        <v>1574</v>
      </c>
      <c r="AJ81" s="51" t="s">
        <v>1574</v>
      </c>
      <c r="AK81" s="51" t="s">
        <v>1574</v>
      </c>
      <c r="AL81" s="51">
        <v>58.79</v>
      </c>
      <c r="AM81" s="51" t="s">
        <v>1574</v>
      </c>
      <c r="AN81" s="51">
        <v>0.14299999999999999</v>
      </c>
      <c r="AO81" s="51">
        <v>7.2800000000000004E-2</v>
      </c>
      <c r="AP81" s="51">
        <v>0.96409999999999996</v>
      </c>
      <c r="AQ81" s="51">
        <v>0.35856747324999999</v>
      </c>
      <c r="AR81" s="51" t="s">
        <v>1574</v>
      </c>
      <c r="AS81" s="51">
        <v>2.314851</v>
      </c>
      <c r="AT81" s="51">
        <v>0.13095442800000001</v>
      </c>
      <c r="AU81" s="51">
        <v>0.13889106000000001</v>
      </c>
      <c r="AV81" s="51">
        <v>4.8899999999999999E-2</v>
      </c>
      <c r="AW81" s="51">
        <v>1581.22</v>
      </c>
      <c r="AX81" s="51" t="s">
        <v>1574</v>
      </c>
      <c r="AY81" s="51">
        <v>36.94</v>
      </c>
      <c r="AZ81" s="51" t="s">
        <v>1574</v>
      </c>
      <c r="BA81" s="51">
        <v>161.36281156287001</v>
      </c>
      <c r="BB81" s="51" t="s">
        <v>1574</v>
      </c>
      <c r="BC81" s="51">
        <v>0.61950000000000005</v>
      </c>
      <c r="BD81" s="51" t="s">
        <v>1574</v>
      </c>
      <c r="BE81" s="51">
        <v>0.50660000000000005</v>
      </c>
      <c r="BF81" s="51">
        <v>13</v>
      </c>
      <c r="BG81" s="51" t="s">
        <v>1599</v>
      </c>
      <c r="BH81" s="51">
        <v>50</v>
      </c>
      <c r="BI81" s="51">
        <v>59.25</v>
      </c>
      <c r="BJ81" s="51">
        <v>27.5</v>
      </c>
      <c r="BK81" s="51">
        <v>540.1318359375</v>
      </c>
      <c r="BL81" s="51">
        <v>9.52</v>
      </c>
      <c r="BM81" s="51">
        <v>1874.37</v>
      </c>
      <c r="BN81" s="51">
        <v>291.5</v>
      </c>
      <c r="BO81" s="51">
        <v>3877.9</v>
      </c>
      <c r="BP81" s="51">
        <v>1739</v>
      </c>
      <c r="BQ81" s="51">
        <v>299.8</v>
      </c>
      <c r="BR81" s="51">
        <v>35.130000000000003</v>
      </c>
      <c r="BS81" s="51">
        <v>98.5</v>
      </c>
      <c r="BT81" s="51">
        <v>1.2929999999999999</v>
      </c>
      <c r="BU81" s="41"/>
      <c r="BV81" s="41"/>
      <c r="BW81" s="41"/>
      <c r="BX81" s="41"/>
      <c r="BY81" s="41"/>
      <c r="BZ81" s="41"/>
      <c r="CA81" s="41"/>
      <c r="CB81" s="41"/>
      <c r="CC81" s="41"/>
      <c r="CD81" s="41"/>
      <c r="CE81" s="41"/>
      <c r="CF81" s="41"/>
      <c r="CG81" s="41"/>
      <c r="CH81" s="41"/>
      <c r="CI81" s="41"/>
      <c r="CJ81" s="41"/>
      <c r="CK81" s="41"/>
    </row>
    <row r="82" spans="1:89">
      <c r="A82" s="48" t="s">
        <v>211</v>
      </c>
      <c r="B82" s="49">
        <v>1.36</v>
      </c>
      <c r="C82" s="49">
        <v>1.36</v>
      </c>
      <c r="D82" s="49">
        <v>1.36</v>
      </c>
      <c r="E82" s="49" t="s">
        <v>1574</v>
      </c>
      <c r="F82" s="49" t="s">
        <v>1574</v>
      </c>
      <c r="G82" s="49" t="s">
        <v>1574</v>
      </c>
      <c r="H82" s="49">
        <v>0.16</v>
      </c>
      <c r="I82" s="49">
        <v>0.42492866513999999</v>
      </c>
      <c r="J82" s="49" t="s">
        <v>1574</v>
      </c>
      <c r="K82" s="49" t="s">
        <v>1574</v>
      </c>
      <c r="L82" s="49">
        <v>0.48959999999999998</v>
      </c>
      <c r="M82" s="49">
        <v>0.9546</v>
      </c>
      <c r="N82" s="49">
        <v>0.74382159999999997</v>
      </c>
      <c r="O82" s="49">
        <v>0.95989999999999998</v>
      </c>
      <c r="P82" s="49">
        <v>0.76020080000000001</v>
      </c>
      <c r="Q82" s="49">
        <v>1.2054009999999999</v>
      </c>
      <c r="R82" s="49">
        <v>0.9141996</v>
      </c>
      <c r="S82" s="49">
        <v>338.4</v>
      </c>
      <c r="T82" s="49" t="s">
        <v>1574</v>
      </c>
      <c r="U82" s="49" t="s">
        <v>1574</v>
      </c>
      <c r="V82" s="49">
        <v>292.8</v>
      </c>
      <c r="W82" s="49">
        <v>245.26</v>
      </c>
      <c r="X82" s="49" t="s">
        <v>1574</v>
      </c>
      <c r="Y82" s="49">
        <v>119.88</v>
      </c>
      <c r="Z82" s="49">
        <v>265</v>
      </c>
      <c r="AA82" s="49">
        <v>92.5</v>
      </c>
      <c r="AB82" s="49" t="s">
        <v>1574</v>
      </c>
      <c r="AC82" s="49" t="s">
        <v>1574</v>
      </c>
      <c r="AD82" s="49">
        <v>24.547821105659999</v>
      </c>
      <c r="AE82" s="49">
        <v>55.51</v>
      </c>
      <c r="AF82" s="49">
        <v>47.4</v>
      </c>
      <c r="AG82" s="49">
        <v>131.72999999999999</v>
      </c>
      <c r="AH82" s="49" t="s">
        <v>1574</v>
      </c>
      <c r="AI82" s="49" t="s">
        <v>1574</v>
      </c>
      <c r="AJ82" s="49" t="s">
        <v>1574</v>
      </c>
      <c r="AK82" s="49" t="s">
        <v>1574</v>
      </c>
      <c r="AL82" s="49">
        <v>58.79</v>
      </c>
      <c r="AM82" s="49" t="s">
        <v>1574</v>
      </c>
      <c r="AN82" s="49">
        <v>0.1731</v>
      </c>
      <c r="AO82" s="49">
        <v>8.5000000000000006E-2</v>
      </c>
      <c r="AP82" s="49">
        <v>1.0672999999999999</v>
      </c>
      <c r="AQ82" s="49">
        <v>0.35837460202999999</v>
      </c>
      <c r="AR82" s="49" t="s">
        <v>1574</v>
      </c>
      <c r="AS82" s="49">
        <v>2.314851</v>
      </c>
      <c r="AT82" s="49">
        <v>0.13095442800000001</v>
      </c>
      <c r="AU82" s="49">
        <v>0.13668643999999999</v>
      </c>
      <c r="AV82" s="49">
        <v>4.7199999999999999E-2</v>
      </c>
      <c r="AW82" s="49">
        <v>1581.22</v>
      </c>
      <c r="AX82" s="49" t="s">
        <v>1574</v>
      </c>
      <c r="AY82" s="49">
        <v>36.94</v>
      </c>
      <c r="AZ82" s="49" t="s">
        <v>1574</v>
      </c>
      <c r="BA82" s="49">
        <v>161.36281156287001</v>
      </c>
      <c r="BB82" s="49" t="s">
        <v>1574</v>
      </c>
      <c r="BC82" s="49">
        <v>0.63900000000000001</v>
      </c>
      <c r="BD82" s="49" t="s">
        <v>1574</v>
      </c>
      <c r="BE82" s="49">
        <v>0.50309999999999999</v>
      </c>
      <c r="BF82" s="49">
        <v>13</v>
      </c>
      <c r="BG82" s="49" t="s">
        <v>1599</v>
      </c>
      <c r="BH82" s="49">
        <v>50</v>
      </c>
      <c r="BI82" s="49">
        <v>59.25</v>
      </c>
      <c r="BJ82" s="49">
        <v>27.5</v>
      </c>
      <c r="BK82" s="49">
        <v>540.1318359375</v>
      </c>
      <c r="BL82" s="49">
        <v>9.52</v>
      </c>
      <c r="BM82" s="49">
        <v>1874.81</v>
      </c>
      <c r="BN82" s="49">
        <v>292.8</v>
      </c>
      <c r="BO82" s="49">
        <v>3772.1</v>
      </c>
      <c r="BP82" s="49">
        <v>1739</v>
      </c>
      <c r="BQ82" s="49">
        <v>300.7</v>
      </c>
      <c r="BR82" s="49">
        <v>35.130000000000003</v>
      </c>
      <c r="BS82" s="49">
        <v>99.65</v>
      </c>
      <c r="BT82" s="49">
        <v>1.2929999999999999</v>
      </c>
      <c r="BU82" s="41"/>
      <c r="BV82" s="41"/>
      <c r="BW82" s="41"/>
      <c r="BX82" s="41"/>
      <c r="BY82" s="41"/>
      <c r="BZ82" s="41"/>
      <c r="CA82" s="41"/>
      <c r="CB82" s="41"/>
      <c r="CC82" s="41"/>
      <c r="CD82" s="41"/>
      <c r="CE82" s="41"/>
      <c r="CF82" s="41"/>
      <c r="CG82" s="41"/>
      <c r="CH82" s="41"/>
      <c r="CI82" s="41"/>
      <c r="CJ82" s="41"/>
      <c r="CK82" s="41"/>
    </row>
    <row r="83" spans="1:89">
      <c r="A83" s="41" t="s">
        <v>212</v>
      </c>
      <c r="B83" s="51">
        <v>1.36</v>
      </c>
      <c r="C83" s="51">
        <v>1.36</v>
      </c>
      <c r="D83" s="51">
        <v>1.36</v>
      </c>
      <c r="E83" s="51" t="s">
        <v>1574</v>
      </c>
      <c r="F83" s="51" t="s">
        <v>1574</v>
      </c>
      <c r="G83" s="51" t="s">
        <v>1574</v>
      </c>
      <c r="H83" s="51">
        <v>0.16</v>
      </c>
      <c r="I83" s="51">
        <v>0.42492866513999999</v>
      </c>
      <c r="J83" s="51" t="s">
        <v>1574</v>
      </c>
      <c r="K83" s="51" t="s">
        <v>1574</v>
      </c>
      <c r="L83" s="51">
        <v>0.5333</v>
      </c>
      <c r="M83" s="51">
        <v>0.9546</v>
      </c>
      <c r="N83" s="51">
        <v>0.76057629999999998</v>
      </c>
      <c r="O83" s="51">
        <v>0.95989999999999998</v>
      </c>
      <c r="P83" s="51">
        <v>0.76020080000000001</v>
      </c>
      <c r="Q83" s="51">
        <v>1.2054009999999999</v>
      </c>
      <c r="R83" s="51">
        <v>0.9141996</v>
      </c>
      <c r="S83" s="51">
        <v>331.2</v>
      </c>
      <c r="T83" s="51" t="s">
        <v>1574</v>
      </c>
      <c r="U83" s="51" t="s">
        <v>1574</v>
      </c>
      <c r="V83" s="51">
        <v>285.77</v>
      </c>
      <c r="W83" s="51">
        <v>233.69</v>
      </c>
      <c r="X83" s="51" t="s">
        <v>1574</v>
      </c>
      <c r="Y83" s="51">
        <v>122.08</v>
      </c>
      <c r="Z83" s="51">
        <v>267</v>
      </c>
      <c r="AA83" s="51">
        <v>96.9</v>
      </c>
      <c r="AB83" s="51" t="s">
        <v>1574</v>
      </c>
      <c r="AC83" s="51" t="s">
        <v>1574</v>
      </c>
      <c r="AD83" s="51">
        <v>24.648170335820001</v>
      </c>
      <c r="AE83" s="51">
        <v>55.9</v>
      </c>
      <c r="AF83" s="51">
        <v>46.96</v>
      </c>
      <c r="AG83" s="51">
        <v>143.04</v>
      </c>
      <c r="AH83" s="51" t="s">
        <v>1574</v>
      </c>
      <c r="AI83" s="51" t="s">
        <v>1574</v>
      </c>
      <c r="AJ83" s="51" t="s">
        <v>1574</v>
      </c>
      <c r="AK83" s="51" t="s">
        <v>1574</v>
      </c>
      <c r="AL83" s="51">
        <v>58.79</v>
      </c>
      <c r="AM83" s="51" t="s">
        <v>1574</v>
      </c>
      <c r="AN83" s="51">
        <v>0.18920000000000001</v>
      </c>
      <c r="AO83" s="51">
        <v>9.1399999999999995E-2</v>
      </c>
      <c r="AP83" s="51">
        <v>1.0713999999999999</v>
      </c>
      <c r="AQ83" s="51">
        <v>0.35995302555999997</v>
      </c>
      <c r="AR83" s="51" t="s">
        <v>1574</v>
      </c>
      <c r="AS83" s="51">
        <v>2.314851</v>
      </c>
      <c r="AT83" s="51">
        <v>0.13095442800000001</v>
      </c>
      <c r="AU83" s="51">
        <v>0.13889106000000001</v>
      </c>
      <c r="AV83" s="51">
        <v>4.5199999999999997E-2</v>
      </c>
      <c r="AW83" s="51">
        <v>1581.22</v>
      </c>
      <c r="AX83" s="51" t="s">
        <v>1574</v>
      </c>
      <c r="AY83" s="51">
        <v>36.39</v>
      </c>
      <c r="AZ83" s="51" t="s">
        <v>1574</v>
      </c>
      <c r="BA83" s="51">
        <v>160.06096878503001</v>
      </c>
      <c r="BB83" s="51" t="s">
        <v>1574</v>
      </c>
      <c r="BC83" s="51">
        <v>0.61839999999999995</v>
      </c>
      <c r="BD83" s="51" t="s">
        <v>1574</v>
      </c>
      <c r="BE83" s="51">
        <v>0.48480000000000001</v>
      </c>
      <c r="BF83" s="51">
        <v>13</v>
      </c>
      <c r="BG83" s="51" t="s">
        <v>1599</v>
      </c>
      <c r="BH83" s="51">
        <v>50</v>
      </c>
      <c r="BI83" s="51">
        <v>59.25</v>
      </c>
      <c r="BJ83" s="51">
        <v>27.5</v>
      </c>
      <c r="BK83" s="51">
        <v>540.1318359375</v>
      </c>
      <c r="BL83" s="51">
        <v>9.52</v>
      </c>
      <c r="BM83" s="51">
        <v>1907.44</v>
      </c>
      <c r="BN83" s="51">
        <v>280.39999999999998</v>
      </c>
      <c r="BO83" s="51">
        <v>3763.3</v>
      </c>
      <c r="BP83" s="51">
        <v>1739</v>
      </c>
      <c r="BQ83" s="51">
        <v>278.7</v>
      </c>
      <c r="BR83" s="51">
        <v>35.130000000000003</v>
      </c>
      <c r="BS83" s="51">
        <v>100</v>
      </c>
      <c r="BT83" s="51">
        <v>1.2929999999999999</v>
      </c>
      <c r="BU83" s="41"/>
      <c r="BV83" s="41"/>
      <c r="BW83" s="41"/>
      <c r="BX83" s="41"/>
      <c r="BY83" s="41"/>
      <c r="BZ83" s="41"/>
      <c r="CA83" s="41"/>
      <c r="CB83" s="41"/>
      <c r="CC83" s="41"/>
      <c r="CD83" s="41"/>
      <c r="CE83" s="41"/>
      <c r="CF83" s="41"/>
      <c r="CG83" s="41"/>
      <c r="CH83" s="41"/>
      <c r="CI83" s="41"/>
      <c r="CJ83" s="41"/>
      <c r="CK83" s="41"/>
    </row>
    <row r="84" spans="1:89">
      <c r="A84" s="48" t="s">
        <v>213</v>
      </c>
      <c r="B84" s="49">
        <v>1.36</v>
      </c>
      <c r="C84" s="49">
        <v>1.36</v>
      </c>
      <c r="D84" s="49">
        <v>1.36</v>
      </c>
      <c r="E84" s="49" t="s">
        <v>1574</v>
      </c>
      <c r="F84" s="49" t="s">
        <v>1574</v>
      </c>
      <c r="G84" s="49" t="s">
        <v>1574</v>
      </c>
      <c r="H84" s="49">
        <v>0.16</v>
      </c>
      <c r="I84" s="49">
        <v>0.42492866513999999</v>
      </c>
      <c r="J84" s="49" t="s">
        <v>1574</v>
      </c>
      <c r="K84" s="49" t="s">
        <v>1574</v>
      </c>
      <c r="L84" s="49">
        <v>0.51300000000000001</v>
      </c>
      <c r="M84" s="49">
        <v>0.94579999999999997</v>
      </c>
      <c r="N84" s="49">
        <v>0.76520589999999999</v>
      </c>
      <c r="O84" s="49">
        <v>0.95989999999999998</v>
      </c>
      <c r="P84" s="49">
        <v>0.76020080000000001</v>
      </c>
      <c r="Q84" s="49">
        <v>1.2054009999999999</v>
      </c>
      <c r="R84" s="49">
        <v>0.9141996</v>
      </c>
      <c r="S84" s="49">
        <v>330.7</v>
      </c>
      <c r="T84" s="49" t="s">
        <v>1574</v>
      </c>
      <c r="U84" s="49" t="s">
        <v>1574</v>
      </c>
      <c r="V84" s="49">
        <v>288.31</v>
      </c>
      <c r="W84" s="49">
        <v>225.7</v>
      </c>
      <c r="X84" s="49" t="s">
        <v>1574</v>
      </c>
      <c r="Y84" s="49">
        <v>124.84</v>
      </c>
      <c r="Z84" s="49">
        <v>256</v>
      </c>
      <c r="AA84" s="49">
        <v>102.4</v>
      </c>
      <c r="AB84" s="49" t="s">
        <v>1574</v>
      </c>
      <c r="AC84" s="49" t="s">
        <v>1574</v>
      </c>
      <c r="AD84" s="49">
        <v>24.56941687658</v>
      </c>
      <c r="AE84" s="49">
        <v>55.12</v>
      </c>
      <c r="AF84" s="49">
        <v>46.96</v>
      </c>
      <c r="AG84" s="49">
        <v>140.86000000000001</v>
      </c>
      <c r="AH84" s="49" t="s">
        <v>1574</v>
      </c>
      <c r="AI84" s="49" t="s">
        <v>1574</v>
      </c>
      <c r="AJ84" s="49" t="s">
        <v>1574</v>
      </c>
      <c r="AK84" s="49" t="s">
        <v>1574</v>
      </c>
      <c r="AL84" s="49">
        <v>58.79</v>
      </c>
      <c r="AM84" s="49" t="s">
        <v>1574</v>
      </c>
      <c r="AN84" s="49">
        <v>0.18410000000000001</v>
      </c>
      <c r="AO84" s="49">
        <v>8.77E-2</v>
      </c>
      <c r="AP84" s="49">
        <v>1.0429999999999999</v>
      </c>
      <c r="AQ84" s="49">
        <v>0.3616734465</v>
      </c>
      <c r="AR84" s="49" t="s">
        <v>1574</v>
      </c>
      <c r="AS84" s="49">
        <v>2.314851</v>
      </c>
      <c r="AT84" s="49">
        <v>0.13095442800000001</v>
      </c>
      <c r="AU84" s="49">
        <v>0.13889106000000001</v>
      </c>
      <c r="AV84" s="49">
        <v>4.4999999999999998E-2</v>
      </c>
      <c r="AW84" s="49">
        <v>1581.22</v>
      </c>
      <c r="AX84" s="49" t="s">
        <v>1574</v>
      </c>
      <c r="AY84" s="49">
        <v>36.94</v>
      </c>
      <c r="AZ84" s="49" t="s">
        <v>1574</v>
      </c>
      <c r="BA84" s="49">
        <v>161.36281156287001</v>
      </c>
      <c r="BB84" s="49" t="s">
        <v>1574</v>
      </c>
      <c r="BC84" s="49">
        <v>0.62280000000000002</v>
      </c>
      <c r="BD84" s="49" t="s">
        <v>1574</v>
      </c>
      <c r="BE84" s="49">
        <v>0.49490000000000001</v>
      </c>
      <c r="BF84" s="49">
        <v>13</v>
      </c>
      <c r="BG84" s="49" t="s">
        <v>1599</v>
      </c>
      <c r="BH84" s="49">
        <v>50</v>
      </c>
      <c r="BI84" s="49">
        <v>59.25</v>
      </c>
      <c r="BJ84" s="49">
        <v>27.5</v>
      </c>
      <c r="BK84" s="49">
        <v>540.1318359375</v>
      </c>
      <c r="BL84" s="49">
        <v>9.52</v>
      </c>
      <c r="BM84" s="49">
        <v>1663.61</v>
      </c>
      <c r="BN84" s="49">
        <v>261.89999999999998</v>
      </c>
      <c r="BO84" s="49">
        <v>3688.3</v>
      </c>
      <c r="BP84" s="49">
        <v>1739</v>
      </c>
      <c r="BQ84" s="49">
        <v>270</v>
      </c>
      <c r="BR84" s="49">
        <v>35.130000000000003</v>
      </c>
      <c r="BS84" s="49">
        <v>100</v>
      </c>
      <c r="BT84" s="49">
        <v>1.2929999999999999</v>
      </c>
      <c r="BU84" s="41"/>
      <c r="BV84" s="41"/>
      <c r="BW84" s="41"/>
      <c r="BX84" s="41"/>
      <c r="BY84" s="41"/>
      <c r="BZ84" s="41"/>
      <c r="CA84" s="41"/>
      <c r="CB84" s="41"/>
      <c r="CC84" s="41"/>
      <c r="CD84" s="41"/>
      <c r="CE84" s="41"/>
      <c r="CF84" s="41"/>
      <c r="CG84" s="41"/>
      <c r="CH84" s="41"/>
      <c r="CI84" s="41"/>
      <c r="CJ84" s="41"/>
      <c r="CK84" s="41"/>
    </row>
    <row r="85" spans="1:89">
      <c r="A85" s="41" t="s">
        <v>214</v>
      </c>
      <c r="B85" s="51">
        <v>1.36</v>
      </c>
      <c r="C85" s="51">
        <v>1.36</v>
      </c>
      <c r="D85" s="51">
        <v>1.36</v>
      </c>
      <c r="E85" s="51" t="s">
        <v>1574</v>
      </c>
      <c r="F85" s="51" t="s">
        <v>1574</v>
      </c>
      <c r="G85" s="51" t="s">
        <v>1574</v>
      </c>
      <c r="H85" s="51">
        <v>0.16</v>
      </c>
      <c r="I85" s="51">
        <v>0.42492866513999999</v>
      </c>
      <c r="J85" s="51" t="s">
        <v>1574</v>
      </c>
      <c r="K85" s="51" t="s">
        <v>1574</v>
      </c>
      <c r="L85" s="51">
        <v>0.52669999999999995</v>
      </c>
      <c r="M85" s="51">
        <v>0.92369999999999997</v>
      </c>
      <c r="N85" s="51">
        <v>0.74095569999999999</v>
      </c>
      <c r="O85" s="51">
        <v>0.81320000000000003</v>
      </c>
      <c r="P85" s="51">
        <v>0.76020080000000001</v>
      </c>
      <c r="Q85" s="51">
        <v>0.76533329999999999</v>
      </c>
      <c r="R85" s="51">
        <v>0.9141996</v>
      </c>
      <c r="S85" s="51">
        <v>332.1</v>
      </c>
      <c r="T85" s="51" t="s">
        <v>1574</v>
      </c>
      <c r="U85" s="51" t="s">
        <v>1574</v>
      </c>
      <c r="V85" s="51">
        <v>288.31</v>
      </c>
      <c r="W85" s="51">
        <v>225.42</v>
      </c>
      <c r="X85" s="51" t="s">
        <v>1574</v>
      </c>
      <c r="Y85" s="51">
        <v>130.62</v>
      </c>
      <c r="Z85" s="51">
        <v>256</v>
      </c>
      <c r="AA85" s="51">
        <v>117.8</v>
      </c>
      <c r="AB85" s="51" t="s">
        <v>1574</v>
      </c>
      <c r="AC85" s="51" t="s">
        <v>1574</v>
      </c>
      <c r="AD85" s="51">
        <v>25.543382021140001</v>
      </c>
      <c r="AE85" s="51">
        <v>57.08</v>
      </c>
      <c r="AF85" s="51">
        <v>46.74</v>
      </c>
      <c r="AG85" s="51">
        <v>144.44999999999999</v>
      </c>
      <c r="AH85" s="51" t="s">
        <v>1574</v>
      </c>
      <c r="AI85" s="51" t="s">
        <v>1574</v>
      </c>
      <c r="AJ85" s="51" t="s">
        <v>1574</v>
      </c>
      <c r="AK85" s="51" t="s">
        <v>1574</v>
      </c>
      <c r="AL85" s="51">
        <v>62.1</v>
      </c>
      <c r="AM85" s="51" t="s">
        <v>1574</v>
      </c>
      <c r="AN85" s="51">
        <v>0.18099999999999999</v>
      </c>
      <c r="AO85" s="51">
        <v>8.4000000000000005E-2</v>
      </c>
      <c r="AP85" s="51">
        <v>0.99229999999999996</v>
      </c>
      <c r="AQ85" s="51">
        <v>0.36472329579000001</v>
      </c>
      <c r="AR85" s="51" t="s">
        <v>1574</v>
      </c>
      <c r="AS85" s="51">
        <v>2.314851</v>
      </c>
      <c r="AT85" s="51">
        <v>0.13095442800000001</v>
      </c>
      <c r="AU85" s="51">
        <v>0.13889106000000001</v>
      </c>
      <c r="AV85" s="51">
        <v>3.6999999999999998E-2</v>
      </c>
      <c r="AW85" s="51">
        <v>1581.22</v>
      </c>
      <c r="AX85" s="51" t="s">
        <v>1574</v>
      </c>
      <c r="AY85" s="51">
        <v>36.94</v>
      </c>
      <c r="AZ85" s="51" t="s">
        <v>1574</v>
      </c>
      <c r="BA85" s="51">
        <v>161.36281156287001</v>
      </c>
      <c r="BB85" s="51" t="s">
        <v>1574</v>
      </c>
      <c r="BC85" s="51">
        <v>0.61819999999999997</v>
      </c>
      <c r="BD85" s="51" t="s">
        <v>1574</v>
      </c>
      <c r="BE85" s="51">
        <v>0.4733</v>
      </c>
      <c r="BF85" s="51">
        <v>13</v>
      </c>
      <c r="BG85" s="51" t="s">
        <v>1599</v>
      </c>
      <c r="BH85" s="51">
        <v>50</v>
      </c>
      <c r="BI85" s="51">
        <v>59.25</v>
      </c>
      <c r="BJ85" s="51">
        <v>27.5</v>
      </c>
      <c r="BK85" s="51">
        <v>540.1318359375</v>
      </c>
      <c r="BL85" s="51">
        <v>9.52</v>
      </c>
      <c r="BM85" s="51">
        <v>1695.79</v>
      </c>
      <c r="BN85" s="51">
        <v>259.3</v>
      </c>
      <c r="BO85" s="51">
        <v>3516.4</v>
      </c>
      <c r="BP85" s="51">
        <v>1739</v>
      </c>
      <c r="BQ85" s="51">
        <v>272.10000000000002</v>
      </c>
      <c r="BR85" s="51">
        <v>35.130000000000003</v>
      </c>
      <c r="BS85" s="51">
        <v>100</v>
      </c>
      <c r="BT85" s="51">
        <v>1.2929999999999999</v>
      </c>
      <c r="BU85" s="41"/>
      <c r="BV85" s="41"/>
      <c r="BW85" s="41"/>
      <c r="BX85" s="41"/>
      <c r="BY85" s="41"/>
      <c r="BZ85" s="41"/>
      <c r="CA85" s="41"/>
      <c r="CB85" s="41"/>
      <c r="CC85" s="41"/>
      <c r="CD85" s="41"/>
      <c r="CE85" s="41"/>
      <c r="CF85" s="41"/>
      <c r="CG85" s="41"/>
      <c r="CH85" s="41"/>
      <c r="CI85" s="41"/>
      <c r="CJ85" s="41"/>
      <c r="CK85" s="41"/>
    </row>
    <row r="86" spans="1:89">
      <c r="A86" s="48" t="s">
        <v>215</v>
      </c>
      <c r="B86" s="49">
        <v>1.36</v>
      </c>
      <c r="C86" s="49">
        <v>1.36</v>
      </c>
      <c r="D86" s="49">
        <v>1.36</v>
      </c>
      <c r="E86" s="49" t="s">
        <v>1574</v>
      </c>
      <c r="F86" s="49" t="s">
        <v>1574</v>
      </c>
      <c r="G86" s="49" t="s">
        <v>1574</v>
      </c>
      <c r="H86" s="49">
        <v>0.16</v>
      </c>
      <c r="I86" s="49">
        <v>0.42492866513999999</v>
      </c>
      <c r="J86" s="49" t="s">
        <v>1574</v>
      </c>
      <c r="K86" s="49" t="s">
        <v>1574</v>
      </c>
      <c r="L86" s="49">
        <v>0.57609999999999995</v>
      </c>
      <c r="M86" s="49">
        <v>0.91710000000000003</v>
      </c>
      <c r="N86" s="49">
        <v>0.729051</v>
      </c>
      <c r="O86" s="49">
        <v>0.81320000000000003</v>
      </c>
      <c r="P86" s="49">
        <v>0.76020080000000001</v>
      </c>
      <c r="Q86" s="49">
        <v>0.76533329999999999</v>
      </c>
      <c r="R86" s="49">
        <v>0.9141996</v>
      </c>
      <c r="S86" s="49">
        <v>330.4</v>
      </c>
      <c r="T86" s="49" t="s">
        <v>1574</v>
      </c>
      <c r="U86" s="49" t="s">
        <v>1574</v>
      </c>
      <c r="V86" s="49">
        <v>294.58999999999997</v>
      </c>
      <c r="W86" s="49">
        <v>235.34</v>
      </c>
      <c r="X86" s="49" t="s">
        <v>1574</v>
      </c>
      <c r="Y86" s="49">
        <v>138.88999999999999</v>
      </c>
      <c r="Z86" s="49">
        <v>267</v>
      </c>
      <c r="AA86" s="49">
        <v>123.3</v>
      </c>
      <c r="AB86" s="49" t="s">
        <v>1574</v>
      </c>
      <c r="AC86" s="49" t="s">
        <v>1574</v>
      </c>
      <c r="AD86" s="49">
        <v>26.510184373169999</v>
      </c>
      <c r="AE86" s="49">
        <v>59.05</v>
      </c>
      <c r="AF86" s="49">
        <v>47.18</v>
      </c>
      <c r="AG86" s="49">
        <v>153.30000000000001</v>
      </c>
      <c r="AH86" s="49" t="s">
        <v>1574</v>
      </c>
      <c r="AI86" s="49" t="s">
        <v>1574</v>
      </c>
      <c r="AJ86" s="49" t="s">
        <v>1574</v>
      </c>
      <c r="AK86" s="49" t="s">
        <v>1574</v>
      </c>
      <c r="AL86" s="49">
        <v>65.400000000000006</v>
      </c>
      <c r="AM86" s="49" t="s">
        <v>1574</v>
      </c>
      <c r="AN86" s="49">
        <v>0.14399999999999999</v>
      </c>
      <c r="AO86" s="49">
        <v>8.4000000000000005E-2</v>
      </c>
      <c r="AP86" s="49">
        <v>0.96689999999999998</v>
      </c>
      <c r="AQ86" s="49">
        <v>0.36631654723000001</v>
      </c>
      <c r="AR86" s="49" t="s">
        <v>1574</v>
      </c>
      <c r="AS86" s="49">
        <v>2.314851</v>
      </c>
      <c r="AT86" s="49">
        <v>0.13095442800000001</v>
      </c>
      <c r="AU86" s="49">
        <v>0.14109568</v>
      </c>
      <c r="AV86" s="49">
        <v>3.7900000000000003E-2</v>
      </c>
      <c r="AW86" s="49">
        <v>1581.22</v>
      </c>
      <c r="AX86" s="49" t="s">
        <v>1574</v>
      </c>
      <c r="AY86" s="49">
        <v>36.94</v>
      </c>
      <c r="AZ86" s="49" t="s">
        <v>1574</v>
      </c>
      <c r="BA86" s="49">
        <v>161.36281156287001</v>
      </c>
      <c r="BB86" s="49" t="s">
        <v>1574</v>
      </c>
      <c r="BC86" s="49">
        <v>0.61509999999999998</v>
      </c>
      <c r="BD86" s="49" t="s">
        <v>1574</v>
      </c>
      <c r="BE86" s="49">
        <v>0.46560000000000001</v>
      </c>
      <c r="BF86" s="49">
        <v>13</v>
      </c>
      <c r="BG86" s="49" t="s">
        <v>1599</v>
      </c>
      <c r="BH86" s="49">
        <v>50</v>
      </c>
      <c r="BI86" s="49">
        <v>59.25</v>
      </c>
      <c r="BJ86" s="49">
        <v>27.5</v>
      </c>
      <c r="BK86" s="49">
        <v>540.1318359375</v>
      </c>
      <c r="BL86" s="49">
        <v>9.52</v>
      </c>
      <c r="BM86" s="49">
        <v>1567.93</v>
      </c>
      <c r="BN86" s="49">
        <v>263.39999999999998</v>
      </c>
      <c r="BO86" s="49">
        <v>3514.2</v>
      </c>
      <c r="BP86" s="49">
        <v>1739</v>
      </c>
      <c r="BQ86" s="49">
        <v>264.60000000000002</v>
      </c>
      <c r="BR86" s="49">
        <v>35.130000000000003</v>
      </c>
      <c r="BS86" s="49">
        <v>100</v>
      </c>
      <c r="BT86" s="49">
        <v>1.2929999999999999</v>
      </c>
      <c r="BU86" s="41"/>
      <c r="BV86" s="41"/>
      <c r="BW86" s="41"/>
      <c r="BX86" s="41"/>
      <c r="BY86" s="41"/>
      <c r="BZ86" s="41"/>
      <c r="CA86" s="41"/>
      <c r="CB86" s="41"/>
      <c r="CC86" s="41"/>
      <c r="CD86" s="41"/>
      <c r="CE86" s="41"/>
      <c r="CF86" s="41"/>
      <c r="CG86" s="41"/>
      <c r="CH86" s="41"/>
      <c r="CI86" s="41"/>
      <c r="CJ86" s="41"/>
      <c r="CK86" s="41"/>
    </row>
    <row r="87" spans="1:89">
      <c r="A87" s="41" t="s">
        <v>216</v>
      </c>
      <c r="B87" s="51">
        <v>1.36</v>
      </c>
      <c r="C87" s="51">
        <v>1.36</v>
      </c>
      <c r="D87" s="51">
        <v>1.36</v>
      </c>
      <c r="E87" s="51" t="s">
        <v>1574</v>
      </c>
      <c r="F87" s="51" t="s">
        <v>1574</v>
      </c>
      <c r="G87" s="51" t="s">
        <v>1574</v>
      </c>
      <c r="H87" s="51">
        <v>0.16</v>
      </c>
      <c r="I87" s="51">
        <v>0.42492866513999999</v>
      </c>
      <c r="J87" s="51" t="s">
        <v>1574</v>
      </c>
      <c r="K87" s="51" t="s">
        <v>1574</v>
      </c>
      <c r="L87" s="51">
        <v>0.57299999999999995</v>
      </c>
      <c r="M87" s="51">
        <v>0.91710000000000003</v>
      </c>
      <c r="N87" s="51">
        <v>0.7189101</v>
      </c>
      <c r="O87" s="51">
        <v>0.81320000000000003</v>
      </c>
      <c r="P87" s="51">
        <v>0.76020080000000001</v>
      </c>
      <c r="Q87" s="51">
        <v>0.76533329999999999</v>
      </c>
      <c r="R87" s="51">
        <v>0.9141996</v>
      </c>
      <c r="S87" s="51">
        <v>319.10000000000002</v>
      </c>
      <c r="T87" s="51" t="s">
        <v>1574</v>
      </c>
      <c r="U87" s="51" t="s">
        <v>1574</v>
      </c>
      <c r="V87" s="51">
        <v>304.83999999999997</v>
      </c>
      <c r="W87" s="51">
        <v>239.75</v>
      </c>
      <c r="X87" s="51" t="s">
        <v>1574</v>
      </c>
      <c r="Y87" s="51">
        <v>140.27000000000001</v>
      </c>
      <c r="Z87" s="51">
        <v>276</v>
      </c>
      <c r="AA87" s="51">
        <v>124.4</v>
      </c>
      <c r="AB87" s="51" t="s">
        <v>1574</v>
      </c>
      <c r="AC87" s="51" t="s">
        <v>1574</v>
      </c>
      <c r="AD87" s="51">
        <v>27.51208083445</v>
      </c>
      <c r="AE87" s="51">
        <v>62.6</v>
      </c>
      <c r="AF87" s="51">
        <v>50.49</v>
      </c>
      <c r="AG87" s="51">
        <v>150.38999999999999</v>
      </c>
      <c r="AH87" s="51" t="s">
        <v>1574</v>
      </c>
      <c r="AI87" s="51" t="s">
        <v>1574</v>
      </c>
      <c r="AJ87" s="51" t="s">
        <v>1574</v>
      </c>
      <c r="AK87" s="51" t="s">
        <v>1574</v>
      </c>
      <c r="AL87" s="51">
        <v>67.61</v>
      </c>
      <c r="AM87" s="51" t="s">
        <v>1574</v>
      </c>
      <c r="AN87" s="51">
        <v>0.157</v>
      </c>
      <c r="AO87" s="51">
        <v>8.4000000000000005E-2</v>
      </c>
      <c r="AP87" s="51">
        <v>1</v>
      </c>
      <c r="AQ87" s="51">
        <v>0.36733921340999998</v>
      </c>
      <c r="AR87" s="51" t="s">
        <v>1574</v>
      </c>
      <c r="AS87" s="51">
        <v>2.314851</v>
      </c>
      <c r="AT87" s="51">
        <v>0.13095442800000001</v>
      </c>
      <c r="AU87" s="51">
        <v>0.14330029999999999</v>
      </c>
      <c r="AV87" s="51">
        <v>3.5900000000000001E-2</v>
      </c>
      <c r="AW87" s="51">
        <v>1581.22</v>
      </c>
      <c r="AX87" s="51" t="s">
        <v>1574</v>
      </c>
      <c r="AY87" s="51">
        <v>36.94</v>
      </c>
      <c r="AZ87" s="51" t="s">
        <v>1574</v>
      </c>
      <c r="BA87" s="51">
        <v>161.36281156287001</v>
      </c>
      <c r="BB87" s="51" t="s">
        <v>1574</v>
      </c>
      <c r="BC87" s="51">
        <v>0.61950000000000005</v>
      </c>
      <c r="BD87" s="51" t="s">
        <v>1574</v>
      </c>
      <c r="BE87" s="51">
        <v>0.45810000000000001</v>
      </c>
      <c r="BF87" s="51">
        <v>13</v>
      </c>
      <c r="BG87" s="51" t="s">
        <v>1599</v>
      </c>
      <c r="BH87" s="51">
        <v>50</v>
      </c>
      <c r="BI87" s="51">
        <v>59.25</v>
      </c>
      <c r="BJ87" s="51">
        <v>27.5</v>
      </c>
      <c r="BK87" s="51">
        <v>540.1318359375</v>
      </c>
      <c r="BL87" s="51">
        <v>9.52</v>
      </c>
      <c r="BM87" s="51">
        <v>1195.3399999999999</v>
      </c>
      <c r="BN87" s="51">
        <v>242.5</v>
      </c>
      <c r="BO87" s="51">
        <v>3428.2</v>
      </c>
      <c r="BP87" s="51">
        <v>1739</v>
      </c>
      <c r="BQ87" s="51">
        <v>264.60000000000002</v>
      </c>
      <c r="BR87" s="51">
        <v>35.130000000000003</v>
      </c>
      <c r="BS87" s="51">
        <v>100</v>
      </c>
      <c r="BT87" s="51">
        <v>1.2929999999999999</v>
      </c>
      <c r="BU87" s="41"/>
      <c r="BV87" s="41"/>
      <c r="BW87" s="41"/>
      <c r="BX87" s="41"/>
      <c r="BY87" s="41"/>
      <c r="BZ87" s="41"/>
      <c r="CA87" s="41"/>
      <c r="CB87" s="41"/>
      <c r="CC87" s="41"/>
      <c r="CD87" s="41"/>
      <c r="CE87" s="41"/>
      <c r="CF87" s="41"/>
      <c r="CG87" s="41"/>
      <c r="CH87" s="41"/>
      <c r="CI87" s="41"/>
      <c r="CJ87" s="41"/>
      <c r="CK87" s="41"/>
    </row>
    <row r="88" spans="1:89">
      <c r="A88" s="48" t="s">
        <v>217</v>
      </c>
      <c r="B88" s="49">
        <v>1.36</v>
      </c>
      <c r="C88" s="49">
        <v>1.36</v>
      </c>
      <c r="D88" s="49">
        <v>1.36</v>
      </c>
      <c r="E88" s="49" t="s">
        <v>1574</v>
      </c>
      <c r="F88" s="49" t="s">
        <v>1574</v>
      </c>
      <c r="G88" s="49" t="s">
        <v>1574</v>
      </c>
      <c r="H88" s="49">
        <v>0.16</v>
      </c>
      <c r="I88" s="49">
        <v>0.42492866513999999</v>
      </c>
      <c r="J88" s="49" t="s">
        <v>1574</v>
      </c>
      <c r="K88" s="49" t="s">
        <v>1574</v>
      </c>
      <c r="L88" s="49">
        <v>0.50219999999999998</v>
      </c>
      <c r="M88" s="49">
        <v>0.89949999999999997</v>
      </c>
      <c r="N88" s="49">
        <v>0.69950970000000001</v>
      </c>
      <c r="O88" s="49">
        <v>0.81320000000000003</v>
      </c>
      <c r="P88" s="49">
        <v>0.76020080000000001</v>
      </c>
      <c r="Q88" s="49">
        <v>0.76533329999999999</v>
      </c>
      <c r="R88" s="49">
        <v>0.9141996</v>
      </c>
      <c r="S88" s="49">
        <v>317.2</v>
      </c>
      <c r="T88" s="49" t="s">
        <v>1574</v>
      </c>
      <c r="U88" s="49" t="s">
        <v>1574</v>
      </c>
      <c r="V88" s="49">
        <v>298.73</v>
      </c>
      <c r="W88" s="49">
        <v>239.75</v>
      </c>
      <c r="X88" s="49" t="s">
        <v>1574</v>
      </c>
      <c r="Y88" s="49">
        <v>127.59</v>
      </c>
      <c r="Z88" s="49">
        <v>267</v>
      </c>
      <c r="AA88" s="49">
        <v>112.3</v>
      </c>
      <c r="AB88" s="49" t="s">
        <v>1574</v>
      </c>
      <c r="AC88" s="49" t="s">
        <v>1574</v>
      </c>
      <c r="AD88" s="49">
        <v>27.24653073432</v>
      </c>
      <c r="AE88" s="49">
        <v>61.02</v>
      </c>
      <c r="AF88" s="49">
        <v>51.59</v>
      </c>
      <c r="AG88" s="49">
        <v>155.38999999999999</v>
      </c>
      <c r="AH88" s="49" t="s">
        <v>1574</v>
      </c>
      <c r="AI88" s="49" t="s">
        <v>1574</v>
      </c>
      <c r="AJ88" s="49" t="s">
        <v>1574</v>
      </c>
      <c r="AK88" s="49" t="s">
        <v>1574</v>
      </c>
      <c r="AL88" s="49">
        <v>67.239999999999995</v>
      </c>
      <c r="AM88" s="49" t="s">
        <v>1574</v>
      </c>
      <c r="AN88" s="49">
        <v>0.13900000000000001</v>
      </c>
      <c r="AO88" s="49">
        <v>8.4000000000000005E-2</v>
      </c>
      <c r="AP88" s="49">
        <v>1.0528999999999999</v>
      </c>
      <c r="AQ88" s="49">
        <v>0.36661768145000001</v>
      </c>
      <c r="AR88" s="49" t="s">
        <v>1574</v>
      </c>
      <c r="AS88" s="49">
        <v>2.314851</v>
      </c>
      <c r="AT88" s="49">
        <v>0.13095442800000001</v>
      </c>
      <c r="AU88" s="49">
        <v>0.14330029999999999</v>
      </c>
      <c r="AV88" s="49">
        <v>3.2899999999999999E-2</v>
      </c>
      <c r="AW88" s="49">
        <v>1581.22</v>
      </c>
      <c r="AX88" s="49" t="s">
        <v>1574</v>
      </c>
      <c r="AY88" s="49">
        <v>36.94</v>
      </c>
      <c r="AZ88" s="49" t="s">
        <v>1574</v>
      </c>
      <c r="BA88" s="49">
        <v>161.36281156287001</v>
      </c>
      <c r="BB88" s="49" t="s">
        <v>1574</v>
      </c>
      <c r="BC88" s="49">
        <v>0.60719999999999996</v>
      </c>
      <c r="BD88" s="49" t="s">
        <v>1574</v>
      </c>
      <c r="BE88" s="49">
        <v>0.4299</v>
      </c>
      <c r="BF88" s="49">
        <v>13</v>
      </c>
      <c r="BG88" s="49" t="s">
        <v>1599</v>
      </c>
      <c r="BH88" s="49">
        <v>50</v>
      </c>
      <c r="BI88" s="49">
        <v>59.25</v>
      </c>
      <c r="BJ88" s="49">
        <v>27.5</v>
      </c>
      <c r="BK88" s="49">
        <v>540.1318359375</v>
      </c>
      <c r="BL88" s="49">
        <v>9.52</v>
      </c>
      <c r="BM88" s="49">
        <v>1128.32</v>
      </c>
      <c r="BN88" s="49">
        <v>254.2</v>
      </c>
      <c r="BO88" s="49">
        <v>3377.5</v>
      </c>
      <c r="BP88" s="49">
        <v>1739</v>
      </c>
      <c r="BQ88" s="49">
        <v>270.5</v>
      </c>
      <c r="BR88" s="49">
        <v>35.130000000000003</v>
      </c>
      <c r="BS88" s="49">
        <v>100</v>
      </c>
      <c r="BT88" s="49">
        <v>1.2929999999999999</v>
      </c>
      <c r="BU88" s="41"/>
      <c r="BV88" s="41"/>
      <c r="BW88" s="41"/>
      <c r="BX88" s="41"/>
      <c r="BY88" s="41"/>
      <c r="BZ88" s="41"/>
      <c r="CA88" s="41"/>
      <c r="CB88" s="41"/>
      <c r="CC88" s="41"/>
      <c r="CD88" s="41"/>
      <c r="CE88" s="41"/>
      <c r="CF88" s="41"/>
      <c r="CG88" s="41"/>
      <c r="CH88" s="41"/>
      <c r="CI88" s="41"/>
      <c r="CJ88" s="41"/>
      <c r="CK88" s="41"/>
    </row>
    <row r="89" spans="1:89">
      <c r="A89" s="41" t="s">
        <v>218</v>
      </c>
      <c r="B89" s="51">
        <v>1.36</v>
      </c>
      <c r="C89" s="51">
        <v>1.36</v>
      </c>
      <c r="D89" s="51">
        <v>1.36</v>
      </c>
      <c r="E89" s="51" t="s">
        <v>1574</v>
      </c>
      <c r="F89" s="51" t="s">
        <v>1574</v>
      </c>
      <c r="G89" s="51" t="s">
        <v>1574</v>
      </c>
      <c r="H89" s="51">
        <v>0.16</v>
      </c>
      <c r="I89" s="51">
        <v>0.42492866513999999</v>
      </c>
      <c r="J89" s="51" t="s">
        <v>1574</v>
      </c>
      <c r="K89" s="51" t="s">
        <v>1574</v>
      </c>
      <c r="L89" s="51">
        <v>0.50839999999999996</v>
      </c>
      <c r="M89" s="51">
        <v>0.88849999999999996</v>
      </c>
      <c r="N89" s="51">
        <v>0.71714639999999996</v>
      </c>
      <c r="O89" s="51">
        <v>0.81320000000000003</v>
      </c>
      <c r="P89" s="51">
        <v>0.76020080000000001</v>
      </c>
      <c r="Q89" s="51">
        <v>0.76533329999999999</v>
      </c>
      <c r="R89" s="51">
        <v>0.9141996</v>
      </c>
      <c r="S89" s="51">
        <v>303.10000000000002</v>
      </c>
      <c r="T89" s="51" t="s">
        <v>1574</v>
      </c>
      <c r="U89" s="51" t="s">
        <v>1574</v>
      </c>
      <c r="V89" s="51">
        <v>291.83999999999997</v>
      </c>
      <c r="W89" s="51">
        <v>230.93</v>
      </c>
      <c r="X89" s="51" t="s">
        <v>1574</v>
      </c>
      <c r="Y89" s="51">
        <v>120.15</v>
      </c>
      <c r="Z89" s="51">
        <v>251</v>
      </c>
      <c r="AA89" s="51">
        <v>104.6</v>
      </c>
      <c r="AB89" s="51" t="s">
        <v>1574</v>
      </c>
      <c r="AC89" s="51" t="s">
        <v>1574</v>
      </c>
      <c r="AD89" s="51">
        <v>26.71904876764</v>
      </c>
      <c r="AE89" s="51">
        <v>58.66</v>
      </c>
      <c r="AF89" s="51">
        <v>48.72</v>
      </c>
      <c r="AG89" s="51">
        <v>164.26</v>
      </c>
      <c r="AH89" s="51" t="s">
        <v>1574</v>
      </c>
      <c r="AI89" s="51" t="s">
        <v>1574</v>
      </c>
      <c r="AJ89" s="51" t="s">
        <v>1574</v>
      </c>
      <c r="AK89" s="51" t="s">
        <v>1574</v>
      </c>
      <c r="AL89" s="51">
        <v>66.14</v>
      </c>
      <c r="AM89" s="51" t="s">
        <v>1574</v>
      </c>
      <c r="AN89" s="51">
        <v>0.12809999999999999</v>
      </c>
      <c r="AO89" s="51">
        <v>8.4000000000000005E-2</v>
      </c>
      <c r="AP89" s="51">
        <v>1.0528999999999999</v>
      </c>
      <c r="AQ89" s="51">
        <v>0.36638743869000001</v>
      </c>
      <c r="AR89" s="51" t="s">
        <v>1574</v>
      </c>
      <c r="AS89" s="51">
        <v>2.314851</v>
      </c>
      <c r="AT89" s="51">
        <v>0.13095442800000001</v>
      </c>
      <c r="AU89" s="51">
        <v>0.14550492000000001</v>
      </c>
      <c r="AV89" s="51">
        <v>3.3700000000000001E-2</v>
      </c>
      <c r="AW89" s="51">
        <v>1581.22</v>
      </c>
      <c r="AX89" s="51" t="s">
        <v>1574</v>
      </c>
      <c r="AY89" s="51">
        <v>36.94</v>
      </c>
      <c r="AZ89" s="51" t="s">
        <v>1574</v>
      </c>
      <c r="BA89" s="51">
        <v>161.36281156287001</v>
      </c>
      <c r="BB89" s="51" t="s">
        <v>1574</v>
      </c>
      <c r="BC89" s="51">
        <v>0.63160000000000005</v>
      </c>
      <c r="BD89" s="51" t="s">
        <v>1574</v>
      </c>
      <c r="BE89" s="51">
        <v>0.45150000000000001</v>
      </c>
      <c r="BF89" s="51">
        <v>13</v>
      </c>
      <c r="BG89" s="51" t="s">
        <v>1599</v>
      </c>
      <c r="BH89" s="51">
        <v>50</v>
      </c>
      <c r="BI89" s="51">
        <v>59.25</v>
      </c>
      <c r="BJ89" s="51">
        <v>27.5</v>
      </c>
      <c r="BK89" s="51">
        <v>540.1318359375</v>
      </c>
      <c r="BL89" s="51">
        <v>9.52</v>
      </c>
      <c r="BM89" s="51">
        <v>1275.3699999999999</v>
      </c>
      <c r="BN89" s="51">
        <v>233.7</v>
      </c>
      <c r="BO89" s="51">
        <v>3362</v>
      </c>
      <c r="BP89" s="51">
        <v>1739</v>
      </c>
      <c r="BQ89" s="51">
        <v>276</v>
      </c>
      <c r="BR89" s="51">
        <v>35.130000000000003</v>
      </c>
      <c r="BS89" s="51">
        <v>100</v>
      </c>
      <c r="BT89" s="51">
        <v>1.2929999999999999</v>
      </c>
      <c r="BU89" s="41"/>
      <c r="BV89" s="41"/>
      <c r="BW89" s="41"/>
      <c r="BX89" s="41"/>
      <c r="BY89" s="41"/>
      <c r="BZ89" s="41"/>
      <c r="CA89" s="41"/>
      <c r="CB89" s="41"/>
      <c r="CC89" s="41"/>
      <c r="CD89" s="41"/>
      <c r="CE89" s="41"/>
      <c r="CF89" s="41"/>
      <c r="CG89" s="41"/>
      <c r="CH89" s="41"/>
      <c r="CI89" s="41"/>
      <c r="CJ89" s="41"/>
      <c r="CK89" s="41"/>
    </row>
    <row r="90" spans="1:89">
      <c r="A90" s="48" t="s">
        <v>219</v>
      </c>
      <c r="B90" s="49">
        <v>1.36</v>
      </c>
      <c r="C90" s="49">
        <v>1.36</v>
      </c>
      <c r="D90" s="49">
        <v>1.36</v>
      </c>
      <c r="E90" s="49" t="s">
        <v>1574</v>
      </c>
      <c r="F90" s="49" t="s">
        <v>1574</v>
      </c>
      <c r="G90" s="49" t="s">
        <v>1574</v>
      </c>
      <c r="H90" s="49">
        <v>0.16</v>
      </c>
      <c r="I90" s="49">
        <v>0.42492866513999999</v>
      </c>
      <c r="J90" s="49" t="s">
        <v>1574</v>
      </c>
      <c r="K90" s="49" t="s">
        <v>1574</v>
      </c>
      <c r="L90" s="49">
        <v>0.49519999999999997</v>
      </c>
      <c r="M90" s="49">
        <v>0.88690000000000002</v>
      </c>
      <c r="N90" s="49">
        <v>0.72001230000000005</v>
      </c>
      <c r="O90" s="49">
        <v>0.81320000000000003</v>
      </c>
      <c r="P90" s="49">
        <v>0.76020080000000001</v>
      </c>
      <c r="Q90" s="49">
        <v>0.76533329999999999</v>
      </c>
      <c r="R90" s="49">
        <v>0.9141996</v>
      </c>
      <c r="S90" s="49">
        <v>277.8</v>
      </c>
      <c r="T90" s="49" t="s">
        <v>1574</v>
      </c>
      <c r="U90" s="49" t="s">
        <v>1574</v>
      </c>
      <c r="V90" s="49">
        <v>292.66000000000003</v>
      </c>
      <c r="W90" s="49">
        <v>225.97</v>
      </c>
      <c r="X90" s="49" t="s">
        <v>1574</v>
      </c>
      <c r="Y90" s="49">
        <v>121.25</v>
      </c>
      <c r="Z90" s="49">
        <v>248</v>
      </c>
      <c r="AA90" s="49">
        <v>101.3</v>
      </c>
      <c r="AB90" s="49" t="s">
        <v>1574</v>
      </c>
      <c r="AC90" s="49" t="s">
        <v>1574</v>
      </c>
      <c r="AD90" s="49">
        <v>26.755831733210002</v>
      </c>
      <c r="AE90" s="49">
        <v>59.05</v>
      </c>
      <c r="AF90" s="49">
        <v>49.38</v>
      </c>
      <c r="AG90" s="49">
        <v>166.11</v>
      </c>
      <c r="AH90" s="49" t="s">
        <v>1574</v>
      </c>
      <c r="AI90" s="49" t="s">
        <v>1574</v>
      </c>
      <c r="AJ90" s="49" t="s">
        <v>1574</v>
      </c>
      <c r="AK90" s="49" t="s">
        <v>1574</v>
      </c>
      <c r="AL90" s="49">
        <v>65.77</v>
      </c>
      <c r="AM90" s="49" t="s">
        <v>1574</v>
      </c>
      <c r="AN90" s="49">
        <v>0.13800000000000001</v>
      </c>
      <c r="AO90" s="49">
        <v>8.4000000000000005E-2</v>
      </c>
      <c r="AP90" s="49">
        <v>1.0310999999999999</v>
      </c>
      <c r="AQ90" s="49">
        <v>0.36676787628000002</v>
      </c>
      <c r="AR90" s="49" t="s">
        <v>1574</v>
      </c>
      <c r="AS90" s="49">
        <v>2.314851</v>
      </c>
      <c r="AT90" s="49">
        <v>0.13095442800000001</v>
      </c>
      <c r="AU90" s="49">
        <v>0.14330029999999999</v>
      </c>
      <c r="AV90" s="49">
        <v>3.1099999999999999E-2</v>
      </c>
      <c r="AW90" s="49">
        <v>1581.22</v>
      </c>
      <c r="AX90" s="49" t="s">
        <v>1574</v>
      </c>
      <c r="AY90" s="49">
        <v>36.94</v>
      </c>
      <c r="AZ90" s="49" t="s">
        <v>1574</v>
      </c>
      <c r="BA90" s="49">
        <v>161.36281156287001</v>
      </c>
      <c r="BB90" s="49" t="s">
        <v>1574</v>
      </c>
      <c r="BC90" s="49">
        <v>0.63139999999999996</v>
      </c>
      <c r="BD90" s="49" t="s">
        <v>1574</v>
      </c>
      <c r="BE90" s="49">
        <v>0.45169999999999999</v>
      </c>
      <c r="BF90" s="49">
        <v>13</v>
      </c>
      <c r="BG90" s="49" t="s">
        <v>1599</v>
      </c>
      <c r="BH90" s="49">
        <v>50</v>
      </c>
      <c r="BI90" s="49">
        <v>59.25</v>
      </c>
      <c r="BJ90" s="49">
        <v>27.5</v>
      </c>
      <c r="BK90" s="49">
        <v>540.1318359375</v>
      </c>
      <c r="BL90" s="49">
        <v>9.52</v>
      </c>
      <c r="BM90" s="49">
        <v>1301.6099999999999</v>
      </c>
      <c r="BN90" s="49">
        <v>222.7</v>
      </c>
      <c r="BO90" s="49">
        <v>3320.2</v>
      </c>
      <c r="BP90" s="49">
        <v>1739</v>
      </c>
      <c r="BQ90" s="49">
        <v>288.10000000000002</v>
      </c>
      <c r="BR90" s="49">
        <v>35.130000000000003</v>
      </c>
      <c r="BS90" s="49">
        <v>100</v>
      </c>
      <c r="BT90" s="49">
        <v>1.2929999999999999</v>
      </c>
      <c r="BU90" s="41"/>
      <c r="BV90" s="41"/>
      <c r="BW90" s="41"/>
      <c r="BX90" s="41"/>
      <c r="BY90" s="41"/>
      <c r="BZ90" s="41"/>
      <c r="CA90" s="41"/>
      <c r="CB90" s="41"/>
      <c r="CC90" s="41"/>
      <c r="CD90" s="41"/>
      <c r="CE90" s="41"/>
      <c r="CF90" s="41"/>
      <c r="CG90" s="41"/>
      <c r="CH90" s="41"/>
      <c r="CI90" s="41"/>
      <c r="CJ90" s="41"/>
      <c r="CK90" s="41"/>
    </row>
    <row r="91" spans="1:89">
      <c r="A91" s="41" t="s">
        <v>220</v>
      </c>
      <c r="B91" s="51">
        <v>1.36</v>
      </c>
      <c r="C91" s="51">
        <v>1.36</v>
      </c>
      <c r="D91" s="51">
        <v>1.36</v>
      </c>
      <c r="E91" s="51" t="s">
        <v>1574</v>
      </c>
      <c r="F91" s="51" t="s">
        <v>1574</v>
      </c>
      <c r="G91" s="51" t="s">
        <v>1574</v>
      </c>
      <c r="H91" s="51">
        <v>0.16</v>
      </c>
      <c r="I91" s="51">
        <v>0.42492866513999999</v>
      </c>
      <c r="J91" s="51" t="s">
        <v>1574</v>
      </c>
      <c r="K91" s="51" t="s">
        <v>1574</v>
      </c>
      <c r="L91" s="51">
        <v>0.54920000000000002</v>
      </c>
      <c r="M91" s="51">
        <v>0.87280000000000002</v>
      </c>
      <c r="N91" s="51">
        <v>0.71516219999999997</v>
      </c>
      <c r="O91" s="51">
        <v>0.81320000000000003</v>
      </c>
      <c r="P91" s="51">
        <v>0.76020080000000001</v>
      </c>
      <c r="Q91" s="51">
        <v>0.76533329999999999</v>
      </c>
      <c r="R91" s="51">
        <v>0.9141996</v>
      </c>
      <c r="S91" s="51">
        <v>300.39999999999998</v>
      </c>
      <c r="T91" s="51" t="s">
        <v>1574</v>
      </c>
      <c r="U91" s="51" t="s">
        <v>1574</v>
      </c>
      <c r="V91" s="51">
        <v>310.85000000000002</v>
      </c>
      <c r="W91" s="51">
        <v>230.93</v>
      </c>
      <c r="X91" s="51" t="s">
        <v>1574</v>
      </c>
      <c r="Y91" s="51">
        <v>120.98</v>
      </c>
      <c r="Z91" s="51">
        <v>245</v>
      </c>
      <c r="AA91" s="51">
        <v>107.9</v>
      </c>
      <c r="AB91" s="51" t="s">
        <v>1574</v>
      </c>
      <c r="AC91" s="51" t="s">
        <v>1574</v>
      </c>
      <c r="AD91" s="51">
        <v>27.512030130140001</v>
      </c>
      <c r="AE91" s="51">
        <v>61.41</v>
      </c>
      <c r="AF91" s="51">
        <v>51.37</v>
      </c>
      <c r="AG91" s="51">
        <v>142.6</v>
      </c>
      <c r="AH91" s="51" t="s">
        <v>1574</v>
      </c>
      <c r="AI91" s="51" t="s">
        <v>1574</v>
      </c>
      <c r="AJ91" s="51" t="s">
        <v>1574</v>
      </c>
      <c r="AK91" s="51" t="s">
        <v>1574</v>
      </c>
      <c r="AL91" s="51">
        <v>67.61</v>
      </c>
      <c r="AM91" s="51" t="s">
        <v>1574</v>
      </c>
      <c r="AN91" s="51">
        <v>0.14000000000000001</v>
      </c>
      <c r="AO91" s="51">
        <v>7.5999999999999998E-2</v>
      </c>
      <c r="AP91" s="51">
        <v>1.0587</v>
      </c>
      <c r="AQ91" s="51">
        <v>0.36864552075000001</v>
      </c>
      <c r="AR91" s="51" t="s">
        <v>1574</v>
      </c>
      <c r="AS91" s="51">
        <v>2.314851</v>
      </c>
      <c r="AT91" s="51">
        <v>0.13095442800000001</v>
      </c>
      <c r="AU91" s="51">
        <v>0.14330029999999999</v>
      </c>
      <c r="AV91" s="51">
        <v>2.98E-2</v>
      </c>
      <c r="AW91" s="51">
        <v>1581.22</v>
      </c>
      <c r="AX91" s="51" t="s">
        <v>1574</v>
      </c>
      <c r="AY91" s="51">
        <v>36.94</v>
      </c>
      <c r="AZ91" s="51" t="s">
        <v>1574</v>
      </c>
      <c r="BA91" s="51">
        <v>161.36281156287001</v>
      </c>
      <c r="BB91" s="51" t="s">
        <v>1574</v>
      </c>
      <c r="BC91" s="51">
        <v>0.63139999999999996</v>
      </c>
      <c r="BD91" s="51" t="s">
        <v>1574</v>
      </c>
      <c r="BE91" s="51">
        <v>0.43409999999999999</v>
      </c>
      <c r="BF91" s="51">
        <v>13</v>
      </c>
      <c r="BG91" s="51" t="s">
        <v>1599</v>
      </c>
      <c r="BH91" s="51">
        <v>50</v>
      </c>
      <c r="BI91" s="51">
        <v>59.25</v>
      </c>
      <c r="BJ91" s="51">
        <v>27.5</v>
      </c>
      <c r="BK91" s="51">
        <v>540.1318359375</v>
      </c>
      <c r="BL91" s="51">
        <v>9.52</v>
      </c>
      <c r="BM91" s="51">
        <v>1214.53</v>
      </c>
      <c r="BN91" s="51">
        <v>224.2</v>
      </c>
      <c r="BO91" s="51">
        <v>3335.6</v>
      </c>
      <c r="BP91" s="51">
        <v>1739</v>
      </c>
      <c r="BQ91" s="51">
        <v>285.5</v>
      </c>
      <c r="BR91" s="51">
        <v>35.130000000000003</v>
      </c>
      <c r="BS91" s="51">
        <v>100</v>
      </c>
      <c r="BT91" s="51">
        <v>1.2929999999999999</v>
      </c>
      <c r="BU91" s="41"/>
      <c r="BV91" s="41"/>
      <c r="BW91" s="41"/>
      <c r="BX91" s="41"/>
      <c r="BY91" s="41"/>
      <c r="BZ91" s="41"/>
      <c r="CA91" s="41"/>
      <c r="CB91" s="41"/>
      <c r="CC91" s="41"/>
      <c r="CD91" s="41"/>
      <c r="CE91" s="41"/>
      <c r="CF91" s="41"/>
      <c r="CG91" s="41"/>
      <c r="CH91" s="41"/>
      <c r="CI91" s="41"/>
      <c r="CJ91" s="41"/>
      <c r="CK91" s="41"/>
    </row>
    <row r="92" spans="1:89">
      <c r="A92" s="48" t="s">
        <v>221</v>
      </c>
      <c r="B92" s="49">
        <v>1.33</v>
      </c>
      <c r="C92" s="49">
        <v>1.33</v>
      </c>
      <c r="D92" s="49">
        <v>1.33</v>
      </c>
      <c r="E92" s="49" t="s">
        <v>1574</v>
      </c>
      <c r="F92" s="49" t="s">
        <v>1574</v>
      </c>
      <c r="G92" s="49" t="s">
        <v>1574</v>
      </c>
      <c r="H92" s="49">
        <v>0.16</v>
      </c>
      <c r="I92" s="49">
        <v>0.45664737628000002</v>
      </c>
      <c r="J92" s="49" t="s">
        <v>1574</v>
      </c>
      <c r="K92" s="49" t="s">
        <v>1574</v>
      </c>
      <c r="L92" s="49">
        <v>0.57389999999999997</v>
      </c>
      <c r="M92" s="49">
        <v>0.85009999999999997</v>
      </c>
      <c r="N92" s="49">
        <v>0.70568260000000005</v>
      </c>
      <c r="O92" s="49">
        <v>0.84019999999999995</v>
      </c>
      <c r="P92" s="49">
        <v>0.73080069999999997</v>
      </c>
      <c r="Q92" s="49">
        <v>0.79866669999999995</v>
      </c>
      <c r="R92" s="49">
        <v>0.99119959999999996</v>
      </c>
      <c r="S92" s="49">
        <v>310</v>
      </c>
      <c r="T92" s="49" t="s">
        <v>1574</v>
      </c>
      <c r="U92" s="49" t="s">
        <v>1574</v>
      </c>
      <c r="V92" s="49">
        <v>303.41000000000003</v>
      </c>
      <c r="W92" s="49">
        <v>234.24</v>
      </c>
      <c r="X92" s="49" t="s">
        <v>1574</v>
      </c>
      <c r="Y92" s="49">
        <v>117.4</v>
      </c>
      <c r="Z92" s="49">
        <v>231</v>
      </c>
      <c r="AA92" s="49">
        <v>104.6</v>
      </c>
      <c r="AB92" s="49" t="s">
        <v>1574</v>
      </c>
      <c r="AC92" s="49" t="s">
        <v>1574</v>
      </c>
      <c r="AD92" s="49">
        <v>27.30459229629</v>
      </c>
      <c r="AE92" s="49">
        <v>60.23</v>
      </c>
      <c r="AF92" s="49">
        <v>52.91</v>
      </c>
      <c r="AG92" s="49">
        <v>142.27000000000001</v>
      </c>
      <c r="AH92" s="49" t="s">
        <v>1574</v>
      </c>
      <c r="AI92" s="49" t="s">
        <v>1574</v>
      </c>
      <c r="AJ92" s="49" t="s">
        <v>1574</v>
      </c>
      <c r="AK92" s="49" t="s">
        <v>1574</v>
      </c>
      <c r="AL92" s="49">
        <v>67.239999999999995</v>
      </c>
      <c r="AM92" s="49" t="s">
        <v>1574</v>
      </c>
      <c r="AN92" s="49">
        <v>0.157</v>
      </c>
      <c r="AO92" s="49">
        <v>0.1764</v>
      </c>
      <c r="AP92" s="49">
        <v>1.0783</v>
      </c>
      <c r="AQ92" s="49">
        <v>0.36904401261999997</v>
      </c>
      <c r="AR92" s="49" t="s">
        <v>1574</v>
      </c>
      <c r="AS92" s="49">
        <v>2.2928047999999999</v>
      </c>
      <c r="AT92" s="49">
        <v>0.12941119400000001</v>
      </c>
      <c r="AU92" s="49">
        <v>0.14330029999999999</v>
      </c>
      <c r="AV92" s="49">
        <v>2.87E-2</v>
      </c>
      <c r="AW92" s="49">
        <v>1299.43</v>
      </c>
      <c r="AX92" s="49" t="s">
        <v>1574</v>
      </c>
      <c r="AY92" s="49">
        <v>36.94</v>
      </c>
      <c r="AZ92" s="49" t="s">
        <v>1574</v>
      </c>
      <c r="BA92" s="49">
        <v>161.36281156287001</v>
      </c>
      <c r="BB92" s="49" t="s">
        <v>1574</v>
      </c>
      <c r="BC92" s="49">
        <v>0.64490000000000003</v>
      </c>
      <c r="BD92" s="49" t="s">
        <v>1574</v>
      </c>
      <c r="BE92" s="49">
        <v>0.4264</v>
      </c>
      <c r="BF92" s="49">
        <v>12</v>
      </c>
      <c r="BG92" s="49">
        <v>68.5</v>
      </c>
      <c r="BH92" s="49">
        <v>46.5</v>
      </c>
      <c r="BI92" s="49">
        <v>49.25</v>
      </c>
      <c r="BJ92" s="49">
        <v>25.5</v>
      </c>
      <c r="BK92" s="49">
        <v>540.1318359375</v>
      </c>
      <c r="BL92" s="49">
        <v>8.86</v>
      </c>
      <c r="BM92" s="49">
        <v>1243.8499999999999</v>
      </c>
      <c r="BN92" s="49">
        <v>220.2</v>
      </c>
      <c r="BO92" s="49">
        <v>3302.5</v>
      </c>
      <c r="BP92" s="49">
        <v>1935.7</v>
      </c>
      <c r="BQ92" s="49">
        <v>279.5</v>
      </c>
      <c r="BR92" s="49">
        <v>34.950000000000003</v>
      </c>
      <c r="BS92" s="49">
        <v>102.93</v>
      </c>
      <c r="BT92" s="49">
        <v>1.2929999999999999</v>
      </c>
      <c r="BU92" s="41"/>
      <c r="BV92" s="41"/>
      <c r="BW92" s="41"/>
      <c r="BX92" s="41"/>
      <c r="BY92" s="41"/>
      <c r="BZ92" s="41"/>
      <c r="CA92" s="41"/>
      <c r="CB92" s="41"/>
      <c r="CC92" s="41"/>
      <c r="CD92" s="41"/>
      <c r="CE92" s="41"/>
      <c r="CF92" s="41"/>
      <c r="CG92" s="41"/>
      <c r="CH92" s="41"/>
      <c r="CI92" s="41"/>
      <c r="CJ92" s="41"/>
      <c r="CK92" s="41"/>
    </row>
    <row r="93" spans="1:89">
      <c r="A93" s="41" t="s">
        <v>222</v>
      </c>
      <c r="B93" s="51">
        <v>1.33</v>
      </c>
      <c r="C93" s="51">
        <v>1.33</v>
      </c>
      <c r="D93" s="51">
        <v>1.33</v>
      </c>
      <c r="E93" s="51" t="s">
        <v>1574</v>
      </c>
      <c r="F93" s="51" t="s">
        <v>1574</v>
      </c>
      <c r="G93" s="51" t="s">
        <v>1574</v>
      </c>
      <c r="H93" s="51">
        <v>0.16</v>
      </c>
      <c r="I93" s="51">
        <v>0.45664737628000002</v>
      </c>
      <c r="J93" s="51" t="s">
        <v>1574</v>
      </c>
      <c r="K93" s="51" t="s">
        <v>1574</v>
      </c>
      <c r="L93" s="51">
        <v>0.60780000000000001</v>
      </c>
      <c r="M93" s="51">
        <v>0.84409999999999996</v>
      </c>
      <c r="N93" s="51">
        <v>0.72861010000000004</v>
      </c>
      <c r="O93" s="51">
        <v>0.84019999999999995</v>
      </c>
      <c r="P93" s="51">
        <v>0.73080069999999997</v>
      </c>
      <c r="Q93" s="51">
        <v>0.79866669999999995</v>
      </c>
      <c r="R93" s="51">
        <v>0.99119959999999996</v>
      </c>
      <c r="S93" s="51">
        <v>316.89999999999998</v>
      </c>
      <c r="T93" s="51" t="s">
        <v>1574</v>
      </c>
      <c r="U93" s="51" t="s">
        <v>1574</v>
      </c>
      <c r="V93" s="51">
        <v>297.07</v>
      </c>
      <c r="W93" s="51">
        <v>230.66</v>
      </c>
      <c r="X93" s="51" t="s">
        <v>1574</v>
      </c>
      <c r="Y93" s="51">
        <v>116.84</v>
      </c>
      <c r="Z93" s="51">
        <v>225</v>
      </c>
      <c r="AA93" s="51">
        <v>101.3</v>
      </c>
      <c r="AB93" s="51" t="s">
        <v>1574</v>
      </c>
      <c r="AC93" s="51" t="s">
        <v>1574</v>
      </c>
      <c r="AD93" s="51">
        <v>27.300211619540001</v>
      </c>
      <c r="AE93" s="51">
        <v>59.05</v>
      </c>
      <c r="AF93" s="51">
        <v>52.91</v>
      </c>
      <c r="AG93" s="51">
        <v>151.44999999999999</v>
      </c>
      <c r="AH93" s="51" t="s">
        <v>1574</v>
      </c>
      <c r="AI93" s="51" t="s">
        <v>1574</v>
      </c>
      <c r="AJ93" s="51" t="s">
        <v>1574</v>
      </c>
      <c r="AK93" s="51" t="s">
        <v>1574</v>
      </c>
      <c r="AL93" s="51">
        <v>67.98</v>
      </c>
      <c r="AM93" s="51" t="s">
        <v>1574</v>
      </c>
      <c r="AN93" s="51">
        <v>0.14299999999999999</v>
      </c>
      <c r="AO93" s="51">
        <v>0.1474</v>
      </c>
      <c r="AP93" s="51">
        <v>1.0642</v>
      </c>
      <c r="AQ93" s="51">
        <v>0.36926172679000002</v>
      </c>
      <c r="AR93" s="51" t="s">
        <v>1574</v>
      </c>
      <c r="AS93" s="51">
        <v>2.2928047999999999</v>
      </c>
      <c r="AT93" s="51">
        <v>0.12941119400000001</v>
      </c>
      <c r="AU93" s="51">
        <v>0.14550492000000001</v>
      </c>
      <c r="AV93" s="51">
        <v>3.6999999999999998E-2</v>
      </c>
      <c r="AW93" s="51">
        <v>1299.43</v>
      </c>
      <c r="AX93" s="51" t="s">
        <v>1574</v>
      </c>
      <c r="AY93" s="51">
        <v>37.5</v>
      </c>
      <c r="AZ93" s="51" t="s">
        <v>1574</v>
      </c>
      <c r="BA93" s="51">
        <v>162.67919539459999</v>
      </c>
      <c r="BB93" s="51" t="s">
        <v>1574</v>
      </c>
      <c r="BC93" s="51">
        <v>0.65959999999999996</v>
      </c>
      <c r="BD93" s="51" t="s">
        <v>1574</v>
      </c>
      <c r="BE93" s="51">
        <v>0.40849999999999997</v>
      </c>
      <c r="BF93" s="51">
        <v>12</v>
      </c>
      <c r="BG93" s="51">
        <v>68.5</v>
      </c>
      <c r="BH93" s="51">
        <v>46.5</v>
      </c>
      <c r="BI93" s="51">
        <v>49.25</v>
      </c>
      <c r="BJ93" s="51">
        <v>25.5</v>
      </c>
      <c r="BK93" s="51">
        <v>540.1318359375</v>
      </c>
      <c r="BL93" s="51">
        <v>8.86</v>
      </c>
      <c r="BM93" s="51">
        <v>1220.48</v>
      </c>
      <c r="BN93" s="51">
        <v>221.8</v>
      </c>
      <c r="BO93" s="51">
        <v>3309.1</v>
      </c>
      <c r="BP93" s="51">
        <v>1935.7</v>
      </c>
      <c r="BQ93" s="51">
        <v>282.2</v>
      </c>
      <c r="BR93" s="51">
        <v>34.950000000000003</v>
      </c>
      <c r="BS93" s="51">
        <v>110.5</v>
      </c>
      <c r="BT93" s="51">
        <v>1.2929999999999999</v>
      </c>
      <c r="BU93" s="41"/>
      <c r="BV93" s="41"/>
      <c r="BW93" s="41"/>
      <c r="BX93" s="41"/>
      <c r="BY93" s="41"/>
      <c r="BZ93" s="41"/>
      <c r="CA93" s="41"/>
      <c r="CB93" s="41"/>
      <c r="CC93" s="41"/>
      <c r="CD93" s="41"/>
      <c r="CE93" s="41"/>
      <c r="CF93" s="41"/>
      <c r="CG93" s="41"/>
      <c r="CH93" s="41"/>
      <c r="CI93" s="41"/>
      <c r="CJ93" s="41"/>
      <c r="CK93" s="41"/>
    </row>
    <row r="94" spans="1:89">
      <c r="A94" s="48" t="s">
        <v>223</v>
      </c>
      <c r="B94" s="49">
        <v>1.33</v>
      </c>
      <c r="C94" s="49">
        <v>1.33</v>
      </c>
      <c r="D94" s="49">
        <v>1.33</v>
      </c>
      <c r="E94" s="49" t="s">
        <v>1574</v>
      </c>
      <c r="F94" s="49" t="s">
        <v>1574</v>
      </c>
      <c r="G94" s="49" t="s">
        <v>1574</v>
      </c>
      <c r="H94" s="49">
        <v>0.16</v>
      </c>
      <c r="I94" s="49">
        <v>0.45664737628000002</v>
      </c>
      <c r="J94" s="49" t="s">
        <v>1574</v>
      </c>
      <c r="K94" s="49" t="s">
        <v>1574</v>
      </c>
      <c r="L94" s="49">
        <v>0.59519999999999995</v>
      </c>
      <c r="M94" s="49">
        <v>0.82279999999999998</v>
      </c>
      <c r="N94" s="49">
        <v>0.7257441</v>
      </c>
      <c r="O94" s="49">
        <v>0.84019999999999995</v>
      </c>
      <c r="P94" s="49">
        <v>0.73080069999999997</v>
      </c>
      <c r="Q94" s="49">
        <v>0.79866669999999995</v>
      </c>
      <c r="R94" s="49">
        <v>0.99119959999999996</v>
      </c>
      <c r="S94" s="49">
        <v>314.2</v>
      </c>
      <c r="T94" s="49" t="s">
        <v>1574</v>
      </c>
      <c r="U94" s="49" t="s">
        <v>1574</v>
      </c>
      <c r="V94" s="49">
        <v>300.64999999999998</v>
      </c>
      <c r="W94" s="49">
        <v>223.22</v>
      </c>
      <c r="X94" s="49" t="s">
        <v>1574</v>
      </c>
      <c r="Y94" s="49">
        <v>115.74</v>
      </c>
      <c r="Z94" s="49">
        <v>231</v>
      </c>
      <c r="AA94" s="49">
        <v>98</v>
      </c>
      <c r="AB94" s="49" t="s">
        <v>1574</v>
      </c>
      <c r="AC94" s="49" t="s">
        <v>1574</v>
      </c>
      <c r="AD94" s="49">
        <v>27.68090394903</v>
      </c>
      <c r="AE94" s="49">
        <v>59.05</v>
      </c>
      <c r="AF94" s="49">
        <v>54.89</v>
      </c>
      <c r="AG94" s="49">
        <v>163.53</v>
      </c>
      <c r="AH94" s="49" t="s">
        <v>1574</v>
      </c>
      <c r="AI94" s="49" t="s">
        <v>1574</v>
      </c>
      <c r="AJ94" s="49" t="s">
        <v>1574</v>
      </c>
      <c r="AK94" s="49" t="s">
        <v>1574</v>
      </c>
      <c r="AL94" s="49">
        <v>69.81</v>
      </c>
      <c r="AM94" s="49" t="s">
        <v>1574</v>
      </c>
      <c r="AN94" s="49">
        <v>0.16200000000000001</v>
      </c>
      <c r="AO94" s="49">
        <v>0.15920000000000001</v>
      </c>
      <c r="AP94" s="49">
        <v>1.0448</v>
      </c>
      <c r="AQ94" s="49">
        <v>0.36946279927999998</v>
      </c>
      <c r="AR94" s="49" t="s">
        <v>1574</v>
      </c>
      <c r="AS94" s="49">
        <v>2.2928047999999999</v>
      </c>
      <c r="AT94" s="49">
        <v>0.12941119400000001</v>
      </c>
      <c r="AU94" s="49">
        <v>0.14550492000000001</v>
      </c>
      <c r="AV94" s="49">
        <v>3.4599999999999999E-2</v>
      </c>
      <c r="AW94" s="49">
        <v>1299.43</v>
      </c>
      <c r="AX94" s="49" t="s">
        <v>1574</v>
      </c>
      <c r="AY94" s="49">
        <v>38.33</v>
      </c>
      <c r="AZ94" s="49" t="s">
        <v>1574</v>
      </c>
      <c r="BA94" s="49">
        <v>164.61374432967</v>
      </c>
      <c r="BB94" s="49" t="s">
        <v>1574</v>
      </c>
      <c r="BC94" s="49">
        <v>0.66359999999999997</v>
      </c>
      <c r="BD94" s="49" t="s">
        <v>1574</v>
      </c>
      <c r="BE94" s="49">
        <v>0.4083</v>
      </c>
      <c r="BF94" s="49">
        <v>12</v>
      </c>
      <c r="BG94" s="49">
        <v>68.5</v>
      </c>
      <c r="BH94" s="49">
        <v>46.5</v>
      </c>
      <c r="BI94" s="49">
        <v>49.25</v>
      </c>
      <c r="BJ94" s="49">
        <v>25.5</v>
      </c>
      <c r="BK94" s="49">
        <v>540.1318359375</v>
      </c>
      <c r="BL94" s="49">
        <v>8.86</v>
      </c>
      <c r="BM94" s="49">
        <v>1098.3399999999999</v>
      </c>
      <c r="BN94" s="49">
        <v>228.4</v>
      </c>
      <c r="BO94" s="49">
        <v>3318</v>
      </c>
      <c r="BP94" s="49">
        <v>1935.7</v>
      </c>
      <c r="BQ94" s="49">
        <v>279.3</v>
      </c>
      <c r="BR94" s="49">
        <v>34.950000000000003</v>
      </c>
      <c r="BS94" s="49">
        <v>110.5</v>
      </c>
      <c r="BT94" s="49">
        <v>1.2929999999999999</v>
      </c>
      <c r="BU94" s="41"/>
      <c r="BV94" s="41"/>
      <c r="BW94" s="41"/>
      <c r="BX94" s="41"/>
      <c r="BY94" s="41"/>
      <c r="BZ94" s="41"/>
      <c r="CA94" s="41"/>
      <c r="CB94" s="41"/>
      <c r="CC94" s="41"/>
      <c r="CD94" s="41"/>
      <c r="CE94" s="41"/>
      <c r="CF94" s="41"/>
      <c r="CG94" s="41"/>
      <c r="CH94" s="41"/>
      <c r="CI94" s="41"/>
      <c r="CJ94" s="41"/>
      <c r="CK94" s="41"/>
    </row>
    <row r="95" spans="1:89">
      <c r="A95" s="41" t="s">
        <v>224</v>
      </c>
      <c r="B95" s="51">
        <v>1.33</v>
      </c>
      <c r="C95" s="51">
        <v>1.33</v>
      </c>
      <c r="D95" s="51">
        <v>1.33</v>
      </c>
      <c r="E95" s="51" t="s">
        <v>1574</v>
      </c>
      <c r="F95" s="51" t="s">
        <v>1574</v>
      </c>
      <c r="G95" s="51" t="s">
        <v>1574</v>
      </c>
      <c r="H95" s="51">
        <v>0.16</v>
      </c>
      <c r="I95" s="51">
        <v>0.45664737628000002</v>
      </c>
      <c r="J95" s="51" t="s">
        <v>1574</v>
      </c>
      <c r="K95" s="51" t="s">
        <v>1574</v>
      </c>
      <c r="L95" s="51">
        <v>0.57540000000000002</v>
      </c>
      <c r="M95" s="51">
        <v>0.8508</v>
      </c>
      <c r="N95" s="51">
        <v>0.74712840000000003</v>
      </c>
      <c r="O95" s="51">
        <v>0.84019999999999995</v>
      </c>
      <c r="P95" s="51">
        <v>0.73080069999999997</v>
      </c>
      <c r="Q95" s="51">
        <v>0.79866669999999995</v>
      </c>
      <c r="R95" s="51">
        <v>0.99119959999999996</v>
      </c>
      <c r="S95" s="51">
        <v>305.10000000000002</v>
      </c>
      <c r="T95" s="51" t="s">
        <v>1574</v>
      </c>
      <c r="U95" s="51" t="s">
        <v>1574</v>
      </c>
      <c r="V95" s="51">
        <v>292.39</v>
      </c>
      <c r="W95" s="51">
        <v>223.22</v>
      </c>
      <c r="X95" s="51" t="s">
        <v>1574</v>
      </c>
      <c r="Y95" s="51">
        <v>116.29</v>
      </c>
      <c r="Z95" s="51">
        <v>227</v>
      </c>
      <c r="AA95" s="51">
        <v>95.8</v>
      </c>
      <c r="AB95" s="51" t="s">
        <v>1574</v>
      </c>
      <c r="AC95" s="51" t="s">
        <v>1574</v>
      </c>
      <c r="AD95" s="51">
        <v>27.266413170269999</v>
      </c>
      <c r="AE95" s="51">
        <v>57.87</v>
      </c>
      <c r="AF95" s="51">
        <v>54.23</v>
      </c>
      <c r="AG95" s="51">
        <v>168.53</v>
      </c>
      <c r="AH95" s="51" t="s">
        <v>1574</v>
      </c>
      <c r="AI95" s="51" t="s">
        <v>1574</v>
      </c>
      <c r="AJ95" s="51" t="s">
        <v>1574</v>
      </c>
      <c r="AK95" s="51" t="s">
        <v>1574</v>
      </c>
      <c r="AL95" s="51">
        <v>68.34</v>
      </c>
      <c r="AM95" s="51" t="s">
        <v>1574</v>
      </c>
      <c r="AN95" s="51">
        <v>0.16400000000000001</v>
      </c>
      <c r="AO95" s="51">
        <v>0.157</v>
      </c>
      <c r="AP95" s="51">
        <v>1.0569</v>
      </c>
      <c r="AQ95" s="51">
        <v>0.36982858624999998</v>
      </c>
      <c r="AR95" s="51" t="s">
        <v>1574</v>
      </c>
      <c r="AS95" s="51">
        <v>2.2928047999999999</v>
      </c>
      <c r="AT95" s="51">
        <v>0.12941119400000001</v>
      </c>
      <c r="AU95" s="51">
        <v>0.14550492000000001</v>
      </c>
      <c r="AV95" s="51">
        <v>4.5199999999999997E-2</v>
      </c>
      <c r="AW95" s="51">
        <v>1299.43</v>
      </c>
      <c r="AX95" s="51" t="s">
        <v>1574</v>
      </c>
      <c r="AY95" s="51">
        <v>38.33</v>
      </c>
      <c r="AZ95" s="51" t="s">
        <v>1574</v>
      </c>
      <c r="BA95" s="51">
        <v>164.61374432967</v>
      </c>
      <c r="BB95" s="51" t="s">
        <v>1574</v>
      </c>
      <c r="BC95" s="51">
        <v>0.66139999999999999</v>
      </c>
      <c r="BD95" s="51" t="s">
        <v>1574</v>
      </c>
      <c r="BE95" s="51">
        <v>0.41139999999999999</v>
      </c>
      <c r="BF95" s="51">
        <v>12</v>
      </c>
      <c r="BG95" s="51">
        <v>68.5</v>
      </c>
      <c r="BH95" s="51">
        <v>46.5</v>
      </c>
      <c r="BI95" s="51">
        <v>49.25</v>
      </c>
      <c r="BJ95" s="51">
        <v>25.5</v>
      </c>
      <c r="BK95" s="51">
        <v>540.1318359375</v>
      </c>
      <c r="BL95" s="51">
        <v>8.86</v>
      </c>
      <c r="BM95" s="51">
        <v>994.72</v>
      </c>
      <c r="BN95" s="51">
        <v>226.6</v>
      </c>
      <c r="BO95" s="51">
        <v>3351</v>
      </c>
      <c r="BP95" s="51">
        <v>1935.7</v>
      </c>
      <c r="BQ95" s="51">
        <v>272.10000000000002</v>
      </c>
      <c r="BR95" s="51">
        <v>34.950000000000003</v>
      </c>
      <c r="BS95" s="51">
        <v>110.5</v>
      </c>
      <c r="BT95" s="51">
        <v>1.2929999999999999</v>
      </c>
      <c r="BU95" s="41"/>
      <c r="BV95" s="41"/>
      <c r="BW95" s="41"/>
      <c r="BX95" s="41"/>
      <c r="BY95" s="41"/>
      <c r="BZ95" s="41"/>
      <c r="CA95" s="41"/>
      <c r="CB95" s="41"/>
      <c r="CC95" s="41"/>
      <c r="CD95" s="41"/>
      <c r="CE95" s="41"/>
      <c r="CF95" s="41"/>
      <c r="CG95" s="41"/>
      <c r="CH95" s="41"/>
      <c r="CI95" s="41"/>
      <c r="CJ95" s="41"/>
      <c r="CK95" s="41"/>
    </row>
    <row r="96" spans="1:89">
      <c r="A96" s="48" t="s">
        <v>225</v>
      </c>
      <c r="B96" s="49">
        <v>1.33</v>
      </c>
      <c r="C96" s="49">
        <v>1.33</v>
      </c>
      <c r="D96" s="49">
        <v>1.33</v>
      </c>
      <c r="E96" s="49" t="s">
        <v>1574</v>
      </c>
      <c r="F96" s="49" t="s">
        <v>1574</v>
      </c>
      <c r="G96" s="49" t="s">
        <v>1574</v>
      </c>
      <c r="H96" s="49">
        <v>0.16</v>
      </c>
      <c r="I96" s="49">
        <v>0.45664737628000002</v>
      </c>
      <c r="J96" s="49" t="s">
        <v>1574</v>
      </c>
      <c r="K96" s="49" t="s">
        <v>1574</v>
      </c>
      <c r="L96" s="49">
        <v>0.56879999999999997</v>
      </c>
      <c r="M96" s="49">
        <v>0.8891</v>
      </c>
      <c r="N96" s="49">
        <v>0.77027650000000003</v>
      </c>
      <c r="O96" s="49">
        <v>0.84019999999999995</v>
      </c>
      <c r="P96" s="49">
        <v>0.73080069999999997</v>
      </c>
      <c r="Q96" s="49">
        <v>0.79866669999999995</v>
      </c>
      <c r="R96" s="49">
        <v>0.99119959999999996</v>
      </c>
      <c r="S96" s="49">
        <v>283.8</v>
      </c>
      <c r="T96" s="49" t="s">
        <v>1574</v>
      </c>
      <c r="U96" s="49" t="s">
        <v>1574</v>
      </c>
      <c r="V96" s="49">
        <v>288.8</v>
      </c>
      <c r="W96" s="49">
        <v>223.77</v>
      </c>
      <c r="X96" s="49" t="s">
        <v>1574</v>
      </c>
      <c r="Y96" s="49">
        <v>116.29</v>
      </c>
      <c r="Z96" s="49">
        <v>224</v>
      </c>
      <c r="AA96" s="49">
        <v>94.7</v>
      </c>
      <c r="AB96" s="49" t="s">
        <v>1574</v>
      </c>
      <c r="AC96" s="49" t="s">
        <v>1574</v>
      </c>
      <c r="AD96" s="49">
        <v>27.182174198889999</v>
      </c>
      <c r="AE96" s="49">
        <v>57.08</v>
      </c>
      <c r="AF96" s="49">
        <v>54.45</v>
      </c>
      <c r="AG96" s="49">
        <v>175.8</v>
      </c>
      <c r="AH96" s="49" t="s">
        <v>1574</v>
      </c>
      <c r="AI96" s="49" t="s">
        <v>1574</v>
      </c>
      <c r="AJ96" s="49" t="s">
        <v>1574</v>
      </c>
      <c r="AK96" s="49" t="s">
        <v>1574</v>
      </c>
      <c r="AL96" s="49">
        <v>68.34</v>
      </c>
      <c r="AM96" s="49" t="s">
        <v>1574</v>
      </c>
      <c r="AN96" s="49">
        <v>0.14990000000000001</v>
      </c>
      <c r="AO96" s="49">
        <v>0.1474</v>
      </c>
      <c r="AP96" s="49">
        <v>1.0350999999999999</v>
      </c>
      <c r="AQ96" s="49">
        <v>0.37037132382999999</v>
      </c>
      <c r="AR96" s="49" t="s">
        <v>1574</v>
      </c>
      <c r="AS96" s="49">
        <v>2.2928047999999999</v>
      </c>
      <c r="AT96" s="49">
        <v>0.12941119400000001</v>
      </c>
      <c r="AU96" s="49">
        <v>0.14770954</v>
      </c>
      <c r="AV96" s="49">
        <v>5.6000000000000001E-2</v>
      </c>
      <c r="AW96" s="49">
        <v>1299.43</v>
      </c>
      <c r="AX96" s="49" t="s">
        <v>1574</v>
      </c>
      <c r="AY96" s="49">
        <v>38.89</v>
      </c>
      <c r="AZ96" s="49" t="s">
        <v>1574</v>
      </c>
      <c r="BA96" s="49">
        <v>165.90811172856999</v>
      </c>
      <c r="BB96" s="49" t="s">
        <v>1574</v>
      </c>
      <c r="BC96" s="49">
        <v>0.66139999999999999</v>
      </c>
      <c r="BD96" s="49" t="s">
        <v>1574</v>
      </c>
      <c r="BE96" s="49">
        <v>0.40389999999999998</v>
      </c>
      <c r="BF96" s="49">
        <v>12</v>
      </c>
      <c r="BG96" s="49">
        <v>68.5</v>
      </c>
      <c r="BH96" s="49">
        <v>46.5</v>
      </c>
      <c r="BI96" s="49">
        <v>49.25</v>
      </c>
      <c r="BJ96" s="49">
        <v>25.5</v>
      </c>
      <c r="BK96" s="49">
        <v>540.1318359375</v>
      </c>
      <c r="BL96" s="49">
        <v>8.86</v>
      </c>
      <c r="BM96" s="49">
        <v>1036.17</v>
      </c>
      <c r="BN96" s="49">
        <v>226.2</v>
      </c>
      <c r="BO96" s="49">
        <v>3357.6</v>
      </c>
      <c r="BP96" s="49">
        <v>1935.7</v>
      </c>
      <c r="BQ96" s="49">
        <v>275.10000000000002</v>
      </c>
      <c r="BR96" s="49">
        <v>34.950000000000003</v>
      </c>
      <c r="BS96" s="49">
        <v>110.5</v>
      </c>
      <c r="BT96" s="49">
        <v>1.2959000000000001</v>
      </c>
      <c r="BU96" s="41"/>
      <c r="BV96" s="41"/>
      <c r="BW96" s="41"/>
      <c r="BX96" s="41"/>
      <c r="BY96" s="41"/>
      <c r="BZ96" s="41"/>
      <c r="CA96" s="41"/>
      <c r="CB96" s="41"/>
      <c r="CC96" s="41"/>
      <c r="CD96" s="41"/>
      <c r="CE96" s="41"/>
      <c r="CF96" s="41"/>
      <c r="CG96" s="41"/>
      <c r="CH96" s="41"/>
      <c r="CI96" s="41"/>
      <c r="CJ96" s="41"/>
      <c r="CK96" s="41"/>
    </row>
    <row r="97" spans="1:89">
      <c r="A97" s="41" t="s">
        <v>226</v>
      </c>
      <c r="B97" s="51">
        <v>1.33</v>
      </c>
      <c r="C97" s="51">
        <v>1.33</v>
      </c>
      <c r="D97" s="51">
        <v>1.33</v>
      </c>
      <c r="E97" s="51" t="s">
        <v>1574</v>
      </c>
      <c r="F97" s="51" t="s">
        <v>1574</v>
      </c>
      <c r="G97" s="51" t="s">
        <v>1574</v>
      </c>
      <c r="H97" s="51">
        <v>0.16</v>
      </c>
      <c r="I97" s="51">
        <v>0.45664737628000002</v>
      </c>
      <c r="J97" s="51" t="s">
        <v>1574</v>
      </c>
      <c r="K97" s="51" t="s">
        <v>1574</v>
      </c>
      <c r="L97" s="51">
        <v>0.57920000000000005</v>
      </c>
      <c r="M97" s="51">
        <v>0.90920000000000001</v>
      </c>
      <c r="N97" s="51">
        <v>0.78240160000000003</v>
      </c>
      <c r="O97" s="51">
        <v>0.84019999999999995</v>
      </c>
      <c r="P97" s="51">
        <v>0.73080069999999997</v>
      </c>
      <c r="Q97" s="51">
        <v>0.79866669999999995</v>
      </c>
      <c r="R97" s="51">
        <v>0.99119959999999996</v>
      </c>
      <c r="S97" s="51">
        <v>319.7</v>
      </c>
      <c r="T97" s="51" t="s">
        <v>1574</v>
      </c>
      <c r="U97" s="51" t="s">
        <v>1574</v>
      </c>
      <c r="V97" s="51">
        <v>293.76</v>
      </c>
      <c r="W97" s="51">
        <v>229.28</v>
      </c>
      <c r="X97" s="51" t="s">
        <v>1574</v>
      </c>
      <c r="Y97" s="51">
        <v>117.4</v>
      </c>
      <c r="Z97" s="51">
        <v>226</v>
      </c>
      <c r="AA97" s="51">
        <v>98.9</v>
      </c>
      <c r="AB97" s="51" t="s">
        <v>1574</v>
      </c>
      <c r="AC97" s="51" t="s">
        <v>1574</v>
      </c>
      <c r="AD97" s="51">
        <v>26.890272563949999</v>
      </c>
      <c r="AE97" s="51">
        <v>57.08</v>
      </c>
      <c r="AF97" s="51">
        <v>52.91</v>
      </c>
      <c r="AG97" s="51">
        <v>184.54</v>
      </c>
      <c r="AH97" s="51" t="s">
        <v>1574</v>
      </c>
      <c r="AI97" s="51" t="s">
        <v>1574</v>
      </c>
      <c r="AJ97" s="51" t="s">
        <v>1574</v>
      </c>
      <c r="AK97" s="51" t="s">
        <v>1574</v>
      </c>
      <c r="AL97" s="51">
        <v>66.510000000000005</v>
      </c>
      <c r="AM97" s="51" t="s">
        <v>1574</v>
      </c>
      <c r="AN97" s="51">
        <v>0.16089999999999999</v>
      </c>
      <c r="AO97" s="51">
        <v>0.159</v>
      </c>
      <c r="AP97" s="51">
        <v>1.0362</v>
      </c>
      <c r="AQ97" s="51">
        <v>0.37178706541000001</v>
      </c>
      <c r="AR97" s="51" t="s">
        <v>1574</v>
      </c>
      <c r="AS97" s="51">
        <v>2.2928047999999999</v>
      </c>
      <c r="AT97" s="51">
        <v>0.12941119400000001</v>
      </c>
      <c r="AU97" s="51">
        <v>0.14770954</v>
      </c>
      <c r="AV97" s="51">
        <v>5.4699999999999999E-2</v>
      </c>
      <c r="AW97" s="51">
        <v>1299.43</v>
      </c>
      <c r="AX97" s="51" t="s">
        <v>1574</v>
      </c>
      <c r="AY97" s="51">
        <v>38.89</v>
      </c>
      <c r="AZ97" s="51" t="s">
        <v>1574</v>
      </c>
      <c r="BA97" s="51">
        <v>165.90811172856999</v>
      </c>
      <c r="BB97" s="51" t="s">
        <v>1574</v>
      </c>
      <c r="BC97" s="51">
        <v>0.66669999999999996</v>
      </c>
      <c r="BD97" s="51" t="s">
        <v>1574</v>
      </c>
      <c r="BE97" s="51">
        <v>0.41120000000000001</v>
      </c>
      <c r="BF97" s="51">
        <v>12</v>
      </c>
      <c r="BG97" s="51">
        <v>68.5</v>
      </c>
      <c r="BH97" s="51">
        <v>46.5</v>
      </c>
      <c r="BI97" s="51">
        <v>49.25</v>
      </c>
      <c r="BJ97" s="51">
        <v>25.5</v>
      </c>
      <c r="BK97" s="51">
        <v>540.1318359375</v>
      </c>
      <c r="BL97" s="51">
        <v>8.86</v>
      </c>
      <c r="BM97" s="51">
        <v>1015.22</v>
      </c>
      <c r="BN97" s="51">
        <v>228.2</v>
      </c>
      <c r="BO97" s="51">
        <v>3366.5</v>
      </c>
      <c r="BP97" s="51">
        <v>1935.7</v>
      </c>
      <c r="BQ97" s="51">
        <v>274.3</v>
      </c>
      <c r="BR97" s="51">
        <v>34.950000000000003</v>
      </c>
      <c r="BS97" s="51">
        <v>110.5</v>
      </c>
      <c r="BT97" s="51">
        <v>1.3009999999999999</v>
      </c>
      <c r="BU97" s="41"/>
      <c r="BV97" s="41"/>
      <c r="BW97" s="41"/>
      <c r="BX97" s="41"/>
      <c r="BY97" s="41"/>
      <c r="BZ97" s="41"/>
      <c r="CA97" s="41"/>
      <c r="CB97" s="41"/>
      <c r="CC97" s="41"/>
      <c r="CD97" s="41"/>
      <c r="CE97" s="41"/>
      <c r="CF97" s="41"/>
      <c r="CG97" s="41"/>
      <c r="CH97" s="41"/>
      <c r="CI97" s="41"/>
      <c r="CJ97" s="41"/>
      <c r="CK97" s="41"/>
    </row>
    <row r="98" spans="1:89">
      <c r="A98" s="48" t="s">
        <v>227</v>
      </c>
      <c r="B98" s="49">
        <v>1.33</v>
      </c>
      <c r="C98" s="49">
        <v>1.33</v>
      </c>
      <c r="D98" s="49">
        <v>1.33</v>
      </c>
      <c r="E98" s="49" t="s">
        <v>1574</v>
      </c>
      <c r="F98" s="49" t="s">
        <v>1574</v>
      </c>
      <c r="G98" s="49" t="s">
        <v>1574</v>
      </c>
      <c r="H98" s="49">
        <v>0.16</v>
      </c>
      <c r="I98" s="49">
        <v>0.45664737628000002</v>
      </c>
      <c r="J98" s="49" t="s">
        <v>1574</v>
      </c>
      <c r="K98" s="49" t="s">
        <v>1574</v>
      </c>
      <c r="L98" s="49">
        <v>0.56859999999999999</v>
      </c>
      <c r="M98" s="49">
        <v>0.90259999999999996</v>
      </c>
      <c r="N98" s="49">
        <v>0.74073520000000004</v>
      </c>
      <c r="O98" s="49">
        <v>0.84019999999999995</v>
      </c>
      <c r="P98" s="49">
        <v>0.73080069999999997</v>
      </c>
      <c r="Q98" s="49">
        <v>0.79866669999999995</v>
      </c>
      <c r="R98" s="49">
        <v>0.99119959999999996</v>
      </c>
      <c r="S98" s="49">
        <v>318.3</v>
      </c>
      <c r="T98" s="49" t="s">
        <v>1574</v>
      </c>
      <c r="U98" s="49" t="s">
        <v>1574</v>
      </c>
      <c r="V98" s="49">
        <v>294.58999999999997</v>
      </c>
      <c r="W98" s="49">
        <v>228.73</v>
      </c>
      <c r="X98" s="49" t="s">
        <v>1574</v>
      </c>
      <c r="Y98" s="49">
        <v>115.19</v>
      </c>
      <c r="Z98" s="49">
        <v>212</v>
      </c>
      <c r="AA98" s="49">
        <v>98.9</v>
      </c>
      <c r="AB98" s="49" t="s">
        <v>1574</v>
      </c>
      <c r="AC98" s="49" t="s">
        <v>1574</v>
      </c>
      <c r="AD98" s="49">
        <v>26.27104018448</v>
      </c>
      <c r="AE98" s="49">
        <v>55.12</v>
      </c>
      <c r="AF98" s="49">
        <v>52.03</v>
      </c>
      <c r="AG98" s="49">
        <v>206.24</v>
      </c>
      <c r="AH98" s="49" t="s">
        <v>1574</v>
      </c>
      <c r="AI98" s="49" t="s">
        <v>1574</v>
      </c>
      <c r="AJ98" s="49" t="s">
        <v>1574</v>
      </c>
      <c r="AK98" s="49" t="s">
        <v>1574</v>
      </c>
      <c r="AL98" s="49">
        <v>64.67</v>
      </c>
      <c r="AM98" s="49" t="s">
        <v>1574</v>
      </c>
      <c r="AN98" s="49">
        <v>0.159</v>
      </c>
      <c r="AO98" s="49">
        <v>0.159</v>
      </c>
      <c r="AP98" s="49">
        <v>1.0353000000000001</v>
      </c>
      <c r="AQ98" s="49">
        <v>0.37251653689999997</v>
      </c>
      <c r="AR98" s="49" t="s">
        <v>1574</v>
      </c>
      <c r="AS98" s="49">
        <v>2.2928047999999999</v>
      </c>
      <c r="AT98" s="49">
        <v>0.12941119400000001</v>
      </c>
      <c r="AU98" s="49">
        <v>0.14770954</v>
      </c>
      <c r="AV98" s="49">
        <v>3.6999999999999998E-2</v>
      </c>
      <c r="AW98" s="49">
        <v>1299.43</v>
      </c>
      <c r="AX98" s="49" t="s">
        <v>1574</v>
      </c>
      <c r="AY98" s="49">
        <v>38.89</v>
      </c>
      <c r="AZ98" s="49" t="s">
        <v>1574</v>
      </c>
      <c r="BA98" s="49">
        <v>165.90811172856999</v>
      </c>
      <c r="BB98" s="49" t="s">
        <v>1574</v>
      </c>
      <c r="BC98" s="49">
        <v>0.66800000000000004</v>
      </c>
      <c r="BD98" s="49" t="s">
        <v>1574</v>
      </c>
      <c r="BE98" s="49">
        <v>0.39879999999999999</v>
      </c>
      <c r="BF98" s="49">
        <v>12</v>
      </c>
      <c r="BG98" s="49">
        <v>68.5</v>
      </c>
      <c r="BH98" s="49">
        <v>43.5</v>
      </c>
      <c r="BI98" s="49">
        <v>49.25</v>
      </c>
      <c r="BJ98" s="49">
        <v>25.5</v>
      </c>
      <c r="BK98" s="49">
        <v>540.1318359375</v>
      </c>
      <c r="BL98" s="49">
        <v>8.86</v>
      </c>
      <c r="BM98" s="49">
        <v>997.37</v>
      </c>
      <c r="BN98" s="49">
        <v>231.3</v>
      </c>
      <c r="BO98" s="49">
        <v>3362</v>
      </c>
      <c r="BP98" s="49">
        <v>1935.7</v>
      </c>
      <c r="BQ98" s="49">
        <v>267.2</v>
      </c>
      <c r="BR98" s="49">
        <v>34.950000000000003</v>
      </c>
      <c r="BS98" s="49">
        <v>110.5</v>
      </c>
      <c r="BT98" s="49">
        <v>1.5929</v>
      </c>
      <c r="BU98" s="41"/>
      <c r="BV98" s="41"/>
      <c r="BW98" s="41"/>
      <c r="BX98" s="41"/>
      <c r="BY98" s="41"/>
      <c r="BZ98" s="41"/>
      <c r="CA98" s="41"/>
      <c r="CB98" s="41"/>
      <c r="CC98" s="41"/>
      <c r="CD98" s="41"/>
      <c r="CE98" s="41"/>
      <c r="CF98" s="41"/>
      <c r="CG98" s="41"/>
      <c r="CH98" s="41"/>
      <c r="CI98" s="41"/>
      <c r="CJ98" s="41"/>
      <c r="CK98" s="41"/>
    </row>
    <row r="99" spans="1:89">
      <c r="A99" s="41" t="s">
        <v>228</v>
      </c>
      <c r="B99" s="51">
        <v>1.33</v>
      </c>
      <c r="C99" s="51">
        <v>1.33</v>
      </c>
      <c r="D99" s="51">
        <v>1.33</v>
      </c>
      <c r="E99" s="51" t="s">
        <v>1574</v>
      </c>
      <c r="F99" s="51" t="s">
        <v>1574</v>
      </c>
      <c r="G99" s="51" t="s">
        <v>1574</v>
      </c>
      <c r="H99" s="51">
        <v>0.16</v>
      </c>
      <c r="I99" s="51">
        <v>0.45664737628000002</v>
      </c>
      <c r="J99" s="51" t="s">
        <v>1574</v>
      </c>
      <c r="K99" s="51" t="s">
        <v>1574</v>
      </c>
      <c r="L99" s="51">
        <v>0.58550000000000002</v>
      </c>
      <c r="M99" s="51">
        <v>0.87609999999999999</v>
      </c>
      <c r="N99" s="51">
        <v>0.71758719999999998</v>
      </c>
      <c r="O99" s="51">
        <v>0.84019999999999995</v>
      </c>
      <c r="P99" s="51">
        <v>0.73080069999999997</v>
      </c>
      <c r="Q99" s="51">
        <v>0.79866669999999995</v>
      </c>
      <c r="R99" s="51">
        <v>0.99119959999999996</v>
      </c>
      <c r="S99" s="51">
        <v>310</v>
      </c>
      <c r="T99" s="51" t="s">
        <v>1574</v>
      </c>
      <c r="U99" s="51" t="s">
        <v>1574</v>
      </c>
      <c r="V99" s="51">
        <v>291.56</v>
      </c>
      <c r="W99" s="51">
        <v>228.73</v>
      </c>
      <c r="X99" s="51" t="s">
        <v>1574</v>
      </c>
      <c r="Y99" s="51">
        <v>111.13</v>
      </c>
      <c r="Z99" s="51">
        <v>210</v>
      </c>
      <c r="AA99" s="51">
        <v>98.9</v>
      </c>
      <c r="AB99" s="51" t="s">
        <v>1574</v>
      </c>
      <c r="AC99" s="51" t="s">
        <v>1574</v>
      </c>
      <c r="AD99" s="51">
        <v>25.648796559369998</v>
      </c>
      <c r="AE99" s="51">
        <v>51.97</v>
      </c>
      <c r="AF99" s="51">
        <v>50.26</v>
      </c>
      <c r="AG99" s="51">
        <v>207.22</v>
      </c>
      <c r="AH99" s="51" t="s">
        <v>1574</v>
      </c>
      <c r="AI99" s="51" t="s">
        <v>1574</v>
      </c>
      <c r="AJ99" s="51" t="s">
        <v>1574</v>
      </c>
      <c r="AK99" s="51" t="s">
        <v>1574</v>
      </c>
      <c r="AL99" s="51">
        <v>63.93</v>
      </c>
      <c r="AM99" s="51" t="s">
        <v>1574</v>
      </c>
      <c r="AN99" s="51">
        <v>0.14990000000000001</v>
      </c>
      <c r="AO99" s="51">
        <v>0.159</v>
      </c>
      <c r="AP99" s="51">
        <v>1.0285</v>
      </c>
      <c r="AQ99" s="51">
        <v>0.37324743966000001</v>
      </c>
      <c r="AR99" s="51" t="s">
        <v>1574</v>
      </c>
      <c r="AS99" s="51">
        <v>2.2928047999999999</v>
      </c>
      <c r="AT99" s="51">
        <v>0.12941119400000001</v>
      </c>
      <c r="AU99" s="51">
        <v>0.14770954</v>
      </c>
      <c r="AV99" s="51">
        <v>3.6200000000000003E-2</v>
      </c>
      <c r="AW99" s="51">
        <v>1299.43</v>
      </c>
      <c r="AX99" s="51" t="s">
        <v>1574</v>
      </c>
      <c r="AY99" s="51">
        <v>38.89</v>
      </c>
      <c r="AZ99" s="51" t="s">
        <v>1574</v>
      </c>
      <c r="BA99" s="51">
        <v>165.90811172856999</v>
      </c>
      <c r="BB99" s="51" t="s">
        <v>1574</v>
      </c>
      <c r="BC99" s="51">
        <v>0.67749999999999999</v>
      </c>
      <c r="BD99" s="51" t="s">
        <v>1574</v>
      </c>
      <c r="BE99" s="51">
        <v>0.37480000000000002</v>
      </c>
      <c r="BF99" s="51">
        <v>12</v>
      </c>
      <c r="BG99" s="51">
        <v>68.5</v>
      </c>
      <c r="BH99" s="51">
        <v>43.5</v>
      </c>
      <c r="BI99" s="51">
        <v>49.25</v>
      </c>
      <c r="BJ99" s="51">
        <v>25.5</v>
      </c>
      <c r="BK99" s="51">
        <v>540.1318359375</v>
      </c>
      <c r="BL99" s="51">
        <v>8.86</v>
      </c>
      <c r="BM99" s="51">
        <v>1044.55</v>
      </c>
      <c r="BN99" s="51">
        <v>232.3</v>
      </c>
      <c r="BO99" s="51">
        <v>3291.5</v>
      </c>
      <c r="BP99" s="51">
        <v>1935.7</v>
      </c>
      <c r="BQ99" s="51">
        <v>268.7</v>
      </c>
      <c r="BR99" s="51">
        <v>34.950000000000003</v>
      </c>
      <c r="BS99" s="51">
        <v>110.5</v>
      </c>
      <c r="BT99" s="51">
        <v>1.7498</v>
      </c>
      <c r="BU99" s="41"/>
      <c r="BV99" s="41"/>
      <c r="BW99" s="41"/>
      <c r="BX99" s="41"/>
      <c r="BY99" s="41"/>
      <c r="BZ99" s="41"/>
      <c r="CA99" s="41"/>
      <c r="CB99" s="41"/>
      <c r="CC99" s="41"/>
      <c r="CD99" s="41"/>
      <c r="CE99" s="41"/>
      <c r="CF99" s="41"/>
      <c r="CG99" s="41"/>
      <c r="CH99" s="41"/>
      <c r="CI99" s="41"/>
      <c r="CJ99" s="41"/>
      <c r="CK99" s="41"/>
    </row>
    <row r="100" spans="1:89">
      <c r="A100" s="48" t="s">
        <v>229</v>
      </c>
      <c r="B100" s="49">
        <v>1.33</v>
      </c>
      <c r="C100" s="49">
        <v>1.33</v>
      </c>
      <c r="D100" s="49">
        <v>1.33</v>
      </c>
      <c r="E100" s="49" t="s">
        <v>1574</v>
      </c>
      <c r="F100" s="49" t="s">
        <v>1574</v>
      </c>
      <c r="G100" s="49" t="s">
        <v>1574</v>
      </c>
      <c r="H100" s="49">
        <v>0.16</v>
      </c>
      <c r="I100" s="49">
        <v>0.45664737628000002</v>
      </c>
      <c r="J100" s="49" t="s">
        <v>1574</v>
      </c>
      <c r="K100" s="49" t="s">
        <v>1574</v>
      </c>
      <c r="L100" s="49">
        <v>0.62390000000000001</v>
      </c>
      <c r="M100" s="49">
        <v>0.86070000000000002</v>
      </c>
      <c r="N100" s="49">
        <v>0.72398050000000003</v>
      </c>
      <c r="O100" s="49">
        <v>0.84019999999999995</v>
      </c>
      <c r="P100" s="49">
        <v>0.73080069999999997</v>
      </c>
      <c r="Q100" s="49">
        <v>0.79866669999999995</v>
      </c>
      <c r="R100" s="49">
        <v>0.99119959999999996</v>
      </c>
      <c r="S100" s="49">
        <v>324.89999999999998</v>
      </c>
      <c r="T100" s="49" t="s">
        <v>1574</v>
      </c>
      <c r="U100" s="49" t="s">
        <v>1574</v>
      </c>
      <c r="V100" s="49">
        <v>275.3</v>
      </c>
      <c r="W100" s="49">
        <v>225.15</v>
      </c>
      <c r="X100" s="49" t="s">
        <v>1574</v>
      </c>
      <c r="Y100" s="49">
        <v>111.06</v>
      </c>
      <c r="Z100" s="49">
        <v>206</v>
      </c>
      <c r="AA100" s="49">
        <v>98.9</v>
      </c>
      <c r="AB100" s="49" t="s">
        <v>1574</v>
      </c>
      <c r="AC100" s="49" t="s">
        <v>1574</v>
      </c>
      <c r="AD100" s="49">
        <v>25.078624937979999</v>
      </c>
      <c r="AE100" s="49">
        <v>49.21</v>
      </c>
      <c r="AF100" s="49">
        <v>49.6</v>
      </c>
      <c r="AG100" s="49">
        <v>221.64</v>
      </c>
      <c r="AH100" s="49" t="s">
        <v>1574</v>
      </c>
      <c r="AI100" s="49" t="s">
        <v>1574</v>
      </c>
      <c r="AJ100" s="49" t="s">
        <v>1574</v>
      </c>
      <c r="AK100" s="49" t="s">
        <v>1574</v>
      </c>
      <c r="AL100" s="49">
        <v>63.2</v>
      </c>
      <c r="AM100" s="49" t="s">
        <v>1574</v>
      </c>
      <c r="AN100" s="49">
        <v>0.1799</v>
      </c>
      <c r="AO100" s="49">
        <v>0.159</v>
      </c>
      <c r="AP100" s="49">
        <v>1.0384</v>
      </c>
      <c r="AQ100" s="49">
        <v>0.37397977650000003</v>
      </c>
      <c r="AR100" s="49" t="s">
        <v>1574</v>
      </c>
      <c r="AS100" s="49">
        <v>2.2928047999999999</v>
      </c>
      <c r="AT100" s="49">
        <v>0.12941119400000001</v>
      </c>
      <c r="AU100" s="49">
        <v>0.14770954</v>
      </c>
      <c r="AV100" s="49">
        <v>3.6999999999999998E-2</v>
      </c>
      <c r="AW100" s="49">
        <v>1299.43</v>
      </c>
      <c r="AX100" s="49" t="s">
        <v>1574</v>
      </c>
      <c r="AY100" s="49">
        <v>40.28</v>
      </c>
      <c r="AZ100" s="49" t="s">
        <v>1574</v>
      </c>
      <c r="BA100" s="49">
        <v>169.08436100495001</v>
      </c>
      <c r="BB100" s="49" t="s">
        <v>1574</v>
      </c>
      <c r="BC100" s="49">
        <v>0.69089999999999996</v>
      </c>
      <c r="BD100" s="49" t="s">
        <v>1574</v>
      </c>
      <c r="BE100" s="49">
        <v>0.3649</v>
      </c>
      <c r="BF100" s="49">
        <v>12</v>
      </c>
      <c r="BG100" s="49">
        <v>68.5</v>
      </c>
      <c r="BH100" s="49">
        <v>43.5</v>
      </c>
      <c r="BI100" s="49">
        <v>49.25</v>
      </c>
      <c r="BJ100" s="49">
        <v>25.5</v>
      </c>
      <c r="BK100" s="49">
        <v>540.1318359375</v>
      </c>
      <c r="BL100" s="49">
        <v>8.86</v>
      </c>
      <c r="BM100" s="49">
        <v>1060.2</v>
      </c>
      <c r="BN100" s="49">
        <v>226.9</v>
      </c>
      <c r="BO100" s="49">
        <v>3267.2</v>
      </c>
      <c r="BP100" s="49">
        <v>1935.7</v>
      </c>
      <c r="BQ100" s="49">
        <v>264.60000000000002</v>
      </c>
      <c r="BR100" s="49">
        <v>34.950000000000003</v>
      </c>
      <c r="BS100" s="49">
        <v>110.5</v>
      </c>
      <c r="BT100" s="49">
        <v>1.6795</v>
      </c>
      <c r="BU100" s="41"/>
      <c r="BV100" s="41"/>
      <c r="BW100" s="41"/>
      <c r="BX100" s="41"/>
      <c r="BY100" s="41"/>
      <c r="BZ100" s="41"/>
      <c r="CA100" s="41"/>
      <c r="CB100" s="41"/>
      <c r="CC100" s="41"/>
      <c r="CD100" s="41"/>
      <c r="CE100" s="41"/>
      <c r="CF100" s="41"/>
      <c r="CG100" s="41"/>
      <c r="CH100" s="41"/>
      <c r="CI100" s="41"/>
      <c r="CJ100" s="41"/>
      <c r="CK100" s="41"/>
    </row>
    <row r="101" spans="1:89">
      <c r="A101" s="41" t="s">
        <v>230</v>
      </c>
      <c r="B101" s="51">
        <v>1.33</v>
      </c>
      <c r="C101" s="51">
        <v>1.33</v>
      </c>
      <c r="D101" s="51">
        <v>1.33</v>
      </c>
      <c r="E101" s="51" t="s">
        <v>1574</v>
      </c>
      <c r="F101" s="51" t="s">
        <v>1574</v>
      </c>
      <c r="G101" s="51" t="s">
        <v>1574</v>
      </c>
      <c r="H101" s="51">
        <v>0.16</v>
      </c>
      <c r="I101" s="51">
        <v>0.45664737628000002</v>
      </c>
      <c r="J101" s="51" t="s">
        <v>1574</v>
      </c>
      <c r="K101" s="51" t="s">
        <v>1574</v>
      </c>
      <c r="L101" s="51">
        <v>0.60780000000000001</v>
      </c>
      <c r="M101" s="51">
        <v>0.84719999999999995</v>
      </c>
      <c r="N101" s="51">
        <v>0.72949200000000003</v>
      </c>
      <c r="O101" s="51">
        <v>0.84019999999999995</v>
      </c>
      <c r="P101" s="51">
        <v>0.73080069999999997</v>
      </c>
      <c r="Q101" s="51">
        <v>0.79866669999999995</v>
      </c>
      <c r="R101" s="51">
        <v>0.99119959999999996</v>
      </c>
      <c r="S101" s="51">
        <v>350.5</v>
      </c>
      <c r="T101" s="51" t="s">
        <v>1574</v>
      </c>
      <c r="U101" s="51" t="s">
        <v>1574</v>
      </c>
      <c r="V101" s="51">
        <v>259.04000000000002</v>
      </c>
      <c r="W101" s="51">
        <v>221.56</v>
      </c>
      <c r="X101" s="51" t="s">
        <v>1574</v>
      </c>
      <c r="Y101" s="51">
        <v>109.96</v>
      </c>
      <c r="Z101" s="51">
        <v>203</v>
      </c>
      <c r="AA101" s="51">
        <v>98.9</v>
      </c>
      <c r="AB101" s="51" t="s">
        <v>1574</v>
      </c>
      <c r="AC101" s="51" t="s">
        <v>1574</v>
      </c>
      <c r="AD101" s="51">
        <v>24.97713143451</v>
      </c>
      <c r="AE101" s="51">
        <v>48.03</v>
      </c>
      <c r="AF101" s="51">
        <v>49.38</v>
      </c>
      <c r="AG101" s="51">
        <v>224.12</v>
      </c>
      <c r="AH101" s="51" t="s">
        <v>1574</v>
      </c>
      <c r="AI101" s="51" t="s">
        <v>1574</v>
      </c>
      <c r="AJ101" s="51" t="s">
        <v>1574</v>
      </c>
      <c r="AK101" s="51" t="s">
        <v>1574</v>
      </c>
      <c r="AL101" s="51">
        <v>63.57</v>
      </c>
      <c r="AM101" s="51" t="s">
        <v>1574</v>
      </c>
      <c r="AN101" s="51">
        <v>0.17899999999999999</v>
      </c>
      <c r="AO101" s="51">
        <v>0.159</v>
      </c>
      <c r="AP101" s="51">
        <v>1.0431999999999999</v>
      </c>
      <c r="AQ101" s="51">
        <v>0.37471355023000003</v>
      </c>
      <c r="AR101" s="51" t="s">
        <v>1574</v>
      </c>
      <c r="AS101" s="51">
        <v>2.2928047999999999</v>
      </c>
      <c r="AT101" s="51">
        <v>0.12941119400000001</v>
      </c>
      <c r="AU101" s="51">
        <v>0.14991415999999999</v>
      </c>
      <c r="AV101" s="51">
        <v>4.2799999999999998E-2</v>
      </c>
      <c r="AW101" s="51">
        <v>1299.43</v>
      </c>
      <c r="AX101" s="51" t="s">
        <v>1574</v>
      </c>
      <c r="AY101" s="51">
        <v>41.67</v>
      </c>
      <c r="AZ101" s="51" t="s">
        <v>1574</v>
      </c>
      <c r="BA101" s="51">
        <v>172.21057681803001</v>
      </c>
      <c r="BB101" s="51" t="s">
        <v>1574</v>
      </c>
      <c r="BC101" s="51">
        <v>0.70240000000000002</v>
      </c>
      <c r="BD101" s="51" t="s">
        <v>1574</v>
      </c>
      <c r="BE101" s="51">
        <v>0.36180000000000001</v>
      </c>
      <c r="BF101" s="51">
        <v>12</v>
      </c>
      <c r="BG101" s="51">
        <v>68.5</v>
      </c>
      <c r="BH101" s="51">
        <v>43.5</v>
      </c>
      <c r="BI101" s="51">
        <v>49.25</v>
      </c>
      <c r="BJ101" s="51">
        <v>25.5</v>
      </c>
      <c r="BK101" s="51">
        <v>540.1318359375</v>
      </c>
      <c r="BL101" s="51">
        <v>8.86</v>
      </c>
      <c r="BM101" s="51">
        <v>1138.47</v>
      </c>
      <c r="BN101" s="51">
        <v>225.7</v>
      </c>
      <c r="BO101" s="51">
        <v>3280.5</v>
      </c>
      <c r="BP101" s="51">
        <v>1935.7</v>
      </c>
      <c r="BQ101" s="51">
        <v>263.89999999999998</v>
      </c>
      <c r="BR101" s="51">
        <v>34.950000000000003</v>
      </c>
      <c r="BS101" s="51">
        <v>110.5</v>
      </c>
      <c r="BT101" s="51">
        <v>1.7859</v>
      </c>
      <c r="BU101" s="41"/>
      <c r="BV101" s="41"/>
      <c r="BW101" s="41"/>
      <c r="BX101" s="41"/>
      <c r="BY101" s="41"/>
      <c r="BZ101" s="41"/>
      <c r="CA101" s="41"/>
      <c r="CB101" s="41"/>
      <c r="CC101" s="41"/>
      <c r="CD101" s="41"/>
      <c r="CE101" s="41"/>
      <c r="CF101" s="41"/>
      <c r="CG101" s="41"/>
      <c r="CH101" s="41"/>
      <c r="CI101" s="41"/>
      <c r="CJ101" s="41"/>
      <c r="CK101" s="41"/>
    </row>
    <row r="102" spans="1:89">
      <c r="A102" s="48" t="s">
        <v>231</v>
      </c>
      <c r="B102" s="49">
        <v>1.33</v>
      </c>
      <c r="C102" s="49">
        <v>1.33</v>
      </c>
      <c r="D102" s="49">
        <v>1.33</v>
      </c>
      <c r="E102" s="49" t="s">
        <v>1574</v>
      </c>
      <c r="F102" s="49" t="s">
        <v>1574</v>
      </c>
      <c r="G102" s="49" t="s">
        <v>1574</v>
      </c>
      <c r="H102" s="49">
        <v>0.16</v>
      </c>
      <c r="I102" s="49">
        <v>0.45664737628000002</v>
      </c>
      <c r="J102" s="49" t="s">
        <v>1574</v>
      </c>
      <c r="K102" s="49" t="s">
        <v>1574</v>
      </c>
      <c r="L102" s="49">
        <v>0.64419999999999999</v>
      </c>
      <c r="M102" s="49">
        <v>0.86660000000000004</v>
      </c>
      <c r="N102" s="49">
        <v>0.74778979999999995</v>
      </c>
      <c r="O102" s="49">
        <v>0.84019999999999995</v>
      </c>
      <c r="P102" s="49">
        <v>0.73080069999999997</v>
      </c>
      <c r="Q102" s="49">
        <v>0.79866669999999995</v>
      </c>
      <c r="R102" s="49">
        <v>0.99119959999999996</v>
      </c>
      <c r="S102" s="49">
        <v>376.2</v>
      </c>
      <c r="T102" s="49" t="s">
        <v>1574</v>
      </c>
      <c r="U102" s="49" t="s">
        <v>1574</v>
      </c>
      <c r="V102" s="49">
        <v>248.02</v>
      </c>
      <c r="W102" s="49">
        <v>217.98</v>
      </c>
      <c r="X102" s="49" t="s">
        <v>1574</v>
      </c>
      <c r="Y102" s="49">
        <v>116.02</v>
      </c>
      <c r="Z102" s="49">
        <v>211</v>
      </c>
      <c r="AA102" s="49">
        <v>98.9</v>
      </c>
      <c r="AB102" s="49" t="s">
        <v>1574</v>
      </c>
      <c r="AC102" s="49" t="s">
        <v>1574</v>
      </c>
      <c r="AD102" s="49">
        <v>24.81447247034</v>
      </c>
      <c r="AE102" s="49">
        <v>47.64</v>
      </c>
      <c r="AF102" s="49">
        <v>48.94</v>
      </c>
      <c r="AG102" s="49">
        <v>213.57</v>
      </c>
      <c r="AH102" s="49" t="s">
        <v>1574</v>
      </c>
      <c r="AI102" s="49" t="s">
        <v>1574</v>
      </c>
      <c r="AJ102" s="49" t="s">
        <v>1574</v>
      </c>
      <c r="AK102" s="49" t="s">
        <v>1574</v>
      </c>
      <c r="AL102" s="49">
        <v>62.83</v>
      </c>
      <c r="AM102" s="49" t="s">
        <v>1574</v>
      </c>
      <c r="AN102" s="49">
        <v>0.16489999999999999</v>
      </c>
      <c r="AO102" s="49">
        <v>0.159</v>
      </c>
      <c r="AP102" s="49">
        <v>1.0125999999999999</v>
      </c>
      <c r="AQ102" s="49">
        <v>0.37544876368000002</v>
      </c>
      <c r="AR102" s="49" t="s">
        <v>1574</v>
      </c>
      <c r="AS102" s="49">
        <v>2.2928047999999999</v>
      </c>
      <c r="AT102" s="49">
        <v>0.12941119400000001</v>
      </c>
      <c r="AU102" s="49">
        <v>0.14991415999999999</v>
      </c>
      <c r="AV102" s="49">
        <v>4.8500000000000001E-2</v>
      </c>
      <c r="AW102" s="49">
        <v>1299.43</v>
      </c>
      <c r="AX102" s="49" t="s">
        <v>1574</v>
      </c>
      <c r="AY102" s="49">
        <v>41.67</v>
      </c>
      <c r="AZ102" s="49" t="s">
        <v>1574</v>
      </c>
      <c r="BA102" s="49">
        <v>172.21057681803001</v>
      </c>
      <c r="BB102" s="49" t="s">
        <v>1574</v>
      </c>
      <c r="BC102" s="49">
        <v>0.70550000000000002</v>
      </c>
      <c r="BD102" s="49" t="s">
        <v>1574</v>
      </c>
      <c r="BE102" s="49">
        <v>0.35410000000000003</v>
      </c>
      <c r="BF102" s="49">
        <v>12</v>
      </c>
      <c r="BG102" s="49">
        <v>68.5</v>
      </c>
      <c r="BH102" s="49">
        <v>43.5</v>
      </c>
      <c r="BI102" s="49">
        <v>49.25</v>
      </c>
      <c r="BJ102" s="49">
        <v>25.5</v>
      </c>
      <c r="BK102" s="49">
        <v>540.1318359375</v>
      </c>
      <c r="BL102" s="49">
        <v>8.86</v>
      </c>
      <c r="BM102" s="49">
        <v>1443.81</v>
      </c>
      <c r="BN102" s="49">
        <v>242.1</v>
      </c>
      <c r="BO102" s="49">
        <v>3298.1</v>
      </c>
      <c r="BP102" s="49">
        <v>1935.7</v>
      </c>
      <c r="BQ102" s="49">
        <v>287</v>
      </c>
      <c r="BR102" s="49">
        <v>34.950000000000003</v>
      </c>
      <c r="BS102" s="49">
        <v>110.5</v>
      </c>
      <c r="BT102" s="49">
        <v>1.9532</v>
      </c>
      <c r="BU102" s="41"/>
      <c r="BV102" s="41"/>
      <c r="BW102" s="41"/>
      <c r="BX102" s="41"/>
      <c r="BY102" s="41"/>
      <c r="BZ102" s="41"/>
      <c r="CA102" s="41"/>
      <c r="CB102" s="41"/>
      <c r="CC102" s="41"/>
      <c r="CD102" s="41"/>
      <c r="CE102" s="41"/>
      <c r="CF102" s="41"/>
      <c r="CG102" s="41"/>
      <c r="CH102" s="41"/>
      <c r="CI102" s="41"/>
      <c r="CJ102" s="41"/>
      <c r="CK102" s="41"/>
    </row>
    <row r="103" spans="1:89">
      <c r="A103" s="41" t="s">
        <v>232</v>
      </c>
      <c r="B103" s="51">
        <v>1.33</v>
      </c>
      <c r="C103" s="51">
        <v>1.33</v>
      </c>
      <c r="D103" s="51">
        <v>1.33</v>
      </c>
      <c r="E103" s="51" t="s">
        <v>1574</v>
      </c>
      <c r="F103" s="51" t="s">
        <v>1574</v>
      </c>
      <c r="G103" s="51" t="s">
        <v>1574</v>
      </c>
      <c r="H103" s="51">
        <v>0.16</v>
      </c>
      <c r="I103" s="51">
        <v>0.45664737628000002</v>
      </c>
      <c r="J103" s="51" t="s">
        <v>1574</v>
      </c>
      <c r="K103" s="51" t="s">
        <v>1574</v>
      </c>
      <c r="L103" s="51">
        <v>0.64710000000000001</v>
      </c>
      <c r="M103" s="51">
        <v>0.85119999999999996</v>
      </c>
      <c r="N103" s="51">
        <v>0.74999439999999995</v>
      </c>
      <c r="O103" s="51">
        <v>0.79149999999999998</v>
      </c>
      <c r="P103" s="51">
        <v>0.58464110000000002</v>
      </c>
      <c r="Q103" s="51">
        <v>0.79866669999999995</v>
      </c>
      <c r="R103" s="51">
        <v>0.99119959999999996</v>
      </c>
      <c r="S103" s="51">
        <v>386.7</v>
      </c>
      <c r="T103" s="51" t="s">
        <v>1574</v>
      </c>
      <c r="U103" s="51" t="s">
        <v>1574</v>
      </c>
      <c r="V103" s="51">
        <v>250.85</v>
      </c>
      <c r="W103" s="51">
        <v>194.87</v>
      </c>
      <c r="X103" s="51" t="s">
        <v>1574</v>
      </c>
      <c r="Y103" s="51">
        <v>113.38</v>
      </c>
      <c r="Z103" s="51">
        <v>196</v>
      </c>
      <c r="AA103" s="51">
        <v>98.9</v>
      </c>
      <c r="AB103" s="51" t="s">
        <v>1574</v>
      </c>
      <c r="AC103" s="51" t="s">
        <v>1574</v>
      </c>
      <c r="AD103" s="51">
        <v>24.589256001460001</v>
      </c>
      <c r="AE103" s="51">
        <v>46.9</v>
      </c>
      <c r="AF103" s="51">
        <v>50.26</v>
      </c>
      <c r="AG103" s="51">
        <v>213.57</v>
      </c>
      <c r="AH103" s="51" t="s">
        <v>1574</v>
      </c>
      <c r="AI103" s="51" t="s">
        <v>1574</v>
      </c>
      <c r="AJ103" s="51" t="s">
        <v>1574</v>
      </c>
      <c r="AK103" s="51" t="s">
        <v>1574</v>
      </c>
      <c r="AL103" s="51">
        <v>62.1</v>
      </c>
      <c r="AM103" s="51" t="s">
        <v>1574</v>
      </c>
      <c r="AN103" s="51">
        <v>0.13400000000000001</v>
      </c>
      <c r="AO103" s="51">
        <v>0.16669999999999999</v>
      </c>
      <c r="AP103" s="51">
        <v>1.0201</v>
      </c>
      <c r="AQ103" s="51">
        <v>0.37618541967000002</v>
      </c>
      <c r="AR103" s="51" t="s">
        <v>1574</v>
      </c>
      <c r="AS103" s="51">
        <v>2.2928047999999999</v>
      </c>
      <c r="AT103" s="51">
        <v>0.12941119400000001</v>
      </c>
      <c r="AU103" s="51">
        <v>0.14770954</v>
      </c>
      <c r="AV103" s="51">
        <v>4.7E-2</v>
      </c>
      <c r="AW103" s="51">
        <v>1299.43</v>
      </c>
      <c r="AX103" s="51" t="s">
        <v>1574</v>
      </c>
      <c r="AY103" s="51">
        <v>41.67</v>
      </c>
      <c r="AZ103" s="51" t="s">
        <v>1574</v>
      </c>
      <c r="BA103" s="51">
        <v>172.21057681803001</v>
      </c>
      <c r="BB103" s="51" t="s">
        <v>1574</v>
      </c>
      <c r="BC103" s="51">
        <v>0.71650000000000003</v>
      </c>
      <c r="BD103" s="51" t="s">
        <v>1574</v>
      </c>
      <c r="BE103" s="51">
        <v>0.3574</v>
      </c>
      <c r="BF103" s="51">
        <v>12</v>
      </c>
      <c r="BG103" s="51">
        <v>68.5</v>
      </c>
      <c r="BH103" s="51">
        <v>43.5</v>
      </c>
      <c r="BI103" s="51">
        <v>49.25</v>
      </c>
      <c r="BJ103" s="51">
        <v>25.5</v>
      </c>
      <c r="BK103" s="51">
        <v>540.1318359375</v>
      </c>
      <c r="BL103" s="51">
        <v>8.86</v>
      </c>
      <c r="BM103" s="51">
        <v>1324.09</v>
      </c>
      <c r="BN103" s="51">
        <v>222.4</v>
      </c>
      <c r="BO103" s="51">
        <v>3192.3</v>
      </c>
      <c r="BP103" s="51">
        <v>1935.7</v>
      </c>
      <c r="BQ103" s="51">
        <v>266.10000000000002</v>
      </c>
      <c r="BR103" s="51">
        <v>34.950000000000003</v>
      </c>
      <c r="BS103" s="51">
        <v>115.05</v>
      </c>
      <c r="BT103" s="51">
        <v>2.06</v>
      </c>
      <c r="BU103" s="41"/>
      <c r="BV103" s="41"/>
      <c r="BW103" s="41"/>
      <c r="BX103" s="41"/>
      <c r="BY103" s="41"/>
      <c r="BZ103" s="41"/>
      <c r="CA103" s="41"/>
      <c r="CB103" s="41"/>
      <c r="CC103" s="41"/>
      <c r="CD103" s="41"/>
      <c r="CE103" s="41"/>
      <c r="CF103" s="41"/>
      <c r="CG103" s="41"/>
      <c r="CH103" s="41"/>
      <c r="CI103" s="41"/>
      <c r="CJ103" s="41"/>
      <c r="CK103" s="41"/>
    </row>
    <row r="104" spans="1:89">
      <c r="A104" s="48" t="s">
        <v>233</v>
      </c>
      <c r="B104" s="49">
        <v>1.32</v>
      </c>
      <c r="C104" s="49">
        <v>1.32</v>
      </c>
      <c r="D104" s="49">
        <v>1.32</v>
      </c>
      <c r="E104" s="49" t="s">
        <v>1574</v>
      </c>
      <c r="F104" s="49" t="s">
        <v>1574</v>
      </c>
      <c r="G104" s="49" t="s">
        <v>1574</v>
      </c>
      <c r="H104" s="49">
        <v>0.16</v>
      </c>
      <c r="I104" s="49">
        <v>0.45180187736999999</v>
      </c>
      <c r="J104" s="49" t="s">
        <v>1574</v>
      </c>
      <c r="K104" s="49" t="s">
        <v>1574</v>
      </c>
      <c r="L104" s="49">
        <v>0.65429999999999999</v>
      </c>
      <c r="M104" s="49">
        <v>0.86599999999999999</v>
      </c>
      <c r="N104" s="49">
        <v>0.75969450000000005</v>
      </c>
      <c r="O104" s="49">
        <v>0.74870000000000003</v>
      </c>
      <c r="P104" s="49">
        <v>0.67704129999999996</v>
      </c>
      <c r="Q104" s="49">
        <v>0.73333340000000002</v>
      </c>
      <c r="R104" s="49">
        <v>0.83579970000000003</v>
      </c>
      <c r="S104" s="49">
        <v>398</v>
      </c>
      <c r="T104" s="49" t="s">
        <v>1574</v>
      </c>
      <c r="U104" s="49" t="s">
        <v>1574</v>
      </c>
      <c r="V104" s="49">
        <v>251.33</v>
      </c>
      <c r="W104" s="49">
        <v>191.33</v>
      </c>
      <c r="X104" s="49" t="s">
        <v>1574</v>
      </c>
      <c r="Y104" s="49">
        <v>114.09</v>
      </c>
      <c r="Z104" s="49">
        <v>196</v>
      </c>
      <c r="AA104" s="49">
        <v>97</v>
      </c>
      <c r="AB104" s="49" t="s">
        <v>1574</v>
      </c>
      <c r="AC104" s="49" t="s">
        <v>1574</v>
      </c>
      <c r="AD104" s="49">
        <v>25.451915863069999</v>
      </c>
      <c r="AE104" s="49">
        <v>51.57</v>
      </c>
      <c r="AF104" s="49">
        <v>55.6</v>
      </c>
      <c r="AG104" s="49">
        <v>198.78</v>
      </c>
      <c r="AH104" s="49" t="s">
        <v>1574</v>
      </c>
      <c r="AI104" s="49" t="s">
        <v>1574</v>
      </c>
      <c r="AJ104" s="49" t="s">
        <v>1574</v>
      </c>
      <c r="AK104" s="49" t="s">
        <v>1574</v>
      </c>
      <c r="AL104" s="49">
        <v>62.1</v>
      </c>
      <c r="AM104" s="49" t="s">
        <v>1574</v>
      </c>
      <c r="AN104" s="49">
        <v>0.114</v>
      </c>
      <c r="AO104" s="49">
        <v>0.1628</v>
      </c>
      <c r="AP104" s="49">
        <v>1.026</v>
      </c>
      <c r="AQ104" s="49">
        <v>0.37661109172000001</v>
      </c>
      <c r="AR104" s="49" t="s">
        <v>1574</v>
      </c>
      <c r="AS104" s="49">
        <v>2.5794054000000002</v>
      </c>
      <c r="AT104" s="49">
        <v>0.112215158</v>
      </c>
      <c r="AU104" s="49">
        <v>0.14991415999999999</v>
      </c>
      <c r="AV104" s="49">
        <v>4.6699999999999998E-2</v>
      </c>
      <c r="AW104" s="49">
        <v>1253.81</v>
      </c>
      <c r="AX104" s="49" t="s">
        <v>1574</v>
      </c>
      <c r="AY104" s="49">
        <v>41.67</v>
      </c>
      <c r="AZ104" s="49" t="s">
        <v>1574</v>
      </c>
      <c r="BA104" s="49">
        <v>172.21057681803001</v>
      </c>
      <c r="BB104" s="49" t="s">
        <v>1574</v>
      </c>
      <c r="BC104" s="49">
        <v>0.71650000000000003</v>
      </c>
      <c r="BD104" s="49" t="s">
        <v>1574</v>
      </c>
      <c r="BE104" s="49">
        <v>0.34699999999999998</v>
      </c>
      <c r="BF104" s="49">
        <v>11.5</v>
      </c>
      <c r="BG104" s="49">
        <v>60.5</v>
      </c>
      <c r="BH104" s="49">
        <v>39</v>
      </c>
      <c r="BI104" s="49">
        <v>35.5</v>
      </c>
      <c r="BJ104" s="49">
        <v>24</v>
      </c>
      <c r="BK104" s="49">
        <v>540.1318359375</v>
      </c>
      <c r="BL104" s="49">
        <v>8.77</v>
      </c>
      <c r="BM104" s="49">
        <v>1408.75</v>
      </c>
      <c r="BN104" s="49">
        <v>218</v>
      </c>
      <c r="BO104" s="49">
        <v>3126.2</v>
      </c>
      <c r="BP104" s="49">
        <v>2074.5</v>
      </c>
      <c r="BQ104" s="49">
        <v>262.8</v>
      </c>
      <c r="BR104" s="49">
        <v>35.5</v>
      </c>
      <c r="BS104" s="49">
        <v>114</v>
      </c>
      <c r="BT104" s="49">
        <v>1.9899</v>
      </c>
      <c r="BU104" s="41"/>
      <c r="BV104" s="41"/>
      <c r="BW104" s="41"/>
      <c r="BX104" s="41"/>
      <c r="BY104" s="41"/>
      <c r="BZ104" s="41"/>
      <c r="CA104" s="41"/>
      <c r="CB104" s="41"/>
      <c r="CC104" s="41"/>
      <c r="CD104" s="41"/>
      <c r="CE104" s="41"/>
      <c r="CF104" s="41"/>
      <c r="CG104" s="41"/>
      <c r="CH104" s="41"/>
      <c r="CI104" s="41"/>
      <c r="CJ104" s="41"/>
      <c r="CK104" s="41"/>
    </row>
    <row r="105" spans="1:89">
      <c r="A105" s="41" t="s">
        <v>234</v>
      </c>
      <c r="B105" s="51">
        <v>1.32</v>
      </c>
      <c r="C105" s="51">
        <v>1.32</v>
      </c>
      <c r="D105" s="51">
        <v>1.32</v>
      </c>
      <c r="E105" s="51" t="s">
        <v>1574</v>
      </c>
      <c r="F105" s="51" t="s">
        <v>1574</v>
      </c>
      <c r="G105" s="51" t="s">
        <v>1574</v>
      </c>
      <c r="H105" s="51">
        <v>0.16</v>
      </c>
      <c r="I105" s="51">
        <v>0.45180187736999999</v>
      </c>
      <c r="J105" s="51" t="s">
        <v>1574</v>
      </c>
      <c r="K105" s="51" t="s">
        <v>1574</v>
      </c>
      <c r="L105" s="51">
        <v>0.6321</v>
      </c>
      <c r="M105" s="51">
        <v>0.86909999999999998</v>
      </c>
      <c r="N105" s="51">
        <v>0.75660819999999995</v>
      </c>
      <c r="O105" s="51">
        <v>0.74870000000000003</v>
      </c>
      <c r="P105" s="51">
        <v>0.67704129999999996</v>
      </c>
      <c r="Q105" s="51">
        <v>0.73333340000000002</v>
      </c>
      <c r="R105" s="51">
        <v>0.83579970000000003</v>
      </c>
      <c r="S105" s="51">
        <v>412.2</v>
      </c>
      <c r="T105" s="51" t="s">
        <v>1574</v>
      </c>
      <c r="U105" s="51" t="s">
        <v>1574</v>
      </c>
      <c r="V105" s="51">
        <v>255.34</v>
      </c>
      <c r="W105" s="51">
        <v>191.33</v>
      </c>
      <c r="X105" s="51" t="s">
        <v>1574</v>
      </c>
      <c r="Y105" s="51">
        <v>114.56</v>
      </c>
      <c r="Z105" s="51">
        <v>193</v>
      </c>
      <c r="AA105" s="51">
        <v>97</v>
      </c>
      <c r="AB105" s="51" t="s">
        <v>1574</v>
      </c>
      <c r="AC105" s="51" t="s">
        <v>1574</v>
      </c>
      <c r="AD105" s="51">
        <v>25.564062734339998</v>
      </c>
      <c r="AE105" s="51">
        <v>51.18</v>
      </c>
      <c r="AF105" s="51">
        <v>58.1</v>
      </c>
      <c r="AG105" s="51">
        <v>207.03</v>
      </c>
      <c r="AH105" s="51" t="s">
        <v>1574</v>
      </c>
      <c r="AI105" s="51" t="s">
        <v>1574</v>
      </c>
      <c r="AJ105" s="51" t="s">
        <v>1574</v>
      </c>
      <c r="AK105" s="51" t="s">
        <v>1574</v>
      </c>
      <c r="AL105" s="51">
        <v>62.83</v>
      </c>
      <c r="AM105" s="51" t="s">
        <v>1574</v>
      </c>
      <c r="AN105" s="51">
        <v>0.16600000000000001</v>
      </c>
      <c r="AO105" s="51">
        <v>0.1706</v>
      </c>
      <c r="AP105" s="51">
        <v>1.0226</v>
      </c>
      <c r="AQ105" s="51">
        <v>0.37793880405000002</v>
      </c>
      <c r="AR105" s="51" t="s">
        <v>1574</v>
      </c>
      <c r="AS105" s="51">
        <v>2.5794054000000002</v>
      </c>
      <c r="AT105" s="51">
        <v>0.112215158</v>
      </c>
      <c r="AU105" s="51">
        <v>0.14991415999999999</v>
      </c>
      <c r="AV105" s="51">
        <v>4.6100000000000002E-2</v>
      </c>
      <c r="AW105" s="51">
        <v>1248.52</v>
      </c>
      <c r="AX105" s="51" t="s">
        <v>1574</v>
      </c>
      <c r="AY105" s="51">
        <v>41.67</v>
      </c>
      <c r="AZ105" s="51" t="s">
        <v>1574</v>
      </c>
      <c r="BA105" s="51">
        <v>172.21057681803001</v>
      </c>
      <c r="BB105" s="51" t="s">
        <v>1574</v>
      </c>
      <c r="BC105" s="51">
        <v>0.71279999999999999</v>
      </c>
      <c r="BD105" s="51" t="s">
        <v>1574</v>
      </c>
      <c r="BE105" s="51">
        <v>0.32690000000000002</v>
      </c>
      <c r="BF105" s="51">
        <v>11.5</v>
      </c>
      <c r="BG105" s="51">
        <v>60.5</v>
      </c>
      <c r="BH105" s="51">
        <v>39</v>
      </c>
      <c r="BI105" s="51">
        <v>35.5</v>
      </c>
      <c r="BJ105" s="51">
        <v>24</v>
      </c>
      <c r="BK105" s="51">
        <v>540.1318359375</v>
      </c>
      <c r="BL105" s="51">
        <v>8.77</v>
      </c>
      <c r="BM105" s="51">
        <v>1719.82</v>
      </c>
      <c r="BN105" s="51">
        <v>227.5</v>
      </c>
      <c r="BO105" s="51">
        <v>3110.7</v>
      </c>
      <c r="BP105" s="51">
        <v>2074.5</v>
      </c>
      <c r="BQ105" s="51">
        <v>259.7</v>
      </c>
      <c r="BR105" s="51">
        <v>36</v>
      </c>
      <c r="BS105" s="51">
        <v>111.5</v>
      </c>
      <c r="BT105" s="51">
        <v>1.8547</v>
      </c>
      <c r="BU105" s="41"/>
      <c r="BV105" s="41"/>
      <c r="BW105" s="41"/>
      <c r="BX105" s="41"/>
      <c r="BY105" s="41"/>
      <c r="BZ105" s="41"/>
      <c r="CA105" s="41"/>
      <c r="CB105" s="41"/>
      <c r="CC105" s="41"/>
      <c r="CD105" s="41"/>
      <c r="CE105" s="41"/>
      <c r="CF105" s="41"/>
      <c r="CG105" s="41"/>
      <c r="CH105" s="41"/>
      <c r="CI105" s="41"/>
      <c r="CJ105" s="41"/>
      <c r="CK105" s="41"/>
    </row>
    <row r="106" spans="1:89">
      <c r="A106" s="48" t="s">
        <v>235</v>
      </c>
      <c r="B106" s="49">
        <v>1.32</v>
      </c>
      <c r="C106" s="49">
        <v>1.32</v>
      </c>
      <c r="D106" s="49">
        <v>1.32</v>
      </c>
      <c r="E106" s="49" t="s">
        <v>1574</v>
      </c>
      <c r="F106" s="49" t="s">
        <v>1574</v>
      </c>
      <c r="G106" s="49" t="s">
        <v>1574</v>
      </c>
      <c r="H106" s="49">
        <v>0.16</v>
      </c>
      <c r="I106" s="49">
        <v>0.45180187736999999</v>
      </c>
      <c r="J106" s="49" t="s">
        <v>1574</v>
      </c>
      <c r="K106" s="49" t="s">
        <v>1574</v>
      </c>
      <c r="L106" s="49">
        <v>0.62350000000000005</v>
      </c>
      <c r="M106" s="49">
        <v>0.8821</v>
      </c>
      <c r="N106" s="49">
        <v>0.75484450000000003</v>
      </c>
      <c r="O106" s="49">
        <v>0.74870000000000003</v>
      </c>
      <c r="P106" s="49">
        <v>0.67704129999999996</v>
      </c>
      <c r="Q106" s="49">
        <v>0.73333340000000002</v>
      </c>
      <c r="R106" s="49">
        <v>0.83579970000000003</v>
      </c>
      <c r="S106" s="49">
        <v>423</v>
      </c>
      <c r="T106" s="49" t="s">
        <v>1574</v>
      </c>
      <c r="U106" s="49" t="s">
        <v>1574</v>
      </c>
      <c r="V106" s="49">
        <v>256.52</v>
      </c>
      <c r="W106" s="49">
        <v>191.33</v>
      </c>
      <c r="X106" s="49" t="s">
        <v>1574</v>
      </c>
      <c r="Y106" s="49">
        <v>115.51</v>
      </c>
      <c r="Z106" s="49">
        <v>191</v>
      </c>
      <c r="AA106" s="49">
        <v>96</v>
      </c>
      <c r="AB106" s="49" t="s">
        <v>1574</v>
      </c>
      <c r="AC106" s="49" t="s">
        <v>1574</v>
      </c>
      <c r="AD106" s="49">
        <v>25.53764357387</v>
      </c>
      <c r="AE106" s="49">
        <v>50</v>
      </c>
      <c r="AF106" s="49">
        <v>57</v>
      </c>
      <c r="AG106" s="49">
        <v>209.78</v>
      </c>
      <c r="AH106" s="49" t="s">
        <v>1574</v>
      </c>
      <c r="AI106" s="49" t="s">
        <v>1574</v>
      </c>
      <c r="AJ106" s="49" t="s">
        <v>1574</v>
      </c>
      <c r="AK106" s="49" t="s">
        <v>1574</v>
      </c>
      <c r="AL106" s="49">
        <v>63.57</v>
      </c>
      <c r="AM106" s="49" t="s">
        <v>1574</v>
      </c>
      <c r="AN106" s="49">
        <v>0.16200000000000001</v>
      </c>
      <c r="AO106" s="49">
        <v>0.1807</v>
      </c>
      <c r="AP106" s="49">
        <v>1.0250999999999999</v>
      </c>
      <c r="AQ106" s="49">
        <v>0.37910322157999998</v>
      </c>
      <c r="AR106" s="49" t="s">
        <v>1574</v>
      </c>
      <c r="AS106" s="49">
        <v>2.5794054000000002</v>
      </c>
      <c r="AT106" s="49">
        <v>0.112215158</v>
      </c>
      <c r="AU106" s="49">
        <v>0.14991415999999999</v>
      </c>
      <c r="AV106" s="49">
        <v>4.1700000000000001E-2</v>
      </c>
      <c r="AW106" s="49">
        <v>1234.74</v>
      </c>
      <c r="AX106" s="49" t="s">
        <v>1574</v>
      </c>
      <c r="AY106" s="49">
        <v>41.67</v>
      </c>
      <c r="AZ106" s="49" t="s">
        <v>1574</v>
      </c>
      <c r="BA106" s="49">
        <v>172.21057681803001</v>
      </c>
      <c r="BB106" s="49" t="s">
        <v>1574</v>
      </c>
      <c r="BC106" s="49">
        <v>0.70989999999999998</v>
      </c>
      <c r="BD106" s="49" t="s">
        <v>1574</v>
      </c>
      <c r="BE106" s="49">
        <v>0.35630000000000001</v>
      </c>
      <c r="BF106" s="49">
        <v>11.5</v>
      </c>
      <c r="BG106" s="49">
        <v>60.5</v>
      </c>
      <c r="BH106" s="49">
        <v>39</v>
      </c>
      <c r="BI106" s="49">
        <v>35.5</v>
      </c>
      <c r="BJ106" s="49">
        <v>24</v>
      </c>
      <c r="BK106" s="49">
        <v>540.1318359375</v>
      </c>
      <c r="BL106" s="49">
        <v>8.77</v>
      </c>
      <c r="BM106" s="49">
        <v>1701.08</v>
      </c>
      <c r="BN106" s="49">
        <v>233.9</v>
      </c>
      <c r="BO106" s="49">
        <v>3112.9</v>
      </c>
      <c r="BP106" s="49">
        <v>2074.5</v>
      </c>
      <c r="BQ106" s="49">
        <v>257.5</v>
      </c>
      <c r="BR106" s="49">
        <v>37</v>
      </c>
      <c r="BS106" s="49">
        <v>111.5</v>
      </c>
      <c r="BT106" s="49">
        <v>2.1804999999999999</v>
      </c>
      <c r="BU106" s="41"/>
      <c r="BV106" s="41"/>
      <c r="BW106" s="41"/>
      <c r="BX106" s="41"/>
      <c r="BY106" s="41"/>
      <c r="BZ106" s="41"/>
      <c r="CA106" s="41"/>
      <c r="CB106" s="41"/>
      <c r="CC106" s="41"/>
      <c r="CD106" s="41"/>
      <c r="CE106" s="41"/>
      <c r="CF106" s="41"/>
      <c r="CG106" s="41"/>
      <c r="CH106" s="41"/>
      <c r="CI106" s="41"/>
      <c r="CJ106" s="41"/>
      <c r="CK106" s="41"/>
    </row>
    <row r="107" spans="1:89">
      <c r="A107" s="41" t="s">
        <v>236</v>
      </c>
      <c r="B107" s="51">
        <v>1.32</v>
      </c>
      <c r="C107" s="51">
        <v>1.32</v>
      </c>
      <c r="D107" s="51">
        <v>1.32</v>
      </c>
      <c r="E107" s="51" t="s">
        <v>1574</v>
      </c>
      <c r="F107" s="51" t="s">
        <v>1574</v>
      </c>
      <c r="G107" s="51" t="s">
        <v>1574</v>
      </c>
      <c r="H107" s="51">
        <v>0.16</v>
      </c>
      <c r="I107" s="51">
        <v>0.45180187736999999</v>
      </c>
      <c r="J107" s="51" t="s">
        <v>1574</v>
      </c>
      <c r="K107" s="51" t="s">
        <v>1574</v>
      </c>
      <c r="L107" s="51">
        <v>0.62880000000000003</v>
      </c>
      <c r="M107" s="51">
        <v>0.88600000000000001</v>
      </c>
      <c r="N107" s="51">
        <v>0.75330129999999995</v>
      </c>
      <c r="O107" s="51">
        <v>0.74870000000000003</v>
      </c>
      <c r="P107" s="51">
        <v>0.67704129999999996</v>
      </c>
      <c r="Q107" s="51">
        <v>0.73333340000000002</v>
      </c>
      <c r="R107" s="51">
        <v>0.83579970000000003</v>
      </c>
      <c r="S107" s="51">
        <v>435.8</v>
      </c>
      <c r="T107" s="51" t="s">
        <v>1574</v>
      </c>
      <c r="U107" s="51" t="s">
        <v>1574</v>
      </c>
      <c r="V107" s="51">
        <v>259.58999999999997</v>
      </c>
      <c r="W107" s="51">
        <v>188.97</v>
      </c>
      <c r="X107" s="51" t="s">
        <v>1574</v>
      </c>
      <c r="Y107" s="51">
        <v>113.14</v>
      </c>
      <c r="Z107" s="51">
        <v>190</v>
      </c>
      <c r="AA107" s="51">
        <v>95</v>
      </c>
      <c r="AB107" s="51" t="s">
        <v>1574</v>
      </c>
      <c r="AC107" s="51" t="s">
        <v>1574</v>
      </c>
      <c r="AD107" s="51">
        <v>24.889212957800002</v>
      </c>
      <c r="AE107" s="51">
        <v>48.03</v>
      </c>
      <c r="AF107" s="51">
        <v>57</v>
      </c>
      <c r="AG107" s="51">
        <v>197.01</v>
      </c>
      <c r="AH107" s="51" t="s">
        <v>1574</v>
      </c>
      <c r="AI107" s="51" t="s">
        <v>1574</v>
      </c>
      <c r="AJ107" s="51" t="s">
        <v>1574</v>
      </c>
      <c r="AK107" s="51" t="s">
        <v>1574</v>
      </c>
      <c r="AL107" s="51">
        <v>61.73</v>
      </c>
      <c r="AM107" s="51" t="s">
        <v>1574</v>
      </c>
      <c r="AN107" s="51">
        <v>0.1744</v>
      </c>
      <c r="AO107" s="51">
        <v>0.18179999999999999</v>
      </c>
      <c r="AP107" s="51">
        <v>1.0459000000000001</v>
      </c>
      <c r="AQ107" s="51">
        <v>0.38026946268</v>
      </c>
      <c r="AR107" s="51" t="s">
        <v>1574</v>
      </c>
      <c r="AS107" s="51">
        <v>2.5794054000000002</v>
      </c>
      <c r="AT107" s="51">
        <v>0.112215158</v>
      </c>
      <c r="AU107" s="51">
        <v>0.14991415999999999</v>
      </c>
      <c r="AV107" s="51">
        <v>3.8800000000000001E-2</v>
      </c>
      <c r="AW107" s="51">
        <v>1210.46</v>
      </c>
      <c r="AX107" s="51" t="s">
        <v>1574</v>
      </c>
      <c r="AY107" s="51">
        <v>41.67</v>
      </c>
      <c r="AZ107" s="51" t="s">
        <v>1574</v>
      </c>
      <c r="BA107" s="51">
        <v>172.21057681803001</v>
      </c>
      <c r="BB107" s="51" t="s">
        <v>1574</v>
      </c>
      <c r="BC107" s="51">
        <v>0.71099999999999997</v>
      </c>
      <c r="BD107" s="51" t="s">
        <v>1574</v>
      </c>
      <c r="BE107" s="51">
        <v>0.35870000000000002</v>
      </c>
      <c r="BF107" s="51">
        <v>11.5</v>
      </c>
      <c r="BG107" s="51">
        <v>60.5</v>
      </c>
      <c r="BH107" s="51">
        <v>39</v>
      </c>
      <c r="BI107" s="51">
        <v>35.5</v>
      </c>
      <c r="BJ107" s="51">
        <v>24</v>
      </c>
      <c r="BK107" s="51">
        <v>540.1318359375</v>
      </c>
      <c r="BL107" s="51">
        <v>8.77</v>
      </c>
      <c r="BM107" s="51">
        <v>1255.0899999999999</v>
      </c>
      <c r="BN107" s="51">
        <v>235</v>
      </c>
      <c r="BO107" s="51">
        <v>3106.3</v>
      </c>
      <c r="BP107" s="51">
        <v>2074.5</v>
      </c>
      <c r="BQ107" s="51">
        <v>258.2</v>
      </c>
      <c r="BR107" s="51">
        <v>37.86</v>
      </c>
      <c r="BS107" s="51">
        <v>111.5</v>
      </c>
      <c r="BT107" s="51">
        <v>2.2027999999999999</v>
      </c>
      <c r="BU107" s="41"/>
      <c r="BV107" s="41"/>
      <c r="BW107" s="41"/>
      <c r="BX107" s="41"/>
      <c r="BY107" s="41"/>
      <c r="BZ107" s="41"/>
      <c r="CA107" s="41"/>
      <c r="CB107" s="41"/>
      <c r="CC107" s="41"/>
      <c r="CD107" s="41"/>
      <c r="CE107" s="41"/>
      <c r="CF107" s="41"/>
      <c r="CG107" s="41"/>
      <c r="CH107" s="41"/>
      <c r="CI107" s="41"/>
      <c r="CJ107" s="41"/>
      <c r="CK107" s="41"/>
    </row>
    <row r="108" spans="1:89">
      <c r="A108" s="48" t="s">
        <v>237</v>
      </c>
      <c r="B108" s="49">
        <v>1.32</v>
      </c>
      <c r="C108" s="49">
        <v>1.32</v>
      </c>
      <c r="D108" s="49">
        <v>1.32</v>
      </c>
      <c r="E108" s="49" t="s">
        <v>1574</v>
      </c>
      <c r="F108" s="49" t="s">
        <v>1574</v>
      </c>
      <c r="G108" s="49" t="s">
        <v>1574</v>
      </c>
      <c r="H108" s="49">
        <v>0.16</v>
      </c>
      <c r="I108" s="49">
        <v>0.45180187736999999</v>
      </c>
      <c r="J108" s="49" t="s">
        <v>1574</v>
      </c>
      <c r="K108" s="49" t="s">
        <v>1574</v>
      </c>
      <c r="L108" s="49">
        <v>0.62429999999999997</v>
      </c>
      <c r="M108" s="49">
        <v>0.88160000000000005</v>
      </c>
      <c r="N108" s="49">
        <v>0.75506490000000004</v>
      </c>
      <c r="O108" s="49">
        <v>0.74870000000000003</v>
      </c>
      <c r="P108" s="49">
        <v>0.67704129999999996</v>
      </c>
      <c r="Q108" s="49">
        <v>0.73333340000000002</v>
      </c>
      <c r="R108" s="49">
        <v>0.83579970000000003</v>
      </c>
      <c r="S108" s="49">
        <v>439.8</v>
      </c>
      <c r="T108" s="49" t="s">
        <v>1574</v>
      </c>
      <c r="U108" s="49" t="s">
        <v>1574</v>
      </c>
      <c r="V108" s="49">
        <v>271.64</v>
      </c>
      <c r="W108" s="49">
        <v>186.13</v>
      </c>
      <c r="X108" s="49" t="s">
        <v>1574</v>
      </c>
      <c r="Y108" s="49">
        <v>114.32</v>
      </c>
      <c r="Z108" s="49">
        <v>189</v>
      </c>
      <c r="AA108" s="49">
        <v>96</v>
      </c>
      <c r="AB108" s="49" t="s">
        <v>1574</v>
      </c>
      <c r="AC108" s="49" t="s">
        <v>1574</v>
      </c>
      <c r="AD108" s="49">
        <v>24.72536841798</v>
      </c>
      <c r="AE108" s="49">
        <v>48.42</v>
      </c>
      <c r="AF108" s="49">
        <v>53.1</v>
      </c>
      <c r="AG108" s="49">
        <v>187.09</v>
      </c>
      <c r="AH108" s="49" t="s">
        <v>1574</v>
      </c>
      <c r="AI108" s="49" t="s">
        <v>1574</v>
      </c>
      <c r="AJ108" s="49" t="s">
        <v>1574</v>
      </c>
      <c r="AK108" s="49" t="s">
        <v>1574</v>
      </c>
      <c r="AL108" s="49">
        <v>60.26</v>
      </c>
      <c r="AM108" s="49" t="s">
        <v>1574</v>
      </c>
      <c r="AN108" s="49">
        <v>0.183</v>
      </c>
      <c r="AO108" s="49">
        <v>0.1918</v>
      </c>
      <c r="AP108" s="49">
        <v>1.0785</v>
      </c>
      <c r="AQ108" s="49">
        <v>0.38178092955999998</v>
      </c>
      <c r="AR108" s="49" t="s">
        <v>1574</v>
      </c>
      <c r="AS108" s="49">
        <v>2.5794054000000002</v>
      </c>
      <c r="AT108" s="49">
        <v>0.112215158</v>
      </c>
      <c r="AU108" s="49">
        <v>0.15211878000000001</v>
      </c>
      <c r="AV108" s="49">
        <v>4.1399999999999999E-2</v>
      </c>
      <c r="AW108" s="49">
        <v>1200.8800000000001</v>
      </c>
      <c r="AX108" s="49" t="s">
        <v>1574</v>
      </c>
      <c r="AY108" s="49">
        <v>41.67</v>
      </c>
      <c r="AZ108" s="49" t="s">
        <v>1574</v>
      </c>
      <c r="BA108" s="49">
        <v>172.21057681803001</v>
      </c>
      <c r="BB108" s="49" t="s">
        <v>1574</v>
      </c>
      <c r="BC108" s="49">
        <v>0.7097</v>
      </c>
      <c r="BD108" s="49" t="s">
        <v>1574</v>
      </c>
      <c r="BE108" s="49">
        <v>0.37040000000000001</v>
      </c>
      <c r="BF108" s="49">
        <v>11.5</v>
      </c>
      <c r="BG108" s="49">
        <v>60.5</v>
      </c>
      <c r="BH108" s="49">
        <v>39</v>
      </c>
      <c r="BI108" s="49">
        <v>35.5</v>
      </c>
      <c r="BJ108" s="49">
        <v>24</v>
      </c>
      <c r="BK108" s="49">
        <v>540.1318359375</v>
      </c>
      <c r="BL108" s="49">
        <v>8.77</v>
      </c>
      <c r="BM108" s="49">
        <v>1096.58</v>
      </c>
      <c r="BN108" s="49">
        <v>237.7</v>
      </c>
      <c r="BO108" s="49">
        <v>3084.3</v>
      </c>
      <c r="BP108" s="49">
        <v>2074.5</v>
      </c>
      <c r="BQ108" s="49">
        <v>261.5</v>
      </c>
      <c r="BR108" s="49">
        <v>40.700000000000003</v>
      </c>
      <c r="BS108" s="49">
        <v>111.5</v>
      </c>
      <c r="BT108" s="49">
        <v>2.3767999999999998</v>
      </c>
      <c r="BU108" s="41"/>
      <c r="BV108" s="41"/>
      <c r="BW108" s="41"/>
      <c r="BX108" s="41"/>
      <c r="BY108" s="41"/>
      <c r="BZ108" s="41"/>
      <c r="CA108" s="41"/>
      <c r="CB108" s="41"/>
      <c r="CC108" s="41"/>
      <c r="CD108" s="41"/>
      <c r="CE108" s="41"/>
      <c r="CF108" s="41"/>
      <c r="CG108" s="41"/>
      <c r="CH108" s="41"/>
      <c r="CI108" s="41"/>
      <c r="CJ108" s="41"/>
      <c r="CK108" s="41"/>
    </row>
    <row r="109" spans="1:89">
      <c r="A109" s="41" t="s">
        <v>238</v>
      </c>
      <c r="B109" s="51">
        <v>1.32</v>
      </c>
      <c r="C109" s="51">
        <v>1.32</v>
      </c>
      <c r="D109" s="51">
        <v>1.32</v>
      </c>
      <c r="E109" s="51" t="s">
        <v>1574</v>
      </c>
      <c r="F109" s="51" t="s">
        <v>1574</v>
      </c>
      <c r="G109" s="51" t="s">
        <v>1574</v>
      </c>
      <c r="H109" s="51">
        <v>0.16</v>
      </c>
      <c r="I109" s="51">
        <v>0.45180187736999999</v>
      </c>
      <c r="J109" s="51" t="s">
        <v>1574</v>
      </c>
      <c r="K109" s="51" t="s">
        <v>1574</v>
      </c>
      <c r="L109" s="51">
        <v>0.61329999999999996</v>
      </c>
      <c r="M109" s="51">
        <v>0.88800000000000001</v>
      </c>
      <c r="N109" s="51">
        <v>0.75660819999999995</v>
      </c>
      <c r="O109" s="51">
        <v>0.74870000000000003</v>
      </c>
      <c r="P109" s="51">
        <v>0.67704129999999996</v>
      </c>
      <c r="Q109" s="51">
        <v>0.73333340000000002</v>
      </c>
      <c r="R109" s="51">
        <v>0.83579970000000003</v>
      </c>
      <c r="S109" s="51">
        <v>406.8</v>
      </c>
      <c r="T109" s="51" t="s">
        <v>1574</v>
      </c>
      <c r="U109" s="51" t="s">
        <v>1574</v>
      </c>
      <c r="V109" s="51">
        <v>279.2</v>
      </c>
      <c r="W109" s="51">
        <v>174.79</v>
      </c>
      <c r="X109" s="51" t="s">
        <v>1574</v>
      </c>
      <c r="Y109" s="51">
        <v>111.96</v>
      </c>
      <c r="Z109" s="51">
        <v>178</v>
      </c>
      <c r="AA109" s="51">
        <v>96</v>
      </c>
      <c r="AB109" s="51" t="s">
        <v>1574</v>
      </c>
      <c r="AC109" s="51" t="s">
        <v>1574</v>
      </c>
      <c r="AD109" s="51">
        <v>24.901613950809999</v>
      </c>
      <c r="AE109" s="51">
        <v>47.64</v>
      </c>
      <c r="AF109" s="51">
        <v>51.3</v>
      </c>
      <c r="AG109" s="51">
        <v>179.34</v>
      </c>
      <c r="AH109" s="51" t="s">
        <v>1574</v>
      </c>
      <c r="AI109" s="51" t="s">
        <v>1574</v>
      </c>
      <c r="AJ109" s="51" t="s">
        <v>1574</v>
      </c>
      <c r="AK109" s="51" t="s">
        <v>1574</v>
      </c>
      <c r="AL109" s="51">
        <v>61.73</v>
      </c>
      <c r="AM109" s="51" t="s">
        <v>1574</v>
      </c>
      <c r="AN109" s="51">
        <v>0.15229999999999999</v>
      </c>
      <c r="AO109" s="51">
        <v>0.15870000000000001</v>
      </c>
      <c r="AP109" s="51">
        <v>1.1062000000000001</v>
      </c>
      <c r="AQ109" s="51">
        <v>0.38312686772999999</v>
      </c>
      <c r="AR109" s="51" t="s">
        <v>1574</v>
      </c>
      <c r="AS109" s="51">
        <v>2.5794054000000002</v>
      </c>
      <c r="AT109" s="51">
        <v>0.112215158</v>
      </c>
      <c r="AU109" s="51">
        <v>0.1543234</v>
      </c>
      <c r="AV109" s="51">
        <v>3.8399999999999997E-2</v>
      </c>
      <c r="AW109" s="51">
        <v>1205.4100000000001</v>
      </c>
      <c r="AX109" s="51" t="s">
        <v>1574</v>
      </c>
      <c r="AY109" s="51">
        <v>38.89</v>
      </c>
      <c r="AZ109" s="51" t="s">
        <v>1574</v>
      </c>
      <c r="BA109" s="51">
        <v>165.90811172856999</v>
      </c>
      <c r="BB109" s="51" t="s">
        <v>1574</v>
      </c>
      <c r="BC109" s="51">
        <v>0.7</v>
      </c>
      <c r="BD109" s="51" t="s">
        <v>1574</v>
      </c>
      <c r="BE109" s="51">
        <v>0.39860000000000001</v>
      </c>
      <c r="BF109" s="51">
        <v>11.5</v>
      </c>
      <c r="BG109" s="51">
        <v>60.5</v>
      </c>
      <c r="BH109" s="51">
        <v>39</v>
      </c>
      <c r="BI109" s="51">
        <v>35.5</v>
      </c>
      <c r="BJ109" s="51">
        <v>24</v>
      </c>
      <c r="BK109" s="51">
        <v>562.17797851563</v>
      </c>
      <c r="BL109" s="51">
        <v>8.77</v>
      </c>
      <c r="BM109" s="51">
        <v>1136.7</v>
      </c>
      <c r="BN109" s="51">
        <v>238.5</v>
      </c>
      <c r="BO109" s="51">
        <v>3084.3</v>
      </c>
      <c r="BP109" s="51">
        <v>2074.5</v>
      </c>
      <c r="BQ109" s="51">
        <v>262.10000000000002</v>
      </c>
      <c r="BR109" s="51">
        <v>41.14</v>
      </c>
      <c r="BS109" s="51">
        <v>111.5</v>
      </c>
      <c r="BT109" s="51">
        <v>2.4641000000000002</v>
      </c>
      <c r="BU109" s="41"/>
      <c r="BV109" s="41"/>
      <c r="BW109" s="41"/>
      <c r="BX109" s="41"/>
      <c r="BY109" s="41"/>
      <c r="BZ109" s="41"/>
      <c r="CA109" s="41"/>
      <c r="CB109" s="41"/>
      <c r="CC109" s="41"/>
      <c r="CD109" s="41"/>
      <c r="CE109" s="41"/>
      <c r="CF109" s="41"/>
      <c r="CG109" s="41"/>
      <c r="CH109" s="41"/>
      <c r="CI109" s="41"/>
      <c r="CJ109" s="41"/>
      <c r="CK109" s="41"/>
    </row>
    <row r="110" spans="1:89">
      <c r="A110" s="48" t="s">
        <v>239</v>
      </c>
      <c r="B110" s="49">
        <v>1.32</v>
      </c>
      <c r="C110" s="49">
        <v>1.32</v>
      </c>
      <c r="D110" s="49">
        <v>1.32</v>
      </c>
      <c r="E110" s="49" t="s">
        <v>1574</v>
      </c>
      <c r="F110" s="49" t="s">
        <v>1574</v>
      </c>
      <c r="G110" s="49" t="s">
        <v>1574</v>
      </c>
      <c r="H110" s="49">
        <v>0.16</v>
      </c>
      <c r="I110" s="49">
        <v>0.45180187736999999</v>
      </c>
      <c r="J110" s="49" t="s">
        <v>1574</v>
      </c>
      <c r="K110" s="49" t="s">
        <v>1574</v>
      </c>
      <c r="L110" s="49">
        <v>0.62570000000000003</v>
      </c>
      <c r="M110" s="49">
        <v>0.88139999999999996</v>
      </c>
      <c r="N110" s="49">
        <v>0.74977400000000005</v>
      </c>
      <c r="O110" s="49">
        <v>0.74870000000000003</v>
      </c>
      <c r="P110" s="49">
        <v>0.67704129999999996</v>
      </c>
      <c r="Q110" s="49">
        <v>0.73333340000000002</v>
      </c>
      <c r="R110" s="49">
        <v>0.83579970000000003</v>
      </c>
      <c r="S110" s="49">
        <v>377.9</v>
      </c>
      <c r="T110" s="49" t="s">
        <v>1574</v>
      </c>
      <c r="U110" s="49" t="s">
        <v>1574</v>
      </c>
      <c r="V110" s="49">
        <v>261.25</v>
      </c>
      <c r="W110" s="49">
        <v>172.43</v>
      </c>
      <c r="X110" s="49" t="s">
        <v>1574</v>
      </c>
      <c r="Y110" s="49">
        <v>110.78</v>
      </c>
      <c r="Z110" s="49">
        <v>162</v>
      </c>
      <c r="AA110" s="49">
        <v>96</v>
      </c>
      <c r="AB110" s="49" t="s">
        <v>1574</v>
      </c>
      <c r="AC110" s="49" t="s">
        <v>1574</v>
      </c>
      <c r="AD110" s="49">
        <v>25.20781032751</v>
      </c>
      <c r="AE110" s="49">
        <v>47.24</v>
      </c>
      <c r="AF110" s="49">
        <v>49.8</v>
      </c>
      <c r="AG110" s="49">
        <v>181.69</v>
      </c>
      <c r="AH110" s="49" t="s">
        <v>1574</v>
      </c>
      <c r="AI110" s="49" t="s">
        <v>1574</v>
      </c>
      <c r="AJ110" s="49" t="s">
        <v>1574</v>
      </c>
      <c r="AK110" s="49" t="s">
        <v>1574</v>
      </c>
      <c r="AL110" s="49">
        <v>63.57</v>
      </c>
      <c r="AM110" s="49" t="s">
        <v>1574</v>
      </c>
      <c r="AN110" s="49">
        <v>0.1585</v>
      </c>
      <c r="AO110" s="49">
        <v>0.15870000000000001</v>
      </c>
      <c r="AP110" s="49">
        <v>1.0992</v>
      </c>
      <c r="AQ110" s="49">
        <v>0.38447755091000002</v>
      </c>
      <c r="AR110" s="49" t="s">
        <v>1574</v>
      </c>
      <c r="AS110" s="49">
        <v>2.5794054000000002</v>
      </c>
      <c r="AT110" s="49">
        <v>0.112215158</v>
      </c>
      <c r="AU110" s="49">
        <v>0.1543234</v>
      </c>
      <c r="AV110" s="49">
        <v>3.5900000000000001E-2</v>
      </c>
      <c r="AW110" s="49">
        <v>1173.9000000000001</v>
      </c>
      <c r="AX110" s="49" t="s">
        <v>1574</v>
      </c>
      <c r="AY110" s="49">
        <v>38.89</v>
      </c>
      <c r="AZ110" s="49" t="s">
        <v>1574</v>
      </c>
      <c r="BA110" s="49">
        <v>165.90811172856999</v>
      </c>
      <c r="BB110" s="49" t="s">
        <v>1574</v>
      </c>
      <c r="BC110" s="49">
        <v>0.69179999999999997</v>
      </c>
      <c r="BD110" s="49" t="s">
        <v>1574</v>
      </c>
      <c r="BE110" s="49">
        <v>0.39129999999999998</v>
      </c>
      <c r="BF110" s="49">
        <v>11.5</v>
      </c>
      <c r="BG110" s="49">
        <v>60.5</v>
      </c>
      <c r="BH110" s="49">
        <v>36</v>
      </c>
      <c r="BI110" s="49">
        <v>35.5</v>
      </c>
      <c r="BJ110" s="49">
        <v>24</v>
      </c>
      <c r="BK110" s="49">
        <v>562.17797851563</v>
      </c>
      <c r="BL110" s="49">
        <v>8.77</v>
      </c>
      <c r="BM110" s="49">
        <v>1054.25</v>
      </c>
      <c r="BN110" s="49">
        <v>247.1</v>
      </c>
      <c r="BO110" s="49">
        <v>3075.4</v>
      </c>
      <c r="BP110" s="49">
        <v>2074.5</v>
      </c>
      <c r="BQ110" s="49">
        <v>265.7</v>
      </c>
      <c r="BR110" s="49">
        <v>39.46</v>
      </c>
      <c r="BS110" s="49">
        <v>122.5</v>
      </c>
      <c r="BT110" s="49">
        <v>2.3138000000000001</v>
      </c>
      <c r="BU110" s="41"/>
      <c r="BV110" s="41"/>
      <c r="BW110" s="41"/>
      <c r="BX110" s="41"/>
      <c r="BY110" s="41"/>
      <c r="BZ110" s="41"/>
      <c r="CA110" s="41"/>
      <c r="CB110" s="41"/>
      <c r="CC110" s="41"/>
      <c r="CD110" s="41"/>
      <c r="CE110" s="41"/>
      <c r="CF110" s="41"/>
      <c r="CG110" s="41"/>
      <c r="CH110" s="41"/>
      <c r="CI110" s="41"/>
      <c r="CJ110" s="41"/>
      <c r="CK110" s="41"/>
    </row>
    <row r="111" spans="1:89">
      <c r="A111" s="41" t="s">
        <v>240</v>
      </c>
      <c r="B111" s="51">
        <v>1.32</v>
      </c>
      <c r="C111" s="51">
        <v>1.32</v>
      </c>
      <c r="D111" s="51">
        <v>1.32</v>
      </c>
      <c r="E111" s="51" t="s">
        <v>1574</v>
      </c>
      <c r="F111" s="51" t="s">
        <v>1574</v>
      </c>
      <c r="G111" s="51" t="s">
        <v>1574</v>
      </c>
      <c r="H111" s="51">
        <v>0.16</v>
      </c>
      <c r="I111" s="51">
        <v>0.45180187736999999</v>
      </c>
      <c r="J111" s="51" t="s">
        <v>1574</v>
      </c>
      <c r="K111" s="51" t="s">
        <v>1574</v>
      </c>
      <c r="L111" s="51">
        <v>0.65259999999999996</v>
      </c>
      <c r="M111" s="51">
        <v>0.86619999999999997</v>
      </c>
      <c r="N111" s="51">
        <v>0.74756940000000005</v>
      </c>
      <c r="O111" s="51">
        <v>0.74870000000000003</v>
      </c>
      <c r="P111" s="51">
        <v>0.67704129999999996</v>
      </c>
      <c r="Q111" s="51">
        <v>0.73333340000000002</v>
      </c>
      <c r="R111" s="51">
        <v>0.83579970000000003</v>
      </c>
      <c r="S111" s="51">
        <v>385.5</v>
      </c>
      <c r="T111" s="51" t="s">
        <v>1574</v>
      </c>
      <c r="U111" s="51" t="s">
        <v>1574</v>
      </c>
      <c r="V111" s="51">
        <v>266.68</v>
      </c>
      <c r="W111" s="51">
        <v>150.22999999999999</v>
      </c>
      <c r="X111" s="51" t="s">
        <v>1574</v>
      </c>
      <c r="Y111" s="51">
        <v>105.82</v>
      </c>
      <c r="Z111" s="51">
        <v>157</v>
      </c>
      <c r="AA111" s="51">
        <v>96</v>
      </c>
      <c r="AB111" s="51" t="s">
        <v>1574</v>
      </c>
      <c r="AC111" s="51" t="s">
        <v>1574</v>
      </c>
      <c r="AD111" s="51">
        <v>24.870512294089998</v>
      </c>
      <c r="AE111" s="51">
        <v>44.88</v>
      </c>
      <c r="AF111" s="51">
        <v>46.9</v>
      </c>
      <c r="AG111" s="51">
        <v>177.69</v>
      </c>
      <c r="AH111" s="51" t="s">
        <v>1574</v>
      </c>
      <c r="AI111" s="51" t="s">
        <v>1574</v>
      </c>
      <c r="AJ111" s="51" t="s">
        <v>1574</v>
      </c>
      <c r="AK111" s="51" t="s">
        <v>1574</v>
      </c>
      <c r="AL111" s="51">
        <v>63.93</v>
      </c>
      <c r="AM111" s="51" t="s">
        <v>1574</v>
      </c>
      <c r="AN111" s="51">
        <v>0.13780000000000001</v>
      </c>
      <c r="AO111" s="51">
        <v>0.15870000000000001</v>
      </c>
      <c r="AP111" s="51">
        <v>1.0968</v>
      </c>
      <c r="AQ111" s="51">
        <v>0.38583299581000002</v>
      </c>
      <c r="AR111" s="51" t="s">
        <v>1574</v>
      </c>
      <c r="AS111" s="51">
        <v>2.5794054000000002</v>
      </c>
      <c r="AT111" s="51">
        <v>0.112215158</v>
      </c>
      <c r="AU111" s="51">
        <v>0.1543234</v>
      </c>
      <c r="AV111" s="51">
        <v>3.3700000000000001E-2</v>
      </c>
      <c r="AW111" s="51">
        <v>1180.58</v>
      </c>
      <c r="AX111" s="51" t="s">
        <v>1574</v>
      </c>
      <c r="AY111" s="51">
        <v>38.89</v>
      </c>
      <c r="AZ111" s="51" t="s">
        <v>1574</v>
      </c>
      <c r="BA111" s="51">
        <v>165.90811172856999</v>
      </c>
      <c r="BB111" s="51" t="s">
        <v>1574</v>
      </c>
      <c r="BC111" s="51">
        <v>0.68369999999999997</v>
      </c>
      <c r="BD111" s="51" t="s">
        <v>1574</v>
      </c>
      <c r="BE111" s="51">
        <v>0.39789999999999998</v>
      </c>
      <c r="BF111" s="51">
        <v>11.5</v>
      </c>
      <c r="BG111" s="51">
        <v>60.5</v>
      </c>
      <c r="BH111" s="51">
        <v>36</v>
      </c>
      <c r="BI111" s="51">
        <v>35.5</v>
      </c>
      <c r="BJ111" s="51">
        <v>24</v>
      </c>
      <c r="BK111" s="51">
        <v>562.17797851563</v>
      </c>
      <c r="BL111" s="51">
        <v>8.77</v>
      </c>
      <c r="BM111" s="51">
        <v>1056.45</v>
      </c>
      <c r="BN111" s="51">
        <v>250.2</v>
      </c>
      <c r="BO111" s="51">
        <v>3062.2</v>
      </c>
      <c r="BP111" s="51">
        <v>2074.5</v>
      </c>
      <c r="BQ111" s="51">
        <v>269</v>
      </c>
      <c r="BR111" s="51">
        <v>39.19</v>
      </c>
      <c r="BS111" s="51">
        <v>122.5</v>
      </c>
      <c r="BT111" s="51">
        <v>2.1945999999999999</v>
      </c>
      <c r="BU111" s="41"/>
      <c r="BV111" s="41"/>
      <c r="BW111" s="41"/>
      <c r="BX111" s="41"/>
      <c r="BY111" s="41"/>
      <c r="BZ111" s="41"/>
      <c r="CA111" s="41"/>
      <c r="CB111" s="41"/>
      <c r="CC111" s="41"/>
      <c r="CD111" s="41"/>
      <c r="CE111" s="41"/>
      <c r="CF111" s="41"/>
      <c r="CG111" s="41"/>
      <c r="CH111" s="41"/>
      <c r="CI111" s="41"/>
      <c r="CJ111" s="41"/>
      <c r="CK111" s="41"/>
    </row>
    <row r="112" spans="1:89">
      <c r="A112" s="48" t="s">
        <v>241</v>
      </c>
      <c r="B112" s="49">
        <v>1.32</v>
      </c>
      <c r="C112" s="49">
        <v>1.32</v>
      </c>
      <c r="D112" s="49">
        <v>1.32</v>
      </c>
      <c r="E112" s="49" t="s">
        <v>1574</v>
      </c>
      <c r="F112" s="49" t="s">
        <v>1574</v>
      </c>
      <c r="G112" s="49" t="s">
        <v>1574</v>
      </c>
      <c r="H112" s="49">
        <v>0.16</v>
      </c>
      <c r="I112" s="49">
        <v>0.45180187736999999</v>
      </c>
      <c r="J112" s="49" t="s">
        <v>1574</v>
      </c>
      <c r="K112" s="49" t="s">
        <v>1574</v>
      </c>
      <c r="L112" s="49">
        <v>0.77470000000000006</v>
      </c>
      <c r="M112" s="49">
        <v>0.8538</v>
      </c>
      <c r="N112" s="49">
        <v>0.74933300000000003</v>
      </c>
      <c r="O112" s="49">
        <v>0.74870000000000003</v>
      </c>
      <c r="P112" s="49">
        <v>0.67704129999999996</v>
      </c>
      <c r="Q112" s="49">
        <v>0.73333340000000002</v>
      </c>
      <c r="R112" s="49">
        <v>0.83579970000000003</v>
      </c>
      <c r="S112" s="49">
        <v>375.6</v>
      </c>
      <c r="T112" s="49" t="s">
        <v>1574</v>
      </c>
      <c r="U112" s="49" t="s">
        <v>1574</v>
      </c>
      <c r="V112" s="49">
        <v>272.82</v>
      </c>
      <c r="W112" s="49">
        <v>141.72999999999999</v>
      </c>
      <c r="X112" s="49" t="s">
        <v>1574</v>
      </c>
      <c r="Y112" s="49">
        <v>105.35</v>
      </c>
      <c r="Z112" s="49">
        <v>161</v>
      </c>
      <c r="AA112" s="49">
        <v>99</v>
      </c>
      <c r="AB112" s="49" t="s">
        <v>1574</v>
      </c>
      <c r="AC112" s="49" t="s">
        <v>1574</v>
      </c>
      <c r="AD112" s="49">
        <v>24.695209685409999</v>
      </c>
      <c r="AE112" s="49">
        <v>44.09</v>
      </c>
      <c r="AF112" s="49">
        <v>47.3</v>
      </c>
      <c r="AG112" s="49">
        <v>175.8</v>
      </c>
      <c r="AH112" s="49" t="s">
        <v>1574</v>
      </c>
      <c r="AI112" s="49" t="s">
        <v>1574</v>
      </c>
      <c r="AJ112" s="49" t="s">
        <v>1574</v>
      </c>
      <c r="AK112" s="49" t="s">
        <v>1574</v>
      </c>
      <c r="AL112" s="49">
        <v>63.57</v>
      </c>
      <c r="AM112" s="49" t="s">
        <v>1574</v>
      </c>
      <c r="AN112" s="49">
        <v>0.16470000000000001</v>
      </c>
      <c r="AO112" s="49">
        <v>0.15870000000000001</v>
      </c>
      <c r="AP112" s="49">
        <v>1.1587000000000001</v>
      </c>
      <c r="AQ112" s="49">
        <v>0.38770287871999998</v>
      </c>
      <c r="AR112" s="49" t="s">
        <v>1574</v>
      </c>
      <c r="AS112" s="49">
        <v>2.5794054000000002</v>
      </c>
      <c r="AT112" s="49">
        <v>0.112215158</v>
      </c>
      <c r="AU112" s="49">
        <v>0.1543234</v>
      </c>
      <c r="AV112" s="49">
        <v>3.04E-2</v>
      </c>
      <c r="AW112" s="49">
        <v>1228.75</v>
      </c>
      <c r="AX112" s="49" t="s">
        <v>1574</v>
      </c>
      <c r="AY112" s="49">
        <v>38.89</v>
      </c>
      <c r="AZ112" s="49" t="s">
        <v>1574</v>
      </c>
      <c r="BA112" s="49">
        <v>165.90811172856999</v>
      </c>
      <c r="BB112" s="49" t="s">
        <v>1574</v>
      </c>
      <c r="BC112" s="49">
        <v>0.66339999999999999</v>
      </c>
      <c r="BD112" s="49" t="s">
        <v>1574</v>
      </c>
      <c r="BE112" s="49">
        <v>0.39419999999999999</v>
      </c>
      <c r="BF112" s="49">
        <v>11.5</v>
      </c>
      <c r="BG112" s="49">
        <v>60.5</v>
      </c>
      <c r="BH112" s="49">
        <v>36</v>
      </c>
      <c r="BI112" s="49">
        <v>35.5</v>
      </c>
      <c r="BJ112" s="49">
        <v>24</v>
      </c>
      <c r="BK112" s="49">
        <v>562.17797851563</v>
      </c>
      <c r="BL112" s="49">
        <v>8.77</v>
      </c>
      <c r="BM112" s="49">
        <v>1110.03</v>
      </c>
      <c r="BN112" s="49">
        <v>251.5</v>
      </c>
      <c r="BO112" s="49">
        <v>3071</v>
      </c>
      <c r="BP112" s="49">
        <v>2074.5</v>
      </c>
      <c r="BQ112" s="49">
        <v>263</v>
      </c>
      <c r="BR112" s="49">
        <v>40.18</v>
      </c>
      <c r="BS112" s="49">
        <v>122.5</v>
      </c>
      <c r="BT112" s="49">
        <v>2.2084999999999999</v>
      </c>
      <c r="BU112" s="41"/>
      <c r="BV112" s="41"/>
      <c r="BW112" s="41"/>
      <c r="BX112" s="41"/>
      <c r="BY112" s="41"/>
      <c r="BZ112" s="41"/>
      <c r="CA112" s="41"/>
      <c r="CB112" s="41"/>
      <c r="CC112" s="41"/>
      <c r="CD112" s="41"/>
      <c r="CE112" s="41"/>
      <c r="CF112" s="41"/>
      <c r="CG112" s="41"/>
      <c r="CH112" s="41"/>
      <c r="CI112" s="41"/>
      <c r="CJ112" s="41"/>
      <c r="CK112" s="41"/>
    </row>
    <row r="113" spans="1:89">
      <c r="A113" s="41" t="s">
        <v>242</v>
      </c>
      <c r="B113" s="51">
        <v>1.32</v>
      </c>
      <c r="C113" s="51">
        <v>1.32</v>
      </c>
      <c r="D113" s="51">
        <v>1.32</v>
      </c>
      <c r="E113" s="51" t="s">
        <v>1574</v>
      </c>
      <c r="F113" s="51" t="s">
        <v>1574</v>
      </c>
      <c r="G113" s="51" t="s">
        <v>1574</v>
      </c>
      <c r="H113" s="51">
        <v>0.16</v>
      </c>
      <c r="I113" s="51">
        <v>0.45180187736999999</v>
      </c>
      <c r="J113" s="51" t="s">
        <v>1574</v>
      </c>
      <c r="K113" s="51" t="s">
        <v>1574</v>
      </c>
      <c r="L113" s="51">
        <v>0.83050000000000002</v>
      </c>
      <c r="M113" s="51">
        <v>0.85450000000000004</v>
      </c>
      <c r="N113" s="51">
        <v>0.74007389999999995</v>
      </c>
      <c r="O113" s="51">
        <v>0.74870000000000003</v>
      </c>
      <c r="P113" s="51">
        <v>0.67704129999999996</v>
      </c>
      <c r="Q113" s="51">
        <v>0.73333340000000002</v>
      </c>
      <c r="R113" s="51">
        <v>0.83579970000000003</v>
      </c>
      <c r="S113" s="51">
        <v>373.7</v>
      </c>
      <c r="T113" s="51" t="s">
        <v>1574</v>
      </c>
      <c r="U113" s="51" t="s">
        <v>1574</v>
      </c>
      <c r="V113" s="51">
        <v>269.75</v>
      </c>
      <c r="W113" s="51">
        <v>141.72999999999999</v>
      </c>
      <c r="X113" s="51" t="s">
        <v>1574</v>
      </c>
      <c r="Y113" s="51">
        <v>104.17</v>
      </c>
      <c r="Z113" s="51">
        <v>166</v>
      </c>
      <c r="AA113" s="51">
        <v>98</v>
      </c>
      <c r="AB113" s="51" t="s">
        <v>1574</v>
      </c>
      <c r="AC113" s="51" t="s">
        <v>1574</v>
      </c>
      <c r="AD113" s="51">
        <v>24.888574381630001</v>
      </c>
      <c r="AE113" s="51">
        <v>44.88</v>
      </c>
      <c r="AF113" s="51">
        <v>48.8</v>
      </c>
      <c r="AG113" s="51">
        <v>163.72</v>
      </c>
      <c r="AH113" s="51" t="s">
        <v>1574</v>
      </c>
      <c r="AI113" s="51" t="s">
        <v>1574</v>
      </c>
      <c r="AJ113" s="51" t="s">
        <v>1574</v>
      </c>
      <c r="AK113" s="51" t="s">
        <v>1574</v>
      </c>
      <c r="AL113" s="51">
        <v>63.57</v>
      </c>
      <c r="AM113" s="51" t="s">
        <v>1574</v>
      </c>
      <c r="AN113" s="51">
        <v>0.1532</v>
      </c>
      <c r="AO113" s="51">
        <v>0.15870000000000001</v>
      </c>
      <c r="AP113" s="51">
        <v>1.1704000000000001</v>
      </c>
      <c r="AQ113" s="51">
        <v>0.38890087713999999</v>
      </c>
      <c r="AR113" s="51" t="s">
        <v>1574</v>
      </c>
      <c r="AS113" s="51">
        <v>2.5794054000000002</v>
      </c>
      <c r="AT113" s="51">
        <v>0.112215158</v>
      </c>
      <c r="AU113" s="51">
        <v>0.15652801999999999</v>
      </c>
      <c r="AV113" s="51">
        <v>3.9E-2</v>
      </c>
      <c r="AW113" s="51">
        <v>1183.73</v>
      </c>
      <c r="AX113" s="51" t="s">
        <v>1574</v>
      </c>
      <c r="AY113" s="51">
        <v>38.89</v>
      </c>
      <c r="AZ113" s="51" t="s">
        <v>1574</v>
      </c>
      <c r="BA113" s="51">
        <v>165.90811172856999</v>
      </c>
      <c r="BB113" s="51" t="s">
        <v>1574</v>
      </c>
      <c r="BC113" s="51">
        <v>0.65629999999999999</v>
      </c>
      <c r="BD113" s="51" t="s">
        <v>1574</v>
      </c>
      <c r="BE113" s="51">
        <v>0.4103</v>
      </c>
      <c r="BF113" s="51">
        <v>11.5</v>
      </c>
      <c r="BG113" s="51">
        <v>60.5</v>
      </c>
      <c r="BH113" s="51">
        <v>36</v>
      </c>
      <c r="BI113" s="51">
        <v>35.5</v>
      </c>
      <c r="BJ113" s="51">
        <v>24</v>
      </c>
      <c r="BK113" s="51">
        <v>562.17797851563</v>
      </c>
      <c r="BL113" s="51">
        <v>8.77</v>
      </c>
      <c r="BM113" s="51">
        <v>1079.82</v>
      </c>
      <c r="BN113" s="51">
        <v>247.8</v>
      </c>
      <c r="BO113" s="51">
        <v>3110.7</v>
      </c>
      <c r="BP113" s="51">
        <v>2074.5</v>
      </c>
      <c r="BQ113" s="51">
        <v>262.10000000000002</v>
      </c>
      <c r="BR113" s="51">
        <v>39.21</v>
      </c>
      <c r="BS113" s="51">
        <v>122.5</v>
      </c>
      <c r="BT113" s="51">
        <v>1.9728000000000001</v>
      </c>
      <c r="BU113" s="41"/>
      <c r="BV113" s="41"/>
      <c r="BW113" s="41"/>
      <c r="BX113" s="41"/>
      <c r="BY113" s="41"/>
      <c r="BZ113" s="41"/>
      <c r="CA113" s="41"/>
      <c r="CB113" s="41"/>
      <c r="CC113" s="41"/>
      <c r="CD113" s="41"/>
      <c r="CE113" s="41"/>
      <c r="CF113" s="41"/>
      <c r="CG113" s="41"/>
      <c r="CH113" s="41"/>
      <c r="CI113" s="41"/>
      <c r="CJ113" s="41"/>
      <c r="CK113" s="41"/>
    </row>
    <row r="114" spans="1:89">
      <c r="A114" s="48" t="s">
        <v>243</v>
      </c>
      <c r="B114" s="49">
        <v>1.32</v>
      </c>
      <c r="C114" s="49">
        <v>1.32</v>
      </c>
      <c r="D114" s="49">
        <v>1.32</v>
      </c>
      <c r="E114" s="49" t="s">
        <v>1574</v>
      </c>
      <c r="F114" s="49" t="s">
        <v>1574</v>
      </c>
      <c r="G114" s="49" t="s">
        <v>1574</v>
      </c>
      <c r="H114" s="49">
        <v>0.16</v>
      </c>
      <c r="I114" s="49">
        <v>0.45180187736999999</v>
      </c>
      <c r="J114" s="49" t="s">
        <v>1574</v>
      </c>
      <c r="K114" s="49" t="s">
        <v>1574</v>
      </c>
      <c r="L114" s="49">
        <v>0.96609999999999996</v>
      </c>
      <c r="M114" s="49">
        <v>0.84860000000000002</v>
      </c>
      <c r="N114" s="49">
        <v>0.72331909999999999</v>
      </c>
      <c r="O114" s="49">
        <v>0.74870000000000003</v>
      </c>
      <c r="P114" s="49">
        <v>0.67704129999999996</v>
      </c>
      <c r="Q114" s="49">
        <v>0.73333340000000002</v>
      </c>
      <c r="R114" s="49">
        <v>0.83579970000000003</v>
      </c>
      <c r="S114" s="49">
        <v>376</v>
      </c>
      <c r="T114" s="49" t="s">
        <v>1574</v>
      </c>
      <c r="U114" s="49" t="s">
        <v>1574</v>
      </c>
      <c r="V114" s="49">
        <v>284.63</v>
      </c>
      <c r="W114" s="49">
        <v>143.13999999999999</v>
      </c>
      <c r="X114" s="49" t="s">
        <v>1574</v>
      </c>
      <c r="Y114" s="49">
        <v>108.89</v>
      </c>
      <c r="Z114" s="49">
        <v>173</v>
      </c>
      <c r="AA114" s="49">
        <v>97</v>
      </c>
      <c r="AB114" s="49" t="s">
        <v>1574</v>
      </c>
      <c r="AC114" s="49" t="s">
        <v>1574</v>
      </c>
      <c r="AD114" s="49">
        <v>25.66779826758</v>
      </c>
      <c r="AE114" s="49">
        <v>49.21</v>
      </c>
      <c r="AF114" s="49">
        <v>52</v>
      </c>
      <c r="AG114" s="49">
        <v>157.13999999999999</v>
      </c>
      <c r="AH114" s="49" t="s">
        <v>1574</v>
      </c>
      <c r="AI114" s="49" t="s">
        <v>1574</v>
      </c>
      <c r="AJ114" s="49" t="s">
        <v>1574</v>
      </c>
      <c r="AK114" s="49" t="s">
        <v>1574</v>
      </c>
      <c r="AL114" s="49">
        <v>63.2</v>
      </c>
      <c r="AM114" s="49" t="s">
        <v>1574</v>
      </c>
      <c r="AN114" s="49">
        <v>0.13730000000000001</v>
      </c>
      <c r="AO114" s="49">
        <v>0.15870000000000001</v>
      </c>
      <c r="AP114" s="49">
        <v>1.1033999999999999</v>
      </c>
      <c r="AQ114" s="49">
        <v>0.39010084091000002</v>
      </c>
      <c r="AR114" s="49" t="s">
        <v>1574</v>
      </c>
      <c r="AS114" s="49">
        <v>2.5794054000000002</v>
      </c>
      <c r="AT114" s="49">
        <v>0.112215158</v>
      </c>
      <c r="AU114" s="49">
        <v>0.1543234</v>
      </c>
      <c r="AV114" s="49">
        <v>5.0900000000000001E-2</v>
      </c>
      <c r="AW114" s="49">
        <v>1167.22</v>
      </c>
      <c r="AX114" s="49" t="s">
        <v>1574</v>
      </c>
      <c r="AY114" s="49">
        <v>38.89</v>
      </c>
      <c r="AZ114" s="49" t="s">
        <v>1574</v>
      </c>
      <c r="BA114" s="49">
        <v>165.90811172856999</v>
      </c>
      <c r="BB114" s="49" t="s">
        <v>1574</v>
      </c>
      <c r="BC114" s="49">
        <v>0.63449999999999995</v>
      </c>
      <c r="BD114" s="49" t="s">
        <v>1574</v>
      </c>
      <c r="BE114" s="49">
        <v>0.41760000000000003</v>
      </c>
      <c r="BF114" s="49">
        <v>11.5</v>
      </c>
      <c r="BG114" s="49">
        <v>60.5</v>
      </c>
      <c r="BH114" s="49">
        <v>36</v>
      </c>
      <c r="BI114" s="49">
        <v>35.5</v>
      </c>
      <c r="BJ114" s="49">
        <v>24</v>
      </c>
      <c r="BK114" s="49">
        <v>562.17797851563</v>
      </c>
      <c r="BL114" s="49">
        <v>8.77</v>
      </c>
      <c r="BM114" s="49">
        <v>1099.8800000000001</v>
      </c>
      <c r="BN114" s="49">
        <v>248.5</v>
      </c>
      <c r="BO114" s="49">
        <v>3320.2</v>
      </c>
      <c r="BP114" s="49">
        <v>2074.5</v>
      </c>
      <c r="BQ114" s="49">
        <v>264.10000000000002</v>
      </c>
      <c r="BR114" s="49">
        <v>39.78</v>
      </c>
      <c r="BS114" s="49">
        <v>122.5</v>
      </c>
      <c r="BT114" s="49">
        <v>2.0177999999999998</v>
      </c>
      <c r="BU114" s="41"/>
      <c r="BV114" s="41"/>
      <c r="BW114" s="41"/>
      <c r="BX114" s="41"/>
      <c r="BY114" s="41"/>
      <c r="BZ114" s="41"/>
      <c r="CA114" s="41"/>
      <c r="CB114" s="41"/>
      <c r="CC114" s="41"/>
      <c r="CD114" s="41"/>
      <c r="CE114" s="41"/>
      <c r="CF114" s="41"/>
      <c r="CG114" s="41"/>
      <c r="CH114" s="41"/>
      <c r="CI114" s="41"/>
      <c r="CJ114" s="41"/>
      <c r="CK114" s="41"/>
    </row>
    <row r="115" spans="1:89">
      <c r="A115" s="41" t="s">
        <v>244</v>
      </c>
      <c r="B115" s="51">
        <v>1.32</v>
      </c>
      <c r="C115" s="51">
        <v>1.32</v>
      </c>
      <c r="D115" s="51">
        <v>1.32</v>
      </c>
      <c r="E115" s="51" t="s">
        <v>1574</v>
      </c>
      <c r="F115" s="51" t="s">
        <v>1574</v>
      </c>
      <c r="G115" s="51" t="s">
        <v>1574</v>
      </c>
      <c r="H115" s="51">
        <v>0.16</v>
      </c>
      <c r="I115" s="51">
        <v>0.45180187736999999</v>
      </c>
      <c r="J115" s="51" t="s">
        <v>1574</v>
      </c>
      <c r="K115" s="51" t="s">
        <v>1574</v>
      </c>
      <c r="L115" s="51">
        <v>1.0246999999999999</v>
      </c>
      <c r="M115" s="51">
        <v>0.82669999999999999</v>
      </c>
      <c r="N115" s="51">
        <v>0.70943029999999996</v>
      </c>
      <c r="O115" s="51">
        <v>0.74870000000000003</v>
      </c>
      <c r="P115" s="51">
        <v>0.67704129999999996</v>
      </c>
      <c r="Q115" s="51">
        <v>0.73333340000000002</v>
      </c>
      <c r="R115" s="51">
        <v>0.83579970000000003</v>
      </c>
      <c r="S115" s="51">
        <v>386.9</v>
      </c>
      <c r="T115" s="51" t="s">
        <v>1574</v>
      </c>
      <c r="U115" s="51" t="s">
        <v>1574</v>
      </c>
      <c r="V115" s="51">
        <v>320.06</v>
      </c>
      <c r="W115" s="51">
        <v>152.83000000000001</v>
      </c>
      <c r="X115" s="51" t="s">
        <v>1574</v>
      </c>
      <c r="Y115" s="51">
        <v>111.02</v>
      </c>
      <c r="Z115" s="51">
        <v>181</v>
      </c>
      <c r="AA115" s="51">
        <v>94</v>
      </c>
      <c r="AB115" s="51" t="s">
        <v>1574</v>
      </c>
      <c r="AC115" s="51" t="s">
        <v>1574</v>
      </c>
      <c r="AD115" s="51">
        <v>25.56693042645</v>
      </c>
      <c r="AE115" s="51">
        <v>48.42</v>
      </c>
      <c r="AF115" s="51">
        <v>53.9</v>
      </c>
      <c r="AG115" s="51">
        <v>159.88999999999999</v>
      </c>
      <c r="AH115" s="51" t="s">
        <v>1574</v>
      </c>
      <c r="AI115" s="51" t="s">
        <v>1574</v>
      </c>
      <c r="AJ115" s="51" t="s">
        <v>1574</v>
      </c>
      <c r="AK115" s="51" t="s">
        <v>1574</v>
      </c>
      <c r="AL115" s="51">
        <v>63.2</v>
      </c>
      <c r="AM115" s="51" t="s">
        <v>1574</v>
      </c>
      <c r="AN115" s="51">
        <v>0.1338</v>
      </c>
      <c r="AO115" s="51">
        <v>0.1762</v>
      </c>
      <c r="AP115" s="51">
        <v>1.0896999999999999</v>
      </c>
      <c r="AQ115" s="51">
        <v>0.39095071872999998</v>
      </c>
      <c r="AR115" s="51" t="s">
        <v>1574</v>
      </c>
      <c r="AS115" s="51">
        <v>2.5794054000000002</v>
      </c>
      <c r="AT115" s="51">
        <v>0.112215158</v>
      </c>
      <c r="AU115" s="51">
        <v>0.1543234</v>
      </c>
      <c r="AV115" s="51">
        <v>6.0199999999999997E-2</v>
      </c>
      <c r="AW115" s="51">
        <v>1165.6300000000001</v>
      </c>
      <c r="AX115" s="51" t="s">
        <v>1574</v>
      </c>
      <c r="AY115" s="51">
        <v>38.89</v>
      </c>
      <c r="AZ115" s="51" t="s">
        <v>1574</v>
      </c>
      <c r="BA115" s="51">
        <v>165.90811172856999</v>
      </c>
      <c r="BB115" s="51" t="s">
        <v>1574</v>
      </c>
      <c r="BC115" s="51">
        <v>0.62460000000000004</v>
      </c>
      <c r="BD115" s="51" t="s">
        <v>1574</v>
      </c>
      <c r="BE115" s="51">
        <v>0.41620000000000001</v>
      </c>
      <c r="BF115" s="51">
        <v>11.5</v>
      </c>
      <c r="BG115" s="51">
        <v>60.5</v>
      </c>
      <c r="BH115" s="51">
        <v>36</v>
      </c>
      <c r="BI115" s="51">
        <v>35.5</v>
      </c>
      <c r="BJ115" s="51">
        <v>24</v>
      </c>
      <c r="BK115" s="51">
        <v>562.17797851563</v>
      </c>
      <c r="BL115" s="51">
        <v>8.77</v>
      </c>
      <c r="BM115" s="51">
        <v>1184.98</v>
      </c>
      <c r="BN115" s="51">
        <v>250.2</v>
      </c>
      <c r="BO115" s="51">
        <v>3258.4</v>
      </c>
      <c r="BP115" s="51">
        <v>2074.5</v>
      </c>
      <c r="BQ115" s="51">
        <v>269</v>
      </c>
      <c r="BR115" s="51">
        <v>41.08</v>
      </c>
      <c r="BS115" s="51">
        <v>122.5</v>
      </c>
      <c r="BT115" s="51">
        <v>1.9593</v>
      </c>
      <c r="BU115" s="41"/>
      <c r="BV115" s="41"/>
      <c r="BW115" s="41"/>
      <c r="BX115" s="41"/>
      <c r="BY115" s="41"/>
      <c r="BZ115" s="41"/>
      <c r="CA115" s="41"/>
      <c r="CB115" s="41"/>
      <c r="CC115" s="41"/>
      <c r="CD115" s="41"/>
      <c r="CE115" s="41"/>
      <c r="CF115" s="41"/>
      <c r="CG115" s="41"/>
      <c r="CH115" s="41"/>
      <c r="CI115" s="41"/>
      <c r="CJ115" s="41"/>
      <c r="CK115" s="41"/>
    </row>
    <row r="116" spans="1:89">
      <c r="A116" s="48" t="s">
        <v>245</v>
      </c>
      <c r="B116" s="49">
        <v>1.27</v>
      </c>
      <c r="C116" s="49">
        <v>1.27</v>
      </c>
      <c r="D116" s="49">
        <v>1.27</v>
      </c>
      <c r="E116" s="49" t="s">
        <v>1574</v>
      </c>
      <c r="F116" s="49" t="s">
        <v>1574</v>
      </c>
      <c r="G116" s="49" t="s">
        <v>1574</v>
      </c>
      <c r="H116" s="49">
        <v>0.17</v>
      </c>
      <c r="I116" s="49">
        <v>0.45181991824000001</v>
      </c>
      <c r="J116" s="49" t="s">
        <v>1574</v>
      </c>
      <c r="K116" s="49" t="s">
        <v>1574</v>
      </c>
      <c r="L116" s="49">
        <v>0.93779999999999997</v>
      </c>
      <c r="M116" s="49">
        <v>0.82609999999999995</v>
      </c>
      <c r="N116" s="49">
        <v>0.70656439999999998</v>
      </c>
      <c r="O116" s="49">
        <v>0.72619999999999996</v>
      </c>
      <c r="P116" s="49">
        <v>0.59640110000000002</v>
      </c>
      <c r="Q116" s="49">
        <v>0.86266670000000001</v>
      </c>
      <c r="R116" s="49">
        <v>0.71959969999999995</v>
      </c>
      <c r="S116" s="49">
        <v>398.7</v>
      </c>
      <c r="T116" s="49" t="s">
        <v>1574</v>
      </c>
      <c r="U116" s="49" t="s">
        <v>1574</v>
      </c>
      <c r="V116" s="49">
        <v>319.58999999999997</v>
      </c>
      <c r="W116" s="49">
        <v>158.26</v>
      </c>
      <c r="X116" s="49" t="s">
        <v>1574</v>
      </c>
      <c r="Y116" s="49">
        <v>111.49</v>
      </c>
      <c r="Z116" s="49">
        <v>181</v>
      </c>
      <c r="AA116" s="49">
        <v>95</v>
      </c>
      <c r="AB116" s="49" t="s">
        <v>1574</v>
      </c>
      <c r="AC116" s="49" t="s">
        <v>1574</v>
      </c>
      <c r="AD116" s="49">
        <v>25.964967781759999</v>
      </c>
      <c r="AE116" s="49">
        <v>50.39</v>
      </c>
      <c r="AF116" s="49">
        <v>53.2</v>
      </c>
      <c r="AG116" s="49">
        <v>162.35</v>
      </c>
      <c r="AH116" s="49" t="s">
        <v>1574</v>
      </c>
      <c r="AI116" s="49" t="s">
        <v>1574</v>
      </c>
      <c r="AJ116" s="49" t="s">
        <v>1574</v>
      </c>
      <c r="AK116" s="49" t="s">
        <v>1574</v>
      </c>
      <c r="AL116" s="49">
        <v>63.2</v>
      </c>
      <c r="AM116" s="49" t="s">
        <v>1574</v>
      </c>
      <c r="AN116" s="49">
        <v>0.14180000000000001</v>
      </c>
      <c r="AO116" s="49">
        <v>0.14499999999999999</v>
      </c>
      <c r="AP116" s="49">
        <v>1.0872999999999999</v>
      </c>
      <c r="AQ116" s="49">
        <v>0.39250649992999997</v>
      </c>
      <c r="AR116" s="49" t="s">
        <v>1574</v>
      </c>
      <c r="AS116" s="49">
        <v>2.8660060000000001</v>
      </c>
      <c r="AT116" s="49">
        <v>0.112215158</v>
      </c>
      <c r="AU116" s="49">
        <v>0.15652801999999999</v>
      </c>
      <c r="AV116" s="49">
        <v>6.3500000000000001E-2</v>
      </c>
      <c r="AW116" s="49">
        <v>1135.81</v>
      </c>
      <c r="AX116" s="49" t="s">
        <v>1574</v>
      </c>
      <c r="AY116" s="49">
        <v>38.89</v>
      </c>
      <c r="AZ116" s="49" t="s">
        <v>1574</v>
      </c>
      <c r="BA116" s="49">
        <v>165.90811172856999</v>
      </c>
      <c r="BB116" s="49" t="s">
        <v>1574</v>
      </c>
      <c r="BC116" s="49">
        <v>0.625</v>
      </c>
      <c r="BD116" s="49" t="s">
        <v>1574</v>
      </c>
      <c r="BE116" s="49">
        <v>0.42620000000000002</v>
      </c>
      <c r="BF116" s="49">
        <v>11.25</v>
      </c>
      <c r="BG116" s="49">
        <v>58</v>
      </c>
      <c r="BH116" s="49">
        <v>38.5</v>
      </c>
      <c r="BI116" s="49">
        <v>26.6</v>
      </c>
      <c r="BJ116" s="49">
        <v>22</v>
      </c>
      <c r="BK116" s="49">
        <v>573.201171875</v>
      </c>
      <c r="BL116" s="49">
        <v>9.84</v>
      </c>
      <c r="BM116" s="49">
        <v>1255.53</v>
      </c>
      <c r="BN116" s="49">
        <v>254.2</v>
      </c>
      <c r="BO116" s="49">
        <v>3227.6</v>
      </c>
      <c r="BP116" s="49">
        <v>2363.4</v>
      </c>
      <c r="BQ116" s="49">
        <v>269.39999999999998</v>
      </c>
      <c r="BR116" s="49">
        <v>42.3</v>
      </c>
      <c r="BS116" s="49">
        <v>122.5</v>
      </c>
      <c r="BT116" s="49">
        <v>1.9789000000000001</v>
      </c>
      <c r="BU116" s="41"/>
      <c r="BV116" s="41"/>
      <c r="BW116" s="41"/>
      <c r="BX116" s="41"/>
      <c r="BY116" s="41"/>
      <c r="BZ116" s="41"/>
      <c r="CA116" s="41"/>
      <c r="CB116" s="41"/>
      <c r="CC116" s="41"/>
      <c r="CD116" s="41"/>
      <c r="CE116" s="41"/>
      <c r="CF116" s="41"/>
      <c r="CG116" s="41"/>
      <c r="CH116" s="41"/>
      <c r="CI116" s="41"/>
      <c r="CJ116" s="41"/>
      <c r="CK116" s="41"/>
    </row>
    <row r="117" spans="1:89">
      <c r="A117" s="41" t="s">
        <v>246</v>
      </c>
      <c r="B117" s="51">
        <v>1.27</v>
      </c>
      <c r="C117" s="51">
        <v>1.27</v>
      </c>
      <c r="D117" s="51">
        <v>1.27</v>
      </c>
      <c r="E117" s="51" t="s">
        <v>1574</v>
      </c>
      <c r="F117" s="51" t="s">
        <v>1574</v>
      </c>
      <c r="G117" s="51" t="s">
        <v>1574</v>
      </c>
      <c r="H117" s="51">
        <v>0.17</v>
      </c>
      <c r="I117" s="51">
        <v>0.45181991824000001</v>
      </c>
      <c r="J117" s="51" t="s">
        <v>1574</v>
      </c>
      <c r="K117" s="51" t="s">
        <v>1574</v>
      </c>
      <c r="L117" s="51">
        <v>0.91049999999999998</v>
      </c>
      <c r="M117" s="51">
        <v>0.84189999999999998</v>
      </c>
      <c r="N117" s="51">
        <v>0.70810759999999995</v>
      </c>
      <c r="O117" s="51">
        <v>0.72619999999999996</v>
      </c>
      <c r="P117" s="51">
        <v>0.59640110000000002</v>
      </c>
      <c r="Q117" s="51">
        <v>0.86266670000000001</v>
      </c>
      <c r="R117" s="51">
        <v>0.71959969999999995</v>
      </c>
      <c r="S117" s="51">
        <v>396.4</v>
      </c>
      <c r="T117" s="51" t="s">
        <v>1574</v>
      </c>
      <c r="U117" s="51" t="s">
        <v>1574</v>
      </c>
      <c r="V117" s="51">
        <v>346.05</v>
      </c>
      <c r="W117" s="51">
        <v>158.26</v>
      </c>
      <c r="X117" s="51" t="s">
        <v>1574</v>
      </c>
      <c r="Y117" s="51">
        <v>109.36</v>
      </c>
      <c r="Z117" s="51">
        <v>185</v>
      </c>
      <c r="AA117" s="51">
        <v>95</v>
      </c>
      <c r="AB117" s="51" t="s">
        <v>1574</v>
      </c>
      <c r="AC117" s="51" t="s">
        <v>1574</v>
      </c>
      <c r="AD117" s="51">
        <v>25.93808894104</v>
      </c>
      <c r="AE117" s="51">
        <v>50.39</v>
      </c>
      <c r="AF117" s="51">
        <v>54.1</v>
      </c>
      <c r="AG117" s="51">
        <v>160.47999999999999</v>
      </c>
      <c r="AH117" s="51" t="s">
        <v>1574</v>
      </c>
      <c r="AI117" s="51" t="s">
        <v>1574</v>
      </c>
      <c r="AJ117" s="51" t="s">
        <v>1574</v>
      </c>
      <c r="AK117" s="51" t="s">
        <v>1574</v>
      </c>
      <c r="AL117" s="51">
        <v>62.83</v>
      </c>
      <c r="AM117" s="51" t="s">
        <v>1574</v>
      </c>
      <c r="AN117" s="51">
        <v>0.14130000000000001</v>
      </c>
      <c r="AO117" s="51">
        <v>0.14929999999999999</v>
      </c>
      <c r="AP117" s="51">
        <v>1.0911</v>
      </c>
      <c r="AQ117" s="51">
        <v>0.39398716029000003</v>
      </c>
      <c r="AR117" s="51" t="s">
        <v>1574</v>
      </c>
      <c r="AS117" s="51">
        <v>2.8660060000000001</v>
      </c>
      <c r="AT117" s="51">
        <v>0.112215158</v>
      </c>
      <c r="AU117" s="51">
        <v>0.15652801999999999</v>
      </c>
      <c r="AV117" s="51">
        <v>6.88E-2</v>
      </c>
      <c r="AW117" s="51">
        <v>1097.9100000000001</v>
      </c>
      <c r="AX117" s="51" t="s">
        <v>1574</v>
      </c>
      <c r="AY117" s="51">
        <v>38.89</v>
      </c>
      <c r="AZ117" s="51" t="s">
        <v>1574</v>
      </c>
      <c r="BA117" s="51">
        <v>165.90811172856999</v>
      </c>
      <c r="BB117" s="51" t="s">
        <v>1574</v>
      </c>
      <c r="BC117" s="51">
        <v>0.62829999999999997</v>
      </c>
      <c r="BD117" s="51" t="s">
        <v>1574</v>
      </c>
      <c r="BE117" s="51">
        <v>0.47070000000000001</v>
      </c>
      <c r="BF117" s="51">
        <v>11.25</v>
      </c>
      <c r="BG117" s="51">
        <v>58</v>
      </c>
      <c r="BH117" s="51">
        <v>38.5</v>
      </c>
      <c r="BI117" s="51">
        <v>26.6</v>
      </c>
      <c r="BJ117" s="51">
        <v>22</v>
      </c>
      <c r="BK117" s="51">
        <v>584.22436523438</v>
      </c>
      <c r="BL117" s="51">
        <v>9.84</v>
      </c>
      <c r="BM117" s="51">
        <v>1285.29</v>
      </c>
      <c r="BN117" s="51">
        <v>258.39999999999998</v>
      </c>
      <c r="BO117" s="51">
        <v>3245.2</v>
      </c>
      <c r="BP117" s="51">
        <v>2363.4</v>
      </c>
      <c r="BQ117" s="51">
        <v>267.39999999999998</v>
      </c>
      <c r="BR117" s="51">
        <v>42.6</v>
      </c>
      <c r="BS117" s="51">
        <v>122.5</v>
      </c>
      <c r="BT117" s="51">
        <v>1.8396999999999999</v>
      </c>
      <c r="BU117" s="41"/>
      <c r="BV117" s="41"/>
      <c r="BW117" s="41"/>
      <c r="BX117" s="41"/>
      <c r="BY117" s="41"/>
      <c r="BZ117" s="41"/>
      <c r="CA117" s="41"/>
      <c r="CB117" s="41"/>
      <c r="CC117" s="41"/>
      <c r="CD117" s="41"/>
      <c r="CE117" s="41"/>
      <c r="CF117" s="41"/>
      <c r="CG117" s="41"/>
      <c r="CH117" s="41"/>
      <c r="CI117" s="41"/>
      <c r="CJ117" s="41"/>
      <c r="CK117" s="41"/>
    </row>
    <row r="118" spans="1:89">
      <c r="A118" s="48" t="s">
        <v>247</v>
      </c>
      <c r="B118" s="49">
        <v>1.27</v>
      </c>
      <c r="C118" s="49">
        <v>1.27</v>
      </c>
      <c r="D118" s="49">
        <v>1.27</v>
      </c>
      <c r="E118" s="49" t="s">
        <v>1574</v>
      </c>
      <c r="F118" s="49" t="s">
        <v>1574</v>
      </c>
      <c r="G118" s="49" t="s">
        <v>1574</v>
      </c>
      <c r="H118" s="49">
        <v>0.17</v>
      </c>
      <c r="I118" s="49">
        <v>0.45181991824000001</v>
      </c>
      <c r="J118" s="49" t="s">
        <v>1574</v>
      </c>
      <c r="K118" s="49" t="s">
        <v>1574</v>
      </c>
      <c r="L118" s="49">
        <v>0.89839999999999998</v>
      </c>
      <c r="M118" s="49">
        <v>0.82940000000000003</v>
      </c>
      <c r="N118" s="49">
        <v>0.6871642</v>
      </c>
      <c r="O118" s="49">
        <v>0.72619999999999996</v>
      </c>
      <c r="P118" s="49">
        <v>0.59640110000000002</v>
      </c>
      <c r="Q118" s="49">
        <v>0.86266670000000001</v>
      </c>
      <c r="R118" s="49">
        <v>0.71959969999999995</v>
      </c>
      <c r="S118" s="49">
        <v>388.1</v>
      </c>
      <c r="T118" s="49" t="s">
        <v>1574</v>
      </c>
      <c r="U118" s="49" t="s">
        <v>1574</v>
      </c>
      <c r="V118" s="49">
        <v>347.82</v>
      </c>
      <c r="W118" s="49">
        <v>179.52</v>
      </c>
      <c r="X118" s="49" t="s">
        <v>1574</v>
      </c>
      <c r="Y118" s="49">
        <v>110.55</v>
      </c>
      <c r="Z118" s="49">
        <v>178</v>
      </c>
      <c r="AA118" s="49">
        <v>94</v>
      </c>
      <c r="AB118" s="49" t="s">
        <v>1574</v>
      </c>
      <c r="AC118" s="49" t="s">
        <v>1574</v>
      </c>
      <c r="AD118" s="49">
        <v>25.84218776746</v>
      </c>
      <c r="AE118" s="49">
        <v>50.39</v>
      </c>
      <c r="AF118" s="49">
        <v>53.1</v>
      </c>
      <c r="AG118" s="49">
        <v>166.96</v>
      </c>
      <c r="AH118" s="49" t="s">
        <v>1574</v>
      </c>
      <c r="AI118" s="49" t="s">
        <v>1574</v>
      </c>
      <c r="AJ118" s="49" t="s">
        <v>1574</v>
      </c>
      <c r="AK118" s="49" t="s">
        <v>1574</v>
      </c>
      <c r="AL118" s="49">
        <v>62.1</v>
      </c>
      <c r="AM118" s="49" t="s">
        <v>1574</v>
      </c>
      <c r="AN118" s="49">
        <v>0.15210000000000001</v>
      </c>
      <c r="AO118" s="49">
        <v>0.16639999999999999</v>
      </c>
      <c r="AP118" s="49">
        <v>1.125</v>
      </c>
      <c r="AQ118" s="49">
        <v>0.39529454870000003</v>
      </c>
      <c r="AR118" s="49" t="s">
        <v>1574</v>
      </c>
      <c r="AS118" s="49">
        <v>2.8660060000000001</v>
      </c>
      <c r="AT118" s="49">
        <v>0.112215158</v>
      </c>
      <c r="AU118" s="49">
        <v>0.15873264000000001</v>
      </c>
      <c r="AV118" s="49">
        <v>7.7399999999999997E-2</v>
      </c>
      <c r="AW118" s="49">
        <v>1098.6500000000001</v>
      </c>
      <c r="AX118" s="49" t="s">
        <v>1574</v>
      </c>
      <c r="AY118" s="49">
        <v>38.89</v>
      </c>
      <c r="AZ118" s="49" t="s">
        <v>1574</v>
      </c>
      <c r="BA118" s="49">
        <v>165.90811172856999</v>
      </c>
      <c r="BB118" s="49" t="s">
        <v>1574</v>
      </c>
      <c r="BC118" s="49">
        <v>0.62829999999999997</v>
      </c>
      <c r="BD118" s="49" t="s">
        <v>1574</v>
      </c>
      <c r="BE118" s="49">
        <v>0.50900000000000001</v>
      </c>
      <c r="BF118" s="49">
        <v>11.25</v>
      </c>
      <c r="BG118" s="49">
        <v>58</v>
      </c>
      <c r="BH118" s="49">
        <v>38.5</v>
      </c>
      <c r="BI118" s="49">
        <v>26.6</v>
      </c>
      <c r="BJ118" s="49">
        <v>22</v>
      </c>
      <c r="BK118" s="49">
        <v>584.22436523438</v>
      </c>
      <c r="BL118" s="49">
        <v>9.84</v>
      </c>
      <c r="BM118" s="49">
        <v>1278.46</v>
      </c>
      <c r="BN118" s="49">
        <v>261.2</v>
      </c>
      <c r="BO118" s="49">
        <v>3243</v>
      </c>
      <c r="BP118" s="49">
        <v>2363.4</v>
      </c>
      <c r="BQ118" s="49">
        <v>271.60000000000002</v>
      </c>
      <c r="BR118" s="49">
        <v>43.16</v>
      </c>
      <c r="BS118" s="49">
        <v>122.5</v>
      </c>
      <c r="BT118" s="49">
        <v>1.8257000000000001</v>
      </c>
      <c r="BU118" s="41"/>
      <c r="BV118" s="41"/>
      <c r="BW118" s="41"/>
      <c r="BX118" s="41"/>
      <c r="BY118" s="41"/>
      <c r="BZ118" s="41"/>
      <c r="CA118" s="41"/>
      <c r="CB118" s="41"/>
      <c r="CC118" s="41"/>
      <c r="CD118" s="41"/>
      <c r="CE118" s="41"/>
      <c r="CF118" s="41"/>
      <c r="CG118" s="41"/>
      <c r="CH118" s="41"/>
      <c r="CI118" s="41"/>
      <c r="CJ118" s="41"/>
      <c r="CK118" s="41"/>
    </row>
    <row r="119" spans="1:89">
      <c r="A119" s="41" t="s">
        <v>248</v>
      </c>
      <c r="B119" s="51">
        <v>1.27</v>
      </c>
      <c r="C119" s="51">
        <v>1.27</v>
      </c>
      <c r="D119" s="51">
        <v>1.27</v>
      </c>
      <c r="E119" s="51" t="s">
        <v>1574</v>
      </c>
      <c r="F119" s="51" t="s">
        <v>1574</v>
      </c>
      <c r="G119" s="51" t="s">
        <v>1574</v>
      </c>
      <c r="H119" s="51">
        <v>0.17</v>
      </c>
      <c r="I119" s="51">
        <v>0.45181991824000001</v>
      </c>
      <c r="J119" s="51" t="s">
        <v>1574</v>
      </c>
      <c r="K119" s="51" t="s">
        <v>1574</v>
      </c>
      <c r="L119" s="51">
        <v>0.87590000000000001</v>
      </c>
      <c r="M119" s="51">
        <v>0.8135</v>
      </c>
      <c r="N119" s="51">
        <v>0.65894569999999997</v>
      </c>
      <c r="O119" s="51">
        <v>0.72619999999999996</v>
      </c>
      <c r="P119" s="51">
        <v>0.59640110000000002</v>
      </c>
      <c r="Q119" s="51">
        <v>0.86266670000000001</v>
      </c>
      <c r="R119" s="51">
        <v>0.71959969999999995</v>
      </c>
      <c r="S119" s="51">
        <v>376.3</v>
      </c>
      <c r="T119" s="51" t="s">
        <v>1574</v>
      </c>
      <c r="U119" s="51" t="s">
        <v>1574</v>
      </c>
      <c r="V119" s="51">
        <v>340.14</v>
      </c>
      <c r="W119" s="51">
        <v>170.07</v>
      </c>
      <c r="X119" s="51" t="s">
        <v>1574</v>
      </c>
      <c r="Y119" s="51">
        <v>110.07</v>
      </c>
      <c r="Z119" s="51">
        <v>167</v>
      </c>
      <c r="AA119" s="51">
        <v>95</v>
      </c>
      <c r="AB119" s="51" t="s">
        <v>1574</v>
      </c>
      <c r="AC119" s="51" t="s">
        <v>1574</v>
      </c>
      <c r="AD119" s="51">
        <v>26.0931028205</v>
      </c>
      <c r="AE119" s="51">
        <v>51.57</v>
      </c>
      <c r="AF119" s="51">
        <v>51.9</v>
      </c>
      <c r="AG119" s="51">
        <v>165.2</v>
      </c>
      <c r="AH119" s="51" t="s">
        <v>1574</v>
      </c>
      <c r="AI119" s="51" t="s">
        <v>1574</v>
      </c>
      <c r="AJ119" s="51" t="s">
        <v>1574</v>
      </c>
      <c r="AK119" s="51" t="s">
        <v>1574</v>
      </c>
      <c r="AL119" s="51">
        <v>62.1</v>
      </c>
      <c r="AM119" s="51" t="s">
        <v>1574</v>
      </c>
      <c r="AN119" s="51">
        <v>0.1512</v>
      </c>
      <c r="AO119" s="51">
        <v>0.1845</v>
      </c>
      <c r="AP119" s="51">
        <v>1.1632</v>
      </c>
      <c r="AQ119" s="51">
        <v>0.39696525865999999</v>
      </c>
      <c r="AR119" s="51" t="s">
        <v>1574</v>
      </c>
      <c r="AS119" s="51">
        <v>2.8660060000000001</v>
      </c>
      <c r="AT119" s="51">
        <v>0.112215158</v>
      </c>
      <c r="AU119" s="51">
        <v>0.15873264000000001</v>
      </c>
      <c r="AV119" s="51">
        <v>8.0500000000000002E-2</v>
      </c>
      <c r="AW119" s="51">
        <v>1110.75</v>
      </c>
      <c r="AX119" s="51" t="s">
        <v>1574</v>
      </c>
      <c r="AY119" s="51">
        <v>38.89</v>
      </c>
      <c r="AZ119" s="51" t="s">
        <v>1574</v>
      </c>
      <c r="BA119" s="51">
        <v>165.90811172856999</v>
      </c>
      <c r="BB119" s="51" t="s">
        <v>1574</v>
      </c>
      <c r="BC119" s="51">
        <v>0.62719999999999998</v>
      </c>
      <c r="BD119" s="51" t="s">
        <v>1574</v>
      </c>
      <c r="BE119" s="51">
        <v>0.51919999999999999</v>
      </c>
      <c r="BF119" s="51">
        <v>11.25</v>
      </c>
      <c r="BG119" s="51">
        <v>58</v>
      </c>
      <c r="BH119" s="51">
        <v>38.5</v>
      </c>
      <c r="BI119" s="51">
        <v>26.6</v>
      </c>
      <c r="BJ119" s="51">
        <v>22</v>
      </c>
      <c r="BK119" s="51">
        <v>584.22436523438</v>
      </c>
      <c r="BL119" s="51">
        <v>9.84</v>
      </c>
      <c r="BM119" s="51">
        <v>1388.03</v>
      </c>
      <c r="BN119" s="51">
        <v>268.3</v>
      </c>
      <c r="BO119" s="51">
        <v>3304.7</v>
      </c>
      <c r="BP119" s="51">
        <v>2363.4</v>
      </c>
      <c r="BQ119" s="51">
        <v>272.7</v>
      </c>
      <c r="BR119" s="51">
        <v>43.31</v>
      </c>
      <c r="BS119" s="51">
        <v>122.5</v>
      </c>
      <c r="BT119" s="51">
        <v>1.7781</v>
      </c>
      <c r="BU119" s="41"/>
      <c r="BV119" s="41"/>
      <c r="BW119" s="41"/>
      <c r="BX119" s="41"/>
      <c r="BY119" s="41"/>
      <c r="BZ119" s="41"/>
      <c r="CA119" s="41"/>
      <c r="CB119" s="41"/>
      <c r="CC119" s="41"/>
      <c r="CD119" s="41"/>
      <c r="CE119" s="41"/>
      <c r="CF119" s="41"/>
      <c r="CG119" s="41"/>
      <c r="CH119" s="41"/>
      <c r="CI119" s="41"/>
      <c r="CJ119" s="41"/>
      <c r="CK119" s="41"/>
    </row>
    <row r="120" spans="1:89">
      <c r="A120" s="48" t="s">
        <v>249</v>
      </c>
      <c r="B120" s="49">
        <v>1.27</v>
      </c>
      <c r="C120" s="49">
        <v>1.27</v>
      </c>
      <c r="D120" s="49">
        <v>1.27</v>
      </c>
      <c r="E120" s="49" t="s">
        <v>1574</v>
      </c>
      <c r="F120" s="49" t="s">
        <v>1574</v>
      </c>
      <c r="G120" s="49" t="s">
        <v>1574</v>
      </c>
      <c r="H120" s="49">
        <v>0.17</v>
      </c>
      <c r="I120" s="49">
        <v>0.45181991824000001</v>
      </c>
      <c r="J120" s="49" t="s">
        <v>1574</v>
      </c>
      <c r="K120" s="49" t="s">
        <v>1574</v>
      </c>
      <c r="L120" s="49">
        <v>0.80889999999999995</v>
      </c>
      <c r="M120" s="49">
        <v>0.80930000000000002</v>
      </c>
      <c r="N120" s="49">
        <v>0.64968649999999994</v>
      </c>
      <c r="O120" s="49">
        <v>0.72619999999999996</v>
      </c>
      <c r="P120" s="49">
        <v>0.59640110000000002</v>
      </c>
      <c r="Q120" s="49">
        <v>0.86266670000000001</v>
      </c>
      <c r="R120" s="49">
        <v>0.71959969999999995</v>
      </c>
      <c r="S120" s="49">
        <v>353.1</v>
      </c>
      <c r="T120" s="49" t="s">
        <v>1574</v>
      </c>
      <c r="U120" s="49" t="s">
        <v>1574</v>
      </c>
      <c r="V120" s="49">
        <v>345.17</v>
      </c>
      <c r="W120" s="49">
        <v>166.29</v>
      </c>
      <c r="X120" s="49" t="s">
        <v>1574</v>
      </c>
      <c r="Y120" s="49">
        <v>112.44</v>
      </c>
      <c r="Z120" s="49">
        <v>170</v>
      </c>
      <c r="AA120" s="49">
        <v>96</v>
      </c>
      <c r="AB120" s="49" t="s">
        <v>1574</v>
      </c>
      <c r="AC120" s="49" t="s">
        <v>1574</v>
      </c>
      <c r="AD120" s="49">
        <v>26.61187885367</v>
      </c>
      <c r="AE120" s="49">
        <v>54.33</v>
      </c>
      <c r="AF120" s="49">
        <v>49.9</v>
      </c>
      <c r="AG120" s="49">
        <v>171.09</v>
      </c>
      <c r="AH120" s="49" t="s">
        <v>1574</v>
      </c>
      <c r="AI120" s="49" t="s">
        <v>1574</v>
      </c>
      <c r="AJ120" s="49" t="s">
        <v>1574</v>
      </c>
      <c r="AK120" s="49" t="s">
        <v>1574</v>
      </c>
      <c r="AL120" s="49">
        <v>62.1</v>
      </c>
      <c r="AM120" s="49" t="s">
        <v>1574</v>
      </c>
      <c r="AN120" s="49">
        <v>0.1739</v>
      </c>
      <c r="AO120" s="49">
        <v>0.17599999999999999</v>
      </c>
      <c r="AP120" s="49">
        <v>1.2410000000000001</v>
      </c>
      <c r="AQ120" s="49">
        <v>0.39864114155000002</v>
      </c>
      <c r="AR120" s="49" t="s">
        <v>1574</v>
      </c>
      <c r="AS120" s="49">
        <v>2.8660060000000001</v>
      </c>
      <c r="AT120" s="49">
        <v>0.112215158</v>
      </c>
      <c r="AU120" s="49">
        <v>0.15873264000000001</v>
      </c>
      <c r="AV120" s="49">
        <v>8.0500000000000002E-2</v>
      </c>
      <c r="AW120" s="49">
        <v>1114.6300000000001</v>
      </c>
      <c r="AX120" s="49" t="s">
        <v>1574</v>
      </c>
      <c r="AY120" s="49">
        <v>38.89</v>
      </c>
      <c r="AZ120" s="49" t="s">
        <v>1574</v>
      </c>
      <c r="BA120" s="49">
        <v>165.90811172856999</v>
      </c>
      <c r="BB120" s="49" t="s">
        <v>1574</v>
      </c>
      <c r="BC120" s="49">
        <v>0.63270000000000004</v>
      </c>
      <c r="BD120" s="49" t="s">
        <v>1574</v>
      </c>
      <c r="BE120" s="49">
        <v>0.49709999999999999</v>
      </c>
      <c r="BF120" s="49">
        <v>11.25</v>
      </c>
      <c r="BG120" s="49">
        <v>58</v>
      </c>
      <c r="BH120" s="49">
        <v>38.5</v>
      </c>
      <c r="BI120" s="49">
        <v>26.6</v>
      </c>
      <c r="BJ120" s="49">
        <v>22</v>
      </c>
      <c r="BK120" s="49">
        <v>584.22436523438</v>
      </c>
      <c r="BL120" s="49">
        <v>9.84</v>
      </c>
      <c r="BM120" s="49">
        <v>1392.44</v>
      </c>
      <c r="BN120" s="49">
        <v>278.2</v>
      </c>
      <c r="BO120" s="49">
        <v>3355.4</v>
      </c>
      <c r="BP120" s="49">
        <v>2363.4</v>
      </c>
      <c r="BQ120" s="49">
        <v>278.89999999999998</v>
      </c>
      <c r="BR120" s="49">
        <v>43.46</v>
      </c>
      <c r="BS120" s="49">
        <v>122.5</v>
      </c>
      <c r="BT120" s="49">
        <v>1.7609999999999999</v>
      </c>
      <c r="BU120" s="41"/>
      <c r="BV120" s="41"/>
      <c r="BW120" s="41"/>
      <c r="BX120" s="41"/>
      <c r="BY120" s="41"/>
      <c r="BZ120" s="41"/>
      <c r="CA120" s="41"/>
      <c r="CB120" s="41"/>
      <c r="CC120" s="41"/>
      <c r="CD120" s="41"/>
      <c r="CE120" s="41"/>
      <c r="CF120" s="41"/>
      <c r="CG120" s="41"/>
      <c r="CH120" s="41"/>
      <c r="CI120" s="41"/>
      <c r="CJ120" s="41"/>
      <c r="CK120" s="41"/>
    </row>
    <row r="121" spans="1:89">
      <c r="A121" s="41" t="s">
        <v>250</v>
      </c>
      <c r="B121" s="51">
        <v>1.27</v>
      </c>
      <c r="C121" s="51">
        <v>1.27</v>
      </c>
      <c r="D121" s="51">
        <v>1.27</v>
      </c>
      <c r="E121" s="51" t="s">
        <v>1574</v>
      </c>
      <c r="F121" s="51" t="s">
        <v>1574</v>
      </c>
      <c r="G121" s="51" t="s">
        <v>1574</v>
      </c>
      <c r="H121" s="51">
        <v>0.17</v>
      </c>
      <c r="I121" s="51">
        <v>0.45181991824000001</v>
      </c>
      <c r="J121" s="51" t="s">
        <v>1574</v>
      </c>
      <c r="K121" s="51" t="s">
        <v>1574</v>
      </c>
      <c r="L121" s="51">
        <v>0.89290000000000003</v>
      </c>
      <c r="M121" s="51">
        <v>0.79500000000000004</v>
      </c>
      <c r="N121" s="51">
        <v>0.6772437</v>
      </c>
      <c r="O121" s="51">
        <v>0.72619999999999996</v>
      </c>
      <c r="P121" s="51">
        <v>0.59640110000000002</v>
      </c>
      <c r="Q121" s="51">
        <v>0.86266670000000001</v>
      </c>
      <c r="R121" s="51">
        <v>0.71959969999999995</v>
      </c>
      <c r="S121" s="51">
        <v>339</v>
      </c>
      <c r="T121" s="51" t="s">
        <v>1574</v>
      </c>
      <c r="U121" s="51" t="s">
        <v>1574</v>
      </c>
      <c r="V121" s="51">
        <v>315.10000000000002</v>
      </c>
      <c r="W121" s="51">
        <v>165.35</v>
      </c>
      <c r="X121" s="51" t="s">
        <v>1574</v>
      </c>
      <c r="Y121" s="51">
        <v>109.6</v>
      </c>
      <c r="Z121" s="51">
        <v>173</v>
      </c>
      <c r="AA121" s="51">
        <v>99</v>
      </c>
      <c r="AB121" s="51" t="s">
        <v>1574</v>
      </c>
      <c r="AC121" s="51" t="s">
        <v>1574</v>
      </c>
      <c r="AD121" s="51">
        <v>26.583057777699999</v>
      </c>
      <c r="AE121" s="51">
        <v>54.33</v>
      </c>
      <c r="AF121" s="51">
        <v>49</v>
      </c>
      <c r="AG121" s="51">
        <v>178.75</v>
      </c>
      <c r="AH121" s="51" t="s">
        <v>1574</v>
      </c>
      <c r="AI121" s="51" t="s">
        <v>1574</v>
      </c>
      <c r="AJ121" s="51" t="s">
        <v>1574</v>
      </c>
      <c r="AK121" s="51" t="s">
        <v>1574</v>
      </c>
      <c r="AL121" s="51">
        <v>61.73</v>
      </c>
      <c r="AM121" s="51" t="s">
        <v>1574</v>
      </c>
      <c r="AN121" s="51">
        <v>0.16089999999999999</v>
      </c>
      <c r="AO121" s="51">
        <v>0.17599999999999999</v>
      </c>
      <c r="AP121" s="51">
        <v>1.3120000000000001</v>
      </c>
      <c r="AQ121" s="51">
        <v>0.4006716515</v>
      </c>
      <c r="AR121" s="51" t="s">
        <v>1574</v>
      </c>
      <c r="AS121" s="51">
        <v>2.8660060000000001</v>
      </c>
      <c r="AT121" s="51">
        <v>0.112215158</v>
      </c>
      <c r="AU121" s="51">
        <v>0.15873264000000001</v>
      </c>
      <c r="AV121" s="51">
        <v>8.0299999999999996E-2</v>
      </c>
      <c r="AW121" s="51">
        <v>1125.81</v>
      </c>
      <c r="AX121" s="51" t="s">
        <v>1574</v>
      </c>
      <c r="AY121" s="51">
        <v>38.89</v>
      </c>
      <c r="AZ121" s="51" t="s">
        <v>1574</v>
      </c>
      <c r="BA121" s="51">
        <v>165.90811172856999</v>
      </c>
      <c r="BB121" s="51" t="s">
        <v>1574</v>
      </c>
      <c r="BC121" s="51">
        <v>0.62480000000000002</v>
      </c>
      <c r="BD121" s="51" t="s">
        <v>1574</v>
      </c>
      <c r="BE121" s="51">
        <v>0.51259999999999994</v>
      </c>
      <c r="BF121" s="51">
        <v>11.25</v>
      </c>
      <c r="BG121" s="51">
        <v>58</v>
      </c>
      <c r="BH121" s="51">
        <v>38.5</v>
      </c>
      <c r="BI121" s="51">
        <v>26.6</v>
      </c>
      <c r="BJ121" s="51">
        <v>22</v>
      </c>
      <c r="BK121" s="51">
        <v>584.22436523438</v>
      </c>
      <c r="BL121" s="51">
        <v>9.84</v>
      </c>
      <c r="BM121" s="51">
        <v>1483.04</v>
      </c>
      <c r="BN121" s="51">
        <v>285.5</v>
      </c>
      <c r="BO121" s="51">
        <v>3379.7</v>
      </c>
      <c r="BP121" s="51">
        <v>2363.4</v>
      </c>
      <c r="BQ121" s="51">
        <v>281.3</v>
      </c>
      <c r="BR121" s="51">
        <v>41.44</v>
      </c>
      <c r="BS121" s="51">
        <v>122.5</v>
      </c>
      <c r="BT121" s="51">
        <v>1.6455</v>
      </c>
      <c r="BU121" s="41"/>
      <c r="BV121" s="41"/>
      <c r="BW121" s="41"/>
      <c r="BX121" s="41"/>
      <c r="BY121" s="41"/>
      <c r="BZ121" s="41"/>
      <c r="CA121" s="41"/>
      <c r="CB121" s="41"/>
      <c r="CC121" s="41"/>
      <c r="CD121" s="41"/>
      <c r="CE121" s="41"/>
      <c r="CF121" s="41"/>
      <c r="CG121" s="41"/>
      <c r="CH121" s="41"/>
      <c r="CI121" s="41"/>
      <c r="CJ121" s="41"/>
      <c r="CK121" s="41"/>
    </row>
    <row r="122" spans="1:89">
      <c r="A122" s="48" t="s">
        <v>251</v>
      </c>
      <c r="B122" s="49">
        <v>1.27</v>
      </c>
      <c r="C122" s="49">
        <v>1.27</v>
      </c>
      <c r="D122" s="49">
        <v>1.27</v>
      </c>
      <c r="E122" s="49" t="s">
        <v>1574</v>
      </c>
      <c r="F122" s="49" t="s">
        <v>1574</v>
      </c>
      <c r="G122" s="49" t="s">
        <v>1574</v>
      </c>
      <c r="H122" s="49">
        <v>0.17</v>
      </c>
      <c r="I122" s="49">
        <v>0.45181991824000001</v>
      </c>
      <c r="J122" s="49" t="s">
        <v>1574</v>
      </c>
      <c r="K122" s="49" t="s">
        <v>1574</v>
      </c>
      <c r="L122" s="49">
        <v>0.93120000000000003</v>
      </c>
      <c r="M122" s="49">
        <v>0.77759999999999996</v>
      </c>
      <c r="N122" s="49">
        <v>0.6871642</v>
      </c>
      <c r="O122" s="49">
        <v>0.72619999999999996</v>
      </c>
      <c r="P122" s="49">
        <v>0.59640110000000002</v>
      </c>
      <c r="Q122" s="49">
        <v>0.86266670000000001</v>
      </c>
      <c r="R122" s="49">
        <v>0.71959969999999995</v>
      </c>
      <c r="S122" s="49">
        <v>326.89999999999998</v>
      </c>
      <c r="T122" s="49" t="s">
        <v>1574</v>
      </c>
      <c r="U122" s="49" t="s">
        <v>1574</v>
      </c>
      <c r="V122" s="49">
        <v>323.37</v>
      </c>
      <c r="W122" s="49">
        <v>161.80000000000001</v>
      </c>
      <c r="X122" s="49" t="s">
        <v>1574</v>
      </c>
      <c r="Y122" s="49">
        <v>101.57</v>
      </c>
      <c r="Z122" s="49">
        <v>180</v>
      </c>
      <c r="AA122" s="49">
        <v>95</v>
      </c>
      <c r="AB122" s="49" t="s">
        <v>1574</v>
      </c>
      <c r="AC122" s="49" t="s">
        <v>1574</v>
      </c>
      <c r="AD122" s="49">
        <v>26.26711375995</v>
      </c>
      <c r="AE122" s="49">
        <v>53.93</v>
      </c>
      <c r="AF122" s="49">
        <v>51.5</v>
      </c>
      <c r="AG122" s="49">
        <v>180.51</v>
      </c>
      <c r="AH122" s="49" t="s">
        <v>1574</v>
      </c>
      <c r="AI122" s="49" t="s">
        <v>1574</v>
      </c>
      <c r="AJ122" s="49" t="s">
        <v>1574</v>
      </c>
      <c r="AK122" s="49" t="s">
        <v>1574</v>
      </c>
      <c r="AL122" s="49">
        <v>60.26</v>
      </c>
      <c r="AM122" s="49" t="s">
        <v>1574</v>
      </c>
      <c r="AN122" s="49">
        <v>0.15390000000000001</v>
      </c>
      <c r="AO122" s="49">
        <v>0.17599999999999999</v>
      </c>
      <c r="AP122" s="49">
        <v>1.3013999999999999</v>
      </c>
      <c r="AQ122" s="49">
        <v>0.40147466759</v>
      </c>
      <c r="AR122" s="49" t="s">
        <v>1574</v>
      </c>
      <c r="AS122" s="49">
        <v>2.8660060000000001</v>
      </c>
      <c r="AT122" s="49">
        <v>0.112215158</v>
      </c>
      <c r="AU122" s="49">
        <v>0.14991415999999999</v>
      </c>
      <c r="AV122" s="49">
        <v>7.6499999999999999E-2</v>
      </c>
      <c r="AW122" s="49">
        <v>1149.6099999999999</v>
      </c>
      <c r="AX122" s="49" t="s">
        <v>1574</v>
      </c>
      <c r="AY122" s="49">
        <v>38.89</v>
      </c>
      <c r="AZ122" s="49" t="s">
        <v>1574</v>
      </c>
      <c r="BA122" s="49">
        <v>165.90811172856999</v>
      </c>
      <c r="BB122" s="49" t="s">
        <v>1574</v>
      </c>
      <c r="BC122" s="49">
        <v>0.61380000000000001</v>
      </c>
      <c r="BD122" s="49" t="s">
        <v>1574</v>
      </c>
      <c r="BE122" s="49">
        <v>0.54369999999999996</v>
      </c>
      <c r="BF122" s="49">
        <v>11.25</v>
      </c>
      <c r="BG122" s="49">
        <v>58</v>
      </c>
      <c r="BH122" s="49">
        <v>40</v>
      </c>
      <c r="BI122" s="49">
        <v>26.6</v>
      </c>
      <c r="BJ122" s="49">
        <v>22</v>
      </c>
      <c r="BK122" s="49">
        <v>584.22436523438</v>
      </c>
      <c r="BL122" s="49">
        <v>9.84</v>
      </c>
      <c r="BM122" s="49">
        <v>1453.95</v>
      </c>
      <c r="BN122" s="49">
        <v>311.10000000000002</v>
      </c>
      <c r="BO122" s="49">
        <v>3439.2</v>
      </c>
      <c r="BP122" s="49">
        <v>2363.4</v>
      </c>
      <c r="BQ122" s="49">
        <v>283.7</v>
      </c>
      <c r="BR122" s="49">
        <v>41.76</v>
      </c>
      <c r="BS122" s="49">
        <v>122.5</v>
      </c>
      <c r="BT122" s="49">
        <v>1.6183000000000001</v>
      </c>
      <c r="BU122" s="41"/>
      <c r="BV122" s="41"/>
      <c r="BW122" s="41"/>
      <c r="BX122" s="41"/>
      <c r="BY122" s="41"/>
      <c r="BZ122" s="41"/>
      <c r="CA122" s="41"/>
      <c r="CB122" s="41"/>
      <c r="CC122" s="41"/>
      <c r="CD122" s="41"/>
      <c r="CE122" s="41"/>
      <c r="CF122" s="41"/>
      <c r="CG122" s="41"/>
      <c r="CH122" s="41"/>
      <c r="CI122" s="41"/>
      <c r="CJ122" s="41"/>
      <c r="CK122" s="41"/>
    </row>
    <row r="123" spans="1:89">
      <c r="A123" s="41" t="s">
        <v>252</v>
      </c>
      <c r="B123" s="51">
        <v>1.27</v>
      </c>
      <c r="C123" s="51">
        <v>1.27</v>
      </c>
      <c r="D123" s="51">
        <v>1.27</v>
      </c>
      <c r="E123" s="51" t="s">
        <v>1574</v>
      </c>
      <c r="F123" s="51" t="s">
        <v>1574</v>
      </c>
      <c r="G123" s="51" t="s">
        <v>1574</v>
      </c>
      <c r="H123" s="51">
        <v>0.17</v>
      </c>
      <c r="I123" s="51">
        <v>0.45181991824000001</v>
      </c>
      <c r="J123" s="51" t="s">
        <v>1574</v>
      </c>
      <c r="K123" s="51" t="s">
        <v>1574</v>
      </c>
      <c r="L123" s="51">
        <v>0.9143</v>
      </c>
      <c r="M123" s="51">
        <v>0.81259999999999999</v>
      </c>
      <c r="N123" s="51">
        <v>0.72464200000000001</v>
      </c>
      <c r="O123" s="51">
        <v>0.72619999999999996</v>
      </c>
      <c r="P123" s="51">
        <v>0.59640110000000002</v>
      </c>
      <c r="Q123" s="51">
        <v>0.86266670000000001</v>
      </c>
      <c r="R123" s="51">
        <v>0.71959969999999995</v>
      </c>
      <c r="S123" s="51">
        <v>330.7</v>
      </c>
      <c r="T123" s="51" t="s">
        <v>1574</v>
      </c>
      <c r="U123" s="51" t="s">
        <v>1574</v>
      </c>
      <c r="V123" s="51">
        <v>309.91000000000003</v>
      </c>
      <c r="W123" s="51">
        <v>171.49</v>
      </c>
      <c r="X123" s="51" t="s">
        <v>1574</v>
      </c>
      <c r="Y123" s="51">
        <v>99.21</v>
      </c>
      <c r="Z123" s="51">
        <v>181</v>
      </c>
      <c r="AA123" s="51">
        <v>96</v>
      </c>
      <c r="AB123" s="51" t="s">
        <v>1574</v>
      </c>
      <c r="AC123" s="51" t="s">
        <v>1574</v>
      </c>
      <c r="AD123" s="51">
        <v>25.422180310440002</v>
      </c>
      <c r="AE123" s="51">
        <v>53.54</v>
      </c>
      <c r="AF123" s="51">
        <v>54.2</v>
      </c>
      <c r="AG123" s="51">
        <v>171.58</v>
      </c>
      <c r="AH123" s="51" t="s">
        <v>1574</v>
      </c>
      <c r="AI123" s="51" t="s">
        <v>1574</v>
      </c>
      <c r="AJ123" s="51" t="s">
        <v>1574</v>
      </c>
      <c r="AK123" s="51" t="s">
        <v>1574</v>
      </c>
      <c r="AL123" s="51">
        <v>56.22</v>
      </c>
      <c r="AM123" s="51" t="s">
        <v>1574</v>
      </c>
      <c r="AN123" s="51">
        <v>0.16869999999999999</v>
      </c>
      <c r="AO123" s="51">
        <v>0.17599999999999999</v>
      </c>
      <c r="AP123" s="51">
        <v>1.3748</v>
      </c>
      <c r="AQ123" s="51">
        <v>0.40316958802000002</v>
      </c>
      <c r="AR123" s="51" t="s">
        <v>1574</v>
      </c>
      <c r="AS123" s="51">
        <v>2.8660060000000001</v>
      </c>
      <c r="AT123" s="51">
        <v>0.112215158</v>
      </c>
      <c r="AU123" s="51">
        <v>0.15873264000000001</v>
      </c>
      <c r="AV123" s="51">
        <v>6.5000000000000002E-2</v>
      </c>
      <c r="AW123" s="51">
        <v>1121.04</v>
      </c>
      <c r="AX123" s="51" t="s">
        <v>1574</v>
      </c>
      <c r="AY123" s="51">
        <v>38.89</v>
      </c>
      <c r="AZ123" s="51" t="s">
        <v>1574</v>
      </c>
      <c r="BA123" s="51">
        <v>165.90811172856999</v>
      </c>
      <c r="BB123" s="51" t="s">
        <v>1574</v>
      </c>
      <c r="BC123" s="51">
        <v>0.59989999999999999</v>
      </c>
      <c r="BD123" s="51" t="s">
        <v>1574</v>
      </c>
      <c r="BE123" s="51">
        <v>0.57869999999999999</v>
      </c>
      <c r="BF123" s="51">
        <v>11.25</v>
      </c>
      <c r="BG123" s="51">
        <v>58</v>
      </c>
      <c r="BH123" s="51">
        <v>40</v>
      </c>
      <c r="BI123" s="51">
        <v>26.6</v>
      </c>
      <c r="BJ123" s="51">
        <v>22</v>
      </c>
      <c r="BK123" s="51">
        <v>584.22436523438</v>
      </c>
      <c r="BL123" s="51">
        <v>9.84</v>
      </c>
      <c r="BM123" s="51">
        <v>1606.73</v>
      </c>
      <c r="BN123" s="51">
        <v>315.89999999999998</v>
      </c>
      <c r="BO123" s="51">
        <v>3470.1</v>
      </c>
      <c r="BP123" s="51">
        <v>2363.4</v>
      </c>
      <c r="BQ123" s="51">
        <v>293.89999999999998</v>
      </c>
      <c r="BR123" s="51">
        <v>41.09</v>
      </c>
      <c r="BS123" s="51">
        <v>122.5</v>
      </c>
      <c r="BT123" s="51">
        <v>1.6526000000000001</v>
      </c>
      <c r="BU123" s="41"/>
      <c r="BV123" s="41"/>
      <c r="BW123" s="41"/>
      <c r="BX123" s="41"/>
      <c r="BY123" s="41"/>
      <c r="BZ123" s="41"/>
      <c r="CA123" s="41"/>
      <c r="CB123" s="41"/>
      <c r="CC123" s="41"/>
      <c r="CD123" s="41"/>
      <c r="CE123" s="41"/>
      <c r="CF123" s="41"/>
      <c r="CG123" s="41"/>
      <c r="CH123" s="41"/>
      <c r="CI123" s="41"/>
      <c r="CJ123" s="41"/>
      <c r="CK123" s="41"/>
    </row>
    <row r="124" spans="1:89">
      <c r="A124" s="48" t="s">
        <v>253</v>
      </c>
      <c r="B124" s="49">
        <v>1.27</v>
      </c>
      <c r="C124" s="49">
        <v>1.27</v>
      </c>
      <c r="D124" s="49">
        <v>1.27</v>
      </c>
      <c r="E124" s="49" t="s">
        <v>1574</v>
      </c>
      <c r="F124" s="49" t="s">
        <v>1574</v>
      </c>
      <c r="G124" s="49" t="s">
        <v>1574</v>
      </c>
      <c r="H124" s="49">
        <v>0.17</v>
      </c>
      <c r="I124" s="49">
        <v>0.45181991824000001</v>
      </c>
      <c r="J124" s="49" t="s">
        <v>1574</v>
      </c>
      <c r="K124" s="49" t="s">
        <v>1574</v>
      </c>
      <c r="L124" s="49">
        <v>0.90080000000000005</v>
      </c>
      <c r="M124" s="49">
        <v>0.90259999999999996</v>
      </c>
      <c r="N124" s="49">
        <v>0.76300140000000005</v>
      </c>
      <c r="O124" s="49">
        <v>0.72619999999999996</v>
      </c>
      <c r="P124" s="49">
        <v>0.59640110000000002</v>
      </c>
      <c r="Q124" s="49">
        <v>0.86266670000000001</v>
      </c>
      <c r="R124" s="49">
        <v>0.71959969999999995</v>
      </c>
      <c r="S124" s="49">
        <v>332.6</v>
      </c>
      <c r="T124" s="49" t="s">
        <v>1574</v>
      </c>
      <c r="U124" s="49" t="s">
        <v>1574</v>
      </c>
      <c r="V124" s="49">
        <v>318.88</v>
      </c>
      <c r="W124" s="49">
        <v>180.94</v>
      </c>
      <c r="X124" s="49" t="s">
        <v>1574</v>
      </c>
      <c r="Y124" s="49">
        <v>100.86</v>
      </c>
      <c r="Z124" s="49">
        <v>200</v>
      </c>
      <c r="AA124" s="49">
        <v>92</v>
      </c>
      <c r="AB124" s="49" t="s">
        <v>1574</v>
      </c>
      <c r="AC124" s="49" t="s">
        <v>1574</v>
      </c>
      <c r="AD124" s="49">
        <v>24.537951386700001</v>
      </c>
      <c r="AE124" s="49">
        <v>51.18</v>
      </c>
      <c r="AF124" s="49">
        <v>56.8</v>
      </c>
      <c r="AG124" s="49">
        <v>167.55</v>
      </c>
      <c r="AH124" s="49" t="s">
        <v>1574</v>
      </c>
      <c r="AI124" s="49" t="s">
        <v>1574</v>
      </c>
      <c r="AJ124" s="49" t="s">
        <v>1574</v>
      </c>
      <c r="AK124" s="49" t="s">
        <v>1574</v>
      </c>
      <c r="AL124" s="49">
        <v>53.65</v>
      </c>
      <c r="AM124" s="49" t="s">
        <v>1574</v>
      </c>
      <c r="AN124" s="49">
        <v>0.1792</v>
      </c>
      <c r="AO124" s="49">
        <v>0.17599999999999999</v>
      </c>
      <c r="AP124" s="49">
        <v>1.3203</v>
      </c>
      <c r="AQ124" s="49">
        <v>0.40395487341000003</v>
      </c>
      <c r="AR124" s="49" t="s">
        <v>1574</v>
      </c>
      <c r="AS124" s="49">
        <v>2.8660060000000001</v>
      </c>
      <c r="AT124" s="49">
        <v>0.112215158</v>
      </c>
      <c r="AU124" s="49">
        <v>0.15873264000000001</v>
      </c>
      <c r="AV124" s="49">
        <v>6.0400000000000002E-2</v>
      </c>
      <c r="AW124" s="49">
        <v>1096.94</v>
      </c>
      <c r="AX124" s="49" t="s">
        <v>1574</v>
      </c>
      <c r="AY124" s="49">
        <v>38.89</v>
      </c>
      <c r="AZ124" s="49" t="s">
        <v>1574</v>
      </c>
      <c r="BA124" s="49">
        <v>165.90811172856999</v>
      </c>
      <c r="BB124" s="49" t="s">
        <v>1574</v>
      </c>
      <c r="BC124" s="49">
        <v>0.61309999999999998</v>
      </c>
      <c r="BD124" s="49" t="s">
        <v>1574</v>
      </c>
      <c r="BE124" s="49">
        <v>0.54259999999999997</v>
      </c>
      <c r="BF124" s="49">
        <v>11.25</v>
      </c>
      <c r="BG124" s="49">
        <v>58</v>
      </c>
      <c r="BH124" s="49">
        <v>40</v>
      </c>
      <c r="BI124" s="49">
        <v>26.6</v>
      </c>
      <c r="BJ124" s="49">
        <v>22</v>
      </c>
      <c r="BK124" s="49">
        <v>584.22436523438</v>
      </c>
      <c r="BL124" s="49">
        <v>9.84</v>
      </c>
      <c r="BM124" s="49">
        <v>1578.95</v>
      </c>
      <c r="BN124" s="49">
        <v>302.5</v>
      </c>
      <c r="BO124" s="49">
        <v>3470.1</v>
      </c>
      <c r="BP124" s="49">
        <v>2363.4</v>
      </c>
      <c r="BQ124" s="49">
        <v>299.39999999999998</v>
      </c>
      <c r="BR124" s="49">
        <v>40.869999999999997</v>
      </c>
      <c r="BS124" s="49">
        <v>122.5</v>
      </c>
      <c r="BT124" s="49">
        <v>1.7855000000000001</v>
      </c>
      <c r="BU124" s="41"/>
      <c r="BV124" s="41"/>
      <c r="BW124" s="41"/>
      <c r="BX124" s="41"/>
      <c r="BY124" s="41"/>
      <c r="BZ124" s="41"/>
      <c r="CA124" s="41"/>
      <c r="CB124" s="41"/>
      <c r="CC124" s="41"/>
      <c r="CD124" s="41"/>
      <c r="CE124" s="41"/>
      <c r="CF124" s="41"/>
      <c r="CG124" s="41"/>
      <c r="CH124" s="41"/>
      <c r="CI124" s="41"/>
      <c r="CJ124" s="41"/>
      <c r="CK124" s="41"/>
    </row>
    <row r="125" spans="1:89">
      <c r="A125" s="41" t="s">
        <v>254</v>
      </c>
      <c r="B125" s="51">
        <v>1.27</v>
      </c>
      <c r="C125" s="51">
        <v>1.27</v>
      </c>
      <c r="D125" s="51">
        <v>1.27</v>
      </c>
      <c r="E125" s="51" t="s">
        <v>1574</v>
      </c>
      <c r="F125" s="51" t="s">
        <v>1574</v>
      </c>
      <c r="G125" s="51" t="s">
        <v>1574</v>
      </c>
      <c r="H125" s="51">
        <v>0.17</v>
      </c>
      <c r="I125" s="51">
        <v>0.45181991824000001</v>
      </c>
      <c r="J125" s="51" t="s">
        <v>1574</v>
      </c>
      <c r="K125" s="51" t="s">
        <v>1574</v>
      </c>
      <c r="L125" s="51">
        <v>0.91859999999999997</v>
      </c>
      <c r="M125" s="51">
        <v>1.0401</v>
      </c>
      <c r="N125" s="51">
        <v>0.84501139999999997</v>
      </c>
      <c r="O125" s="51">
        <v>0.72619999999999996</v>
      </c>
      <c r="P125" s="51">
        <v>0.59640110000000002</v>
      </c>
      <c r="Q125" s="51">
        <v>0.86266670000000001</v>
      </c>
      <c r="R125" s="51">
        <v>0.71959969999999995</v>
      </c>
      <c r="S125" s="51">
        <v>336.6</v>
      </c>
      <c r="T125" s="51" t="s">
        <v>1574</v>
      </c>
      <c r="U125" s="51" t="s">
        <v>1574</v>
      </c>
      <c r="V125" s="51">
        <v>331.09</v>
      </c>
      <c r="W125" s="51">
        <v>203.14</v>
      </c>
      <c r="X125" s="51" t="s">
        <v>1574</v>
      </c>
      <c r="Y125" s="51">
        <v>102.99</v>
      </c>
      <c r="Z125" s="51">
        <v>240</v>
      </c>
      <c r="AA125" s="51">
        <v>92</v>
      </c>
      <c r="AB125" s="51" t="s">
        <v>1574</v>
      </c>
      <c r="AC125" s="51" t="s">
        <v>1574</v>
      </c>
      <c r="AD125" s="51">
        <v>24.379960128099999</v>
      </c>
      <c r="AE125" s="51">
        <v>51.87</v>
      </c>
      <c r="AF125" s="51">
        <v>57.4</v>
      </c>
      <c r="AG125" s="51">
        <v>167.36</v>
      </c>
      <c r="AH125" s="51" t="s">
        <v>1574</v>
      </c>
      <c r="AI125" s="51" t="s">
        <v>1574</v>
      </c>
      <c r="AJ125" s="51" t="s">
        <v>1574</v>
      </c>
      <c r="AK125" s="51" t="s">
        <v>1574</v>
      </c>
      <c r="AL125" s="51">
        <v>52.18</v>
      </c>
      <c r="AM125" s="51" t="s">
        <v>1574</v>
      </c>
      <c r="AN125" s="51">
        <v>0.1704</v>
      </c>
      <c r="AO125" s="51">
        <v>0.17599999999999999</v>
      </c>
      <c r="AP125" s="51">
        <v>1.2323999999999999</v>
      </c>
      <c r="AQ125" s="51">
        <v>0.40547872070000002</v>
      </c>
      <c r="AR125" s="51" t="s">
        <v>1574</v>
      </c>
      <c r="AS125" s="51">
        <v>2.8660060000000001</v>
      </c>
      <c r="AT125" s="51">
        <v>0.112215158</v>
      </c>
      <c r="AU125" s="51">
        <v>0.16093726</v>
      </c>
      <c r="AV125" s="51">
        <v>6.5000000000000002E-2</v>
      </c>
      <c r="AW125" s="51">
        <v>1139.1400000000001</v>
      </c>
      <c r="AX125" s="51" t="s">
        <v>1574</v>
      </c>
      <c r="AY125" s="51">
        <v>38.89</v>
      </c>
      <c r="AZ125" s="51" t="s">
        <v>1574</v>
      </c>
      <c r="BA125" s="51">
        <v>165.90811172856999</v>
      </c>
      <c r="BB125" s="51" t="s">
        <v>1574</v>
      </c>
      <c r="BC125" s="51">
        <v>0.62719999999999998</v>
      </c>
      <c r="BD125" s="51" t="s">
        <v>1574</v>
      </c>
      <c r="BE125" s="51">
        <v>0.50270000000000004</v>
      </c>
      <c r="BF125" s="51">
        <v>11.25</v>
      </c>
      <c r="BG125" s="51">
        <v>58</v>
      </c>
      <c r="BH125" s="51">
        <v>40</v>
      </c>
      <c r="BI125" s="51">
        <v>26.6</v>
      </c>
      <c r="BJ125" s="51">
        <v>22</v>
      </c>
      <c r="BK125" s="51">
        <v>601.861328125</v>
      </c>
      <c r="BL125" s="51">
        <v>9.84</v>
      </c>
      <c r="BM125" s="51">
        <v>1554.48</v>
      </c>
      <c r="BN125" s="51">
        <v>293.7</v>
      </c>
      <c r="BO125" s="51">
        <v>3534</v>
      </c>
      <c r="BP125" s="51">
        <v>2363.4</v>
      </c>
      <c r="BQ125" s="51">
        <v>298.89999999999998</v>
      </c>
      <c r="BR125" s="51">
        <v>40.44</v>
      </c>
      <c r="BS125" s="51">
        <v>122.75</v>
      </c>
      <c r="BT125" s="51">
        <v>1.8725000000000001</v>
      </c>
      <c r="BU125" s="41"/>
      <c r="BV125" s="41"/>
      <c r="BW125" s="41"/>
      <c r="BX125" s="41"/>
      <c r="BY125" s="41"/>
      <c r="BZ125" s="41"/>
      <c r="CA125" s="41"/>
      <c r="CB125" s="41"/>
      <c r="CC125" s="41"/>
      <c r="CD125" s="41"/>
      <c r="CE125" s="41"/>
      <c r="CF125" s="41"/>
      <c r="CG125" s="41"/>
      <c r="CH125" s="41"/>
      <c r="CI125" s="41"/>
      <c r="CJ125" s="41"/>
      <c r="CK125" s="41"/>
    </row>
    <row r="126" spans="1:89">
      <c r="A126" s="48" t="s">
        <v>255</v>
      </c>
      <c r="B126" s="49">
        <v>1.27</v>
      </c>
      <c r="C126" s="49">
        <v>1.27</v>
      </c>
      <c r="D126" s="49">
        <v>1.27</v>
      </c>
      <c r="E126" s="49" t="s">
        <v>1574</v>
      </c>
      <c r="F126" s="49" t="s">
        <v>1574</v>
      </c>
      <c r="G126" s="49" t="s">
        <v>1574</v>
      </c>
      <c r="H126" s="49">
        <v>0.17</v>
      </c>
      <c r="I126" s="49">
        <v>0.45181991824000001</v>
      </c>
      <c r="J126" s="49" t="s">
        <v>1574</v>
      </c>
      <c r="K126" s="49" t="s">
        <v>1574</v>
      </c>
      <c r="L126" s="49">
        <v>0.93210000000000004</v>
      </c>
      <c r="M126" s="49">
        <v>1.0246999999999999</v>
      </c>
      <c r="N126" s="49">
        <v>0.82076110000000002</v>
      </c>
      <c r="O126" s="49">
        <v>0.72619999999999996</v>
      </c>
      <c r="P126" s="49">
        <v>0.59640110000000002</v>
      </c>
      <c r="Q126" s="49">
        <v>0.86266670000000001</v>
      </c>
      <c r="R126" s="49">
        <v>0.71959969999999995</v>
      </c>
      <c r="S126" s="49">
        <v>357.4</v>
      </c>
      <c r="T126" s="49" t="s">
        <v>1574</v>
      </c>
      <c r="U126" s="49" t="s">
        <v>1574</v>
      </c>
      <c r="V126" s="49">
        <v>346.64</v>
      </c>
      <c r="W126" s="49">
        <v>203.14</v>
      </c>
      <c r="X126" s="49" t="s">
        <v>1574</v>
      </c>
      <c r="Y126" s="49">
        <v>106.53</v>
      </c>
      <c r="Z126" s="49">
        <v>260</v>
      </c>
      <c r="AA126" s="49">
        <v>91</v>
      </c>
      <c r="AB126" s="49" t="s">
        <v>1574</v>
      </c>
      <c r="AC126" s="49" t="s">
        <v>1574</v>
      </c>
      <c r="AD126" s="49">
        <v>24.628753134709999</v>
      </c>
      <c r="AE126" s="49">
        <v>53.16</v>
      </c>
      <c r="AF126" s="49">
        <v>57.5</v>
      </c>
      <c r="AG126" s="49">
        <v>167.55</v>
      </c>
      <c r="AH126" s="49" t="s">
        <v>1574</v>
      </c>
      <c r="AI126" s="49" t="s">
        <v>1574</v>
      </c>
      <c r="AJ126" s="49" t="s">
        <v>1574</v>
      </c>
      <c r="AK126" s="49" t="s">
        <v>1574</v>
      </c>
      <c r="AL126" s="49">
        <v>52.18</v>
      </c>
      <c r="AM126" s="49" t="s">
        <v>1574</v>
      </c>
      <c r="AN126" s="49">
        <v>0.16420000000000001</v>
      </c>
      <c r="AO126" s="49">
        <v>0.17599999999999999</v>
      </c>
      <c r="AP126" s="49">
        <v>1.2114</v>
      </c>
      <c r="AQ126" s="49">
        <v>0.40681820822999998</v>
      </c>
      <c r="AR126" s="49" t="s">
        <v>1574</v>
      </c>
      <c r="AS126" s="49">
        <v>2.8660060000000001</v>
      </c>
      <c r="AT126" s="49">
        <v>0.112215158</v>
      </c>
      <c r="AU126" s="49">
        <v>0.15873264000000001</v>
      </c>
      <c r="AV126" s="49">
        <v>6.7000000000000004E-2</v>
      </c>
      <c r="AW126" s="49">
        <v>1096.3800000000001</v>
      </c>
      <c r="AX126" s="49" t="s">
        <v>1574</v>
      </c>
      <c r="AY126" s="49">
        <v>38.89</v>
      </c>
      <c r="AZ126" s="49" t="s">
        <v>1574</v>
      </c>
      <c r="BA126" s="49">
        <v>165.90811172856999</v>
      </c>
      <c r="BB126" s="49" t="s">
        <v>1574</v>
      </c>
      <c r="BC126" s="49">
        <v>0.64770000000000005</v>
      </c>
      <c r="BD126" s="49" t="s">
        <v>1574</v>
      </c>
      <c r="BE126" s="49">
        <v>0.45369999999999999</v>
      </c>
      <c r="BF126" s="49">
        <v>11.25</v>
      </c>
      <c r="BG126" s="49">
        <v>58</v>
      </c>
      <c r="BH126" s="49">
        <v>40</v>
      </c>
      <c r="BI126" s="49">
        <v>26.6</v>
      </c>
      <c r="BJ126" s="49">
        <v>22</v>
      </c>
      <c r="BK126" s="49">
        <v>606.2705078125</v>
      </c>
      <c r="BL126" s="49">
        <v>9.84</v>
      </c>
      <c r="BM126" s="49">
        <v>1631.42</v>
      </c>
      <c r="BN126" s="49">
        <v>315.7</v>
      </c>
      <c r="BO126" s="49">
        <v>3642</v>
      </c>
      <c r="BP126" s="49">
        <v>2363.4</v>
      </c>
      <c r="BQ126" s="49">
        <v>309.5</v>
      </c>
      <c r="BR126" s="49">
        <v>37.4</v>
      </c>
      <c r="BS126" s="49">
        <v>132.5</v>
      </c>
      <c r="BT126" s="49">
        <v>1.9231</v>
      </c>
      <c r="BU126" s="41"/>
      <c r="BV126" s="41"/>
      <c r="BW126" s="41"/>
      <c r="BX126" s="41"/>
      <c r="BY126" s="41"/>
      <c r="BZ126" s="41"/>
      <c r="CA126" s="41"/>
      <c r="CB126" s="41"/>
      <c r="CC126" s="41"/>
      <c r="CD126" s="41"/>
      <c r="CE126" s="41"/>
      <c r="CF126" s="41"/>
      <c r="CG126" s="41"/>
      <c r="CH126" s="41"/>
      <c r="CI126" s="41"/>
      <c r="CJ126" s="41"/>
      <c r="CK126" s="41"/>
    </row>
    <row r="127" spans="1:89">
      <c r="A127" s="41" t="s">
        <v>256</v>
      </c>
      <c r="B127" s="51">
        <v>1.27</v>
      </c>
      <c r="C127" s="51">
        <v>1.27</v>
      </c>
      <c r="D127" s="51">
        <v>1.27</v>
      </c>
      <c r="E127" s="51" t="s">
        <v>1574</v>
      </c>
      <c r="F127" s="51" t="s">
        <v>1574</v>
      </c>
      <c r="G127" s="51" t="s">
        <v>1574</v>
      </c>
      <c r="H127" s="51">
        <v>0.17</v>
      </c>
      <c r="I127" s="51">
        <v>0.45181991824000001</v>
      </c>
      <c r="J127" s="51" t="s">
        <v>1574</v>
      </c>
      <c r="K127" s="51" t="s">
        <v>1574</v>
      </c>
      <c r="L127" s="51">
        <v>0.85119999999999996</v>
      </c>
      <c r="M127" s="51">
        <v>1.0479000000000001</v>
      </c>
      <c r="N127" s="51">
        <v>0.82847709999999997</v>
      </c>
      <c r="O127" s="51">
        <v>0.72619999999999996</v>
      </c>
      <c r="P127" s="51">
        <v>0.59640110000000002</v>
      </c>
      <c r="Q127" s="51">
        <v>0.86266670000000001</v>
      </c>
      <c r="R127" s="51">
        <v>0.71959969999999995</v>
      </c>
      <c r="S127" s="51">
        <v>399.4</v>
      </c>
      <c r="T127" s="51" t="s">
        <v>1574</v>
      </c>
      <c r="U127" s="51" t="s">
        <v>1574</v>
      </c>
      <c r="V127" s="51">
        <v>334.54</v>
      </c>
      <c r="W127" s="51">
        <v>255.11</v>
      </c>
      <c r="X127" s="51" t="s">
        <v>1574</v>
      </c>
      <c r="Y127" s="51">
        <v>106.29</v>
      </c>
      <c r="Z127" s="51">
        <v>251</v>
      </c>
      <c r="AA127" s="51">
        <v>96</v>
      </c>
      <c r="AB127" s="51" t="s">
        <v>1574</v>
      </c>
      <c r="AC127" s="51" t="s">
        <v>1574</v>
      </c>
      <c r="AD127" s="51">
        <v>24.540627623150002</v>
      </c>
      <c r="AE127" s="51">
        <v>52.36</v>
      </c>
      <c r="AF127" s="51">
        <v>56.5</v>
      </c>
      <c r="AG127" s="51">
        <v>161.07</v>
      </c>
      <c r="AH127" s="51" t="s">
        <v>1574</v>
      </c>
      <c r="AI127" s="51" t="s">
        <v>1574</v>
      </c>
      <c r="AJ127" s="51" t="s">
        <v>1574</v>
      </c>
      <c r="AK127" s="51" t="s">
        <v>1574</v>
      </c>
      <c r="AL127" s="51">
        <v>52.18</v>
      </c>
      <c r="AM127" s="51" t="s">
        <v>1574</v>
      </c>
      <c r="AN127" s="51">
        <v>0.1565</v>
      </c>
      <c r="AO127" s="51">
        <v>0.16320000000000001</v>
      </c>
      <c r="AP127" s="51">
        <v>1.2144999999999999</v>
      </c>
      <c r="AQ127" s="51">
        <v>0.40928763806000001</v>
      </c>
      <c r="AR127" s="51" t="s">
        <v>1574</v>
      </c>
      <c r="AS127" s="51">
        <v>2.8660060000000001</v>
      </c>
      <c r="AT127" s="51">
        <v>0.112215158</v>
      </c>
      <c r="AU127" s="51">
        <v>0.1543234</v>
      </c>
      <c r="AV127" s="51">
        <v>6.2199999999999998E-2</v>
      </c>
      <c r="AW127" s="51">
        <v>1061.92</v>
      </c>
      <c r="AX127" s="51" t="s">
        <v>1574</v>
      </c>
      <c r="AY127" s="51">
        <v>38.89</v>
      </c>
      <c r="AZ127" s="51" t="s">
        <v>1574</v>
      </c>
      <c r="BA127" s="51">
        <v>165.90811172856999</v>
      </c>
      <c r="BB127" s="51" t="s">
        <v>1574</v>
      </c>
      <c r="BC127" s="51">
        <v>0.65590000000000004</v>
      </c>
      <c r="BD127" s="51" t="s">
        <v>1574</v>
      </c>
      <c r="BE127" s="51">
        <v>0.47020000000000001</v>
      </c>
      <c r="BF127" s="51">
        <v>11.25</v>
      </c>
      <c r="BG127" s="51">
        <v>58</v>
      </c>
      <c r="BH127" s="51">
        <v>40</v>
      </c>
      <c r="BI127" s="51">
        <v>26.6</v>
      </c>
      <c r="BJ127" s="51">
        <v>22</v>
      </c>
      <c r="BK127" s="51">
        <v>606.2705078125</v>
      </c>
      <c r="BL127" s="51">
        <v>9.84</v>
      </c>
      <c r="BM127" s="51">
        <v>1699.76</v>
      </c>
      <c r="BN127" s="51">
        <v>334</v>
      </c>
      <c r="BO127" s="51">
        <v>3818.4</v>
      </c>
      <c r="BP127" s="51">
        <v>2363.4</v>
      </c>
      <c r="BQ127" s="51">
        <v>310.2</v>
      </c>
      <c r="BR127" s="51">
        <v>35.17</v>
      </c>
      <c r="BS127" s="51">
        <v>132.5</v>
      </c>
      <c r="BT127" s="51">
        <v>1.8070999999999999</v>
      </c>
      <c r="BU127" s="41"/>
      <c r="BV127" s="41"/>
      <c r="BW127" s="41"/>
      <c r="BX127" s="41"/>
      <c r="BY127" s="41"/>
      <c r="BZ127" s="41"/>
      <c r="CA127" s="41"/>
      <c r="CB127" s="41"/>
      <c r="CC127" s="41"/>
      <c r="CD127" s="41"/>
      <c r="CE127" s="41"/>
      <c r="CF127" s="41"/>
      <c r="CG127" s="41"/>
      <c r="CH127" s="41"/>
      <c r="CI127" s="41"/>
      <c r="CJ127" s="41"/>
      <c r="CK127" s="41"/>
    </row>
    <row r="128" spans="1:89">
      <c r="A128" s="48" t="s">
        <v>257</v>
      </c>
      <c r="B128" s="49">
        <v>1.21</v>
      </c>
      <c r="C128" s="49">
        <v>1.21</v>
      </c>
      <c r="D128" s="49">
        <v>1.21</v>
      </c>
      <c r="E128" s="49" t="s">
        <v>1574</v>
      </c>
      <c r="F128" s="49">
        <v>7.8</v>
      </c>
      <c r="G128" s="49" t="s">
        <v>1574</v>
      </c>
      <c r="H128" s="49">
        <v>0.17</v>
      </c>
      <c r="I128" s="49">
        <v>0.44721801014000001</v>
      </c>
      <c r="J128" s="49" t="s">
        <v>1574</v>
      </c>
      <c r="K128" s="49" t="s">
        <v>1574</v>
      </c>
      <c r="L128" s="49">
        <v>0.67500000000000004</v>
      </c>
      <c r="M128" s="49">
        <v>1.1369</v>
      </c>
      <c r="N128" s="49">
        <v>0.86198649999999999</v>
      </c>
      <c r="O128" s="49">
        <v>0.83499999999999996</v>
      </c>
      <c r="P128" s="49">
        <v>0.62664120000000001</v>
      </c>
      <c r="Q128" s="49">
        <v>0.99066670000000001</v>
      </c>
      <c r="R128" s="49">
        <v>0.88759960000000004</v>
      </c>
      <c r="S128" s="49">
        <v>405.8</v>
      </c>
      <c r="T128" s="49" t="s">
        <v>1574</v>
      </c>
      <c r="U128" s="49" t="s">
        <v>1574</v>
      </c>
      <c r="V128" s="49">
        <v>349.83</v>
      </c>
      <c r="W128" s="49">
        <v>255.34</v>
      </c>
      <c r="X128" s="49" t="s">
        <v>1574</v>
      </c>
      <c r="Y128" s="49">
        <v>107</v>
      </c>
      <c r="Z128" s="49">
        <v>252</v>
      </c>
      <c r="AA128" s="49">
        <v>101</v>
      </c>
      <c r="AB128" s="49" t="s">
        <v>1574</v>
      </c>
      <c r="AC128" s="49" t="s">
        <v>1574</v>
      </c>
      <c r="AD128" s="49">
        <v>25.527059572439999</v>
      </c>
      <c r="AE128" s="49">
        <v>58.4</v>
      </c>
      <c r="AF128" s="49">
        <v>51.8</v>
      </c>
      <c r="AG128" s="49">
        <v>140.44999999999999</v>
      </c>
      <c r="AH128" s="49" t="s">
        <v>1574</v>
      </c>
      <c r="AI128" s="49" t="s">
        <v>1574</v>
      </c>
      <c r="AJ128" s="49" t="s">
        <v>1574</v>
      </c>
      <c r="AK128" s="49" t="s">
        <v>1574</v>
      </c>
      <c r="AL128" s="49">
        <v>52.18</v>
      </c>
      <c r="AM128" s="49" t="s">
        <v>1574</v>
      </c>
      <c r="AN128" s="49">
        <v>0.1656</v>
      </c>
      <c r="AO128" s="49">
        <v>0.1696</v>
      </c>
      <c r="AP128" s="49">
        <v>1.2957000000000001</v>
      </c>
      <c r="AQ128" s="49">
        <v>0.41172424583</v>
      </c>
      <c r="AR128" s="49" t="s">
        <v>1574</v>
      </c>
      <c r="AS128" s="49">
        <v>2.7337288000000002</v>
      </c>
      <c r="AT128" s="49">
        <v>0.112215158</v>
      </c>
      <c r="AU128" s="49">
        <v>0.16534650000000001</v>
      </c>
      <c r="AV128" s="49">
        <v>7.9100000000000004E-2</v>
      </c>
      <c r="AW128" s="49">
        <v>1078.1099999999999</v>
      </c>
      <c r="AX128" s="49">
        <v>42.99</v>
      </c>
      <c r="AY128" s="49">
        <v>38.89</v>
      </c>
      <c r="AZ128" s="49">
        <v>175</v>
      </c>
      <c r="BA128" s="49">
        <v>165.90811172856999</v>
      </c>
      <c r="BB128" s="49" t="s">
        <v>1574</v>
      </c>
      <c r="BC128" s="49">
        <v>0.64480000000000004</v>
      </c>
      <c r="BD128" s="49" t="s">
        <v>1574</v>
      </c>
      <c r="BE128" s="49">
        <v>0.50419999999999998</v>
      </c>
      <c r="BF128" s="49">
        <v>11</v>
      </c>
      <c r="BG128" s="49">
        <v>54</v>
      </c>
      <c r="BH128" s="49">
        <v>44</v>
      </c>
      <c r="BI128" s="49">
        <v>18.25</v>
      </c>
      <c r="BJ128" s="49">
        <v>31.5</v>
      </c>
      <c r="BK128" s="49">
        <v>606.2705078125</v>
      </c>
      <c r="BL128" s="49">
        <v>9.84</v>
      </c>
      <c r="BM128" s="49">
        <v>1626.3</v>
      </c>
      <c r="BN128" s="49">
        <v>324.7</v>
      </c>
      <c r="BO128" s="49">
        <v>3842.7</v>
      </c>
      <c r="BP128" s="49">
        <v>2846.2</v>
      </c>
      <c r="BQ128" s="49">
        <v>302.39999999999998</v>
      </c>
      <c r="BR128" s="49">
        <v>34.94</v>
      </c>
      <c r="BS128" s="49">
        <v>132.5</v>
      </c>
      <c r="BT128" s="49">
        <v>1.8765000000000001</v>
      </c>
      <c r="BU128" s="41"/>
      <c r="BV128" s="41"/>
      <c r="BW128" s="41"/>
      <c r="BX128" s="41"/>
      <c r="BY128" s="41"/>
      <c r="BZ128" s="41"/>
      <c r="CA128" s="41"/>
      <c r="CB128" s="41"/>
      <c r="CC128" s="41"/>
      <c r="CD128" s="41"/>
      <c r="CE128" s="41"/>
      <c r="CF128" s="41"/>
      <c r="CG128" s="41"/>
      <c r="CH128" s="41"/>
      <c r="CI128" s="41"/>
      <c r="CJ128" s="41"/>
      <c r="CK128" s="41"/>
    </row>
    <row r="129" spans="1:89">
      <c r="A129" s="41" t="s">
        <v>258</v>
      </c>
      <c r="B129" s="51">
        <v>1.21</v>
      </c>
      <c r="C129" s="51">
        <v>1.21</v>
      </c>
      <c r="D129" s="51">
        <v>1.21</v>
      </c>
      <c r="E129" s="51" t="s">
        <v>1574</v>
      </c>
      <c r="F129" s="51">
        <v>7.8</v>
      </c>
      <c r="G129" s="51" t="s">
        <v>1574</v>
      </c>
      <c r="H129" s="51">
        <v>0.17</v>
      </c>
      <c r="I129" s="51">
        <v>0.44721801014000001</v>
      </c>
      <c r="J129" s="51" t="s">
        <v>1574</v>
      </c>
      <c r="K129" s="51" t="s">
        <v>1574</v>
      </c>
      <c r="L129" s="51">
        <v>0.67500000000000004</v>
      </c>
      <c r="M129" s="51">
        <v>1.1453</v>
      </c>
      <c r="N129" s="51">
        <v>0.84743639999999998</v>
      </c>
      <c r="O129" s="51">
        <v>0.83499999999999996</v>
      </c>
      <c r="P129" s="51">
        <v>0.62664120000000001</v>
      </c>
      <c r="Q129" s="51">
        <v>0.99066670000000001</v>
      </c>
      <c r="R129" s="51">
        <v>0.88759960000000004</v>
      </c>
      <c r="S129" s="51">
        <v>406.28</v>
      </c>
      <c r="T129" s="51" t="s">
        <v>1574</v>
      </c>
      <c r="U129" s="51" t="s">
        <v>1574</v>
      </c>
      <c r="V129" s="51">
        <v>346.99</v>
      </c>
      <c r="W129" s="51">
        <v>256.29000000000002</v>
      </c>
      <c r="X129" s="51" t="s">
        <v>1574</v>
      </c>
      <c r="Y129" s="51">
        <v>110</v>
      </c>
      <c r="Z129" s="51">
        <v>257</v>
      </c>
      <c r="AA129" s="51">
        <v>102</v>
      </c>
      <c r="AB129" s="51" t="s">
        <v>1574</v>
      </c>
      <c r="AC129" s="51" t="s">
        <v>1574</v>
      </c>
      <c r="AD129" s="51">
        <v>25.569435589379999</v>
      </c>
      <c r="AE129" s="51">
        <v>58.4</v>
      </c>
      <c r="AF129" s="51">
        <v>51.8</v>
      </c>
      <c r="AG129" s="51">
        <v>133.38</v>
      </c>
      <c r="AH129" s="51" t="s">
        <v>1574</v>
      </c>
      <c r="AI129" s="51" t="s">
        <v>1574</v>
      </c>
      <c r="AJ129" s="51" t="s">
        <v>1574</v>
      </c>
      <c r="AK129" s="51" t="s">
        <v>1574</v>
      </c>
      <c r="AL129" s="51">
        <v>52.18</v>
      </c>
      <c r="AM129" s="51" t="s">
        <v>1574</v>
      </c>
      <c r="AN129" s="51">
        <v>0.1744</v>
      </c>
      <c r="AO129" s="51">
        <v>0.1696</v>
      </c>
      <c r="AP129" s="51">
        <v>1.3338000000000001</v>
      </c>
      <c r="AQ129" s="51">
        <v>0.41333127903</v>
      </c>
      <c r="AR129" s="51" t="s">
        <v>1574</v>
      </c>
      <c r="AS129" s="51">
        <v>2.7337288000000002</v>
      </c>
      <c r="AT129" s="51">
        <v>0.112215158</v>
      </c>
      <c r="AU129" s="51">
        <v>0.16314187999999999</v>
      </c>
      <c r="AV129" s="51">
        <v>6.9000000000000006E-2</v>
      </c>
      <c r="AW129" s="51">
        <v>1114.27</v>
      </c>
      <c r="AX129" s="51">
        <v>42.99</v>
      </c>
      <c r="AY129" s="51">
        <v>40.630000000000003</v>
      </c>
      <c r="AZ129" s="51">
        <v>175</v>
      </c>
      <c r="BA129" s="51">
        <v>169.87615213162999</v>
      </c>
      <c r="BB129" s="51" t="s">
        <v>1574</v>
      </c>
      <c r="BC129" s="51">
        <v>0.65159999999999996</v>
      </c>
      <c r="BD129" s="51" t="s">
        <v>1574</v>
      </c>
      <c r="BE129" s="51">
        <v>0.47970000000000002</v>
      </c>
      <c r="BF129" s="51">
        <v>11</v>
      </c>
      <c r="BG129" s="51">
        <v>54</v>
      </c>
      <c r="BH129" s="51">
        <v>44</v>
      </c>
      <c r="BI129" s="51">
        <v>18.25</v>
      </c>
      <c r="BJ129" s="51">
        <v>31.5</v>
      </c>
      <c r="BK129" s="51">
        <v>606.2705078125</v>
      </c>
      <c r="BL129" s="51">
        <v>9.84</v>
      </c>
      <c r="BM129" s="51">
        <v>1657.2</v>
      </c>
      <c r="BN129" s="51">
        <v>341</v>
      </c>
      <c r="BO129" s="51">
        <v>3767.7</v>
      </c>
      <c r="BP129" s="51">
        <v>2846.2</v>
      </c>
      <c r="BQ129" s="51">
        <v>298</v>
      </c>
      <c r="BR129" s="51">
        <v>34.99</v>
      </c>
      <c r="BS129" s="51">
        <v>132.5</v>
      </c>
      <c r="BT129" s="51">
        <v>1.8957999999999999</v>
      </c>
      <c r="BU129" s="41"/>
      <c r="BV129" s="41"/>
      <c r="BW129" s="41"/>
      <c r="BX129" s="41"/>
      <c r="BY129" s="41"/>
      <c r="BZ129" s="41"/>
      <c r="CA129" s="41"/>
      <c r="CB129" s="41"/>
      <c r="CC129" s="41"/>
      <c r="CD129" s="41"/>
      <c r="CE129" s="41"/>
      <c r="CF129" s="41"/>
      <c r="CG129" s="41"/>
      <c r="CH129" s="41"/>
      <c r="CI129" s="41"/>
      <c r="CJ129" s="41"/>
      <c r="CK129" s="41"/>
    </row>
    <row r="130" spans="1:89">
      <c r="A130" s="48" t="s">
        <v>259</v>
      </c>
      <c r="B130" s="49">
        <v>1.21</v>
      </c>
      <c r="C130" s="49">
        <v>1.21</v>
      </c>
      <c r="D130" s="49">
        <v>1.21</v>
      </c>
      <c r="E130" s="49" t="s">
        <v>1574</v>
      </c>
      <c r="F130" s="49">
        <v>7.8</v>
      </c>
      <c r="G130" s="49" t="s">
        <v>1574</v>
      </c>
      <c r="H130" s="49">
        <v>0.17</v>
      </c>
      <c r="I130" s="49">
        <v>0.44721801014000001</v>
      </c>
      <c r="J130" s="49" t="s">
        <v>1574</v>
      </c>
      <c r="K130" s="49" t="s">
        <v>1574</v>
      </c>
      <c r="L130" s="49">
        <v>0.67500000000000004</v>
      </c>
      <c r="M130" s="49">
        <v>1.1711</v>
      </c>
      <c r="N130" s="49">
        <v>0.86793880000000001</v>
      </c>
      <c r="O130" s="49">
        <v>0.83499999999999996</v>
      </c>
      <c r="P130" s="49">
        <v>0.62664120000000001</v>
      </c>
      <c r="Q130" s="49">
        <v>0.99066670000000001</v>
      </c>
      <c r="R130" s="49">
        <v>0.88759960000000004</v>
      </c>
      <c r="S130" s="49">
        <v>406.28</v>
      </c>
      <c r="T130" s="49" t="s">
        <v>1574</v>
      </c>
      <c r="U130" s="49" t="s">
        <v>1574</v>
      </c>
      <c r="V130" s="49">
        <v>343.45</v>
      </c>
      <c r="W130" s="49">
        <v>258.88</v>
      </c>
      <c r="X130" s="49" t="s">
        <v>1574</v>
      </c>
      <c r="Y130" s="49">
        <v>111</v>
      </c>
      <c r="Z130" s="49">
        <v>268</v>
      </c>
      <c r="AA130" s="49">
        <v>97</v>
      </c>
      <c r="AB130" s="49" t="s">
        <v>1574</v>
      </c>
      <c r="AC130" s="49" t="s">
        <v>1574</v>
      </c>
      <c r="AD130" s="49">
        <v>25.611881952329998</v>
      </c>
      <c r="AE130" s="49">
        <v>58.4</v>
      </c>
      <c r="AF130" s="49">
        <v>51.8</v>
      </c>
      <c r="AG130" s="49">
        <v>126.31</v>
      </c>
      <c r="AH130" s="49" t="s">
        <v>1574</v>
      </c>
      <c r="AI130" s="49" t="s">
        <v>1574</v>
      </c>
      <c r="AJ130" s="49" t="s">
        <v>1574</v>
      </c>
      <c r="AK130" s="49" t="s">
        <v>1574</v>
      </c>
      <c r="AL130" s="49">
        <v>52.18</v>
      </c>
      <c r="AM130" s="49" t="s">
        <v>1574</v>
      </c>
      <c r="AN130" s="49">
        <v>0.19359999999999999</v>
      </c>
      <c r="AO130" s="49">
        <v>0.159</v>
      </c>
      <c r="AP130" s="49">
        <v>1.3461000000000001</v>
      </c>
      <c r="AQ130" s="49">
        <v>0.41387964614</v>
      </c>
      <c r="AR130" s="49" t="s">
        <v>1574</v>
      </c>
      <c r="AS130" s="49">
        <v>2.7337288000000002</v>
      </c>
      <c r="AT130" s="49">
        <v>0.112215158</v>
      </c>
      <c r="AU130" s="49">
        <v>0.16093726</v>
      </c>
      <c r="AV130" s="49">
        <v>7.4499999999999997E-2</v>
      </c>
      <c r="AW130" s="49">
        <v>1111.53</v>
      </c>
      <c r="AX130" s="49">
        <v>42.99</v>
      </c>
      <c r="AY130" s="49">
        <v>41.67</v>
      </c>
      <c r="AZ130" s="49">
        <v>175</v>
      </c>
      <c r="BA130" s="49">
        <v>172.21057681803001</v>
      </c>
      <c r="BB130" s="49" t="s">
        <v>1574</v>
      </c>
      <c r="BC130" s="49">
        <v>0.65700000000000003</v>
      </c>
      <c r="BD130" s="49" t="s">
        <v>1574</v>
      </c>
      <c r="BE130" s="49">
        <v>0.44330000000000003</v>
      </c>
      <c r="BF130" s="49">
        <v>11</v>
      </c>
      <c r="BG130" s="49">
        <v>54</v>
      </c>
      <c r="BH130" s="49">
        <v>44</v>
      </c>
      <c r="BI130" s="49">
        <v>18.25</v>
      </c>
      <c r="BJ130" s="49">
        <v>31.5</v>
      </c>
      <c r="BK130" s="49">
        <v>606.2705078125</v>
      </c>
      <c r="BL130" s="49">
        <v>9.84</v>
      </c>
      <c r="BM130" s="49">
        <v>1754</v>
      </c>
      <c r="BN130" s="49">
        <v>335.5</v>
      </c>
      <c r="BO130" s="49">
        <v>3796.4</v>
      </c>
      <c r="BP130" s="49">
        <v>2846.2</v>
      </c>
      <c r="BQ130" s="49">
        <v>296</v>
      </c>
      <c r="BR130" s="49">
        <v>35.090000000000003</v>
      </c>
      <c r="BS130" s="49">
        <v>132.5</v>
      </c>
      <c r="BT130" s="49">
        <v>1.8885000000000001</v>
      </c>
      <c r="BU130" s="41"/>
      <c r="BV130" s="41"/>
      <c r="BW130" s="41"/>
      <c r="BX130" s="41"/>
      <c r="BY130" s="41"/>
      <c r="BZ130" s="41"/>
      <c r="CA130" s="41"/>
      <c r="CB130" s="41"/>
      <c r="CC130" s="41"/>
      <c r="CD130" s="41"/>
      <c r="CE130" s="41"/>
      <c r="CF130" s="41"/>
      <c r="CG130" s="41"/>
      <c r="CH130" s="41"/>
      <c r="CI130" s="41"/>
      <c r="CJ130" s="41"/>
      <c r="CK130" s="41"/>
    </row>
    <row r="131" spans="1:89">
      <c r="A131" s="41" t="s">
        <v>260</v>
      </c>
      <c r="B131" s="51">
        <v>1.21</v>
      </c>
      <c r="C131" s="51">
        <v>1.21</v>
      </c>
      <c r="D131" s="51">
        <v>1.21</v>
      </c>
      <c r="E131" s="51" t="s">
        <v>1574</v>
      </c>
      <c r="F131" s="51">
        <v>7.8</v>
      </c>
      <c r="G131" s="51" t="s">
        <v>1574</v>
      </c>
      <c r="H131" s="51">
        <v>0.17</v>
      </c>
      <c r="I131" s="51">
        <v>0.44721801014000001</v>
      </c>
      <c r="J131" s="51" t="s">
        <v>1574</v>
      </c>
      <c r="K131" s="51" t="s">
        <v>1574</v>
      </c>
      <c r="L131" s="51">
        <v>0.67500000000000004</v>
      </c>
      <c r="M131" s="51">
        <v>1.2028000000000001</v>
      </c>
      <c r="N131" s="51">
        <v>0.9129121</v>
      </c>
      <c r="O131" s="51">
        <v>0.83499999999999996</v>
      </c>
      <c r="P131" s="51">
        <v>0.62664120000000001</v>
      </c>
      <c r="Q131" s="51">
        <v>0.99066670000000001</v>
      </c>
      <c r="R131" s="51">
        <v>0.88759960000000004</v>
      </c>
      <c r="S131" s="51">
        <v>406.28</v>
      </c>
      <c r="T131" s="51" t="s">
        <v>1574</v>
      </c>
      <c r="U131" s="51" t="s">
        <v>1574</v>
      </c>
      <c r="V131" s="51">
        <v>358.57</v>
      </c>
      <c r="W131" s="51">
        <v>267.62</v>
      </c>
      <c r="X131" s="51" t="s">
        <v>1574</v>
      </c>
      <c r="Y131" s="51">
        <v>112</v>
      </c>
      <c r="Z131" s="51">
        <v>298</v>
      </c>
      <c r="AA131" s="51">
        <v>97</v>
      </c>
      <c r="AB131" s="51" t="s">
        <v>1574</v>
      </c>
      <c r="AC131" s="51" t="s">
        <v>1574</v>
      </c>
      <c r="AD131" s="51">
        <v>25.65439877807</v>
      </c>
      <c r="AE131" s="51">
        <v>58.4</v>
      </c>
      <c r="AF131" s="51">
        <v>51.8</v>
      </c>
      <c r="AG131" s="51">
        <v>121.59</v>
      </c>
      <c r="AH131" s="51" t="s">
        <v>1574</v>
      </c>
      <c r="AI131" s="51" t="s">
        <v>1574</v>
      </c>
      <c r="AJ131" s="51" t="s">
        <v>1574</v>
      </c>
      <c r="AK131" s="51" t="s">
        <v>1574</v>
      </c>
      <c r="AL131" s="51">
        <v>52.18</v>
      </c>
      <c r="AM131" s="51" t="s">
        <v>1574</v>
      </c>
      <c r="AN131" s="51">
        <v>0.17130000000000001</v>
      </c>
      <c r="AO131" s="51">
        <v>0.16159999999999999</v>
      </c>
      <c r="AP131" s="51">
        <v>1.3622000000000001</v>
      </c>
      <c r="AQ131" s="51">
        <v>0.41532013670000001</v>
      </c>
      <c r="AR131" s="51" t="s">
        <v>1574</v>
      </c>
      <c r="AS131" s="51">
        <v>2.7337288000000002</v>
      </c>
      <c r="AT131" s="51">
        <v>0.112215158</v>
      </c>
      <c r="AU131" s="51">
        <v>0.16093726</v>
      </c>
      <c r="AV131" s="51">
        <v>7.8700000000000006E-2</v>
      </c>
      <c r="AW131" s="51">
        <v>1119.96</v>
      </c>
      <c r="AX131" s="51">
        <v>42.99</v>
      </c>
      <c r="AY131" s="51">
        <v>41.81</v>
      </c>
      <c r="AZ131" s="51">
        <v>175</v>
      </c>
      <c r="BA131" s="51">
        <v>172.52276965825001</v>
      </c>
      <c r="BB131" s="51" t="s">
        <v>1574</v>
      </c>
      <c r="BC131" s="51">
        <v>0.66180000000000005</v>
      </c>
      <c r="BD131" s="51" t="s">
        <v>1574</v>
      </c>
      <c r="BE131" s="51">
        <v>0.42020000000000002</v>
      </c>
      <c r="BF131" s="51">
        <v>11</v>
      </c>
      <c r="BG131" s="51">
        <v>54</v>
      </c>
      <c r="BH131" s="51">
        <v>44</v>
      </c>
      <c r="BI131" s="51">
        <v>18.25</v>
      </c>
      <c r="BJ131" s="51">
        <v>31.5</v>
      </c>
      <c r="BK131" s="51">
        <v>612.88427734375</v>
      </c>
      <c r="BL131" s="51">
        <v>9.84</v>
      </c>
      <c r="BM131" s="51">
        <v>1741.6</v>
      </c>
      <c r="BN131" s="51">
        <v>321.2</v>
      </c>
      <c r="BO131" s="51">
        <v>3849.3</v>
      </c>
      <c r="BP131" s="51">
        <v>2846.2</v>
      </c>
      <c r="BQ131" s="51">
        <v>293.39999999999998</v>
      </c>
      <c r="BR131" s="51">
        <v>35.619999999999997</v>
      </c>
      <c r="BS131" s="51">
        <v>132.5</v>
      </c>
      <c r="BT131" s="51">
        <v>1.8529</v>
      </c>
      <c r="BU131" s="41"/>
      <c r="BV131" s="41"/>
      <c r="BW131" s="41"/>
      <c r="BX131" s="41"/>
      <c r="BY131" s="41"/>
      <c r="BZ131" s="41"/>
      <c r="CA131" s="41"/>
      <c r="CB131" s="41"/>
      <c r="CC131" s="41"/>
      <c r="CD131" s="41"/>
      <c r="CE131" s="41"/>
      <c r="CF131" s="41"/>
      <c r="CG131" s="41"/>
      <c r="CH131" s="41"/>
      <c r="CI131" s="41"/>
      <c r="CJ131" s="41"/>
      <c r="CK131" s="41"/>
    </row>
    <row r="132" spans="1:89">
      <c r="A132" s="48" t="s">
        <v>261</v>
      </c>
      <c r="B132" s="49">
        <v>1.21</v>
      </c>
      <c r="C132" s="49">
        <v>1.21</v>
      </c>
      <c r="D132" s="49">
        <v>1.21</v>
      </c>
      <c r="E132" s="49" t="s">
        <v>1574</v>
      </c>
      <c r="F132" s="49">
        <v>7.8</v>
      </c>
      <c r="G132" s="49" t="s">
        <v>1574</v>
      </c>
      <c r="H132" s="49">
        <v>0.17</v>
      </c>
      <c r="I132" s="49">
        <v>0.44721801014000001</v>
      </c>
      <c r="J132" s="49" t="s">
        <v>1574</v>
      </c>
      <c r="K132" s="49" t="s">
        <v>1574</v>
      </c>
      <c r="L132" s="49">
        <v>0.67500000000000004</v>
      </c>
      <c r="M132" s="49">
        <v>1.2170000000000001</v>
      </c>
      <c r="N132" s="49">
        <v>0.94002819999999998</v>
      </c>
      <c r="O132" s="49">
        <v>0.83499999999999996</v>
      </c>
      <c r="P132" s="49">
        <v>0.62664120000000001</v>
      </c>
      <c r="Q132" s="49">
        <v>0.99066670000000001</v>
      </c>
      <c r="R132" s="49">
        <v>0.88759960000000004</v>
      </c>
      <c r="S132" s="49">
        <v>399.19</v>
      </c>
      <c r="T132" s="49" t="s">
        <v>1574</v>
      </c>
      <c r="U132" s="49" t="s">
        <v>1574</v>
      </c>
      <c r="V132" s="49">
        <v>383.84</v>
      </c>
      <c r="W132" s="49">
        <v>278.73</v>
      </c>
      <c r="X132" s="49" t="s">
        <v>1574</v>
      </c>
      <c r="Y132" s="49">
        <v>115</v>
      </c>
      <c r="Z132" s="49">
        <v>292</v>
      </c>
      <c r="AA132" s="49">
        <v>98</v>
      </c>
      <c r="AB132" s="49" t="s">
        <v>1574</v>
      </c>
      <c r="AC132" s="49" t="s">
        <v>1574</v>
      </c>
      <c r="AD132" s="49">
        <v>25.696986183570001</v>
      </c>
      <c r="AE132" s="49">
        <v>58.4</v>
      </c>
      <c r="AF132" s="49">
        <v>51.8</v>
      </c>
      <c r="AG132" s="49">
        <v>121.59</v>
      </c>
      <c r="AH132" s="49" t="s">
        <v>1574</v>
      </c>
      <c r="AI132" s="49" t="s">
        <v>1574</v>
      </c>
      <c r="AJ132" s="49" t="s">
        <v>1574</v>
      </c>
      <c r="AK132" s="49" t="s">
        <v>1574</v>
      </c>
      <c r="AL132" s="49">
        <v>52.18</v>
      </c>
      <c r="AM132" s="49" t="s">
        <v>1574</v>
      </c>
      <c r="AN132" s="49">
        <v>0.18920000000000001</v>
      </c>
      <c r="AO132" s="49">
        <v>0.159</v>
      </c>
      <c r="AP132" s="49">
        <v>1.3349</v>
      </c>
      <c r="AQ132" s="49">
        <v>0.41694840965000002</v>
      </c>
      <c r="AR132" s="49" t="s">
        <v>1574</v>
      </c>
      <c r="AS132" s="49">
        <v>2.7337288000000002</v>
      </c>
      <c r="AT132" s="49">
        <v>0.112215158</v>
      </c>
      <c r="AU132" s="49">
        <v>0.16755112</v>
      </c>
      <c r="AV132" s="49">
        <v>8.0500000000000002E-2</v>
      </c>
      <c r="AW132" s="49">
        <v>1074.77</v>
      </c>
      <c r="AX132" s="49">
        <v>42.99</v>
      </c>
      <c r="AY132" s="49">
        <v>43.5</v>
      </c>
      <c r="AZ132" s="49">
        <v>175</v>
      </c>
      <c r="BA132" s="49">
        <v>176.25414124668001</v>
      </c>
      <c r="BB132" s="49" t="s">
        <v>1574</v>
      </c>
      <c r="BC132" s="49">
        <v>0.66449999999999998</v>
      </c>
      <c r="BD132" s="49" t="s">
        <v>1574</v>
      </c>
      <c r="BE132" s="49">
        <v>0.41489999999999999</v>
      </c>
      <c r="BF132" s="49">
        <v>11</v>
      </c>
      <c r="BG132" s="49">
        <v>54</v>
      </c>
      <c r="BH132" s="49">
        <v>44</v>
      </c>
      <c r="BI132" s="49">
        <v>18.25</v>
      </c>
      <c r="BJ132" s="49">
        <v>31.5</v>
      </c>
      <c r="BK132" s="49">
        <v>617.29370117188</v>
      </c>
      <c r="BL132" s="49">
        <v>9.84</v>
      </c>
      <c r="BM132" s="49">
        <v>1597.9</v>
      </c>
      <c r="BN132" s="49">
        <v>291.60000000000002</v>
      </c>
      <c r="BO132" s="49">
        <v>3736.8</v>
      </c>
      <c r="BP132" s="49">
        <v>2846.2</v>
      </c>
      <c r="BQ132" s="49">
        <v>291.7</v>
      </c>
      <c r="BR132" s="49">
        <v>35.950000000000003</v>
      </c>
      <c r="BS132" s="49">
        <v>132.5</v>
      </c>
      <c r="BT132" s="49">
        <v>1.67</v>
      </c>
      <c r="BU132" s="41"/>
      <c r="BV132" s="41"/>
      <c r="BW132" s="41"/>
      <c r="BX132" s="41"/>
      <c r="BY132" s="41"/>
      <c r="BZ132" s="41"/>
      <c r="CA132" s="41"/>
      <c r="CB132" s="41"/>
      <c r="CC132" s="41"/>
      <c r="CD132" s="41"/>
      <c r="CE132" s="41"/>
      <c r="CF132" s="41"/>
      <c r="CG132" s="41"/>
      <c r="CH132" s="41"/>
      <c r="CI132" s="41"/>
      <c r="CJ132" s="41"/>
      <c r="CK132" s="41"/>
    </row>
    <row r="133" spans="1:89">
      <c r="A133" s="41" t="s">
        <v>262</v>
      </c>
      <c r="B133" s="51">
        <v>1.21</v>
      </c>
      <c r="C133" s="51">
        <v>1.21</v>
      </c>
      <c r="D133" s="51">
        <v>1.21</v>
      </c>
      <c r="E133" s="51" t="s">
        <v>1574</v>
      </c>
      <c r="F133" s="51">
        <v>7.8</v>
      </c>
      <c r="G133" s="51" t="s">
        <v>1574</v>
      </c>
      <c r="H133" s="51">
        <v>0.17</v>
      </c>
      <c r="I133" s="51">
        <v>0.44721801014000001</v>
      </c>
      <c r="J133" s="51" t="s">
        <v>1574</v>
      </c>
      <c r="K133" s="51" t="s">
        <v>1574</v>
      </c>
      <c r="L133" s="51">
        <v>0.67500000000000004</v>
      </c>
      <c r="M133" s="51">
        <v>1.2060999999999999</v>
      </c>
      <c r="N133" s="51">
        <v>0.92988729999999997</v>
      </c>
      <c r="O133" s="51">
        <v>0.83499999999999996</v>
      </c>
      <c r="P133" s="51">
        <v>0.62664120000000001</v>
      </c>
      <c r="Q133" s="51">
        <v>0.99066670000000001</v>
      </c>
      <c r="R133" s="51">
        <v>0.88759960000000004</v>
      </c>
      <c r="S133" s="51">
        <v>389.74</v>
      </c>
      <c r="T133" s="51" t="s">
        <v>1574</v>
      </c>
      <c r="U133" s="51" t="s">
        <v>1574</v>
      </c>
      <c r="V133" s="51">
        <v>383.37</v>
      </c>
      <c r="W133" s="51">
        <v>277.07</v>
      </c>
      <c r="X133" s="51" t="s">
        <v>1574</v>
      </c>
      <c r="Y133" s="51">
        <v>118</v>
      </c>
      <c r="Z133" s="51">
        <v>288</v>
      </c>
      <c r="AA133" s="51">
        <v>102</v>
      </c>
      <c r="AB133" s="51" t="s">
        <v>1574</v>
      </c>
      <c r="AC133" s="51" t="s">
        <v>1574</v>
      </c>
      <c r="AD133" s="51">
        <v>25.73964428599</v>
      </c>
      <c r="AE133" s="51">
        <v>58.4</v>
      </c>
      <c r="AF133" s="51">
        <v>51.8</v>
      </c>
      <c r="AG133" s="51">
        <v>123.95</v>
      </c>
      <c r="AH133" s="51" t="s">
        <v>1574</v>
      </c>
      <c r="AI133" s="51" t="s">
        <v>1574</v>
      </c>
      <c r="AJ133" s="51" t="s">
        <v>1574</v>
      </c>
      <c r="AK133" s="51" t="s">
        <v>1574</v>
      </c>
      <c r="AL133" s="51">
        <v>52.18</v>
      </c>
      <c r="AM133" s="51" t="s">
        <v>1574</v>
      </c>
      <c r="AN133" s="51">
        <v>0.18190000000000001</v>
      </c>
      <c r="AO133" s="51">
        <v>0.15629999999999999</v>
      </c>
      <c r="AP133" s="51">
        <v>1.2979000000000001</v>
      </c>
      <c r="AQ133" s="51">
        <v>0.41911571831</v>
      </c>
      <c r="AR133" s="51" t="s">
        <v>1574</v>
      </c>
      <c r="AS133" s="51">
        <v>2.7337288000000002</v>
      </c>
      <c r="AT133" s="51">
        <v>0.112215158</v>
      </c>
      <c r="AU133" s="51">
        <v>0.16755112</v>
      </c>
      <c r="AV133" s="51">
        <v>8.4199999999999997E-2</v>
      </c>
      <c r="AW133" s="51">
        <v>1047.3399999999999</v>
      </c>
      <c r="AX133" s="51">
        <v>42.99</v>
      </c>
      <c r="AY133" s="51">
        <v>44.44</v>
      </c>
      <c r="AZ133" s="51">
        <v>175</v>
      </c>
      <c r="BA133" s="51">
        <v>178.30072878273</v>
      </c>
      <c r="BB133" s="51" t="s">
        <v>1574</v>
      </c>
      <c r="BC133" s="51">
        <v>0.66600000000000004</v>
      </c>
      <c r="BD133" s="51" t="s">
        <v>1574</v>
      </c>
      <c r="BE133" s="51">
        <v>0.41199999999999998</v>
      </c>
      <c r="BF133" s="51">
        <v>11</v>
      </c>
      <c r="BG133" s="51">
        <v>54</v>
      </c>
      <c r="BH133" s="51">
        <v>44</v>
      </c>
      <c r="BI133" s="51">
        <v>18.25</v>
      </c>
      <c r="BJ133" s="51">
        <v>31.5</v>
      </c>
      <c r="BK133" s="51">
        <v>617.29370117188</v>
      </c>
      <c r="BL133" s="51">
        <v>9.84</v>
      </c>
      <c r="BM133" s="51">
        <v>1458</v>
      </c>
      <c r="BN133" s="51">
        <v>308.2</v>
      </c>
      <c r="BO133" s="51">
        <v>3542.8</v>
      </c>
      <c r="BP133" s="51">
        <v>2846.2</v>
      </c>
      <c r="BQ133" s="51">
        <v>293.2</v>
      </c>
      <c r="BR133" s="51">
        <v>35.42</v>
      </c>
      <c r="BS133" s="51">
        <v>132.5</v>
      </c>
      <c r="BT133" s="51">
        <v>1.6394</v>
      </c>
      <c r="BU133" s="41"/>
      <c r="BV133" s="41"/>
      <c r="BW133" s="41"/>
      <c r="BX133" s="41"/>
      <c r="BY133" s="41"/>
      <c r="BZ133" s="41"/>
      <c r="CA133" s="41"/>
      <c r="CB133" s="41"/>
      <c r="CC133" s="41"/>
      <c r="CD133" s="41"/>
      <c r="CE133" s="41"/>
      <c r="CF133" s="41"/>
      <c r="CG133" s="41"/>
      <c r="CH133" s="41"/>
      <c r="CI133" s="41"/>
      <c r="CJ133" s="41"/>
      <c r="CK133" s="41"/>
    </row>
    <row r="134" spans="1:89">
      <c r="A134" s="48" t="s">
        <v>263</v>
      </c>
      <c r="B134" s="49">
        <v>1.21</v>
      </c>
      <c r="C134" s="49">
        <v>1.21</v>
      </c>
      <c r="D134" s="49">
        <v>1.21</v>
      </c>
      <c r="E134" s="49" t="s">
        <v>1574</v>
      </c>
      <c r="F134" s="49">
        <v>7.8</v>
      </c>
      <c r="G134" s="49" t="s">
        <v>1574</v>
      </c>
      <c r="H134" s="49">
        <v>0.17</v>
      </c>
      <c r="I134" s="49">
        <v>0.44721801014000001</v>
      </c>
      <c r="J134" s="49" t="s">
        <v>1574</v>
      </c>
      <c r="K134" s="49" t="s">
        <v>1574</v>
      </c>
      <c r="L134" s="49">
        <v>0.67500000000000004</v>
      </c>
      <c r="M134" s="49">
        <v>1.2121</v>
      </c>
      <c r="N134" s="49">
        <v>0.9424534</v>
      </c>
      <c r="O134" s="49">
        <v>0.83499999999999996</v>
      </c>
      <c r="P134" s="49">
        <v>0.62664120000000001</v>
      </c>
      <c r="Q134" s="49">
        <v>0.99066670000000001</v>
      </c>
      <c r="R134" s="49">
        <v>0.88759960000000004</v>
      </c>
      <c r="S134" s="49">
        <v>389.74</v>
      </c>
      <c r="T134" s="49" t="s">
        <v>1574</v>
      </c>
      <c r="U134" s="49" t="s">
        <v>1574</v>
      </c>
      <c r="V134" s="49">
        <v>385.73</v>
      </c>
      <c r="W134" s="49">
        <v>261.01</v>
      </c>
      <c r="X134" s="49" t="s">
        <v>1574</v>
      </c>
      <c r="Y134" s="49">
        <v>122</v>
      </c>
      <c r="Z134" s="49">
        <v>290</v>
      </c>
      <c r="AA134" s="49">
        <v>106</v>
      </c>
      <c r="AB134" s="49" t="s">
        <v>1574</v>
      </c>
      <c r="AC134" s="49" t="s">
        <v>1574</v>
      </c>
      <c r="AD134" s="49">
        <v>25.863846571130001</v>
      </c>
      <c r="AE134" s="49">
        <v>58.4</v>
      </c>
      <c r="AF134" s="49">
        <v>51.8</v>
      </c>
      <c r="AG134" s="49">
        <v>124.93</v>
      </c>
      <c r="AH134" s="49" t="s">
        <v>1574</v>
      </c>
      <c r="AI134" s="49" t="s">
        <v>1574</v>
      </c>
      <c r="AJ134" s="49" t="s">
        <v>1574</v>
      </c>
      <c r="AK134" s="49" t="s">
        <v>1574</v>
      </c>
      <c r="AL134" s="49">
        <v>52.54</v>
      </c>
      <c r="AM134" s="49" t="s">
        <v>1574</v>
      </c>
      <c r="AN134" s="49">
        <v>0.1479</v>
      </c>
      <c r="AO134" s="49">
        <v>0.1696</v>
      </c>
      <c r="AP134" s="49">
        <v>1.2927999999999999</v>
      </c>
      <c r="AQ134" s="49">
        <v>0.42126657604000001</v>
      </c>
      <c r="AR134" s="49" t="s">
        <v>1574</v>
      </c>
      <c r="AS134" s="49">
        <v>2.7337288000000002</v>
      </c>
      <c r="AT134" s="49">
        <v>0.112215158</v>
      </c>
      <c r="AU134" s="49">
        <v>0.16755112</v>
      </c>
      <c r="AV134" s="49">
        <v>8.4199999999999997E-2</v>
      </c>
      <c r="AW134" s="49">
        <v>1065.43</v>
      </c>
      <c r="AX134" s="49">
        <v>42.99</v>
      </c>
      <c r="AY134" s="49">
        <v>44.44</v>
      </c>
      <c r="AZ134" s="49">
        <v>175</v>
      </c>
      <c r="BA134" s="49">
        <v>178.30072878273</v>
      </c>
      <c r="BB134" s="49" t="s">
        <v>1574</v>
      </c>
      <c r="BC134" s="49">
        <v>0.67210000000000003</v>
      </c>
      <c r="BD134" s="49" t="s">
        <v>1574</v>
      </c>
      <c r="BE134" s="49">
        <v>0.38290000000000002</v>
      </c>
      <c r="BF134" s="49">
        <v>11</v>
      </c>
      <c r="BG134" s="49">
        <v>54</v>
      </c>
      <c r="BH134" s="49">
        <v>41</v>
      </c>
      <c r="BI134" s="49">
        <v>18.25</v>
      </c>
      <c r="BJ134" s="49">
        <v>31.5</v>
      </c>
      <c r="BK134" s="49">
        <v>617.29370117188</v>
      </c>
      <c r="BL134" s="49">
        <v>9.84</v>
      </c>
      <c r="BM134" s="49">
        <v>1366.6</v>
      </c>
      <c r="BN134" s="49">
        <v>300.7</v>
      </c>
      <c r="BO134" s="49">
        <v>3498.7</v>
      </c>
      <c r="BP134" s="49">
        <v>2846.2</v>
      </c>
      <c r="BQ134" s="49">
        <v>298.10000000000002</v>
      </c>
      <c r="BR134" s="49">
        <v>35.32</v>
      </c>
      <c r="BS134" s="49">
        <v>132.5</v>
      </c>
      <c r="BT134" s="49">
        <v>1.6866000000000001</v>
      </c>
      <c r="BU134" s="41"/>
      <c r="BV134" s="41"/>
      <c r="BW134" s="41"/>
      <c r="BX134" s="41"/>
      <c r="BY134" s="41"/>
      <c r="BZ134" s="41"/>
      <c r="CA134" s="41"/>
      <c r="CB134" s="41"/>
      <c r="CC134" s="41"/>
      <c r="CD134" s="41"/>
      <c r="CE134" s="41"/>
      <c r="CF134" s="41"/>
      <c r="CG134" s="41"/>
      <c r="CH134" s="41"/>
      <c r="CI134" s="41"/>
      <c r="CJ134" s="41"/>
      <c r="CK134" s="41"/>
    </row>
    <row r="135" spans="1:89">
      <c r="A135" s="41" t="s">
        <v>264</v>
      </c>
      <c r="B135" s="51">
        <v>1.21</v>
      </c>
      <c r="C135" s="51">
        <v>1.21</v>
      </c>
      <c r="D135" s="51">
        <v>1.21</v>
      </c>
      <c r="E135" s="51" t="s">
        <v>1574</v>
      </c>
      <c r="F135" s="51">
        <v>7.8</v>
      </c>
      <c r="G135" s="51" t="s">
        <v>1574</v>
      </c>
      <c r="H135" s="51">
        <v>0.17</v>
      </c>
      <c r="I135" s="51">
        <v>0.44721801014000001</v>
      </c>
      <c r="J135" s="51" t="s">
        <v>1574</v>
      </c>
      <c r="K135" s="51" t="s">
        <v>1574</v>
      </c>
      <c r="L135" s="51">
        <v>0.67500000000000004</v>
      </c>
      <c r="M135" s="51">
        <v>1.1828000000000001</v>
      </c>
      <c r="N135" s="51">
        <v>0.94465779999999999</v>
      </c>
      <c r="O135" s="51">
        <v>0.83499999999999996</v>
      </c>
      <c r="P135" s="51">
        <v>0.62664120000000001</v>
      </c>
      <c r="Q135" s="51">
        <v>0.99066670000000001</v>
      </c>
      <c r="R135" s="51">
        <v>0.88759960000000004</v>
      </c>
      <c r="S135" s="51">
        <v>377.93</v>
      </c>
      <c r="T135" s="51" t="s">
        <v>1574</v>
      </c>
      <c r="U135" s="51" t="s">
        <v>1574</v>
      </c>
      <c r="V135" s="51">
        <v>392.11</v>
      </c>
      <c r="W135" s="51">
        <v>240.22</v>
      </c>
      <c r="X135" s="51" t="s">
        <v>1574</v>
      </c>
      <c r="Y135" s="51">
        <v>120</v>
      </c>
      <c r="Z135" s="51">
        <v>270</v>
      </c>
      <c r="AA135" s="51">
        <v>107</v>
      </c>
      <c r="AB135" s="51" t="s">
        <v>1574</v>
      </c>
      <c r="AC135" s="51" t="s">
        <v>1574</v>
      </c>
      <c r="AD135" s="51">
        <v>26.236915759319999</v>
      </c>
      <c r="AE135" s="51">
        <v>58.4</v>
      </c>
      <c r="AF135" s="51">
        <v>51.8</v>
      </c>
      <c r="AG135" s="51">
        <v>128.08000000000001</v>
      </c>
      <c r="AH135" s="51" t="s">
        <v>1574</v>
      </c>
      <c r="AI135" s="51" t="s">
        <v>1574</v>
      </c>
      <c r="AJ135" s="51" t="s">
        <v>1574</v>
      </c>
      <c r="AK135" s="51" t="s">
        <v>1574</v>
      </c>
      <c r="AL135" s="51">
        <v>54.01</v>
      </c>
      <c r="AM135" s="51" t="s">
        <v>1574</v>
      </c>
      <c r="AN135" s="51">
        <v>0.1598</v>
      </c>
      <c r="AO135" s="51">
        <v>0.1696</v>
      </c>
      <c r="AP135" s="51">
        <v>1.2468999999999999</v>
      </c>
      <c r="AQ135" s="51">
        <v>0.42290249237999999</v>
      </c>
      <c r="AR135" s="51" t="s">
        <v>1574</v>
      </c>
      <c r="AS135" s="51">
        <v>2.7337288000000002</v>
      </c>
      <c r="AT135" s="51">
        <v>0.112215158</v>
      </c>
      <c r="AU135" s="51">
        <v>0.16755112</v>
      </c>
      <c r="AV135" s="51">
        <v>8.4099999999999994E-2</v>
      </c>
      <c r="AW135" s="51">
        <v>1082.5999999999999</v>
      </c>
      <c r="AX135" s="51">
        <v>42.99</v>
      </c>
      <c r="AY135" s="51">
        <v>44.44</v>
      </c>
      <c r="AZ135" s="51">
        <v>175</v>
      </c>
      <c r="BA135" s="51">
        <v>178.30072878273</v>
      </c>
      <c r="BB135" s="51" t="s">
        <v>1574</v>
      </c>
      <c r="BC135" s="51">
        <v>0.68259999999999998</v>
      </c>
      <c r="BD135" s="51" t="s">
        <v>1574</v>
      </c>
      <c r="BE135" s="51">
        <v>0.37130000000000002</v>
      </c>
      <c r="BF135" s="51">
        <v>11</v>
      </c>
      <c r="BG135" s="51">
        <v>54</v>
      </c>
      <c r="BH135" s="51">
        <v>41</v>
      </c>
      <c r="BI135" s="51">
        <v>18.25</v>
      </c>
      <c r="BJ135" s="51">
        <v>31.5</v>
      </c>
      <c r="BK135" s="51">
        <v>617.29370117188</v>
      </c>
      <c r="BL135" s="51">
        <v>9.84</v>
      </c>
      <c r="BM135" s="51">
        <v>1266.5</v>
      </c>
      <c r="BN135" s="51">
        <v>285.39999999999998</v>
      </c>
      <c r="BO135" s="51">
        <v>3620</v>
      </c>
      <c r="BP135" s="51">
        <v>2846.2</v>
      </c>
      <c r="BQ135" s="51">
        <v>298.10000000000002</v>
      </c>
      <c r="BR135" s="51">
        <v>35.380000000000003</v>
      </c>
      <c r="BS135" s="51">
        <v>132.5</v>
      </c>
      <c r="BT135" s="51">
        <v>1.7977000000000001</v>
      </c>
      <c r="BU135" s="41"/>
      <c r="BV135" s="41"/>
      <c r="BW135" s="41"/>
      <c r="BX135" s="41"/>
      <c r="BY135" s="41"/>
      <c r="BZ135" s="41"/>
      <c r="CA135" s="41"/>
      <c r="CB135" s="41"/>
      <c r="CC135" s="41"/>
      <c r="CD135" s="41"/>
      <c r="CE135" s="41"/>
      <c r="CF135" s="41"/>
      <c r="CG135" s="41"/>
      <c r="CH135" s="41"/>
      <c r="CI135" s="41"/>
      <c r="CJ135" s="41"/>
      <c r="CK135" s="41"/>
    </row>
    <row r="136" spans="1:89">
      <c r="A136" s="48" t="s">
        <v>265</v>
      </c>
      <c r="B136" s="49">
        <v>1.21</v>
      </c>
      <c r="C136" s="49">
        <v>1.21</v>
      </c>
      <c r="D136" s="49">
        <v>1.21</v>
      </c>
      <c r="E136" s="49" t="s">
        <v>1574</v>
      </c>
      <c r="F136" s="49">
        <v>7.8</v>
      </c>
      <c r="G136" s="49" t="s">
        <v>1574</v>
      </c>
      <c r="H136" s="49">
        <v>0.17</v>
      </c>
      <c r="I136" s="49">
        <v>0.44721801014000001</v>
      </c>
      <c r="J136" s="49" t="s">
        <v>1574</v>
      </c>
      <c r="K136" s="49" t="s">
        <v>1574</v>
      </c>
      <c r="L136" s="49">
        <v>0.67500000000000004</v>
      </c>
      <c r="M136" s="49">
        <v>1.1603000000000001</v>
      </c>
      <c r="N136" s="49">
        <v>0.93870549999999997</v>
      </c>
      <c r="O136" s="49">
        <v>0.83499999999999996</v>
      </c>
      <c r="P136" s="49">
        <v>0.62664120000000001</v>
      </c>
      <c r="Q136" s="49">
        <v>0.99066670000000001</v>
      </c>
      <c r="R136" s="49">
        <v>0.88759960000000004</v>
      </c>
      <c r="S136" s="49">
        <v>381</v>
      </c>
      <c r="T136" s="49" t="s">
        <v>1574</v>
      </c>
      <c r="U136" s="49" t="s">
        <v>1574</v>
      </c>
      <c r="V136" s="49">
        <v>364.47</v>
      </c>
      <c r="W136" s="49">
        <v>226.29</v>
      </c>
      <c r="X136" s="49" t="s">
        <v>1574</v>
      </c>
      <c r="Y136" s="49">
        <v>119</v>
      </c>
      <c r="Z136" s="49">
        <v>276</v>
      </c>
      <c r="AA136" s="49">
        <v>106</v>
      </c>
      <c r="AB136" s="49" t="s">
        <v>1574</v>
      </c>
      <c r="AC136" s="49" t="s">
        <v>1574</v>
      </c>
      <c r="AD136" s="49">
        <v>26.768581567679998</v>
      </c>
      <c r="AE136" s="49">
        <v>58.4</v>
      </c>
      <c r="AF136" s="49">
        <v>51.8</v>
      </c>
      <c r="AG136" s="49">
        <v>125.72</v>
      </c>
      <c r="AH136" s="49" t="s">
        <v>1574</v>
      </c>
      <c r="AI136" s="49" t="s">
        <v>1574</v>
      </c>
      <c r="AJ136" s="49" t="s">
        <v>1574</v>
      </c>
      <c r="AK136" s="49" t="s">
        <v>1574</v>
      </c>
      <c r="AL136" s="49">
        <v>56.22</v>
      </c>
      <c r="AM136" s="49" t="s">
        <v>1574</v>
      </c>
      <c r="AN136" s="49">
        <v>0.1618</v>
      </c>
      <c r="AO136" s="49">
        <v>0.1696</v>
      </c>
      <c r="AP136" s="49">
        <v>1.28</v>
      </c>
      <c r="AQ136" s="49">
        <v>0.42420408000999998</v>
      </c>
      <c r="AR136" s="49" t="s">
        <v>1574</v>
      </c>
      <c r="AS136" s="49">
        <v>2.7337288000000002</v>
      </c>
      <c r="AT136" s="49">
        <v>0.112215158</v>
      </c>
      <c r="AU136" s="49">
        <v>0.16755112</v>
      </c>
      <c r="AV136" s="49">
        <v>8.5300000000000001E-2</v>
      </c>
      <c r="AW136" s="49">
        <v>1071.75</v>
      </c>
      <c r="AX136" s="49">
        <v>42.99</v>
      </c>
      <c r="AY136" s="49">
        <v>44.44</v>
      </c>
      <c r="AZ136" s="49">
        <v>175</v>
      </c>
      <c r="BA136" s="49">
        <v>178.30072878273</v>
      </c>
      <c r="BB136" s="49" t="s">
        <v>1574</v>
      </c>
      <c r="BC136" s="49">
        <v>0.69179999999999997</v>
      </c>
      <c r="BD136" s="49" t="s">
        <v>1574</v>
      </c>
      <c r="BE136" s="49">
        <v>0.3649</v>
      </c>
      <c r="BF136" s="49">
        <v>11</v>
      </c>
      <c r="BG136" s="49">
        <v>54</v>
      </c>
      <c r="BH136" s="49">
        <v>41</v>
      </c>
      <c r="BI136" s="49">
        <v>18.25</v>
      </c>
      <c r="BJ136" s="49">
        <v>31.5</v>
      </c>
      <c r="BK136" s="49">
        <v>617.29370117188</v>
      </c>
      <c r="BL136" s="49">
        <v>9.84</v>
      </c>
      <c r="BM136" s="49">
        <v>1246.9000000000001</v>
      </c>
      <c r="BN136" s="49">
        <v>284.8</v>
      </c>
      <c r="BO136" s="49">
        <v>3646.4</v>
      </c>
      <c r="BP136" s="49">
        <v>2846.2</v>
      </c>
      <c r="BQ136" s="49">
        <v>300</v>
      </c>
      <c r="BR136" s="49">
        <v>36.19</v>
      </c>
      <c r="BS136" s="49">
        <v>132.5</v>
      </c>
      <c r="BT136" s="49">
        <v>1.8016000000000001</v>
      </c>
      <c r="BU136" s="41"/>
      <c r="BV136" s="41"/>
      <c r="BW136" s="41"/>
      <c r="BX136" s="41"/>
      <c r="BY136" s="41"/>
      <c r="BZ136" s="41"/>
      <c r="CA136" s="41"/>
      <c r="CB136" s="41"/>
      <c r="CC136" s="41"/>
      <c r="CD136" s="41"/>
      <c r="CE136" s="41"/>
      <c r="CF136" s="41"/>
      <c r="CG136" s="41"/>
      <c r="CH136" s="41"/>
      <c r="CI136" s="41"/>
      <c r="CJ136" s="41"/>
      <c r="CK136" s="41"/>
    </row>
    <row r="137" spans="1:89">
      <c r="A137" s="41" t="s">
        <v>266</v>
      </c>
      <c r="B137" s="51">
        <v>1.21</v>
      </c>
      <c r="C137" s="51">
        <v>1.21</v>
      </c>
      <c r="D137" s="51">
        <v>1.21</v>
      </c>
      <c r="E137" s="51" t="s">
        <v>1574</v>
      </c>
      <c r="F137" s="51">
        <v>7.8</v>
      </c>
      <c r="G137" s="51" t="s">
        <v>1574</v>
      </c>
      <c r="H137" s="51">
        <v>0.17</v>
      </c>
      <c r="I137" s="51">
        <v>0.44721801014000001</v>
      </c>
      <c r="J137" s="51" t="s">
        <v>1574</v>
      </c>
      <c r="K137" s="51" t="s">
        <v>1574</v>
      </c>
      <c r="L137" s="51">
        <v>0.67500000000000004</v>
      </c>
      <c r="M137" s="51">
        <v>1.1196999999999999</v>
      </c>
      <c r="N137" s="51">
        <v>0.94157150000000001</v>
      </c>
      <c r="O137" s="51">
        <v>0.83499999999999996</v>
      </c>
      <c r="P137" s="51">
        <v>0.62664120000000001</v>
      </c>
      <c r="Q137" s="51">
        <v>0.99066670000000001</v>
      </c>
      <c r="R137" s="51">
        <v>0.88759960000000004</v>
      </c>
      <c r="S137" s="51">
        <v>398.48</v>
      </c>
      <c r="T137" s="51" t="s">
        <v>1574</v>
      </c>
      <c r="U137" s="51" t="s">
        <v>1574</v>
      </c>
      <c r="V137" s="51">
        <v>390.22</v>
      </c>
      <c r="W137" s="51">
        <v>257.47000000000003</v>
      </c>
      <c r="X137" s="51" t="s">
        <v>1574</v>
      </c>
      <c r="Y137" s="51">
        <v>123</v>
      </c>
      <c r="Z137" s="51">
        <v>304</v>
      </c>
      <c r="AA137" s="51">
        <v>104</v>
      </c>
      <c r="AB137" s="51" t="s">
        <v>1574</v>
      </c>
      <c r="AC137" s="51" t="s">
        <v>1574</v>
      </c>
      <c r="AD137" s="51">
        <v>27.368679832400002</v>
      </c>
      <c r="AE137" s="51">
        <v>58.4</v>
      </c>
      <c r="AF137" s="51">
        <v>51.8</v>
      </c>
      <c r="AG137" s="51">
        <v>124.44</v>
      </c>
      <c r="AH137" s="51" t="s">
        <v>1574</v>
      </c>
      <c r="AI137" s="51" t="s">
        <v>1574</v>
      </c>
      <c r="AJ137" s="51" t="s">
        <v>1574</v>
      </c>
      <c r="AK137" s="51" t="s">
        <v>1574</v>
      </c>
      <c r="AL137" s="51">
        <v>58.79</v>
      </c>
      <c r="AM137" s="51" t="s">
        <v>1574</v>
      </c>
      <c r="AN137" s="51">
        <v>0.16930000000000001</v>
      </c>
      <c r="AO137" s="51">
        <v>0.1696</v>
      </c>
      <c r="AP137" s="51">
        <v>1.284</v>
      </c>
      <c r="AQ137" s="51">
        <v>0.42533402559</v>
      </c>
      <c r="AR137" s="51" t="s">
        <v>1574</v>
      </c>
      <c r="AS137" s="51">
        <v>2.7337288000000002</v>
      </c>
      <c r="AT137" s="51">
        <v>0.112215158</v>
      </c>
      <c r="AU137" s="51">
        <v>0.16755112</v>
      </c>
      <c r="AV137" s="51">
        <v>8.6599999999999996E-2</v>
      </c>
      <c r="AW137" s="51">
        <v>1025.76</v>
      </c>
      <c r="AX137" s="51">
        <v>42.99</v>
      </c>
      <c r="AY137" s="51">
        <v>44.44</v>
      </c>
      <c r="AZ137" s="51">
        <v>175</v>
      </c>
      <c r="BA137" s="51">
        <v>178.30072878273</v>
      </c>
      <c r="BB137" s="51" t="s">
        <v>1574</v>
      </c>
      <c r="BC137" s="51">
        <v>0.69769999999999999</v>
      </c>
      <c r="BD137" s="51" t="s">
        <v>1574</v>
      </c>
      <c r="BE137" s="51">
        <v>0.34810000000000002</v>
      </c>
      <c r="BF137" s="51">
        <v>11</v>
      </c>
      <c r="BG137" s="51">
        <v>54</v>
      </c>
      <c r="BH137" s="51">
        <v>41</v>
      </c>
      <c r="BI137" s="51">
        <v>18.25</v>
      </c>
      <c r="BJ137" s="51">
        <v>31.5</v>
      </c>
      <c r="BK137" s="51">
        <v>617.29370117188</v>
      </c>
      <c r="BL137" s="51">
        <v>9.84</v>
      </c>
      <c r="BM137" s="51">
        <v>1142.4000000000001</v>
      </c>
      <c r="BN137" s="51">
        <v>285.2</v>
      </c>
      <c r="BO137" s="51">
        <v>3668.5</v>
      </c>
      <c r="BP137" s="51">
        <v>2846.2</v>
      </c>
      <c r="BQ137" s="51">
        <v>296.5</v>
      </c>
      <c r="BR137" s="51">
        <v>37.520000000000003</v>
      </c>
      <c r="BS137" s="51">
        <v>132.5</v>
      </c>
      <c r="BT137" s="51">
        <v>1.7458</v>
      </c>
      <c r="BU137" s="41"/>
      <c r="BV137" s="41"/>
      <c r="BW137" s="41"/>
      <c r="BX137" s="41"/>
      <c r="BY137" s="41"/>
      <c r="BZ137" s="41"/>
      <c r="CA137" s="41"/>
      <c r="CB137" s="41"/>
      <c r="CC137" s="41"/>
      <c r="CD137" s="41"/>
      <c r="CE137" s="41"/>
      <c r="CF137" s="41"/>
      <c r="CG137" s="41"/>
      <c r="CH137" s="41"/>
      <c r="CI137" s="41"/>
      <c r="CJ137" s="41"/>
      <c r="CK137" s="41"/>
    </row>
    <row r="138" spans="1:89">
      <c r="A138" s="48" t="s">
        <v>267</v>
      </c>
      <c r="B138" s="49">
        <v>1.21</v>
      </c>
      <c r="C138" s="49">
        <v>1.21</v>
      </c>
      <c r="D138" s="49">
        <v>1.21</v>
      </c>
      <c r="E138" s="49" t="s">
        <v>1574</v>
      </c>
      <c r="F138" s="49">
        <v>7.8</v>
      </c>
      <c r="G138" s="49" t="s">
        <v>1574</v>
      </c>
      <c r="H138" s="49">
        <v>0.17</v>
      </c>
      <c r="I138" s="49">
        <v>0.44721801014000001</v>
      </c>
      <c r="J138" s="49" t="s">
        <v>1574</v>
      </c>
      <c r="K138" s="49" t="s">
        <v>1574</v>
      </c>
      <c r="L138" s="49">
        <v>0.67500000000000004</v>
      </c>
      <c r="M138" s="49">
        <v>1.0278</v>
      </c>
      <c r="N138" s="49">
        <v>0.91599850000000005</v>
      </c>
      <c r="O138" s="49">
        <v>0.83499999999999996</v>
      </c>
      <c r="P138" s="49">
        <v>0.62664120000000001</v>
      </c>
      <c r="Q138" s="49">
        <v>0.99066670000000001</v>
      </c>
      <c r="R138" s="49">
        <v>0.88759960000000004</v>
      </c>
      <c r="S138" s="49">
        <v>401.56</v>
      </c>
      <c r="T138" s="49" t="s">
        <v>1574</v>
      </c>
      <c r="U138" s="49" t="s">
        <v>1574</v>
      </c>
      <c r="V138" s="49">
        <v>406.28</v>
      </c>
      <c r="W138" s="49">
        <v>269.99</v>
      </c>
      <c r="X138" s="49" t="s">
        <v>1574</v>
      </c>
      <c r="Y138" s="49">
        <v>125</v>
      </c>
      <c r="Z138" s="49">
        <v>330</v>
      </c>
      <c r="AA138" s="49">
        <v>105</v>
      </c>
      <c r="AB138" s="49" t="s">
        <v>1574</v>
      </c>
      <c r="AC138" s="49" t="s">
        <v>1574</v>
      </c>
      <c r="AD138" s="49">
        <v>27.880192790190002</v>
      </c>
      <c r="AE138" s="49">
        <v>58.4</v>
      </c>
      <c r="AF138" s="49">
        <v>51.8</v>
      </c>
      <c r="AG138" s="49">
        <v>124.84</v>
      </c>
      <c r="AH138" s="49" t="s">
        <v>1574</v>
      </c>
      <c r="AI138" s="49" t="s">
        <v>1574</v>
      </c>
      <c r="AJ138" s="49" t="s">
        <v>1574</v>
      </c>
      <c r="AK138" s="49" t="s">
        <v>1574</v>
      </c>
      <c r="AL138" s="49">
        <v>60.99</v>
      </c>
      <c r="AM138" s="49" t="s">
        <v>1574</v>
      </c>
      <c r="AN138" s="49">
        <v>0.1497</v>
      </c>
      <c r="AO138" s="49">
        <v>0.1696</v>
      </c>
      <c r="AP138" s="49">
        <v>1.2703</v>
      </c>
      <c r="AQ138" s="49">
        <v>0.4269890174</v>
      </c>
      <c r="AR138" s="49" t="s">
        <v>1574</v>
      </c>
      <c r="AS138" s="49">
        <v>2.7337288000000002</v>
      </c>
      <c r="AT138" s="49">
        <v>0.112215158</v>
      </c>
      <c r="AU138" s="49">
        <v>0.16314187999999999</v>
      </c>
      <c r="AV138" s="49">
        <v>9.01E-2</v>
      </c>
      <c r="AW138" s="49">
        <v>1057.02</v>
      </c>
      <c r="AX138" s="49">
        <v>42.99</v>
      </c>
      <c r="AY138" s="49">
        <v>44.44</v>
      </c>
      <c r="AZ138" s="49">
        <v>175</v>
      </c>
      <c r="BA138" s="49">
        <v>178.30072878273</v>
      </c>
      <c r="BB138" s="49" t="s">
        <v>1574</v>
      </c>
      <c r="BC138" s="49">
        <v>0.70899999999999996</v>
      </c>
      <c r="BD138" s="49" t="s">
        <v>1574</v>
      </c>
      <c r="BE138" s="49">
        <v>0.37409999999999999</v>
      </c>
      <c r="BF138" s="49">
        <v>11</v>
      </c>
      <c r="BG138" s="49">
        <v>54</v>
      </c>
      <c r="BH138" s="49">
        <v>41</v>
      </c>
      <c r="BI138" s="49">
        <v>18.25</v>
      </c>
      <c r="BJ138" s="49">
        <v>31.5</v>
      </c>
      <c r="BK138" s="49">
        <v>617.29370117188</v>
      </c>
      <c r="BL138" s="49">
        <v>9.84</v>
      </c>
      <c r="BM138" s="49">
        <v>1085.3</v>
      </c>
      <c r="BN138" s="49">
        <v>279.89999999999998</v>
      </c>
      <c r="BO138" s="49">
        <v>3615.6</v>
      </c>
      <c r="BP138" s="49">
        <v>2846.2</v>
      </c>
      <c r="BQ138" s="49">
        <v>293.2</v>
      </c>
      <c r="BR138" s="49">
        <v>37.44</v>
      </c>
      <c r="BS138" s="49">
        <v>132.5</v>
      </c>
      <c r="BT138" s="49">
        <v>1.7604</v>
      </c>
      <c r="BU138" s="41"/>
      <c r="BV138" s="41"/>
      <c r="BW138" s="41"/>
      <c r="BX138" s="41"/>
      <c r="BY138" s="41"/>
      <c r="BZ138" s="41"/>
      <c r="CA138" s="41"/>
      <c r="CB138" s="41"/>
      <c r="CC138" s="41"/>
      <c r="CD138" s="41"/>
      <c r="CE138" s="41"/>
      <c r="CF138" s="41"/>
      <c r="CG138" s="41"/>
      <c r="CH138" s="41"/>
      <c r="CI138" s="41"/>
      <c r="CJ138" s="41"/>
      <c r="CK138" s="41"/>
    </row>
    <row r="139" spans="1:89">
      <c r="A139" s="41" t="s">
        <v>268</v>
      </c>
      <c r="B139" s="51">
        <v>1.21</v>
      </c>
      <c r="C139" s="51">
        <v>1.21</v>
      </c>
      <c r="D139" s="51">
        <v>1.21</v>
      </c>
      <c r="E139" s="51" t="s">
        <v>1574</v>
      </c>
      <c r="F139" s="51">
        <v>7.8</v>
      </c>
      <c r="G139" s="51" t="s">
        <v>1574</v>
      </c>
      <c r="H139" s="51">
        <v>0.17</v>
      </c>
      <c r="I139" s="51">
        <v>0.44721801014000001</v>
      </c>
      <c r="J139" s="51" t="s">
        <v>1574</v>
      </c>
      <c r="K139" s="51" t="s">
        <v>1574</v>
      </c>
      <c r="L139" s="51">
        <v>0.67500000000000004</v>
      </c>
      <c r="M139" s="51">
        <v>0.97750000000000004</v>
      </c>
      <c r="N139" s="51">
        <v>0.91908489999999998</v>
      </c>
      <c r="O139" s="51">
        <v>0.83499999999999996</v>
      </c>
      <c r="P139" s="51">
        <v>0.62664120000000001</v>
      </c>
      <c r="Q139" s="51">
        <v>0.99066670000000001</v>
      </c>
      <c r="R139" s="51">
        <v>0.88759960000000004</v>
      </c>
      <c r="S139" s="51">
        <v>403.92</v>
      </c>
      <c r="T139" s="51" t="s">
        <v>1574</v>
      </c>
      <c r="U139" s="51" t="s">
        <v>1574</v>
      </c>
      <c r="V139" s="51">
        <v>437.69</v>
      </c>
      <c r="W139" s="51">
        <v>271.64</v>
      </c>
      <c r="X139" s="51" t="s">
        <v>1574</v>
      </c>
      <c r="Y139" s="51">
        <v>121</v>
      </c>
      <c r="Z139" s="51">
        <v>311</v>
      </c>
      <c r="AA139" s="51">
        <v>106</v>
      </c>
      <c r="AB139" s="51" t="s">
        <v>1574</v>
      </c>
      <c r="AC139" s="51" t="s">
        <v>1574</v>
      </c>
      <c r="AD139" s="51">
        <v>28.38636321121</v>
      </c>
      <c r="AE139" s="51">
        <v>58.4</v>
      </c>
      <c r="AF139" s="51">
        <v>51.8</v>
      </c>
      <c r="AG139" s="51">
        <v>120.42</v>
      </c>
      <c r="AH139" s="51" t="s">
        <v>1574</v>
      </c>
      <c r="AI139" s="51" t="s">
        <v>1574</v>
      </c>
      <c r="AJ139" s="51" t="s">
        <v>1574</v>
      </c>
      <c r="AK139" s="51" t="s">
        <v>1574</v>
      </c>
      <c r="AL139" s="51">
        <v>63.2</v>
      </c>
      <c r="AM139" s="51" t="s">
        <v>1574</v>
      </c>
      <c r="AN139" s="51">
        <v>0.1285</v>
      </c>
      <c r="AO139" s="51">
        <v>0.19339999999999999</v>
      </c>
      <c r="AP139" s="51">
        <v>1.3069</v>
      </c>
      <c r="AQ139" s="51">
        <v>0.42864878674000001</v>
      </c>
      <c r="AR139" s="51" t="s">
        <v>1574</v>
      </c>
      <c r="AS139" s="51">
        <v>2.7337288000000002</v>
      </c>
      <c r="AT139" s="51">
        <v>0.112215158</v>
      </c>
      <c r="AU139" s="51">
        <v>0.16534650000000001</v>
      </c>
      <c r="AV139" s="51">
        <v>9.06E-2</v>
      </c>
      <c r="AW139" s="51">
        <v>1063.19</v>
      </c>
      <c r="AX139" s="51">
        <v>42.99</v>
      </c>
      <c r="AY139" s="51">
        <v>44.44</v>
      </c>
      <c r="AZ139" s="51">
        <v>175</v>
      </c>
      <c r="BA139" s="51">
        <v>178.30072878273</v>
      </c>
      <c r="BB139" s="51" t="s">
        <v>1574</v>
      </c>
      <c r="BC139" s="51">
        <v>0.71650000000000003</v>
      </c>
      <c r="BD139" s="51" t="s">
        <v>1574</v>
      </c>
      <c r="BE139" s="51">
        <v>0.37040000000000001</v>
      </c>
      <c r="BF139" s="51">
        <v>11</v>
      </c>
      <c r="BG139" s="51">
        <v>54</v>
      </c>
      <c r="BH139" s="51">
        <v>41</v>
      </c>
      <c r="BI139" s="51">
        <v>18.25</v>
      </c>
      <c r="BJ139" s="51">
        <v>31.5</v>
      </c>
      <c r="BK139" s="51">
        <v>617.29370117188</v>
      </c>
      <c r="BL139" s="51">
        <v>9.84</v>
      </c>
      <c r="BM139" s="51">
        <v>1045.7</v>
      </c>
      <c r="BN139" s="51">
        <v>276.7</v>
      </c>
      <c r="BO139" s="51">
        <v>3496.5</v>
      </c>
      <c r="BP139" s="51">
        <v>2846.2</v>
      </c>
      <c r="BQ139" s="51">
        <v>289.2</v>
      </c>
      <c r="BR139" s="51">
        <v>37.44</v>
      </c>
      <c r="BS139" s="51">
        <v>132.5</v>
      </c>
      <c r="BT139" s="51">
        <v>1.6348</v>
      </c>
      <c r="BU139" s="41"/>
      <c r="BV139" s="41"/>
      <c r="BW139" s="41"/>
      <c r="BX139" s="41"/>
      <c r="BY139" s="41"/>
      <c r="BZ139" s="41"/>
      <c r="CA139" s="41"/>
      <c r="CB139" s="41"/>
      <c r="CC139" s="41"/>
      <c r="CD139" s="41"/>
      <c r="CE139" s="41"/>
      <c r="CF139" s="41"/>
      <c r="CG139" s="41"/>
      <c r="CH139" s="41"/>
      <c r="CI139" s="41"/>
      <c r="CJ139" s="41"/>
      <c r="CK139" s="41"/>
    </row>
    <row r="140" spans="1:89">
      <c r="A140" s="48" t="s">
        <v>269</v>
      </c>
      <c r="B140" s="49">
        <v>1.64</v>
      </c>
      <c r="C140" s="49">
        <v>1.64</v>
      </c>
      <c r="D140" s="49">
        <v>1.64</v>
      </c>
      <c r="E140" s="49" t="s">
        <v>1574</v>
      </c>
      <c r="F140" s="49">
        <v>8.68</v>
      </c>
      <c r="G140" s="49" t="s">
        <v>1574</v>
      </c>
      <c r="H140" s="49">
        <v>0.18</v>
      </c>
      <c r="I140" s="49">
        <v>0.50224354379000002</v>
      </c>
      <c r="J140" s="49" t="s">
        <v>1574</v>
      </c>
      <c r="K140" s="49" t="s">
        <v>1574</v>
      </c>
      <c r="L140" s="49">
        <v>0.53800000000000003</v>
      </c>
      <c r="M140" s="49">
        <v>1.0031000000000001</v>
      </c>
      <c r="N140" s="49">
        <v>0.92988729999999997</v>
      </c>
      <c r="O140" s="49">
        <v>0.77969999999999995</v>
      </c>
      <c r="P140" s="49">
        <v>0.63839950000000001</v>
      </c>
      <c r="Q140" s="49">
        <v>0.7991994</v>
      </c>
      <c r="R140" s="49">
        <v>0.90159959999999995</v>
      </c>
      <c r="S140" s="49">
        <v>409.82</v>
      </c>
      <c r="T140" s="49" t="s">
        <v>1574</v>
      </c>
      <c r="U140" s="49" t="s">
        <v>1574</v>
      </c>
      <c r="V140" s="49">
        <v>448.32</v>
      </c>
      <c r="W140" s="49">
        <v>273.29000000000002</v>
      </c>
      <c r="X140" s="49" t="s">
        <v>1574</v>
      </c>
      <c r="Y140" s="49">
        <v>125</v>
      </c>
      <c r="Z140" s="49">
        <v>309</v>
      </c>
      <c r="AA140" s="49">
        <v>105</v>
      </c>
      <c r="AB140" s="49" t="s">
        <v>1574</v>
      </c>
      <c r="AC140" s="49" t="s">
        <v>1574</v>
      </c>
      <c r="AD140" s="49">
        <v>28.50975184959</v>
      </c>
      <c r="AE140" s="49">
        <v>58.4</v>
      </c>
      <c r="AF140" s="49">
        <v>55.77</v>
      </c>
      <c r="AG140" s="49">
        <v>121.4</v>
      </c>
      <c r="AH140" s="49" t="s">
        <v>1574</v>
      </c>
      <c r="AI140" s="49" t="s">
        <v>1574</v>
      </c>
      <c r="AJ140" s="49" t="s">
        <v>1574</v>
      </c>
      <c r="AK140" s="49" t="s">
        <v>1574</v>
      </c>
      <c r="AL140" s="49">
        <v>63.57</v>
      </c>
      <c r="AM140" s="49" t="s">
        <v>1574</v>
      </c>
      <c r="AN140" s="49">
        <v>0.13800000000000001</v>
      </c>
      <c r="AO140" s="49">
        <v>0.13189999999999999</v>
      </c>
      <c r="AP140" s="49">
        <v>1.3358000000000001</v>
      </c>
      <c r="AQ140" s="49">
        <v>0.42996642411000002</v>
      </c>
      <c r="AR140" s="49">
        <v>0.80259999999999998</v>
      </c>
      <c r="AS140" s="49">
        <v>3.3069299999999999</v>
      </c>
      <c r="AT140" s="49">
        <v>0.112215158</v>
      </c>
      <c r="AU140" s="49">
        <v>0.16975573999999999</v>
      </c>
      <c r="AV140" s="49">
        <v>0.104</v>
      </c>
      <c r="AW140" s="49">
        <v>1045.9100000000001</v>
      </c>
      <c r="AX140" s="49">
        <v>44.43</v>
      </c>
      <c r="AY140" s="49">
        <v>44.44</v>
      </c>
      <c r="AZ140" s="49" t="s">
        <v>1574</v>
      </c>
      <c r="BA140" s="49">
        <v>178.30072878273</v>
      </c>
      <c r="BB140" s="49" t="s">
        <v>1574</v>
      </c>
      <c r="BC140" s="49">
        <v>0.72750000000000004</v>
      </c>
      <c r="BD140" s="49" t="s">
        <v>1574</v>
      </c>
      <c r="BE140" s="49">
        <v>0.35339999999999999</v>
      </c>
      <c r="BF140" s="49">
        <v>11.25</v>
      </c>
      <c r="BG140" s="49">
        <v>57.5</v>
      </c>
      <c r="BH140" s="49">
        <v>40</v>
      </c>
      <c r="BI140" s="49">
        <v>16</v>
      </c>
      <c r="BJ140" s="49">
        <v>32.5</v>
      </c>
      <c r="BK140" s="49">
        <v>617.29370117188</v>
      </c>
      <c r="BL140" s="49">
        <v>10.33</v>
      </c>
      <c r="BM140" s="49">
        <v>1010</v>
      </c>
      <c r="BN140" s="49">
        <v>262.5</v>
      </c>
      <c r="BO140" s="49">
        <v>3465.7</v>
      </c>
      <c r="BP140" s="49">
        <v>2932.1</v>
      </c>
      <c r="BQ140" s="49">
        <v>284.60000000000002</v>
      </c>
      <c r="BR140" s="49">
        <v>37.880000000000003</v>
      </c>
      <c r="BS140" s="49">
        <v>129</v>
      </c>
      <c r="BT140" s="49">
        <v>1.6395999999999999</v>
      </c>
      <c r="BU140" s="41"/>
      <c r="BV140" s="41"/>
      <c r="BW140" s="41"/>
      <c r="BX140" s="41"/>
      <c r="BY140" s="41"/>
      <c r="BZ140" s="41"/>
      <c r="CA140" s="41"/>
      <c r="CB140" s="41"/>
      <c r="CC140" s="41"/>
      <c r="CD140" s="41"/>
      <c r="CE140" s="41"/>
      <c r="CF140" s="41"/>
      <c r="CG140" s="41"/>
      <c r="CH140" s="41"/>
      <c r="CI140" s="41"/>
      <c r="CJ140" s="41"/>
      <c r="CK140" s="41"/>
    </row>
    <row r="141" spans="1:89">
      <c r="A141" s="41" t="s">
        <v>270</v>
      </c>
      <c r="B141" s="51">
        <v>1.64</v>
      </c>
      <c r="C141" s="51">
        <v>1.64</v>
      </c>
      <c r="D141" s="51">
        <v>1.64</v>
      </c>
      <c r="E141" s="51" t="s">
        <v>1574</v>
      </c>
      <c r="F141" s="51">
        <v>8.68</v>
      </c>
      <c r="G141" s="51" t="s">
        <v>1574</v>
      </c>
      <c r="H141" s="51">
        <v>0.18</v>
      </c>
      <c r="I141" s="51">
        <v>0.50224354379000002</v>
      </c>
      <c r="J141" s="51" t="s">
        <v>1574</v>
      </c>
      <c r="K141" s="51" t="s">
        <v>1574</v>
      </c>
      <c r="L141" s="51">
        <v>0.53800000000000003</v>
      </c>
      <c r="M141" s="51">
        <v>0.98329999999999995</v>
      </c>
      <c r="N141" s="51">
        <v>0.92966680000000002</v>
      </c>
      <c r="O141" s="51">
        <v>0.77810000000000001</v>
      </c>
      <c r="P141" s="51">
        <v>0.66959950000000001</v>
      </c>
      <c r="Q141" s="51">
        <v>0.76319939999999997</v>
      </c>
      <c r="R141" s="51">
        <v>0.90159959999999995</v>
      </c>
      <c r="S141" s="51">
        <v>393.4</v>
      </c>
      <c r="T141" s="51" t="s">
        <v>1574</v>
      </c>
      <c r="U141" s="51" t="s">
        <v>1574</v>
      </c>
      <c r="V141" s="51">
        <v>479.5</v>
      </c>
      <c r="W141" s="51">
        <v>273.29000000000002</v>
      </c>
      <c r="X141" s="51" t="s">
        <v>1574</v>
      </c>
      <c r="Y141" s="51">
        <v>125</v>
      </c>
      <c r="Z141" s="51">
        <v>297</v>
      </c>
      <c r="AA141" s="51">
        <v>101</v>
      </c>
      <c r="AB141" s="51" t="s">
        <v>1574</v>
      </c>
      <c r="AC141" s="51" t="s">
        <v>1574</v>
      </c>
      <c r="AD141" s="51">
        <v>28.55707926401</v>
      </c>
      <c r="AE141" s="51">
        <v>58.4</v>
      </c>
      <c r="AF141" s="51">
        <v>55.77</v>
      </c>
      <c r="AG141" s="51">
        <v>105.1</v>
      </c>
      <c r="AH141" s="51" t="s">
        <v>1574</v>
      </c>
      <c r="AI141" s="51" t="s">
        <v>1574</v>
      </c>
      <c r="AJ141" s="51" t="s">
        <v>1574</v>
      </c>
      <c r="AK141" s="51" t="s">
        <v>1574</v>
      </c>
      <c r="AL141" s="51">
        <v>63.57</v>
      </c>
      <c r="AM141" s="51" t="s">
        <v>1574</v>
      </c>
      <c r="AN141" s="51">
        <v>0.13500000000000001</v>
      </c>
      <c r="AO141" s="51">
        <v>0.1462</v>
      </c>
      <c r="AP141" s="51">
        <v>1.3716999999999999</v>
      </c>
      <c r="AQ141" s="51">
        <v>0.43115038508999998</v>
      </c>
      <c r="AR141" s="51">
        <v>0.7913</v>
      </c>
      <c r="AS141" s="51">
        <v>3.3069299999999999</v>
      </c>
      <c r="AT141" s="51">
        <v>0.112215158</v>
      </c>
      <c r="AU141" s="51">
        <v>0.17416498</v>
      </c>
      <c r="AV141" s="51">
        <v>0.10630000000000001</v>
      </c>
      <c r="AW141" s="51">
        <v>1018.55</v>
      </c>
      <c r="AX141" s="51">
        <v>44.43</v>
      </c>
      <c r="AY141" s="51">
        <v>44.44</v>
      </c>
      <c r="AZ141" s="51" t="s">
        <v>1574</v>
      </c>
      <c r="BA141" s="51">
        <v>178.30072878273</v>
      </c>
      <c r="BB141" s="51" t="s">
        <v>1574</v>
      </c>
      <c r="BC141" s="51">
        <v>0.74029999999999996</v>
      </c>
      <c r="BD141" s="51" t="s">
        <v>1574</v>
      </c>
      <c r="BE141" s="51">
        <v>0.33329999999999999</v>
      </c>
      <c r="BF141" s="51">
        <v>11.25</v>
      </c>
      <c r="BG141" s="51">
        <v>57.5</v>
      </c>
      <c r="BH141" s="51">
        <v>40</v>
      </c>
      <c r="BI141" s="51">
        <v>16</v>
      </c>
      <c r="BJ141" s="51">
        <v>32.5</v>
      </c>
      <c r="BK141" s="51">
        <v>617.29370117188</v>
      </c>
      <c r="BL141" s="51">
        <v>10.33</v>
      </c>
      <c r="BM141" s="51">
        <v>1020.2</v>
      </c>
      <c r="BN141" s="51">
        <v>266.10000000000002</v>
      </c>
      <c r="BO141" s="51">
        <v>3463.5</v>
      </c>
      <c r="BP141" s="51">
        <v>2932.1</v>
      </c>
      <c r="BQ141" s="51">
        <v>272.10000000000002</v>
      </c>
      <c r="BR141" s="51">
        <v>38.74</v>
      </c>
      <c r="BS141" s="51">
        <v>122.5</v>
      </c>
      <c r="BT141" s="51">
        <v>1.6003000000000001</v>
      </c>
      <c r="BU141" s="41"/>
      <c r="BV141" s="41"/>
      <c r="BW141" s="41"/>
      <c r="BX141" s="41"/>
      <c r="BY141" s="41"/>
      <c r="BZ141" s="41"/>
      <c r="CA141" s="41"/>
      <c r="CB141" s="41"/>
      <c r="CC141" s="41"/>
      <c r="CD141" s="41"/>
      <c r="CE141" s="41"/>
      <c r="CF141" s="41"/>
      <c r="CG141" s="41"/>
      <c r="CH141" s="41"/>
      <c r="CI141" s="41"/>
      <c r="CJ141" s="41"/>
      <c r="CK141" s="41"/>
    </row>
    <row r="142" spans="1:89">
      <c r="A142" s="48" t="s">
        <v>271</v>
      </c>
      <c r="B142" s="49">
        <v>1.64</v>
      </c>
      <c r="C142" s="49">
        <v>1.64</v>
      </c>
      <c r="D142" s="49">
        <v>1.64</v>
      </c>
      <c r="E142" s="49" t="s">
        <v>1574</v>
      </c>
      <c r="F142" s="49">
        <v>8.68</v>
      </c>
      <c r="G142" s="49" t="s">
        <v>1574</v>
      </c>
      <c r="H142" s="49">
        <v>0.18</v>
      </c>
      <c r="I142" s="49">
        <v>0.50224354379000002</v>
      </c>
      <c r="J142" s="49" t="s">
        <v>1574</v>
      </c>
      <c r="K142" s="49" t="s">
        <v>1574</v>
      </c>
      <c r="L142" s="49">
        <v>0.53800000000000003</v>
      </c>
      <c r="M142" s="49">
        <v>1.0143</v>
      </c>
      <c r="N142" s="49">
        <v>0.94068960000000001</v>
      </c>
      <c r="O142" s="49">
        <v>0.75649999999999995</v>
      </c>
      <c r="P142" s="49">
        <v>0.70319940000000003</v>
      </c>
      <c r="Q142" s="49">
        <v>0.66479949999999999</v>
      </c>
      <c r="R142" s="49">
        <v>0.90159959999999995</v>
      </c>
      <c r="S142" s="49">
        <v>401.56</v>
      </c>
      <c r="T142" s="49" t="s">
        <v>1574</v>
      </c>
      <c r="U142" s="49" t="s">
        <v>1574</v>
      </c>
      <c r="V142" s="49">
        <v>481.87</v>
      </c>
      <c r="W142" s="49">
        <v>278.02</v>
      </c>
      <c r="X142" s="49" t="s">
        <v>1574</v>
      </c>
      <c r="Y142" s="49">
        <v>124</v>
      </c>
      <c r="Z142" s="49">
        <v>300</v>
      </c>
      <c r="AA142" s="49">
        <v>100</v>
      </c>
      <c r="AB142" s="49" t="s">
        <v>1574</v>
      </c>
      <c r="AC142" s="49" t="s">
        <v>1574</v>
      </c>
      <c r="AD142" s="49">
        <v>28.451203500919998</v>
      </c>
      <c r="AE142" s="49">
        <v>58.4</v>
      </c>
      <c r="AF142" s="49">
        <v>55.77</v>
      </c>
      <c r="AG142" s="49">
        <v>98.91</v>
      </c>
      <c r="AH142" s="49" t="s">
        <v>1574</v>
      </c>
      <c r="AI142" s="49" t="s">
        <v>1574</v>
      </c>
      <c r="AJ142" s="49" t="s">
        <v>1574</v>
      </c>
      <c r="AK142" s="49" t="s">
        <v>1574</v>
      </c>
      <c r="AL142" s="49">
        <v>62.83</v>
      </c>
      <c r="AM142" s="49" t="s">
        <v>1574</v>
      </c>
      <c r="AN142" s="49">
        <v>0.13700000000000001</v>
      </c>
      <c r="AO142" s="49">
        <v>0.15240000000000001</v>
      </c>
      <c r="AP142" s="49">
        <v>1.3812</v>
      </c>
      <c r="AQ142" s="49">
        <v>0.43287185936</v>
      </c>
      <c r="AR142" s="49">
        <v>0.78459999999999996</v>
      </c>
      <c r="AS142" s="49">
        <v>3.3069299999999999</v>
      </c>
      <c r="AT142" s="49">
        <v>0.112215158</v>
      </c>
      <c r="AU142" s="49">
        <v>0.17196036000000001</v>
      </c>
      <c r="AV142" s="49">
        <v>0.10340000000000001</v>
      </c>
      <c r="AW142" s="49">
        <v>1020.68</v>
      </c>
      <c r="AX142" s="49">
        <v>44.43</v>
      </c>
      <c r="AY142" s="49">
        <v>44.44</v>
      </c>
      <c r="AZ142" s="49" t="s">
        <v>1574</v>
      </c>
      <c r="BA142" s="49">
        <v>178.30072878273</v>
      </c>
      <c r="BB142" s="49" t="s">
        <v>1574</v>
      </c>
      <c r="BC142" s="49">
        <v>0.72750000000000004</v>
      </c>
      <c r="BD142" s="49" t="s">
        <v>1574</v>
      </c>
      <c r="BE142" s="49">
        <v>0.33529999999999999</v>
      </c>
      <c r="BF142" s="49">
        <v>11.25</v>
      </c>
      <c r="BG142" s="49">
        <v>57.5</v>
      </c>
      <c r="BH142" s="49">
        <v>40</v>
      </c>
      <c r="BI142" s="49">
        <v>16</v>
      </c>
      <c r="BJ142" s="49">
        <v>32.5</v>
      </c>
      <c r="BK142" s="49">
        <v>617.29370117188</v>
      </c>
      <c r="BL142" s="49">
        <v>10.33</v>
      </c>
      <c r="BM142" s="49">
        <v>1144.0999999999999</v>
      </c>
      <c r="BN142" s="49">
        <v>267.39999999999998</v>
      </c>
      <c r="BO142" s="49">
        <v>3527.4</v>
      </c>
      <c r="BP142" s="49">
        <v>2932.1</v>
      </c>
      <c r="BQ142" s="49">
        <v>283.7</v>
      </c>
      <c r="BR142" s="49">
        <v>38.869999999999997</v>
      </c>
      <c r="BS142" s="49">
        <v>122.5</v>
      </c>
      <c r="BT142" s="49">
        <v>1.669</v>
      </c>
      <c r="BU142" s="41"/>
      <c r="BV142" s="41"/>
      <c r="BW142" s="41"/>
      <c r="BX142" s="41"/>
      <c r="BY142" s="41"/>
      <c r="BZ142" s="41"/>
      <c r="CA142" s="41"/>
      <c r="CB142" s="41"/>
      <c r="CC142" s="41"/>
      <c r="CD142" s="41"/>
      <c r="CE142" s="41"/>
      <c r="CF142" s="41"/>
      <c r="CG142" s="41"/>
      <c r="CH142" s="41"/>
      <c r="CI142" s="41"/>
      <c r="CJ142" s="41"/>
      <c r="CK142" s="41"/>
    </row>
    <row r="143" spans="1:89">
      <c r="A143" s="41" t="s">
        <v>272</v>
      </c>
      <c r="B143" s="51">
        <v>1.64</v>
      </c>
      <c r="C143" s="51">
        <v>1.64</v>
      </c>
      <c r="D143" s="51">
        <v>1.64</v>
      </c>
      <c r="E143" s="51" t="s">
        <v>1574</v>
      </c>
      <c r="F143" s="51">
        <v>8.68</v>
      </c>
      <c r="G143" s="51" t="s">
        <v>1574</v>
      </c>
      <c r="H143" s="51">
        <v>0.18</v>
      </c>
      <c r="I143" s="51">
        <v>0.50224354379000002</v>
      </c>
      <c r="J143" s="51" t="s">
        <v>1574</v>
      </c>
      <c r="K143" s="51" t="s">
        <v>1574</v>
      </c>
      <c r="L143" s="51">
        <v>0.53800000000000003</v>
      </c>
      <c r="M143" s="51">
        <v>0.98939999999999995</v>
      </c>
      <c r="N143" s="51">
        <v>0.94002819999999998</v>
      </c>
      <c r="O143" s="51">
        <v>1.0293000000000001</v>
      </c>
      <c r="P143" s="51">
        <v>0.64559949999999999</v>
      </c>
      <c r="Q143" s="51">
        <v>1.540799</v>
      </c>
      <c r="R143" s="51">
        <v>0.90159959999999995</v>
      </c>
      <c r="S143" s="51">
        <v>388.8</v>
      </c>
      <c r="T143" s="51" t="s">
        <v>1574</v>
      </c>
      <c r="U143" s="51" t="s">
        <v>1574</v>
      </c>
      <c r="V143" s="51">
        <v>462.97</v>
      </c>
      <c r="W143" s="51">
        <v>269.27999999999997</v>
      </c>
      <c r="X143" s="51" t="s">
        <v>1574</v>
      </c>
      <c r="Y143" s="51">
        <v>119</v>
      </c>
      <c r="Z143" s="51">
        <v>292</v>
      </c>
      <c r="AA143" s="51">
        <v>98</v>
      </c>
      <c r="AB143" s="51" t="s">
        <v>1574</v>
      </c>
      <c r="AC143" s="51" t="s">
        <v>1574</v>
      </c>
      <c r="AD143" s="51">
        <v>28.421298617390001</v>
      </c>
      <c r="AE143" s="51">
        <v>58.4</v>
      </c>
      <c r="AF143" s="51">
        <v>55.77</v>
      </c>
      <c r="AG143" s="51">
        <v>95.67</v>
      </c>
      <c r="AH143" s="51" t="s">
        <v>1574</v>
      </c>
      <c r="AI143" s="51" t="s">
        <v>1574</v>
      </c>
      <c r="AJ143" s="51" t="s">
        <v>1574</v>
      </c>
      <c r="AK143" s="51" t="s">
        <v>1574</v>
      </c>
      <c r="AL143" s="51">
        <v>62.46</v>
      </c>
      <c r="AM143" s="51" t="s">
        <v>1574</v>
      </c>
      <c r="AN143" s="51">
        <v>0.13800000000000001</v>
      </c>
      <c r="AO143" s="51">
        <v>0.1711</v>
      </c>
      <c r="AP143" s="51">
        <v>1.4020999999999999</v>
      </c>
      <c r="AQ143" s="51">
        <v>0.43440977716000001</v>
      </c>
      <c r="AR143" s="51">
        <v>0.81910000000000005</v>
      </c>
      <c r="AS143" s="51">
        <v>3.3069299999999999</v>
      </c>
      <c r="AT143" s="51">
        <v>0.112215158</v>
      </c>
      <c r="AU143" s="51">
        <v>0.16975573999999999</v>
      </c>
      <c r="AV143" s="51">
        <v>0.10050000000000001</v>
      </c>
      <c r="AW143" s="51">
        <v>1012.52</v>
      </c>
      <c r="AX143" s="51">
        <v>44.43</v>
      </c>
      <c r="AY143" s="51">
        <v>44.44</v>
      </c>
      <c r="AZ143" s="51" t="s">
        <v>1574</v>
      </c>
      <c r="BA143" s="51">
        <v>178.30072878273</v>
      </c>
      <c r="BB143" s="51" t="s">
        <v>1574</v>
      </c>
      <c r="BC143" s="51">
        <v>0.72550000000000003</v>
      </c>
      <c r="BD143" s="51" t="s">
        <v>1574</v>
      </c>
      <c r="BE143" s="51">
        <v>0.35599999999999998</v>
      </c>
      <c r="BF143" s="51">
        <v>11.25</v>
      </c>
      <c r="BG143" s="51">
        <v>57.5</v>
      </c>
      <c r="BH143" s="51">
        <v>40</v>
      </c>
      <c r="BI143" s="51">
        <v>16</v>
      </c>
      <c r="BJ143" s="51">
        <v>32.5</v>
      </c>
      <c r="BK143" s="51">
        <v>617.29370117188</v>
      </c>
      <c r="BL143" s="51">
        <v>10.33</v>
      </c>
      <c r="BM143" s="51">
        <v>1251.5</v>
      </c>
      <c r="BN143" s="51">
        <v>268</v>
      </c>
      <c r="BO143" s="51">
        <v>3562.7</v>
      </c>
      <c r="BP143" s="51">
        <v>2932.1</v>
      </c>
      <c r="BQ143" s="51">
        <v>283.5</v>
      </c>
      <c r="BR143" s="51">
        <v>39.01</v>
      </c>
      <c r="BS143" s="51">
        <v>122.5</v>
      </c>
      <c r="BT143" s="51">
        <v>1.726</v>
      </c>
      <c r="BU143" s="41"/>
      <c r="BV143" s="41"/>
      <c r="BW143" s="41"/>
      <c r="BX143" s="41"/>
      <c r="BY143" s="41"/>
      <c r="BZ143" s="41"/>
      <c r="CA143" s="41"/>
      <c r="CB143" s="41"/>
      <c r="CC143" s="41"/>
      <c r="CD143" s="41"/>
      <c r="CE143" s="41"/>
      <c r="CF143" s="41"/>
      <c r="CG143" s="41"/>
      <c r="CH143" s="41"/>
      <c r="CI143" s="41"/>
      <c r="CJ143" s="41"/>
      <c r="CK143" s="41"/>
    </row>
    <row r="144" spans="1:89">
      <c r="A144" s="48" t="s">
        <v>273</v>
      </c>
      <c r="B144" s="49">
        <v>1.64</v>
      </c>
      <c r="C144" s="49">
        <v>1.64</v>
      </c>
      <c r="D144" s="49">
        <v>1.64</v>
      </c>
      <c r="E144" s="49" t="s">
        <v>1574</v>
      </c>
      <c r="F144" s="49">
        <v>8.68</v>
      </c>
      <c r="G144" s="49" t="s">
        <v>1574</v>
      </c>
      <c r="H144" s="49">
        <v>0.18</v>
      </c>
      <c r="I144" s="49">
        <v>0.50224354379000002</v>
      </c>
      <c r="J144" s="49" t="s">
        <v>1574</v>
      </c>
      <c r="K144" s="49" t="s">
        <v>1574</v>
      </c>
      <c r="L144" s="49">
        <v>0.53800000000000003</v>
      </c>
      <c r="M144" s="49">
        <v>1.0183</v>
      </c>
      <c r="N144" s="49">
        <v>0.94002819999999998</v>
      </c>
      <c r="O144" s="49">
        <v>0.91410000000000002</v>
      </c>
      <c r="P144" s="49">
        <v>0.65519950000000005</v>
      </c>
      <c r="Q144" s="49">
        <v>1.1855990000000001</v>
      </c>
      <c r="R144" s="49">
        <v>0.90159959999999995</v>
      </c>
      <c r="S144" s="49">
        <v>359.04</v>
      </c>
      <c r="T144" s="49" t="s">
        <v>1574</v>
      </c>
      <c r="U144" s="49" t="s">
        <v>1574</v>
      </c>
      <c r="V144" s="49">
        <v>453.52</v>
      </c>
      <c r="W144" s="49">
        <v>242.82</v>
      </c>
      <c r="X144" s="49" t="s">
        <v>1574</v>
      </c>
      <c r="Y144" s="49">
        <v>122</v>
      </c>
      <c r="Z144" s="49">
        <v>293</v>
      </c>
      <c r="AA144" s="49">
        <v>101</v>
      </c>
      <c r="AB144" s="49" t="s">
        <v>1574</v>
      </c>
      <c r="AC144" s="49" t="s">
        <v>1574</v>
      </c>
      <c r="AD144" s="49">
        <v>28.622759685889999</v>
      </c>
      <c r="AE144" s="49">
        <v>58.4</v>
      </c>
      <c r="AF144" s="49">
        <v>55.77</v>
      </c>
      <c r="AG144" s="49">
        <v>105.98</v>
      </c>
      <c r="AH144" s="49" t="s">
        <v>1574</v>
      </c>
      <c r="AI144" s="49" t="s">
        <v>1574</v>
      </c>
      <c r="AJ144" s="49" t="s">
        <v>1574</v>
      </c>
      <c r="AK144" s="49" t="s">
        <v>1574</v>
      </c>
      <c r="AL144" s="49">
        <v>63.2</v>
      </c>
      <c r="AM144" s="49" t="s">
        <v>1574</v>
      </c>
      <c r="AN144" s="49">
        <v>0.13900000000000001</v>
      </c>
      <c r="AO144" s="49">
        <v>0.1542</v>
      </c>
      <c r="AP144" s="49">
        <v>1.4038999999999999</v>
      </c>
      <c r="AQ144" s="49">
        <v>0.43689260567999999</v>
      </c>
      <c r="AR144" s="49">
        <v>0.78979999999999995</v>
      </c>
      <c r="AS144" s="49">
        <v>3.3069299999999999</v>
      </c>
      <c r="AT144" s="49">
        <v>0.112215158</v>
      </c>
      <c r="AU144" s="49">
        <v>0.17416498</v>
      </c>
      <c r="AV144" s="49">
        <v>9.6100000000000005E-2</v>
      </c>
      <c r="AW144" s="49">
        <v>1038.8</v>
      </c>
      <c r="AX144" s="49">
        <v>44.43</v>
      </c>
      <c r="AY144" s="49">
        <v>44.31</v>
      </c>
      <c r="AZ144" s="49" t="s">
        <v>1574</v>
      </c>
      <c r="BA144" s="49">
        <v>178.01888484413999</v>
      </c>
      <c r="BB144" s="49" t="s">
        <v>1574</v>
      </c>
      <c r="BC144" s="49">
        <v>0.75349999999999995</v>
      </c>
      <c r="BD144" s="49" t="s">
        <v>1574</v>
      </c>
      <c r="BE144" s="49">
        <v>0.37609999999999999</v>
      </c>
      <c r="BF144" s="49">
        <v>11.25</v>
      </c>
      <c r="BG144" s="49">
        <v>57.5</v>
      </c>
      <c r="BH144" s="49">
        <v>40</v>
      </c>
      <c r="BI144" s="49">
        <v>16</v>
      </c>
      <c r="BJ144" s="49">
        <v>32.5</v>
      </c>
      <c r="BK144" s="49">
        <v>617.29370117188</v>
      </c>
      <c r="BL144" s="49">
        <v>10.33</v>
      </c>
      <c r="BM144" s="49">
        <v>1114.4000000000001</v>
      </c>
      <c r="BN144" s="49">
        <v>264.5</v>
      </c>
      <c r="BO144" s="49">
        <v>3520.8</v>
      </c>
      <c r="BP144" s="49">
        <v>2932.1</v>
      </c>
      <c r="BQ144" s="49">
        <v>287.7</v>
      </c>
      <c r="BR144" s="49">
        <v>40.520000000000003</v>
      </c>
      <c r="BS144" s="49">
        <v>122.5</v>
      </c>
      <c r="BT144" s="49">
        <v>1.6667000000000001</v>
      </c>
      <c r="BU144" s="41"/>
      <c r="BV144" s="41"/>
      <c r="BW144" s="41"/>
      <c r="BX144" s="41"/>
      <c r="BY144" s="41"/>
      <c r="BZ144" s="41"/>
      <c r="CA144" s="41"/>
      <c r="CB144" s="41"/>
      <c r="CC144" s="41"/>
      <c r="CD144" s="41"/>
      <c r="CE144" s="41"/>
      <c r="CF144" s="41"/>
      <c r="CG144" s="41"/>
      <c r="CH144" s="41"/>
      <c r="CI144" s="41"/>
      <c r="CJ144" s="41"/>
      <c r="CK144" s="41"/>
    </row>
    <row r="145" spans="1:89">
      <c r="A145" s="41" t="s">
        <v>274</v>
      </c>
      <c r="B145" s="51">
        <v>1.64</v>
      </c>
      <c r="C145" s="51">
        <v>1.64</v>
      </c>
      <c r="D145" s="51">
        <v>1.64</v>
      </c>
      <c r="E145" s="51" t="s">
        <v>1574</v>
      </c>
      <c r="F145" s="51">
        <v>8.68</v>
      </c>
      <c r="G145" s="51" t="s">
        <v>1574</v>
      </c>
      <c r="H145" s="51">
        <v>0.18</v>
      </c>
      <c r="I145" s="51">
        <v>0.50224354379000002</v>
      </c>
      <c r="J145" s="51" t="s">
        <v>1574</v>
      </c>
      <c r="K145" s="51" t="s">
        <v>1574</v>
      </c>
      <c r="L145" s="51">
        <v>0.53800000000000003</v>
      </c>
      <c r="M145" s="51">
        <v>1.0022</v>
      </c>
      <c r="N145" s="51">
        <v>0.93407589999999996</v>
      </c>
      <c r="O145" s="51">
        <v>0.85329999999999995</v>
      </c>
      <c r="P145" s="51">
        <v>0.63599950000000005</v>
      </c>
      <c r="Q145" s="51">
        <v>1.0223990000000001</v>
      </c>
      <c r="R145" s="51">
        <v>0.90159959999999995</v>
      </c>
      <c r="S145" s="51">
        <v>354.31</v>
      </c>
      <c r="T145" s="51" t="s">
        <v>1574</v>
      </c>
      <c r="U145" s="51" t="s">
        <v>1574</v>
      </c>
      <c r="V145" s="51">
        <v>441.24</v>
      </c>
      <c r="W145" s="51">
        <v>240.93</v>
      </c>
      <c r="X145" s="51" t="s">
        <v>1574</v>
      </c>
      <c r="Y145" s="51">
        <v>127</v>
      </c>
      <c r="Z145" s="51">
        <v>310</v>
      </c>
      <c r="AA145" s="51">
        <v>104</v>
      </c>
      <c r="AB145" s="51" t="s">
        <v>1574</v>
      </c>
      <c r="AC145" s="51" t="s">
        <v>1574</v>
      </c>
      <c r="AD145" s="51">
        <v>28.284179171270001</v>
      </c>
      <c r="AE145" s="51">
        <v>58.4</v>
      </c>
      <c r="AF145" s="51">
        <v>55.77</v>
      </c>
      <c r="AG145" s="51">
        <v>109.22</v>
      </c>
      <c r="AH145" s="51" t="s">
        <v>1574</v>
      </c>
      <c r="AI145" s="51" t="s">
        <v>1574</v>
      </c>
      <c r="AJ145" s="51" t="s">
        <v>1574</v>
      </c>
      <c r="AK145" s="51" t="s">
        <v>1574</v>
      </c>
      <c r="AL145" s="51">
        <v>61.36</v>
      </c>
      <c r="AM145" s="51" t="s">
        <v>1574</v>
      </c>
      <c r="AN145" s="51">
        <v>0.13700000000000001</v>
      </c>
      <c r="AO145" s="51">
        <v>0.1542</v>
      </c>
      <c r="AP145" s="51">
        <v>1.3711</v>
      </c>
      <c r="AQ145" s="51">
        <v>0.43937304593999998</v>
      </c>
      <c r="AR145" s="51">
        <v>0.75819999999999999</v>
      </c>
      <c r="AS145" s="51">
        <v>3.3069299999999999</v>
      </c>
      <c r="AT145" s="51">
        <v>0.112215158</v>
      </c>
      <c r="AU145" s="51">
        <v>0.17636959999999999</v>
      </c>
      <c r="AV145" s="51">
        <v>9.1499999999999998E-2</v>
      </c>
      <c r="AW145" s="51">
        <v>1035.0899999999999</v>
      </c>
      <c r="AX145" s="51">
        <v>44.43</v>
      </c>
      <c r="AY145" s="51">
        <v>43.26</v>
      </c>
      <c r="AZ145" s="51" t="s">
        <v>1574</v>
      </c>
      <c r="BA145" s="51">
        <v>175.72835731123001</v>
      </c>
      <c r="BB145" s="51" t="s">
        <v>1574</v>
      </c>
      <c r="BC145" s="51">
        <v>0.7923</v>
      </c>
      <c r="BD145" s="51" t="s">
        <v>1574</v>
      </c>
      <c r="BE145" s="51">
        <v>0.34239999999999998</v>
      </c>
      <c r="BF145" s="51">
        <v>11.25</v>
      </c>
      <c r="BG145" s="51">
        <v>57.5</v>
      </c>
      <c r="BH145" s="51">
        <v>40</v>
      </c>
      <c r="BI145" s="51">
        <v>16</v>
      </c>
      <c r="BJ145" s="51">
        <v>32.5</v>
      </c>
      <c r="BK145" s="51">
        <v>617.29370117188</v>
      </c>
      <c r="BL145" s="51">
        <v>10.33</v>
      </c>
      <c r="BM145" s="51">
        <v>1074.2</v>
      </c>
      <c r="BN145" s="51">
        <v>273.3</v>
      </c>
      <c r="BO145" s="51">
        <v>3448</v>
      </c>
      <c r="BP145" s="51">
        <v>2932.1</v>
      </c>
      <c r="BQ145" s="51">
        <v>308.60000000000002</v>
      </c>
      <c r="BR145" s="51">
        <v>40.1</v>
      </c>
      <c r="BS145" s="51">
        <v>122.5</v>
      </c>
      <c r="BT145" s="51">
        <v>1.6081000000000001</v>
      </c>
      <c r="BU145" s="41"/>
      <c r="BV145" s="41"/>
      <c r="BW145" s="41"/>
      <c r="BX145" s="41"/>
      <c r="BY145" s="41"/>
      <c r="BZ145" s="41"/>
      <c r="CA145" s="41"/>
      <c r="CB145" s="41"/>
      <c r="CC145" s="41"/>
      <c r="CD145" s="41"/>
      <c r="CE145" s="41"/>
      <c r="CF145" s="41"/>
      <c r="CG145" s="41"/>
      <c r="CH145" s="41"/>
      <c r="CI145" s="41"/>
      <c r="CJ145" s="41"/>
      <c r="CK145" s="41"/>
    </row>
    <row r="146" spans="1:89">
      <c r="A146" s="48" t="s">
        <v>275</v>
      </c>
      <c r="B146" s="49">
        <v>1.74</v>
      </c>
      <c r="C146" s="49">
        <v>1.74</v>
      </c>
      <c r="D146" s="49">
        <v>1.74</v>
      </c>
      <c r="E146" s="49" t="s">
        <v>1574</v>
      </c>
      <c r="F146" s="49">
        <v>8.68</v>
      </c>
      <c r="G146" s="49" t="s">
        <v>1574</v>
      </c>
      <c r="H146" s="49">
        <v>0.18</v>
      </c>
      <c r="I146" s="49">
        <v>0.50224354379000002</v>
      </c>
      <c r="J146" s="49" t="s">
        <v>1574</v>
      </c>
      <c r="K146" s="49" t="s">
        <v>1574</v>
      </c>
      <c r="L146" s="49">
        <v>0.53800000000000003</v>
      </c>
      <c r="M146" s="49">
        <v>0.99270000000000003</v>
      </c>
      <c r="N146" s="49">
        <v>0.92834399999999995</v>
      </c>
      <c r="O146" s="49">
        <v>0.90769999999999995</v>
      </c>
      <c r="P146" s="49">
        <v>0.63359949999999998</v>
      </c>
      <c r="Q146" s="49">
        <v>1.187999</v>
      </c>
      <c r="R146" s="49">
        <v>0.90159959999999995</v>
      </c>
      <c r="S146" s="49">
        <v>351.01</v>
      </c>
      <c r="T146" s="49" t="s">
        <v>1574</v>
      </c>
      <c r="U146" s="49" t="s">
        <v>1574</v>
      </c>
      <c r="V146" s="49">
        <v>439.58</v>
      </c>
      <c r="W146" s="49">
        <v>263.37</v>
      </c>
      <c r="X146" s="49" t="s">
        <v>1574</v>
      </c>
      <c r="Y146" s="49">
        <v>134</v>
      </c>
      <c r="Z146" s="49">
        <v>336</v>
      </c>
      <c r="AA146" s="49">
        <v>107</v>
      </c>
      <c r="AB146" s="49" t="s">
        <v>1574</v>
      </c>
      <c r="AC146" s="49" t="s">
        <v>1574</v>
      </c>
      <c r="AD146" s="49">
        <v>28.331132125340002</v>
      </c>
      <c r="AE146" s="49">
        <v>58.4</v>
      </c>
      <c r="AF146" s="49">
        <v>55.77</v>
      </c>
      <c r="AG146" s="49">
        <v>111.48</v>
      </c>
      <c r="AH146" s="49" t="s">
        <v>1574</v>
      </c>
      <c r="AI146" s="49" t="s">
        <v>1574</v>
      </c>
      <c r="AJ146" s="49" t="s">
        <v>1574</v>
      </c>
      <c r="AK146" s="49" t="s">
        <v>1574</v>
      </c>
      <c r="AL146" s="49">
        <v>61.36</v>
      </c>
      <c r="AM146" s="49" t="s">
        <v>1574</v>
      </c>
      <c r="AN146" s="49">
        <v>0.13600000000000001</v>
      </c>
      <c r="AO146" s="49">
        <v>0.1542</v>
      </c>
      <c r="AP146" s="49">
        <v>1.3479000000000001</v>
      </c>
      <c r="AQ146" s="49">
        <v>0.44185184502000002</v>
      </c>
      <c r="AR146" s="49">
        <v>0.75239999999999996</v>
      </c>
      <c r="AS146" s="49">
        <v>3.3069299999999999</v>
      </c>
      <c r="AT146" s="49">
        <v>0.112215158</v>
      </c>
      <c r="AU146" s="49">
        <v>0.17636959999999999</v>
      </c>
      <c r="AV146" s="49">
        <v>9.1999999999999998E-2</v>
      </c>
      <c r="AW146" s="49">
        <v>1011.61</v>
      </c>
      <c r="AX146" s="49">
        <v>44.43</v>
      </c>
      <c r="AY146" s="49">
        <v>41.94</v>
      </c>
      <c r="AZ146" s="49" t="s">
        <v>1574</v>
      </c>
      <c r="BA146" s="49">
        <v>172.81223271447999</v>
      </c>
      <c r="BB146" s="49" t="s">
        <v>1574</v>
      </c>
      <c r="BC146" s="49">
        <v>0.79649999999999999</v>
      </c>
      <c r="BD146" s="49" t="s">
        <v>1574</v>
      </c>
      <c r="BE146" s="49">
        <v>0.33139999999999997</v>
      </c>
      <c r="BF146" s="49">
        <v>11.25</v>
      </c>
      <c r="BG146" s="49">
        <v>66</v>
      </c>
      <c r="BH146" s="49">
        <v>46.5</v>
      </c>
      <c r="BI146" s="49">
        <v>16</v>
      </c>
      <c r="BJ146" s="49">
        <v>32.5</v>
      </c>
      <c r="BK146" s="49">
        <v>617.29370117188</v>
      </c>
      <c r="BL146" s="49">
        <v>10.33</v>
      </c>
      <c r="BM146" s="49">
        <v>1115.3</v>
      </c>
      <c r="BN146" s="49">
        <v>261.89999999999998</v>
      </c>
      <c r="BO146" s="49">
        <v>3456.8</v>
      </c>
      <c r="BP146" s="49">
        <v>2932.1</v>
      </c>
      <c r="BQ146" s="49">
        <v>317.60000000000002</v>
      </c>
      <c r="BR146" s="49">
        <v>40.950000000000003</v>
      </c>
      <c r="BS146" s="49">
        <v>122.5</v>
      </c>
      <c r="BT146" s="49">
        <v>1.5808</v>
      </c>
      <c r="BU146" s="41"/>
      <c r="BV146" s="41"/>
      <c r="BW146" s="41"/>
      <c r="BX146" s="41"/>
      <c r="BY146" s="41"/>
      <c r="BZ146" s="41"/>
      <c r="CA146" s="41"/>
      <c r="CB146" s="41"/>
      <c r="CC146" s="41"/>
      <c r="CD146" s="41"/>
      <c r="CE146" s="41"/>
      <c r="CF146" s="41"/>
      <c r="CG146" s="41"/>
      <c r="CH146" s="41"/>
      <c r="CI146" s="41"/>
      <c r="CJ146" s="41"/>
      <c r="CK146" s="41"/>
    </row>
    <row r="147" spans="1:89">
      <c r="A147" s="41" t="s">
        <v>276</v>
      </c>
      <c r="B147" s="51">
        <v>1.74</v>
      </c>
      <c r="C147" s="51">
        <v>1.74</v>
      </c>
      <c r="D147" s="51">
        <v>1.74</v>
      </c>
      <c r="E147" s="51" t="s">
        <v>1574</v>
      </c>
      <c r="F147" s="51">
        <v>8.68</v>
      </c>
      <c r="G147" s="51" t="s">
        <v>1574</v>
      </c>
      <c r="H147" s="51">
        <v>0.18</v>
      </c>
      <c r="I147" s="51">
        <v>0.50224354379000002</v>
      </c>
      <c r="J147" s="51" t="s">
        <v>1574</v>
      </c>
      <c r="K147" s="51" t="s">
        <v>1574</v>
      </c>
      <c r="L147" s="51">
        <v>0.53800000000000003</v>
      </c>
      <c r="M147" s="51">
        <v>1.0051000000000001</v>
      </c>
      <c r="N147" s="51">
        <v>0.92988729999999997</v>
      </c>
      <c r="O147" s="51">
        <v>0.86260000000000003</v>
      </c>
      <c r="P147" s="51">
        <v>0.71286939999999999</v>
      </c>
      <c r="Q147" s="51">
        <v>0.97320050000000002</v>
      </c>
      <c r="R147" s="51">
        <v>0.90159959999999995</v>
      </c>
      <c r="S147" s="51">
        <v>355.49</v>
      </c>
      <c r="T147" s="51" t="s">
        <v>1574</v>
      </c>
      <c r="U147" s="51" t="s">
        <v>1574</v>
      </c>
      <c r="V147" s="51">
        <v>439.64</v>
      </c>
      <c r="W147" s="51">
        <v>282.56</v>
      </c>
      <c r="X147" s="51" t="s">
        <v>1574</v>
      </c>
      <c r="Y147" s="51">
        <v>131</v>
      </c>
      <c r="Z147" s="51">
        <v>335</v>
      </c>
      <c r="AA147" s="51">
        <v>108</v>
      </c>
      <c r="AB147" s="51" t="s">
        <v>1574</v>
      </c>
      <c r="AC147" s="51" t="s">
        <v>1574</v>
      </c>
      <c r="AD147" s="51">
        <v>28.299510307239998</v>
      </c>
      <c r="AE147" s="51">
        <v>58.4</v>
      </c>
      <c r="AF147" s="51">
        <v>55.77</v>
      </c>
      <c r="AG147" s="51">
        <v>113.35</v>
      </c>
      <c r="AH147" s="51" t="s">
        <v>1574</v>
      </c>
      <c r="AI147" s="51" t="s">
        <v>1574</v>
      </c>
      <c r="AJ147" s="51" t="s">
        <v>1574</v>
      </c>
      <c r="AK147" s="51" t="s">
        <v>1574</v>
      </c>
      <c r="AL147" s="51">
        <v>60.99</v>
      </c>
      <c r="AM147" s="51" t="s">
        <v>1574</v>
      </c>
      <c r="AN147" s="51">
        <v>0.14499999999999999</v>
      </c>
      <c r="AO147" s="51">
        <v>0.1542</v>
      </c>
      <c r="AP147" s="51">
        <v>1.3241000000000001</v>
      </c>
      <c r="AQ147" s="51">
        <v>0.44398130064000002</v>
      </c>
      <c r="AR147" s="51">
        <v>0.75019999999999998</v>
      </c>
      <c r="AS147" s="51">
        <v>3.3069299999999999</v>
      </c>
      <c r="AT147" s="51">
        <v>0.113758392</v>
      </c>
      <c r="AU147" s="51">
        <v>0.17857422000000001</v>
      </c>
      <c r="AV147" s="51">
        <v>9.3700000000000006E-2</v>
      </c>
      <c r="AW147" s="51">
        <v>1001.25</v>
      </c>
      <c r="AX147" s="51">
        <v>44.43</v>
      </c>
      <c r="AY147" s="51">
        <v>42.19</v>
      </c>
      <c r="AZ147" s="51" t="s">
        <v>1574</v>
      </c>
      <c r="BA147" s="51">
        <v>173.36773483105</v>
      </c>
      <c r="BB147" s="51" t="s">
        <v>1574</v>
      </c>
      <c r="BC147" s="51">
        <v>0.82889999999999997</v>
      </c>
      <c r="BD147" s="51" t="s">
        <v>1574</v>
      </c>
      <c r="BE147" s="51">
        <v>0.31569999999999998</v>
      </c>
      <c r="BF147" s="51">
        <v>11.25</v>
      </c>
      <c r="BG147" s="51">
        <v>66</v>
      </c>
      <c r="BH147" s="51">
        <v>46.5</v>
      </c>
      <c r="BI147" s="51">
        <v>16</v>
      </c>
      <c r="BJ147" s="51">
        <v>32.5</v>
      </c>
      <c r="BK147" s="51">
        <v>628.31665039063</v>
      </c>
      <c r="BL147" s="51">
        <v>10.33</v>
      </c>
      <c r="BM147" s="51">
        <v>1097.9000000000001</v>
      </c>
      <c r="BN147" s="51">
        <v>258.3</v>
      </c>
      <c r="BO147" s="51">
        <v>3478.9</v>
      </c>
      <c r="BP147" s="51">
        <v>2932.1</v>
      </c>
      <c r="BQ147" s="51">
        <v>322.5</v>
      </c>
      <c r="BR147" s="51">
        <v>42.71</v>
      </c>
      <c r="BS147" s="51">
        <v>122.5</v>
      </c>
      <c r="BT147" s="51">
        <v>1.5866</v>
      </c>
      <c r="BU147" s="41"/>
      <c r="BV147" s="41"/>
      <c r="BW147" s="41"/>
      <c r="BX147" s="41"/>
      <c r="BY147" s="41"/>
      <c r="BZ147" s="41"/>
      <c r="CA147" s="41"/>
      <c r="CB147" s="41"/>
      <c r="CC147" s="41"/>
      <c r="CD147" s="41"/>
      <c r="CE147" s="41"/>
      <c r="CF147" s="41"/>
      <c r="CG147" s="41"/>
      <c r="CH147" s="41"/>
      <c r="CI147" s="41"/>
      <c r="CJ147" s="41"/>
      <c r="CK147" s="41"/>
    </row>
    <row r="148" spans="1:89">
      <c r="A148" s="48" t="s">
        <v>277</v>
      </c>
      <c r="B148" s="49">
        <v>1.74</v>
      </c>
      <c r="C148" s="49">
        <v>1.74</v>
      </c>
      <c r="D148" s="49">
        <v>1.74</v>
      </c>
      <c r="E148" s="49" t="s">
        <v>1574</v>
      </c>
      <c r="F148" s="49">
        <v>8.68</v>
      </c>
      <c r="G148" s="49" t="s">
        <v>1574</v>
      </c>
      <c r="H148" s="49">
        <v>0.18</v>
      </c>
      <c r="I148" s="49">
        <v>0.50224354379000002</v>
      </c>
      <c r="J148" s="49" t="s">
        <v>1574</v>
      </c>
      <c r="K148" s="49" t="s">
        <v>1574</v>
      </c>
      <c r="L148" s="49">
        <v>0.53800000000000003</v>
      </c>
      <c r="M148" s="49">
        <v>0.96450000000000002</v>
      </c>
      <c r="N148" s="49">
        <v>0.92437579999999997</v>
      </c>
      <c r="O148" s="49">
        <v>0.85460000000000003</v>
      </c>
      <c r="P148" s="49">
        <v>0.72609270000000004</v>
      </c>
      <c r="Q148" s="49">
        <v>0.9360174</v>
      </c>
      <c r="R148" s="49">
        <v>0.90159959999999995</v>
      </c>
      <c r="S148" s="49">
        <v>356.72</v>
      </c>
      <c r="T148" s="49" t="s">
        <v>1574</v>
      </c>
      <c r="U148" s="49" t="s">
        <v>1574</v>
      </c>
      <c r="V148" s="49">
        <v>429.75</v>
      </c>
      <c r="W148" s="49">
        <v>272.24</v>
      </c>
      <c r="X148" s="49" t="s">
        <v>1574</v>
      </c>
      <c r="Y148" s="49">
        <v>124</v>
      </c>
      <c r="Z148" s="49">
        <v>296</v>
      </c>
      <c r="AA148" s="49">
        <v>99</v>
      </c>
      <c r="AB148" s="49" t="s">
        <v>1574</v>
      </c>
      <c r="AC148" s="49" t="s">
        <v>1574</v>
      </c>
      <c r="AD148" s="49">
        <v>28.34648871165</v>
      </c>
      <c r="AE148" s="49">
        <v>58.4</v>
      </c>
      <c r="AF148" s="49">
        <v>55.77</v>
      </c>
      <c r="AG148" s="49">
        <v>120.61</v>
      </c>
      <c r="AH148" s="49" t="s">
        <v>1574</v>
      </c>
      <c r="AI148" s="49" t="s">
        <v>1574</v>
      </c>
      <c r="AJ148" s="49" t="s">
        <v>1574</v>
      </c>
      <c r="AK148" s="49" t="s">
        <v>1574</v>
      </c>
      <c r="AL148" s="49">
        <v>60.99</v>
      </c>
      <c r="AM148" s="49" t="s">
        <v>1574</v>
      </c>
      <c r="AN148" s="49">
        <v>0.14699999999999999</v>
      </c>
      <c r="AO148" s="49">
        <v>0.1542</v>
      </c>
      <c r="AP148" s="49">
        <v>1.2968</v>
      </c>
      <c r="AQ148" s="49">
        <v>0.44428801614000002</v>
      </c>
      <c r="AR148" s="49">
        <v>0.79010000000000002</v>
      </c>
      <c r="AS148" s="49">
        <v>3.3069299999999999</v>
      </c>
      <c r="AT148" s="49">
        <v>0.115522088</v>
      </c>
      <c r="AU148" s="49">
        <v>0.17416498</v>
      </c>
      <c r="AV148" s="49">
        <v>8.7900000000000006E-2</v>
      </c>
      <c r="AW148" s="49">
        <v>1042.75</v>
      </c>
      <c r="AX148" s="49">
        <v>44.43</v>
      </c>
      <c r="AY148" s="49">
        <v>43.12</v>
      </c>
      <c r="AZ148" s="49" t="s">
        <v>1574</v>
      </c>
      <c r="BA148" s="49">
        <v>175.42103026599</v>
      </c>
      <c r="BB148" s="49" t="s">
        <v>1574</v>
      </c>
      <c r="BC148" s="49">
        <v>0.82669999999999999</v>
      </c>
      <c r="BD148" s="49" t="s">
        <v>1574</v>
      </c>
      <c r="BE148" s="49">
        <v>0.32319999999999999</v>
      </c>
      <c r="BF148" s="49">
        <v>11.25</v>
      </c>
      <c r="BG148" s="49">
        <v>66</v>
      </c>
      <c r="BH148" s="49">
        <v>46.5</v>
      </c>
      <c r="BI148" s="49">
        <v>16</v>
      </c>
      <c r="BJ148" s="49">
        <v>32.5</v>
      </c>
      <c r="BK148" s="49">
        <v>639.33984375</v>
      </c>
      <c r="BL148" s="49">
        <v>10.33</v>
      </c>
      <c r="BM148" s="49">
        <v>1056.4000000000001</v>
      </c>
      <c r="BN148" s="49">
        <v>239.2</v>
      </c>
      <c r="BO148" s="49">
        <v>3525.2</v>
      </c>
      <c r="BP148" s="49">
        <v>2932.1</v>
      </c>
      <c r="BQ148" s="49">
        <v>311.2</v>
      </c>
      <c r="BR148" s="49">
        <v>42.03</v>
      </c>
      <c r="BS148" s="49">
        <v>122.5</v>
      </c>
      <c r="BT148" s="49">
        <v>1.4214</v>
      </c>
      <c r="BU148" s="41"/>
      <c r="BV148" s="41"/>
      <c r="BW148" s="41"/>
      <c r="BX148" s="41"/>
      <c r="BY148" s="41"/>
      <c r="BZ148" s="41"/>
      <c r="CA148" s="41"/>
      <c r="CB148" s="41"/>
      <c r="CC148" s="41"/>
      <c r="CD148" s="41"/>
      <c r="CE148" s="41"/>
      <c r="CF148" s="41"/>
      <c r="CG148" s="41"/>
      <c r="CH148" s="41"/>
      <c r="CI148" s="41"/>
      <c r="CJ148" s="41"/>
      <c r="CK148" s="41"/>
    </row>
    <row r="149" spans="1:89">
      <c r="A149" s="41" t="s">
        <v>278</v>
      </c>
      <c r="B149" s="51">
        <v>1.74</v>
      </c>
      <c r="C149" s="51">
        <v>1.74</v>
      </c>
      <c r="D149" s="51">
        <v>1.74</v>
      </c>
      <c r="E149" s="51" t="s">
        <v>1574</v>
      </c>
      <c r="F149" s="51">
        <v>8.68</v>
      </c>
      <c r="G149" s="51" t="s">
        <v>1574</v>
      </c>
      <c r="H149" s="51">
        <v>0.18</v>
      </c>
      <c r="I149" s="51">
        <v>0.50224354379000002</v>
      </c>
      <c r="J149" s="51" t="s">
        <v>1574</v>
      </c>
      <c r="K149" s="51" t="s">
        <v>1574</v>
      </c>
      <c r="L149" s="51">
        <v>0.53800000000000003</v>
      </c>
      <c r="M149" s="51">
        <v>0.94310000000000005</v>
      </c>
      <c r="N149" s="51">
        <v>0.91908489999999998</v>
      </c>
      <c r="O149" s="51">
        <v>0.84770000000000001</v>
      </c>
      <c r="P149" s="51">
        <v>0.70495339999999995</v>
      </c>
      <c r="Q149" s="51">
        <v>0.93661640000000002</v>
      </c>
      <c r="R149" s="51">
        <v>0.90159959999999995</v>
      </c>
      <c r="S149" s="51">
        <v>357.94</v>
      </c>
      <c r="T149" s="51" t="s">
        <v>1574</v>
      </c>
      <c r="U149" s="51" t="s">
        <v>1574</v>
      </c>
      <c r="V149" s="51">
        <v>404.03</v>
      </c>
      <c r="W149" s="51">
        <v>253.99</v>
      </c>
      <c r="X149" s="51" t="s">
        <v>1574</v>
      </c>
      <c r="Y149" s="51">
        <v>125</v>
      </c>
      <c r="Z149" s="51">
        <v>305</v>
      </c>
      <c r="AA149" s="51">
        <v>101</v>
      </c>
      <c r="AB149" s="51" t="s">
        <v>1574</v>
      </c>
      <c r="AC149" s="51" t="s">
        <v>1574</v>
      </c>
      <c r="AD149" s="51">
        <v>28.237086453309999</v>
      </c>
      <c r="AE149" s="51">
        <v>58.4</v>
      </c>
      <c r="AF149" s="51">
        <v>55.77</v>
      </c>
      <c r="AG149" s="51">
        <v>121.69</v>
      </c>
      <c r="AH149" s="51" t="s">
        <v>1574</v>
      </c>
      <c r="AI149" s="51" t="s">
        <v>1574</v>
      </c>
      <c r="AJ149" s="51" t="s">
        <v>1574</v>
      </c>
      <c r="AK149" s="51" t="s">
        <v>1574</v>
      </c>
      <c r="AL149" s="51">
        <v>60.26</v>
      </c>
      <c r="AM149" s="51" t="s">
        <v>1574</v>
      </c>
      <c r="AN149" s="51">
        <v>0.14299999999999999</v>
      </c>
      <c r="AO149" s="51">
        <v>0.1542</v>
      </c>
      <c r="AP149" s="51">
        <v>1.3129</v>
      </c>
      <c r="AQ149" s="51">
        <v>0.4466334247</v>
      </c>
      <c r="AR149" s="51">
        <v>0.79790000000000005</v>
      </c>
      <c r="AS149" s="51">
        <v>3.3069299999999999</v>
      </c>
      <c r="AT149" s="51">
        <v>0.116403936</v>
      </c>
      <c r="AU149" s="51">
        <v>0.17416498</v>
      </c>
      <c r="AV149" s="51">
        <v>9.2799999999999994E-2</v>
      </c>
      <c r="AW149" s="51">
        <v>1081.58</v>
      </c>
      <c r="AX149" s="51">
        <v>44.43</v>
      </c>
      <c r="AY149" s="51">
        <v>43.58</v>
      </c>
      <c r="AZ149" s="51" t="s">
        <v>1574</v>
      </c>
      <c r="BA149" s="51">
        <v>176.42910586900001</v>
      </c>
      <c r="BB149" s="51" t="s">
        <v>1574</v>
      </c>
      <c r="BC149" s="51">
        <v>0.81850000000000001</v>
      </c>
      <c r="BD149" s="51" t="s">
        <v>1574</v>
      </c>
      <c r="BE149" s="51">
        <v>0.31569999999999998</v>
      </c>
      <c r="BF149" s="51">
        <v>11.25</v>
      </c>
      <c r="BG149" s="51">
        <v>66</v>
      </c>
      <c r="BH149" s="51">
        <v>46.5</v>
      </c>
      <c r="BI149" s="51">
        <v>16</v>
      </c>
      <c r="BJ149" s="51">
        <v>32.5</v>
      </c>
      <c r="BK149" s="51">
        <v>639.33984375</v>
      </c>
      <c r="BL149" s="51">
        <v>10.33</v>
      </c>
      <c r="BM149" s="51">
        <v>1041.2</v>
      </c>
      <c r="BN149" s="51">
        <v>229.5</v>
      </c>
      <c r="BO149" s="51">
        <v>3489.9</v>
      </c>
      <c r="BP149" s="51">
        <v>2932.1</v>
      </c>
      <c r="BQ149" s="51">
        <v>336.6</v>
      </c>
      <c r="BR149" s="51">
        <v>42.5</v>
      </c>
      <c r="BS149" s="51">
        <v>122.5</v>
      </c>
      <c r="BT149" s="51">
        <v>1.3358000000000001</v>
      </c>
      <c r="BU149" s="41"/>
      <c r="BV149" s="41"/>
      <c r="BW149" s="41"/>
      <c r="BX149" s="41"/>
      <c r="BY149" s="41"/>
      <c r="BZ149" s="41"/>
      <c r="CA149" s="41"/>
      <c r="CB149" s="41"/>
      <c r="CC149" s="41"/>
      <c r="CD149" s="41"/>
      <c r="CE149" s="41"/>
      <c r="CF149" s="41"/>
      <c r="CG149" s="41"/>
      <c r="CH149" s="41"/>
      <c r="CI149" s="41"/>
      <c r="CJ149" s="41"/>
      <c r="CK149" s="41"/>
    </row>
    <row r="150" spans="1:89">
      <c r="A150" s="48" t="s">
        <v>279</v>
      </c>
      <c r="B150" s="49">
        <v>1.74</v>
      </c>
      <c r="C150" s="49">
        <v>1.74</v>
      </c>
      <c r="D150" s="49">
        <v>1.74</v>
      </c>
      <c r="E150" s="49" t="s">
        <v>1574</v>
      </c>
      <c r="F150" s="49">
        <v>8.68</v>
      </c>
      <c r="G150" s="49" t="s">
        <v>1574</v>
      </c>
      <c r="H150" s="49">
        <v>0.18</v>
      </c>
      <c r="I150" s="49">
        <v>0.50224354379000002</v>
      </c>
      <c r="J150" s="49" t="s">
        <v>1574</v>
      </c>
      <c r="K150" s="49" t="s">
        <v>1574</v>
      </c>
      <c r="L150" s="49">
        <v>0.53800000000000003</v>
      </c>
      <c r="M150" s="49">
        <v>0.96579999999999999</v>
      </c>
      <c r="N150" s="49">
        <v>0.92547809999999997</v>
      </c>
      <c r="O150" s="49">
        <v>0.82069999999999999</v>
      </c>
      <c r="P150" s="49">
        <v>0.69305430000000001</v>
      </c>
      <c r="Q150" s="49">
        <v>0.86756429999999995</v>
      </c>
      <c r="R150" s="49">
        <v>0.90159959999999995</v>
      </c>
      <c r="S150" s="49">
        <v>358.23</v>
      </c>
      <c r="T150" s="49" t="s">
        <v>1574</v>
      </c>
      <c r="U150" s="49" t="s">
        <v>1574</v>
      </c>
      <c r="V150" s="49">
        <v>396.01</v>
      </c>
      <c r="W150" s="49">
        <v>247.82</v>
      </c>
      <c r="X150" s="49" t="s">
        <v>1574</v>
      </c>
      <c r="Y150" s="49">
        <v>125</v>
      </c>
      <c r="Z150" s="49">
        <v>301</v>
      </c>
      <c r="AA150" s="49">
        <v>102</v>
      </c>
      <c r="AB150" s="49" t="s">
        <v>1574</v>
      </c>
      <c r="AC150" s="49" t="s">
        <v>1574</v>
      </c>
      <c r="AD150" s="49">
        <v>28.283961231439999</v>
      </c>
      <c r="AE150" s="49">
        <v>58.4</v>
      </c>
      <c r="AF150" s="49">
        <v>55.77</v>
      </c>
      <c r="AG150" s="49">
        <v>118.06</v>
      </c>
      <c r="AH150" s="49" t="s">
        <v>1574</v>
      </c>
      <c r="AI150" s="49" t="s">
        <v>1574</v>
      </c>
      <c r="AJ150" s="49" t="s">
        <v>1574</v>
      </c>
      <c r="AK150" s="49" t="s">
        <v>1574</v>
      </c>
      <c r="AL150" s="49">
        <v>60.26</v>
      </c>
      <c r="AM150" s="49" t="s">
        <v>1574</v>
      </c>
      <c r="AN150" s="49">
        <v>0.14299999999999999</v>
      </c>
      <c r="AO150" s="49">
        <v>0.1542</v>
      </c>
      <c r="AP150" s="49">
        <v>1.2862</v>
      </c>
      <c r="AQ150" s="49">
        <v>0.44879647447999998</v>
      </c>
      <c r="AR150" s="49">
        <v>0.84789999999999999</v>
      </c>
      <c r="AS150" s="49">
        <v>3.3069299999999999</v>
      </c>
      <c r="AT150" s="49">
        <v>0.116624398</v>
      </c>
      <c r="AU150" s="49">
        <v>0.17636959999999999</v>
      </c>
      <c r="AV150" s="49">
        <v>9.35E-2</v>
      </c>
      <c r="AW150" s="49">
        <v>1102.4000000000001</v>
      </c>
      <c r="AX150" s="49">
        <v>44.43</v>
      </c>
      <c r="AY150" s="49">
        <v>41.57</v>
      </c>
      <c r="AZ150" s="49" t="s">
        <v>1574</v>
      </c>
      <c r="BA150" s="49">
        <v>171.98728644139999</v>
      </c>
      <c r="BB150" s="49" t="s">
        <v>1574</v>
      </c>
      <c r="BC150" s="49">
        <v>0.81569999999999998</v>
      </c>
      <c r="BD150" s="49" t="s">
        <v>1574</v>
      </c>
      <c r="BE150" s="49">
        <v>0.31530000000000002</v>
      </c>
      <c r="BF150" s="49">
        <v>11.25</v>
      </c>
      <c r="BG150" s="49">
        <v>66</v>
      </c>
      <c r="BH150" s="49">
        <v>46.5</v>
      </c>
      <c r="BI150" s="49">
        <v>16</v>
      </c>
      <c r="BJ150" s="49">
        <v>32.5</v>
      </c>
      <c r="BK150" s="49">
        <v>641.54443359375</v>
      </c>
      <c r="BL150" s="49">
        <v>10.33</v>
      </c>
      <c r="BM150" s="49">
        <v>1013.9</v>
      </c>
      <c r="BN150" s="49">
        <v>221.8</v>
      </c>
      <c r="BO150" s="49">
        <v>3534</v>
      </c>
      <c r="BP150" s="49">
        <v>2932.1</v>
      </c>
      <c r="BQ150" s="49">
        <v>344.4</v>
      </c>
      <c r="BR150" s="49">
        <v>42.86</v>
      </c>
      <c r="BS150" s="49">
        <v>122.5</v>
      </c>
      <c r="BT150" s="49">
        <v>1.3199000000000001</v>
      </c>
      <c r="BU150" s="41"/>
      <c r="BV150" s="41"/>
      <c r="BW150" s="41"/>
      <c r="BX150" s="41"/>
      <c r="BY150" s="41"/>
      <c r="BZ150" s="41"/>
      <c r="CA150" s="41"/>
      <c r="CB150" s="41"/>
      <c r="CC150" s="41"/>
      <c r="CD150" s="41"/>
      <c r="CE150" s="41"/>
      <c r="CF150" s="41"/>
      <c r="CG150" s="41"/>
      <c r="CH150" s="41"/>
      <c r="CI150" s="41"/>
      <c r="CJ150" s="41"/>
      <c r="CK150" s="41"/>
    </row>
    <row r="151" spans="1:89">
      <c r="A151" s="41" t="s">
        <v>280</v>
      </c>
      <c r="B151" s="51">
        <v>1.74</v>
      </c>
      <c r="C151" s="51">
        <v>1.74</v>
      </c>
      <c r="D151" s="51">
        <v>1.74</v>
      </c>
      <c r="E151" s="51" t="s">
        <v>1574</v>
      </c>
      <c r="F151" s="51">
        <v>8.68</v>
      </c>
      <c r="G151" s="51" t="s">
        <v>1574</v>
      </c>
      <c r="H151" s="51">
        <v>0.18</v>
      </c>
      <c r="I151" s="51">
        <v>0.50224354379000002</v>
      </c>
      <c r="J151" s="51" t="s">
        <v>1574</v>
      </c>
      <c r="K151" s="51" t="s">
        <v>1574</v>
      </c>
      <c r="L151" s="51">
        <v>0.53800000000000003</v>
      </c>
      <c r="M151" s="51">
        <v>1.0206999999999999</v>
      </c>
      <c r="N151" s="51">
        <v>0.93738279999999996</v>
      </c>
      <c r="O151" s="51">
        <v>0.80400000000000005</v>
      </c>
      <c r="P151" s="51">
        <v>0.70222770000000001</v>
      </c>
      <c r="Q151" s="51">
        <v>0.80831960000000003</v>
      </c>
      <c r="R151" s="51">
        <v>0.90159959999999995</v>
      </c>
      <c r="S151" s="51">
        <v>300</v>
      </c>
      <c r="T151" s="51" t="s">
        <v>1574</v>
      </c>
      <c r="U151" s="51" t="s">
        <v>1574</v>
      </c>
      <c r="V151" s="51">
        <v>410.95</v>
      </c>
      <c r="W151" s="51">
        <v>233.69</v>
      </c>
      <c r="X151" s="51" t="s">
        <v>1574</v>
      </c>
      <c r="Y151" s="51">
        <v>126</v>
      </c>
      <c r="Z151" s="51">
        <v>271</v>
      </c>
      <c r="AA151" s="51">
        <v>101</v>
      </c>
      <c r="AB151" s="51" t="s">
        <v>1574</v>
      </c>
      <c r="AC151" s="51" t="s">
        <v>1574</v>
      </c>
      <c r="AD151" s="51">
        <v>28.25095631656</v>
      </c>
      <c r="AE151" s="51">
        <v>58.4</v>
      </c>
      <c r="AF151" s="51">
        <v>55.77</v>
      </c>
      <c r="AG151" s="51">
        <v>116.98</v>
      </c>
      <c r="AH151" s="51" t="s">
        <v>1574</v>
      </c>
      <c r="AI151" s="51" t="s">
        <v>1574</v>
      </c>
      <c r="AJ151" s="51" t="s">
        <v>1574</v>
      </c>
      <c r="AK151" s="51" t="s">
        <v>1574</v>
      </c>
      <c r="AL151" s="51">
        <v>59.89</v>
      </c>
      <c r="AM151" s="51" t="s">
        <v>1574</v>
      </c>
      <c r="AN151" s="51">
        <v>0.14399999999999999</v>
      </c>
      <c r="AO151" s="51">
        <v>0.15509999999999999</v>
      </c>
      <c r="AP151" s="51">
        <v>1.3166</v>
      </c>
      <c r="AQ151" s="51">
        <v>0.45059029344000001</v>
      </c>
      <c r="AR151" s="51">
        <v>0.877</v>
      </c>
      <c r="AS151" s="51">
        <v>3.3069299999999999</v>
      </c>
      <c r="AT151" s="51">
        <v>0.11816763199999999</v>
      </c>
      <c r="AU151" s="51">
        <v>0.18298345999999999</v>
      </c>
      <c r="AV151" s="51">
        <v>0.1275</v>
      </c>
      <c r="AW151" s="51">
        <v>1100.6199999999999</v>
      </c>
      <c r="AX151" s="51">
        <v>44.43</v>
      </c>
      <c r="AY151" s="51">
        <v>41.45</v>
      </c>
      <c r="AZ151" s="51" t="s">
        <v>1574</v>
      </c>
      <c r="BA151" s="51">
        <v>171.71901157872</v>
      </c>
      <c r="BB151" s="51" t="s">
        <v>1574</v>
      </c>
      <c r="BC151" s="51">
        <v>0.84550000000000003</v>
      </c>
      <c r="BD151" s="51" t="s">
        <v>1574</v>
      </c>
      <c r="BE151" s="51">
        <v>0.2928</v>
      </c>
      <c r="BF151" s="51">
        <v>11.25</v>
      </c>
      <c r="BG151" s="51">
        <v>66</v>
      </c>
      <c r="BH151" s="51">
        <v>46.5</v>
      </c>
      <c r="BI151" s="51">
        <v>16</v>
      </c>
      <c r="BJ151" s="51">
        <v>32.5</v>
      </c>
      <c r="BK151" s="51">
        <v>665.79516601563</v>
      </c>
      <c r="BL151" s="51">
        <v>10.33</v>
      </c>
      <c r="BM151" s="51">
        <v>1037.9000000000001</v>
      </c>
      <c r="BN151" s="51">
        <v>231</v>
      </c>
      <c r="BO151" s="51">
        <v>3670.7</v>
      </c>
      <c r="BP151" s="51">
        <v>2932.1</v>
      </c>
      <c r="BQ151" s="51">
        <v>358.9</v>
      </c>
      <c r="BR151" s="51">
        <v>43.48</v>
      </c>
      <c r="BS151" s="51">
        <v>122.5</v>
      </c>
      <c r="BT151" s="51">
        <v>1.3935</v>
      </c>
      <c r="BU151" s="41"/>
      <c r="BV151" s="41"/>
      <c r="BW151" s="41"/>
      <c r="BX151" s="41"/>
      <c r="BY151" s="41"/>
      <c r="BZ151" s="41"/>
      <c r="CA151" s="41"/>
      <c r="CB151" s="41"/>
      <c r="CC151" s="41"/>
      <c r="CD151" s="41"/>
      <c r="CE151" s="41"/>
      <c r="CF151" s="41"/>
      <c r="CG151" s="41"/>
      <c r="CH151" s="41"/>
      <c r="CI151" s="41"/>
      <c r="CJ151" s="41"/>
      <c r="CK151" s="41"/>
    </row>
    <row r="152" spans="1:89">
      <c r="A152" s="48" t="s">
        <v>281</v>
      </c>
      <c r="B152" s="49">
        <v>1.77</v>
      </c>
      <c r="C152" s="49">
        <v>1.77</v>
      </c>
      <c r="D152" s="49">
        <v>1.77</v>
      </c>
      <c r="E152" s="49" t="s">
        <v>1574</v>
      </c>
      <c r="F152" s="49">
        <v>9.6</v>
      </c>
      <c r="G152" s="49" t="s">
        <v>1574</v>
      </c>
      <c r="H152" s="49">
        <v>0.19</v>
      </c>
      <c r="I152" s="49">
        <v>0.54216598655000003</v>
      </c>
      <c r="J152" s="49" t="s">
        <v>1574</v>
      </c>
      <c r="K152" s="49" t="s">
        <v>1574</v>
      </c>
      <c r="L152" s="49">
        <v>0.64400000000000002</v>
      </c>
      <c r="M152" s="49">
        <v>0.99050000000000005</v>
      </c>
      <c r="N152" s="49">
        <v>0.92966680000000002</v>
      </c>
      <c r="O152" s="49">
        <v>0.78690000000000004</v>
      </c>
      <c r="P152" s="49">
        <v>0.74601410000000001</v>
      </c>
      <c r="Q152" s="49">
        <v>0.80410809999999999</v>
      </c>
      <c r="R152" s="49">
        <v>0.81059970000000003</v>
      </c>
      <c r="S152" s="49">
        <v>300</v>
      </c>
      <c r="T152" s="49" t="s">
        <v>1574</v>
      </c>
      <c r="U152" s="49" t="s">
        <v>1574</v>
      </c>
      <c r="V152" s="49">
        <v>426.69</v>
      </c>
      <c r="W152" s="49">
        <v>218.34</v>
      </c>
      <c r="X152" s="49" t="s">
        <v>1574</v>
      </c>
      <c r="Y152" s="49">
        <v>125</v>
      </c>
      <c r="Z152" s="49">
        <v>249</v>
      </c>
      <c r="AA152" s="49">
        <v>105</v>
      </c>
      <c r="AB152" s="49" t="s">
        <v>1574</v>
      </c>
      <c r="AC152" s="49" t="s">
        <v>1574</v>
      </c>
      <c r="AD152" s="49">
        <v>27.06295183816</v>
      </c>
      <c r="AE152" s="49">
        <v>51.33</v>
      </c>
      <c r="AF152" s="49">
        <v>53.08</v>
      </c>
      <c r="AG152" s="49">
        <v>113.84</v>
      </c>
      <c r="AH152" s="49" t="s">
        <v>1574</v>
      </c>
      <c r="AI152" s="49" t="s">
        <v>1574</v>
      </c>
      <c r="AJ152" s="49" t="s">
        <v>1574</v>
      </c>
      <c r="AK152" s="49" t="s">
        <v>1574</v>
      </c>
      <c r="AL152" s="49">
        <v>59.89</v>
      </c>
      <c r="AM152" s="49" t="s">
        <v>1574</v>
      </c>
      <c r="AN152" s="49">
        <v>0.13100000000000001</v>
      </c>
      <c r="AO152" s="49">
        <v>0.1885</v>
      </c>
      <c r="AP152" s="49">
        <v>1.3857999999999999</v>
      </c>
      <c r="AQ152" s="49">
        <v>0.45333391136000001</v>
      </c>
      <c r="AR152" s="49">
        <v>0.92</v>
      </c>
      <c r="AS152" s="49">
        <v>4.1226393999999997</v>
      </c>
      <c r="AT152" s="49">
        <v>0.1543234</v>
      </c>
      <c r="AU152" s="49">
        <v>0.19180194</v>
      </c>
      <c r="AV152" s="49">
        <v>0.1741</v>
      </c>
      <c r="AW152" s="49">
        <v>1106.83</v>
      </c>
      <c r="AX152" s="49">
        <v>52.48</v>
      </c>
      <c r="AY152" s="49">
        <v>40.35</v>
      </c>
      <c r="AZ152" s="49" t="s">
        <v>1574</v>
      </c>
      <c r="BA152" s="49">
        <v>169.24297163932999</v>
      </c>
      <c r="BB152" s="49" t="s">
        <v>1574</v>
      </c>
      <c r="BC152" s="49">
        <v>0.88839999999999997</v>
      </c>
      <c r="BD152" s="49" t="s">
        <v>1574</v>
      </c>
      <c r="BE152" s="49">
        <v>0.31609999999999999</v>
      </c>
      <c r="BF152" s="49">
        <v>11.5</v>
      </c>
      <c r="BG152" s="49">
        <v>83</v>
      </c>
      <c r="BH152" s="49">
        <v>60</v>
      </c>
      <c r="BI152" s="49">
        <v>29.25</v>
      </c>
      <c r="BJ152" s="49">
        <v>33.5</v>
      </c>
      <c r="BK152" s="49">
        <v>670.20458984375</v>
      </c>
      <c r="BL152" s="49">
        <v>10.33</v>
      </c>
      <c r="BM152" s="49">
        <v>1078</v>
      </c>
      <c r="BN152" s="49">
        <v>251.9</v>
      </c>
      <c r="BO152" s="49">
        <v>3626.6</v>
      </c>
      <c r="BP152" s="49">
        <v>3079.9</v>
      </c>
      <c r="BQ152" s="49">
        <v>379.8</v>
      </c>
      <c r="BR152" s="49">
        <v>45.75</v>
      </c>
      <c r="BS152" s="49">
        <v>122.5</v>
      </c>
      <c r="BT152" s="49">
        <v>1.4731000000000001</v>
      </c>
      <c r="BU152" s="41"/>
      <c r="BV152" s="41"/>
      <c r="BW152" s="41"/>
      <c r="BX152" s="41"/>
      <c r="BY152" s="41"/>
      <c r="BZ152" s="41"/>
      <c r="CA152" s="41"/>
      <c r="CB152" s="41"/>
      <c r="CC152" s="41"/>
      <c r="CD152" s="41"/>
      <c r="CE152" s="41"/>
      <c r="CF152" s="41"/>
      <c r="CG152" s="41"/>
      <c r="CH152" s="41"/>
      <c r="CI152" s="41"/>
      <c r="CJ152" s="41"/>
      <c r="CK152" s="41"/>
    </row>
    <row r="153" spans="1:89">
      <c r="A153" s="41" t="s">
        <v>282</v>
      </c>
      <c r="B153" s="51">
        <v>1.77</v>
      </c>
      <c r="C153" s="51">
        <v>1.77</v>
      </c>
      <c r="D153" s="51">
        <v>1.77</v>
      </c>
      <c r="E153" s="51" t="s">
        <v>1574</v>
      </c>
      <c r="F153" s="51">
        <v>9.6</v>
      </c>
      <c r="G153" s="51" t="s">
        <v>1574</v>
      </c>
      <c r="H153" s="51">
        <v>0.19</v>
      </c>
      <c r="I153" s="51">
        <v>0.54216598655000003</v>
      </c>
      <c r="J153" s="51" t="s">
        <v>1574</v>
      </c>
      <c r="K153" s="51" t="s">
        <v>1574</v>
      </c>
      <c r="L153" s="51">
        <v>0.64400000000000002</v>
      </c>
      <c r="M153" s="51">
        <v>0.99960000000000004</v>
      </c>
      <c r="N153" s="51">
        <v>0.93076899999999996</v>
      </c>
      <c r="O153" s="51">
        <v>0.7923</v>
      </c>
      <c r="P153" s="51">
        <v>0.78249400000000002</v>
      </c>
      <c r="Q153" s="51">
        <v>0.78392609999999996</v>
      </c>
      <c r="R153" s="51">
        <v>0.81059970000000003</v>
      </c>
      <c r="S153" s="51">
        <v>250</v>
      </c>
      <c r="T153" s="51" t="s">
        <v>1574</v>
      </c>
      <c r="U153" s="51" t="s">
        <v>1574</v>
      </c>
      <c r="V153" s="51">
        <v>437.61</v>
      </c>
      <c r="W153" s="51">
        <v>185.17</v>
      </c>
      <c r="X153" s="51" t="s">
        <v>1574</v>
      </c>
      <c r="Y153" s="51">
        <v>127</v>
      </c>
      <c r="Z153" s="51">
        <v>246</v>
      </c>
      <c r="AA153" s="51">
        <v>107</v>
      </c>
      <c r="AB153" s="51" t="s">
        <v>1574</v>
      </c>
      <c r="AC153" s="51" t="s">
        <v>1574</v>
      </c>
      <c r="AD153" s="51">
        <v>27.178920096150001</v>
      </c>
      <c r="AE153" s="51">
        <v>51.72</v>
      </c>
      <c r="AF153" s="51">
        <v>53.46</v>
      </c>
      <c r="AG153" s="51">
        <v>112.56</v>
      </c>
      <c r="AH153" s="51" t="s">
        <v>1574</v>
      </c>
      <c r="AI153" s="51" t="s">
        <v>1574</v>
      </c>
      <c r="AJ153" s="51" t="s">
        <v>1574</v>
      </c>
      <c r="AK153" s="51" t="s">
        <v>1574</v>
      </c>
      <c r="AL153" s="51">
        <v>59.89</v>
      </c>
      <c r="AM153" s="51" t="s">
        <v>1574</v>
      </c>
      <c r="AN153" s="51">
        <v>0.14000000000000001</v>
      </c>
      <c r="AO153" s="51">
        <v>0.19120000000000001</v>
      </c>
      <c r="AP153" s="51">
        <v>1.4041999999999999</v>
      </c>
      <c r="AQ153" s="51">
        <v>0.45641986358999997</v>
      </c>
      <c r="AR153" s="51">
        <v>0.88849999999999996</v>
      </c>
      <c r="AS153" s="51">
        <v>4.1226393999999997</v>
      </c>
      <c r="AT153" s="51">
        <v>0.15608709600000001</v>
      </c>
      <c r="AU153" s="51">
        <v>0.1873927</v>
      </c>
      <c r="AV153" s="51">
        <v>0.18099999999999999</v>
      </c>
      <c r="AW153" s="51">
        <v>1115.1600000000001</v>
      </c>
      <c r="AX153" s="51">
        <v>52.48</v>
      </c>
      <c r="AY153" s="51">
        <v>42.13</v>
      </c>
      <c r="AZ153" s="51" t="s">
        <v>1574</v>
      </c>
      <c r="BA153" s="51">
        <v>173.23455272171</v>
      </c>
      <c r="BB153" s="51" t="s">
        <v>1574</v>
      </c>
      <c r="BC153" s="51">
        <v>0.89639999999999997</v>
      </c>
      <c r="BD153" s="51" t="s">
        <v>1574</v>
      </c>
      <c r="BE153" s="51">
        <v>0.3135</v>
      </c>
      <c r="BF153" s="51">
        <v>11.5</v>
      </c>
      <c r="BG153" s="51">
        <v>83</v>
      </c>
      <c r="BH153" s="51">
        <v>60</v>
      </c>
      <c r="BI153" s="51">
        <v>29.25</v>
      </c>
      <c r="BJ153" s="51">
        <v>33.5</v>
      </c>
      <c r="BK153" s="51">
        <v>670.20458984375</v>
      </c>
      <c r="BL153" s="51">
        <v>10.33</v>
      </c>
      <c r="BM153" s="51">
        <v>1112.4000000000001</v>
      </c>
      <c r="BN153" s="51">
        <v>294.3</v>
      </c>
      <c r="BO153" s="51">
        <v>3631</v>
      </c>
      <c r="BP153" s="51">
        <v>3079.9</v>
      </c>
      <c r="BQ153" s="51">
        <v>389.7</v>
      </c>
      <c r="BR153" s="51">
        <v>48.26</v>
      </c>
      <c r="BS153" s="51">
        <v>122.5</v>
      </c>
      <c r="BT153" s="51">
        <v>1.5036</v>
      </c>
      <c r="BU153" s="41"/>
      <c r="BV153" s="41"/>
      <c r="BW153" s="41"/>
      <c r="BX153" s="41"/>
      <c r="BY153" s="41"/>
      <c r="BZ153" s="41"/>
      <c r="CA153" s="41"/>
      <c r="CB153" s="41"/>
      <c r="CC153" s="41"/>
      <c r="CD153" s="41"/>
      <c r="CE153" s="41"/>
      <c r="CF153" s="41"/>
      <c r="CG153" s="41"/>
      <c r="CH153" s="41"/>
      <c r="CI153" s="41"/>
      <c r="CJ153" s="41"/>
      <c r="CK153" s="41"/>
    </row>
    <row r="154" spans="1:89">
      <c r="A154" s="48" t="s">
        <v>283</v>
      </c>
      <c r="B154" s="49">
        <v>1.77</v>
      </c>
      <c r="C154" s="49">
        <v>1.77</v>
      </c>
      <c r="D154" s="49">
        <v>1.77</v>
      </c>
      <c r="E154" s="49" t="s">
        <v>1574</v>
      </c>
      <c r="F154" s="49">
        <v>9.6</v>
      </c>
      <c r="G154" s="49" t="s">
        <v>1574</v>
      </c>
      <c r="H154" s="49">
        <v>0.19</v>
      </c>
      <c r="I154" s="49">
        <v>0.54216598655000003</v>
      </c>
      <c r="J154" s="49" t="s">
        <v>1574</v>
      </c>
      <c r="K154" s="49" t="s">
        <v>1574</v>
      </c>
      <c r="L154" s="49">
        <v>0.64400000000000002</v>
      </c>
      <c r="M154" s="49">
        <v>1.0192000000000001</v>
      </c>
      <c r="N154" s="49">
        <v>0.94950800000000002</v>
      </c>
      <c r="O154" s="49">
        <v>0.79600000000000004</v>
      </c>
      <c r="P154" s="49">
        <v>0.82444589999999995</v>
      </c>
      <c r="Q154" s="49">
        <v>0.75308070000000005</v>
      </c>
      <c r="R154" s="49">
        <v>0.81059970000000003</v>
      </c>
      <c r="S154" s="49">
        <v>210</v>
      </c>
      <c r="T154" s="49" t="s">
        <v>1574</v>
      </c>
      <c r="U154" s="49" t="s">
        <v>1574</v>
      </c>
      <c r="V154" s="49">
        <v>434.41</v>
      </c>
      <c r="W154" s="49">
        <v>216.68</v>
      </c>
      <c r="X154" s="49" t="s">
        <v>1574</v>
      </c>
      <c r="Y154" s="49">
        <v>135</v>
      </c>
      <c r="Z154" s="49">
        <v>258</v>
      </c>
      <c r="AA154" s="49">
        <v>114</v>
      </c>
      <c r="AB154" s="49" t="s">
        <v>1574</v>
      </c>
      <c r="AC154" s="49" t="s">
        <v>1574</v>
      </c>
      <c r="AD154" s="49">
        <v>27.367115362260002</v>
      </c>
      <c r="AE154" s="49">
        <v>52.51</v>
      </c>
      <c r="AF154" s="49">
        <v>53.57</v>
      </c>
      <c r="AG154" s="49">
        <v>113.05</v>
      </c>
      <c r="AH154" s="49" t="s">
        <v>1574</v>
      </c>
      <c r="AI154" s="49" t="s">
        <v>1574</v>
      </c>
      <c r="AJ154" s="49" t="s">
        <v>1574</v>
      </c>
      <c r="AK154" s="49" t="s">
        <v>1574</v>
      </c>
      <c r="AL154" s="49">
        <v>59.89</v>
      </c>
      <c r="AM154" s="49" t="s">
        <v>1574</v>
      </c>
      <c r="AN154" s="49">
        <v>0.13300000000000001</v>
      </c>
      <c r="AO154" s="49">
        <v>0.1648</v>
      </c>
      <c r="AP154" s="49">
        <v>1.4548000000000001</v>
      </c>
      <c r="AQ154" s="49">
        <v>0.46040182827999998</v>
      </c>
      <c r="AR154" s="49">
        <v>0.91759999999999997</v>
      </c>
      <c r="AS154" s="49">
        <v>4.1226393999999997</v>
      </c>
      <c r="AT154" s="49">
        <v>0.157189406</v>
      </c>
      <c r="AU154" s="49">
        <v>0.18959732000000001</v>
      </c>
      <c r="AV154" s="49">
        <v>0.185</v>
      </c>
      <c r="AW154" s="49">
        <v>1088.67</v>
      </c>
      <c r="AX154" s="49">
        <v>52.48</v>
      </c>
      <c r="AY154" s="49">
        <v>43.98</v>
      </c>
      <c r="AZ154" s="49" t="s">
        <v>1574</v>
      </c>
      <c r="BA154" s="49">
        <v>177.30172162124001</v>
      </c>
      <c r="BB154" s="49" t="s">
        <v>1574</v>
      </c>
      <c r="BC154" s="49">
        <v>0.87070000000000003</v>
      </c>
      <c r="BD154" s="49" t="s">
        <v>1574</v>
      </c>
      <c r="BE154" s="49">
        <v>0.30969999999999998</v>
      </c>
      <c r="BF154" s="49">
        <v>11.5</v>
      </c>
      <c r="BG154" s="49">
        <v>83</v>
      </c>
      <c r="BH154" s="49">
        <v>60</v>
      </c>
      <c r="BI154" s="49">
        <v>29.25</v>
      </c>
      <c r="BJ154" s="49">
        <v>33.5</v>
      </c>
      <c r="BK154" s="49">
        <v>670.20458984375</v>
      </c>
      <c r="BL154" s="49">
        <v>10.33</v>
      </c>
      <c r="BM154" s="49">
        <v>1108.2</v>
      </c>
      <c r="BN154" s="49">
        <v>320.5</v>
      </c>
      <c r="BO154" s="49">
        <v>3789.7</v>
      </c>
      <c r="BP154" s="49">
        <v>3079.9</v>
      </c>
      <c r="BQ154" s="49">
        <v>397.4</v>
      </c>
      <c r="BR154" s="49">
        <v>48.33</v>
      </c>
      <c r="BS154" s="49">
        <v>122.5</v>
      </c>
      <c r="BT154" s="49">
        <v>1.5364</v>
      </c>
      <c r="BU154" s="41"/>
      <c r="BV154" s="41"/>
      <c r="BW154" s="41"/>
      <c r="BX154" s="41"/>
      <c r="BY154" s="41"/>
      <c r="BZ154" s="41"/>
      <c r="CA154" s="41"/>
      <c r="CB154" s="41"/>
      <c r="CC154" s="41"/>
      <c r="CD154" s="41"/>
      <c r="CE154" s="41"/>
      <c r="CF154" s="41"/>
      <c r="CG154" s="41"/>
      <c r="CH154" s="41"/>
      <c r="CI154" s="41"/>
      <c r="CJ154" s="41"/>
      <c r="CK154" s="41"/>
    </row>
    <row r="155" spans="1:89">
      <c r="A155" s="41" t="s">
        <v>284</v>
      </c>
      <c r="B155" s="51">
        <v>1.77</v>
      </c>
      <c r="C155" s="51">
        <v>1.77</v>
      </c>
      <c r="D155" s="51">
        <v>1.77</v>
      </c>
      <c r="E155" s="51" t="s">
        <v>1574</v>
      </c>
      <c r="F155" s="51">
        <v>9.6</v>
      </c>
      <c r="G155" s="51" t="s">
        <v>1574</v>
      </c>
      <c r="H155" s="51">
        <v>0.19</v>
      </c>
      <c r="I155" s="51">
        <v>0.54216598655000003</v>
      </c>
      <c r="J155" s="51" t="s">
        <v>1574</v>
      </c>
      <c r="K155" s="51" t="s">
        <v>1574</v>
      </c>
      <c r="L155" s="51">
        <v>0.64400000000000002</v>
      </c>
      <c r="M155" s="51">
        <v>1.0115000000000001</v>
      </c>
      <c r="N155" s="51">
        <v>0.96273529999999996</v>
      </c>
      <c r="O155" s="51">
        <v>0.81399999999999995</v>
      </c>
      <c r="P155" s="51">
        <v>0.80985399999999996</v>
      </c>
      <c r="Q155" s="51">
        <v>0.82147219999999999</v>
      </c>
      <c r="R155" s="51">
        <v>0.81059970000000003</v>
      </c>
      <c r="S155" s="51">
        <v>200</v>
      </c>
      <c r="T155" s="51" t="s">
        <v>1574</v>
      </c>
      <c r="U155" s="51" t="s">
        <v>1574</v>
      </c>
      <c r="V155" s="51">
        <v>439.9</v>
      </c>
      <c r="W155" s="51">
        <v>227.34</v>
      </c>
      <c r="X155" s="51" t="s">
        <v>1574</v>
      </c>
      <c r="Y155" s="51">
        <v>140</v>
      </c>
      <c r="Z155" s="51">
        <v>272</v>
      </c>
      <c r="AA155" s="51">
        <v>117</v>
      </c>
      <c r="AB155" s="51" t="s">
        <v>1574</v>
      </c>
      <c r="AC155" s="51" t="s">
        <v>1574</v>
      </c>
      <c r="AD155" s="51">
        <v>27.700405945970001</v>
      </c>
      <c r="AE155" s="51">
        <v>53.68</v>
      </c>
      <c r="AF155" s="51">
        <v>53.68</v>
      </c>
      <c r="AG155" s="51">
        <v>111.58</v>
      </c>
      <c r="AH155" s="51" t="s">
        <v>1574</v>
      </c>
      <c r="AI155" s="51" t="s">
        <v>1574</v>
      </c>
      <c r="AJ155" s="51" t="s">
        <v>1574</v>
      </c>
      <c r="AK155" s="51" t="s">
        <v>1574</v>
      </c>
      <c r="AL155" s="51">
        <v>60.26</v>
      </c>
      <c r="AM155" s="51" t="s">
        <v>1574</v>
      </c>
      <c r="AN155" s="51">
        <v>0.13500000000000001</v>
      </c>
      <c r="AO155" s="51">
        <v>0.1542</v>
      </c>
      <c r="AP155" s="51">
        <v>1.4991000000000001</v>
      </c>
      <c r="AQ155" s="51">
        <v>0.46367674180000001</v>
      </c>
      <c r="AR155" s="51">
        <v>0.93069999999999997</v>
      </c>
      <c r="AS155" s="51">
        <v>4.1226393999999997</v>
      </c>
      <c r="AT155" s="51">
        <v>0.15652801999999999</v>
      </c>
      <c r="AU155" s="51">
        <v>0.18518808</v>
      </c>
      <c r="AV155" s="51">
        <v>0.156</v>
      </c>
      <c r="AW155" s="51">
        <v>1066.04</v>
      </c>
      <c r="AX155" s="51">
        <v>52.48</v>
      </c>
      <c r="AY155" s="51">
        <v>43.57</v>
      </c>
      <c r="AZ155" s="51" t="s">
        <v>1574</v>
      </c>
      <c r="BA155" s="51">
        <v>176.40724337569</v>
      </c>
      <c r="BB155" s="51" t="s">
        <v>1574</v>
      </c>
      <c r="BC155" s="51">
        <v>0.86509999999999998</v>
      </c>
      <c r="BD155" s="51" t="s">
        <v>1574</v>
      </c>
      <c r="BE155" s="51">
        <v>0.30640000000000001</v>
      </c>
      <c r="BF155" s="51">
        <v>11.5</v>
      </c>
      <c r="BG155" s="51">
        <v>83</v>
      </c>
      <c r="BH155" s="51">
        <v>60</v>
      </c>
      <c r="BI155" s="51">
        <v>29.25</v>
      </c>
      <c r="BJ155" s="51">
        <v>33.5</v>
      </c>
      <c r="BK155" s="51">
        <v>670.20458984375</v>
      </c>
      <c r="BL155" s="51">
        <v>10.33</v>
      </c>
      <c r="BM155" s="51">
        <v>1133</v>
      </c>
      <c r="BN155" s="51">
        <v>315.89999999999998</v>
      </c>
      <c r="BO155" s="51">
        <v>3844.9</v>
      </c>
      <c r="BP155" s="51">
        <v>3079.9</v>
      </c>
      <c r="BQ155" s="51">
        <v>395</v>
      </c>
      <c r="BR155" s="51">
        <v>49.03</v>
      </c>
      <c r="BS155" s="51">
        <v>122.5</v>
      </c>
      <c r="BT155" s="51">
        <v>1.5720000000000001</v>
      </c>
      <c r="BU155" s="41"/>
      <c r="BV155" s="41"/>
      <c r="BW155" s="41"/>
      <c r="BX155" s="41"/>
      <c r="BY155" s="41"/>
      <c r="BZ155" s="41"/>
      <c r="CA155" s="41"/>
      <c r="CB155" s="41"/>
      <c r="CC155" s="41"/>
      <c r="CD155" s="41"/>
      <c r="CE155" s="41"/>
      <c r="CF155" s="41"/>
      <c r="CG155" s="41"/>
      <c r="CH155" s="41"/>
      <c r="CI155" s="41"/>
      <c r="CJ155" s="41"/>
      <c r="CK155" s="41"/>
    </row>
    <row r="156" spans="1:89">
      <c r="A156" s="48" t="s">
        <v>285</v>
      </c>
      <c r="B156" s="49">
        <v>1.77</v>
      </c>
      <c r="C156" s="49">
        <v>1.77</v>
      </c>
      <c r="D156" s="49">
        <v>1.77</v>
      </c>
      <c r="E156" s="49" t="s">
        <v>1574</v>
      </c>
      <c r="F156" s="49">
        <v>9.6</v>
      </c>
      <c r="G156" s="49" t="s">
        <v>1574</v>
      </c>
      <c r="H156" s="49">
        <v>0.19</v>
      </c>
      <c r="I156" s="49">
        <v>0.54216598655000003</v>
      </c>
      <c r="J156" s="49" t="s">
        <v>1574</v>
      </c>
      <c r="K156" s="49" t="s">
        <v>1574</v>
      </c>
      <c r="L156" s="49">
        <v>0.64400000000000002</v>
      </c>
      <c r="M156" s="49">
        <v>1.0377000000000001</v>
      </c>
      <c r="N156" s="49">
        <v>0.96471949999999995</v>
      </c>
      <c r="O156" s="49">
        <v>0.85770000000000002</v>
      </c>
      <c r="P156" s="49">
        <v>0.80255799999999999</v>
      </c>
      <c r="Q156" s="49">
        <v>0.95983830000000003</v>
      </c>
      <c r="R156" s="49">
        <v>0.81059970000000003</v>
      </c>
      <c r="S156" s="49">
        <v>220</v>
      </c>
      <c r="T156" s="49" t="s">
        <v>1574</v>
      </c>
      <c r="U156" s="49" t="s">
        <v>1574</v>
      </c>
      <c r="V156" s="49">
        <v>441.52</v>
      </c>
      <c r="W156" s="49">
        <v>227.51</v>
      </c>
      <c r="X156" s="49" t="s">
        <v>1574</v>
      </c>
      <c r="Y156" s="49">
        <v>140</v>
      </c>
      <c r="Z156" s="49">
        <v>252</v>
      </c>
      <c r="AA156" s="49">
        <v>117</v>
      </c>
      <c r="AB156" s="49" t="s">
        <v>1574</v>
      </c>
      <c r="AC156" s="49" t="s">
        <v>1574</v>
      </c>
      <c r="AD156" s="49">
        <v>27.888683322049999</v>
      </c>
      <c r="AE156" s="49">
        <v>54.48</v>
      </c>
      <c r="AF156" s="49">
        <v>51.53</v>
      </c>
      <c r="AG156" s="49">
        <v>114.13</v>
      </c>
      <c r="AH156" s="49" t="s">
        <v>1574</v>
      </c>
      <c r="AI156" s="49" t="s">
        <v>1574</v>
      </c>
      <c r="AJ156" s="49" t="s">
        <v>1574</v>
      </c>
      <c r="AK156" s="49" t="s">
        <v>1574</v>
      </c>
      <c r="AL156" s="49">
        <v>60.26</v>
      </c>
      <c r="AM156" s="49" t="s">
        <v>1574</v>
      </c>
      <c r="AN156" s="49">
        <v>0.1411</v>
      </c>
      <c r="AO156" s="49">
        <v>0.1331</v>
      </c>
      <c r="AP156" s="49">
        <v>1.5055000000000001</v>
      </c>
      <c r="AQ156" s="49">
        <v>0.46645670906999998</v>
      </c>
      <c r="AR156" s="49">
        <v>0.98470000000000002</v>
      </c>
      <c r="AS156" s="49">
        <v>4.1226393999999997</v>
      </c>
      <c r="AT156" s="49">
        <v>0.15652801999999999</v>
      </c>
      <c r="AU156" s="49">
        <v>0.17857422000000001</v>
      </c>
      <c r="AV156" s="49">
        <v>0.1462</v>
      </c>
      <c r="AW156" s="49">
        <v>1060.8699999999999</v>
      </c>
      <c r="AX156" s="49">
        <v>52.48</v>
      </c>
      <c r="AY156" s="49">
        <v>42.54</v>
      </c>
      <c r="AZ156" s="49" t="s">
        <v>1574</v>
      </c>
      <c r="BA156" s="49">
        <v>174.14290035315</v>
      </c>
      <c r="BB156" s="49" t="s">
        <v>1574</v>
      </c>
      <c r="BC156" s="49">
        <v>0.85980000000000001</v>
      </c>
      <c r="BD156" s="49" t="s">
        <v>1574</v>
      </c>
      <c r="BE156" s="49">
        <v>0.32629999999999998</v>
      </c>
      <c r="BF156" s="49">
        <v>11.5</v>
      </c>
      <c r="BG156" s="49">
        <v>83</v>
      </c>
      <c r="BH156" s="49">
        <v>60</v>
      </c>
      <c r="BI156" s="49">
        <v>29.25</v>
      </c>
      <c r="BJ156" s="49">
        <v>33.5</v>
      </c>
      <c r="BK156" s="49">
        <v>599.65673828125</v>
      </c>
      <c r="BL156" s="49">
        <v>10.33</v>
      </c>
      <c r="BM156" s="49">
        <v>1106.4000000000001</v>
      </c>
      <c r="BN156" s="49">
        <v>317.89999999999998</v>
      </c>
      <c r="BO156" s="49">
        <v>3765.5</v>
      </c>
      <c r="BP156" s="49">
        <v>3079.9</v>
      </c>
      <c r="BQ156" s="49">
        <v>386.2</v>
      </c>
      <c r="BR156" s="49">
        <v>54.62</v>
      </c>
      <c r="BS156" s="49">
        <v>122.5</v>
      </c>
      <c r="BT156" s="49">
        <v>1.583</v>
      </c>
      <c r="BU156" s="41"/>
      <c r="BV156" s="41"/>
      <c r="BW156" s="41"/>
      <c r="BX156" s="41"/>
      <c r="BY156" s="41"/>
      <c r="BZ156" s="41"/>
      <c r="CA156" s="41"/>
      <c r="CB156" s="41"/>
      <c r="CC156" s="41"/>
      <c r="CD156" s="41"/>
      <c r="CE156" s="41"/>
      <c r="CF156" s="41"/>
      <c r="CG156" s="41"/>
      <c r="CH156" s="41"/>
      <c r="CI156" s="41"/>
      <c r="CJ156" s="41"/>
      <c r="CK156" s="41"/>
    </row>
    <row r="157" spans="1:89">
      <c r="A157" s="41" t="s">
        <v>286</v>
      </c>
      <c r="B157" s="51">
        <v>1.77</v>
      </c>
      <c r="C157" s="51">
        <v>1.77</v>
      </c>
      <c r="D157" s="51">
        <v>1.77</v>
      </c>
      <c r="E157" s="51" t="s">
        <v>1574</v>
      </c>
      <c r="F157" s="51">
        <v>9.6</v>
      </c>
      <c r="G157" s="51" t="s">
        <v>1574</v>
      </c>
      <c r="H157" s="51">
        <v>0.19</v>
      </c>
      <c r="I157" s="51">
        <v>0.54216598655000003</v>
      </c>
      <c r="J157" s="51" t="s">
        <v>1574</v>
      </c>
      <c r="K157" s="51" t="s">
        <v>1574</v>
      </c>
      <c r="L157" s="51">
        <v>0.64400000000000002</v>
      </c>
      <c r="M157" s="51">
        <v>1.0697000000000001</v>
      </c>
      <c r="N157" s="51">
        <v>0.96251489999999995</v>
      </c>
      <c r="O157" s="51">
        <v>0.86650000000000005</v>
      </c>
      <c r="P157" s="51">
        <v>0.73507009999999995</v>
      </c>
      <c r="Q157" s="51">
        <v>1.053885</v>
      </c>
      <c r="R157" s="51">
        <v>0.81059970000000003</v>
      </c>
      <c r="S157" s="51">
        <v>248.46</v>
      </c>
      <c r="T157" s="51" t="s">
        <v>1574</v>
      </c>
      <c r="U157" s="51" t="s">
        <v>1574</v>
      </c>
      <c r="V157" s="51">
        <v>422.12</v>
      </c>
      <c r="W157" s="51">
        <v>216.13</v>
      </c>
      <c r="X157" s="51" t="s">
        <v>1574</v>
      </c>
      <c r="Y157" s="51">
        <v>138</v>
      </c>
      <c r="Z157" s="51">
        <v>234</v>
      </c>
      <c r="AA157" s="51">
        <v>119</v>
      </c>
      <c r="AB157" s="51" t="s">
        <v>1574</v>
      </c>
      <c r="AC157" s="51" t="s">
        <v>1574</v>
      </c>
      <c r="AD157" s="51">
        <v>27.574097412130001</v>
      </c>
      <c r="AE157" s="51">
        <v>52.9</v>
      </c>
      <c r="AF157" s="51">
        <v>49.82</v>
      </c>
      <c r="AG157" s="51">
        <v>118.35</v>
      </c>
      <c r="AH157" s="51" t="s">
        <v>1574</v>
      </c>
      <c r="AI157" s="51" t="s">
        <v>1574</v>
      </c>
      <c r="AJ157" s="51" t="s">
        <v>1574</v>
      </c>
      <c r="AK157" s="51" t="s">
        <v>1574</v>
      </c>
      <c r="AL157" s="51">
        <v>59.89</v>
      </c>
      <c r="AM157" s="51" t="s">
        <v>1574</v>
      </c>
      <c r="AN157" s="51">
        <v>0.13700000000000001</v>
      </c>
      <c r="AO157" s="51">
        <v>0.1331</v>
      </c>
      <c r="AP157" s="51">
        <v>1.5350999999999999</v>
      </c>
      <c r="AQ157" s="51">
        <v>0.46959346886999997</v>
      </c>
      <c r="AR157" s="51">
        <v>1.2290000000000001</v>
      </c>
      <c r="AS157" s="51">
        <v>4.1226393999999997</v>
      </c>
      <c r="AT157" s="51">
        <v>0.154543862</v>
      </c>
      <c r="AU157" s="51">
        <v>0.18077884</v>
      </c>
      <c r="AV157" s="51">
        <v>0.13950000000000001</v>
      </c>
      <c r="AW157" s="51">
        <v>1072.21</v>
      </c>
      <c r="AX157" s="51">
        <v>52.48</v>
      </c>
      <c r="AY157" s="51">
        <v>40.75</v>
      </c>
      <c r="AZ157" s="51" t="s">
        <v>1574</v>
      </c>
      <c r="BA157" s="51">
        <v>170.14690053573</v>
      </c>
      <c r="BB157" s="51" t="s">
        <v>1574</v>
      </c>
      <c r="BC157" s="51">
        <v>0.83130000000000004</v>
      </c>
      <c r="BD157" s="51" t="s">
        <v>1574</v>
      </c>
      <c r="BE157" s="51">
        <v>0.32669999999999999</v>
      </c>
      <c r="BF157" s="51">
        <v>11.5</v>
      </c>
      <c r="BG157" s="51">
        <v>83</v>
      </c>
      <c r="BH157" s="51">
        <v>60</v>
      </c>
      <c r="BI157" s="51">
        <v>29.25</v>
      </c>
      <c r="BJ157" s="51">
        <v>33.5</v>
      </c>
      <c r="BK157" s="51">
        <v>566.58740234375</v>
      </c>
      <c r="BL157" s="51">
        <v>10.33</v>
      </c>
      <c r="BM157" s="51">
        <v>1063.2</v>
      </c>
      <c r="BN157" s="51">
        <v>311.89999999999998</v>
      </c>
      <c r="BO157" s="51">
        <v>3741.2</v>
      </c>
      <c r="BP157" s="51">
        <v>3079.9</v>
      </c>
      <c r="BQ157" s="51">
        <v>371</v>
      </c>
      <c r="BR157" s="51">
        <v>62.09</v>
      </c>
      <c r="BS157" s="51">
        <v>122.5</v>
      </c>
      <c r="BT157" s="51">
        <v>1.569</v>
      </c>
      <c r="BU157" s="41"/>
      <c r="BV157" s="41"/>
      <c r="BW157" s="41"/>
      <c r="BX157" s="41"/>
      <c r="BY157" s="41"/>
      <c r="BZ157" s="41"/>
      <c r="CA157" s="41"/>
      <c r="CB157" s="41"/>
      <c r="CC157" s="41"/>
      <c r="CD157" s="41"/>
      <c r="CE157" s="41"/>
      <c r="CF157" s="41"/>
      <c r="CG157" s="41"/>
      <c r="CH157" s="41"/>
      <c r="CI157" s="41"/>
      <c r="CJ157" s="41"/>
      <c r="CK157" s="41"/>
    </row>
    <row r="158" spans="1:89">
      <c r="A158" s="48" t="s">
        <v>287</v>
      </c>
      <c r="B158" s="49">
        <v>1.87</v>
      </c>
      <c r="C158" s="49">
        <v>1.87</v>
      </c>
      <c r="D158" s="49">
        <v>1.87</v>
      </c>
      <c r="E158" s="49" t="s">
        <v>1574</v>
      </c>
      <c r="F158" s="49">
        <v>9.6</v>
      </c>
      <c r="G158" s="49" t="s">
        <v>1574</v>
      </c>
      <c r="H158" s="49">
        <v>0.19</v>
      </c>
      <c r="I158" s="49">
        <v>0.54216598655000003</v>
      </c>
      <c r="J158" s="49" t="s">
        <v>1574</v>
      </c>
      <c r="K158" s="49" t="s">
        <v>1574</v>
      </c>
      <c r="L158" s="49">
        <v>0.64400000000000002</v>
      </c>
      <c r="M158" s="49">
        <v>1.2361</v>
      </c>
      <c r="N158" s="49">
        <v>1.043863</v>
      </c>
      <c r="O158" s="49">
        <v>0.78779999999999994</v>
      </c>
      <c r="P158" s="49">
        <v>0.54557230000000001</v>
      </c>
      <c r="Q158" s="49">
        <v>1.007215</v>
      </c>
      <c r="R158" s="49">
        <v>0.81059970000000003</v>
      </c>
      <c r="S158" s="49">
        <v>222.41</v>
      </c>
      <c r="T158" s="49" t="s">
        <v>1574</v>
      </c>
      <c r="U158" s="49" t="s">
        <v>1574</v>
      </c>
      <c r="V158" s="49">
        <v>403.2</v>
      </c>
      <c r="W158" s="49">
        <v>214.6</v>
      </c>
      <c r="X158" s="49" t="s">
        <v>1574</v>
      </c>
      <c r="Y158" s="49">
        <v>141</v>
      </c>
      <c r="Z158" s="49">
        <v>226</v>
      </c>
      <c r="AA158" s="49">
        <v>127</v>
      </c>
      <c r="AB158" s="49" t="s">
        <v>1574</v>
      </c>
      <c r="AC158" s="49" t="s">
        <v>1574</v>
      </c>
      <c r="AD158" s="49">
        <v>27.9083578784</v>
      </c>
      <c r="AE158" s="49">
        <v>54.07</v>
      </c>
      <c r="AF158" s="49">
        <v>51.92</v>
      </c>
      <c r="AG158" s="49">
        <v>119.33</v>
      </c>
      <c r="AH158" s="49" t="s">
        <v>1574</v>
      </c>
      <c r="AI158" s="49" t="s">
        <v>1574</v>
      </c>
      <c r="AJ158" s="49" t="s">
        <v>1574</v>
      </c>
      <c r="AK158" s="49" t="s">
        <v>1574</v>
      </c>
      <c r="AL158" s="49">
        <v>60.26</v>
      </c>
      <c r="AM158" s="49" t="s">
        <v>1574</v>
      </c>
      <c r="AN158" s="49">
        <v>0.13109999999999999</v>
      </c>
      <c r="AO158" s="49">
        <v>0.1331</v>
      </c>
      <c r="AP158" s="49">
        <v>1.5065999999999999</v>
      </c>
      <c r="AQ158" s="49">
        <v>0.47372466781</v>
      </c>
      <c r="AR158" s="49">
        <v>1.1514</v>
      </c>
      <c r="AS158" s="49">
        <v>4.1226393999999997</v>
      </c>
      <c r="AT158" s="49">
        <v>0.146386768</v>
      </c>
      <c r="AU158" s="49">
        <v>0.1873927</v>
      </c>
      <c r="AV158" s="49">
        <v>0.1225</v>
      </c>
      <c r="AW158" s="49">
        <v>1062.48</v>
      </c>
      <c r="AX158" s="49">
        <v>52.48</v>
      </c>
      <c r="AY158" s="49">
        <v>39.020000000000003</v>
      </c>
      <c r="AZ158" s="49" t="s">
        <v>1574</v>
      </c>
      <c r="BA158" s="49">
        <v>166.20736113845001</v>
      </c>
      <c r="BB158" s="49" t="s">
        <v>1574</v>
      </c>
      <c r="BC158" s="49">
        <v>0.78149999999999997</v>
      </c>
      <c r="BD158" s="49" t="s">
        <v>1574</v>
      </c>
      <c r="BE158" s="49">
        <v>0.3241</v>
      </c>
      <c r="BF158" s="49">
        <v>11.5</v>
      </c>
      <c r="BG158" s="49">
        <v>99</v>
      </c>
      <c r="BH158" s="49">
        <v>75</v>
      </c>
      <c r="BI158" s="49">
        <v>29.25</v>
      </c>
      <c r="BJ158" s="49">
        <v>33.5</v>
      </c>
      <c r="BK158" s="49">
        <v>537.92724609375</v>
      </c>
      <c r="BL158" s="49">
        <v>10.33</v>
      </c>
      <c r="BM158" s="49">
        <v>1034.5999999999999</v>
      </c>
      <c r="BN158" s="49">
        <v>303.7</v>
      </c>
      <c r="BO158" s="49">
        <v>3732.4</v>
      </c>
      <c r="BP158" s="49">
        <v>3079.9</v>
      </c>
      <c r="BQ158" s="49">
        <v>363.7</v>
      </c>
      <c r="BR158" s="49">
        <v>65.66</v>
      </c>
      <c r="BS158" s="49">
        <v>128</v>
      </c>
      <c r="BT158" s="49">
        <v>1.7358</v>
      </c>
      <c r="BU158" s="41"/>
      <c r="BV158" s="41"/>
      <c r="BW158" s="41"/>
      <c r="BX158" s="41"/>
      <c r="BY158" s="41"/>
      <c r="BZ158" s="41"/>
      <c r="CA158" s="41"/>
      <c r="CB158" s="41"/>
      <c r="CC158" s="41"/>
      <c r="CD158" s="41"/>
      <c r="CE158" s="41"/>
      <c r="CF158" s="41"/>
      <c r="CG158" s="41"/>
      <c r="CH158" s="41"/>
      <c r="CI158" s="41"/>
      <c r="CJ158" s="41"/>
      <c r="CK158" s="41"/>
    </row>
    <row r="159" spans="1:89">
      <c r="A159" s="41" t="s">
        <v>288</v>
      </c>
      <c r="B159" s="51">
        <v>1.87</v>
      </c>
      <c r="C159" s="51">
        <v>1.87</v>
      </c>
      <c r="D159" s="51">
        <v>1.87</v>
      </c>
      <c r="E159" s="51" t="s">
        <v>1574</v>
      </c>
      <c r="F159" s="51">
        <v>9.6</v>
      </c>
      <c r="G159" s="51" t="s">
        <v>1574</v>
      </c>
      <c r="H159" s="51">
        <v>0.19</v>
      </c>
      <c r="I159" s="51">
        <v>0.54216598655000003</v>
      </c>
      <c r="J159" s="51" t="s">
        <v>1574</v>
      </c>
      <c r="K159" s="51" t="s">
        <v>1574</v>
      </c>
      <c r="L159" s="51">
        <v>0.64400000000000002</v>
      </c>
      <c r="M159" s="51">
        <v>1.2009000000000001</v>
      </c>
      <c r="N159" s="51">
        <v>1.040557</v>
      </c>
      <c r="O159" s="51">
        <v>0.77200000000000002</v>
      </c>
      <c r="P159" s="51">
        <v>0.63593750000000004</v>
      </c>
      <c r="Q159" s="51">
        <v>0.86931360000000002</v>
      </c>
      <c r="R159" s="51">
        <v>0.81059970000000003</v>
      </c>
      <c r="S159" s="51">
        <v>217.02</v>
      </c>
      <c r="T159" s="51" t="s">
        <v>1574</v>
      </c>
      <c r="U159" s="51" t="s">
        <v>1574</v>
      </c>
      <c r="V159" s="51">
        <v>413.54</v>
      </c>
      <c r="W159" s="51">
        <v>220.64</v>
      </c>
      <c r="X159" s="51" t="s">
        <v>1574</v>
      </c>
      <c r="Y159" s="51">
        <v>141</v>
      </c>
      <c r="Z159" s="51">
        <v>223</v>
      </c>
      <c r="AA159" s="51">
        <v>126</v>
      </c>
      <c r="AB159" s="51" t="s">
        <v>1574</v>
      </c>
      <c r="AC159" s="51" t="s">
        <v>1574</v>
      </c>
      <c r="AD159" s="51">
        <v>28.6286672552</v>
      </c>
      <c r="AE159" s="51">
        <v>55.66</v>
      </c>
      <c r="AF159" s="51">
        <v>54.94</v>
      </c>
      <c r="AG159" s="51">
        <v>135.55000000000001</v>
      </c>
      <c r="AH159" s="51" t="s">
        <v>1574</v>
      </c>
      <c r="AI159" s="51" t="s">
        <v>1574</v>
      </c>
      <c r="AJ159" s="51" t="s">
        <v>1574</v>
      </c>
      <c r="AK159" s="51" t="s">
        <v>1574</v>
      </c>
      <c r="AL159" s="51">
        <v>62.1</v>
      </c>
      <c r="AM159" s="51" t="s">
        <v>1574</v>
      </c>
      <c r="AN159" s="51">
        <v>0.14199999999999999</v>
      </c>
      <c r="AO159" s="51">
        <v>0.1331</v>
      </c>
      <c r="AP159" s="51">
        <v>1.4916</v>
      </c>
      <c r="AQ159" s="51">
        <v>0.47640385862000001</v>
      </c>
      <c r="AR159" s="51">
        <v>1.2221</v>
      </c>
      <c r="AS159" s="51">
        <v>4.1226393999999997</v>
      </c>
      <c r="AT159" s="51">
        <v>0.14682769200000001</v>
      </c>
      <c r="AU159" s="51">
        <v>0.19400655999999999</v>
      </c>
      <c r="AV159" s="51">
        <v>0.13780000000000001</v>
      </c>
      <c r="AW159" s="51">
        <v>1081.81</v>
      </c>
      <c r="AX159" s="51">
        <v>52.48</v>
      </c>
      <c r="AY159" s="51">
        <v>39.270000000000003</v>
      </c>
      <c r="AZ159" s="51" t="s">
        <v>1574</v>
      </c>
      <c r="BA159" s="51">
        <v>166.78155467369999</v>
      </c>
      <c r="BB159" s="51" t="s">
        <v>1574</v>
      </c>
      <c r="BC159" s="51">
        <v>0.74150000000000005</v>
      </c>
      <c r="BD159" s="51" t="s">
        <v>1574</v>
      </c>
      <c r="BE159" s="51">
        <v>0.317</v>
      </c>
      <c r="BF159" s="51">
        <v>11.5</v>
      </c>
      <c r="BG159" s="51">
        <v>99</v>
      </c>
      <c r="BH159" s="51">
        <v>75</v>
      </c>
      <c r="BI159" s="51">
        <v>29.25</v>
      </c>
      <c r="BJ159" s="51">
        <v>33.5</v>
      </c>
      <c r="BK159" s="51">
        <v>540.1318359375</v>
      </c>
      <c r="BL159" s="51">
        <v>10.33</v>
      </c>
      <c r="BM159" s="51">
        <v>1046.7</v>
      </c>
      <c r="BN159" s="51">
        <v>297.8</v>
      </c>
      <c r="BO159" s="51">
        <v>3754.5</v>
      </c>
      <c r="BP159" s="51">
        <v>3079.9</v>
      </c>
      <c r="BQ159" s="51">
        <v>363.5</v>
      </c>
      <c r="BR159" s="51">
        <v>67.03</v>
      </c>
      <c r="BS159" s="51">
        <v>132.5</v>
      </c>
      <c r="BT159" s="51">
        <v>1.8461000000000001</v>
      </c>
      <c r="BU159" s="41"/>
      <c r="BV159" s="41"/>
      <c r="BW159" s="41"/>
      <c r="BX159" s="41"/>
      <c r="BY159" s="41"/>
      <c r="BZ159" s="41"/>
      <c r="CA159" s="41"/>
      <c r="CB159" s="41"/>
      <c r="CC159" s="41"/>
      <c r="CD159" s="41"/>
      <c r="CE159" s="41"/>
      <c r="CF159" s="41"/>
      <c r="CG159" s="41"/>
      <c r="CH159" s="41"/>
      <c r="CI159" s="41"/>
      <c r="CJ159" s="41"/>
      <c r="CK159" s="41"/>
    </row>
    <row r="160" spans="1:89">
      <c r="A160" s="48" t="s">
        <v>289</v>
      </c>
      <c r="B160" s="49">
        <v>1.87</v>
      </c>
      <c r="C160" s="49">
        <v>1.87</v>
      </c>
      <c r="D160" s="49">
        <v>1.87</v>
      </c>
      <c r="E160" s="49" t="s">
        <v>1574</v>
      </c>
      <c r="F160" s="49">
        <v>9.6</v>
      </c>
      <c r="G160" s="49" t="s">
        <v>1574</v>
      </c>
      <c r="H160" s="49">
        <v>0.19</v>
      </c>
      <c r="I160" s="49">
        <v>0.54216598655000003</v>
      </c>
      <c r="J160" s="49" t="s">
        <v>1574</v>
      </c>
      <c r="K160" s="49" t="s">
        <v>1574</v>
      </c>
      <c r="L160" s="49">
        <v>0.64400000000000002</v>
      </c>
      <c r="M160" s="49">
        <v>1.1687000000000001</v>
      </c>
      <c r="N160" s="49">
        <v>1.0346040000000001</v>
      </c>
      <c r="O160" s="49">
        <v>0.75629999999999997</v>
      </c>
      <c r="P160" s="49">
        <v>0.69374999999999998</v>
      </c>
      <c r="Q160" s="49">
        <v>0.76441870000000001</v>
      </c>
      <c r="R160" s="49">
        <v>0.81059970000000003</v>
      </c>
      <c r="S160" s="49">
        <v>226</v>
      </c>
      <c r="T160" s="49" t="s">
        <v>1574</v>
      </c>
      <c r="U160" s="49" t="s">
        <v>1574</v>
      </c>
      <c r="V160" s="49">
        <v>412.33</v>
      </c>
      <c r="W160" s="49">
        <v>224.87</v>
      </c>
      <c r="X160" s="49" t="s">
        <v>1574</v>
      </c>
      <c r="Y160" s="49">
        <v>135</v>
      </c>
      <c r="Z160" s="49">
        <v>225</v>
      </c>
      <c r="AA160" s="49">
        <v>138</v>
      </c>
      <c r="AB160" s="49" t="s">
        <v>1574</v>
      </c>
      <c r="AC160" s="49" t="s">
        <v>1574</v>
      </c>
      <c r="AD160" s="49">
        <v>32.15085873956</v>
      </c>
      <c r="AE160" s="49">
        <v>59.2</v>
      </c>
      <c r="AF160" s="49">
        <v>58.2</v>
      </c>
      <c r="AG160" s="49">
        <v>144.80000000000001</v>
      </c>
      <c r="AH160" s="49" t="s">
        <v>1574</v>
      </c>
      <c r="AI160" s="49" t="s">
        <v>1574</v>
      </c>
      <c r="AJ160" s="49" t="s">
        <v>1574</v>
      </c>
      <c r="AK160" s="49" t="s">
        <v>1574</v>
      </c>
      <c r="AL160" s="49">
        <v>76.06</v>
      </c>
      <c r="AM160" s="49" t="s">
        <v>1574</v>
      </c>
      <c r="AN160" s="49">
        <v>0.13300000000000001</v>
      </c>
      <c r="AO160" s="49">
        <v>0.1331</v>
      </c>
      <c r="AP160" s="49">
        <v>1.4577</v>
      </c>
      <c r="AQ160" s="49">
        <v>0.48112753612999998</v>
      </c>
      <c r="AR160" s="49">
        <v>1.2</v>
      </c>
      <c r="AS160" s="49">
        <v>4.1226393999999997</v>
      </c>
      <c r="AT160" s="49">
        <v>0.146386768</v>
      </c>
      <c r="AU160" s="49">
        <v>0.19400655999999999</v>
      </c>
      <c r="AV160" s="49">
        <v>0.15579999999999999</v>
      </c>
      <c r="AW160" s="49">
        <v>1062.8399999999999</v>
      </c>
      <c r="AX160" s="49">
        <v>52.48</v>
      </c>
      <c r="AY160" s="49">
        <v>39.380000000000003</v>
      </c>
      <c r="AZ160" s="49" t="s">
        <v>1574</v>
      </c>
      <c r="BA160" s="49">
        <v>167.03366698553</v>
      </c>
      <c r="BB160" s="49" t="s">
        <v>1574</v>
      </c>
      <c r="BC160" s="49">
        <v>0.73299999999999998</v>
      </c>
      <c r="BD160" s="49" t="s">
        <v>1574</v>
      </c>
      <c r="BE160" s="49">
        <v>0.308</v>
      </c>
      <c r="BF160" s="49">
        <v>11.5</v>
      </c>
      <c r="BG160" s="49">
        <v>99</v>
      </c>
      <c r="BH160" s="49">
        <v>75</v>
      </c>
      <c r="BI160" s="49">
        <v>29.25</v>
      </c>
      <c r="BJ160" s="49">
        <v>33.5</v>
      </c>
      <c r="BK160" s="49">
        <v>537.92724609375</v>
      </c>
      <c r="BL160" s="49">
        <v>10.33</v>
      </c>
      <c r="BM160" s="49">
        <v>1060.5999999999999</v>
      </c>
      <c r="BN160" s="49">
        <v>302.39999999999998</v>
      </c>
      <c r="BO160" s="49">
        <v>3803</v>
      </c>
      <c r="BP160" s="49">
        <v>3079.9</v>
      </c>
      <c r="BQ160" s="49">
        <v>368.4</v>
      </c>
      <c r="BR160" s="49">
        <v>65.459999999999994</v>
      </c>
      <c r="BS160" s="49">
        <v>132.5</v>
      </c>
      <c r="BT160" s="49">
        <v>1.7766999999999999</v>
      </c>
      <c r="BU160" s="41"/>
      <c r="BV160" s="41"/>
      <c r="BW160" s="41"/>
      <c r="BX160" s="41"/>
      <c r="BY160" s="41"/>
      <c r="BZ160" s="41"/>
      <c r="CA160" s="41"/>
      <c r="CB160" s="41"/>
      <c r="CC160" s="41"/>
      <c r="CD160" s="41"/>
      <c r="CE160" s="41"/>
      <c r="CF160" s="41"/>
      <c r="CG160" s="41"/>
      <c r="CH160" s="41"/>
      <c r="CI160" s="41"/>
      <c r="CJ160" s="41"/>
      <c r="CK160" s="41"/>
    </row>
    <row r="161" spans="1:89">
      <c r="A161" s="41" t="s">
        <v>290</v>
      </c>
      <c r="B161" s="51">
        <v>1.87</v>
      </c>
      <c r="C161" s="51">
        <v>1.87</v>
      </c>
      <c r="D161" s="51">
        <v>1.87</v>
      </c>
      <c r="E161" s="51" t="s">
        <v>1574</v>
      </c>
      <c r="F161" s="51">
        <v>9.6</v>
      </c>
      <c r="G161" s="51" t="s">
        <v>1574</v>
      </c>
      <c r="H161" s="51">
        <v>0.19</v>
      </c>
      <c r="I161" s="51">
        <v>0.54216598655000003</v>
      </c>
      <c r="J161" s="51" t="s">
        <v>1574</v>
      </c>
      <c r="K161" s="51" t="s">
        <v>1574</v>
      </c>
      <c r="L161" s="51">
        <v>0.64400000000000002</v>
      </c>
      <c r="M161" s="51">
        <v>1.1778999999999999</v>
      </c>
      <c r="N161" s="51">
        <v>1.0368090000000001</v>
      </c>
      <c r="O161" s="51">
        <v>0.74009999999999998</v>
      </c>
      <c r="P161" s="51">
        <v>0.63293100000000002</v>
      </c>
      <c r="Q161" s="51">
        <v>0.77686829999999996</v>
      </c>
      <c r="R161" s="51">
        <v>0.81059970000000003</v>
      </c>
      <c r="S161" s="51">
        <v>232</v>
      </c>
      <c r="T161" s="51" t="s">
        <v>1574</v>
      </c>
      <c r="U161" s="51" t="s">
        <v>1574</v>
      </c>
      <c r="V161" s="51">
        <v>401.48</v>
      </c>
      <c r="W161" s="51">
        <v>224.02</v>
      </c>
      <c r="X161" s="51" t="s">
        <v>1574</v>
      </c>
      <c r="Y161" s="51">
        <v>136</v>
      </c>
      <c r="Z161" s="51">
        <v>228</v>
      </c>
      <c r="AA161" s="51">
        <v>135</v>
      </c>
      <c r="AB161" s="51" t="s">
        <v>1574</v>
      </c>
      <c r="AC161" s="51" t="s">
        <v>1574</v>
      </c>
      <c r="AD161" s="51">
        <v>33.932380115139999</v>
      </c>
      <c r="AE161" s="51">
        <v>57.22</v>
      </c>
      <c r="AF161" s="51">
        <v>56.88</v>
      </c>
      <c r="AG161" s="51">
        <v>148.69999999999999</v>
      </c>
      <c r="AH161" s="51" t="s">
        <v>1574</v>
      </c>
      <c r="AI161" s="51" t="s">
        <v>1574</v>
      </c>
      <c r="AJ161" s="51" t="s">
        <v>1574</v>
      </c>
      <c r="AK161" s="51" t="s">
        <v>1574</v>
      </c>
      <c r="AL161" s="51">
        <v>87.45</v>
      </c>
      <c r="AM161" s="51" t="s">
        <v>1574</v>
      </c>
      <c r="AN161" s="51">
        <v>0.13500000000000001</v>
      </c>
      <c r="AO161" s="51">
        <v>0.1331</v>
      </c>
      <c r="AP161" s="51">
        <v>1.4686999999999999</v>
      </c>
      <c r="AQ161" s="51">
        <v>0.48355758726999998</v>
      </c>
      <c r="AR161" s="51">
        <v>1.1093</v>
      </c>
      <c r="AS161" s="51">
        <v>4.1226393999999997</v>
      </c>
      <c r="AT161" s="51">
        <v>0.143741224</v>
      </c>
      <c r="AU161" s="51">
        <v>0.19400655999999999</v>
      </c>
      <c r="AV161" s="51">
        <v>0.1633</v>
      </c>
      <c r="AW161" s="51">
        <v>1061.76</v>
      </c>
      <c r="AX161" s="51">
        <v>52.48</v>
      </c>
      <c r="AY161" s="51">
        <v>39.46</v>
      </c>
      <c r="AZ161" s="51" t="s">
        <v>1574</v>
      </c>
      <c r="BA161" s="51">
        <v>167.21681798073001</v>
      </c>
      <c r="BB161" s="51" t="s">
        <v>1574</v>
      </c>
      <c r="BC161" s="51">
        <v>0.77990000000000004</v>
      </c>
      <c r="BD161" s="51" t="s">
        <v>1574</v>
      </c>
      <c r="BE161" s="51">
        <v>0.36020000000000002</v>
      </c>
      <c r="BF161" s="51">
        <v>11.5</v>
      </c>
      <c r="BG161" s="51">
        <v>99</v>
      </c>
      <c r="BH161" s="51">
        <v>75</v>
      </c>
      <c r="BI161" s="51">
        <v>29.25</v>
      </c>
      <c r="BJ161" s="51">
        <v>33.5</v>
      </c>
      <c r="BK161" s="51">
        <v>537.92724609375</v>
      </c>
      <c r="BL161" s="51">
        <v>10.33</v>
      </c>
      <c r="BM161" s="51">
        <v>917.5</v>
      </c>
      <c r="BN161" s="51">
        <v>297.2</v>
      </c>
      <c r="BO161" s="51">
        <v>3758.9</v>
      </c>
      <c r="BP161" s="51">
        <v>3079.9</v>
      </c>
      <c r="BQ161" s="51">
        <v>363.7</v>
      </c>
      <c r="BR161" s="51">
        <v>64.86</v>
      </c>
      <c r="BS161" s="51">
        <v>132.5</v>
      </c>
      <c r="BT161" s="51">
        <v>1.8106</v>
      </c>
      <c r="BU161" s="41"/>
      <c r="BV161" s="41"/>
      <c r="BW161" s="41"/>
      <c r="BX161" s="41"/>
      <c r="BY161" s="41"/>
      <c r="BZ161" s="41"/>
      <c r="CA161" s="41"/>
      <c r="CB161" s="41"/>
      <c r="CC161" s="41"/>
      <c r="CD161" s="41"/>
      <c r="CE161" s="41"/>
      <c r="CF161" s="41"/>
      <c r="CG161" s="41"/>
      <c r="CH161" s="41"/>
      <c r="CI161" s="41"/>
      <c r="CJ161" s="41"/>
      <c r="CK161" s="41"/>
    </row>
    <row r="162" spans="1:89">
      <c r="A162" s="48" t="s">
        <v>291</v>
      </c>
      <c r="B162" s="49">
        <v>1.87</v>
      </c>
      <c r="C162" s="49">
        <v>1.87</v>
      </c>
      <c r="D162" s="49">
        <v>1.87</v>
      </c>
      <c r="E162" s="49" t="s">
        <v>1574</v>
      </c>
      <c r="F162" s="49">
        <v>9.6</v>
      </c>
      <c r="G162" s="49" t="s">
        <v>1574</v>
      </c>
      <c r="H162" s="49">
        <v>0.19</v>
      </c>
      <c r="I162" s="49">
        <v>0.54216598655000003</v>
      </c>
      <c r="J162" s="49" t="s">
        <v>1574</v>
      </c>
      <c r="K162" s="49" t="s">
        <v>1574</v>
      </c>
      <c r="L162" s="49">
        <v>0.64400000000000002</v>
      </c>
      <c r="M162" s="49">
        <v>1.1859</v>
      </c>
      <c r="N162" s="49">
        <v>1.0443039999999999</v>
      </c>
      <c r="O162" s="49">
        <v>0.70989999999999998</v>
      </c>
      <c r="P162" s="49">
        <v>0.5837871</v>
      </c>
      <c r="Q162" s="49">
        <v>0.73531970000000002</v>
      </c>
      <c r="R162" s="49">
        <v>0.81059970000000003</v>
      </c>
      <c r="S162" s="49">
        <v>234.96</v>
      </c>
      <c r="T162" s="49" t="s">
        <v>1574</v>
      </c>
      <c r="U162" s="49" t="s">
        <v>1574</v>
      </c>
      <c r="V162" s="49">
        <v>422.59</v>
      </c>
      <c r="W162" s="49">
        <v>218.54</v>
      </c>
      <c r="X162" s="49" t="s">
        <v>1574</v>
      </c>
      <c r="Y162" s="49">
        <v>148</v>
      </c>
      <c r="Z162" s="49">
        <v>240</v>
      </c>
      <c r="AA162" s="49">
        <v>155</v>
      </c>
      <c r="AB162" s="49" t="s">
        <v>1574</v>
      </c>
      <c r="AC162" s="49" t="s">
        <v>1574</v>
      </c>
      <c r="AD162" s="49">
        <v>34.65496025254</v>
      </c>
      <c r="AE162" s="49">
        <v>59.2</v>
      </c>
      <c r="AF162" s="49">
        <v>61.95</v>
      </c>
      <c r="AG162" s="49">
        <v>156</v>
      </c>
      <c r="AH162" s="49" t="s">
        <v>1574</v>
      </c>
      <c r="AI162" s="49" t="s">
        <v>1574</v>
      </c>
      <c r="AJ162" s="49" t="s">
        <v>1574</v>
      </c>
      <c r="AK162" s="49" t="s">
        <v>1574</v>
      </c>
      <c r="AL162" s="49">
        <v>88.92</v>
      </c>
      <c r="AM162" s="49" t="s">
        <v>1574</v>
      </c>
      <c r="AN162" s="49">
        <v>0.14099999999999999</v>
      </c>
      <c r="AO162" s="49">
        <v>0.1331</v>
      </c>
      <c r="AP162" s="49">
        <v>1.4845999999999999</v>
      </c>
      <c r="AQ162" s="49">
        <v>0.48933809322999999</v>
      </c>
      <c r="AR162" s="49">
        <v>1.1214</v>
      </c>
      <c r="AS162" s="49">
        <v>4.1226393999999997</v>
      </c>
      <c r="AT162" s="49">
        <v>0.14109568</v>
      </c>
      <c r="AU162" s="49">
        <v>0.18518808</v>
      </c>
      <c r="AV162" s="49">
        <v>0.16039999999999999</v>
      </c>
      <c r="AW162" s="49">
        <v>1048.8599999999999</v>
      </c>
      <c r="AX162" s="49">
        <v>52.48</v>
      </c>
      <c r="AY162" s="49">
        <v>39.46</v>
      </c>
      <c r="AZ162" s="49" t="s">
        <v>1574</v>
      </c>
      <c r="BA162" s="49">
        <v>167.21681798073001</v>
      </c>
      <c r="BB162" s="49" t="s">
        <v>1574</v>
      </c>
      <c r="BC162" s="49">
        <v>0.81430000000000002</v>
      </c>
      <c r="BD162" s="49" t="s">
        <v>1574</v>
      </c>
      <c r="BE162" s="49">
        <v>0.37209999999999999</v>
      </c>
      <c r="BF162" s="49">
        <v>11.5</v>
      </c>
      <c r="BG162" s="49">
        <v>99</v>
      </c>
      <c r="BH162" s="49">
        <v>75</v>
      </c>
      <c r="BI162" s="49">
        <v>29.25</v>
      </c>
      <c r="BJ162" s="49">
        <v>33.5</v>
      </c>
      <c r="BK162" s="49">
        <v>540.1318359375</v>
      </c>
      <c r="BL162" s="49">
        <v>10.33</v>
      </c>
      <c r="BM162" s="49">
        <v>1007.1</v>
      </c>
      <c r="BN162" s="49">
        <v>298</v>
      </c>
      <c r="BO162" s="49">
        <v>3701.6</v>
      </c>
      <c r="BP162" s="49">
        <v>3079.9</v>
      </c>
      <c r="BQ162" s="49">
        <v>378.9</v>
      </c>
      <c r="BR162" s="49">
        <v>62.91</v>
      </c>
      <c r="BS162" s="49">
        <v>132.5</v>
      </c>
      <c r="BT162" s="49">
        <v>1.8325</v>
      </c>
      <c r="BU162" s="41"/>
      <c r="BV162" s="41"/>
      <c r="BW162" s="41"/>
      <c r="BX162" s="41"/>
      <c r="BY162" s="41"/>
      <c r="BZ162" s="41"/>
      <c r="CA162" s="41"/>
      <c r="CB162" s="41"/>
      <c r="CC162" s="41"/>
      <c r="CD162" s="41"/>
      <c r="CE162" s="41"/>
      <c r="CF162" s="41"/>
      <c r="CG162" s="41"/>
      <c r="CH162" s="41"/>
      <c r="CI162" s="41"/>
      <c r="CJ162" s="41"/>
      <c r="CK162" s="41"/>
    </row>
    <row r="163" spans="1:89">
      <c r="A163" s="41" t="s">
        <v>292</v>
      </c>
      <c r="B163" s="51">
        <v>1.87</v>
      </c>
      <c r="C163" s="51">
        <v>1.87</v>
      </c>
      <c r="D163" s="51">
        <v>1.87</v>
      </c>
      <c r="E163" s="51" t="s">
        <v>1574</v>
      </c>
      <c r="F163" s="51">
        <v>9.6</v>
      </c>
      <c r="G163" s="51" t="s">
        <v>1574</v>
      </c>
      <c r="H163" s="51">
        <v>0.19</v>
      </c>
      <c r="I163" s="51">
        <v>0.54216598655000003</v>
      </c>
      <c r="J163" s="51" t="s">
        <v>1574</v>
      </c>
      <c r="K163" s="51" t="s">
        <v>1574</v>
      </c>
      <c r="L163" s="51">
        <v>0.64400000000000002</v>
      </c>
      <c r="M163" s="51">
        <v>1.2174</v>
      </c>
      <c r="N163" s="51">
        <v>1.052902</v>
      </c>
      <c r="O163" s="51">
        <v>0.70740000000000003</v>
      </c>
      <c r="P163" s="51">
        <v>0.60316510000000001</v>
      </c>
      <c r="Q163" s="51">
        <v>0.70840000000000003</v>
      </c>
      <c r="R163" s="51">
        <v>0.81059970000000003</v>
      </c>
      <c r="S163" s="51">
        <v>247.87</v>
      </c>
      <c r="T163" s="51" t="s">
        <v>1574</v>
      </c>
      <c r="U163" s="51" t="s">
        <v>1574</v>
      </c>
      <c r="V163" s="51">
        <v>455.82</v>
      </c>
      <c r="W163" s="51">
        <v>213.26</v>
      </c>
      <c r="X163" s="51" t="s">
        <v>1574</v>
      </c>
      <c r="Y163" s="51">
        <v>174</v>
      </c>
      <c r="Z163" s="51">
        <v>234</v>
      </c>
      <c r="AA163" s="51">
        <v>198</v>
      </c>
      <c r="AB163" s="51" t="s">
        <v>1574</v>
      </c>
      <c r="AC163" s="51" t="s">
        <v>1574</v>
      </c>
      <c r="AD163" s="51">
        <v>38.749758890309998</v>
      </c>
      <c r="AE163" s="51">
        <v>67.06</v>
      </c>
      <c r="AF163" s="51">
        <v>75.83</v>
      </c>
      <c r="AG163" s="51">
        <v>165.5</v>
      </c>
      <c r="AH163" s="51" t="s">
        <v>1574</v>
      </c>
      <c r="AI163" s="51" t="s">
        <v>1574</v>
      </c>
      <c r="AJ163" s="51" t="s">
        <v>1574</v>
      </c>
      <c r="AK163" s="51" t="s">
        <v>1574</v>
      </c>
      <c r="AL163" s="51">
        <v>102.88</v>
      </c>
      <c r="AM163" s="51" t="s">
        <v>1574</v>
      </c>
      <c r="AN163" s="51">
        <v>0.13400000000000001</v>
      </c>
      <c r="AO163" s="51">
        <v>0.22939999999999999</v>
      </c>
      <c r="AP163" s="51">
        <v>1.5694999999999999</v>
      </c>
      <c r="AQ163" s="51">
        <v>0.49745133572</v>
      </c>
      <c r="AR163" s="51">
        <v>1.1425000000000001</v>
      </c>
      <c r="AS163" s="51">
        <v>4.1226393999999997</v>
      </c>
      <c r="AT163" s="51">
        <v>0.14065475599999999</v>
      </c>
      <c r="AU163" s="51">
        <v>0.18959732000000001</v>
      </c>
      <c r="AV163" s="51">
        <v>0.20169999999999999</v>
      </c>
      <c r="AW163" s="51">
        <v>1056.18</v>
      </c>
      <c r="AX163" s="51">
        <v>52.48</v>
      </c>
      <c r="AY163" s="51">
        <v>43.48</v>
      </c>
      <c r="AZ163" s="51" t="s">
        <v>1574</v>
      </c>
      <c r="BA163" s="51">
        <v>176.21037696933001</v>
      </c>
      <c r="BB163" s="51" t="s">
        <v>1574</v>
      </c>
      <c r="BC163" s="51">
        <v>0.86199999999999999</v>
      </c>
      <c r="BD163" s="51" t="s">
        <v>1574</v>
      </c>
      <c r="BE163" s="51">
        <v>0.4012</v>
      </c>
      <c r="BF163" s="51">
        <v>11.5</v>
      </c>
      <c r="BG163" s="51">
        <v>99</v>
      </c>
      <c r="BH163" s="51">
        <v>75</v>
      </c>
      <c r="BI163" s="51">
        <v>29.25</v>
      </c>
      <c r="BJ163" s="51">
        <v>33.5</v>
      </c>
      <c r="BK163" s="51">
        <v>540.1318359375</v>
      </c>
      <c r="BL163" s="51">
        <v>10.33</v>
      </c>
      <c r="BM163" s="51">
        <v>1024.4000000000001</v>
      </c>
      <c r="BN163" s="51">
        <v>308.39999999999998</v>
      </c>
      <c r="BO163" s="51">
        <v>3730.2</v>
      </c>
      <c r="BP163" s="51">
        <v>3079.9</v>
      </c>
      <c r="BQ163" s="51">
        <v>375</v>
      </c>
      <c r="BR163" s="51">
        <v>63.91</v>
      </c>
      <c r="BS163" s="51">
        <v>132.5</v>
      </c>
      <c r="BT163" s="51">
        <v>1.976</v>
      </c>
      <c r="BU163" s="41"/>
      <c r="BV163" s="41"/>
      <c r="BW163" s="41"/>
      <c r="BX163" s="41"/>
      <c r="BY163" s="41"/>
      <c r="BZ163" s="41"/>
      <c r="CA163" s="41"/>
      <c r="CB163" s="41"/>
      <c r="CC163" s="41"/>
      <c r="CD163" s="41"/>
      <c r="CE163" s="41"/>
      <c r="CF163" s="41"/>
      <c r="CG163" s="41"/>
      <c r="CH163" s="41"/>
      <c r="CI163" s="41"/>
      <c r="CJ163" s="41"/>
      <c r="CK163" s="41"/>
    </row>
    <row r="164" spans="1:89">
      <c r="A164" s="48" t="s">
        <v>293</v>
      </c>
      <c r="B164" s="49">
        <v>2.08</v>
      </c>
      <c r="C164" s="49">
        <v>2.08</v>
      </c>
      <c r="D164" s="49">
        <v>2.08</v>
      </c>
      <c r="E164" s="49" t="s">
        <v>1574</v>
      </c>
      <c r="F164" s="49">
        <v>11.48</v>
      </c>
      <c r="G164" s="49" t="s">
        <v>1574</v>
      </c>
      <c r="H164" s="49">
        <v>0.21</v>
      </c>
      <c r="I164" s="49">
        <v>0.69350672431000004</v>
      </c>
      <c r="J164" s="49" t="s">
        <v>1574</v>
      </c>
      <c r="K164" s="49" t="s">
        <v>1574</v>
      </c>
      <c r="L164" s="49">
        <v>1.131</v>
      </c>
      <c r="M164" s="49">
        <v>1.278</v>
      </c>
      <c r="N164" s="49">
        <v>1.0540050000000001</v>
      </c>
      <c r="O164" s="49">
        <v>0.71609999999999996</v>
      </c>
      <c r="P164" s="49">
        <v>0.60239160000000003</v>
      </c>
      <c r="Q164" s="49">
        <v>0.72538650000000005</v>
      </c>
      <c r="R164" s="49">
        <v>0.82039969999999995</v>
      </c>
      <c r="S164" s="49">
        <v>231</v>
      </c>
      <c r="T164" s="49" t="s">
        <v>1574</v>
      </c>
      <c r="U164" s="49" t="s">
        <v>1574</v>
      </c>
      <c r="V164" s="49">
        <v>445.79</v>
      </c>
      <c r="W164" s="49">
        <v>211.77</v>
      </c>
      <c r="X164" s="49" t="s">
        <v>1574</v>
      </c>
      <c r="Y164" s="49">
        <v>214</v>
      </c>
      <c r="Z164" s="49">
        <v>239</v>
      </c>
      <c r="AA164" s="49">
        <v>215</v>
      </c>
      <c r="AB164" s="49" t="s">
        <v>1574</v>
      </c>
      <c r="AC164" s="49" t="s">
        <v>1574</v>
      </c>
      <c r="AD164" s="49">
        <v>42.096023126120002</v>
      </c>
      <c r="AE164" s="49">
        <v>79.13</v>
      </c>
      <c r="AF164" s="49">
        <v>81.349999999999994</v>
      </c>
      <c r="AG164" s="49">
        <v>160.88</v>
      </c>
      <c r="AH164" s="49" t="s">
        <v>1574</v>
      </c>
      <c r="AI164" s="49" t="s">
        <v>1574</v>
      </c>
      <c r="AJ164" s="49" t="s">
        <v>1574</v>
      </c>
      <c r="AK164" s="49" t="s">
        <v>1574</v>
      </c>
      <c r="AL164" s="49">
        <v>108.39</v>
      </c>
      <c r="AM164" s="49" t="s">
        <v>1574</v>
      </c>
      <c r="AN164" s="49">
        <v>0.13500000000000001</v>
      </c>
      <c r="AO164" s="49">
        <v>0.14879999999999999</v>
      </c>
      <c r="AP164" s="49">
        <v>1.7009000000000001</v>
      </c>
      <c r="AQ164" s="49">
        <v>0.50219902931000004</v>
      </c>
      <c r="AR164" s="49">
        <v>1.1688000000000001</v>
      </c>
      <c r="AS164" s="49">
        <v>5.0044874000000004</v>
      </c>
      <c r="AT164" s="49">
        <v>0.14131614200000001</v>
      </c>
      <c r="AU164" s="49">
        <v>0.20679335600000001</v>
      </c>
      <c r="AV164" s="49">
        <v>0.2072</v>
      </c>
      <c r="AW164" s="49">
        <v>1041.72</v>
      </c>
      <c r="AX164" s="49">
        <v>133.47</v>
      </c>
      <c r="AY164" s="49">
        <v>48.85</v>
      </c>
      <c r="AZ164" s="49" t="s">
        <v>1574</v>
      </c>
      <c r="BA164" s="49">
        <v>187.64716089258999</v>
      </c>
      <c r="BB164" s="49" t="s">
        <v>1574</v>
      </c>
      <c r="BC164" s="49">
        <v>0.88580000000000003</v>
      </c>
      <c r="BD164" s="49" t="s">
        <v>1574</v>
      </c>
      <c r="BE164" s="49">
        <v>0.44219999999999998</v>
      </c>
      <c r="BF164" s="49">
        <v>13.75</v>
      </c>
      <c r="BG164" s="49">
        <v>105</v>
      </c>
      <c r="BH164" s="49">
        <v>84</v>
      </c>
      <c r="BI164" s="49">
        <v>64.75</v>
      </c>
      <c r="BJ164" s="49">
        <v>42.5</v>
      </c>
      <c r="BK164" s="49">
        <v>542.33642578125</v>
      </c>
      <c r="BL164" s="49">
        <v>10.33</v>
      </c>
      <c r="BM164" s="49">
        <v>1119</v>
      </c>
      <c r="BN164" s="49">
        <v>318.3</v>
      </c>
      <c r="BO164" s="49">
        <v>3789.7</v>
      </c>
      <c r="BP164" s="49">
        <v>3373.1</v>
      </c>
      <c r="BQ164" s="49">
        <v>387</v>
      </c>
      <c r="BR164" s="49">
        <v>65.14</v>
      </c>
      <c r="BS164" s="49">
        <v>132.5</v>
      </c>
      <c r="BT164" s="49">
        <v>2.0165999999999999</v>
      </c>
      <c r="BU164" s="41"/>
      <c r="BV164" s="41"/>
      <c r="BW164" s="41"/>
      <c r="BX164" s="41"/>
      <c r="BY164" s="41"/>
      <c r="BZ164" s="41"/>
      <c r="CA164" s="41"/>
      <c r="CB164" s="41"/>
      <c r="CC164" s="41"/>
      <c r="CD164" s="41"/>
      <c r="CE164" s="41"/>
      <c r="CF164" s="41"/>
      <c r="CG164" s="41"/>
      <c r="CH164" s="41"/>
      <c r="CI164" s="41"/>
      <c r="CJ164" s="41"/>
      <c r="CK164" s="41"/>
    </row>
    <row r="165" spans="1:89">
      <c r="A165" s="41" t="s">
        <v>294</v>
      </c>
      <c r="B165" s="51">
        <v>2.08</v>
      </c>
      <c r="C165" s="51">
        <v>2.08</v>
      </c>
      <c r="D165" s="51">
        <v>2.08</v>
      </c>
      <c r="E165" s="51" t="s">
        <v>1574</v>
      </c>
      <c r="F165" s="51">
        <v>11.48</v>
      </c>
      <c r="G165" s="51" t="s">
        <v>1574</v>
      </c>
      <c r="H165" s="51">
        <v>0.21</v>
      </c>
      <c r="I165" s="51">
        <v>0.69350672431000004</v>
      </c>
      <c r="J165" s="51" t="s">
        <v>1574</v>
      </c>
      <c r="K165" s="51" t="s">
        <v>1574</v>
      </c>
      <c r="L165" s="51">
        <v>1.131</v>
      </c>
      <c r="M165" s="51">
        <v>1.4541999999999999</v>
      </c>
      <c r="N165" s="51">
        <v>1.091923</v>
      </c>
      <c r="O165" s="51">
        <v>0.72919999999999996</v>
      </c>
      <c r="P165" s="51">
        <v>0.65741309999999997</v>
      </c>
      <c r="Q165" s="51">
        <v>0.70984480000000005</v>
      </c>
      <c r="R165" s="51">
        <v>0.82039969999999995</v>
      </c>
      <c r="S165" s="51">
        <v>299</v>
      </c>
      <c r="T165" s="51" t="s">
        <v>1574</v>
      </c>
      <c r="U165" s="51" t="s">
        <v>1574</v>
      </c>
      <c r="V165" s="51">
        <v>460.54</v>
      </c>
      <c r="W165" s="51">
        <v>258.66000000000003</v>
      </c>
      <c r="X165" s="51" t="s">
        <v>1574</v>
      </c>
      <c r="Y165" s="51">
        <v>259</v>
      </c>
      <c r="Z165" s="51">
        <v>291</v>
      </c>
      <c r="AA165" s="51">
        <v>247</v>
      </c>
      <c r="AB165" s="51" t="s">
        <v>1574</v>
      </c>
      <c r="AC165" s="51" t="s">
        <v>1574</v>
      </c>
      <c r="AD165" s="51">
        <v>40.763645642930001</v>
      </c>
      <c r="AE165" s="51">
        <v>81.099999999999994</v>
      </c>
      <c r="AF165" s="51">
        <v>78.48</v>
      </c>
      <c r="AG165" s="51">
        <v>173.53</v>
      </c>
      <c r="AH165" s="51" t="s">
        <v>1574</v>
      </c>
      <c r="AI165" s="51" t="s">
        <v>1574</v>
      </c>
      <c r="AJ165" s="51" t="s">
        <v>1574</v>
      </c>
      <c r="AK165" s="51" t="s">
        <v>1574</v>
      </c>
      <c r="AL165" s="51">
        <v>98.84</v>
      </c>
      <c r="AM165" s="51" t="s">
        <v>1574</v>
      </c>
      <c r="AN165" s="51">
        <v>0.14199999999999999</v>
      </c>
      <c r="AO165" s="51">
        <v>0.18229999999999999</v>
      </c>
      <c r="AP165" s="51">
        <v>1.8744000000000001</v>
      </c>
      <c r="AQ165" s="51">
        <v>0.50886058293000003</v>
      </c>
      <c r="AR165" s="51">
        <v>1.1846000000000001</v>
      </c>
      <c r="AS165" s="51">
        <v>5.0044874000000004</v>
      </c>
      <c r="AT165" s="51">
        <v>0.14550492000000001</v>
      </c>
      <c r="AU165" s="51">
        <v>0.20150226800000001</v>
      </c>
      <c r="AV165" s="51">
        <v>0.19789999999999999</v>
      </c>
      <c r="AW165" s="51">
        <v>1039.48</v>
      </c>
      <c r="AX165" s="51">
        <v>133.47</v>
      </c>
      <c r="AY165" s="51">
        <v>63.34</v>
      </c>
      <c r="AZ165" s="51" t="s">
        <v>1574</v>
      </c>
      <c r="BA165" s="51">
        <v>215.90429558033</v>
      </c>
      <c r="BB165" s="51" t="s">
        <v>1574</v>
      </c>
      <c r="BC165" s="51">
        <v>0.90680000000000005</v>
      </c>
      <c r="BD165" s="51" t="s">
        <v>1574</v>
      </c>
      <c r="BE165" s="51">
        <v>0.46250000000000002</v>
      </c>
      <c r="BF165" s="51">
        <v>13.75</v>
      </c>
      <c r="BG165" s="51">
        <v>105</v>
      </c>
      <c r="BH165" s="51">
        <v>84</v>
      </c>
      <c r="BI165" s="51">
        <v>64.75</v>
      </c>
      <c r="BJ165" s="51">
        <v>42.5</v>
      </c>
      <c r="BK165" s="51">
        <v>557.76879882813</v>
      </c>
      <c r="BL165" s="51">
        <v>10.33</v>
      </c>
      <c r="BM165" s="51">
        <v>1243.5999999999999</v>
      </c>
      <c r="BN165" s="51">
        <v>339.9</v>
      </c>
      <c r="BO165" s="51">
        <v>4027.8</v>
      </c>
      <c r="BP165" s="51">
        <v>3373.1</v>
      </c>
      <c r="BQ165" s="51">
        <v>422</v>
      </c>
      <c r="BR165" s="51">
        <v>74.2</v>
      </c>
      <c r="BS165" s="51">
        <v>141.97</v>
      </c>
      <c r="BT165" s="51">
        <v>2.2362000000000002</v>
      </c>
      <c r="BU165" s="41"/>
      <c r="BV165" s="41"/>
      <c r="BW165" s="41"/>
      <c r="BX165" s="41"/>
      <c r="BY165" s="41"/>
      <c r="BZ165" s="41"/>
      <c r="CA165" s="41"/>
      <c r="CB165" s="41"/>
      <c r="CC165" s="41"/>
      <c r="CD165" s="41"/>
      <c r="CE165" s="41"/>
      <c r="CF165" s="41"/>
      <c r="CG165" s="41"/>
      <c r="CH165" s="41"/>
      <c r="CI165" s="41"/>
      <c r="CJ165" s="41"/>
      <c r="CK165" s="41"/>
    </row>
    <row r="166" spans="1:89">
      <c r="A166" s="48" t="s">
        <v>295</v>
      </c>
      <c r="B166" s="49">
        <v>2.08</v>
      </c>
      <c r="C166" s="49">
        <v>2.08</v>
      </c>
      <c r="D166" s="49">
        <v>2.08</v>
      </c>
      <c r="E166" s="49" t="s">
        <v>1574</v>
      </c>
      <c r="F166" s="49">
        <v>11.48</v>
      </c>
      <c r="G166" s="49" t="s">
        <v>1574</v>
      </c>
      <c r="H166" s="49">
        <v>0.21</v>
      </c>
      <c r="I166" s="49">
        <v>0.69350672431000004</v>
      </c>
      <c r="J166" s="49" t="s">
        <v>1574</v>
      </c>
      <c r="K166" s="49" t="s">
        <v>1574</v>
      </c>
      <c r="L166" s="49">
        <v>1.131</v>
      </c>
      <c r="M166" s="49">
        <v>1.4193</v>
      </c>
      <c r="N166" s="49">
        <v>1.10978</v>
      </c>
      <c r="O166" s="49">
        <v>0.73399999999999999</v>
      </c>
      <c r="P166" s="49">
        <v>0.69585609999999998</v>
      </c>
      <c r="Q166" s="49">
        <v>0.68559780000000003</v>
      </c>
      <c r="R166" s="49">
        <v>0.82039969999999995</v>
      </c>
      <c r="S166" s="49">
        <v>315</v>
      </c>
      <c r="T166" s="49" t="s">
        <v>1574</v>
      </c>
      <c r="U166" s="49" t="s">
        <v>1574</v>
      </c>
      <c r="V166" s="49">
        <v>462.7</v>
      </c>
      <c r="W166" s="49">
        <v>280.36</v>
      </c>
      <c r="X166" s="49" t="s">
        <v>1574</v>
      </c>
      <c r="Y166" s="49">
        <v>258</v>
      </c>
      <c r="Z166" s="49">
        <v>311</v>
      </c>
      <c r="AA166" s="49">
        <v>238</v>
      </c>
      <c r="AB166" s="49" t="s">
        <v>1574</v>
      </c>
      <c r="AC166" s="49" t="s">
        <v>1574</v>
      </c>
      <c r="AD166" s="49">
        <v>40.555044765280002</v>
      </c>
      <c r="AE166" s="49">
        <v>79.92</v>
      </c>
      <c r="AF166" s="49">
        <v>76.28</v>
      </c>
      <c r="AG166" s="49">
        <v>185.87</v>
      </c>
      <c r="AH166" s="49" t="s">
        <v>1574</v>
      </c>
      <c r="AI166" s="49" t="s">
        <v>1574</v>
      </c>
      <c r="AJ166" s="49" t="s">
        <v>1574</v>
      </c>
      <c r="AK166" s="49" t="s">
        <v>1574</v>
      </c>
      <c r="AL166" s="49">
        <v>98.47</v>
      </c>
      <c r="AM166" s="49" t="s">
        <v>1574</v>
      </c>
      <c r="AN166" s="49">
        <v>0.14199999999999999</v>
      </c>
      <c r="AO166" s="49">
        <v>0.17810000000000001</v>
      </c>
      <c r="AP166" s="49">
        <v>1.9795</v>
      </c>
      <c r="AQ166" s="49">
        <v>0.51174867349999997</v>
      </c>
      <c r="AR166" s="49">
        <v>1.2307999999999999</v>
      </c>
      <c r="AS166" s="49">
        <v>5.0044874000000004</v>
      </c>
      <c r="AT166" s="49">
        <v>0.14859138799999999</v>
      </c>
      <c r="AU166" s="49">
        <v>0.20811612800000001</v>
      </c>
      <c r="AV166" s="49">
        <v>0.1933</v>
      </c>
      <c r="AW166" s="49">
        <v>1046.8599999999999</v>
      </c>
      <c r="AX166" s="49">
        <v>133.47</v>
      </c>
      <c r="AY166" s="49">
        <v>74.099999999999994</v>
      </c>
      <c r="AZ166" s="49" t="s">
        <v>1574</v>
      </c>
      <c r="BA166" s="49">
        <v>234.99410265012</v>
      </c>
      <c r="BB166" s="49" t="s">
        <v>1574</v>
      </c>
      <c r="BC166" s="49">
        <v>0.95799999999999996</v>
      </c>
      <c r="BD166" s="49" t="s">
        <v>1574</v>
      </c>
      <c r="BE166" s="49">
        <v>0.5454</v>
      </c>
      <c r="BF166" s="49">
        <v>13.75</v>
      </c>
      <c r="BG166" s="49">
        <v>105</v>
      </c>
      <c r="BH166" s="49">
        <v>84</v>
      </c>
      <c r="BI166" s="49">
        <v>64.75</v>
      </c>
      <c r="BJ166" s="49">
        <v>42.5</v>
      </c>
      <c r="BK166" s="49">
        <v>570.99658203125</v>
      </c>
      <c r="BL166" s="49">
        <v>10.33</v>
      </c>
      <c r="BM166" s="49">
        <v>1509.5</v>
      </c>
      <c r="BN166" s="49">
        <v>372.1</v>
      </c>
      <c r="BO166" s="49">
        <v>4288</v>
      </c>
      <c r="BP166" s="49">
        <v>3373.1</v>
      </c>
      <c r="BQ166" s="49">
        <v>474</v>
      </c>
      <c r="BR166" s="49">
        <v>84.37</v>
      </c>
      <c r="BS166" s="49">
        <v>152.5</v>
      </c>
      <c r="BT166" s="49">
        <v>2.3092000000000001</v>
      </c>
      <c r="BU166" s="41"/>
      <c r="BV166" s="41"/>
      <c r="BW166" s="41"/>
      <c r="BX166" s="41"/>
      <c r="BY166" s="41"/>
      <c r="BZ166" s="41"/>
      <c r="CA166" s="41"/>
      <c r="CB166" s="41"/>
      <c r="CC166" s="41"/>
      <c r="CD166" s="41"/>
      <c r="CE166" s="41"/>
      <c r="CF166" s="41"/>
      <c r="CG166" s="41"/>
      <c r="CH166" s="41"/>
      <c r="CI166" s="41"/>
      <c r="CJ166" s="41"/>
      <c r="CK166" s="41"/>
    </row>
    <row r="167" spans="1:89">
      <c r="A167" s="41" t="s">
        <v>296</v>
      </c>
      <c r="B167" s="51">
        <v>2.35</v>
      </c>
      <c r="C167" s="51">
        <v>2.35</v>
      </c>
      <c r="D167" s="51">
        <v>2.35</v>
      </c>
      <c r="E167" s="51" t="s">
        <v>1574</v>
      </c>
      <c r="F167" s="51">
        <v>11.48</v>
      </c>
      <c r="G167" s="51" t="s">
        <v>1574</v>
      </c>
      <c r="H167" s="51">
        <v>0.21</v>
      </c>
      <c r="I167" s="51">
        <v>0.69350672431000004</v>
      </c>
      <c r="J167" s="51" t="s">
        <v>1574</v>
      </c>
      <c r="K167" s="51" t="s">
        <v>1574</v>
      </c>
      <c r="L167" s="51">
        <v>1.131</v>
      </c>
      <c r="M167" s="51">
        <v>1.2909999999999999</v>
      </c>
      <c r="N167" s="51">
        <v>1.077593</v>
      </c>
      <c r="O167" s="51">
        <v>0.80410000000000004</v>
      </c>
      <c r="P167" s="51">
        <v>0.69264749999999997</v>
      </c>
      <c r="Q167" s="51">
        <v>0.89935120000000002</v>
      </c>
      <c r="R167" s="51">
        <v>0.82039969999999995</v>
      </c>
      <c r="S167" s="51">
        <v>360</v>
      </c>
      <c r="T167" s="51" t="s">
        <v>1574</v>
      </c>
      <c r="U167" s="51" t="s">
        <v>1574</v>
      </c>
      <c r="V167" s="51">
        <v>473.56</v>
      </c>
      <c r="W167" s="51">
        <v>290.2</v>
      </c>
      <c r="X167" s="51" t="s">
        <v>1574</v>
      </c>
      <c r="Y167" s="51">
        <v>260</v>
      </c>
      <c r="Z167" s="51">
        <v>333</v>
      </c>
      <c r="AA167" s="51">
        <v>256</v>
      </c>
      <c r="AB167" s="51" t="s">
        <v>1574</v>
      </c>
      <c r="AC167" s="51" t="s">
        <v>1574</v>
      </c>
      <c r="AD167" s="51">
        <v>40.721553010720001</v>
      </c>
      <c r="AE167" s="51">
        <v>77.77</v>
      </c>
      <c r="AF167" s="51">
        <v>74.510000000000005</v>
      </c>
      <c r="AG167" s="51">
        <v>185.87</v>
      </c>
      <c r="AH167" s="51" t="s">
        <v>1574</v>
      </c>
      <c r="AI167" s="51" t="s">
        <v>1574</v>
      </c>
      <c r="AJ167" s="51" t="s">
        <v>1574</v>
      </c>
      <c r="AK167" s="51" t="s">
        <v>1574</v>
      </c>
      <c r="AL167" s="51">
        <v>101.05</v>
      </c>
      <c r="AM167" s="51" t="s">
        <v>1574</v>
      </c>
      <c r="AN167" s="51">
        <v>0.14699999999999999</v>
      </c>
      <c r="AO167" s="51">
        <v>0.14879999999999999</v>
      </c>
      <c r="AP167" s="51">
        <v>1.8532</v>
      </c>
      <c r="AQ167" s="51">
        <v>0.51707943782999999</v>
      </c>
      <c r="AR167" s="51">
        <v>1.2693000000000001</v>
      </c>
      <c r="AS167" s="51">
        <v>5.0044874000000004</v>
      </c>
      <c r="AT167" s="51">
        <v>0.14881185</v>
      </c>
      <c r="AU167" s="51">
        <v>0.21274583</v>
      </c>
      <c r="AV167" s="51">
        <v>0.19819999999999999</v>
      </c>
      <c r="AW167" s="51">
        <v>1066.55</v>
      </c>
      <c r="AX167" s="51">
        <v>133.47</v>
      </c>
      <c r="AY167" s="51">
        <v>70.97</v>
      </c>
      <c r="AZ167" s="51" t="s">
        <v>1574</v>
      </c>
      <c r="BA167" s="51">
        <v>229.58077942838</v>
      </c>
      <c r="BB167" s="51" t="s">
        <v>1574</v>
      </c>
      <c r="BC167" s="51">
        <v>1.0306999999999999</v>
      </c>
      <c r="BD167" s="51" t="s">
        <v>1574</v>
      </c>
      <c r="BE167" s="51">
        <v>0.54369999999999996</v>
      </c>
      <c r="BF167" s="51">
        <v>13.75</v>
      </c>
      <c r="BG167" s="51">
        <v>105</v>
      </c>
      <c r="BH167" s="51">
        <v>84</v>
      </c>
      <c r="BI167" s="51">
        <v>64.75</v>
      </c>
      <c r="BJ167" s="51">
        <v>42.5</v>
      </c>
      <c r="BK167" s="51">
        <v>570.99658203125</v>
      </c>
      <c r="BL167" s="51">
        <v>10.33</v>
      </c>
      <c r="BM167" s="51">
        <v>1588.4</v>
      </c>
      <c r="BN167" s="51">
        <v>387.1</v>
      </c>
      <c r="BO167" s="51">
        <v>4270.3</v>
      </c>
      <c r="BP167" s="51">
        <v>3373.1</v>
      </c>
      <c r="BQ167" s="51">
        <v>513</v>
      </c>
      <c r="BR167" s="51">
        <v>90.5</v>
      </c>
      <c r="BS167" s="51">
        <v>152.5</v>
      </c>
      <c r="BT167" s="51">
        <v>2.2071999999999998</v>
      </c>
      <c r="BU167" s="41"/>
      <c r="BV167" s="41"/>
      <c r="BW167" s="41"/>
      <c r="BX167" s="41"/>
      <c r="BY167" s="41"/>
      <c r="BZ167" s="41"/>
      <c r="CA167" s="41"/>
      <c r="CB167" s="41"/>
      <c r="CC167" s="41"/>
      <c r="CD167" s="41"/>
      <c r="CE167" s="41"/>
      <c r="CF167" s="41"/>
      <c r="CG167" s="41"/>
      <c r="CH167" s="41"/>
      <c r="CI167" s="41"/>
      <c r="CJ167" s="41"/>
      <c r="CK167" s="41"/>
    </row>
    <row r="168" spans="1:89">
      <c r="A168" s="48" t="s">
        <v>297</v>
      </c>
      <c r="B168" s="49">
        <v>2.35</v>
      </c>
      <c r="C168" s="49">
        <v>2.35</v>
      </c>
      <c r="D168" s="49">
        <v>2.35</v>
      </c>
      <c r="E168" s="49" t="s">
        <v>1574</v>
      </c>
      <c r="F168" s="49">
        <v>11.48</v>
      </c>
      <c r="G168" s="49" t="s">
        <v>1574</v>
      </c>
      <c r="H168" s="49">
        <v>0.21</v>
      </c>
      <c r="I168" s="49">
        <v>0.69350672431000004</v>
      </c>
      <c r="J168" s="49" t="s">
        <v>1574</v>
      </c>
      <c r="K168" s="49" t="s">
        <v>1574</v>
      </c>
      <c r="L168" s="49">
        <v>1.131</v>
      </c>
      <c r="M168" s="49">
        <v>1.4151</v>
      </c>
      <c r="N168" s="49">
        <v>1.0745070000000001</v>
      </c>
      <c r="O168" s="49">
        <v>0.80710000000000004</v>
      </c>
      <c r="P168" s="49">
        <v>0.63614459999999995</v>
      </c>
      <c r="Q168" s="49">
        <v>0.96477179999999996</v>
      </c>
      <c r="R168" s="49">
        <v>0.82039969999999995</v>
      </c>
      <c r="S168" s="49">
        <v>416</v>
      </c>
      <c r="T168" s="49" t="s">
        <v>1574</v>
      </c>
      <c r="U168" s="49" t="s">
        <v>1574</v>
      </c>
      <c r="V168" s="49">
        <v>493.84</v>
      </c>
      <c r="W168" s="49">
        <v>323.83</v>
      </c>
      <c r="X168" s="49" t="s">
        <v>1574</v>
      </c>
      <c r="Y168" s="49">
        <v>358</v>
      </c>
      <c r="Z168" s="49">
        <v>373</v>
      </c>
      <c r="AA168" s="49">
        <v>364</v>
      </c>
      <c r="AB168" s="49" t="s">
        <v>1574</v>
      </c>
      <c r="AC168" s="49" t="s">
        <v>1574</v>
      </c>
      <c r="AD168" s="49">
        <v>42.944456676900003</v>
      </c>
      <c r="AE168" s="49">
        <v>88.97</v>
      </c>
      <c r="AF168" s="49">
        <v>78.48</v>
      </c>
      <c r="AG168" s="49">
        <v>185.87</v>
      </c>
      <c r="AH168" s="49" t="s">
        <v>1574</v>
      </c>
      <c r="AI168" s="49" t="s">
        <v>1574</v>
      </c>
      <c r="AJ168" s="49" t="s">
        <v>1574</v>
      </c>
      <c r="AK168" s="49" t="s">
        <v>1574</v>
      </c>
      <c r="AL168" s="49">
        <v>102.15</v>
      </c>
      <c r="AM168" s="49" t="s">
        <v>1574</v>
      </c>
      <c r="AN168" s="49">
        <v>0.157</v>
      </c>
      <c r="AO168" s="49">
        <v>0.154</v>
      </c>
      <c r="AP168" s="49">
        <v>1.8479000000000001</v>
      </c>
      <c r="AQ168" s="49">
        <v>0.52873590114000002</v>
      </c>
      <c r="AR168" s="49">
        <v>1.2408999999999999</v>
      </c>
      <c r="AS168" s="49">
        <v>5.0044874000000004</v>
      </c>
      <c r="AT168" s="49">
        <v>0.151677856</v>
      </c>
      <c r="AU168" s="49">
        <v>0.22178477199999999</v>
      </c>
      <c r="AV168" s="49">
        <v>0.2001</v>
      </c>
      <c r="AW168" s="49">
        <v>1087.3599999999999</v>
      </c>
      <c r="AX168" s="49">
        <v>133.47</v>
      </c>
      <c r="AY168" s="49">
        <v>61.74</v>
      </c>
      <c r="AZ168" s="49" t="s">
        <v>1574</v>
      </c>
      <c r="BA168" s="49">
        <v>212.94189212805</v>
      </c>
      <c r="BB168" s="49" t="s">
        <v>1574</v>
      </c>
      <c r="BC168" s="49">
        <v>1.1497999999999999</v>
      </c>
      <c r="BD168" s="49" t="s">
        <v>1574</v>
      </c>
      <c r="BE168" s="49">
        <v>0.55069999999999997</v>
      </c>
      <c r="BF168" s="49">
        <v>13.75</v>
      </c>
      <c r="BG168" s="49">
        <v>105</v>
      </c>
      <c r="BH168" s="49">
        <v>84</v>
      </c>
      <c r="BI168" s="49">
        <v>64.75</v>
      </c>
      <c r="BJ168" s="49">
        <v>42.5</v>
      </c>
      <c r="BK168" s="49">
        <v>582.01977539063</v>
      </c>
      <c r="BL168" s="49">
        <v>10.33</v>
      </c>
      <c r="BM168" s="49">
        <v>1552.2</v>
      </c>
      <c r="BN168" s="49">
        <v>396.4</v>
      </c>
      <c r="BO168" s="49">
        <v>4347.5</v>
      </c>
      <c r="BP168" s="49">
        <v>3373.1</v>
      </c>
      <c r="BQ168" s="49">
        <v>549</v>
      </c>
      <c r="BR168" s="49">
        <v>101.96</v>
      </c>
      <c r="BS168" s="49">
        <v>152.5</v>
      </c>
      <c r="BT168" s="49">
        <v>2.4011999999999998</v>
      </c>
      <c r="BU168" s="41"/>
      <c r="BV168" s="41"/>
      <c r="BW168" s="41"/>
      <c r="BX168" s="41"/>
      <c r="BY168" s="41"/>
      <c r="BZ168" s="41"/>
      <c r="CA168" s="41"/>
      <c r="CB168" s="41"/>
      <c r="CC168" s="41"/>
      <c r="CD168" s="41"/>
      <c r="CE168" s="41"/>
      <c r="CF168" s="41"/>
      <c r="CG168" s="41"/>
      <c r="CH168" s="41"/>
      <c r="CI168" s="41"/>
      <c r="CJ168" s="41"/>
      <c r="CK168" s="41"/>
    </row>
    <row r="169" spans="1:89">
      <c r="A169" s="41" t="s">
        <v>298</v>
      </c>
      <c r="B169" s="51">
        <v>2.35</v>
      </c>
      <c r="C169" s="51">
        <v>2.35</v>
      </c>
      <c r="D169" s="51">
        <v>2.35</v>
      </c>
      <c r="E169" s="51" t="s">
        <v>1574</v>
      </c>
      <c r="F169" s="51">
        <v>11.48</v>
      </c>
      <c r="G169" s="51" t="s">
        <v>1574</v>
      </c>
      <c r="H169" s="51">
        <v>0.21</v>
      </c>
      <c r="I169" s="51">
        <v>0.69350672431000004</v>
      </c>
      <c r="J169" s="51" t="s">
        <v>1574</v>
      </c>
      <c r="K169" s="51" t="s">
        <v>1574</v>
      </c>
      <c r="L169" s="51">
        <v>1.131</v>
      </c>
      <c r="M169" s="51">
        <v>1.4147000000000001</v>
      </c>
      <c r="N169" s="51">
        <v>1.077593</v>
      </c>
      <c r="O169" s="51">
        <v>0.84370000000000001</v>
      </c>
      <c r="P169" s="51">
        <v>0.60471980000000003</v>
      </c>
      <c r="Q169" s="51">
        <v>1.076973</v>
      </c>
      <c r="R169" s="51">
        <v>0.84927540000000001</v>
      </c>
      <c r="S169" s="51">
        <v>457</v>
      </c>
      <c r="T169" s="51" t="s">
        <v>1574</v>
      </c>
      <c r="U169" s="51" t="s">
        <v>1574</v>
      </c>
      <c r="V169" s="51">
        <v>524.80999999999995</v>
      </c>
      <c r="W169" s="51">
        <v>371.41</v>
      </c>
      <c r="X169" s="51" t="s">
        <v>1574</v>
      </c>
      <c r="Y169" s="51">
        <v>470</v>
      </c>
      <c r="Z169" s="51">
        <v>455</v>
      </c>
      <c r="AA169" s="51">
        <v>497</v>
      </c>
      <c r="AB169" s="51" t="s">
        <v>1574</v>
      </c>
      <c r="AC169" s="51" t="s">
        <v>1574</v>
      </c>
      <c r="AD169" s="51">
        <v>46.210613849799998</v>
      </c>
      <c r="AE169" s="51">
        <v>101.17</v>
      </c>
      <c r="AF169" s="51">
        <v>87.3</v>
      </c>
      <c r="AG169" s="51">
        <v>185.87</v>
      </c>
      <c r="AH169" s="51" t="s">
        <v>1574</v>
      </c>
      <c r="AI169" s="51" t="s">
        <v>1574</v>
      </c>
      <c r="AJ169" s="51" t="s">
        <v>1574</v>
      </c>
      <c r="AK169" s="51" t="s">
        <v>1574</v>
      </c>
      <c r="AL169" s="51">
        <v>108.39</v>
      </c>
      <c r="AM169" s="51" t="s">
        <v>1574</v>
      </c>
      <c r="AN169" s="51">
        <v>0.16</v>
      </c>
      <c r="AO169" s="51">
        <v>0.154</v>
      </c>
      <c r="AP169" s="51">
        <v>1.7996000000000001</v>
      </c>
      <c r="AQ169" s="51">
        <v>0.53971898260999995</v>
      </c>
      <c r="AR169" s="51">
        <v>1.2883</v>
      </c>
      <c r="AS169" s="51">
        <v>5.0044874000000004</v>
      </c>
      <c r="AT169" s="51">
        <v>0.154543862</v>
      </c>
      <c r="AU169" s="51">
        <v>0.22597355</v>
      </c>
      <c r="AV169" s="51">
        <v>0.20669999999999999</v>
      </c>
      <c r="AW169" s="51">
        <v>1116.3</v>
      </c>
      <c r="AX169" s="51">
        <v>133.47</v>
      </c>
      <c r="AY169" s="51">
        <v>55.72</v>
      </c>
      <c r="AZ169" s="51" t="s">
        <v>1574</v>
      </c>
      <c r="BA169" s="51">
        <v>201.46570566532</v>
      </c>
      <c r="BB169" s="51" t="s">
        <v>1574</v>
      </c>
      <c r="BC169" s="51">
        <v>1.2237</v>
      </c>
      <c r="BD169" s="51" t="s">
        <v>1574</v>
      </c>
      <c r="BE169" s="51">
        <v>0.66949999999999998</v>
      </c>
      <c r="BF169" s="51">
        <v>13.75</v>
      </c>
      <c r="BG169" s="51">
        <v>105</v>
      </c>
      <c r="BH169" s="51">
        <v>84</v>
      </c>
      <c r="BI169" s="51">
        <v>64.75</v>
      </c>
      <c r="BJ169" s="51">
        <v>42.5</v>
      </c>
      <c r="BK169" s="51">
        <v>601.861328125</v>
      </c>
      <c r="BL169" s="51">
        <v>10.33</v>
      </c>
      <c r="BM169" s="51">
        <v>1748.7</v>
      </c>
      <c r="BN169" s="51">
        <v>425.3</v>
      </c>
      <c r="BO169" s="51">
        <v>4530.5</v>
      </c>
      <c r="BP169" s="51">
        <v>3373.1</v>
      </c>
      <c r="BQ169" s="51">
        <v>656</v>
      </c>
      <c r="BR169" s="51">
        <v>120.12</v>
      </c>
      <c r="BS169" s="51">
        <v>152.5</v>
      </c>
      <c r="BT169" s="51">
        <v>2.6208999999999998</v>
      </c>
      <c r="BU169" s="41"/>
      <c r="BV169" s="41"/>
      <c r="BW169" s="41"/>
      <c r="BX169" s="41"/>
      <c r="BY169" s="41"/>
      <c r="BZ169" s="41"/>
      <c r="CA169" s="41"/>
      <c r="CB169" s="41"/>
      <c r="CC169" s="41"/>
      <c r="CD169" s="41"/>
      <c r="CE169" s="41"/>
      <c r="CF169" s="41"/>
      <c r="CG169" s="41"/>
      <c r="CH169" s="41"/>
      <c r="CI169" s="41"/>
      <c r="CJ169" s="41"/>
      <c r="CK169" s="41"/>
    </row>
    <row r="170" spans="1:89">
      <c r="A170" s="48" t="s">
        <v>299</v>
      </c>
      <c r="B170" s="49">
        <v>2.7</v>
      </c>
      <c r="C170" s="49">
        <v>2.7</v>
      </c>
      <c r="D170" s="49">
        <v>2.7</v>
      </c>
      <c r="E170" s="49" t="s">
        <v>1574</v>
      </c>
      <c r="F170" s="49">
        <v>11.48</v>
      </c>
      <c r="G170" s="49" t="s">
        <v>1574</v>
      </c>
      <c r="H170" s="49">
        <v>0.21</v>
      </c>
      <c r="I170" s="49">
        <v>0.69350672431000004</v>
      </c>
      <c r="J170" s="49" t="s">
        <v>1574</v>
      </c>
      <c r="K170" s="49" t="s">
        <v>1574</v>
      </c>
      <c r="L170" s="49">
        <v>1.131</v>
      </c>
      <c r="M170" s="49">
        <v>1.3567</v>
      </c>
      <c r="N170" s="49">
        <v>1.0581929999999999</v>
      </c>
      <c r="O170" s="49">
        <v>0.87180000000000002</v>
      </c>
      <c r="P170" s="49">
        <v>0.63099689999999997</v>
      </c>
      <c r="Q170" s="49">
        <v>1.1351500000000001</v>
      </c>
      <c r="R170" s="49">
        <v>0.84927540000000001</v>
      </c>
      <c r="S170" s="49">
        <v>552</v>
      </c>
      <c r="T170" s="49" t="s">
        <v>1574</v>
      </c>
      <c r="U170" s="49" t="s">
        <v>1574</v>
      </c>
      <c r="V170" s="49">
        <v>593.55999999999995</v>
      </c>
      <c r="W170" s="49">
        <v>472.85</v>
      </c>
      <c r="X170" s="49" t="s">
        <v>1574</v>
      </c>
      <c r="Y170" s="49">
        <v>330</v>
      </c>
      <c r="Z170" s="49">
        <v>550</v>
      </c>
      <c r="AA170" s="49">
        <v>582</v>
      </c>
      <c r="AB170" s="49" t="s">
        <v>1574</v>
      </c>
      <c r="AC170" s="49" t="s">
        <v>1574</v>
      </c>
      <c r="AD170" s="49">
        <v>48.801615768029997</v>
      </c>
      <c r="AE170" s="49">
        <v>109.44</v>
      </c>
      <c r="AF170" s="49">
        <v>99.65</v>
      </c>
      <c r="AG170" s="49">
        <v>332.53</v>
      </c>
      <c r="AH170" s="49" t="s">
        <v>1574</v>
      </c>
      <c r="AI170" s="49" t="s">
        <v>1574</v>
      </c>
      <c r="AJ170" s="49" t="s">
        <v>1574</v>
      </c>
      <c r="AK170" s="49" t="s">
        <v>1574</v>
      </c>
      <c r="AL170" s="49">
        <v>114.64</v>
      </c>
      <c r="AM170" s="49" t="s">
        <v>1574</v>
      </c>
      <c r="AN170" s="49">
        <v>0.154</v>
      </c>
      <c r="AO170" s="49">
        <v>0.154</v>
      </c>
      <c r="AP170" s="49">
        <v>1.9575</v>
      </c>
      <c r="AQ170" s="49">
        <v>0.54732563547000002</v>
      </c>
      <c r="AR170" s="49">
        <v>1.4375</v>
      </c>
      <c r="AS170" s="49">
        <v>5.0044874000000004</v>
      </c>
      <c r="AT170" s="49">
        <v>0.15233924200000001</v>
      </c>
      <c r="AU170" s="49">
        <v>0.22597355</v>
      </c>
      <c r="AV170" s="49">
        <v>0.20979999999999999</v>
      </c>
      <c r="AW170" s="49">
        <v>1135.95</v>
      </c>
      <c r="AX170" s="49">
        <v>133.47</v>
      </c>
      <c r="AY170" s="49">
        <v>56.35</v>
      </c>
      <c r="AZ170" s="49" t="s">
        <v>1574</v>
      </c>
      <c r="BA170" s="49">
        <v>202.69257881953999</v>
      </c>
      <c r="BB170" s="49" t="s">
        <v>1574</v>
      </c>
      <c r="BC170" s="49">
        <v>1.4550000000000001</v>
      </c>
      <c r="BD170" s="49" t="s">
        <v>1574</v>
      </c>
      <c r="BE170" s="49">
        <v>0.84860000000000002</v>
      </c>
      <c r="BF170" s="49">
        <v>13.75</v>
      </c>
      <c r="BG170" s="49">
        <v>132.5</v>
      </c>
      <c r="BH170" s="49">
        <v>115</v>
      </c>
      <c r="BI170" s="49">
        <v>64.75</v>
      </c>
      <c r="BJ170" s="49">
        <v>42.5</v>
      </c>
      <c r="BK170" s="49">
        <v>634.9306640625</v>
      </c>
      <c r="BL170" s="49">
        <v>10.33</v>
      </c>
      <c r="BM170" s="49">
        <v>2021.2</v>
      </c>
      <c r="BN170" s="49">
        <v>469.8</v>
      </c>
      <c r="BO170" s="49">
        <v>4962.6000000000004</v>
      </c>
      <c r="BP170" s="49">
        <v>3373.1</v>
      </c>
      <c r="BQ170" s="49">
        <v>842</v>
      </c>
      <c r="BR170" s="49">
        <v>120.17</v>
      </c>
      <c r="BS170" s="49">
        <v>152.5</v>
      </c>
      <c r="BT170" s="49">
        <v>2.7056</v>
      </c>
      <c r="BU170" s="41"/>
      <c r="BV170" s="41"/>
      <c r="BW170" s="41"/>
      <c r="BX170" s="41"/>
      <c r="BY170" s="41"/>
      <c r="BZ170" s="41"/>
      <c r="CA170" s="41"/>
      <c r="CB170" s="41"/>
      <c r="CC170" s="41"/>
      <c r="CD170" s="41"/>
      <c r="CE170" s="41"/>
      <c r="CF170" s="41"/>
      <c r="CG170" s="41"/>
      <c r="CH170" s="41"/>
      <c r="CI170" s="41"/>
      <c r="CJ170" s="41"/>
      <c r="CK170" s="41"/>
    </row>
    <row r="171" spans="1:89">
      <c r="A171" s="41" t="s">
        <v>300</v>
      </c>
      <c r="B171" s="51">
        <v>2.7</v>
      </c>
      <c r="C171" s="51">
        <v>2.7</v>
      </c>
      <c r="D171" s="51">
        <v>2.7</v>
      </c>
      <c r="E171" s="51" t="s">
        <v>1574</v>
      </c>
      <c r="F171" s="51">
        <v>11.48</v>
      </c>
      <c r="G171" s="51" t="s">
        <v>1574</v>
      </c>
      <c r="H171" s="51">
        <v>0.21</v>
      </c>
      <c r="I171" s="51">
        <v>0.69350672431000004</v>
      </c>
      <c r="J171" s="51" t="s">
        <v>1574</v>
      </c>
      <c r="K171" s="51" t="s">
        <v>1574</v>
      </c>
      <c r="L171" s="51">
        <v>1.131</v>
      </c>
      <c r="M171" s="51">
        <v>1.3307</v>
      </c>
      <c r="N171" s="51">
        <v>1.0449660000000001</v>
      </c>
      <c r="O171" s="51">
        <v>0.85289999999999999</v>
      </c>
      <c r="P171" s="51">
        <v>0.73660709999999996</v>
      </c>
      <c r="Q171" s="51">
        <v>0.97289599999999998</v>
      </c>
      <c r="R171" s="51">
        <v>0.84927540000000001</v>
      </c>
      <c r="S171" s="51">
        <v>573</v>
      </c>
      <c r="T171" s="51" t="s">
        <v>1574</v>
      </c>
      <c r="U171" s="51" t="s">
        <v>1574</v>
      </c>
      <c r="V171" s="51">
        <v>597.88</v>
      </c>
      <c r="W171" s="51">
        <v>536.33000000000004</v>
      </c>
      <c r="X171" s="51" t="s">
        <v>1574</v>
      </c>
      <c r="Y171" s="51">
        <v>331</v>
      </c>
      <c r="Z171" s="51">
        <v>548</v>
      </c>
      <c r="AA171" s="51">
        <v>330</v>
      </c>
      <c r="AB171" s="51" t="s">
        <v>1574</v>
      </c>
      <c r="AC171" s="51" t="s">
        <v>1574</v>
      </c>
      <c r="AD171" s="51">
        <v>64.466196250950006</v>
      </c>
      <c r="AE171" s="51">
        <v>122.43</v>
      </c>
      <c r="AF171" s="51">
        <v>113.32</v>
      </c>
      <c r="AG171" s="51">
        <v>377.7</v>
      </c>
      <c r="AH171" s="51" t="s">
        <v>1574</v>
      </c>
      <c r="AI171" s="51" t="s">
        <v>1574</v>
      </c>
      <c r="AJ171" s="51" t="s">
        <v>1574</v>
      </c>
      <c r="AK171" s="51" t="s">
        <v>1574</v>
      </c>
      <c r="AL171" s="51">
        <v>192.54</v>
      </c>
      <c r="AM171" s="51" t="s">
        <v>1574</v>
      </c>
      <c r="AN171" s="51">
        <v>0.14599999999999999</v>
      </c>
      <c r="AO171" s="51">
        <v>0.154</v>
      </c>
      <c r="AP171" s="51">
        <v>2.4590000000000001</v>
      </c>
      <c r="AQ171" s="51">
        <v>0.53809543567999996</v>
      </c>
      <c r="AR171" s="51">
        <v>1.4748000000000001</v>
      </c>
      <c r="AS171" s="51">
        <v>5.0044874000000004</v>
      </c>
      <c r="AT171" s="51">
        <v>0.14859138799999999</v>
      </c>
      <c r="AU171" s="51">
        <v>0.23699665</v>
      </c>
      <c r="AV171" s="51">
        <v>0.19769999999999999</v>
      </c>
      <c r="AW171" s="51">
        <v>1150.06</v>
      </c>
      <c r="AX171" s="51">
        <v>133.47</v>
      </c>
      <c r="AY171" s="51">
        <v>63.55</v>
      </c>
      <c r="AZ171" s="51" t="s">
        <v>1574</v>
      </c>
      <c r="BA171" s="51">
        <v>216.29054293146001</v>
      </c>
      <c r="BB171" s="51" t="s">
        <v>1574</v>
      </c>
      <c r="BC171" s="51">
        <v>1.6719999999999999</v>
      </c>
      <c r="BD171" s="51" t="s">
        <v>1574</v>
      </c>
      <c r="BE171" s="51">
        <v>0.82410000000000005</v>
      </c>
      <c r="BF171" s="51">
        <v>13.75</v>
      </c>
      <c r="BG171" s="51">
        <v>132.5</v>
      </c>
      <c r="BH171" s="51">
        <v>115</v>
      </c>
      <c r="BI171" s="51">
        <v>64.75</v>
      </c>
      <c r="BJ171" s="51">
        <v>42.5</v>
      </c>
      <c r="BK171" s="51">
        <v>619.49829101563</v>
      </c>
      <c r="BL171" s="51">
        <v>10.33</v>
      </c>
      <c r="BM171" s="51">
        <v>2123</v>
      </c>
      <c r="BN171" s="51">
        <v>447.5</v>
      </c>
      <c r="BO171" s="51">
        <v>5004.5</v>
      </c>
      <c r="BP171" s="51">
        <v>3373.1</v>
      </c>
      <c r="BQ171" s="51">
        <v>914</v>
      </c>
      <c r="BR171" s="51">
        <v>106.76</v>
      </c>
      <c r="BS171" s="51">
        <v>152.5</v>
      </c>
      <c r="BT171" s="51">
        <v>2.6364999999999998</v>
      </c>
      <c r="BU171" s="41"/>
      <c r="BV171" s="41"/>
      <c r="BW171" s="41"/>
      <c r="BX171" s="41"/>
      <c r="BY171" s="41"/>
      <c r="BZ171" s="41"/>
      <c r="CA171" s="41"/>
      <c r="CB171" s="41"/>
      <c r="CC171" s="41"/>
      <c r="CD171" s="41"/>
      <c r="CE171" s="41"/>
      <c r="CF171" s="41"/>
      <c r="CG171" s="41"/>
      <c r="CH171" s="41"/>
      <c r="CI171" s="41"/>
      <c r="CJ171" s="41"/>
      <c r="CK171" s="41"/>
    </row>
    <row r="172" spans="1:89">
      <c r="A172" s="48" t="s">
        <v>301</v>
      </c>
      <c r="B172" s="49">
        <v>2.7</v>
      </c>
      <c r="C172" s="49">
        <v>2.7</v>
      </c>
      <c r="D172" s="49">
        <v>2.7</v>
      </c>
      <c r="E172" s="49" t="s">
        <v>1574</v>
      </c>
      <c r="F172" s="49">
        <v>11.48</v>
      </c>
      <c r="G172" s="49" t="s">
        <v>1574</v>
      </c>
      <c r="H172" s="49">
        <v>0.21</v>
      </c>
      <c r="I172" s="49">
        <v>0.69350672431000004</v>
      </c>
      <c r="J172" s="49" t="s">
        <v>1574</v>
      </c>
      <c r="K172" s="49" t="s">
        <v>1574</v>
      </c>
      <c r="L172" s="49">
        <v>1.131</v>
      </c>
      <c r="M172" s="49">
        <v>1.3271999999999999</v>
      </c>
      <c r="N172" s="49">
        <v>1.1044890000000001</v>
      </c>
      <c r="O172" s="49">
        <v>0.81</v>
      </c>
      <c r="P172" s="49">
        <v>0.7370892</v>
      </c>
      <c r="Q172" s="49">
        <v>0.84370089999999998</v>
      </c>
      <c r="R172" s="49">
        <v>0.84927540000000001</v>
      </c>
      <c r="S172" s="49">
        <v>550</v>
      </c>
      <c r="T172" s="49" t="s">
        <v>1574</v>
      </c>
      <c r="U172" s="49" t="s">
        <v>1574</v>
      </c>
      <c r="V172" s="49">
        <v>533.73</v>
      </c>
      <c r="W172" s="49">
        <v>424.13</v>
      </c>
      <c r="X172" s="49" t="s">
        <v>1574</v>
      </c>
      <c r="Y172" s="49">
        <v>266</v>
      </c>
      <c r="Z172" s="49">
        <v>508</v>
      </c>
      <c r="AA172" s="49">
        <v>218</v>
      </c>
      <c r="AB172" s="49" t="s">
        <v>1574</v>
      </c>
      <c r="AC172" s="49" t="s">
        <v>1574</v>
      </c>
      <c r="AD172" s="49">
        <v>61.216465074749998</v>
      </c>
      <c r="AE172" s="49">
        <v>107.08</v>
      </c>
      <c r="AF172" s="49">
        <v>105.82</v>
      </c>
      <c r="AG172" s="49">
        <v>377.7</v>
      </c>
      <c r="AH172" s="49" t="s">
        <v>1574</v>
      </c>
      <c r="AI172" s="49" t="s">
        <v>1574</v>
      </c>
      <c r="AJ172" s="49" t="s">
        <v>1574</v>
      </c>
      <c r="AK172" s="49" t="s">
        <v>1574</v>
      </c>
      <c r="AL172" s="49">
        <v>189.6</v>
      </c>
      <c r="AM172" s="49" t="s">
        <v>1574</v>
      </c>
      <c r="AN172" s="49">
        <v>0.14199999999999999</v>
      </c>
      <c r="AO172" s="49">
        <v>0.154</v>
      </c>
      <c r="AP172" s="49">
        <v>2.2624</v>
      </c>
      <c r="AQ172" s="49">
        <v>0.53248726374999999</v>
      </c>
      <c r="AR172" s="49">
        <v>1.5645</v>
      </c>
      <c r="AS172" s="49">
        <v>5.0044874000000004</v>
      </c>
      <c r="AT172" s="49">
        <v>0.14528445800000001</v>
      </c>
      <c r="AU172" s="49">
        <v>0.24184681399999999</v>
      </c>
      <c r="AV172" s="49">
        <v>0.19769999999999999</v>
      </c>
      <c r="AW172" s="49">
        <v>1179.2</v>
      </c>
      <c r="AX172" s="49">
        <v>133.47</v>
      </c>
      <c r="AY172" s="49">
        <v>70.27</v>
      </c>
      <c r="AZ172" s="49" t="s">
        <v>1574</v>
      </c>
      <c r="BA172" s="49">
        <v>228.35520024168</v>
      </c>
      <c r="BB172" s="49" t="s">
        <v>1574</v>
      </c>
      <c r="BC172" s="49">
        <v>1.9112</v>
      </c>
      <c r="BD172" s="49" t="s">
        <v>1574</v>
      </c>
      <c r="BE172" s="49">
        <v>0.73409999999999997</v>
      </c>
      <c r="BF172" s="49">
        <v>13.75</v>
      </c>
      <c r="BG172" s="49">
        <v>132.5</v>
      </c>
      <c r="BH172" s="49">
        <v>115</v>
      </c>
      <c r="BI172" s="49">
        <v>64.75</v>
      </c>
      <c r="BJ172" s="49">
        <v>42.5</v>
      </c>
      <c r="BK172" s="49">
        <v>604.06591796875</v>
      </c>
      <c r="BL172" s="49">
        <v>10.33</v>
      </c>
      <c r="BM172" s="49">
        <v>1936.1</v>
      </c>
      <c r="BN172" s="49">
        <v>444.7</v>
      </c>
      <c r="BO172" s="49">
        <v>5011.1000000000004</v>
      </c>
      <c r="BP172" s="49">
        <v>3373.1</v>
      </c>
      <c r="BQ172" s="49">
        <v>976</v>
      </c>
      <c r="BR172" s="49">
        <v>102.97</v>
      </c>
      <c r="BS172" s="49">
        <v>155.24</v>
      </c>
      <c r="BT172" s="49">
        <v>2.6751</v>
      </c>
      <c r="BU172" s="41"/>
      <c r="BV172" s="41"/>
      <c r="BW172" s="41"/>
      <c r="BX172" s="41"/>
      <c r="BY172" s="41"/>
      <c r="BZ172" s="41"/>
      <c r="CA172" s="41"/>
      <c r="CB172" s="41"/>
      <c r="CC172" s="41"/>
      <c r="CD172" s="41"/>
      <c r="CE172" s="41"/>
      <c r="CF172" s="41"/>
      <c r="CG172" s="41"/>
      <c r="CH172" s="41"/>
      <c r="CI172" s="41"/>
      <c r="CJ172" s="41"/>
      <c r="CK172" s="41"/>
    </row>
    <row r="173" spans="1:89">
      <c r="A173" s="41" t="s">
        <v>302</v>
      </c>
      <c r="B173" s="51">
        <v>4.0999999999999996</v>
      </c>
      <c r="C173" s="51">
        <v>4.0999999999999996</v>
      </c>
      <c r="D173" s="51">
        <v>4.0999999999999996</v>
      </c>
      <c r="E173" s="51" t="s">
        <v>1574</v>
      </c>
      <c r="F173" s="51">
        <v>11.48</v>
      </c>
      <c r="G173" s="51" t="s">
        <v>1574</v>
      </c>
      <c r="H173" s="51">
        <v>0.21</v>
      </c>
      <c r="I173" s="51">
        <v>0.69350672431000004</v>
      </c>
      <c r="J173" s="51" t="s">
        <v>1574</v>
      </c>
      <c r="K173" s="51" t="s">
        <v>1574</v>
      </c>
      <c r="L173" s="51">
        <v>1.131</v>
      </c>
      <c r="M173" s="51">
        <v>1.3778999999999999</v>
      </c>
      <c r="N173" s="51">
        <v>1.1463760000000001</v>
      </c>
      <c r="O173" s="51">
        <v>0.79049999999999998</v>
      </c>
      <c r="P173" s="51">
        <v>0.66965669999999999</v>
      </c>
      <c r="Q173" s="51">
        <v>0.85254649999999998</v>
      </c>
      <c r="R173" s="51">
        <v>0.84927540000000001</v>
      </c>
      <c r="S173" s="51">
        <v>617</v>
      </c>
      <c r="T173" s="51" t="s">
        <v>1574</v>
      </c>
      <c r="U173" s="51" t="s">
        <v>1574</v>
      </c>
      <c r="V173" s="51">
        <v>560.67999999999995</v>
      </c>
      <c r="W173" s="51">
        <v>434.92</v>
      </c>
      <c r="X173" s="51" t="s">
        <v>1574</v>
      </c>
      <c r="Y173" s="51">
        <v>245</v>
      </c>
      <c r="Z173" s="51">
        <v>531</v>
      </c>
      <c r="AA173" s="51">
        <v>207</v>
      </c>
      <c r="AB173" s="51" t="s">
        <v>1574</v>
      </c>
      <c r="AC173" s="51" t="s">
        <v>1574</v>
      </c>
      <c r="AD173" s="51">
        <v>60.081170373920003</v>
      </c>
      <c r="AE173" s="51">
        <v>106.39</v>
      </c>
      <c r="AF173" s="51">
        <v>109.24</v>
      </c>
      <c r="AG173" s="51">
        <v>337.7</v>
      </c>
      <c r="AH173" s="51" t="s">
        <v>1574</v>
      </c>
      <c r="AI173" s="51" t="s">
        <v>1574</v>
      </c>
      <c r="AJ173" s="51" t="s">
        <v>1574</v>
      </c>
      <c r="AK173" s="51" t="s">
        <v>1574</v>
      </c>
      <c r="AL173" s="51">
        <v>182.25</v>
      </c>
      <c r="AM173" s="51" t="s">
        <v>1574</v>
      </c>
      <c r="AN173" s="51">
        <v>0.14799999999999999</v>
      </c>
      <c r="AO173" s="51">
        <v>0.154</v>
      </c>
      <c r="AP173" s="51">
        <v>2.1839</v>
      </c>
      <c r="AQ173" s="51">
        <v>0.53517399087999995</v>
      </c>
      <c r="AR173" s="51">
        <v>1.5986</v>
      </c>
      <c r="AS173" s="51">
        <v>5.0044874000000004</v>
      </c>
      <c r="AT173" s="51">
        <v>0.14550492000000001</v>
      </c>
      <c r="AU173" s="51">
        <v>0.24581512999999999</v>
      </c>
      <c r="AV173" s="51">
        <v>0.20960000000000001</v>
      </c>
      <c r="AW173" s="51">
        <v>1202.69</v>
      </c>
      <c r="AX173" s="51">
        <v>133.47</v>
      </c>
      <c r="AY173" s="51">
        <v>78</v>
      </c>
      <c r="AZ173" s="51" t="s">
        <v>1574</v>
      </c>
      <c r="BA173" s="51">
        <v>241.59404019581001</v>
      </c>
      <c r="BB173" s="51" t="s">
        <v>1574</v>
      </c>
      <c r="BC173" s="51">
        <v>1.9252</v>
      </c>
      <c r="BD173" s="51" t="s">
        <v>1574</v>
      </c>
      <c r="BE173" s="51">
        <v>0.7097</v>
      </c>
      <c r="BF173" s="51">
        <v>13.75</v>
      </c>
      <c r="BG173" s="51">
        <v>132.5</v>
      </c>
      <c r="BH173" s="51">
        <v>115</v>
      </c>
      <c r="BI173" s="51">
        <v>64.75</v>
      </c>
      <c r="BJ173" s="51">
        <v>42.5</v>
      </c>
      <c r="BK173" s="51">
        <v>621.70288085938</v>
      </c>
      <c r="BL173" s="51">
        <v>10.33</v>
      </c>
      <c r="BM173" s="51">
        <v>2065.3000000000002</v>
      </c>
      <c r="BN173" s="51">
        <v>471.6</v>
      </c>
      <c r="BO173" s="51">
        <v>5359.4</v>
      </c>
      <c r="BP173" s="51">
        <v>3373.1</v>
      </c>
      <c r="BQ173" s="51">
        <v>1163</v>
      </c>
      <c r="BR173" s="51">
        <v>100.08</v>
      </c>
      <c r="BS173" s="51">
        <v>160.5</v>
      </c>
      <c r="BT173" s="51">
        <v>2.8856000000000002</v>
      </c>
      <c r="BU173" s="41"/>
      <c r="BV173" s="41"/>
      <c r="BW173" s="41"/>
      <c r="BX173" s="41"/>
      <c r="BY173" s="41"/>
      <c r="BZ173" s="41"/>
      <c r="CA173" s="41"/>
      <c r="CB173" s="41"/>
      <c r="CC173" s="41"/>
      <c r="CD173" s="41"/>
      <c r="CE173" s="41"/>
      <c r="CF173" s="41"/>
      <c r="CG173" s="41"/>
      <c r="CH173" s="41"/>
      <c r="CI173" s="41"/>
      <c r="CJ173" s="41"/>
      <c r="CK173" s="41"/>
    </row>
    <row r="174" spans="1:89">
      <c r="A174" s="48" t="s">
        <v>303</v>
      </c>
      <c r="B174" s="49">
        <v>4.0999999999999996</v>
      </c>
      <c r="C174" s="49">
        <v>4.0999999999999996</v>
      </c>
      <c r="D174" s="49">
        <v>4.0999999999999996</v>
      </c>
      <c r="E174" s="49" t="s">
        <v>1574</v>
      </c>
      <c r="F174" s="49">
        <v>11.48</v>
      </c>
      <c r="G174" s="49" t="s">
        <v>1574</v>
      </c>
      <c r="H174" s="49">
        <v>0.21</v>
      </c>
      <c r="I174" s="49">
        <v>0.69350672431000004</v>
      </c>
      <c r="J174" s="49" t="s">
        <v>1574</v>
      </c>
      <c r="K174" s="49" t="s">
        <v>1574</v>
      </c>
      <c r="L174" s="49">
        <v>1.131</v>
      </c>
      <c r="M174" s="49">
        <v>1.3931</v>
      </c>
      <c r="N174" s="49">
        <v>1.1684220000000001</v>
      </c>
      <c r="O174" s="49">
        <v>0.75739999999999996</v>
      </c>
      <c r="P174" s="49">
        <v>0.63024570000000002</v>
      </c>
      <c r="Q174" s="49">
        <v>0.79253980000000002</v>
      </c>
      <c r="R174" s="49">
        <v>0.84927540000000001</v>
      </c>
      <c r="S174" s="49">
        <v>718</v>
      </c>
      <c r="T174" s="49" t="s">
        <v>1574</v>
      </c>
      <c r="U174" s="49" t="s">
        <v>1574</v>
      </c>
      <c r="V174" s="49">
        <v>617.23</v>
      </c>
      <c r="W174" s="49">
        <v>429.29</v>
      </c>
      <c r="X174" s="49" t="s">
        <v>1574</v>
      </c>
      <c r="Y174" s="49">
        <v>239</v>
      </c>
      <c r="Z174" s="49">
        <v>490</v>
      </c>
      <c r="AA174" s="49">
        <v>223</v>
      </c>
      <c r="AB174" s="49" t="s">
        <v>1574</v>
      </c>
      <c r="AC174" s="49" t="s">
        <v>1574</v>
      </c>
      <c r="AD174" s="49">
        <v>60.412720288540001</v>
      </c>
      <c r="AE174" s="49">
        <v>107.87</v>
      </c>
      <c r="AF174" s="49">
        <v>106.7</v>
      </c>
      <c r="AG174" s="49">
        <v>475.9</v>
      </c>
      <c r="AH174" s="49" t="s">
        <v>1574</v>
      </c>
      <c r="AI174" s="49" t="s">
        <v>1574</v>
      </c>
      <c r="AJ174" s="49" t="s">
        <v>1574</v>
      </c>
      <c r="AK174" s="49" t="s">
        <v>1574</v>
      </c>
      <c r="AL174" s="49">
        <v>181.88</v>
      </c>
      <c r="AM174" s="49" t="s">
        <v>1574</v>
      </c>
      <c r="AN174" s="49">
        <v>0.13900000000000001</v>
      </c>
      <c r="AO174" s="49">
        <v>0.154</v>
      </c>
      <c r="AP174" s="49">
        <v>2.1429</v>
      </c>
      <c r="AQ174" s="49">
        <v>0.54078451437999997</v>
      </c>
      <c r="AR174" s="49">
        <v>1.6149</v>
      </c>
      <c r="AS174" s="49">
        <v>5.0044874000000004</v>
      </c>
      <c r="AT174" s="49">
        <v>0.14330029999999999</v>
      </c>
      <c r="AU174" s="49">
        <v>0.24471282</v>
      </c>
      <c r="AV174" s="49">
        <v>0.2235</v>
      </c>
      <c r="AW174" s="49">
        <v>1222.18</v>
      </c>
      <c r="AX174" s="49">
        <v>133.47</v>
      </c>
      <c r="AY174" s="49">
        <v>77.03</v>
      </c>
      <c r="AZ174" s="49" t="s">
        <v>1574</v>
      </c>
      <c r="BA174" s="49">
        <v>239.96697452255</v>
      </c>
      <c r="BB174" s="49" t="s">
        <v>1574</v>
      </c>
      <c r="BC174" s="49">
        <v>1.7527999999999999</v>
      </c>
      <c r="BD174" s="49" t="s">
        <v>1574</v>
      </c>
      <c r="BE174" s="49">
        <v>0.79810000000000003</v>
      </c>
      <c r="BF174" s="49">
        <v>13.75</v>
      </c>
      <c r="BG174" s="49">
        <v>132.5</v>
      </c>
      <c r="BH174" s="49">
        <v>115</v>
      </c>
      <c r="BI174" s="49">
        <v>64.75</v>
      </c>
      <c r="BJ174" s="49">
        <v>42.5</v>
      </c>
      <c r="BK174" s="49">
        <v>650.36279296875</v>
      </c>
      <c r="BL174" s="49">
        <v>10.33</v>
      </c>
      <c r="BM174" s="49">
        <v>2273</v>
      </c>
      <c r="BN174" s="49">
        <v>490</v>
      </c>
      <c r="BO174" s="49">
        <v>5573.3</v>
      </c>
      <c r="BP174" s="49">
        <v>3373.1</v>
      </c>
      <c r="BQ174" s="49">
        <v>1625</v>
      </c>
      <c r="BR174" s="49">
        <v>94.92</v>
      </c>
      <c r="BS174" s="49">
        <v>160.5</v>
      </c>
      <c r="BT174" s="49">
        <v>2.8599000000000001</v>
      </c>
      <c r="BU174" s="41"/>
      <c r="BV174" s="41"/>
      <c r="BW174" s="41"/>
      <c r="BX174" s="41"/>
      <c r="BY174" s="41"/>
      <c r="BZ174" s="41"/>
      <c r="CA174" s="41"/>
      <c r="CB174" s="41"/>
      <c r="CC174" s="41"/>
      <c r="CD174" s="41"/>
      <c r="CE174" s="41"/>
      <c r="CF174" s="41"/>
      <c r="CG174" s="41"/>
      <c r="CH174" s="41"/>
      <c r="CI174" s="41"/>
      <c r="CJ174" s="41"/>
      <c r="CK174" s="41"/>
    </row>
    <row r="175" spans="1:89">
      <c r="A175" s="41" t="s">
        <v>304</v>
      </c>
      <c r="B175" s="51">
        <v>4.0999999999999996</v>
      </c>
      <c r="C175" s="51">
        <v>4.0999999999999996</v>
      </c>
      <c r="D175" s="51">
        <v>4.0999999999999996</v>
      </c>
      <c r="E175" s="51" t="s">
        <v>1574</v>
      </c>
      <c r="F175" s="51">
        <v>11.48</v>
      </c>
      <c r="G175" s="51" t="s">
        <v>1574</v>
      </c>
      <c r="H175" s="51">
        <v>0.21</v>
      </c>
      <c r="I175" s="51">
        <v>0.69350672431000004</v>
      </c>
      <c r="J175" s="51" t="s">
        <v>1574</v>
      </c>
      <c r="K175" s="51" t="s">
        <v>1574</v>
      </c>
      <c r="L175" s="51">
        <v>1.131</v>
      </c>
      <c r="M175" s="51">
        <v>1.4235</v>
      </c>
      <c r="N175" s="51">
        <v>1.1904669999999999</v>
      </c>
      <c r="O175" s="51">
        <v>0.74229999999999996</v>
      </c>
      <c r="P175" s="51">
        <v>0.64535410000000004</v>
      </c>
      <c r="Q175" s="51">
        <v>0.73233740000000003</v>
      </c>
      <c r="R175" s="51">
        <v>0.84927540000000001</v>
      </c>
      <c r="S175" s="51">
        <v>1068</v>
      </c>
      <c r="T175" s="51" t="s">
        <v>1574</v>
      </c>
      <c r="U175" s="51" t="s">
        <v>1574</v>
      </c>
      <c r="V175" s="51">
        <v>789.7</v>
      </c>
      <c r="W175" s="51">
        <v>496.71</v>
      </c>
      <c r="X175" s="51" t="s">
        <v>1574</v>
      </c>
      <c r="Y175" s="51">
        <v>254</v>
      </c>
      <c r="Z175" s="51">
        <v>603</v>
      </c>
      <c r="AA175" s="51">
        <v>243</v>
      </c>
      <c r="AB175" s="51" t="s">
        <v>1574</v>
      </c>
      <c r="AC175" s="51" t="s">
        <v>1574</v>
      </c>
      <c r="AD175" s="51">
        <v>64.080791319460005</v>
      </c>
      <c r="AE175" s="51">
        <v>112.59</v>
      </c>
      <c r="AF175" s="51">
        <v>109.57</v>
      </c>
      <c r="AG175" s="51">
        <v>495.54</v>
      </c>
      <c r="AH175" s="51" t="s">
        <v>1574</v>
      </c>
      <c r="AI175" s="51" t="s">
        <v>1574</v>
      </c>
      <c r="AJ175" s="51" t="s">
        <v>1574</v>
      </c>
      <c r="AK175" s="51" t="s">
        <v>1574</v>
      </c>
      <c r="AL175" s="51">
        <v>199.52</v>
      </c>
      <c r="AM175" s="51" t="s">
        <v>1574</v>
      </c>
      <c r="AN175" s="51">
        <v>0.129</v>
      </c>
      <c r="AO175" s="51">
        <v>0.22</v>
      </c>
      <c r="AP175" s="51">
        <v>2.0693000000000001</v>
      </c>
      <c r="AQ175" s="51">
        <v>0.54672108039</v>
      </c>
      <c r="AR175" s="51">
        <v>1.6195999999999999</v>
      </c>
      <c r="AS175" s="51">
        <v>5.0044874000000004</v>
      </c>
      <c r="AT175" s="51">
        <v>0.13911152199999999</v>
      </c>
      <c r="AU175" s="51">
        <v>0.250003908</v>
      </c>
      <c r="AV175" s="51">
        <v>0.26119999999999999</v>
      </c>
      <c r="AW175" s="51">
        <v>1247.9000000000001</v>
      </c>
      <c r="AX175" s="51">
        <v>133.47</v>
      </c>
      <c r="AY175" s="51">
        <v>96.43</v>
      </c>
      <c r="AZ175" s="51" t="s">
        <v>1574</v>
      </c>
      <c r="BA175" s="51">
        <v>270.91290996890001</v>
      </c>
      <c r="BB175" s="51" t="s">
        <v>1574</v>
      </c>
      <c r="BC175" s="51">
        <v>1.8159000000000001</v>
      </c>
      <c r="BD175" s="51" t="s">
        <v>1574</v>
      </c>
      <c r="BE175" s="51">
        <v>1.0075000000000001</v>
      </c>
      <c r="BF175" s="51">
        <v>13.75</v>
      </c>
      <c r="BG175" s="51">
        <v>132.5</v>
      </c>
      <c r="BH175" s="51">
        <v>115</v>
      </c>
      <c r="BI175" s="51">
        <v>64.75</v>
      </c>
      <c r="BJ175" s="51">
        <v>42.5</v>
      </c>
      <c r="BK175" s="51">
        <v>632.72583007813</v>
      </c>
      <c r="BL175" s="51">
        <v>10.33</v>
      </c>
      <c r="BM175" s="51">
        <v>2244.3000000000002</v>
      </c>
      <c r="BN175" s="51">
        <v>593.5</v>
      </c>
      <c r="BO175" s="51">
        <v>6461.7</v>
      </c>
      <c r="BP175" s="51">
        <v>3373.1</v>
      </c>
      <c r="BQ175" s="51">
        <v>1623</v>
      </c>
      <c r="BR175" s="51">
        <v>106.72</v>
      </c>
      <c r="BS175" s="51">
        <v>160.5</v>
      </c>
      <c r="BT175" s="51">
        <v>3.1366999999999998</v>
      </c>
      <c r="BU175" s="41"/>
      <c r="BV175" s="41"/>
      <c r="BW175" s="41"/>
      <c r="BX175" s="41"/>
      <c r="BY175" s="41"/>
      <c r="BZ175" s="41"/>
      <c r="CA175" s="41"/>
      <c r="CB175" s="41"/>
      <c r="CC175" s="41"/>
      <c r="CD175" s="41"/>
      <c r="CE175" s="41"/>
      <c r="CF175" s="41"/>
      <c r="CG175" s="41"/>
      <c r="CH175" s="41"/>
      <c r="CI175" s="41"/>
      <c r="CJ175" s="41"/>
      <c r="CK175" s="41"/>
    </row>
    <row r="176" spans="1:89">
      <c r="A176" s="48" t="s">
        <v>305</v>
      </c>
      <c r="B176" s="49">
        <v>13</v>
      </c>
      <c r="C176" s="49">
        <v>13</v>
      </c>
      <c r="D176" s="49">
        <v>13</v>
      </c>
      <c r="E176" s="49" t="s">
        <v>1574</v>
      </c>
      <c r="F176" s="49">
        <v>16.89</v>
      </c>
      <c r="G176" s="49" t="s">
        <v>1574</v>
      </c>
      <c r="H176" s="49">
        <v>0.28999999999999998</v>
      </c>
      <c r="I176" s="49">
        <v>1.73</v>
      </c>
      <c r="J176" s="49" t="s">
        <v>1574</v>
      </c>
      <c r="K176" s="49" t="s">
        <v>1574</v>
      </c>
      <c r="L176" s="49">
        <v>1.5609999999999999</v>
      </c>
      <c r="M176" s="49">
        <v>1.5304</v>
      </c>
      <c r="N176" s="49">
        <v>1.2266220000000001</v>
      </c>
      <c r="O176" s="49">
        <v>0.84130000000000005</v>
      </c>
      <c r="P176" s="49">
        <v>0.67642749999999996</v>
      </c>
      <c r="Q176" s="49">
        <v>0.71053540000000004</v>
      </c>
      <c r="R176" s="49">
        <v>1.1368</v>
      </c>
      <c r="S176" s="49">
        <v>1191</v>
      </c>
      <c r="T176" s="49" t="s">
        <v>1574</v>
      </c>
      <c r="U176" s="49" t="s">
        <v>1574</v>
      </c>
      <c r="V176" s="49">
        <v>958.77</v>
      </c>
      <c r="W176" s="49">
        <v>578.77</v>
      </c>
      <c r="X176" s="49" t="s">
        <v>1574</v>
      </c>
      <c r="Y176" s="49">
        <v>261</v>
      </c>
      <c r="Z176" s="49">
        <v>665</v>
      </c>
      <c r="AA176" s="49">
        <v>221</v>
      </c>
      <c r="AB176" s="49" t="s">
        <v>1574</v>
      </c>
      <c r="AC176" s="49" t="s">
        <v>1574</v>
      </c>
      <c r="AD176" s="49">
        <v>66.147272088890006</v>
      </c>
      <c r="AE176" s="49">
        <v>112.28</v>
      </c>
      <c r="AF176" s="49">
        <v>115.79</v>
      </c>
      <c r="AG176" s="49">
        <v>512.23</v>
      </c>
      <c r="AH176" s="49" t="s">
        <v>1574</v>
      </c>
      <c r="AI176" s="49" t="s">
        <v>1574</v>
      </c>
      <c r="AJ176" s="49" t="s">
        <v>1574</v>
      </c>
      <c r="AK176" s="49" t="s">
        <v>1574</v>
      </c>
      <c r="AL176" s="49">
        <v>213.48</v>
      </c>
      <c r="AM176" s="49" t="s">
        <v>1574</v>
      </c>
      <c r="AN176" s="49">
        <v>0.16908999999999999</v>
      </c>
      <c r="AO176" s="49">
        <v>0.13950000000000001</v>
      </c>
      <c r="AP176" s="49">
        <v>2.0371000000000001</v>
      </c>
      <c r="AQ176" s="49">
        <v>0.54846764849999996</v>
      </c>
      <c r="AR176" s="49">
        <v>1.6008</v>
      </c>
      <c r="AS176" s="49">
        <v>4.6517482000000001</v>
      </c>
      <c r="AT176" s="49">
        <v>0.18188114999999999</v>
      </c>
      <c r="AU176" s="49">
        <v>0.27844350600000001</v>
      </c>
      <c r="AV176" s="49">
        <v>0.3342</v>
      </c>
      <c r="AW176" s="49">
        <v>1280.6300000000001</v>
      </c>
      <c r="AX176" s="49">
        <v>120.43</v>
      </c>
      <c r="AY176" s="49">
        <v>95.43</v>
      </c>
      <c r="AZ176" s="49" t="s">
        <v>1574</v>
      </c>
      <c r="BA176" s="49">
        <v>269.39218328268998</v>
      </c>
      <c r="BB176" s="49" t="s">
        <v>1574</v>
      </c>
      <c r="BC176" s="49">
        <v>1.9886999999999999</v>
      </c>
      <c r="BD176" s="49" t="s">
        <v>1574</v>
      </c>
      <c r="BE176" s="49">
        <v>1.0803</v>
      </c>
      <c r="BF176" s="49">
        <v>42</v>
      </c>
      <c r="BG176" s="49">
        <v>215</v>
      </c>
      <c r="BH176" s="49">
        <v>180</v>
      </c>
      <c r="BI176" s="49">
        <v>285.75</v>
      </c>
      <c r="BJ176" s="49">
        <v>53</v>
      </c>
      <c r="BK176" s="49">
        <v>604.06591796875</v>
      </c>
      <c r="BL176" s="49">
        <v>13.38</v>
      </c>
      <c r="BM176" s="49">
        <v>2032.4</v>
      </c>
      <c r="BN176" s="49">
        <v>565.70000000000005</v>
      </c>
      <c r="BO176" s="49">
        <v>6503.6</v>
      </c>
      <c r="BP176" s="49">
        <v>3571.5</v>
      </c>
      <c r="BQ176" s="49">
        <v>1330</v>
      </c>
      <c r="BR176" s="49">
        <v>129.19</v>
      </c>
      <c r="BS176" s="49">
        <v>162.68</v>
      </c>
      <c r="BT176" s="49">
        <v>3.6369500000000001</v>
      </c>
      <c r="BU176" s="41"/>
      <c r="BV176" s="41"/>
      <c r="BW176" s="41"/>
      <c r="BX176" s="41"/>
      <c r="BY176" s="41"/>
      <c r="BZ176" s="41"/>
      <c r="CA176" s="41"/>
      <c r="CB176" s="41"/>
      <c r="CC176" s="41"/>
      <c r="CD176" s="41"/>
      <c r="CE176" s="41"/>
      <c r="CF176" s="41"/>
      <c r="CG176" s="41"/>
      <c r="CH176" s="41"/>
      <c r="CI176" s="41"/>
      <c r="CJ176" s="41"/>
      <c r="CK176" s="41"/>
    </row>
    <row r="177" spans="1:89">
      <c r="A177" s="41" t="s">
        <v>306</v>
      </c>
      <c r="B177" s="51">
        <v>13</v>
      </c>
      <c r="C177" s="51">
        <v>13</v>
      </c>
      <c r="D177" s="51">
        <v>13</v>
      </c>
      <c r="E177" s="51" t="s">
        <v>1574</v>
      </c>
      <c r="F177" s="51">
        <v>16.89</v>
      </c>
      <c r="G177" s="51" t="s">
        <v>1574</v>
      </c>
      <c r="H177" s="51">
        <v>0.28999999999999998</v>
      </c>
      <c r="I177" s="51">
        <v>1.73</v>
      </c>
      <c r="J177" s="51" t="s">
        <v>1574</v>
      </c>
      <c r="K177" s="51" t="s">
        <v>1574</v>
      </c>
      <c r="L177" s="51">
        <v>1.5609999999999999</v>
      </c>
      <c r="M177" s="51">
        <v>1.6466000000000001</v>
      </c>
      <c r="N177" s="51">
        <v>1.334867</v>
      </c>
      <c r="O177" s="51">
        <v>0.87470000000000003</v>
      </c>
      <c r="P177" s="51">
        <v>0.69211719999999999</v>
      </c>
      <c r="Q177" s="51">
        <v>0.79520239999999998</v>
      </c>
      <c r="R177" s="51">
        <v>1.1368</v>
      </c>
      <c r="S177" s="51">
        <v>1160</v>
      </c>
      <c r="T177" s="51" t="s">
        <v>1574</v>
      </c>
      <c r="U177" s="51" t="s">
        <v>1574</v>
      </c>
      <c r="V177" s="51">
        <v>1093.4000000000001</v>
      </c>
      <c r="W177" s="51">
        <v>667.24</v>
      </c>
      <c r="X177" s="51" t="s">
        <v>1574</v>
      </c>
      <c r="Y177" s="51">
        <v>271</v>
      </c>
      <c r="Z177" s="51">
        <v>780</v>
      </c>
      <c r="AA177" s="51">
        <v>203</v>
      </c>
      <c r="AB177" s="51" t="s">
        <v>1574</v>
      </c>
      <c r="AC177" s="51" t="s">
        <v>1574</v>
      </c>
      <c r="AD177" s="51">
        <v>70.943976089109995</v>
      </c>
      <c r="AE177" s="51">
        <v>131.1</v>
      </c>
      <c r="AF177" s="51">
        <v>121.31</v>
      </c>
      <c r="AG177" s="51">
        <v>539.73</v>
      </c>
      <c r="AH177" s="51" t="s">
        <v>1574</v>
      </c>
      <c r="AI177" s="51" t="s">
        <v>1574</v>
      </c>
      <c r="AJ177" s="51" t="s">
        <v>1574</v>
      </c>
      <c r="AK177" s="51" t="s">
        <v>1574</v>
      </c>
      <c r="AL177" s="51">
        <v>220.46</v>
      </c>
      <c r="AM177" s="51" t="s">
        <v>1574</v>
      </c>
      <c r="AN177" s="51">
        <v>0.1618</v>
      </c>
      <c r="AO177" s="51">
        <v>0.16750000000000001</v>
      </c>
      <c r="AP177" s="51">
        <v>1.9825999999999999</v>
      </c>
      <c r="AQ177" s="51">
        <v>0.54914694708</v>
      </c>
      <c r="AR177" s="51">
        <v>1.4649000000000001</v>
      </c>
      <c r="AS177" s="51">
        <v>4.6517482000000001</v>
      </c>
      <c r="AT177" s="51">
        <v>0.186069928</v>
      </c>
      <c r="AU177" s="51">
        <v>0.376769558</v>
      </c>
      <c r="AV177" s="51">
        <v>0.46500000000000002</v>
      </c>
      <c r="AW177" s="51">
        <v>1310.72</v>
      </c>
      <c r="AX177" s="51">
        <v>120.43</v>
      </c>
      <c r="AY177" s="51">
        <v>97.86</v>
      </c>
      <c r="AZ177" s="51" t="s">
        <v>1574</v>
      </c>
      <c r="BA177" s="51">
        <v>273.07500188848002</v>
      </c>
      <c r="BB177" s="51" t="s">
        <v>1574</v>
      </c>
      <c r="BC177" s="51">
        <v>1.8436999999999999</v>
      </c>
      <c r="BD177" s="51" t="s">
        <v>1574</v>
      </c>
      <c r="BE177" s="51">
        <v>0.97889999999999999</v>
      </c>
      <c r="BF177" s="51">
        <v>42</v>
      </c>
      <c r="BG177" s="51">
        <v>232.5</v>
      </c>
      <c r="BH177" s="51">
        <v>220</v>
      </c>
      <c r="BI177" s="51">
        <v>285.75</v>
      </c>
      <c r="BJ177" s="51">
        <v>55</v>
      </c>
      <c r="BK177" s="51">
        <v>619.49829101563</v>
      </c>
      <c r="BL177" s="51">
        <v>13.38</v>
      </c>
      <c r="BM177" s="51">
        <v>2291.6999999999998</v>
      </c>
      <c r="BN177" s="51">
        <v>649.20000000000005</v>
      </c>
      <c r="BO177" s="51">
        <v>7418.5</v>
      </c>
      <c r="BP177" s="51">
        <v>3571.5</v>
      </c>
      <c r="BQ177" s="51">
        <v>1516</v>
      </c>
      <c r="BR177" s="51">
        <v>150.13</v>
      </c>
      <c r="BS177" s="51">
        <v>172.5</v>
      </c>
      <c r="BT177" s="51">
        <v>5.3589500000000001</v>
      </c>
      <c r="BU177" s="41"/>
      <c r="BV177" s="41"/>
      <c r="BW177" s="41"/>
      <c r="BX177" s="41"/>
      <c r="BY177" s="41"/>
      <c r="BZ177" s="41"/>
      <c r="CA177" s="41"/>
      <c r="CB177" s="41"/>
      <c r="CC177" s="41"/>
      <c r="CD177" s="41"/>
      <c r="CE177" s="41"/>
      <c r="CF177" s="41"/>
      <c r="CG177" s="41"/>
      <c r="CH177" s="41"/>
      <c r="CI177" s="41"/>
      <c r="CJ177" s="41"/>
      <c r="CK177" s="41"/>
    </row>
    <row r="178" spans="1:89">
      <c r="A178" s="48" t="s">
        <v>307</v>
      </c>
      <c r="B178" s="49">
        <v>13</v>
      </c>
      <c r="C178" s="49">
        <v>13</v>
      </c>
      <c r="D178" s="49">
        <v>13</v>
      </c>
      <c r="E178" s="49" t="s">
        <v>1574</v>
      </c>
      <c r="F178" s="49">
        <v>16.89</v>
      </c>
      <c r="G178" s="49" t="s">
        <v>1574</v>
      </c>
      <c r="H178" s="49">
        <v>0.28999999999999998</v>
      </c>
      <c r="I178" s="49">
        <v>1.73</v>
      </c>
      <c r="J178" s="49" t="s">
        <v>1574</v>
      </c>
      <c r="K178" s="49" t="s">
        <v>1574</v>
      </c>
      <c r="L178" s="49">
        <v>1.5609999999999999</v>
      </c>
      <c r="M178" s="49">
        <v>1.5753999999999999</v>
      </c>
      <c r="N178" s="49">
        <v>1.382706</v>
      </c>
      <c r="O178" s="49">
        <v>0.94350000000000001</v>
      </c>
      <c r="P178" s="49">
        <v>0.86261030000000005</v>
      </c>
      <c r="Q178" s="49">
        <v>0.8311096</v>
      </c>
      <c r="R178" s="49">
        <v>1.1368</v>
      </c>
      <c r="S178" s="49">
        <v>1266</v>
      </c>
      <c r="T178" s="49" t="s">
        <v>1574</v>
      </c>
      <c r="U178" s="49" t="s">
        <v>1574</v>
      </c>
      <c r="V178" s="49">
        <v>1123.83</v>
      </c>
      <c r="W178" s="49">
        <v>632.88</v>
      </c>
      <c r="X178" s="49" t="s">
        <v>1574</v>
      </c>
      <c r="Y178" s="49">
        <v>265</v>
      </c>
      <c r="Z178" s="49">
        <v>711</v>
      </c>
      <c r="AA178" s="49">
        <v>200</v>
      </c>
      <c r="AB178" s="49" t="s">
        <v>1574</v>
      </c>
      <c r="AC178" s="49" t="s">
        <v>1574</v>
      </c>
      <c r="AD178" s="49">
        <v>65.647393558589997</v>
      </c>
      <c r="AE178" s="49">
        <v>126.37</v>
      </c>
      <c r="AF178" s="49">
        <v>113.54</v>
      </c>
      <c r="AG178" s="49">
        <v>570.16999999999996</v>
      </c>
      <c r="AH178" s="49" t="s">
        <v>1574</v>
      </c>
      <c r="AI178" s="49" t="s">
        <v>1574</v>
      </c>
      <c r="AJ178" s="49" t="s">
        <v>1574</v>
      </c>
      <c r="AK178" s="49" t="s">
        <v>1574</v>
      </c>
      <c r="AL178" s="49">
        <v>190.7</v>
      </c>
      <c r="AM178" s="49" t="s">
        <v>1574</v>
      </c>
      <c r="AN178" s="49">
        <v>0.14352000000000001</v>
      </c>
      <c r="AO178" s="49">
        <v>0.17299999999999999</v>
      </c>
      <c r="AP178" s="49">
        <v>1.7427999999999999</v>
      </c>
      <c r="AQ178" s="49">
        <v>0.55147643732999996</v>
      </c>
      <c r="AR178" s="49">
        <v>1.4476</v>
      </c>
      <c r="AS178" s="49">
        <v>4.6517482000000001</v>
      </c>
      <c r="AT178" s="49">
        <v>0.19114055399999999</v>
      </c>
      <c r="AU178" s="49">
        <v>0.39925668199999997</v>
      </c>
      <c r="AV178" s="49">
        <v>0.4652</v>
      </c>
      <c r="AW178" s="49">
        <v>1341.7</v>
      </c>
      <c r="AX178" s="49">
        <v>120.43</v>
      </c>
      <c r="AY178" s="49">
        <v>99.71</v>
      </c>
      <c r="AZ178" s="49" t="s">
        <v>1574</v>
      </c>
      <c r="BA178" s="49">
        <v>275.85066670152003</v>
      </c>
      <c r="BB178" s="49" t="s">
        <v>1574</v>
      </c>
      <c r="BC178" s="49">
        <v>1.6949000000000001</v>
      </c>
      <c r="BD178" s="49" t="s">
        <v>1574</v>
      </c>
      <c r="BE178" s="49">
        <v>0.93740000000000001</v>
      </c>
      <c r="BF178" s="49">
        <v>42</v>
      </c>
      <c r="BG178" s="49">
        <v>262.5</v>
      </c>
      <c r="BH178" s="49">
        <v>242</v>
      </c>
      <c r="BI178" s="49">
        <v>285.75</v>
      </c>
      <c r="BJ178" s="49">
        <v>55</v>
      </c>
      <c r="BK178" s="49">
        <v>687.84155273438</v>
      </c>
      <c r="BL178" s="49">
        <v>13.38</v>
      </c>
      <c r="BM178" s="49">
        <v>2743.4</v>
      </c>
      <c r="BN178" s="49">
        <v>708.3</v>
      </c>
      <c r="BO178" s="49">
        <v>8218.7999999999993</v>
      </c>
      <c r="BP178" s="49">
        <v>3571.5</v>
      </c>
      <c r="BQ178" s="49">
        <v>1630</v>
      </c>
      <c r="BR178" s="49">
        <v>168.42</v>
      </c>
      <c r="BS178" s="49">
        <v>172.5</v>
      </c>
      <c r="BT178" s="49">
        <v>5.32552</v>
      </c>
      <c r="BU178" s="41"/>
      <c r="BV178" s="41"/>
      <c r="BW178" s="41"/>
      <c r="BX178" s="41"/>
      <c r="BY178" s="41"/>
      <c r="BZ178" s="41"/>
      <c r="CA178" s="41"/>
      <c r="CB178" s="41"/>
      <c r="CC178" s="41"/>
      <c r="CD178" s="41"/>
      <c r="CE178" s="41"/>
      <c r="CF178" s="41"/>
      <c r="CG178" s="41"/>
      <c r="CH178" s="41"/>
      <c r="CI178" s="41"/>
      <c r="CJ178" s="41"/>
      <c r="CK178" s="41"/>
    </row>
    <row r="179" spans="1:89">
      <c r="A179" s="41" t="s">
        <v>308</v>
      </c>
      <c r="B179" s="51">
        <v>10.59999847412</v>
      </c>
      <c r="C179" s="51">
        <v>10.59999847412</v>
      </c>
      <c r="D179" s="51">
        <v>10.59999847412</v>
      </c>
      <c r="E179" s="51" t="s">
        <v>1574</v>
      </c>
      <c r="F179" s="51">
        <v>16.89</v>
      </c>
      <c r="G179" s="51" t="s">
        <v>1574</v>
      </c>
      <c r="H179" s="51">
        <v>0.28999999999999998</v>
      </c>
      <c r="I179" s="51">
        <v>1.73</v>
      </c>
      <c r="J179" s="51" t="s">
        <v>1574</v>
      </c>
      <c r="K179" s="51" t="s">
        <v>1574</v>
      </c>
      <c r="L179" s="51">
        <v>1.5609999999999999</v>
      </c>
      <c r="M179" s="51">
        <v>1.5498000000000001</v>
      </c>
      <c r="N179" s="51">
        <v>1.411586</v>
      </c>
      <c r="O179" s="51">
        <v>1.1544000000000001</v>
      </c>
      <c r="P179" s="51">
        <v>0.86222770000000004</v>
      </c>
      <c r="Q179" s="51">
        <v>1.4642170000000001</v>
      </c>
      <c r="R179" s="51">
        <v>1.1368</v>
      </c>
      <c r="S179" s="51">
        <v>1150</v>
      </c>
      <c r="T179" s="51" t="s">
        <v>1574</v>
      </c>
      <c r="U179" s="51" t="s">
        <v>1574</v>
      </c>
      <c r="V179" s="51">
        <v>1113.3599999999999</v>
      </c>
      <c r="W179" s="51">
        <v>613.85</v>
      </c>
      <c r="X179" s="51" t="s">
        <v>1574</v>
      </c>
      <c r="Y179" s="51">
        <v>235</v>
      </c>
      <c r="Z179" s="51">
        <v>660</v>
      </c>
      <c r="AA179" s="51">
        <v>172</v>
      </c>
      <c r="AB179" s="51" t="s">
        <v>1574</v>
      </c>
      <c r="AC179" s="51" t="s">
        <v>1574</v>
      </c>
      <c r="AD179" s="51">
        <v>58.916282058749999</v>
      </c>
      <c r="AE179" s="51">
        <v>114.17</v>
      </c>
      <c r="AF179" s="51">
        <v>103.07</v>
      </c>
      <c r="AG179" s="51">
        <v>603.55999999999995</v>
      </c>
      <c r="AH179" s="51" t="s">
        <v>1574</v>
      </c>
      <c r="AI179" s="51" t="s">
        <v>1574</v>
      </c>
      <c r="AJ179" s="51" t="s">
        <v>1574</v>
      </c>
      <c r="AK179" s="51" t="s">
        <v>1574</v>
      </c>
      <c r="AL179" s="51">
        <v>162.04</v>
      </c>
      <c r="AM179" s="51" t="s">
        <v>1574</v>
      </c>
      <c r="AN179" s="51">
        <v>0.15961</v>
      </c>
      <c r="AO179" s="51">
        <v>0.16750000000000001</v>
      </c>
      <c r="AP179" s="51">
        <v>1.6182000000000001</v>
      </c>
      <c r="AQ179" s="51">
        <v>0.55060696299</v>
      </c>
      <c r="AR179" s="51">
        <v>1.4476</v>
      </c>
      <c r="AS179" s="51">
        <v>4.6517482000000001</v>
      </c>
      <c r="AT179" s="51">
        <v>0.19532933199999999</v>
      </c>
      <c r="AU179" s="51">
        <v>0.42416888800000002</v>
      </c>
      <c r="AV179" s="51">
        <v>0.47620000000000001</v>
      </c>
      <c r="AW179" s="51">
        <v>1401.16</v>
      </c>
      <c r="AX179" s="51">
        <v>120.43</v>
      </c>
      <c r="AY179" s="51">
        <v>94.68</v>
      </c>
      <c r="AZ179" s="51" t="s">
        <v>1574</v>
      </c>
      <c r="BA179" s="51">
        <v>268.24682218934998</v>
      </c>
      <c r="BB179" s="51" t="s">
        <v>1574</v>
      </c>
      <c r="BC179" s="51">
        <v>1.6093999999999999</v>
      </c>
      <c r="BD179" s="51" t="s">
        <v>1574</v>
      </c>
      <c r="BE179" s="51">
        <v>0.84150000000000003</v>
      </c>
      <c r="BF179" s="51">
        <v>42</v>
      </c>
      <c r="BG179" s="51">
        <v>293.8</v>
      </c>
      <c r="BH179" s="51">
        <v>281</v>
      </c>
      <c r="BI179" s="51">
        <v>285.75</v>
      </c>
      <c r="BJ179" s="51">
        <v>55</v>
      </c>
      <c r="BK179" s="51">
        <v>751.775390625</v>
      </c>
      <c r="BL179" s="51">
        <v>13.38</v>
      </c>
      <c r="BM179" s="51">
        <v>3031.8</v>
      </c>
      <c r="BN179" s="51">
        <v>702</v>
      </c>
      <c r="BO179" s="51">
        <v>9206.5</v>
      </c>
      <c r="BP179" s="51">
        <v>3571.5</v>
      </c>
      <c r="BQ179" s="51">
        <v>1743</v>
      </c>
      <c r="BR179" s="51">
        <v>172.24</v>
      </c>
      <c r="BS179" s="51">
        <v>172.5</v>
      </c>
      <c r="BT179" s="51">
        <v>5.0359499999999997</v>
      </c>
      <c r="BU179" s="41"/>
      <c r="BV179" s="41"/>
      <c r="BW179" s="41"/>
      <c r="BX179" s="41"/>
      <c r="BY179" s="41"/>
      <c r="BZ179" s="41"/>
      <c r="CA179" s="41"/>
      <c r="CB179" s="41"/>
      <c r="CC179" s="41"/>
      <c r="CD179" s="41"/>
      <c r="CE179" s="41"/>
      <c r="CF179" s="41"/>
      <c r="CG179" s="41"/>
      <c r="CH179" s="41"/>
      <c r="CI179" s="41"/>
      <c r="CJ179" s="41"/>
      <c r="CK179" s="41"/>
    </row>
    <row r="180" spans="1:89">
      <c r="A180" s="48" t="s">
        <v>309</v>
      </c>
      <c r="B180" s="49">
        <v>10.59999847412</v>
      </c>
      <c r="C180" s="49">
        <v>10.59999847412</v>
      </c>
      <c r="D180" s="49">
        <v>10.59999847412</v>
      </c>
      <c r="E180" s="49" t="s">
        <v>1574</v>
      </c>
      <c r="F180" s="49">
        <v>16.89</v>
      </c>
      <c r="G180" s="49" t="s">
        <v>1574</v>
      </c>
      <c r="H180" s="49">
        <v>0.28999999999999998</v>
      </c>
      <c r="I180" s="49">
        <v>1.73</v>
      </c>
      <c r="J180" s="49" t="s">
        <v>1574</v>
      </c>
      <c r="K180" s="49" t="s">
        <v>1574</v>
      </c>
      <c r="L180" s="49">
        <v>1.5609999999999999</v>
      </c>
      <c r="M180" s="49">
        <v>1.5657000000000001</v>
      </c>
      <c r="N180" s="49">
        <v>1.4226080000000001</v>
      </c>
      <c r="O180" s="49">
        <v>1.0914999999999999</v>
      </c>
      <c r="P180" s="49">
        <v>0.84067380000000003</v>
      </c>
      <c r="Q180" s="49">
        <v>1.2968820000000001</v>
      </c>
      <c r="R180" s="49">
        <v>1.1368</v>
      </c>
      <c r="S180" s="49">
        <v>996</v>
      </c>
      <c r="T180" s="49" t="s">
        <v>1574</v>
      </c>
      <c r="U180" s="49" t="s">
        <v>1574</v>
      </c>
      <c r="V180" s="49">
        <v>1102.24</v>
      </c>
      <c r="W180" s="49">
        <v>591.5</v>
      </c>
      <c r="X180" s="49" t="s">
        <v>1574</v>
      </c>
      <c r="Y180" s="49">
        <v>229</v>
      </c>
      <c r="Z180" s="49">
        <v>775</v>
      </c>
      <c r="AA180" s="49">
        <v>157</v>
      </c>
      <c r="AB180" s="49" t="s">
        <v>1574</v>
      </c>
      <c r="AC180" s="49" t="s">
        <v>1574</v>
      </c>
      <c r="AD180" s="49">
        <v>55.369076521330001</v>
      </c>
      <c r="AE180" s="49">
        <v>113.7</v>
      </c>
      <c r="AF180" s="49">
        <v>95.9</v>
      </c>
      <c r="AG180" s="49">
        <v>598.65</v>
      </c>
      <c r="AH180" s="49" t="s">
        <v>1574</v>
      </c>
      <c r="AI180" s="49" t="s">
        <v>1574</v>
      </c>
      <c r="AJ180" s="49" t="s">
        <v>1574</v>
      </c>
      <c r="AK180" s="49" t="s">
        <v>1574</v>
      </c>
      <c r="AL180" s="49">
        <v>141.46</v>
      </c>
      <c r="AM180" s="49" t="s">
        <v>1574</v>
      </c>
      <c r="AN180" s="49">
        <v>0.20943999999999999</v>
      </c>
      <c r="AO180" s="49">
        <v>0.1983</v>
      </c>
      <c r="AP180" s="49">
        <v>1.5448</v>
      </c>
      <c r="AQ180" s="49">
        <v>0.55114065192999995</v>
      </c>
      <c r="AR180" s="49">
        <v>1.4216</v>
      </c>
      <c r="AS180" s="49">
        <v>4.6517482000000001</v>
      </c>
      <c r="AT180" s="49">
        <v>0.19731349000000001</v>
      </c>
      <c r="AU180" s="49">
        <v>0.50794444800000005</v>
      </c>
      <c r="AV180" s="49">
        <v>0.52100000000000002</v>
      </c>
      <c r="AW180" s="49">
        <v>1427.35</v>
      </c>
      <c r="AX180" s="49">
        <v>120.43</v>
      </c>
      <c r="AY180" s="49">
        <v>87.12</v>
      </c>
      <c r="AZ180" s="49" t="s">
        <v>1574</v>
      </c>
      <c r="BA180" s="49">
        <v>256.45949290384999</v>
      </c>
      <c r="BB180" s="49" t="s">
        <v>1574</v>
      </c>
      <c r="BC180" s="49">
        <v>1.4681999999999999</v>
      </c>
      <c r="BD180" s="49" t="s">
        <v>1574</v>
      </c>
      <c r="BE180" s="49">
        <v>0.85670000000000002</v>
      </c>
      <c r="BF180" s="49">
        <v>42</v>
      </c>
      <c r="BG180" s="49">
        <v>301.3</v>
      </c>
      <c r="BH180" s="49">
        <v>294</v>
      </c>
      <c r="BI180" s="49">
        <v>285.75</v>
      </c>
      <c r="BJ180" s="49">
        <v>55</v>
      </c>
      <c r="BK180" s="49">
        <v>765.00317382813</v>
      </c>
      <c r="BL180" s="49">
        <v>13.38</v>
      </c>
      <c r="BM180" s="49">
        <v>2875.7</v>
      </c>
      <c r="BN180" s="49">
        <v>668.7</v>
      </c>
      <c r="BO180" s="49">
        <v>9305.7000000000007</v>
      </c>
      <c r="BP180" s="49">
        <v>3571.5</v>
      </c>
      <c r="BQ180" s="49">
        <v>1782</v>
      </c>
      <c r="BR180" s="49">
        <v>163.27000000000001</v>
      </c>
      <c r="BS180" s="49">
        <v>174.55</v>
      </c>
      <c r="BT180" s="49">
        <v>5.4318200000000001</v>
      </c>
      <c r="BU180" s="41"/>
      <c r="BV180" s="41"/>
      <c r="BW180" s="41"/>
      <c r="BX180" s="41"/>
      <c r="BY180" s="41"/>
      <c r="BZ180" s="41"/>
      <c r="CA180" s="41"/>
      <c r="CB180" s="41"/>
      <c r="CC180" s="41"/>
      <c r="CD180" s="41"/>
      <c r="CE180" s="41"/>
      <c r="CF180" s="41"/>
      <c r="CG180" s="41"/>
      <c r="CH180" s="41"/>
      <c r="CI180" s="41"/>
      <c r="CJ180" s="41"/>
      <c r="CK180" s="41"/>
    </row>
    <row r="181" spans="1:89">
      <c r="A181" s="41" t="s">
        <v>310</v>
      </c>
      <c r="B181" s="51">
        <v>10.59999847412</v>
      </c>
      <c r="C181" s="51">
        <v>10.59999847412</v>
      </c>
      <c r="D181" s="51">
        <v>10.59999847412</v>
      </c>
      <c r="E181" s="51" t="s">
        <v>1574</v>
      </c>
      <c r="F181" s="51">
        <v>16.89</v>
      </c>
      <c r="G181" s="51" t="s">
        <v>1574</v>
      </c>
      <c r="H181" s="51">
        <v>0.28999999999999998</v>
      </c>
      <c r="I181" s="51">
        <v>1.73</v>
      </c>
      <c r="J181" s="51" t="s">
        <v>1574</v>
      </c>
      <c r="K181" s="51" t="s">
        <v>1574</v>
      </c>
      <c r="L181" s="51">
        <v>1.5609999999999999</v>
      </c>
      <c r="M181" s="51">
        <v>1.5898000000000001</v>
      </c>
      <c r="N181" s="51">
        <v>1.3624240000000001</v>
      </c>
      <c r="O181" s="51">
        <v>1.1900999999999999</v>
      </c>
      <c r="P181" s="51">
        <v>0.90769230000000001</v>
      </c>
      <c r="Q181" s="51">
        <v>1.52586</v>
      </c>
      <c r="R181" s="51">
        <v>1.1368</v>
      </c>
      <c r="S181" s="51">
        <v>1039</v>
      </c>
      <c r="T181" s="51" t="s">
        <v>1574</v>
      </c>
      <c r="U181" s="51" t="s">
        <v>1574</v>
      </c>
      <c r="V181" s="51">
        <v>1070.19</v>
      </c>
      <c r="W181" s="51">
        <v>603.30999999999995</v>
      </c>
      <c r="X181" s="51" t="s">
        <v>1574</v>
      </c>
      <c r="Y181" s="51">
        <v>228</v>
      </c>
      <c r="Z181" s="51">
        <v>788</v>
      </c>
      <c r="AA181" s="51">
        <v>142</v>
      </c>
      <c r="AB181" s="51" t="s">
        <v>1574</v>
      </c>
      <c r="AC181" s="51" t="s">
        <v>1574</v>
      </c>
      <c r="AD181" s="51">
        <v>58.48418559425</v>
      </c>
      <c r="AE181" s="51">
        <v>116.63</v>
      </c>
      <c r="AF181" s="51">
        <v>93.7</v>
      </c>
      <c r="AG181" s="51">
        <v>570.41999999999996</v>
      </c>
      <c r="AH181" s="51" t="s">
        <v>1574</v>
      </c>
      <c r="AI181" s="51" t="s">
        <v>1574</v>
      </c>
      <c r="AJ181" s="51" t="s">
        <v>1574</v>
      </c>
      <c r="AK181" s="51" t="s">
        <v>1574</v>
      </c>
      <c r="AL181" s="51">
        <v>155.79</v>
      </c>
      <c r="AM181" s="51" t="s">
        <v>1574</v>
      </c>
      <c r="AN181" s="51">
        <v>0.19026000000000001</v>
      </c>
      <c r="AO181" s="51">
        <v>0.1983</v>
      </c>
      <c r="AP181" s="51">
        <v>1.4451000000000001</v>
      </c>
      <c r="AQ181" s="51">
        <v>0.55145864266</v>
      </c>
      <c r="AR181" s="51">
        <v>1.3918999999999999</v>
      </c>
      <c r="AS181" s="51">
        <v>4.6517482000000001</v>
      </c>
      <c r="AT181" s="51">
        <v>0.195549794</v>
      </c>
      <c r="AU181" s="51">
        <v>0.57871275</v>
      </c>
      <c r="AV181" s="51">
        <v>0.51829999999999998</v>
      </c>
      <c r="AW181" s="51">
        <v>1502.41</v>
      </c>
      <c r="AX181" s="51">
        <v>120.43</v>
      </c>
      <c r="AY181" s="51">
        <v>79.489999999999995</v>
      </c>
      <c r="AZ181" s="51" t="s">
        <v>1574</v>
      </c>
      <c r="BA181" s="51">
        <v>244.07532683238</v>
      </c>
      <c r="BB181" s="51" t="s">
        <v>1574</v>
      </c>
      <c r="BC181" s="51">
        <v>1.3973</v>
      </c>
      <c r="BD181" s="51" t="s">
        <v>1574</v>
      </c>
      <c r="BE181" s="51">
        <v>0.73899999999999999</v>
      </c>
      <c r="BF181" s="51">
        <v>63</v>
      </c>
      <c r="BG181" s="51">
        <v>339.5</v>
      </c>
      <c r="BH181" s="51">
        <v>336</v>
      </c>
      <c r="BI181" s="51">
        <v>285.75</v>
      </c>
      <c r="BJ181" s="51">
        <v>57</v>
      </c>
      <c r="BK181" s="51">
        <v>756.1845703125</v>
      </c>
      <c r="BL181" s="51">
        <v>13.38</v>
      </c>
      <c r="BM181" s="51">
        <v>2440</v>
      </c>
      <c r="BN181" s="51">
        <v>570.1</v>
      </c>
      <c r="BO181" s="51">
        <v>9041.1</v>
      </c>
      <c r="BP181" s="51">
        <v>3571.5</v>
      </c>
      <c r="BQ181" s="51">
        <v>1410</v>
      </c>
      <c r="BR181" s="51">
        <v>154.1</v>
      </c>
      <c r="BS181" s="51">
        <v>195</v>
      </c>
      <c r="BT181" s="51">
        <v>4.8960999999999997</v>
      </c>
      <c r="BU181" s="41"/>
      <c r="BV181" s="41"/>
      <c r="BW181" s="41"/>
      <c r="BX181" s="41"/>
      <c r="BY181" s="41"/>
      <c r="BZ181" s="41"/>
      <c r="CA181" s="41"/>
      <c r="CB181" s="41"/>
      <c r="CC181" s="41"/>
      <c r="CD181" s="41"/>
      <c r="CE181" s="41"/>
      <c r="CF181" s="41"/>
      <c r="CG181" s="41"/>
      <c r="CH181" s="41"/>
      <c r="CI181" s="41"/>
      <c r="CJ181" s="41"/>
      <c r="CK181" s="41"/>
    </row>
    <row r="182" spans="1:89">
      <c r="A182" s="48" t="s">
        <v>311</v>
      </c>
      <c r="B182" s="49">
        <v>10</v>
      </c>
      <c r="C182" s="49">
        <v>10</v>
      </c>
      <c r="D182" s="49">
        <v>10</v>
      </c>
      <c r="E182" s="49" t="s">
        <v>1574</v>
      </c>
      <c r="F182" s="49">
        <v>16.89</v>
      </c>
      <c r="G182" s="49" t="s">
        <v>1574</v>
      </c>
      <c r="H182" s="49">
        <v>0.28999999999999998</v>
      </c>
      <c r="I182" s="49">
        <v>1.73</v>
      </c>
      <c r="J182" s="49" t="s">
        <v>1574</v>
      </c>
      <c r="K182" s="49" t="s">
        <v>1574</v>
      </c>
      <c r="L182" s="49">
        <v>1.5609999999999999</v>
      </c>
      <c r="M182" s="49">
        <v>1.5232000000000001</v>
      </c>
      <c r="N182" s="49">
        <v>1.3035620000000001</v>
      </c>
      <c r="O182" s="49">
        <v>1.3055000000000001</v>
      </c>
      <c r="P182" s="49">
        <v>0.92635129999999999</v>
      </c>
      <c r="Q182" s="49">
        <v>1.853248</v>
      </c>
      <c r="R182" s="49">
        <v>1.1368</v>
      </c>
      <c r="S182" s="49">
        <v>1007</v>
      </c>
      <c r="T182" s="49" t="s">
        <v>1574</v>
      </c>
      <c r="U182" s="49" t="s">
        <v>1574</v>
      </c>
      <c r="V182" s="49">
        <v>1010.85</v>
      </c>
      <c r="W182" s="49">
        <v>609.64</v>
      </c>
      <c r="X182" s="49" t="s">
        <v>1574</v>
      </c>
      <c r="Y182" s="49">
        <v>276</v>
      </c>
      <c r="Z182" s="49">
        <v>872</v>
      </c>
      <c r="AA182" s="49">
        <v>163</v>
      </c>
      <c r="AB182" s="49" t="s">
        <v>1574</v>
      </c>
      <c r="AC182" s="49" t="s">
        <v>1574</v>
      </c>
      <c r="AD182" s="49">
        <v>63.520145895570003</v>
      </c>
      <c r="AE182" s="49">
        <v>132.28</v>
      </c>
      <c r="AF182" s="49">
        <v>116.02</v>
      </c>
      <c r="AG182" s="49">
        <v>494.56</v>
      </c>
      <c r="AH182" s="49" t="s">
        <v>1574</v>
      </c>
      <c r="AI182" s="49" t="s">
        <v>1574</v>
      </c>
      <c r="AJ182" s="49" t="s">
        <v>1574</v>
      </c>
      <c r="AK182" s="49" t="s">
        <v>1574</v>
      </c>
      <c r="AL182" s="49">
        <v>169.02</v>
      </c>
      <c r="AM182" s="49" t="s">
        <v>1574</v>
      </c>
      <c r="AN182" s="49">
        <v>0.22178</v>
      </c>
      <c r="AO182" s="49">
        <v>0.1983</v>
      </c>
      <c r="AP182" s="49">
        <v>1.6409</v>
      </c>
      <c r="AQ182" s="49">
        <v>0.55742740877999997</v>
      </c>
      <c r="AR182" s="49">
        <v>1.3101</v>
      </c>
      <c r="AS182" s="49">
        <v>4.6517482000000001</v>
      </c>
      <c r="AT182" s="49">
        <v>0.19532933199999999</v>
      </c>
      <c r="AU182" s="49">
        <v>0.62500977000000002</v>
      </c>
      <c r="AV182" s="49">
        <v>0.55179999999999996</v>
      </c>
      <c r="AW182" s="49">
        <v>1530.14</v>
      </c>
      <c r="AX182" s="49">
        <v>120.43</v>
      </c>
      <c r="AY182" s="49">
        <v>83.19</v>
      </c>
      <c r="AZ182" s="49" t="s">
        <v>1574</v>
      </c>
      <c r="BA182" s="49">
        <v>250.14598598167001</v>
      </c>
      <c r="BB182" s="49" t="s">
        <v>1574</v>
      </c>
      <c r="BC182" s="49">
        <v>1.3228</v>
      </c>
      <c r="BD182" s="49" t="s">
        <v>1574</v>
      </c>
      <c r="BE182" s="49">
        <v>0.66930000000000001</v>
      </c>
      <c r="BF182" s="49">
        <v>63</v>
      </c>
      <c r="BG182" s="49">
        <v>358.1</v>
      </c>
      <c r="BH182" s="49">
        <v>341</v>
      </c>
      <c r="BI182" s="49">
        <v>285.75</v>
      </c>
      <c r="BJ182" s="49">
        <v>58</v>
      </c>
      <c r="BK182" s="49">
        <v>760.59399414063</v>
      </c>
      <c r="BL182" s="49">
        <v>13.38</v>
      </c>
      <c r="BM182" s="49">
        <v>1919.1</v>
      </c>
      <c r="BN182" s="49">
        <v>548.5</v>
      </c>
      <c r="BO182" s="49">
        <v>8547.2999999999993</v>
      </c>
      <c r="BP182" s="49">
        <v>4079</v>
      </c>
      <c r="BQ182" s="49">
        <v>1097</v>
      </c>
      <c r="BR182" s="49">
        <v>142.97999999999999</v>
      </c>
      <c r="BS182" s="49">
        <v>195</v>
      </c>
      <c r="BT182" s="49">
        <v>4.4154499999999999</v>
      </c>
      <c r="BU182" s="41"/>
      <c r="BV182" s="41"/>
      <c r="BW182" s="41"/>
      <c r="BX182" s="41"/>
      <c r="BY182" s="41"/>
      <c r="BZ182" s="41"/>
      <c r="CA182" s="41"/>
      <c r="CB182" s="41"/>
      <c r="CC182" s="41"/>
      <c r="CD182" s="41"/>
      <c r="CE182" s="41"/>
      <c r="CF182" s="41"/>
      <c r="CG182" s="41"/>
      <c r="CH182" s="41"/>
      <c r="CI182" s="41"/>
      <c r="CJ182" s="41"/>
      <c r="CK182" s="41"/>
    </row>
    <row r="183" spans="1:89">
      <c r="A183" s="41" t="s">
        <v>312</v>
      </c>
      <c r="B183" s="51">
        <v>10</v>
      </c>
      <c r="C183" s="51">
        <v>10</v>
      </c>
      <c r="D183" s="51">
        <v>10</v>
      </c>
      <c r="E183" s="51" t="s">
        <v>1574</v>
      </c>
      <c r="F183" s="51">
        <v>16.89</v>
      </c>
      <c r="G183" s="51" t="s">
        <v>1574</v>
      </c>
      <c r="H183" s="51">
        <v>0.28999999999999998</v>
      </c>
      <c r="I183" s="51">
        <v>1.73</v>
      </c>
      <c r="J183" s="51" t="s">
        <v>1574</v>
      </c>
      <c r="K183" s="51" t="s">
        <v>1574</v>
      </c>
      <c r="L183" s="51">
        <v>1.5609999999999999</v>
      </c>
      <c r="M183" s="51">
        <v>1.379</v>
      </c>
      <c r="N183" s="51">
        <v>1.2347790000000001</v>
      </c>
      <c r="O183" s="51">
        <v>1.1838</v>
      </c>
      <c r="P183" s="51">
        <v>0.96637379999999995</v>
      </c>
      <c r="Q183" s="51">
        <v>1.4482930000000001</v>
      </c>
      <c r="R183" s="51">
        <v>1.1368</v>
      </c>
      <c r="S183" s="51">
        <v>1053</v>
      </c>
      <c r="T183" s="51" t="s">
        <v>1574</v>
      </c>
      <c r="U183" s="51" t="s">
        <v>1574</v>
      </c>
      <c r="V183" s="51">
        <v>1085.19</v>
      </c>
      <c r="W183" s="51">
        <v>727.84</v>
      </c>
      <c r="X183" s="51" t="s">
        <v>1574</v>
      </c>
      <c r="Y183" s="51">
        <v>320</v>
      </c>
      <c r="Z183" s="51">
        <v>922</v>
      </c>
      <c r="AA183" s="51">
        <v>197</v>
      </c>
      <c r="AB183" s="51" t="s">
        <v>1574</v>
      </c>
      <c r="AC183" s="51" t="s">
        <v>1574</v>
      </c>
      <c r="AD183" s="51">
        <v>65.542893643010004</v>
      </c>
      <c r="AE183" s="51">
        <v>145.82</v>
      </c>
      <c r="AF183" s="51">
        <v>127.87</v>
      </c>
      <c r="AG183" s="51">
        <v>496.52</v>
      </c>
      <c r="AH183" s="51" t="s">
        <v>1574</v>
      </c>
      <c r="AI183" s="51" t="s">
        <v>1574</v>
      </c>
      <c r="AJ183" s="51" t="s">
        <v>1574</v>
      </c>
      <c r="AK183" s="51" t="s">
        <v>1574</v>
      </c>
      <c r="AL183" s="51">
        <v>167.55</v>
      </c>
      <c r="AM183" s="51" t="s">
        <v>1574</v>
      </c>
      <c r="AN183" s="51">
        <v>0.19184999999999999</v>
      </c>
      <c r="AO183" s="51">
        <v>0.1983</v>
      </c>
      <c r="AP183" s="51">
        <v>1.6057999999999999</v>
      </c>
      <c r="AQ183" s="51">
        <v>0.56470334966000002</v>
      </c>
      <c r="AR183" s="51">
        <v>1.2987</v>
      </c>
      <c r="AS183" s="51">
        <v>4.6517482000000001</v>
      </c>
      <c r="AT183" s="51">
        <v>0.19180194</v>
      </c>
      <c r="AU183" s="51">
        <v>0.71892658200000004</v>
      </c>
      <c r="AV183" s="51">
        <v>0.67530000000000001</v>
      </c>
      <c r="AW183" s="51">
        <v>1554.54</v>
      </c>
      <c r="AX183" s="51">
        <v>120.43</v>
      </c>
      <c r="AY183" s="51">
        <v>80.069999999999993</v>
      </c>
      <c r="AZ183" s="51" t="s">
        <v>1574</v>
      </c>
      <c r="BA183" s="51">
        <v>245.03540428884</v>
      </c>
      <c r="BB183" s="51" t="s">
        <v>1574</v>
      </c>
      <c r="BC183" s="51">
        <v>1.3349</v>
      </c>
      <c r="BD183" s="51" t="s">
        <v>1574</v>
      </c>
      <c r="BE183" s="51">
        <v>0.67659999999999998</v>
      </c>
      <c r="BF183" s="51">
        <v>63</v>
      </c>
      <c r="BG183" s="51">
        <v>365</v>
      </c>
      <c r="BH183" s="51">
        <v>337</v>
      </c>
      <c r="BI183" s="51">
        <v>285.75</v>
      </c>
      <c r="BJ183" s="51">
        <v>62</v>
      </c>
      <c r="BK183" s="51">
        <v>848.77880859375</v>
      </c>
      <c r="BL183" s="51">
        <v>13.38</v>
      </c>
      <c r="BM183" s="51">
        <v>1802.9</v>
      </c>
      <c r="BN183" s="51">
        <v>549.6</v>
      </c>
      <c r="BO183" s="51">
        <v>8787.6</v>
      </c>
      <c r="BP183" s="51">
        <v>4079</v>
      </c>
      <c r="BQ183" s="51">
        <v>1066</v>
      </c>
      <c r="BR183" s="51">
        <v>154.63999999999999</v>
      </c>
      <c r="BS183" s="51">
        <v>195</v>
      </c>
      <c r="BT183" s="51">
        <v>4.4313599999999997</v>
      </c>
      <c r="BU183" s="41"/>
      <c r="BV183" s="41"/>
      <c r="BW183" s="41"/>
      <c r="BX183" s="41"/>
      <c r="BY183" s="41"/>
      <c r="BZ183" s="41"/>
      <c r="CA183" s="41"/>
      <c r="CB183" s="41"/>
      <c r="CC183" s="41"/>
      <c r="CD183" s="41"/>
      <c r="CE183" s="41"/>
      <c r="CF183" s="41"/>
      <c r="CG183" s="41"/>
      <c r="CH183" s="41"/>
      <c r="CI183" s="41"/>
      <c r="CJ183" s="41"/>
      <c r="CK183" s="41"/>
    </row>
    <row r="184" spans="1:89">
      <c r="A184" s="48" t="s">
        <v>313</v>
      </c>
      <c r="B184" s="49">
        <v>10</v>
      </c>
      <c r="C184" s="49">
        <v>10</v>
      </c>
      <c r="D184" s="49">
        <v>10</v>
      </c>
      <c r="E184" s="49" t="s">
        <v>1574</v>
      </c>
      <c r="F184" s="49">
        <v>16.89</v>
      </c>
      <c r="G184" s="49" t="s">
        <v>1574</v>
      </c>
      <c r="H184" s="49">
        <v>0.28999999999999998</v>
      </c>
      <c r="I184" s="49">
        <v>1.73</v>
      </c>
      <c r="J184" s="49" t="s">
        <v>1574</v>
      </c>
      <c r="K184" s="49" t="s">
        <v>1574</v>
      </c>
      <c r="L184" s="49">
        <v>1.5609999999999999</v>
      </c>
      <c r="M184" s="49">
        <v>1.2039</v>
      </c>
      <c r="N184" s="49">
        <v>1.188704</v>
      </c>
      <c r="O184" s="49">
        <v>1.1204000000000001</v>
      </c>
      <c r="P184" s="49">
        <v>0.96062049999999999</v>
      </c>
      <c r="Q184" s="49">
        <v>1.2637350000000001</v>
      </c>
      <c r="R184" s="49">
        <v>1.1368</v>
      </c>
      <c r="S184" s="49">
        <v>826</v>
      </c>
      <c r="T184" s="49" t="s">
        <v>1574</v>
      </c>
      <c r="U184" s="49" t="s">
        <v>1574</v>
      </c>
      <c r="V184" s="49">
        <v>1057.69</v>
      </c>
      <c r="W184" s="49">
        <v>706.65</v>
      </c>
      <c r="X184" s="49" t="s">
        <v>1574</v>
      </c>
      <c r="Y184" s="49">
        <v>303</v>
      </c>
      <c r="Z184" s="49">
        <v>933</v>
      </c>
      <c r="AA184" s="49">
        <v>184</v>
      </c>
      <c r="AB184" s="49" t="s">
        <v>1574</v>
      </c>
      <c r="AC184" s="49" t="s">
        <v>1574</v>
      </c>
      <c r="AD184" s="49">
        <v>65.48202529852</v>
      </c>
      <c r="AE184" s="49">
        <v>141.43</v>
      </c>
      <c r="AF184" s="49">
        <v>128.69999999999999</v>
      </c>
      <c r="AG184" s="49">
        <v>491.86</v>
      </c>
      <c r="AH184" s="49" t="s">
        <v>1574</v>
      </c>
      <c r="AI184" s="49" t="s">
        <v>1574</v>
      </c>
      <c r="AJ184" s="49" t="s">
        <v>1574</v>
      </c>
      <c r="AK184" s="49" t="s">
        <v>1574</v>
      </c>
      <c r="AL184" s="49">
        <v>170.49</v>
      </c>
      <c r="AM184" s="49" t="s">
        <v>1574</v>
      </c>
      <c r="AN184" s="49">
        <v>0.22355</v>
      </c>
      <c r="AO184" s="49">
        <v>0.1983</v>
      </c>
      <c r="AP184" s="49">
        <v>1.3971</v>
      </c>
      <c r="AQ184" s="49">
        <v>0.56580626510999998</v>
      </c>
      <c r="AR184" s="49">
        <v>1.3515999999999999</v>
      </c>
      <c r="AS184" s="49">
        <v>4.6517482000000001</v>
      </c>
      <c r="AT184" s="49">
        <v>0.31900851400000002</v>
      </c>
      <c r="AU184" s="49">
        <v>0.74317740200000004</v>
      </c>
      <c r="AV184" s="49">
        <v>0.75290000000000001</v>
      </c>
      <c r="AW184" s="49">
        <v>1576.75</v>
      </c>
      <c r="AX184" s="49">
        <v>120.43</v>
      </c>
      <c r="AY184" s="49">
        <v>71.42</v>
      </c>
      <c r="AZ184" s="49" t="s">
        <v>1574</v>
      </c>
      <c r="BA184" s="49">
        <v>230.36571700988</v>
      </c>
      <c r="BB184" s="49" t="s">
        <v>1574</v>
      </c>
      <c r="BC184" s="49">
        <v>1.3172999999999999</v>
      </c>
      <c r="BD184" s="49" t="s">
        <v>1574</v>
      </c>
      <c r="BE184" s="49">
        <v>0.59570000000000001</v>
      </c>
      <c r="BF184" s="49">
        <v>63</v>
      </c>
      <c r="BG184" s="49">
        <v>405</v>
      </c>
      <c r="BH184" s="49">
        <v>361</v>
      </c>
      <c r="BI184" s="49">
        <v>285.75</v>
      </c>
      <c r="BJ184" s="49">
        <v>66</v>
      </c>
      <c r="BK184" s="49">
        <v>837.75561523438</v>
      </c>
      <c r="BL184" s="49">
        <v>13.38</v>
      </c>
      <c r="BM184" s="49">
        <v>1460.5</v>
      </c>
      <c r="BN184" s="49">
        <v>539.29999999999995</v>
      </c>
      <c r="BO184" s="49">
        <v>9166.7999999999993</v>
      </c>
      <c r="BP184" s="49">
        <v>4079</v>
      </c>
      <c r="BQ184" s="49">
        <v>911</v>
      </c>
      <c r="BR184" s="49">
        <v>151.75</v>
      </c>
      <c r="BS184" s="49">
        <v>195</v>
      </c>
      <c r="BT184" s="49">
        <v>4.0487500000000001</v>
      </c>
      <c r="BU184" s="41"/>
      <c r="BV184" s="41"/>
      <c r="BW184" s="41"/>
      <c r="BX184" s="41"/>
      <c r="BY184" s="41"/>
      <c r="BZ184" s="41"/>
      <c r="CA184" s="41"/>
      <c r="CB184" s="41"/>
      <c r="CC184" s="41"/>
      <c r="CD184" s="41"/>
      <c r="CE184" s="41"/>
      <c r="CF184" s="41"/>
      <c r="CG184" s="41"/>
      <c r="CH184" s="41"/>
      <c r="CI184" s="41"/>
      <c r="CJ184" s="41"/>
      <c r="CK184" s="41"/>
    </row>
    <row r="185" spans="1:89">
      <c r="A185" s="41" t="s">
        <v>314</v>
      </c>
      <c r="B185" s="51">
        <v>10.29999923706</v>
      </c>
      <c r="C185" s="51">
        <v>10.29999923706</v>
      </c>
      <c r="D185" s="51">
        <v>10.29999923706</v>
      </c>
      <c r="E185" s="51" t="s">
        <v>1574</v>
      </c>
      <c r="F185" s="51">
        <v>16.89</v>
      </c>
      <c r="G185" s="51" t="s">
        <v>1574</v>
      </c>
      <c r="H185" s="51">
        <v>0.28999999999999998</v>
      </c>
      <c r="I185" s="51">
        <v>1.73</v>
      </c>
      <c r="J185" s="51" t="s">
        <v>1574</v>
      </c>
      <c r="K185" s="51" t="s">
        <v>1574</v>
      </c>
      <c r="L185" s="51">
        <v>1.5609999999999999</v>
      </c>
      <c r="M185" s="51">
        <v>1.2518</v>
      </c>
      <c r="N185" s="51">
        <v>1.21119</v>
      </c>
      <c r="O185" s="51">
        <v>1.1081000000000001</v>
      </c>
      <c r="P185" s="51">
        <v>0.9605361</v>
      </c>
      <c r="Q185" s="51">
        <v>1.227041</v>
      </c>
      <c r="R185" s="51">
        <v>1.1368</v>
      </c>
      <c r="S185" s="51">
        <v>875</v>
      </c>
      <c r="T185" s="51" t="s">
        <v>1574</v>
      </c>
      <c r="U185" s="51" t="s">
        <v>1574</v>
      </c>
      <c r="V185" s="51">
        <v>1139.17</v>
      </c>
      <c r="W185" s="51">
        <v>840.17</v>
      </c>
      <c r="X185" s="51" t="s">
        <v>1574</v>
      </c>
      <c r="Y185" s="51">
        <v>335</v>
      </c>
      <c r="Z185" s="51">
        <v>1045</v>
      </c>
      <c r="AA185" s="51">
        <v>210</v>
      </c>
      <c r="AB185" s="51" t="s">
        <v>1574</v>
      </c>
      <c r="AC185" s="51" t="s">
        <v>1574</v>
      </c>
      <c r="AD185" s="51">
        <v>70.97357056253</v>
      </c>
      <c r="AE185" s="51">
        <v>151.57</v>
      </c>
      <c r="AF185" s="51">
        <v>149.25</v>
      </c>
      <c r="AG185" s="51">
        <v>478.36</v>
      </c>
      <c r="AH185" s="51" t="s">
        <v>1574</v>
      </c>
      <c r="AI185" s="51" t="s">
        <v>1574</v>
      </c>
      <c r="AJ185" s="51" t="s">
        <v>1574</v>
      </c>
      <c r="AK185" s="51" t="s">
        <v>1574</v>
      </c>
      <c r="AL185" s="51">
        <v>192.17</v>
      </c>
      <c r="AM185" s="51" t="s">
        <v>1574</v>
      </c>
      <c r="AN185" s="51">
        <v>0.19267999999999999</v>
      </c>
      <c r="AO185" s="51">
        <v>0.1983</v>
      </c>
      <c r="AP185" s="51">
        <v>1.3852</v>
      </c>
      <c r="AQ185" s="51">
        <v>0.57178972684999996</v>
      </c>
      <c r="AR185" s="51">
        <v>1.4274</v>
      </c>
      <c r="AS185" s="51">
        <v>4.6517482000000001</v>
      </c>
      <c r="AT185" s="51">
        <v>0.32143359599999999</v>
      </c>
      <c r="AU185" s="51">
        <v>0.85583348400000003</v>
      </c>
      <c r="AV185" s="51">
        <v>0.87080000000000002</v>
      </c>
      <c r="AW185" s="51">
        <v>1590.67</v>
      </c>
      <c r="AX185" s="51">
        <v>120.43</v>
      </c>
      <c r="AY185" s="51">
        <v>65.11</v>
      </c>
      <c r="AZ185" s="51" t="s">
        <v>1574</v>
      </c>
      <c r="BA185" s="51">
        <v>219.14162949108001</v>
      </c>
      <c r="BB185" s="51" t="s">
        <v>1574</v>
      </c>
      <c r="BC185" s="51">
        <v>1.2621</v>
      </c>
      <c r="BD185" s="51" t="s">
        <v>1574</v>
      </c>
      <c r="BE185" s="51">
        <v>0.57850000000000001</v>
      </c>
      <c r="BF185" s="51">
        <v>63</v>
      </c>
      <c r="BG185" s="51">
        <v>405</v>
      </c>
      <c r="BH185" s="51">
        <v>355</v>
      </c>
      <c r="BI185" s="51">
        <v>285.75</v>
      </c>
      <c r="BJ185" s="51">
        <v>70</v>
      </c>
      <c r="BK185" s="51">
        <v>844.36938476563</v>
      </c>
      <c r="BL185" s="51">
        <v>13.38</v>
      </c>
      <c r="BM185" s="51">
        <v>1398.8</v>
      </c>
      <c r="BN185" s="51">
        <v>537.29999999999995</v>
      </c>
      <c r="BO185" s="51">
        <v>7409.7</v>
      </c>
      <c r="BP185" s="51">
        <v>4079</v>
      </c>
      <c r="BQ185" s="51">
        <v>825</v>
      </c>
      <c r="BR185" s="51">
        <v>158.78</v>
      </c>
      <c r="BS185" s="51">
        <v>195</v>
      </c>
      <c r="BT185" s="51">
        <v>4.8297699999999999</v>
      </c>
      <c r="BU185" s="41"/>
      <c r="BV185" s="41"/>
      <c r="BW185" s="41"/>
      <c r="BX185" s="41"/>
      <c r="BY185" s="41"/>
      <c r="BZ185" s="41"/>
      <c r="CA185" s="41"/>
      <c r="CB185" s="41"/>
      <c r="CC185" s="41"/>
      <c r="CD185" s="41"/>
      <c r="CE185" s="41"/>
      <c r="CF185" s="41"/>
      <c r="CG185" s="41"/>
      <c r="CH185" s="41"/>
      <c r="CI185" s="41"/>
      <c r="CJ185" s="41"/>
      <c r="CK185" s="41"/>
    </row>
    <row r="186" spans="1:89">
      <c r="A186" s="48" t="s">
        <v>315</v>
      </c>
      <c r="B186" s="49">
        <v>10.29999923706</v>
      </c>
      <c r="C186" s="49">
        <v>10.29999923706</v>
      </c>
      <c r="D186" s="49">
        <v>10.29999923706</v>
      </c>
      <c r="E186" s="49" t="s">
        <v>1574</v>
      </c>
      <c r="F186" s="49">
        <v>16.89</v>
      </c>
      <c r="G186" s="49" t="s">
        <v>1574</v>
      </c>
      <c r="H186" s="49">
        <v>0.28999999999999998</v>
      </c>
      <c r="I186" s="49">
        <v>1.73</v>
      </c>
      <c r="J186" s="49" t="s">
        <v>1574</v>
      </c>
      <c r="K186" s="49" t="s">
        <v>1574</v>
      </c>
      <c r="L186" s="49">
        <v>1.5609999999999999</v>
      </c>
      <c r="M186" s="49">
        <v>1.3069</v>
      </c>
      <c r="N186" s="49">
        <v>1.227063</v>
      </c>
      <c r="O186" s="49">
        <v>1.1334</v>
      </c>
      <c r="P186" s="49">
        <v>0.99805770000000005</v>
      </c>
      <c r="Q186" s="49">
        <v>1.2652369999999999</v>
      </c>
      <c r="R186" s="49">
        <v>1.1368</v>
      </c>
      <c r="S186" s="49">
        <v>748</v>
      </c>
      <c r="T186" s="49" t="s">
        <v>1574</v>
      </c>
      <c r="U186" s="49" t="s">
        <v>1574</v>
      </c>
      <c r="V186" s="49">
        <v>1085.08</v>
      </c>
      <c r="W186" s="49">
        <v>767.53</v>
      </c>
      <c r="X186" s="49" t="s">
        <v>1574</v>
      </c>
      <c r="Y186" s="49">
        <v>312</v>
      </c>
      <c r="Z186" s="49">
        <v>943</v>
      </c>
      <c r="AA186" s="49">
        <v>179</v>
      </c>
      <c r="AB186" s="49" t="s">
        <v>1574</v>
      </c>
      <c r="AC186" s="49" t="s">
        <v>1574</v>
      </c>
      <c r="AD186" s="49">
        <v>69.055303759699996</v>
      </c>
      <c r="AE186" s="49">
        <v>144.09</v>
      </c>
      <c r="AF186" s="49">
        <v>146.16999999999999</v>
      </c>
      <c r="AG186" s="49">
        <v>436.62</v>
      </c>
      <c r="AH186" s="49" t="s">
        <v>1574</v>
      </c>
      <c r="AI186" s="49" t="s">
        <v>1574</v>
      </c>
      <c r="AJ186" s="49" t="s">
        <v>1574</v>
      </c>
      <c r="AK186" s="49" t="s">
        <v>1574</v>
      </c>
      <c r="AL186" s="49">
        <v>187.39</v>
      </c>
      <c r="AM186" s="49" t="s">
        <v>1574</v>
      </c>
      <c r="AN186" s="49">
        <v>0.16975999999999999</v>
      </c>
      <c r="AO186" s="49">
        <v>0.1983</v>
      </c>
      <c r="AP186" s="49">
        <v>1.3231999999999999</v>
      </c>
      <c r="AQ186" s="49">
        <v>0.57067109715999997</v>
      </c>
      <c r="AR186" s="49">
        <v>1.4415</v>
      </c>
      <c r="AS186" s="49">
        <v>4.6517482000000001</v>
      </c>
      <c r="AT186" s="49">
        <v>0.32077221</v>
      </c>
      <c r="AU186" s="49">
        <v>1.26324726</v>
      </c>
      <c r="AV186" s="49">
        <v>1.2377</v>
      </c>
      <c r="AW186" s="49">
        <v>1624.69</v>
      </c>
      <c r="AX186" s="49">
        <v>120.43</v>
      </c>
      <c r="AY186" s="49">
        <v>59.98</v>
      </c>
      <c r="AZ186" s="49" t="s">
        <v>1574</v>
      </c>
      <c r="BA186" s="49">
        <v>209.64215740367999</v>
      </c>
      <c r="BB186" s="49" t="s">
        <v>1574</v>
      </c>
      <c r="BC186" s="49">
        <v>1.1742999999999999</v>
      </c>
      <c r="BD186" s="49" t="s">
        <v>1574</v>
      </c>
      <c r="BE186" s="49">
        <v>0.50270000000000004</v>
      </c>
      <c r="BF186" s="49">
        <v>65</v>
      </c>
      <c r="BG186" s="49">
        <v>405</v>
      </c>
      <c r="BH186" s="49">
        <v>355</v>
      </c>
      <c r="BI186" s="49">
        <v>285.75</v>
      </c>
      <c r="BJ186" s="49">
        <v>70</v>
      </c>
      <c r="BK186" s="49">
        <v>842.16479492188</v>
      </c>
      <c r="BL186" s="49">
        <v>13.38</v>
      </c>
      <c r="BM186" s="49">
        <v>1416.7</v>
      </c>
      <c r="BN186" s="49">
        <v>534.20000000000005</v>
      </c>
      <c r="BO186" s="49">
        <v>7403.1</v>
      </c>
      <c r="BP186" s="49">
        <v>4079</v>
      </c>
      <c r="BQ186" s="49">
        <v>794</v>
      </c>
      <c r="BR186" s="49">
        <v>181.66</v>
      </c>
      <c r="BS186" s="49">
        <v>195</v>
      </c>
      <c r="BT186" s="49">
        <v>4.6938899999999997</v>
      </c>
      <c r="BU186" s="41"/>
      <c r="BV186" s="41"/>
      <c r="BW186" s="41"/>
      <c r="BX186" s="41"/>
      <c r="BY186" s="41"/>
      <c r="BZ186" s="41"/>
      <c r="CA186" s="41"/>
      <c r="CB186" s="41"/>
      <c r="CC186" s="41"/>
      <c r="CD186" s="41"/>
      <c r="CE186" s="41"/>
      <c r="CF186" s="41"/>
      <c r="CG186" s="41"/>
      <c r="CH186" s="41"/>
      <c r="CI186" s="41"/>
      <c r="CJ186" s="41"/>
      <c r="CK186" s="41"/>
    </row>
    <row r="187" spans="1:89">
      <c r="A187" s="41" t="s">
        <v>316</v>
      </c>
      <c r="B187" s="51">
        <v>10.29999923706</v>
      </c>
      <c r="C187" s="51">
        <v>10.29999923706</v>
      </c>
      <c r="D187" s="51">
        <v>10.29999923706</v>
      </c>
      <c r="E187" s="51" t="s">
        <v>1574</v>
      </c>
      <c r="F187" s="51">
        <v>16.89</v>
      </c>
      <c r="G187" s="51" t="s">
        <v>1574</v>
      </c>
      <c r="H187" s="51">
        <v>0.28999999999999998</v>
      </c>
      <c r="I187" s="51">
        <v>1.73</v>
      </c>
      <c r="J187" s="51" t="s">
        <v>1574</v>
      </c>
      <c r="K187" s="51" t="s">
        <v>1574</v>
      </c>
      <c r="L187" s="51">
        <v>1.5609999999999999</v>
      </c>
      <c r="M187" s="51">
        <v>1.2959000000000001</v>
      </c>
      <c r="N187" s="51">
        <v>1.2164809999999999</v>
      </c>
      <c r="O187" s="51">
        <v>1.1786000000000001</v>
      </c>
      <c r="P187" s="51">
        <v>1.0249509999999999</v>
      </c>
      <c r="Q187" s="51">
        <v>1.3741810000000001</v>
      </c>
      <c r="R187" s="51">
        <v>1.1368</v>
      </c>
      <c r="S187" s="51">
        <v>660</v>
      </c>
      <c r="T187" s="51" t="s">
        <v>1574</v>
      </c>
      <c r="U187" s="51" t="s">
        <v>1574</v>
      </c>
      <c r="V187" s="51">
        <v>1082.8800000000001</v>
      </c>
      <c r="W187" s="51">
        <v>689.26</v>
      </c>
      <c r="X187" s="51" t="s">
        <v>1574</v>
      </c>
      <c r="Y187" s="51">
        <v>288</v>
      </c>
      <c r="Z187" s="51">
        <v>892</v>
      </c>
      <c r="AA187" s="51">
        <v>184</v>
      </c>
      <c r="AB187" s="51" t="s">
        <v>1574</v>
      </c>
      <c r="AC187" s="51" t="s">
        <v>1574</v>
      </c>
      <c r="AD187" s="51">
        <v>69.115057229360005</v>
      </c>
      <c r="AE187" s="51">
        <v>145.27000000000001</v>
      </c>
      <c r="AF187" s="51">
        <v>139.99</v>
      </c>
      <c r="AG187" s="51">
        <v>413.3</v>
      </c>
      <c r="AH187" s="51" t="s">
        <v>1574</v>
      </c>
      <c r="AI187" s="51" t="s">
        <v>1574</v>
      </c>
      <c r="AJ187" s="51" t="s">
        <v>1574</v>
      </c>
      <c r="AK187" s="51" t="s">
        <v>1574</v>
      </c>
      <c r="AL187" s="51">
        <v>185.92</v>
      </c>
      <c r="AM187" s="51" t="s">
        <v>1574</v>
      </c>
      <c r="AN187" s="51">
        <v>0.17460999999999999</v>
      </c>
      <c r="AO187" s="51">
        <v>0.1721</v>
      </c>
      <c r="AP187" s="51">
        <v>1.2639</v>
      </c>
      <c r="AQ187" s="51">
        <v>0.57413251938999998</v>
      </c>
      <c r="AR187" s="51">
        <v>1.4794</v>
      </c>
      <c r="AS187" s="51">
        <v>4.6517482000000001</v>
      </c>
      <c r="AT187" s="51">
        <v>0.32077221</v>
      </c>
      <c r="AU187" s="51">
        <v>1.0282347679999999</v>
      </c>
      <c r="AV187" s="51">
        <v>0.98939999999999995</v>
      </c>
      <c r="AW187" s="51">
        <v>1644.11</v>
      </c>
      <c r="AX187" s="51">
        <v>120.43</v>
      </c>
      <c r="AY187" s="51">
        <v>65.900000000000006</v>
      </c>
      <c r="AZ187" s="51" t="s">
        <v>1574</v>
      </c>
      <c r="BA187" s="51">
        <v>220.57345963898999</v>
      </c>
      <c r="BB187" s="51" t="s">
        <v>1574</v>
      </c>
      <c r="BC187" s="51">
        <v>1.0912999999999999</v>
      </c>
      <c r="BD187" s="51" t="s">
        <v>1574</v>
      </c>
      <c r="BE187" s="51">
        <v>0.56259999999999999</v>
      </c>
      <c r="BF187" s="51">
        <v>64.25</v>
      </c>
      <c r="BG187" s="51">
        <v>408.75</v>
      </c>
      <c r="BH187" s="51">
        <v>341</v>
      </c>
      <c r="BI187" s="51">
        <v>285.75</v>
      </c>
      <c r="BJ187" s="51">
        <v>70</v>
      </c>
      <c r="BK187" s="51">
        <v>859.8017578125</v>
      </c>
      <c r="BL187" s="51">
        <v>13.38</v>
      </c>
      <c r="BM187" s="51">
        <v>1289</v>
      </c>
      <c r="BN187" s="51">
        <v>534.20000000000005</v>
      </c>
      <c r="BO187" s="51">
        <v>7202.5</v>
      </c>
      <c r="BP187" s="51">
        <v>4079</v>
      </c>
      <c r="BQ187" s="51">
        <v>771</v>
      </c>
      <c r="BR187" s="51">
        <v>183.78</v>
      </c>
      <c r="BS187" s="51">
        <v>195</v>
      </c>
      <c r="BT187" s="51">
        <v>4.3912500000000003</v>
      </c>
      <c r="BU187" s="41"/>
      <c r="BV187" s="41"/>
      <c r="BW187" s="41"/>
      <c r="BX187" s="41"/>
      <c r="BY187" s="41"/>
      <c r="BZ187" s="41"/>
      <c r="CA187" s="41"/>
      <c r="CB187" s="41"/>
      <c r="CC187" s="41"/>
      <c r="CD187" s="41"/>
      <c r="CE187" s="41"/>
      <c r="CF187" s="41"/>
      <c r="CG187" s="41"/>
      <c r="CH187" s="41"/>
      <c r="CI187" s="41"/>
      <c r="CJ187" s="41"/>
      <c r="CK187" s="41"/>
    </row>
    <row r="188" spans="1:89">
      <c r="A188" s="48" t="s">
        <v>317</v>
      </c>
      <c r="B188" s="49">
        <v>10.42000007629</v>
      </c>
      <c r="C188" s="49">
        <v>10.42000007629</v>
      </c>
      <c r="D188" s="49">
        <v>10.42000007629</v>
      </c>
      <c r="E188" s="49" t="s">
        <v>1574</v>
      </c>
      <c r="F188" s="49">
        <v>26.84</v>
      </c>
      <c r="G188" s="49" t="s">
        <v>1574</v>
      </c>
      <c r="H188" s="49">
        <v>0.43</v>
      </c>
      <c r="I188" s="49">
        <v>1.6820935907700001</v>
      </c>
      <c r="J188" s="49" t="s">
        <v>1574</v>
      </c>
      <c r="K188" s="49" t="s">
        <v>1574</v>
      </c>
      <c r="L188" s="49">
        <v>1.246</v>
      </c>
      <c r="M188" s="49">
        <v>1.2311000000000001</v>
      </c>
      <c r="N188" s="49">
        <v>1.197522</v>
      </c>
      <c r="O188" s="49">
        <v>1.1428</v>
      </c>
      <c r="P188" s="49">
        <v>1.018491</v>
      </c>
      <c r="Q188" s="49">
        <v>1.2857510000000001</v>
      </c>
      <c r="R188" s="49">
        <v>1.1242000000000001</v>
      </c>
      <c r="S188" s="49">
        <v>548</v>
      </c>
      <c r="T188" s="49" t="s">
        <v>1574</v>
      </c>
      <c r="U188" s="49" t="s">
        <v>1574</v>
      </c>
      <c r="V188" s="49">
        <v>1078</v>
      </c>
      <c r="W188" s="49">
        <v>589.4</v>
      </c>
      <c r="X188" s="49" t="s">
        <v>1574</v>
      </c>
      <c r="Y188" s="49">
        <v>256</v>
      </c>
      <c r="Z188" s="49">
        <v>775</v>
      </c>
      <c r="AA188" s="49">
        <v>156</v>
      </c>
      <c r="AB188" s="49" t="s">
        <v>1574</v>
      </c>
      <c r="AC188" s="49" t="s">
        <v>1574</v>
      </c>
      <c r="AD188" s="49">
        <v>63.225253591680001</v>
      </c>
      <c r="AE188" s="49">
        <v>131.72999999999999</v>
      </c>
      <c r="AF188" s="49">
        <v>118.83</v>
      </c>
      <c r="AG188" s="49">
        <v>376.72</v>
      </c>
      <c r="AH188" s="49" t="s">
        <v>1574</v>
      </c>
      <c r="AI188" s="49" t="s">
        <v>1574</v>
      </c>
      <c r="AJ188" s="49" t="s">
        <v>1574</v>
      </c>
      <c r="AK188" s="49" t="s">
        <v>1574</v>
      </c>
      <c r="AL188" s="49">
        <v>164.24</v>
      </c>
      <c r="AM188" s="49" t="s">
        <v>1574</v>
      </c>
      <c r="AN188" s="49">
        <v>0.221</v>
      </c>
      <c r="AO188" s="49">
        <v>0.15409999999999999</v>
      </c>
      <c r="AP188" s="49">
        <v>1.1455</v>
      </c>
      <c r="AQ188" s="49">
        <v>0.57287807653</v>
      </c>
      <c r="AR188" s="49">
        <v>1.5407</v>
      </c>
      <c r="AS188" s="49">
        <v>5.8863354000000001</v>
      </c>
      <c r="AT188" s="49">
        <v>0.60472726600000004</v>
      </c>
      <c r="AU188" s="49">
        <v>0.88515493000000001</v>
      </c>
      <c r="AV188" s="49">
        <v>0.84450000000000003</v>
      </c>
      <c r="AW188" s="49">
        <v>1677.78</v>
      </c>
      <c r="AX188" s="49">
        <v>126.57</v>
      </c>
      <c r="AY188" s="49">
        <v>68.42</v>
      </c>
      <c r="AZ188" s="49" t="s">
        <v>1574</v>
      </c>
      <c r="BA188" s="49">
        <v>225.08885339700001</v>
      </c>
      <c r="BB188" s="49" t="s">
        <v>1574</v>
      </c>
      <c r="BC188" s="49">
        <v>1.0538000000000001</v>
      </c>
      <c r="BD188" s="49" t="s">
        <v>1574</v>
      </c>
      <c r="BE188" s="49">
        <v>0.5474</v>
      </c>
      <c r="BF188" s="49">
        <v>68</v>
      </c>
      <c r="BG188" s="49">
        <v>396</v>
      </c>
      <c r="BH188" s="49">
        <v>335</v>
      </c>
      <c r="BI188" s="49">
        <v>168</v>
      </c>
      <c r="BJ188" s="49">
        <v>70</v>
      </c>
      <c r="BK188" s="49">
        <v>895.07568359375</v>
      </c>
      <c r="BL188" s="49">
        <v>17.3</v>
      </c>
      <c r="BM188" s="49">
        <v>1211.2</v>
      </c>
      <c r="BN188" s="49">
        <v>538.4</v>
      </c>
      <c r="BO188" s="49">
        <v>7676.5</v>
      </c>
      <c r="BP188" s="49">
        <v>4431</v>
      </c>
      <c r="BQ188" s="49">
        <v>799</v>
      </c>
      <c r="BR188" s="49">
        <v>176.27</v>
      </c>
      <c r="BS188" s="49">
        <v>195</v>
      </c>
      <c r="BT188" s="49">
        <v>4.1924999999999999</v>
      </c>
      <c r="BU188" s="41"/>
      <c r="BV188" s="41"/>
      <c r="BW188" s="41"/>
      <c r="BX188" s="41"/>
      <c r="BY188" s="41"/>
      <c r="BZ188" s="41"/>
      <c r="CA188" s="41"/>
      <c r="CB188" s="41"/>
      <c r="CC188" s="41"/>
      <c r="CD188" s="41"/>
      <c r="CE188" s="41"/>
      <c r="CF188" s="41"/>
      <c r="CG188" s="41"/>
      <c r="CH188" s="41"/>
      <c r="CI188" s="41"/>
      <c r="CJ188" s="41"/>
      <c r="CK188" s="41"/>
    </row>
    <row r="189" spans="1:89">
      <c r="A189" s="41" t="s">
        <v>318</v>
      </c>
      <c r="B189" s="51">
        <v>10.42000007629</v>
      </c>
      <c r="C189" s="51">
        <v>10.42000007629</v>
      </c>
      <c r="D189" s="51">
        <v>10.42000007629</v>
      </c>
      <c r="E189" s="51" t="s">
        <v>1574</v>
      </c>
      <c r="F189" s="51">
        <v>26.84</v>
      </c>
      <c r="G189" s="51" t="s">
        <v>1574</v>
      </c>
      <c r="H189" s="51">
        <v>0.43</v>
      </c>
      <c r="I189" s="51">
        <v>1.6820935907700001</v>
      </c>
      <c r="J189" s="51" t="s">
        <v>1574</v>
      </c>
      <c r="K189" s="51" t="s">
        <v>1574</v>
      </c>
      <c r="L189" s="51">
        <v>1.246</v>
      </c>
      <c r="M189" s="51">
        <v>1.1788000000000001</v>
      </c>
      <c r="N189" s="51">
        <v>1.1549739999999999</v>
      </c>
      <c r="O189" s="51">
        <v>1.1274</v>
      </c>
      <c r="P189" s="51">
        <v>1.0641240000000001</v>
      </c>
      <c r="Q189" s="51">
        <v>1.1939960000000001</v>
      </c>
      <c r="R189" s="51">
        <v>1.1242000000000001</v>
      </c>
      <c r="S189" s="51">
        <v>467</v>
      </c>
      <c r="T189" s="51" t="s">
        <v>1574</v>
      </c>
      <c r="U189" s="51" t="s">
        <v>1574</v>
      </c>
      <c r="V189" s="51">
        <v>1078</v>
      </c>
      <c r="W189" s="51">
        <v>497.67</v>
      </c>
      <c r="X189" s="51" t="s">
        <v>1574</v>
      </c>
      <c r="Y189" s="51">
        <v>231</v>
      </c>
      <c r="Z189" s="51">
        <v>661</v>
      </c>
      <c r="AA189" s="51">
        <v>141</v>
      </c>
      <c r="AB189" s="51" t="s">
        <v>1574</v>
      </c>
      <c r="AC189" s="51" t="s">
        <v>1574</v>
      </c>
      <c r="AD189" s="51">
        <v>59.477257500450001</v>
      </c>
      <c r="AE189" s="51">
        <v>120.47</v>
      </c>
      <c r="AF189" s="51">
        <v>109.13</v>
      </c>
      <c r="AG189" s="51">
        <v>381.38</v>
      </c>
      <c r="AH189" s="51" t="s">
        <v>1574</v>
      </c>
      <c r="AI189" s="51" t="s">
        <v>1574</v>
      </c>
      <c r="AJ189" s="51" t="s">
        <v>1574</v>
      </c>
      <c r="AK189" s="51" t="s">
        <v>1574</v>
      </c>
      <c r="AL189" s="51">
        <v>153.22</v>
      </c>
      <c r="AM189" s="51" t="s">
        <v>1574</v>
      </c>
      <c r="AN189" s="51">
        <v>0.23699999999999999</v>
      </c>
      <c r="AO189" s="51">
        <v>0.1686</v>
      </c>
      <c r="AP189" s="51">
        <v>1.1468</v>
      </c>
      <c r="AQ189" s="51">
        <v>0.57183342660000003</v>
      </c>
      <c r="AR189" s="51">
        <v>1.4562999999999999</v>
      </c>
      <c r="AS189" s="51">
        <v>5.8863354000000001</v>
      </c>
      <c r="AT189" s="51">
        <v>0.33003161399999997</v>
      </c>
      <c r="AU189" s="51">
        <v>0.79520643400000002</v>
      </c>
      <c r="AV189" s="51">
        <v>0.74909999999999999</v>
      </c>
      <c r="AW189" s="51">
        <v>1732.73</v>
      </c>
      <c r="AX189" s="51">
        <v>126.57</v>
      </c>
      <c r="AY189" s="51">
        <v>61.61</v>
      </c>
      <c r="AZ189" s="51" t="s">
        <v>1574</v>
      </c>
      <c r="BA189" s="51">
        <v>212.6996542327</v>
      </c>
      <c r="BB189" s="51" t="s">
        <v>1574</v>
      </c>
      <c r="BC189" s="51">
        <v>1.0582</v>
      </c>
      <c r="BD189" s="51" t="s">
        <v>1574</v>
      </c>
      <c r="BE189" s="51">
        <v>0.57830000000000004</v>
      </c>
      <c r="BF189" s="51">
        <v>68</v>
      </c>
      <c r="BG189" s="51">
        <v>383</v>
      </c>
      <c r="BH189" s="51">
        <v>320</v>
      </c>
      <c r="BI189" s="51">
        <v>168</v>
      </c>
      <c r="BJ189" s="51">
        <v>70</v>
      </c>
      <c r="BK189" s="51">
        <v>908.30346679688</v>
      </c>
      <c r="BL189" s="51">
        <v>17.3</v>
      </c>
      <c r="BM189" s="51">
        <v>1266.5</v>
      </c>
      <c r="BN189" s="51">
        <v>541.20000000000005</v>
      </c>
      <c r="BO189" s="51">
        <v>7557.4</v>
      </c>
      <c r="BP189" s="51">
        <v>4431</v>
      </c>
      <c r="BQ189" s="51">
        <v>794</v>
      </c>
      <c r="BR189" s="51">
        <v>179.6</v>
      </c>
      <c r="BS189" s="51">
        <v>180.53</v>
      </c>
      <c r="BT189" s="51">
        <v>4.37</v>
      </c>
      <c r="BU189" s="41"/>
      <c r="BV189" s="41"/>
      <c r="BW189" s="41"/>
      <c r="BX189" s="41"/>
      <c r="BY189" s="41"/>
      <c r="BZ189" s="41"/>
      <c r="CA189" s="41"/>
      <c r="CB189" s="41"/>
      <c r="CC189" s="41"/>
      <c r="CD189" s="41"/>
      <c r="CE189" s="41"/>
      <c r="CF189" s="41"/>
      <c r="CG189" s="41"/>
      <c r="CH189" s="41"/>
      <c r="CI189" s="41"/>
      <c r="CJ189" s="41"/>
      <c r="CK189" s="41"/>
    </row>
    <row r="190" spans="1:89">
      <c r="A190" s="48" t="s">
        <v>319</v>
      </c>
      <c r="B190" s="49">
        <v>10.42000007629</v>
      </c>
      <c r="C190" s="49">
        <v>10.42000007629</v>
      </c>
      <c r="D190" s="49">
        <v>10.42000007629</v>
      </c>
      <c r="E190" s="49" t="s">
        <v>1574</v>
      </c>
      <c r="F190" s="49">
        <v>26.84</v>
      </c>
      <c r="G190" s="49" t="s">
        <v>1574</v>
      </c>
      <c r="H190" s="49">
        <v>0.43</v>
      </c>
      <c r="I190" s="49">
        <v>1.6820935907700001</v>
      </c>
      <c r="J190" s="49" t="s">
        <v>1574</v>
      </c>
      <c r="K190" s="49" t="s">
        <v>1574</v>
      </c>
      <c r="L190" s="49">
        <v>1.246</v>
      </c>
      <c r="M190" s="49">
        <v>1.1033999999999999</v>
      </c>
      <c r="N190" s="49">
        <v>1.0943480000000001</v>
      </c>
      <c r="O190" s="49">
        <v>1.0960000000000001</v>
      </c>
      <c r="P190" s="49">
        <v>1.032988</v>
      </c>
      <c r="Q190" s="49">
        <v>1.130917</v>
      </c>
      <c r="R190" s="49">
        <v>1.1242000000000001</v>
      </c>
      <c r="S190" s="49">
        <v>450</v>
      </c>
      <c r="T190" s="49" t="s">
        <v>1574</v>
      </c>
      <c r="U190" s="49" t="s">
        <v>1574</v>
      </c>
      <c r="V190" s="49">
        <v>965</v>
      </c>
      <c r="W190" s="49">
        <v>478.26</v>
      </c>
      <c r="X190" s="49" t="s">
        <v>1574</v>
      </c>
      <c r="Y190" s="49">
        <v>226</v>
      </c>
      <c r="Z190" s="49">
        <v>622</v>
      </c>
      <c r="AA190" s="49">
        <v>144</v>
      </c>
      <c r="AB190" s="49" t="s">
        <v>1574</v>
      </c>
      <c r="AC190" s="49" t="s">
        <v>1574</v>
      </c>
      <c r="AD190" s="49">
        <v>58.465304159710001</v>
      </c>
      <c r="AE190" s="49">
        <v>120.17</v>
      </c>
      <c r="AF190" s="49">
        <v>111.06</v>
      </c>
      <c r="AG190" s="49">
        <v>374.02</v>
      </c>
      <c r="AH190" s="49" t="s">
        <v>1574</v>
      </c>
      <c r="AI190" s="49" t="s">
        <v>1574</v>
      </c>
      <c r="AJ190" s="49" t="s">
        <v>1574</v>
      </c>
      <c r="AK190" s="49" t="s">
        <v>1574</v>
      </c>
      <c r="AL190" s="49">
        <v>147.34</v>
      </c>
      <c r="AM190" s="49" t="s">
        <v>1574</v>
      </c>
      <c r="AN190" s="49">
        <v>0.254</v>
      </c>
      <c r="AO190" s="49">
        <v>0.18579999999999999</v>
      </c>
      <c r="AP190" s="49">
        <v>1.1431</v>
      </c>
      <c r="AQ190" s="49">
        <v>0.57377894463000001</v>
      </c>
      <c r="AR190" s="49">
        <v>1.5662</v>
      </c>
      <c r="AS190" s="49">
        <v>5.8863354000000001</v>
      </c>
      <c r="AT190" s="49">
        <v>0.33399993</v>
      </c>
      <c r="AU190" s="49">
        <v>0.62875762400000001</v>
      </c>
      <c r="AV190" s="49">
        <v>0.58199999999999996</v>
      </c>
      <c r="AW190" s="49">
        <v>1809.61</v>
      </c>
      <c r="AX190" s="49">
        <v>126.57</v>
      </c>
      <c r="AY190" s="49">
        <v>68.05</v>
      </c>
      <c r="AZ190" s="49" t="s">
        <v>1574</v>
      </c>
      <c r="BA190" s="49">
        <v>224.43072949755</v>
      </c>
      <c r="BB190" s="49" t="s">
        <v>1574</v>
      </c>
      <c r="BC190" s="49">
        <v>1.0899000000000001</v>
      </c>
      <c r="BD190" s="49" t="s">
        <v>1574</v>
      </c>
      <c r="BE190" s="49">
        <v>0.57250000000000001</v>
      </c>
      <c r="BF190" s="49">
        <v>68</v>
      </c>
      <c r="BG190" s="49">
        <v>363</v>
      </c>
      <c r="BH190" s="49">
        <v>297</v>
      </c>
      <c r="BI190" s="49">
        <v>168</v>
      </c>
      <c r="BJ190" s="49">
        <v>88</v>
      </c>
      <c r="BK190" s="49">
        <v>917.12182617188</v>
      </c>
      <c r="BL190" s="49">
        <v>17.3</v>
      </c>
      <c r="BM190" s="49">
        <v>1344.2</v>
      </c>
      <c r="BN190" s="49">
        <v>542.79999999999995</v>
      </c>
      <c r="BO190" s="49">
        <v>7383.3</v>
      </c>
      <c r="BP190" s="49">
        <v>4431</v>
      </c>
      <c r="BQ190" s="49">
        <v>803</v>
      </c>
      <c r="BR190" s="49">
        <v>178.16</v>
      </c>
      <c r="BS190" s="49">
        <v>175</v>
      </c>
      <c r="BT190" s="49">
        <v>4.3315000000000001</v>
      </c>
      <c r="BU190" s="41"/>
      <c r="BV190" s="41"/>
      <c r="BW190" s="41"/>
      <c r="BX190" s="41"/>
      <c r="BY190" s="41"/>
      <c r="BZ190" s="41"/>
      <c r="CA190" s="41"/>
      <c r="CB190" s="41"/>
      <c r="CC190" s="41"/>
      <c r="CD190" s="41"/>
      <c r="CE190" s="41"/>
      <c r="CF190" s="41"/>
      <c r="CG190" s="41"/>
      <c r="CH190" s="41"/>
      <c r="CI190" s="41"/>
      <c r="CJ190" s="41"/>
      <c r="CK190" s="41"/>
    </row>
    <row r="191" spans="1:89">
      <c r="A191" s="41" t="s">
        <v>320</v>
      </c>
      <c r="B191" s="51">
        <v>10.42000007629</v>
      </c>
      <c r="C191" s="51">
        <v>10.42000007629</v>
      </c>
      <c r="D191" s="51">
        <v>10.42000007629</v>
      </c>
      <c r="E191" s="51" t="s">
        <v>1574</v>
      </c>
      <c r="F191" s="51">
        <v>26.84</v>
      </c>
      <c r="G191" s="51" t="s">
        <v>1574</v>
      </c>
      <c r="H191" s="51">
        <v>0.43</v>
      </c>
      <c r="I191" s="51">
        <v>1.6820935907700001</v>
      </c>
      <c r="J191" s="51" t="s">
        <v>1574</v>
      </c>
      <c r="K191" s="51" t="s">
        <v>1574</v>
      </c>
      <c r="L191" s="51">
        <v>1.246</v>
      </c>
      <c r="M191" s="51">
        <v>1.0503</v>
      </c>
      <c r="N191" s="51">
        <v>1.0809</v>
      </c>
      <c r="O191" s="51">
        <v>1.3713</v>
      </c>
      <c r="P191" s="51">
        <v>0.95774210000000004</v>
      </c>
      <c r="Q191" s="51">
        <v>2.0319310000000002</v>
      </c>
      <c r="R191" s="51">
        <v>1.1242000000000001</v>
      </c>
      <c r="S191" s="51">
        <v>428</v>
      </c>
      <c r="T191" s="51" t="s">
        <v>1574</v>
      </c>
      <c r="U191" s="51" t="s">
        <v>1574</v>
      </c>
      <c r="V191" s="51">
        <v>882</v>
      </c>
      <c r="W191" s="51">
        <v>451.1</v>
      </c>
      <c r="X191" s="51" t="s">
        <v>1574</v>
      </c>
      <c r="Y191" s="51">
        <v>229</v>
      </c>
      <c r="Z191" s="51">
        <v>624</v>
      </c>
      <c r="AA191" s="51">
        <v>153</v>
      </c>
      <c r="AB191" s="51" t="s">
        <v>1574</v>
      </c>
      <c r="AC191" s="51" t="s">
        <v>1574</v>
      </c>
      <c r="AD191" s="51">
        <v>57.188385776040001</v>
      </c>
      <c r="AE191" s="51">
        <v>119.66</v>
      </c>
      <c r="AF191" s="51">
        <v>111.61</v>
      </c>
      <c r="AG191" s="51">
        <v>377.7</v>
      </c>
      <c r="AH191" s="51" t="s">
        <v>1574</v>
      </c>
      <c r="AI191" s="51" t="s">
        <v>1574</v>
      </c>
      <c r="AJ191" s="51" t="s">
        <v>1574</v>
      </c>
      <c r="AK191" s="51" t="s">
        <v>1574</v>
      </c>
      <c r="AL191" s="51">
        <v>140.36000000000001</v>
      </c>
      <c r="AM191" s="51" t="s">
        <v>1574</v>
      </c>
      <c r="AN191" s="51">
        <v>0.252</v>
      </c>
      <c r="AO191" s="51">
        <v>0.2697</v>
      </c>
      <c r="AP191" s="51">
        <v>1.2808999999999999</v>
      </c>
      <c r="AQ191" s="51">
        <v>0.57670580702999996</v>
      </c>
      <c r="AR191" s="51">
        <v>1.581</v>
      </c>
      <c r="AS191" s="51">
        <v>5.8863354000000001</v>
      </c>
      <c r="AT191" s="51">
        <v>0.32892930399999998</v>
      </c>
      <c r="AU191" s="51">
        <v>0.57474443399999997</v>
      </c>
      <c r="AV191" s="51">
        <v>0.52800000000000002</v>
      </c>
      <c r="AW191" s="51">
        <v>1843.91</v>
      </c>
      <c r="AX191" s="51">
        <v>126.57</v>
      </c>
      <c r="AY191" s="51">
        <v>67.099999999999994</v>
      </c>
      <c r="AZ191" s="51" t="s">
        <v>1574</v>
      </c>
      <c r="BA191" s="51">
        <v>222.73337203853001</v>
      </c>
      <c r="BB191" s="51" t="s">
        <v>1574</v>
      </c>
      <c r="BC191" s="51">
        <v>1.1616</v>
      </c>
      <c r="BD191" s="51" t="s">
        <v>1574</v>
      </c>
      <c r="BE191" s="51">
        <v>0.53259999999999996</v>
      </c>
      <c r="BF191" s="51">
        <v>68</v>
      </c>
      <c r="BG191" s="51">
        <v>307</v>
      </c>
      <c r="BH191" s="51">
        <v>249</v>
      </c>
      <c r="BI191" s="51">
        <v>168</v>
      </c>
      <c r="BJ191" s="51">
        <v>88</v>
      </c>
      <c r="BK191" s="51">
        <v>897.2802734375</v>
      </c>
      <c r="BL191" s="51">
        <v>17.3</v>
      </c>
      <c r="BM191" s="51">
        <v>1329.2</v>
      </c>
      <c r="BN191" s="51">
        <v>479.5</v>
      </c>
      <c r="BO191" s="51">
        <v>7129.7</v>
      </c>
      <c r="BP191" s="51">
        <v>4431</v>
      </c>
      <c r="BQ191" s="51">
        <v>783</v>
      </c>
      <c r="BR191" s="51">
        <v>169.84</v>
      </c>
      <c r="BS191" s="51">
        <v>163.06</v>
      </c>
      <c r="BT191" s="51">
        <v>4.2091799999999999</v>
      </c>
      <c r="BU191" s="41"/>
      <c r="BV191" s="41"/>
      <c r="BW191" s="41"/>
      <c r="BX191" s="41"/>
      <c r="BY191" s="41"/>
      <c r="BZ191" s="41"/>
      <c r="CA191" s="41"/>
      <c r="CB191" s="41"/>
      <c r="CC191" s="41"/>
      <c r="CD191" s="41"/>
      <c r="CE191" s="41"/>
      <c r="CF191" s="41"/>
      <c r="CG191" s="41"/>
      <c r="CH191" s="41"/>
      <c r="CI191" s="41"/>
      <c r="CJ191" s="41"/>
      <c r="CK191" s="41"/>
    </row>
    <row r="192" spans="1:89">
      <c r="A192" s="48" t="s">
        <v>321</v>
      </c>
      <c r="B192" s="49">
        <v>10.42000007629</v>
      </c>
      <c r="C192" s="49">
        <v>10.42000007629</v>
      </c>
      <c r="D192" s="49">
        <v>10.42000007629</v>
      </c>
      <c r="E192" s="49" t="s">
        <v>1574</v>
      </c>
      <c r="F192" s="49">
        <v>26.84</v>
      </c>
      <c r="G192" s="49" t="s">
        <v>1574</v>
      </c>
      <c r="H192" s="49">
        <v>0.43</v>
      </c>
      <c r="I192" s="49">
        <v>1.6820935907700001</v>
      </c>
      <c r="J192" s="49" t="s">
        <v>1574</v>
      </c>
      <c r="K192" s="49" t="s">
        <v>1574</v>
      </c>
      <c r="L192" s="49">
        <v>1.246</v>
      </c>
      <c r="M192" s="49">
        <v>1.121</v>
      </c>
      <c r="N192" s="49">
        <v>1.0476110000000001</v>
      </c>
      <c r="O192" s="49">
        <v>1.1746000000000001</v>
      </c>
      <c r="P192" s="49">
        <v>0.90037449999999997</v>
      </c>
      <c r="Q192" s="49">
        <v>1.4991890000000001</v>
      </c>
      <c r="R192" s="49">
        <v>1.1242000000000001</v>
      </c>
      <c r="S192" s="49">
        <v>355</v>
      </c>
      <c r="T192" s="49" t="s">
        <v>1574</v>
      </c>
      <c r="U192" s="49" t="s">
        <v>1574</v>
      </c>
      <c r="V192" s="49">
        <v>727</v>
      </c>
      <c r="W192" s="49">
        <v>391.74</v>
      </c>
      <c r="X192" s="49" t="s">
        <v>1574</v>
      </c>
      <c r="Y192" s="49">
        <v>208</v>
      </c>
      <c r="Z192" s="49">
        <v>516</v>
      </c>
      <c r="AA192" s="49">
        <v>148</v>
      </c>
      <c r="AB192" s="49" t="s">
        <v>1574</v>
      </c>
      <c r="AC192" s="49" t="s">
        <v>1574</v>
      </c>
      <c r="AD192" s="49">
        <v>54.764735226729996</v>
      </c>
      <c r="AE192" s="49">
        <v>114.52</v>
      </c>
      <c r="AF192" s="49">
        <v>110.12</v>
      </c>
      <c r="AG192" s="49">
        <v>365.43</v>
      </c>
      <c r="AH192" s="49" t="s">
        <v>1574</v>
      </c>
      <c r="AI192" s="49" t="s">
        <v>1574</v>
      </c>
      <c r="AJ192" s="49" t="s">
        <v>1574</v>
      </c>
      <c r="AK192" s="49" t="s">
        <v>1574</v>
      </c>
      <c r="AL192" s="49">
        <v>131.54</v>
      </c>
      <c r="AM192" s="49" t="s">
        <v>1574</v>
      </c>
      <c r="AN192" s="49">
        <v>0.245</v>
      </c>
      <c r="AO192" s="49">
        <v>0.27379999999999999</v>
      </c>
      <c r="AP192" s="49">
        <v>1.3694999999999999</v>
      </c>
      <c r="AQ192" s="49">
        <v>0.57732676327999999</v>
      </c>
      <c r="AR192" s="49">
        <v>1.5235000000000001</v>
      </c>
      <c r="AS192" s="49">
        <v>5.8863354000000001</v>
      </c>
      <c r="AT192" s="49">
        <v>0.332456696</v>
      </c>
      <c r="AU192" s="49">
        <v>0.42483027400000001</v>
      </c>
      <c r="AV192" s="49">
        <v>0.39090000000000003</v>
      </c>
      <c r="AW192" s="49">
        <v>1859.52</v>
      </c>
      <c r="AX192" s="49">
        <v>126.57</v>
      </c>
      <c r="AY192" s="49">
        <v>67.25</v>
      </c>
      <c r="AZ192" s="49" t="s">
        <v>1574</v>
      </c>
      <c r="BA192" s="49">
        <v>223.00210731544999</v>
      </c>
      <c r="BB192" s="49" t="s">
        <v>1574</v>
      </c>
      <c r="BC192" s="49">
        <v>1.2224999999999999</v>
      </c>
      <c r="BD192" s="49" t="s">
        <v>1574</v>
      </c>
      <c r="BE192" s="49">
        <v>0.5262</v>
      </c>
      <c r="BF192" s="49">
        <v>68</v>
      </c>
      <c r="BG192" s="49">
        <v>242</v>
      </c>
      <c r="BH192" s="49">
        <v>206</v>
      </c>
      <c r="BI192" s="49">
        <v>168</v>
      </c>
      <c r="BJ192" s="49">
        <v>89</v>
      </c>
      <c r="BK192" s="49">
        <v>903.89428710938</v>
      </c>
      <c r="BL192" s="49">
        <v>17.3</v>
      </c>
      <c r="BM192" s="49">
        <v>1253.8</v>
      </c>
      <c r="BN192" s="49">
        <v>356.9</v>
      </c>
      <c r="BO192" s="49">
        <v>6898.3</v>
      </c>
      <c r="BP192" s="49">
        <v>4431</v>
      </c>
      <c r="BQ192" s="49">
        <v>747</v>
      </c>
      <c r="BR192" s="49">
        <v>167.39</v>
      </c>
      <c r="BS192" s="49">
        <v>160</v>
      </c>
      <c r="BT192" s="49">
        <v>4.5381</v>
      </c>
      <c r="BU192" s="41"/>
      <c r="BV192" s="41"/>
      <c r="BW192" s="41"/>
      <c r="BX192" s="41"/>
      <c r="BY192" s="41"/>
      <c r="BZ192" s="41"/>
      <c r="CA192" s="41"/>
      <c r="CB192" s="41"/>
      <c r="CC192" s="41"/>
      <c r="CD192" s="41"/>
      <c r="CE192" s="41"/>
      <c r="CF192" s="41"/>
      <c r="CG192" s="41"/>
      <c r="CH192" s="41"/>
      <c r="CI192" s="41"/>
      <c r="CJ192" s="41"/>
      <c r="CK192" s="41"/>
    </row>
    <row r="193" spans="1:89">
      <c r="A193" s="41" t="s">
        <v>322</v>
      </c>
      <c r="B193" s="51">
        <v>10.42000007629</v>
      </c>
      <c r="C193" s="51">
        <v>10.42000007629</v>
      </c>
      <c r="D193" s="51">
        <v>10.42000007629</v>
      </c>
      <c r="E193" s="51" t="s">
        <v>1574</v>
      </c>
      <c r="F193" s="51">
        <v>26.84</v>
      </c>
      <c r="G193" s="51" t="s">
        <v>1574</v>
      </c>
      <c r="H193" s="51">
        <v>0.43</v>
      </c>
      <c r="I193" s="51">
        <v>1.6820935907700001</v>
      </c>
      <c r="J193" s="51" t="s">
        <v>1574</v>
      </c>
      <c r="K193" s="51" t="s">
        <v>1574</v>
      </c>
      <c r="L193" s="51">
        <v>1.246</v>
      </c>
      <c r="M193" s="51">
        <v>1.2330000000000001</v>
      </c>
      <c r="N193" s="51">
        <v>1.087734</v>
      </c>
      <c r="O193" s="51">
        <v>1.2236</v>
      </c>
      <c r="P193" s="51">
        <v>0.84589490000000001</v>
      </c>
      <c r="Q193" s="51">
        <v>1.7008529999999999</v>
      </c>
      <c r="R193" s="51">
        <v>1.1242000000000001</v>
      </c>
      <c r="S193" s="51">
        <v>333</v>
      </c>
      <c r="T193" s="51" t="s">
        <v>1574</v>
      </c>
      <c r="U193" s="51" t="s">
        <v>1574</v>
      </c>
      <c r="V193" s="51">
        <v>660</v>
      </c>
      <c r="W193" s="51">
        <v>356</v>
      </c>
      <c r="X193" s="51" t="s">
        <v>1574</v>
      </c>
      <c r="Y193" s="51">
        <v>207</v>
      </c>
      <c r="Z193" s="51">
        <v>525</v>
      </c>
      <c r="AA193" s="51">
        <v>150</v>
      </c>
      <c r="AB193" s="51" t="s">
        <v>1574</v>
      </c>
      <c r="AC193" s="51" t="s">
        <v>1574</v>
      </c>
      <c r="AD193" s="51">
        <v>54.74118956297</v>
      </c>
      <c r="AE193" s="51">
        <v>119.1</v>
      </c>
      <c r="AF193" s="51">
        <v>105.82</v>
      </c>
      <c r="AG193" s="51">
        <v>324.92</v>
      </c>
      <c r="AH193" s="51" t="s">
        <v>1574</v>
      </c>
      <c r="AI193" s="51" t="s">
        <v>1574</v>
      </c>
      <c r="AJ193" s="51" t="s">
        <v>1574</v>
      </c>
      <c r="AK193" s="51" t="s">
        <v>1574</v>
      </c>
      <c r="AL193" s="51">
        <v>127.13</v>
      </c>
      <c r="AM193" s="51" t="s">
        <v>1574</v>
      </c>
      <c r="AN193" s="51">
        <v>0.23599999999999999</v>
      </c>
      <c r="AO193" s="51">
        <v>0.27379999999999999</v>
      </c>
      <c r="AP193" s="51">
        <v>1.3327</v>
      </c>
      <c r="AQ193" s="51">
        <v>0.57910204643999996</v>
      </c>
      <c r="AR193" s="51">
        <v>1.5348999999999999</v>
      </c>
      <c r="AS193" s="51">
        <v>5.8863354000000001</v>
      </c>
      <c r="AT193" s="51">
        <v>0.332456696</v>
      </c>
      <c r="AU193" s="51">
        <v>0.35185735200000001</v>
      </c>
      <c r="AV193" s="51">
        <v>0.3009</v>
      </c>
      <c r="AW193" s="51">
        <v>1852.98</v>
      </c>
      <c r="AX193" s="51">
        <v>126.57</v>
      </c>
      <c r="AY193" s="51">
        <v>66.760000000000005</v>
      </c>
      <c r="AZ193" s="51" t="s">
        <v>1574</v>
      </c>
      <c r="BA193" s="51">
        <v>222.12321371215</v>
      </c>
      <c r="BB193" s="51" t="s">
        <v>1574</v>
      </c>
      <c r="BC193" s="51">
        <v>1.2319</v>
      </c>
      <c r="BD193" s="51" t="s">
        <v>1574</v>
      </c>
      <c r="BE193" s="51">
        <v>0.53900000000000003</v>
      </c>
      <c r="BF193" s="51">
        <v>68</v>
      </c>
      <c r="BG193" s="51">
        <v>194</v>
      </c>
      <c r="BH193" s="51">
        <v>172</v>
      </c>
      <c r="BI193" s="51">
        <v>168</v>
      </c>
      <c r="BJ193" s="51">
        <v>88</v>
      </c>
      <c r="BK193" s="51">
        <v>903.89428710938</v>
      </c>
      <c r="BL193" s="51">
        <v>17.3</v>
      </c>
      <c r="BM193" s="51">
        <v>1193</v>
      </c>
      <c r="BN193" s="51">
        <v>353.4</v>
      </c>
      <c r="BO193" s="51">
        <v>6926.9</v>
      </c>
      <c r="BP193" s="51">
        <v>4431</v>
      </c>
      <c r="BQ193" s="51">
        <v>751</v>
      </c>
      <c r="BR193" s="51">
        <v>164.24</v>
      </c>
      <c r="BS193" s="51">
        <v>160</v>
      </c>
      <c r="BT193" s="51">
        <v>4.4891399999999999</v>
      </c>
      <c r="BU193" s="41"/>
      <c r="BV193" s="41"/>
      <c r="BW193" s="41"/>
      <c r="BX193" s="41"/>
      <c r="BY193" s="41"/>
      <c r="BZ193" s="41"/>
      <c r="CA193" s="41"/>
      <c r="CB193" s="41"/>
      <c r="CC193" s="41"/>
      <c r="CD193" s="41"/>
      <c r="CE193" s="41"/>
      <c r="CF193" s="41"/>
      <c r="CG193" s="41"/>
      <c r="CH193" s="41"/>
      <c r="CI193" s="41"/>
      <c r="CJ193" s="41"/>
      <c r="CK193" s="41"/>
    </row>
    <row r="194" spans="1:89">
      <c r="A194" s="48" t="s">
        <v>323</v>
      </c>
      <c r="B194" s="49">
        <v>10.43000030518</v>
      </c>
      <c r="C194" s="49">
        <v>10.43000030518</v>
      </c>
      <c r="D194" s="49">
        <v>10.43000030518</v>
      </c>
      <c r="E194" s="49" t="s">
        <v>1574</v>
      </c>
      <c r="F194" s="49">
        <v>26.84</v>
      </c>
      <c r="G194" s="49" t="s">
        <v>1574</v>
      </c>
      <c r="H194" s="49">
        <v>0.43</v>
      </c>
      <c r="I194" s="49">
        <v>1.6820935907700001</v>
      </c>
      <c r="J194" s="49" t="s">
        <v>1574</v>
      </c>
      <c r="K194" s="49" t="s">
        <v>1574</v>
      </c>
      <c r="L194" s="49">
        <v>1.246</v>
      </c>
      <c r="M194" s="49">
        <v>1.4478</v>
      </c>
      <c r="N194" s="49">
        <v>1.293641</v>
      </c>
      <c r="O194" s="49">
        <v>1.2274</v>
      </c>
      <c r="P194" s="49">
        <v>0.82522879999999998</v>
      </c>
      <c r="Q194" s="49">
        <v>1.732839</v>
      </c>
      <c r="R194" s="49">
        <v>1.1242000000000001</v>
      </c>
      <c r="S194" s="49">
        <v>372</v>
      </c>
      <c r="T194" s="49" t="s">
        <v>1574</v>
      </c>
      <c r="U194" s="49" t="s">
        <v>1574</v>
      </c>
      <c r="V194" s="49">
        <v>813</v>
      </c>
      <c r="W194" s="49">
        <v>401.98</v>
      </c>
      <c r="X194" s="49" t="s">
        <v>1574</v>
      </c>
      <c r="Y194" s="49">
        <v>224</v>
      </c>
      <c r="Z194" s="49">
        <v>578</v>
      </c>
      <c r="AA194" s="49">
        <v>157</v>
      </c>
      <c r="AB194" s="49" t="s">
        <v>1574</v>
      </c>
      <c r="AC194" s="49" t="s">
        <v>1574</v>
      </c>
      <c r="AD194" s="49">
        <v>58.39066894314</v>
      </c>
      <c r="AE194" s="49">
        <v>119.82</v>
      </c>
      <c r="AF194" s="49">
        <v>103.39</v>
      </c>
      <c r="AG194" s="49">
        <v>307.73</v>
      </c>
      <c r="AH194" s="49" t="s">
        <v>1574</v>
      </c>
      <c r="AI194" s="49" t="s">
        <v>1574</v>
      </c>
      <c r="AJ194" s="49" t="s">
        <v>1574</v>
      </c>
      <c r="AK194" s="49" t="s">
        <v>1574</v>
      </c>
      <c r="AL194" s="49">
        <v>145.13999999999999</v>
      </c>
      <c r="AM194" s="49" t="s">
        <v>1574</v>
      </c>
      <c r="AN194" s="49">
        <v>0.16500000000000001</v>
      </c>
      <c r="AO194" s="49">
        <v>0.27379999999999999</v>
      </c>
      <c r="AP194" s="49">
        <v>1.3466</v>
      </c>
      <c r="AQ194" s="49">
        <v>0.58168260491000001</v>
      </c>
      <c r="AR194" s="49">
        <v>1.4391</v>
      </c>
      <c r="AS194" s="49">
        <v>5.8863354000000001</v>
      </c>
      <c r="AT194" s="49">
        <v>0.316583432</v>
      </c>
      <c r="AU194" s="49">
        <v>0.43849891800000002</v>
      </c>
      <c r="AV194" s="49">
        <v>0.36799999999999999</v>
      </c>
      <c r="AW194" s="49">
        <v>1864.54</v>
      </c>
      <c r="AX194" s="49">
        <v>126.57</v>
      </c>
      <c r="AY194" s="49">
        <v>66.17</v>
      </c>
      <c r="AZ194" s="49" t="s">
        <v>1574</v>
      </c>
      <c r="BA194" s="49">
        <v>221.06100691521999</v>
      </c>
      <c r="BB194" s="49" t="s">
        <v>1574</v>
      </c>
      <c r="BC194" s="49">
        <v>1.2544</v>
      </c>
      <c r="BD194" s="49" t="s">
        <v>1574</v>
      </c>
      <c r="BE194" s="49">
        <v>0.5706</v>
      </c>
      <c r="BF194" s="49">
        <v>68</v>
      </c>
      <c r="BG194" s="49">
        <v>181</v>
      </c>
      <c r="BH194" s="49">
        <v>158</v>
      </c>
      <c r="BI194" s="49">
        <v>168</v>
      </c>
      <c r="BJ194" s="49">
        <v>85</v>
      </c>
      <c r="BK194" s="49">
        <v>864.2109375</v>
      </c>
      <c r="BL194" s="49">
        <v>17.3</v>
      </c>
      <c r="BM194" s="49">
        <v>1222.4000000000001</v>
      </c>
      <c r="BN194" s="49">
        <v>359.3</v>
      </c>
      <c r="BO194" s="49">
        <v>6810.1</v>
      </c>
      <c r="BP194" s="49">
        <v>4431</v>
      </c>
      <c r="BQ194" s="49">
        <v>707</v>
      </c>
      <c r="BR194" s="49">
        <v>165.17</v>
      </c>
      <c r="BS194" s="49">
        <v>162.72999999999999</v>
      </c>
      <c r="BT194" s="49">
        <v>4.7045500000000002</v>
      </c>
      <c r="BU194" s="41"/>
      <c r="BV194" s="41"/>
      <c r="BW194" s="41"/>
      <c r="BX194" s="41"/>
      <c r="BY194" s="41"/>
      <c r="BZ194" s="41"/>
      <c r="CA194" s="41"/>
      <c r="CB194" s="41"/>
      <c r="CC194" s="41"/>
      <c r="CD194" s="41"/>
      <c r="CE194" s="41"/>
      <c r="CF194" s="41"/>
      <c r="CG194" s="41"/>
      <c r="CH194" s="41"/>
      <c r="CI194" s="41"/>
      <c r="CJ194" s="41"/>
      <c r="CK194" s="41"/>
    </row>
    <row r="195" spans="1:89">
      <c r="A195" s="41" t="s">
        <v>324</v>
      </c>
      <c r="B195" s="51">
        <v>10.43000030518</v>
      </c>
      <c r="C195" s="51">
        <v>10.43000030518</v>
      </c>
      <c r="D195" s="51">
        <v>10.43000030518</v>
      </c>
      <c r="E195" s="51" t="s">
        <v>1574</v>
      </c>
      <c r="F195" s="51">
        <v>26.84</v>
      </c>
      <c r="G195" s="51" t="s">
        <v>1574</v>
      </c>
      <c r="H195" s="51">
        <v>0.43</v>
      </c>
      <c r="I195" s="51">
        <v>1.6820935907700001</v>
      </c>
      <c r="J195" s="51" t="s">
        <v>1574</v>
      </c>
      <c r="K195" s="51" t="s">
        <v>1574</v>
      </c>
      <c r="L195" s="51">
        <v>1.246</v>
      </c>
      <c r="M195" s="51">
        <v>1.8404</v>
      </c>
      <c r="N195" s="51">
        <v>1.69862</v>
      </c>
      <c r="O195" s="51">
        <v>1.1726000000000001</v>
      </c>
      <c r="P195" s="51">
        <v>0.85859980000000002</v>
      </c>
      <c r="Q195" s="51">
        <v>1.534951</v>
      </c>
      <c r="R195" s="51">
        <v>1.1242000000000001</v>
      </c>
      <c r="S195" s="51">
        <v>388</v>
      </c>
      <c r="T195" s="51" t="s">
        <v>1574</v>
      </c>
      <c r="U195" s="51" t="s">
        <v>1574</v>
      </c>
      <c r="V195" s="51">
        <v>908</v>
      </c>
      <c r="W195" s="51">
        <v>472.61</v>
      </c>
      <c r="X195" s="51" t="s">
        <v>1574</v>
      </c>
      <c r="Y195" s="51">
        <v>243</v>
      </c>
      <c r="Z195" s="51">
        <v>599</v>
      </c>
      <c r="AA195" s="51">
        <v>170</v>
      </c>
      <c r="AB195" s="51" t="s">
        <v>1574</v>
      </c>
      <c r="AC195" s="51" t="s">
        <v>1574</v>
      </c>
      <c r="AD195" s="51">
        <v>63.671833615600001</v>
      </c>
      <c r="AE195" s="51">
        <v>131.56</v>
      </c>
      <c r="AF195" s="51">
        <v>122.36</v>
      </c>
      <c r="AG195" s="51">
        <v>323.69</v>
      </c>
      <c r="AH195" s="51" t="s">
        <v>1574</v>
      </c>
      <c r="AI195" s="51" t="s">
        <v>1574</v>
      </c>
      <c r="AJ195" s="51" t="s">
        <v>1574</v>
      </c>
      <c r="AK195" s="51" t="s">
        <v>1574</v>
      </c>
      <c r="AL195" s="51">
        <v>162.77000000000001</v>
      </c>
      <c r="AM195" s="51" t="s">
        <v>1574</v>
      </c>
      <c r="AN195" s="51">
        <v>0.19600000000000001</v>
      </c>
      <c r="AO195" s="51">
        <v>0.27379999999999999</v>
      </c>
      <c r="AP195" s="51">
        <v>1.2991999999999999</v>
      </c>
      <c r="AQ195" s="51">
        <v>0.58512303589000003</v>
      </c>
      <c r="AR195" s="51">
        <v>1.3460000000000001</v>
      </c>
      <c r="AS195" s="51">
        <v>5.8863354000000001</v>
      </c>
      <c r="AT195" s="51">
        <v>0.30511940799999998</v>
      </c>
      <c r="AU195" s="51">
        <v>0.46539528200000002</v>
      </c>
      <c r="AV195" s="51">
        <v>0.41020000000000001</v>
      </c>
      <c r="AW195" s="51">
        <v>1885.59</v>
      </c>
      <c r="AX195" s="51">
        <v>126.57</v>
      </c>
      <c r="AY195" s="51">
        <v>69.48</v>
      </c>
      <c r="AZ195" s="51" t="s">
        <v>1574</v>
      </c>
      <c r="BA195" s="51">
        <v>226.96528122116001</v>
      </c>
      <c r="BB195" s="51" t="s">
        <v>1574</v>
      </c>
      <c r="BC195" s="51">
        <v>1.3130999999999999</v>
      </c>
      <c r="BD195" s="51" t="s">
        <v>1574</v>
      </c>
      <c r="BE195" s="51">
        <v>0.58640000000000003</v>
      </c>
      <c r="BF195" s="51">
        <v>68</v>
      </c>
      <c r="BG195" s="51">
        <v>185</v>
      </c>
      <c r="BH195" s="51">
        <v>158</v>
      </c>
      <c r="BI195" s="51">
        <v>168</v>
      </c>
      <c r="BJ195" s="51">
        <v>85</v>
      </c>
      <c r="BK195" s="51">
        <v>837.75561523438</v>
      </c>
      <c r="BL195" s="51">
        <v>17.3</v>
      </c>
      <c r="BM195" s="51">
        <v>1277.0999999999999</v>
      </c>
      <c r="BN195" s="51">
        <v>383.6</v>
      </c>
      <c r="BO195" s="51">
        <v>6774.8</v>
      </c>
      <c r="BP195" s="51">
        <v>4431</v>
      </c>
      <c r="BQ195" s="51">
        <v>737</v>
      </c>
      <c r="BR195" s="51">
        <v>163</v>
      </c>
      <c r="BS195" s="51">
        <v>175</v>
      </c>
      <c r="BT195" s="51">
        <v>4.9250999999999996</v>
      </c>
      <c r="BU195" s="41"/>
      <c r="BV195" s="41"/>
      <c r="BW195" s="41"/>
      <c r="BX195" s="41"/>
      <c r="BY195" s="41"/>
      <c r="BZ195" s="41"/>
      <c r="CA195" s="41"/>
      <c r="CB195" s="41"/>
      <c r="CC195" s="41"/>
      <c r="CD195" s="41"/>
      <c r="CE195" s="41"/>
      <c r="CF195" s="41"/>
      <c r="CG195" s="41"/>
      <c r="CH195" s="41"/>
      <c r="CI195" s="41"/>
      <c r="CJ195" s="41"/>
      <c r="CK195" s="41"/>
    </row>
    <row r="196" spans="1:89">
      <c r="A196" s="48" t="s">
        <v>325</v>
      </c>
      <c r="B196" s="49">
        <v>10.43000030518</v>
      </c>
      <c r="C196" s="49">
        <v>10.43000030518</v>
      </c>
      <c r="D196" s="49">
        <v>10.43000030518</v>
      </c>
      <c r="E196" s="49" t="s">
        <v>1574</v>
      </c>
      <c r="F196" s="49">
        <v>26.84</v>
      </c>
      <c r="G196" s="49" t="s">
        <v>1574</v>
      </c>
      <c r="H196" s="49">
        <v>0.43</v>
      </c>
      <c r="I196" s="49">
        <v>1.6820935907700001</v>
      </c>
      <c r="J196" s="49" t="s">
        <v>1574</v>
      </c>
      <c r="K196" s="49" t="s">
        <v>1574</v>
      </c>
      <c r="L196" s="49">
        <v>1.246</v>
      </c>
      <c r="M196" s="49">
        <v>1.7830999999999999</v>
      </c>
      <c r="N196" s="49">
        <v>1.6776770000000001</v>
      </c>
      <c r="O196" s="49">
        <v>1.1065</v>
      </c>
      <c r="P196" s="49">
        <v>0.79550019999999999</v>
      </c>
      <c r="Q196" s="49">
        <v>1.399848</v>
      </c>
      <c r="R196" s="49">
        <v>1.1242000000000001</v>
      </c>
      <c r="S196" s="49">
        <v>368</v>
      </c>
      <c r="T196" s="49" t="s">
        <v>1574</v>
      </c>
      <c r="U196" s="49" t="s">
        <v>1574</v>
      </c>
      <c r="V196" s="49">
        <v>871</v>
      </c>
      <c r="W196" s="49">
        <v>412.35</v>
      </c>
      <c r="X196" s="49" t="s">
        <v>1574</v>
      </c>
      <c r="Y196" s="49">
        <v>227</v>
      </c>
      <c r="Z196" s="49">
        <v>551</v>
      </c>
      <c r="AA196" s="49">
        <v>169</v>
      </c>
      <c r="AB196" s="49" t="s">
        <v>1574</v>
      </c>
      <c r="AC196" s="49" t="s">
        <v>1574</v>
      </c>
      <c r="AD196" s="49">
        <v>62.702812825279999</v>
      </c>
      <c r="AE196" s="49">
        <v>122.31</v>
      </c>
      <c r="AF196" s="49">
        <v>118.17</v>
      </c>
      <c r="AG196" s="49">
        <v>336.21</v>
      </c>
      <c r="AH196" s="49" t="s">
        <v>1574</v>
      </c>
      <c r="AI196" s="49" t="s">
        <v>1574</v>
      </c>
      <c r="AJ196" s="49" t="s">
        <v>1574</v>
      </c>
      <c r="AK196" s="49" t="s">
        <v>1574</v>
      </c>
      <c r="AL196" s="49">
        <v>165.71</v>
      </c>
      <c r="AM196" s="49" t="s">
        <v>1574</v>
      </c>
      <c r="AN196" s="49">
        <v>0.22</v>
      </c>
      <c r="AO196" s="49">
        <v>0.27379999999999999</v>
      </c>
      <c r="AP196" s="49">
        <v>1.4165000000000001</v>
      </c>
      <c r="AQ196" s="49">
        <v>0.58643768995000001</v>
      </c>
      <c r="AR196" s="49">
        <v>1.3875999999999999</v>
      </c>
      <c r="AS196" s="49">
        <v>5.8863354000000001</v>
      </c>
      <c r="AT196" s="49">
        <v>0.29982831999999998</v>
      </c>
      <c r="AU196" s="49">
        <v>0.38272203199999999</v>
      </c>
      <c r="AV196" s="49">
        <v>0.3417</v>
      </c>
      <c r="AW196" s="49">
        <v>1879.64</v>
      </c>
      <c r="AX196" s="49">
        <v>126.57</v>
      </c>
      <c r="AY196" s="49">
        <v>68.239999999999995</v>
      </c>
      <c r="AZ196" s="49" t="s">
        <v>1574</v>
      </c>
      <c r="BA196" s="49">
        <v>224.76889005311</v>
      </c>
      <c r="BB196" s="49" t="s">
        <v>1574</v>
      </c>
      <c r="BC196" s="49">
        <v>1.327</v>
      </c>
      <c r="BD196" s="49" t="s">
        <v>1574</v>
      </c>
      <c r="BE196" s="49">
        <v>0.55510000000000004</v>
      </c>
      <c r="BF196" s="49">
        <v>68</v>
      </c>
      <c r="BG196" s="49">
        <v>192</v>
      </c>
      <c r="BH196" s="49">
        <v>158</v>
      </c>
      <c r="BI196" s="49">
        <v>168</v>
      </c>
      <c r="BJ196" s="49">
        <v>84</v>
      </c>
      <c r="BK196" s="49">
        <v>826.732421875</v>
      </c>
      <c r="BL196" s="49">
        <v>17.3</v>
      </c>
      <c r="BM196" s="49">
        <v>1210.0999999999999</v>
      </c>
      <c r="BN196" s="49">
        <v>370</v>
      </c>
      <c r="BO196" s="49">
        <v>6558.7</v>
      </c>
      <c r="BP196" s="49">
        <v>4852</v>
      </c>
      <c r="BQ196" s="49">
        <v>724</v>
      </c>
      <c r="BR196" s="49">
        <v>144.16999999999999</v>
      </c>
      <c r="BS196" s="49">
        <v>175</v>
      </c>
      <c r="BT196" s="49">
        <v>4.5159500000000001</v>
      </c>
      <c r="BU196" s="41"/>
      <c r="BV196" s="41"/>
      <c r="BW196" s="41"/>
      <c r="BX196" s="41"/>
      <c r="BY196" s="41"/>
      <c r="BZ196" s="41"/>
      <c r="CA196" s="41"/>
      <c r="CB196" s="41"/>
      <c r="CC196" s="41"/>
      <c r="CD196" s="41"/>
      <c r="CE196" s="41"/>
      <c r="CF196" s="41"/>
      <c r="CG196" s="41"/>
      <c r="CH196" s="41"/>
      <c r="CI196" s="41"/>
      <c r="CJ196" s="41"/>
      <c r="CK196" s="41"/>
    </row>
    <row r="197" spans="1:89">
      <c r="A197" s="41" t="s">
        <v>326</v>
      </c>
      <c r="B197" s="51">
        <v>10.46000003815</v>
      </c>
      <c r="C197" s="51">
        <v>10.46000003815</v>
      </c>
      <c r="D197" s="51">
        <v>10.46000003815</v>
      </c>
      <c r="E197" s="51" t="s">
        <v>1574</v>
      </c>
      <c r="F197" s="51">
        <v>26.84</v>
      </c>
      <c r="G197" s="51" t="s">
        <v>1574</v>
      </c>
      <c r="H197" s="51">
        <v>0.43</v>
      </c>
      <c r="I197" s="51">
        <v>1.6820935907700001</v>
      </c>
      <c r="J197" s="51" t="s">
        <v>1574</v>
      </c>
      <c r="K197" s="51" t="s">
        <v>1574</v>
      </c>
      <c r="L197" s="51">
        <v>1.246</v>
      </c>
      <c r="M197" s="51">
        <v>1.7723</v>
      </c>
      <c r="N197" s="51">
        <v>1.6108789999999999</v>
      </c>
      <c r="O197" s="51">
        <v>1.0791999999999999</v>
      </c>
      <c r="P197" s="51">
        <v>0.75238850000000002</v>
      </c>
      <c r="Q197" s="51">
        <v>1.3996189999999999</v>
      </c>
      <c r="R197" s="51">
        <v>1.08548</v>
      </c>
      <c r="S197" s="51">
        <v>347</v>
      </c>
      <c r="T197" s="51" t="s">
        <v>1574</v>
      </c>
      <c r="U197" s="51" t="s">
        <v>1574</v>
      </c>
      <c r="V197" s="51">
        <v>840</v>
      </c>
      <c r="W197" s="51">
        <v>412.19</v>
      </c>
      <c r="X197" s="51" t="s">
        <v>1574</v>
      </c>
      <c r="Y197" s="51">
        <v>211</v>
      </c>
      <c r="Z197" s="51">
        <v>495</v>
      </c>
      <c r="AA197" s="51">
        <v>163</v>
      </c>
      <c r="AB197" s="51" t="s">
        <v>1574</v>
      </c>
      <c r="AC197" s="51" t="s">
        <v>1574</v>
      </c>
      <c r="AD197" s="51">
        <v>61.13024393768</v>
      </c>
      <c r="AE197" s="51">
        <v>116.87</v>
      </c>
      <c r="AF197" s="51">
        <v>114.84</v>
      </c>
      <c r="AG197" s="51">
        <v>332.53</v>
      </c>
      <c r="AH197" s="51" t="s">
        <v>1574</v>
      </c>
      <c r="AI197" s="51" t="s">
        <v>1574</v>
      </c>
      <c r="AJ197" s="51" t="s">
        <v>1574</v>
      </c>
      <c r="AK197" s="51" t="s">
        <v>1574</v>
      </c>
      <c r="AL197" s="51">
        <v>161.66999999999999</v>
      </c>
      <c r="AM197" s="51" t="s">
        <v>1574</v>
      </c>
      <c r="AN197" s="51">
        <v>0.192</v>
      </c>
      <c r="AO197" s="51">
        <v>0.27379999999999999</v>
      </c>
      <c r="AP197" s="51">
        <v>1.5330999999999999</v>
      </c>
      <c r="AQ197" s="51">
        <v>0.58699577704000006</v>
      </c>
      <c r="AR197" s="51">
        <v>1.4112</v>
      </c>
      <c r="AS197" s="51">
        <v>5.8863354000000001</v>
      </c>
      <c r="AT197" s="51">
        <v>0.301812478</v>
      </c>
      <c r="AU197" s="51">
        <v>0.34061379000000003</v>
      </c>
      <c r="AV197" s="51">
        <v>0.31009999999999999</v>
      </c>
      <c r="AW197" s="51">
        <v>1898.57</v>
      </c>
      <c r="AX197" s="51">
        <v>126.57</v>
      </c>
      <c r="AY197" s="51">
        <v>67.13</v>
      </c>
      <c r="AZ197" s="51" t="s">
        <v>1574</v>
      </c>
      <c r="BA197" s="51">
        <v>222.78714118401999</v>
      </c>
      <c r="BB197" s="51" t="s">
        <v>1574</v>
      </c>
      <c r="BC197" s="51">
        <v>1.3162</v>
      </c>
      <c r="BD197" s="51" t="s">
        <v>1574</v>
      </c>
      <c r="BE197" s="51">
        <v>0.53400000000000003</v>
      </c>
      <c r="BF197" s="51">
        <v>68</v>
      </c>
      <c r="BG197" s="51">
        <v>162</v>
      </c>
      <c r="BH197" s="51">
        <v>131</v>
      </c>
      <c r="BI197" s="51">
        <v>168</v>
      </c>
      <c r="BJ197" s="51">
        <v>78</v>
      </c>
      <c r="BK197" s="51">
        <v>815.70947265625</v>
      </c>
      <c r="BL197" s="51">
        <v>17.3</v>
      </c>
      <c r="BM197" s="51">
        <v>1178.8</v>
      </c>
      <c r="BN197" s="51">
        <v>344.6</v>
      </c>
      <c r="BO197" s="51">
        <v>6347.1</v>
      </c>
      <c r="BP197" s="51">
        <v>4852</v>
      </c>
      <c r="BQ197" s="51">
        <v>706</v>
      </c>
      <c r="BR197" s="51">
        <v>142.79</v>
      </c>
      <c r="BS197" s="51">
        <v>172.17</v>
      </c>
      <c r="BT197" s="51">
        <v>4.3288599999999997</v>
      </c>
      <c r="BU197" s="41"/>
      <c r="BV197" s="41"/>
      <c r="BW197" s="41"/>
      <c r="BX197" s="41"/>
      <c r="BY197" s="41"/>
      <c r="BZ197" s="41"/>
      <c r="CA197" s="41"/>
      <c r="CB197" s="41"/>
      <c r="CC197" s="41"/>
      <c r="CD197" s="41"/>
      <c r="CE197" s="41"/>
      <c r="CF197" s="41"/>
      <c r="CG197" s="41"/>
      <c r="CH197" s="41"/>
      <c r="CI197" s="41"/>
      <c r="CJ197" s="41"/>
      <c r="CK197" s="41"/>
    </row>
    <row r="198" spans="1:89">
      <c r="A198" s="48" t="s">
        <v>327</v>
      </c>
      <c r="B198" s="49">
        <v>10.46000003815</v>
      </c>
      <c r="C198" s="49">
        <v>10.46000003815</v>
      </c>
      <c r="D198" s="49">
        <v>10.46000003815</v>
      </c>
      <c r="E198" s="49" t="s">
        <v>1574</v>
      </c>
      <c r="F198" s="49">
        <v>26.84</v>
      </c>
      <c r="G198" s="49" t="s">
        <v>1574</v>
      </c>
      <c r="H198" s="49">
        <v>0.43</v>
      </c>
      <c r="I198" s="49">
        <v>1.6820935907700001</v>
      </c>
      <c r="J198" s="49" t="s">
        <v>1574</v>
      </c>
      <c r="K198" s="49" t="s">
        <v>1574</v>
      </c>
      <c r="L198" s="49">
        <v>1.246</v>
      </c>
      <c r="M198" s="49">
        <v>1.7090000000000001</v>
      </c>
      <c r="N198" s="49">
        <v>1.5742830000000001</v>
      </c>
      <c r="O198" s="49">
        <v>1.0014000000000001</v>
      </c>
      <c r="P198" s="49">
        <v>0.75677810000000001</v>
      </c>
      <c r="Q198" s="49">
        <v>1.2667440000000001</v>
      </c>
      <c r="R198" s="49">
        <v>0.9805777</v>
      </c>
      <c r="S198" s="49">
        <v>327</v>
      </c>
      <c r="T198" s="49" t="s">
        <v>1574</v>
      </c>
      <c r="U198" s="49" t="s">
        <v>1574</v>
      </c>
      <c r="V198" s="49">
        <v>755</v>
      </c>
      <c r="W198" s="49">
        <v>378.8</v>
      </c>
      <c r="X198" s="49" t="s">
        <v>1574</v>
      </c>
      <c r="Y198" s="49">
        <v>192</v>
      </c>
      <c r="Z198" s="49">
        <v>423</v>
      </c>
      <c r="AA198" s="49">
        <v>152</v>
      </c>
      <c r="AB198" s="49" t="s">
        <v>1574</v>
      </c>
      <c r="AC198" s="49" t="s">
        <v>1574</v>
      </c>
      <c r="AD198" s="49">
        <v>57.442739873950003</v>
      </c>
      <c r="AE198" s="49">
        <v>110.26</v>
      </c>
      <c r="AF198" s="49">
        <v>108.85</v>
      </c>
      <c r="AG198" s="49">
        <v>309.45</v>
      </c>
      <c r="AH198" s="49" t="s">
        <v>1574</v>
      </c>
      <c r="AI198" s="49" t="s">
        <v>1574</v>
      </c>
      <c r="AJ198" s="49" t="s">
        <v>1574</v>
      </c>
      <c r="AK198" s="49" t="s">
        <v>1574</v>
      </c>
      <c r="AL198" s="49">
        <v>146.97</v>
      </c>
      <c r="AM198" s="49" t="s">
        <v>1574</v>
      </c>
      <c r="AN198" s="49">
        <v>0.20300000000000001</v>
      </c>
      <c r="AO198" s="49">
        <v>0.13550000000000001</v>
      </c>
      <c r="AP198" s="49">
        <v>1.4662999999999999</v>
      </c>
      <c r="AQ198" s="49">
        <v>0.58670803845999997</v>
      </c>
      <c r="AR198" s="49">
        <v>1.4535</v>
      </c>
      <c r="AS198" s="49">
        <v>5.8863354000000001</v>
      </c>
      <c r="AT198" s="49">
        <v>0.30137155399999999</v>
      </c>
      <c r="AU198" s="49">
        <v>0.331354386</v>
      </c>
      <c r="AV198" s="49">
        <v>0.2969</v>
      </c>
      <c r="AW198" s="49">
        <v>1893.61</v>
      </c>
      <c r="AX198" s="49">
        <v>126.57</v>
      </c>
      <c r="AY198" s="49">
        <v>69.25</v>
      </c>
      <c r="AZ198" s="49" t="s">
        <v>1574</v>
      </c>
      <c r="BA198" s="49">
        <v>226.55925668309001</v>
      </c>
      <c r="BB198" s="49" t="s">
        <v>1574</v>
      </c>
      <c r="BC198" s="49">
        <v>1.2998000000000001</v>
      </c>
      <c r="BD198" s="49" t="s">
        <v>1574</v>
      </c>
      <c r="BE198" s="49">
        <v>0.56859999999999999</v>
      </c>
      <c r="BF198" s="49">
        <v>68</v>
      </c>
      <c r="BG198" s="49">
        <v>150</v>
      </c>
      <c r="BH198" s="49">
        <v>123</v>
      </c>
      <c r="BI198" s="49">
        <v>168</v>
      </c>
      <c r="BJ198" s="49">
        <v>76</v>
      </c>
      <c r="BK198" s="49">
        <v>813.5048828125</v>
      </c>
      <c r="BL198" s="49">
        <v>17.3</v>
      </c>
      <c r="BM198" s="49">
        <v>1179.7</v>
      </c>
      <c r="BN198" s="49">
        <v>337.3</v>
      </c>
      <c r="BO198" s="49">
        <v>6281</v>
      </c>
      <c r="BP198" s="49">
        <v>4852</v>
      </c>
      <c r="BQ198" s="49">
        <v>705</v>
      </c>
      <c r="BR198" s="49">
        <v>142.41999999999999</v>
      </c>
      <c r="BS198" s="49">
        <v>160</v>
      </c>
      <c r="BT198" s="49">
        <v>4.3324400000000001</v>
      </c>
      <c r="BU198" s="41"/>
      <c r="BV198" s="41"/>
      <c r="BW198" s="41"/>
      <c r="BX198" s="41"/>
      <c r="BY198" s="41"/>
      <c r="BZ198" s="41"/>
      <c r="CA198" s="41"/>
      <c r="CB198" s="41"/>
      <c r="CC198" s="41"/>
      <c r="CD198" s="41"/>
      <c r="CE198" s="41"/>
      <c r="CF198" s="41"/>
      <c r="CG198" s="41"/>
      <c r="CH198" s="41"/>
      <c r="CI198" s="41"/>
      <c r="CJ198" s="41"/>
      <c r="CK198" s="41"/>
    </row>
    <row r="199" spans="1:89">
      <c r="A199" s="41" t="s">
        <v>328</v>
      </c>
      <c r="B199" s="51">
        <v>10.46000003815</v>
      </c>
      <c r="C199" s="51">
        <v>10.46000003815</v>
      </c>
      <c r="D199" s="51">
        <v>10.46000003815</v>
      </c>
      <c r="E199" s="51" t="s">
        <v>1574</v>
      </c>
      <c r="F199" s="51">
        <v>26.84</v>
      </c>
      <c r="G199" s="51" t="s">
        <v>1574</v>
      </c>
      <c r="H199" s="51">
        <v>0.43</v>
      </c>
      <c r="I199" s="51">
        <v>1.6820935907700001</v>
      </c>
      <c r="J199" s="51" t="s">
        <v>1574</v>
      </c>
      <c r="K199" s="51" t="s">
        <v>1574</v>
      </c>
      <c r="L199" s="51">
        <v>1.246</v>
      </c>
      <c r="M199" s="51">
        <v>1.8352999999999999</v>
      </c>
      <c r="N199" s="51">
        <v>1.6320429999999999</v>
      </c>
      <c r="O199" s="51">
        <v>0.98299999999999998</v>
      </c>
      <c r="P199" s="51">
        <v>0.76883049999999997</v>
      </c>
      <c r="Q199" s="51">
        <v>1.2063600000000001</v>
      </c>
      <c r="R199" s="51">
        <v>0.97381969999999995</v>
      </c>
      <c r="S199" s="51">
        <v>339</v>
      </c>
      <c r="T199" s="51" t="s">
        <v>1574</v>
      </c>
      <c r="U199" s="51" t="s">
        <v>1574</v>
      </c>
      <c r="V199" s="51">
        <v>713</v>
      </c>
      <c r="W199" s="51">
        <v>367.93</v>
      </c>
      <c r="X199" s="51" t="s">
        <v>1574</v>
      </c>
      <c r="Y199" s="51">
        <v>185</v>
      </c>
      <c r="Z199" s="51">
        <v>391</v>
      </c>
      <c r="AA199" s="51">
        <v>157</v>
      </c>
      <c r="AB199" s="51" t="s">
        <v>1574</v>
      </c>
      <c r="AC199" s="51" t="s">
        <v>1574</v>
      </c>
      <c r="AD199" s="51">
        <v>56.542956433480001</v>
      </c>
      <c r="AE199" s="51">
        <v>109.15</v>
      </c>
      <c r="AF199" s="51">
        <v>108.3</v>
      </c>
      <c r="AG199" s="51">
        <v>287.36</v>
      </c>
      <c r="AH199" s="51" t="s">
        <v>1574</v>
      </c>
      <c r="AI199" s="51" t="s">
        <v>1574</v>
      </c>
      <c r="AJ199" s="51" t="s">
        <v>1574</v>
      </c>
      <c r="AK199" s="51" t="s">
        <v>1574</v>
      </c>
      <c r="AL199" s="51">
        <v>142.57</v>
      </c>
      <c r="AM199" s="51" t="s">
        <v>1574</v>
      </c>
      <c r="AN199" s="51">
        <v>0.191</v>
      </c>
      <c r="AO199" s="51">
        <v>0.17960000000000001</v>
      </c>
      <c r="AP199" s="51">
        <v>1.4449000000000001</v>
      </c>
      <c r="AQ199" s="51">
        <v>0.58898890623</v>
      </c>
      <c r="AR199" s="51">
        <v>1.4911000000000001</v>
      </c>
      <c r="AS199" s="51">
        <v>5.8863354000000001</v>
      </c>
      <c r="AT199" s="51">
        <v>0.29762369999999999</v>
      </c>
      <c r="AU199" s="51">
        <v>0.32628375999999998</v>
      </c>
      <c r="AV199" s="51">
        <v>0.2908</v>
      </c>
      <c r="AW199" s="51">
        <v>1905.39</v>
      </c>
      <c r="AX199" s="51">
        <v>126.57</v>
      </c>
      <c r="AY199" s="51">
        <v>70.66</v>
      </c>
      <c r="AZ199" s="51" t="s">
        <v>1574</v>
      </c>
      <c r="BA199" s="51">
        <v>229.03871214220001</v>
      </c>
      <c r="BB199" s="51" t="s">
        <v>1574</v>
      </c>
      <c r="BC199" s="51">
        <v>1.3461000000000001</v>
      </c>
      <c r="BD199" s="51" t="s">
        <v>1574</v>
      </c>
      <c r="BE199" s="51">
        <v>0.62019999999999997</v>
      </c>
      <c r="BF199" s="51">
        <v>58</v>
      </c>
      <c r="BG199" s="51">
        <v>155</v>
      </c>
      <c r="BH199" s="51">
        <v>123</v>
      </c>
      <c r="BI199" s="51">
        <v>168</v>
      </c>
      <c r="BJ199" s="51">
        <v>75</v>
      </c>
      <c r="BK199" s="51">
        <v>837.75561523438</v>
      </c>
      <c r="BL199" s="51">
        <v>17.3</v>
      </c>
      <c r="BM199" s="51">
        <v>1151</v>
      </c>
      <c r="BN199" s="51">
        <v>333.1</v>
      </c>
      <c r="BO199" s="51">
        <v>6175.1</v>
      </c>
      <c r="BP199" s="51">
        <v>4852</v>
      </c>
      <c r="BQ199" s="51">
        <v>686</v>
      </c>
      <c r="BR199" s="51">
        <v>139.30000000000001</v>
      </c>
      <c r="BS199" s="51">
        <v>160</v>
      </c>
      <c r="BT199" s="51">
        <v>4.0848599999999999</v>
      </c>
      <c r="BU199" s="41"/>
      <c r="BV199" s="41"/>
      <c r="BW199" s="41"/>
      <c r="BX199" s="41"/>
      <c r="BY199" s="41"/>
      <c r="BZ199" s="41"/>
      <c r="CA199" s="41"/>
      <c r="CB199" s="41"/>
      <c r="CC199" s="41"/>
      <c r="CD199" s="41"/>
      <c r="CE199" s="41"/>
      <c r="CF199" s="41"/>
      <c r="CG199" s="41"/>
      <c r="CH199" s="41"/>
      <c r="CI199" s="41"/>
      <c r="CJ199" s="41"/>
      <c r="CK199" s="41"/>
    </row>
    <row r="200" spans="1:89">
      <c r="A200" s="48" t="s">
        <v>329</v>
      </c>
      <c r="B200" s="49">
        <v>11.510000228879999</v>
      </c>
      <c r="C200" s="49">
        <v>11.510000228879999</v>
      </c>
      <c r="D200" s="49">
        <v>11.510000228879999</v>
      </c>
      <c r="E200" s="49" t="s">
        <v>1574</v>
      </c>
      <c r="F200" s="49">
        <v>27.16</v>
      </c>
      <c r="G200" s="49" t="s">
        <v>1574</v>
      </c>
      <c r="H200" s="49">
        <v>0.54</v>
      </c>
      <c r="I200" s="49">
        <v>1.7351132997100001</v>
      </c>
      <c r="J200" s="49" t="s">
        <v>1574</v>
      </c>
      <c r="K200" s="49" t="s">
        <v>1574</v>
      </c>
      <c r="L200" s="49">
        <v>1.4046000000000001</v>
      </c>
      <c r="M200" s="49">
        <v>2.0470000000000002</v>
      </c>
      <c r="N200" s="49">
        <v>1.7444759999999999</v>
      </c>
      <c r="O200" s="49">
        <v>1.1020000000000001</v>
      </c>
      <c r="P200" s="49">
        <v>0.85829120000000003</v>
      </c>
      <c r="Q200" s="49">
        <v>1.2140029999999999</v>
      </c>
      <c r="R200" s="49">
        <v>1.233625</v>
      </c>
      <c r="S200" s="49">
        <v>332</v>
      </c>
      <c r="T200" s="49" t="s">
        <v>1574</v>
      </c>
      <c r="U200" s="49" t="s">
        <v>1574</v>
      </c>
      <c r="V200" s="49">
        <v>720</v>
      </c>
      <c r="W200" s="49">
        <v>353.88</v>
      </c>
      <c r="X200" s="49" t="s">
        <v>1574</v>
      </c>
      <c r="Y200" s="49">
        <v>189</v>
      </c>
      <c r="Z200" s="49">
        <v>385</v>
      </c>
      <c r="AA200" s="49">
        <v>160</v>
      </c>
      <c r="AB200" s="49" t="s">
        <v>1574</v>
      </c>
      <c r="AC200" s="49" t="s">
        <v>1574</v>
      </c>
      <c r="AD200" s="49">
        <v>57.036130707049999</v>
      </c>
      <c r="AE200" s="49">
        <v>110.26</v>
      </c>
      <c r="AF200" s="49">
        <v>108.58</v>
      </c>
      <c r="AG200" s="49">
        <v>259.86</v>
      </c>
      <c r="AH200" s="49" t="s">
        <v>1574</v>
      </c>
      <c r="AI200" s="49" t="s">
        <v>1574</v>
      </c>
      <c r="AJ200" s="49" t="s">
        <v>1574</v>
      </c>
      <c r="AK200" s="49" t="s">
        <v>1574</v>
      </c>
      <c r="AL200" s="49">
        <v>143.66999999999999</v>
      </c>
      <c r="AM200" s="49" t="s">
        <v>1574</v>
      </c>
      <c r="AN200" s="49">
        <v>0.24299999999999999</v>
      </c>
      <c r="AO200" s="49">
        <v>0.216</v>
      </c>
      <c r="AP200" s="49">
        <v>1.4861</v>
      </c>
      <c r="AQ200" s="49">
        <v>0.59093909828000002</v>
      </c>
      <c r="AR200" s="49">
        <v>1.46</v>
      </c>
      <c r="AS200" s="49">
        <v>8.3114173999999998</v>
      </c>
      <c r="AT200" s="49">
        <v>0.29740323800000001</v>
      </c>
      <c r="AU200" s="49">
        <v>0.33995240399999999</v>
      </c>
      <c r="AV200" s="49">
        <v>0.30909999999999999</v>
      </c>
      <c r="AW200" s="49">
        <v>1977.71</v>
      </c>
      <c r="AX200" s="49">
        <v>145.74</v>
      </c>
      <c r="AY200" s="49">
        <v>73.2</v>
      </c>
      <c r="AZ200" s="49" t="s">
        <v>1574</v>
      </c>
      <c r="BA200" s="49">
        <v>233.44851460571999</v>
      </c>
      <c r="BB200" s="49" t="s">
        <v>1574</v>
      </c>
      <c r="BC200" s="49">
        <v>1.4743999999999999</v>
      </c>
      <c r="BD200" s="49" t="s">
        <v>1574</v>
      </c>
      <c r="BE200" s="49">
        <v>0.63849999999999996</v>
      </c>
      <c r="BF200" s="49">
        <v>40</v>
      </c>
      <c r="BG200" s="49">
        <v>130</v>
      </c>
      <c r="BH200" s="49">
        <v>105</v>
      </c>
      <c r="BI200" s="49">
        <v>82</v>
      </c>
      <c r="BJ200" s="49">
        <v>70</v>
      </c>
      <c r="BK200" s="49">
        <v>853.18798828125</v>
      </c>
      <c r="BL200" s="49">
        <v>22.72</v>
      </c>
      <c r="BM200" s="49">
        <v>1193</v>
      </c>
      <c r="BN200" s="49">
        <v>337</v>
      </c>
      <c r="BO200" s="49">
        <v>6241.3</v>
      </c>
      <c r="BP200" s="49">
        <v>4850</v>
      </c>
      <c r="BQ200" s="49">
        <v>692</v>
      </c>
      <c r="BR200" s="49">
        <v>131.05000000000001</v>
      </c>
      <c r="BS200" s="49">
        <v>160</v>
      </c>
      <c r="BT200" s="49">
        <v>4.0626499999999997</v>
      </c>
      <c r="BU200" s="41"/>
      <c r="BV200" s="41"/>
      <c r="BW200" s="41"/>
      <c r="BX200" s="41"/>
      <c r="BY200" s="41"/>
      <c r="BZ200" s="41"/>
      <c r="CA200" s="41"/>
      <c r="CB200" s="41"/>
      <c r="CC200" s="41"/>
      <c r="CD200" s="41"/>
      <c r="CE200" s="41"/>
      <c r="CF200" s="41"/>
      <c r="CG200" s="41"/>
      <c r="CH200" s="41"/>
      <c r="CI200" s="41"/>
      <c r="CJ200" s="41"/>
      <c r="CK200" s="41"/>
    </row>
    <row r="201" spans="1:89">
      <c r="A201" s="41" t="s">
        <v>330</v>
      </c>
      <c r="B201" s="51">
        <v>11.510000228879999</v>
      </c>
      <c r="C201" s="51">
        <v>11.510000228879999</v>
      </c>
      <c r="D201" s="51">
        <v>11.510000228879999</v>
      </c>
      <c r="E201" s="51" t="s">
        <v>1574</v>
      </c>
      <c r="F201" s="51">
        <v>27.16</v>
      </c>
      <c r="G201" s="51" t="s">
        <v>1574</v>
      </c>
      <c r="H201" s="51">
        <v>0.54</v>
      </c>
      <c r="I201" s="51">
        <v>1.7351132997100001</v>
      </c>
      <c r="J201" s="51" t="s">
        <v>1574</v>
      </c>
      <c r="K201" s="51" t="s">
        <v>1574</v>
      </c>
      <c r="L201" s="51">
        <v>1.4340999999999999</v>
      </c>
      <c r="M201" s="51">
        <v>2.1873999999999998</v>
      </c>
      <c r="N201" s="51">
        <v>1.8222970000000001</v>
      </c>
      <c r="O201" s="51">
        <v>1.0791999999999999</v>
      </c>
      <c r="P201" s="51">
        <v>0.81809929999999997</v>
      </c>
      <c r="Q201" s="51">
        <v>1.1882600000000001</v>
      </c>
      <c r="R201" s="51">
        <v>1.2312350000000001</v>
      </c>
      <c r="S201" s="51">
        <v>336</v>
      </c>
      <c r="T201" s="51" t="s">
        <v>1574</v>
      </c>
      <c r="U201" s="51" t="s">
        <v>1574</v>
      </c>
      <c r="V201" s="51">
        <v>734</v>
      </c>
      <c r="W201" s="51">
        <v>365.84</v>
      </c>
      <c r="X201" s="51" t="s">
        <v>1574</v>
      </c>
      <c r="Y201" s="51">
        <v>191</v>
      </c>
      <c r="Z201" s="51">
        <v>390</v>
      </c>
      <c r="AA201" s="51">
        <v>164</v>
      </c>
      <c r="AB201" s="51" t="s">
        <v>1574</v>
      </c>
      <c r="AC201" s="51" t="s">
        <v>1574</v>
      </c>
      <c r="AD201" s="51">
        <v>59.322428982840002</v>
      </c>
      <c r="AE201" s="51">
        <v>113.24</v>
      </c>
      <c r="AF201" s="51">
        <v>110.07</v>
      </c>
      <c r="AG201" s="51">
        <v>233.35</v>
      </c>
      <c r="AH201" s="51" t="s">
        <v>1574</v>
      </c>
      <c r="AI201" s="51" t="s">
        <v>1574</v>
      </c>
      <c r="AJ201" s="51" t="s">
        <v>1574</v>
      </c>
      <c r="AK201" s="51" t="s">
        <v>1574</v>
      </c>
      <c r="AL201" s="51">
        <v>152.85</v>
      </c>
      <c r="AM201" s="51" t="s">
        <v>1574</v>
      </c>
      <c r="AN201" s="51">
        <v>0.26100000000000001</v>
      </c>
      <c r="AO201" s="51">
        <v>0.216</v>
      </c>
      <c r="AP201" s="51">
        <v>1.5871</v>
      </c>
      <c r="AQ201" s="51">
        <v>0.59403950554999996</v>
      </c>
      <c r="AR201" s="51">
        <v>1.36</v>
      </c>
      <c r="AS201" s="51">
        <v>8.3114173999999998</v>
      </c>
      <c r="AT201" s="51">
        <v>0.29563954199999998</v>
      </c>
      <c r="AU201" s="51">
        <v>0.33157484799999998</v>
      </c>
      <c r="AV201" s="51">
        <v>0.29759999999999998</v>
      </c>
      <c r="AW201" s="51">
        <v>2052.2600000000002</v>
      </c>
      <c r="AX201" s="51">
        <v>145.43</v>
      </c>
      <c r="AY201" s="51">
        <v>77.510000000000005</v>
      </c>
      <c r="AZ201" s="51" t="s">
        <v>1574</v>
      </c>
      <c r="BA201" s="51">
        <v>240.77329107945999</v>
      </c>
      <c r="BB201" s="51" t="s">
        <v>1574</v>
      </c>
      <c r="BC201" s="51">
        <v>1.5169999999999999</v>
      </c>
      <c r="BD201" s="51" t="s">
        <v>1574</v>
      </c>
      <c r="BE201" s="51">
        <v>0.7077</v>
      </c>
      <c r="BF201" s="51">
        <v>40</v>
      </c>
      <c r="BG201" s="51">
        <v>125</v>
      </c>
      <c r="BH201" s="51">
        <v>98</v>
      </c>
      <c r="BI201" s="51">
        <v>82</v>
      </c>
      <c r="BJ201" s="51">
        <v>56</v>
      </c>
      <c r="BK201" s="51">
        <v>850.9833984375</v>
      </c>
      <c r="BL201" s="51">
        <v>22.72</v>
      </c>
      <c r="BM201" s="51">
        <v>1219</v>
      </c>
      <c r="BN201" s="51">
        <v>348</v>
      </c>
      <c r="BO201" s="51">
        <v>6508</v>
      </c>
      <c r="BP201" s="51">
        <v>4850</v>
      </c>
      <c r="BQ201" s="51">
        <v>690</v>
      </c>
      <c r="BR201" s="51">
        <v>131.06</v>
      </c>
      <c r="BS201" s="51">
        <v>160</v>
      </c>
      <c r="BT201" s="51">
        <v>4.0864200000000004</v>
      </c>
      <c r="BU201" s="41"/>
      <c r="BV201" s="41"/>
      <c r="BW201" s="41"/>
      <c r="BX201" s="41"/>
      <c r="BY201" s="41"/>
      <c r="BZ201" s="41"/>
      <c r="CA201" s="41"/>
      <c r="CB201" s="41"/>
      <c r="CC201" s="41"/>
      <c r="CD201" s="41"/>
      <c r="CE201" s="41"/>
      <c r="CF201" s="41"/>
      <c r="CG201" s="41"/>
      <c r="CH201" s="41"/>
      <c r="CI201" s="41"/>
      <c r="CJ201" s="41"/>
      <c r="CK201" s="41"/>
    </row>
    <row r="202" spans="1:89">
      <c r="A202" s="48" t="s">
        <v>331</v>
      </c>
      <c r="B202" s="49">
        <v>11.510000228879999</v>
      </c>
      <c r="C202" s="49">
        <v>11.510000228879999</v>
      </c>
      <c r="D202" s="49">
        <v>11.510000228879999</v>
      </c>
      <c r="E202" s="49" t="s">
        <v>1574</v>
      </c>
      <c r="F202" s="49">
        <v>27.16</v>
      </c>
      <c r="G202" s="49" t="s">
        <v>1574</v>
      </c>
      <c r="H202" s="49">
        <v>0.54</v>
      </c>
      <c r="I202" s="49">
        <v>1.7351132997100001</v>
      </c>
      <c r="J202" s="49" t="s">
        <v>1574</v>
      </c>
      <c r="K202" s="49" t="s">
        <v>1574</v>
      </c>
      <c r="L202" s="49">
        <v>1.4151</v>
      </c>
      <c r="M202" s="49">
        <v>2.1958000000000002</v>
      </c>
      <c r="N202" s="49">
        <v>1.815904</v>
      </c>
      <c r="O202" s="49">
        <v>1.0711999999999999</v>
      </c>
      <c r="P202" s="49">
        <v>0.84592909999999999</v>
      </c>
      <c r="Q202" s="49">
        <v>1.1485700000000001</v>
      </c>
      <c r="R202" s="49">
        <v>1.219025</v>
      </c>
      <c r="S202" s="49">
        <v>349</v>
      </c>
      <c r="T202" s="49" t="s">
        <v>1574</v>
      </c>
      <c r="U202" s="49" t="s">
        <v>1574</v>
      </c>
      <c r="V202" s="49">
        <v>669</v>
      </c>
      <c r="W202" s="49">
        <v>375.79</v>
      </c>
      <c r="X202" s="49" t="s">
        <v>1574</v>
      </c>
      <c r="Y202" s="49">
        <v>190</v>
      </c>
      <c r="Z202" s="49">
        <v>399</v>
      </c>
      <c r="AA202" s="49">
        <v>162</v>
      </c>
      <c r="AB202" s="49" t="s">
        <v>1574</v>
      </c>
      <c r="AC202" s="49" t="s">
        <v>1574</v>
      </c>
      <c r="AD202" s="49">
        <v>59.324002671179997</v>
      </c>
      <c r="AE202" s="49">
        <v>113.06</v>
      </c>
      <c r="AF202" s="49">
        <v>110.51</v>
      </c>
      <c r="AG202" s="49">
        <v>228.44</v>
      </c>
      <c r="AH202" s="49" t="s">
        <v>1574</v>
      </c>
      <c r="AI202" s="49" t="s">
        <v>1574</v>
      </c>
      <c r="AJ202" s="49" t="s">
        <v>1574</v>
      </c>
      <c r="AK202" s="49" t="s">
        <v>1574</v>
      </c>
      <c r="AL202" s="49">
        <v>152.49</v>
      </c>
      <c r="AM202" s="49" t="s">
        <v>1574</v>
      </c>
      <c r="AN202" s="49">
        <v>0.27100000000000002</v>
      </c>
      <c r="AO202" s="49">
        <v>0.216</v>
      </c>
      <c r="AP202" s="49">
        <v>1.7070000000000001</v>
      </c>
      <c r="AQ202" s="49">
        <v>0.59621336881999998</v>
      </c>
      <c r="AR202" s="49">
        <v>1.5196000000000001</v>
      </c>
      <c r="AS202" s="49">
        <v>8.3114173999999998</v>
      </c>
      <c r="AT202" s="49">
        <v>0.288584758</v>
      </c>
      <c r="AU202" s="49">
        <v>0.35869167400000002</v>
      </c>
      <c r="AV202" s="49">
        <v>0.3261</v>
      </c>
      <c r="AW202" s="49">
        <v>2110.0100000000002</v>
      </c>
      <c r="AX202" s="49">
        <v>140.59</v>
      </c>
      <c r="AY202" s="49">
        <v>79.64</v>
      </c>
      <c r="AZ202" s="49" t="s">
        <v>1574</v>
      </c>
      <c r="BA202" s="49">
        <v>244.32393079246</v>
      </c>
      <c r="BB202" s="49" t="s">
        <v>1574</v>
      </c>
      <c r="BC202" s="49">
        <v>1.5431999999999999</v>
      </c>
      <c r="BD202" s="49" t="s">
        <v>1574</v>
      </c>
      <c r="BE202" s="49">
        <v>0.73880000000000001</v>
      </c>
      <c r="BF202" s="49">
        <v>35</v>
      </c>
      <c r="BG202" s="49">
        <v>126</v>
      </c>
      <c r="BH202" s="49">
        <v>98</v>
      </c>
      <c r="BI202" s="49">
        <v>82</v>
      </c>
      <c r="BJ202" s="49">
        <v>56</v>
      </c>
      <c r="BK202" s="49">
        <v>815.70947265625</v>
      </c>
      <c r="BL202" s="49">
        <v>22.72</v>
      </c>
      <c r="BM202" s="49">
        <v>1329</v>
      </c>
      <c r="BN202" s="49">
        <v>384</v>
      </c>
      <c r="BO202" s="49">
        <v>6902.7</v>
      </c>
      <c r="BP202" s="49">
        <v>4850</v>
      </c>
      <c r="BQ202" s="49">
        <v>728</v>
      </c>
      <c r="BR202" s="49">
        <v>132.76</v>
      </c>
      <c r="BS202" s="49">
        <v>160</v>
      </c>
      <c r="BT202" s="49">
        <v>4.1891299999999996</v>
      </c>
      <c r="BU202" s="41"/>
      <c r="BV202" s="41"/>
      <c r="BW202" s="41"/>
      <c r="BX202" s="41"/>
      <c r="BY202" s="41"/>
      <c r="BZ202" s="41"/>
      <c r="CA202" s="41"/>
      <c r="CB202" s="41"/>
      <c r="CC202" s="41"/>
      <c r="CD202" s="41"/>
      <c r="CE202" s="41"/>
      <c r="CF202" s="41"/>
      <c r="CG202" s="41"/>
      <c r="CH202" s="41"/>
      <c r="CI202" s="41"/>
      <c r="CJ202" s="41"/>
      <c r="CK202" s="41"/>
    </row>
    <row r="203" spans="1:89">
      <c r="A203" s="41" t="s">
        <v>332</v>
      </c>
      <c r="B203" s="51">
        <v>11.510000228879999</v>
      </c>
      <c r="C203" s="51">
        <v>11.510000228879999</v>
      </c>
      <c r="D203" s="51">
        <v>11.510000228879999</v>
      </c>
      <c r="E203" s="51" t="s">
        <v>1574</v>
      </c>
      <c r="F203" s="51">
        <v>27.16</v>
      </c>
      <c r="G203" s="51" t="s">
        <v>1574</v>
      </c>
      <c r="H203" s="51">
        <v>0.55000000000000004</v>
      </c>
      <c r="I203" s="51">
        <v>1.7351132997100001</v>
      </c>
      <c r="J203" s="51" t="s">
        <v>1574</v>
      </c>
      <c r="K203" s="51" t="s">
        <v>1574</v>
      </c>
      <c r="L203" s="51">
        <v>1.6389</v>
      </c>
      <c r="M203" s="51">
        <v>2.7002000000000002</v>
      </c>
      <c r="N203" s="51">
        <v>2.3763049999999999</v>
      </c>
      <c r="O203" s="51">
        <v>1.2695000000000001</v>
      </c>
      <c r="P203" s="51">
        <v>0.88701810000000003</v>
      </c>
      <c r="Q203" s="51">
        <v>1.7090110000000001</v>
      </c>
      <c r="R203" s="51">
        <v>1.2125189999999999</v>
      </c>
      <c r="S203" s="51">
        <v>347</v>
      </c>
      <c r="T203" s="51" t="s">
        <v>1574</v>
      </c>
      <c r="U203" s="51" t="s">
        <v>1574</v>
      </c>
      <c r="V203" s="51">
        <v>701</v>
      </c>
      <c r="W203" s="51">
        <v>348.4</v>
      </c>
      <c r="X203" s="51" t="s">
        <v>1574</v>
      </c>
      <c r="Y203" s="51">
        <v>190</v>
      </c>
      <c r="Z203" s="51">
        <v>384</v>
      </c>
      <c r="AA203" s="51">
        <v>163</v>
      </c>
      <c r="AB203" s="51" t="s">
        <v>1574</v>
      </c>
      <c r="AC203" s="51" t="s">
        <v>1574</v>
      </c>
      <c r="AD203" s="51">
        <v>57.806047704370002</v>
      </c>
      <c r="AE203" s="51">
        <v>111.1</v>
      </c>
      <c r="AF203" s="51">
        <v>107.8</v>
      </c>
      <c r="AG203" s="51">
        <v>226.47</v>
      </c>
      <c r="AH203" s="51" t="s">
        <v>1574</v>
      </c>
      <c r="AI203" s="51" t="s">
        <v>1574</v>
      </c>
      <c r="AJ203" s="51" t="s">
        <v>1574</v>
      </c>
      <c r="AK203" s="51" t="s">
        <v>1574</v>
      </c>
      <c r="AL203" s="51">
        <v>145.5</v>
      </c>
      <c r="AM203" s="51" t="s">
        <v>1574</v>
      </c>
      <c r="AN203" s="51">
        <v>0.27100000000000002</v>
      </c>
      <c r="AO203" s="51">
        <v>0.216</v>
      </c>
      <c r="AP203" s="51">
        <v>1.8070999999999999</v>
      </c>
      <c r="AQ203" s="51">
        <v>0.59886666139</v>
      </c>
      <c r="AR203" s="51">
        <v>1.4899</v>
      </c>
      <c r="AS203" s="51">
        <v>8.3114173999999998</v>
      </c>
      <c r="AT203" s="51">
        <v>0.29762369999999999</v>
      </c>
      <c r="AU203" s="51">
        <v>0.343479796</v>
      </c>
      <c r="AV203" s="51">
        <v>0.30969999999999998</v>
      </c>
      <c r="AW203" s="51">
        <v>2107.46</v>
      </c>
      <c r="AX203" s="51">
        <v>143.47</v>
      </c>
      <c r="AY203" s="51">
        <v>83.04</v>
      </c>
      <c r="AZ203" s="51" t="s">
        <v>1574</v>
      </c>
      <c r="BA203" s="51">
        <v>249.90232406204001</v>
      </c>
      <c r="BB203" s="51" t="s">
        <v>1574</v>
      </c>
      <c r="BC203" s="51">
        <v>1.5565</v>
      </c>
      <c r="BD203" s="51" t="s">
        <v>1574</v>
      </c>
      <c r="BE203" s="51">
        <v>0.74709999999999999</v>
      </c>
      <c r="BF203" s="51">
        <v>35</v>
      </c>
      <c r="BG203" s="51">
        <v>113</v>
      </c>
      <c r="BH203" s="51">
        <v>90</v>
      </c>
      <c r="BI203" s="51">
        <v>82</v>
      </c>
      <c r="BJ203" s="51">
        <v>55</v>
      </c>
      <c r="BK203" s="51">
        <v>820.11865234375</v>
      </c>
      <c r="BL203" s="51">
        <v>22.72</v>
      </c>
      <c r="BM203" s="51">
        <v>1510</v>
      </c>
      <c r="BN203" s="51">
        <v>454</v>
      </c>
      <c r="BO203" s="51">
        <v>7123.1</v>
      </c>
      <c r="BP203" s="51">
        <v>4850</v>
      </c>
      <c r="BQ203" s="51">
        <v>789</v>
      </c>
      <c r="BR203" s="51">
        <v>127.94</v>
      </c>
      <c r="BS203" s="51">
        <v>160</v>
      </c>
      <c r="BT203" s="51">
        <v>4.3555200000000003</v>
      </c>
      <c r="BU203" s="41"/>
      <c r="BV203" s="41"/>
      <c r="BW203" s="41"/>
      <c r="BX203" s="41"/>
      <c r="BY203" s="41"/>
      <c r="BZ203" s="41"/>
      <c r="CA203" s="41"/>
      <c r="CB203" s="41"/>
      <c r="CC203" s="41"/>
      <c r="CD203" s="41"/>
      <c r="CE203" s="41"/>
      <c r="CF203" s="41"/>
      <c r="CG203" s="41"/>
      <c r="CH203" s="41"/>
      <c r="CI203" s="41"/>
      <c r="CJ203" s="41"/>
      <c r="CK203" s="41"/>
    </row>
    <row r="204" spans="1:89">
      <c r="A204" s="48" t="s">
        <v>333</v>
      </c>
      <c r="B204" s="49">
        <v>11.510000228879999</v>
      </c>
      <c r="C204" s="49">
        <v>11.510000228879999</v>
      </c>
      <c r="D204" s="49">
        <v>11.510000228879999</v>
      </c>
      <c r="E204" s="49" t="s">
        <v>1574</v>
      </c>
      <c r="F204" s="49">
        <v>27.16</v>
      </c>
      <c r="G204" s="49" t="s">
        <v>1574</v>
      </c>
      <c r="H204" s="49">
        <v>0.55000000000000004</v>
      </c>
      <c r="I204" s="49">
        <v>1.7351132997100001</v>
      </c>
      <c r="J204" s="49" t="s">
        <v>1574</v>
      </c>
      <c r="K204" s="49" t="s">
        <v>1574</v>
      </c>
      <c r="L204" s="49">
        <v>1.7685</v>
      </c>
      <c r="M204" s="49">
        <v>2.9864000000000002</v>
      </c>
      <c r="N204" s="49">
        <v>2.681638</v>
      </c>
      <c r="O204" s="49">
        <v>1.1373</v>
      </c>
      <c r="P204" s="49">
        <v>0.86450249999999995</v>
      </c>
      <c r="Q204" s="49">
        <v>1.338079</v>
      </c>
      <c r="R204" s="49">
        <v>1.209206</v>
      </c>
      <c r="S204" s="49">
        <v>355</v>
      </c>
      <c r="T204" s="49" t="s">
        <v>1574</v>
      </c>
      <c r="U204" s="49" t="s">
        <v>1574</v>
      </c>
      <c r="V204" s="49">
        <v>643</v>
      </c>
      <c r="W204" s="49">
        <v>344.8</v>
      </c>
      <c r="X204" s="49" t="s">
        <v>1574</v>
      </c>
      <c r="Y204" s="49">
        <v>210</v>
      </c>
      <c r="Z204" s="49">
        <v>370</v>
      </c>
      <c r="AA204" s="49">
        <v>189</v>
      </c>
      <c r="AB204" s="49" t="s">
        <v>1574</v>
      </c>
      <c r="AC204" s="49" t="s">
        <v>1574</v>
      </c>
      <c r="AD204" s="49">
        <v>58.46623896386</v>
      </c>
      <c r="AE204" s="49">
        <v>118.2</v>
      </c>
      <c r="AF204" s="49">
        <v>107.8</v>
      </c>
      <c r="AG204" s="49">
        <v>226.47</v>
      </c>
      <c r="AH204" s="49" t="s">
        <v>1574</v>
      </c>
      <c r="AI204" s="49" t="s">
        <v>1574</v>
      </c>
      <c r="AJ204" s="49" t="s">
        <v>1574</v>
      </c>
      <c r="AK204" s="49" t="s">
        <v>1574</v>
      </c>
      <c r="AL204" s="49">
        <v>141.83000000000001</v>
      </c>
      <c r="AM204" s="49" t="s">
        <v>1574</v>
      </c>
      <c r="AN204" s="49">
        <v>0.28000000000000003</v>
      </c>
      <c r="AO204" s="49">
        <v>0.216</v>
      </c>
      <c r="AP204" s="49">
        <v>1.7758</v>
      </c>
      <c r="AQ204" s="49">
        <v>0.60519023137000005</v>
      </c>
      <c r="AR204" s="49">
        <v>1.5590999999999999</v>
      </c>
      <c r="AS204" s="49">
        <v>8.3114173999999998</v>
      </c>
      <c r="AT204" s="49">
        <v>0.29563954199999998</v>
      </c>
      <c r="AU204" s="49">
        <v>0.35207781399999999</v>
      </c>
      <c r="AV204" s="49">
        <v>0.3206</v>
      </c>
      <c r="AW204" s="49">
        <v>2174.4299999999998</v>
      </c>
      <c r="AX204" s="49">
        <v>142.55000000000001</v>
      </c>
      <c r="AY204" s="49">
        <v>83.06</v>
      </c>
      <c r="AZ204" s="49" t="s">
        <v>1574</v>
      </c>
      <c r="BA204" s="49">
        <v>249.93482400916</v>
      </c>
      <c r="BB204" s="49" t="s">
        <v>1574</v>
      </c>
      <c r="BC204" s="49">
        <v>1.6137999999999999</v>
      </c>
      <c r="BD204" s="49" t="s">
        <v>1574</v>
      </c>
      <c r="BE204" s="49">
        <v>0.81200000000000006</v>
      </c>
      <c r="BF204" s="49">
        <v>35</v>
      </c>
      <c r="BG204" s="49">
        <v>104</v>
      </c>
      <c r="BH204" s="49">
        <v>80</v>
      </c>
      <c r="BI204" s="49">
        <v>82</v>
      </c>
      <c r="BJ204" s="49">
        <v>53</v>
      </c>
      <c r="BK204" s="49">
        <v>824.52783203125</v>
      </c>
      <c r="BL204" s="49">
        <v>22.72</v>
      </c>
      <c r="BM204" s="49">
        <v>1512</v>
      </c>
      <c r="BN204" s="49">
        <v>483</v>
      </c>
      <c r="BO204" s="49">
        <v>7449.4</v>
      </c>
      <c r="BP204" s="49">
        <v>4850</v>
      </c>
      <c r="BQ204" s="49">
        <v>774</v>
      </c>
      <c r="BR204" s="49">
        <v>126.92</v>
      </c>
      <c r="BS204" s="49">
        <v>160</v>
      </c>
      <c r="BT204" s="49">
        <v>4.4884500000000003</v>
      </c>
      <c r="BU204" s="41"/>
      <c r="BV204" s="41"/>
      <c r="BW204" s="41"/>
      <c r="BX204" s="41"/>
      <c r="BY204" s="41"/>
      <c r="BZ204" s="41"/>
      <c r="CA204" s="41"/>
      <c r="CB204" s="41"/>
      <c r="CC204" s="41"/>
      <c r="CD204" s="41"/>
      <c r="CE204" s="41"/>
      <c r="CF204" s="41"/>
      <c r="CG204" s="41"/>
      <c r="CH204" s="41"/>
      <c r="CI204" s="41"/>
      <c r="CJ204" s="41"/>
      <c r="CK204" s="41"/>
    </row>
    <row r="205" spans="1:89">
      <c r="A205" s="41" t="s">
        <v>334</v>
      </c>
      <c r="B205" s="51">
        <v>11.510000228879999</v>
      </c>
      <c r="C205" s="51">
        <v>11.510000228879999</v>
      </c>
      <c r="D205" s="51">
        <v>11.510000228879999</v>
      </c>
      <c r="E205" s="51" t="s">
        <v>1574</v>
      </c>
      <c r="F205" s="51">
        <v>27.16</v>
      </c>
      <c r="G205" s="51" t="s">
        <v>1574</v>
      </c>
      <c r="H205" s="51">
        <v>0.57999999999999996</v>
      </c>
      <c r="I205" s="51">
        <v>1.7351132997100001</v>
      </c>
      <c r="J205" s="51" t="s">
        <v>1574</v>
      </c>
      <c r="K205" s="51" t="s">
        <v>1574</v>
      </c>
      <c r="L205" s="51">
        <v>1.9241999999999999</v>
      </c>
      <c r="M205" s="51">
        <v>3.2976999999999999</v>
      </c>
      <c r="N205" s="51">
        <v>2.8672629999999999</v>
      </c>
      <c r="O205" s="51">
        <v>1.2145999999999999</v>
      </c>
      <c r="P205" s="51">
        <v>0.85786859999999998</v>
      </c>
      <c r="Q205" s="51">
        <v>1.5818270000000001</v>
      </c>
      <c r="R205" s="51">
        <v>1.203978</v>
      </c>
      <c r="S205" s="51">
        <v>380</v>
      </c>
      <c r="T205" s="51" t="s">
        <v>1574</v>
      </c>
      <c r="U205" s="51" t="s">
        <v>1574</v>
      </c>
      <c r="V205" s="51">
        <v>671</v>
      </c>
      <c r="W205" s="51">
        <v>394.8</v>
      </c>
      <c r="X205" s="51" t="s">
        <v>1574</v>
      </c>
      <c r="Y205" s="51">
        <v>248</v>
      </c>
      <c r="Z205" s="51">
        <v>408</v>
      </c>
      <c r="AA205" s="51">
        <v>244</v>
      </c>
      <c r="AB205" s="51" t="s">
        <v>1574</v>
      </c>
      <c r="AC205" s="51" t="s">
        <v>1574</v>
      </c>
      <c r="AD205" s="51">
        <v>60.01133589877</v>
      </c>
      <c r="AE205" s="51">
        <v>121.8</v>
      </c>
      <c r="AF205" s="51">
        <v>109.5</v>
      </c>
      <c r="AG205" s="51">
        <v>222.84</v>
      </c>
      <c r="AH205" s="51" t="s">
        <v>1574</v>
      </c>
      <c r="AI205" s="51" t="s">
        <v>1574</v>
      </c>
      <c r="AJ205" s="51" t="s">
        <v>1574</v>
      </c>
      <c r="AK205" s="51" t="s">
        <v>1574</v>
      </c>
      <c r="AL205" s="51">
        <v>146.24</v>
      </c>
      <c r="AM205" s="51" t="s">
        <v>1574</v>
      </c>
      <c r="AN205" s="51">
        <v>0.26500000000000001</v>
      </c>
      <c r="AO205" s="51">
        <v>0.216</v>
      </c>
      <c r="AP205" s="51">
        <v>1.6006</v>
      </c>
      <c r="AQ205" s="51">
        <v>0.61439551869999998</v>
      </c>
      <c r="AR205" s="51">
        <v>1.5347</v>
      </c>
      <c r="AS205" s="51">
        <v>8.3114173999999998</v>
      </c>
      <c r="AT205" s="51">
        <v>0.29321446000000001</v>
      </c>
      <c r="AU205" s="51">
        <v>0.31746528000000002</v>
      </c>
      <c r="AV205" s="51">
        <v>0.28639999999999999</v>
      </c>
      <c r="AW205" s="51">
        <v>2198.62</v>
      </c>
      <c r="AX205" s="51">
        <v>141.43</v>
      </c>
      <c r="AY205" s="51">
        <v>86.57</v>
      </c>
      <c r="AZ205" s="51" t="s">
        <v>1574</v>
      </c>
      <c r="BA205" s="51">
        <v>255.58392577031</v>
      </c>
      <c r="BB205" s="51" t="s">
        <v>1574</v>
      </c>
      <c r="BC205" s="51">
        <v>1.8011999999999999</v>
      </c>
      <c r="BD205" s="51" t="s">
        <v>1574</v>
      </c>
      <c r="BE205" s="51">
        <v>0.85140000000000005</v>
      </c>
      <c r="BF205" s="51">
        <v>35</v>
      </c>
      <c r="BG205" s="51">
        <v>100</v>
      </c>
      <c r="BH205" s="51">
        <v>80</v>
      </c>
      <c r="BI205" s="51">
        <v>82</v>
      </c>
      <c r="BJ205" s="51">
        <v>53</v>
      </c>
      <c r="BK205" s="51">
        <v>804.68627929688</v>
      </c>
      <c r="BL205" s="51">
        <v>22.72</v>
      </c>
      <c r="BM205" s="51">
        <v>1550</v>
      </c>
      <c r="BN205" s="51">
        <v>476</v>
      </c>
      <c r="BO205" s="51">
        <v>7766.9</v>
      </c>
      <c r="BP205" s="51">
        <v>4850</v>
      </c>
      <c r="BQ205" s="51">
        <v>750</v>
      </c>
      <c r="BR205" s="51">
        <v>125.71</v>
      </c>
      <c r="BS205" s="51">
        <v>163.54</v>
      </c>
      <c r="BT205" s="51">
        <v>4.8117299999999998</v>
      </c>
      <c r="BU205" s="41"/>
      <c r="BV205" s="41"/>
      <c r="BW205" s="41"/>
      <c r="BX205" s="41"/>
      <c r="BY205" s="41"/>
      <c r="BZ205" s="41"/>
      <c r="CA205" s="41"/>
      <c r="CB205" s="41"/>
      <c r="CC205" s="41"/>
      <c r="CD205" s="41"/>
      <c r="CE205" s="41"/>
      <c r="CF205" s="41"/>
      <c r="CG205" s="41"/>
      <c r="CH205" s="41"/>
      <c r="CI205" s="41"/>
      <c r="CJ205" s="41"/>
      <c r="CK205" s="41"/>
    </row>
    <row r="206" spans="1:89">
      <c r="A206" s="48" t="s">
        <v>335</v>
      </c>
      <c r="B206" s="49">
        <v>11.60000038147</v>
      </c>
      <c r="C206" s="49">
        <v>11.60000038147</v>
      </c>
      <c r="D206" s="49">
        <v>11.60000038147</v>
      </c>
      <c r="E206" s="49" t="s">
        <v>1574</v>
      </c>
      <c r="F206" s="49">
        <v>27.16</v>
      </c>
      <c r="G206" s="49" t="s">
        <v>1574</v>
      </c>
      <c r="H206" s="49">
        <v>0.57999999999999996</v>
      </c>
      <c r="I206" s="49">
        <v>1.7351132997100001</v>
      </c>
      <c r="J206" s="49" t="s">
        <v>1574</v>
      </c>
      <c r="K206" s="49" t="s">
        <v>1574</v>
      </c>
      <c r="L206" s="49">
        <v>1.9570000000000001</v>
      </c>
      <c r="M206" s="49">
        <v>3.0255999999999998</v>
      </c>
      <c r="N206" s="49">
        <v>2.7841499999999999</v>
      </c>
      <c r="O206" s="49">
        <v>1.2606999999999999</v>
      </c>
      <c r="P206" s="49">
        <v>0.94700459999999997</v>
      </c>
      <c r="Q206" s="49">
        <v>1.629308</v>
      </c>
      <c r="R206" s="49">
        <v>1.2058850000000001</v>
      </c>
      <c r="S206" s="49">
        <v>455</v>
      </c>
      <c r="T206" s="49" t="s">
        <v>1574</v>
      </c>
      <c r="U206" s="49" t="s">
        <v>1574</v>
      </c>
      <c r="V206" s="49">
        <v>420</v>
      </c>
      <c r="W206" s="49">
        <v>450.5</v>
      </c>
      <c r="X206" s="49" t="s">
        <v>1574</v>
      </c>
      <c r="Y206" s="49">
        <v>264</v>
      </c>
      <c r="Z206" s="49">
        <v>457</v>
      </c>
      <c r="AA206" s="49">
        <v>231</v>
      </c>
      <c r="AB206" s="49" t="s">
        <v>1574</v>
      </c>
      <c r="AC206" s="49" t="s">
        <v>1574</v>
      </c>
      <c r="AD206" s="49">
        <v>59.258800179449999</v>
      </c>
      <c r="AE206" s="49">
        <v>121.3</v>
      </c>
      <c r="AF206" s="49">
        <v>113</v>
      </c>
      <c r="AG206" s="49">
        <v>222.74</v>
      </c>
      <c r="AH206" s="49" t="s">
        <v>1574</v>
      </c>
      <c r="AI206" s="49" t="s">
        <v>1574</v>
      </c>
      <c r="AJ206" s="49" t="s">
        <v>1574</v>
      </c>
      <c r="AK206" s="49" t="s">
        <v>1574</v>
      </c>
      <c r="AL206" s="49">
        <v>142.19999999999999</v>
      </c>
      <c r="AM206" s="49" t="s">
        <v>1574</v>
      </c>
      <c r="AN206" s="49">
        <v>0.25800000000000001</v>
      </c>
      <c r="AO206" s="49">
        <v>0.216</v>
      </c>
      <c r="AP206" s="49">
        <v>1.5302</v>
      </c>
      <c r="AQ206" s="49">
        <v>0.61552509375999997</v>
      </c>
      <c r="AR206" s="49">
        <v>1.5457000000000001</v>
      </c>
      <c r="AS206" s="49">
        <v>8.3114173999999998</v>
      </c>
      <c r="AT206" s="49">
        <v>0.29299399799999998</v>
      </c>
      <c r="AU206" s="49">
        <v>0.32165405800000002</v>
      </c>
      <c r="AV206" s="49">
        <v>0.29120000000000001</v>
      </c>
      <c r="AW206" s="49">
        <v>2212.9499999999998</v>
      </c>
      <c r="AX206" s="49">
        <v>138.30000000000001</v>
      </c>
      <c r="AY206" s="49">
        <v>94.04</v>
      </c>
      <c r="AZ206" s="49" t="s">
        <v>1574</v>
      </c>
      <c r="BA206" s="49">
        <v>267.26614296423998</v>
      </c>
      <c r="BB206" s="49" t="s">
        <v>1574</v>
      </c>
      <c r="BC206" s="49">
        <v>2.0017999999999998</v>
      </c>
      <c r="BD206" s="49" t="s">
        <v>1574</v>
      </c>
      <c r="BE206" s="49">
        <v>0.79210000000000003</v>
      </c>
      <c r="BF206" s="49">
        <v>35</v>
      </c>
      <c r="BG206" s="49">
        <v>120</v>
      </c>
      <c r="BH206" s="49">
        <v>85</v>
      </c>
      <c r="BI206" s="49">
        <v>82</v>
      </c>
      <c r="BJ206" s="49">
        <v>55</v>
      </c>
      <c r="BK206" s="49">
        <v>903.89428710938</v>
      </c>
      <c r="BL206" s="49">
        <v>22.72</v>
      </c>
      <c r="BM206" s="49">
        <v>1647</v>
      </c>
      <c r="BN206" s="49">
        <v>509</v>
      </c>
      <c r="BO206" s="49">
        <v>8496.6</v>
      </c>
      <c r="BP206" s="49">
        <v>4850</v>
      </c>
      <c r="BQ206" s="49">
        <v>776</v>
      </c>
      <c r="BR206" s="49">
        <v>117.73</v>
      </c>
      <c r="BS206" s="49">
        <v>171.12</v>
      </c>
      <c r="BT206" s="49">
        <v>4.7606000000000002</v>
      </c>
      <c r="BU206" s="41"/>
      <c r="BV206" s="41"/>
      <c r="BW206" s="41"/>
      <c r="BX206" s="41"/>
      <c r="BY206" s="41"/>
      <c r="BZ206" s="41"/>
      <c r="CA206" s="41"/>
      <c r="CB206" s="41"/>
      <c r="CC206" s="41"/>
      <c r="CD206" s="41"/>
      <c r="CE206" s="41"/>
      <c r="CF206" s="41"/>
      <c r="CG206" s="41"/>
      <c r="CH206" s="41"/>
      <c r="CI206" s="41"/>
      <c r="CJ206" s="41"/>
      <c r="CK206" s="41"/>
    </row>
    <row r="207" spans="1:89">
      <c r="A207" s="41" t="s">
        <v>336</v>
      </c>
      <c r="B207" s="51">
        <v>11.60000038147</v>
      </c>
      <c r="C207" s="51">
        <v>11.60000038147</v>
      </c>
      <c r="D207" s="51">
        <v>11.60000038147</v>
      </c>
      <c r="E207" s="51" t="s">
        <v>1574</v>
      </c>
      <c r="F207" s="51">
        <v>27.16</v>
      </c>
      <c r="G207" s="51" t="s">
        <v>1574</v>
      </c>
      <c r="H207" s="51">
        <v>0.6</v>
      </c>
      <c r="I207" s="51">
        <v>1.7351132997100001</v>
      </c>
      <c r="J207" s="51" t="s">
        <v>1574</v>
      </c>
      <c r="K207" s="51" t="s">
        <v>1574</v>
      </c>
      <c r="L207" s="51">
        <v>2.1219000000000001</v>
      </c>
      <c r="M207" s="51">
        <v>3.3847999999999998</v>
      </c>
      <c r="N207" s="51">
        <v>2.9157630000000001</v>
      </c>
      <c r="O207" s="51">
        <v>1.2365999999999999</v>
      </c>
      <c r="P207" s="51">
        <v>1.0311060000000001</v>
      </c>
      <c r="Q207" s="51">
        <v>1.469708</v>
      </c>
      <c r="R207" s="51">
        <v>1.208915</v>
      </c>
      <c r="S207" s="51">
        <v>451</v>
      </c>
      <c r="T207" s="51" t="s">
        <v>1574</v>
      </c>
      <c r="U207" s="51" t="s">
        <v>1574</v>
      </c>
      <c r="V207" s="51">
        <v>748</v>
      </c>
      <c r="W207" s="51">
        <v>431</v>
      </c>
      <c r="X207" s="51" t="s">
        <v>1574</v>
      </c>
      <c r="Y207" s="51">
        <v>248</v>
      </c>
      <c r="Z207" s="51">
        <v>456</v>
      </c>
      <c r="AA207" s="51">
        <v>212</v>
      </c>
      <c r="AB207" s="51" t="s">
        <v>1574</v>
      </c>
      <c r="AC207" s="51" t="s">
        <v>1574</v>
      </c>
      <c r="AD207" s="51">
        <v>55.388592817830002</v>
      </c>
      <c r="AE207" s="51">
        <v>116.1</v>
      </c>
      <c r="AF207" s="51">
        <v>101.3</v>
      </c>
      <c r="AG207" s="51">
        <v>223.53</v>
      </c>
      <c r="AH207" s="51" t="s">
        <v>1574</v>
      </c>
      <c r="AI207" s="51" t="s">
        <v>1574</v>
      </c>
      <c r="AJ207" s="51" t="s">
        <v>1574</v>
      </c>
      <c r="AK207" s="51" t="s">
        <v>1574</v>
      </c>
      <c r="AL207" s="51">
        <v>126.4</v>
      </c>
      <c r="AM207" s="51" t="s">
        <v>1574</v>
      </c>
      <c r="AN207" s="51">
        <v>0.26500000000000001</v>
      </c>
      <c r="AO207" s="51">
        <v>0.216</v>
      </c>
      <c r="AP207" s="51">
        <v>1.5785</v>
      </c>
      <c r="AQ207" s="51">
        <v>0.61583797033999998</v>
      </c>
      <c r="AR207" s="51">
        <v>1.605</v>
      </c>
      <c r="AS207" s="51">
        <v>8.3114173999999998</v>
      </c>
      <c r="AT207" s="51">
        <v>0.293875846</v>
      </c>
      <c r="AU207" s="51">
        <v>0.24956298399999999</v>
      </c>
      <c r="AV207" s="51">
        <v>0.22090000000000001</v>
      </c>
      <c r="AW207" s="51">
        <v>2231.33</v>
      </c>
      <c r="AX207" s="51">
        <v>135.02000000000001</v>
      </c>
      <c r="AY207" s="51">
        <v>100.91</v>
      </c>
      <c r="AZ207" s="51" t="s">
        <v>1574</v>
      </c>
      <c r="BA207" s="51">
        <v>277.63844446133999</v>
      </c>
      <c r="BB207" s="51" t="s">
        <v>1574</v>
      </c>
      <c r="BC207" s="51">
        <v>1.9157999999999999</v>
      </c>
      <c r="BD207" s="51" t="s">
        <v>1574</v>
      </c>
      <c r="BE207" s="51">
        <v>0.78310000000000002</v>
      </c>
      <c r="BF207" s="51">
        <v>35</v>
      </c>
      <c r="BG207" s="51">
        <v>125</v>
      </c>
      <c r="BH207" s="51">
        <v>93</v>
      </c>
      <c r="BI207" s="51">
        <v>82</v>
      </c>
      <c r="BJ207" s="51">
        <v>53</v>
      </c>
      <c r="BK207" s="51">
        <v>939.16821289063</v>
      </c>
      <c r="BL207" s="51">
        <v>22.72</v>
      </c>
      <c r="BM207" s="51">
        <v>1539</v>
      </c>
      <c r="BN207" s="51">
        <v>483</v>
      </c>
      <c r="BO207" s="51">
        <v>8084.3</v>
      </c>
      <c r="BP207" s="51">
        <v>4850</v>
      </c>
      <c r="BQ207" s="51">
        <v>741</v>
      </c>
      <c r="BR207" s="51">
        <v>109.93</v>
      </c>
      <c r="BS207" s="51">
        <v>156.15</v>
      </c>
      <c r="BT207" s="51">
        <v>4.2766000000000002</v>
      </c>
      <c r="BU207" s="41"/>
      <c r="BV207" s="41"/>
      <c r="BW207" s="41"/>
      <c r="BX207" s="41"/>
      <c r="BY207" s="41"/>
      <c r="BZ207" s="41"/>
      <c r="CA207" s="41"/>
      <c r="CB207" s="41"/>
      <c r="CC207" s="41"/>
      <c r="CD207" s="41"/>
      <c r="CE207" s="41"/>
      <c r="CF207" s="41"/>
      <c r="CG207" s="41"/>
      <c r="CH207" s="41"/>
      <c r="CI207" s="41"/>
      <c r="CJ207" s="41"/>
      <c r="CK207" s="41"/>
    </row>
    <row r="208" spans="1:89">
      <c r="A208" s="48" t="s">
        <v>337</v>
      </c>
      <c r="B208" s="49">
        <v>11.60000038147</v>
      </c>
      <c r="C208" s="49">
        <v>11.60000038147</v>
      </c>
      <c r="D208" s="49">
        <v>11.60000038147</v>
      </c>
      <c r="E208" s="49" t="s">
        <v>1574</v>
      </c>
      <c r="F208" s="49">
        <v>27.16</v>
      </c>
      <c r="G208" s="49" t="s">
        <v>1574</v>
      </c>
      <c r="H208" s="49">
        <v>0.6</v>
      </c>
      <c r="I208" s="49">
        <v>1.7351132997100001</v>
      </c>
      <c r="J208" s="49" t="s">
        <v>1574</v>
      </c>
      <c r="K208" s="49" t="s">
        <v>1574</v>
      </c>
      <c r="L208" s="49">
        <v>2.3904999999999998</v>
      </c>
      <c r="M208" s="49">
        <v>3.5133000000000001</v>
      </c>
      <c r="N208" s="49">
        <v>3.022024</v>
      </c>
      <c r="O208" s="49">
        <v>1.2104999999999999</v>
      </c>
      <c r="P208" s="49">
        <v>1.0050539999999999</v>
      </c>
      <c r="Q208" s="49">
        <v>1.4120619999999999</v>
      </c>
      <c r="R208" s="49">
        <v>1.2143630000000001</v>
      </c>
      <c r="S208" s="49">
        <v>484</v>
      </c>
      <c r="T208" s="49" t="s">
        <v>1574</v>
      </c>
      <c r="U208" s="49" t="s">
        <v>1574</v>
      </c>
      <c r="V208" s="49">
        <v>808</v>
      </c>
      <c r="W208" s="49">
        <v>456.5</v>
      </c>
      <c r="X208" s="49" t="s">
        <v>1574</v>
      </c>
      <c r="Y208" s="49">
        <v>261</v>
      </c>
      <c r="Z208" s="49">
        <v>505</v>
      </c>
      <c r="AA208" s="49">
        <v>218</v>
      </c>
      <c r="AB208" s="49" t="s">
        <v>1574</v>
      </c>
      <c r="AC208" s="49" t="s">
        <v>1574</v>
      </c>
      <c r="AD208" s="49">
        <v>53.949854285180002</v>
      </c>
      <c r="AE208" s="49">
        <v>115</v>
      </c>
      <c r="AF208" s="49">
        <v>105.9</v>
      </c>
      <c r="AG208" s="49">
        <v>244.93</v>
      </c>
      <c r="AH208" s="49" t="s">
        <v>1574</v>
      </c>
      <c r="AI208" s="49" t="s">
        <v>1574</v>
      </c>
      <c r="AJ208" s="49" t="s">
        <v>1574</v>
      </c>
      <c r="AK208" s="49" t="s">
        <v>1574</v>
      </c>
      <c r="AL208" s="49">
        <v>119.78</v>
      </c>
      <c r="AM208" s="49" t="s">
        <v>1574</v>
      </c>
      <c r="AN208" s="49">
        <v>0.25800000000000001</v>
      </c>
      <c r="AO208" s="49">
        <v>0.216</v>
      </c>
      <c r="AP208" s="49">
        <v>1.5615000000000001</v>
      </c>
      <c r="AQ208" s="49">
        <v>0.61915413003999997</v>
      </c>
      <c r="AR208" s="49">
        <v>1.6248</v>
      </c>
      <c r="AS208" s="49">
        <v>8.3114173999999998</v>
      </c>
      <c r="AT208" s="49">
        <v>0.29563954199999998</v>
      </c>
      <c r="AU208" s="49">
        <v>0.21605276000000001</v>
      </c>
      <c r="AV208" s="49">
        <v>0.1792</v>
      </c>
      <c r="AW208" s="49">
        <v>2280.46</v>
      </c>
      <c r="AX208" s="49">
        <v>136.31</v>
      </c>
      <c r="AY208" s="49">
        <v>105.12</v>
      </c>
      <c r="AZ208" s="49" t="s">
        <v>1574</v>
      </c>
      <c r="BA208" s="49">
        <v>283.83452526645999</v>
      </c>
      <c r="BB208" s="49" t="s">
        <v>1574</v>
      </c>
      <c r="BC208" s="49">
        <v>1.8761000000000001</v>
      </c>
      <c r="BD208" s="49" t="s">
        <v>1574</v>
      </c>
      <c r="BE208" s="49">
        <v>0.76900000000000002</v>
      </c>
      <c r="BF208" s="49">
        <v>35</v>
      </c>
      <c r="BG208" s="49">
        <v>140</v>
      </c>
      <c r="BH208" s="49">
        <v>100</v>
      </c>
      <c r="BI208" s="49">
        <v>82</v>
      </c>
      <c r="BJ208" s="49">
        <v>53</v>
      </c>
      <c r="BK208" s="49">
        <v>996.48828125</v>
      </c>
      <c r="BL208" s="49">
        <v>22.72</v>
      </c>
      <c r="BM208" s="49">
        <v>1459</v>
      </c>
      <c r="BN208" s="49">
        <v>481</v>
      </c>
      <c r="BO208" s="49">
        <v>7960.9</v>
      </c>
      <c r="BP208" s="49">
        <v>4938</v>
      </c>
      <c r="BQ208" s="49">
        <v>712</v>
      </c>
      <c r="BR208" s="49">
        <v>114.15</v>
      </c>
      <c r="BS208" s="49">
        <v>158.24</v>
      </c>
      <c r="BT208" s="49">
        <v>4.3034999999999997</v>
      </c>
      <c r="BU208" s="41"/>
      <c r="BV208" s="41"/>
      <c r="BW208" s="41"/>
      <c r="BX208" s="41"/>
      <c r="BY208" s="41"/>
      <c r="BZ208" s="41"/>
      <c r="CA208" s="41"/>
      <c r="CB208" s="41"/>
      <c r="CC208" s="41"/>
      <c r="CD208" s="41"/>
      <c r="CE208" s="41"/>
      <c r="CF208" s="41"/>
      <c r="CG208" s="41"/>
      <c r="CH208" s="41"/>
      <c r="CI208" s="41"/>
      <c r="CJ208" s="41"/>
      <c r="CK208" s="41"/>
    </row>
    <row r="209" spans="1:89">
      <c r="A209" s="41" t="s">
        <v>338</v>
      </c>
      <c r="B209" s="51">
        <v>11.89999961853</v>
      </c>
      <c r="C209" s="51">
        <v>11.89999961853</v>
      </c>
      <c r="D209" s="51">
        <v>11.89999961853</v>
      </c>
      <c r="E209" s="51" t="s">
        <v>1574</v>
      </c>
      <c r="F209" s="51">
        <v>27.16</v>
      </c>
      <c r="G209" s="51" t="s">
        <v>1574</v>
      </c>
      <c r="H209" s="51">
        <v>0.62</v>
      </c>
      <c r="I209" s="51">
        <v>1.7351132997100001</v>
      </c>
      <c r="J209" s="51" t="s">
        <v>1574</v>
      </c>
      <c r="K209" s="51" t="s">
        <v>1574</v>
      </c>
      <c r="L209" s="51">
        <v>2.5935000000000001</v>
      </c>
      <c r="M209" s="51">
        <v>3.8214999999999999</v>
      </c>
      <c r="N209" s="51">
        <v>3.3487399999999998</v>
      </c>
      <c r="O209" s="51">
        <v>1.2196</v>
      </c>
      <c r="P209" s="51">
        <v>1.023298</v>
      </c>
      <c r="Q209" s="51">
        <v>1.4192929999999999</v>
      </c>
      <c r="R209" s="51">
        <v>1.2160709999999999</v>
      </c>
      <c r="S209" s="51">
        <v>481</v>
      </c>
      <c r="T209" s="51" t="s">
        <v>1574</v>
      </c>
      <c r="U209" s="51" t="s">
        <v>1574</v>
      </c>
      <c r="V209" s="51">
        <v>829</v>
      </c>
      <c r="W209" s="51">
        <v>443.6</v>
      </c>
      <c r="X209" s="51" t="s">
        <v>1574</v>
      </c>
      <c r="Y209" s="51">
        <v>254</v>
      </c>
      <c r="Z209" s="51">
        <v>495</v>
      </c>
      <c r="AA209" s="51">
        <v>211</v>
      </c>
      <c r="AB209" s="51" t="s">
        <v>1574</v>
      </c>
      <c r="AC209" s="51" t="s">
        <v>1574</v>
      </c>
      <c r="AD209" s="51">
        <v>50.836539608940001</v>
      </c>
      <c r="AE209" s="51">
        <v>106.2</v>
      </c>
      <c r="AF209" s="51">
        <v>98.1</v>
      </c>
      <c r="AG209" s="51">
        <v>250.04</v>
      </c>
      <c r="AH209" s="51" t="s">
        <v>1574</v>
      </c>
      <c r="AI209" s="51" t="s">
        <v>1574</v>
      </c>
      <c r="AJ209" s="51" t="s">
        <v>1574</v>
      </c>
      <c r="AK209" s="51" t="s">
        <v>1574</v>
      </c>
      <c r="AL209" s="51">
        <v>111.33</v>
      </c>
      <c r="AM209" s="51" t="s">
        <v>1574</v>
      </c>
      <c r="AN209" s="51">
        <v>0.26500000000000001</v>
      </c>
      <c r="AO209" s="51">
        <v>0.216</v>
      </c>
      <c r="AP209" s="51">
        <v>1.4283999999999999</v>
      </c>
      <c r="AQ209" s="51">
        <v>0.62087910073999997</v>
      </c>
      <c r="AR209" s="51">
        <v>1.6458999999999999</v>
      </c>
      <c r="AS209" s="51">
        <v>8.3114173999999998</v>
      </c>
      <c r="AT209" s="51">
        <v>0.29586000400000001</v>
      </c>
      <c r="AU209" s="51">
        <v>0.23479203000000001</v>
      </c>
      <c r="AV209" s="51">
        <v>0.17699999999999999</v>
      </c>
      <c r="AW209" s="51">
        <v>2276.0300000000002</v>
      </c>
      <c r="AX209" s="51">
        <v>134.53</v>
      </c>
      <c r="AY209" s="51">
        <v>107.04</v>
      </c>
      <c r="AZ209" s="51" t="s">
        <v>1574</v>
      </c>
      <c r="BA209" s="51">
        <v>286.62233214916</v>
      </c>
      <c r="BB209" s="51" t="s">
        <v>1574</v>
      </c>
      <c r="BC209" s="51">
        <v>1.9201999999999999</v>
      </c>
      <c r="BD209" s="51" t="s">
        <v>1574</v>
      </c>
      <c r="BE209" s="51">
        <v>0.82869999999999999</v>
      </c>
      <c r="BF209" s="51">
        <v>35</v>
      </c>
      <c r="BG209" s="51">
        <v>128</v>
      </c>
      <c r="BH209" s="51">
        <v>93</v>
      </c>
      <c r="BI209" s="51">
        <v>82</v>
      </c>
      <c r="BJ209" s="51">
        <v>55</v>
      </c>
      <c r="BK209" s="51">
        <v>947.98657226563</v>
      </c>
      <c r="BL209" s="51">
        <v>22.72</v>
      </c>
      <c r="BM209" s="51">
        <v>1285</v>
      </c>
      <c r="BN209" s="51">
        <v>465</v>
      </c>
      <c r="BO209" s="51">
        <v>7971.9</v>
      </c>
      <c r="BP209" s="51">
        <v>5313</v>
      </c>
      <c r="BQ209" s="51">
        <v>639</v>
      </c>
      <c r="BR209" s="51">
        <v>116.15</v>
      </c>
      <c r="BS209" s="51">
        <v>157.9</v>
      </c>
      <c r="BT209" s="51">
        <v>4.2195</v>
      </c>
      <c r="BU209" s="41"/>
      <c r="BV209" s="41"/>
      <c r="BW209" s="41"/>
      <c r="BX209" s="41"/>
      <c r="BY209" s="41"/>
      <c r="BZ209" s="41"/>
      <c r="CA209" s="41"/>
      <c r="CB209" s="41"/>
      <c r="CC209" s="41"/>
      <c r="CD209" s="41"/>
      <c r="CE209" s="41"/>
      <c r="CF209" s="41"/>
      <c r="CG209" s="41"/>
      <c r="CH209" s="41"/>
      <c r="CI209" s="41"/>
      <c r="CJ209" s="41"/>
      <c r="CK209" s="41"/>
    </row>
    <row r="210" spans="1:89">
      <c r="A210" s="48" t="s">
        <v>339</v>
      </c>
      <c r="B210" s="49">
        <v>11.89999961853</v>
      </c>
      <c r="C210" s="49">
        <v>11.89999961853</v>
      </c>
      <c r="D210" s="49">
        <v>11.89999961853</v>
      </c>
      <c r="E210" s="49" t="s">
        <v>1574</v>
      </c>
      <c r="F210" s="49">
        <v>27.16</v>
      </c>
      <c r="G210" s="49" t="s">
        <v>1574</v>
      </c>
      <c r="H210" s="49">
        <v>0.63</v>
      </c>
      <c r="I210" s="49">
        <v>1.7351132997100001</v>
      </c>
      <c r="J210" s="49" t="s">
        <v>1574</v>
      </c>
      <c r="K210" s="49" t="s">
        <v>1574</v>
      </c>
      <c r="L210" s="49">
        <v>2.9253</v>
      </c>
      <c r="M210" s="49">
        <v>4.0342000000000002</v>
      </c>
      <c r="N210" s="49">
        <v>3.8857729999999999</v>
      </c>
      <c r="O210" s="49">
        <v>1.2096</v>
      </c>
      <c r="P210" s="49">
        <v>0.98394499999999996</v>
      </c>
      <c r="Q210" s="49">
        <v>1.4295789999999999</v>
      </c>
      <c r="R210" s="49">
        <v>1.2152959999999999</v>
      </c>
      <c r="S210" s="49">
        <v>499</v>
      </c>
      <c r="T210" s="49" t="s">
        <v>1574</v>
      </c>
      <c r="U210" s="49" t="s">
        <v>1574</v>
      </c>
      <c r="V210" s="49">
        <v>834</v>
      </c>
      <c r="W210" s="49">
        <v>456.5</v>
      </c>
      <c r="X210" s="49" t="s">
        <v>1574</v>
      </c>
      <c r="Y210" s="49">
        <v>260</v>
      </c>
      <c r="Z210" s="49">
        <v>506</v>
      </c>
      <c r="AA210" s="49">
        <v>215</v>
      </c>
      <c r="AB210" s="49" t="s">
        <v>1574</v>
      </c>
      <c r="AC210" s="49" t="s">
        <v>1574</v>
      </c>
      <c r="AD210" s="49">
        <v>48.659850092470002</v>
      </c>
      <c r="AE210" s="49">
        <v>98.7</v>
      </c>
      <c r="AF210" s="49">
        <v>93.5</v>
      </c>
      <c r="AG210" s="49">
        <v>239.24</v>
      </c>
      <c r="AH210" s="49" t="s">
        <v>1574</v>
      </c>
      <c r="AI210" s="49" t="s">
        <v>1574</v>
      </c>
      <c r="AJ210" s="49" t="s">
        <v>1574</v>
      </c>
      <c r="AK210" s="49" t="s">
        <v>1574</v>
      </c>
      <c r="AL210" s="49">
        <v>106.56</v>
      </c>
      <c r="AM210" s="49" t="s">
        <v>1574</v>
      </c>
      <c r="AN210" s="49">
        <v>0.23100000000000001</v>
      </c>
      <c r="AO210" s="49">
        <v>0.216</v>
      </c>
      <c r="AP210" s="49">
        <v>1.4125000000000001</v>
      </c>
      <c r="AQ210" s="49">
        <v>0.62397885565</v>
      </c>
      <c r="AR210" s="49">
        <v>1.6947000000000001</v>
      </c>
      <c r="AS210" s="49">
        <v>8.3114173999999998</v>
      </c>
      <c r="AT210" s="49">
        <v>0.29652139</v>
      </c>
      <c r="AU210" s="49">
        <v>0.23060325200000001</v>
      </c>
      <c r="AV210" s="49">
        <v>0.17369999999999999</v>
      </c>
      <c r="AW210" s="49">
        <v>2292.6999999999998</v>
      </c>
      <c r="AX210" s="49">
        <v>148.31</v>
      </c>
      <c r="AY210" s="49">
        <v>107.04</v>
      </c>
      <c r="AZ210" s="49" t="s">
        <v>1574</v>
      </c>
      <c r="BA210" s="49">
        <v>286.62233214916</v>
      </c>
      <c r="BB210" s="49" t="s">
        <v>1574</v>
      </c>
      <c r="BC210" s="49">
        <v>1.907</v>
      </c>
      <c r="BD210" s="49" t="s">
        <v>1574</v>
      </c>
      <c r="BE210" s="49">
        <v>0.83069999999999999</v>
      </c>
      <c r="BF210" s="49">
        <v>35</v>
      </c>
      <c r="BG210" s="49">
        <v>115</v>
      </c>
      <c r="BH210" s="49">
        <v>86</v>
      </c>
      <c r="BI210" s="49">
        <v>82</v>
      </c>
      <c r="BJ210" s="49">
        <v>54</v>
      </c>
      <c r="BK210" s="49">
        <v>947.98657226563</v>
      </c>
      <c r="BL210" s="49">
        <v>22.72</v>
      </c>
      <c r="BM210" s="49">
        <v>1279</v>
      </c>
      <c r="BN210" s="49">
        <v>459</v>
      </c>
      <c r="BO210" s="49">
        <v>8121.8</v>
      </c>
      <c r="BP210" s="49">
        <v>5313</v>
      </c>
      <c r="BQ210" s="49">
        <v>604</v>
      </c>
      <c r="BR210" s="49">
        <v>130.46</v>
      </c>
      <c r="BS210" s="49">
        <v>156.83000000000001</v>
      </c>
      <c r="BT210" s="49">
        <v>4.3532999999999999</v>
      </c>
      <c r="BU210" s="41"/>
      <c r="BV210" s="41"/>
      <c r="BW210" s="41"/>
      <c r="BX210" s="41"/>
      <c r="BY210" s="41"/>
      <c r="BZ210" s="41"/>
      <c r="CA210" s="41"/>
      <c r="CB210" s="41"/>
      <c r="CC210" s="41"/>
      <c r="CD210" s="41"/>
      <c r="CE210" s="41"/>
      <c r="CF210" s="41"/>
      <c r="CG210" s="41"/>
      <c r="CH210" s="41"/>
      <c r="CI210" s="41"/>
      <c r="CJ210" s="41"/>
      <c r="CK210" s="41"/>
    </row>
    <row r="211" spans="1:89">
      <c r="A211" s="41" t="s">
        <v>340</v>
      </c>
      <c r="B211" s="51">
        <v>11.89999961853</v>
      </c>
      <c r="C211" s="51">
        <v>11.89999961853</v>
      </c>
      <c r="D211" s="51">
        <v>11.89999961853</v>
      </c>
      <c r="E211" s="51" t="s">
        <v>1574</v>
      </c>
      <c r="F211" s="51">
        <v>27.16</v>
      </c>
      <c r="G211" s="51" t="s">
        <v>1574</v>
      </c>
      <c r="H211" s="51">
        <v>0.64</v>
      </c>
      <c r="I211" s="51">
        <v>1.7351132997100001</v>
      </c>
      <c r="J211" s="51" t="s">
        <v>1574</v>
      </c>
      <c r="K211" s="51" t="s">
        <v>1574</v>
      </c>
      <c r="L211" s="51">
        <v>2.9754</v>
      </c>
      <c r="M211" s="51">
        <v>4.5659999999999998</v>
      </c>
      <c r="N211" s="51">
        <v>4.4964389999999996</v>
      </c>
      <c r="O211" s="51">
        <v>1.2345999999999999</v>
      </c>
      <c r="P211" s="51">
        <v>1.0086919999999999</v>
      </c>
      <c r="Q211" s="51">
        <v>1.4789049999999999</v>
      </c>
      <c r="R211" s="51">
        <v>1.216245</v>
      </c>
      <c r="S211" s="51">
        <v>553</v>
      </c>
      <c r="T211" s="51" t="s">
        <v>1574</v>
      </c>
      <c r="U211" s="51" t="s">
        <v>1574</v>
      </c>
      <c r="V211" s="51">
        <v>777</v>
      </c>
      <c r="W211" s="51">
        <v>456.8</v>
      </c>
      <c r="X211" s="51" t="s">
        <v>1574</v>
      </c>
      <c r="Y211" s="51">
        <v>269</v>
      </c>
      <c r="Z211" s="51">
        <v>505</v>
      </c>
      <c r="AA211" s="51">
        <v>231</v>
      </c>
      <c r="AB211" s="51" t="s">
        <v>1574</v>
      </c>
      <c r="AC211" s="51" t="s">
        <v>1574</v>
      </c>
      <c r="AD211" s="51">
        <v>49.46854338168</v>
      </c>
      <c r="AE211" s="51">
        <v>103.5</v>
      </c>
      <c r="AF211" s="51">
        <v>96.5</v>
      </c>
      <c r="AG211" s="51">
        <v>238.26</v>
      </c>
      <c r="AH211" s="51" t="s">
        <v>1574</v>
      </c>
      <c r="AI211" s="51" t="s">
        <v>1574</v>
      </c>
      <c r="AJ211" s="51" t="s">
        <v>1574</v>
      </c>
      <c r="AK211" s="51" t="s">
        <v>1574</v>
      </c>
      <c r="AL211" s="51">
        <v>106.19</v>
      </c>
      <c r="AM211" s="51" t="s">
        <v>1574</v>
      </c>
      <c r="AN211" s="51">
        <v>0.23499999999999999</v>
      </c>
      <c r="AO211" s="51">
        <v>0.216</v>
      </c>
      <c r="AP211" s="51">
        <v>1.4972000000000001</v>
      </c>
      <c r="AQ211" s="51">
        <v>0.62851646310999998</v>
      </c>
      <c r="AR211" s="51">
        <v>1.7536</v>
      </c>
      <c r="AS211" s="51">
        <v>8.3114173999999998</v>
      </c>
      <c r="AT211" s="51">
        <v>0.299607858</v>
      </c>
      <c r="AU211" s="51">
        <v>0.22531216400000001</v>
      </c>
      <c r="AV211" s="51">
        <v>0.16639999999999999</v>
      </c>
      <c r="AW211" s="51">
        <v>2326.62</v>
      </c>
      <c r="AX211" s="51">
        <v>156.38999999999999</v>
      </c>
      <c r="AY211" s="51">
        <v>107.04</v>
      </c>
      <c r="AZ211" s="51" t="s">
        <v>1574</v>
      </c>
      <c r="BA211" s="51">
        <v>286.62233214916</v>
      </c>
      <c r="BB211" s="51" t="s">
        <v>1574</v>
      </c>
      <c r="BC211" s="51">
        <v>1.8431</v>
      </c>
      <c r="BD211" s="51" t="s">
        <v>1574</v>
      </c>
      <c r="BE211" s="51">
        <v>0.78569999999999995</v>
      </c>
      <c r="BF211" s="51">
        <v>35</v>
      </c>
      <c r="BG211" s="51">
        <v>113</v>
      </c>
      <c r="BH211" s="51">
        <v>83</v>
      </c>
      <c r="BI211" s="51">
        <v>82</v>
      </c>
      <c r="BJ211" s="51">
        <v>53</v>
      </c>
      <c r="BK211" s="51">
        <v>974.44213867188</v>
      </c>
      <c r="BL211" s="51">
        <v>22.72</v>
      </c>
      <c r="BM211" s="51">
        <v>1287</v>
      </c>
      <c r="BN211" s="51">
        <v>478</v>
      </c>
      <c r="BO211" s="51">
        <v>8399.6</v>
      </c>
      <c r="BP211" s="51">
        <v>5313</v>
      </c>
      <c r="BQ211" s="51">
        <v>642</v>
      </c>
      <c r="BR211" s="51">
        <v>133.93</v>
      </c>
      <c r="BS211" s="51">
        <v>151.99</v>
      </c>
      <c r="BT211" s="51">
        <v>4.3601000000000001</v>
      </c>
      <c r="BU211" s="41"/>
      <c r="BV211" s="41"/>
      <c r="BW211" s="41"/>
      <c r="BX211" s="41"/>
      <c r="BY211" s="41"/>
      <c r="BZ211" s="41"/>
      <c r="CA211" s="41"/>
      <c r="CB211" s="41"/>
      <c r="CC211" s="41"/>
      <c r="CD211" s="41"/>
      <c r="CE211" s="41"/>
      <c r="CF211" s="41"/>
      <c r="CG211" s="41"/>
      <c r="CH211" s="41"/>
      <c r="CI211" s="41"/>
      <c r="CJ211" s="41"/>
      <c r="CK211" s="41"/>
    </row>
    <row r="212" spans="1:89">
      <c r="A212" s="48" t="s">
        <v>341</v>
      </c>
      <c r="B212" s="49">
        <v>12.5</v>
      </c>
      <c r="C212" s="49">
        <v>12.5</v>
      </c>
      <c r="D212" s="49">
        <v>12.5</v>
      </c>
      <c r="E212" s="49" t="s">
        <v>1574</v>
      </c>
      <c r="F212" s="49">
        <v>28.68</v>
      </c>
      <c r="G212" s="49" t="s">
        <v>1574</v>
      </c>
      <c r="H212" s="49">
        <v>0.67</v>
      </c>
      <c r="I212" s="49">
        <v>1.7916226068200001</v>
      </c>
      <c r="J212" s="49">
        <v>2.7711628728200002</v>
      </c>
      <c r="K212" s="49">
        <v>18.530830763960001</v>
      </c>
      <c r="L212" s="49">
        <v>3.45</v>
      </c>
      <c r="M212" s="49">
        <v>4.8272000000000004</v>
      </c>
      <c r="N212" s="49">
        <v>4.767601</v>
      </c>
      <c r="O212" s="49">
        <v>1.5964</v>
      </c>
      <c r="P212" s="49">
        <v>1.1550739999999999</v>
      </c>
      <c r="Q212" s="49">
        <v>1.5512159999999999</v>
      </c>
      <c r="R212" s="49">
        <v>2.082884</v>
      </c>
      <c r="S212" s="49">
        <v>546</v>
      </c>
      <c r="T212" s="49" t="s">
        <v>1574</v>
      </c>
      <c r="U212" s="49" t="s">
        <v>1574</v>
      </c>
      <c r="V212" s="49">
        <v>933</v>
      </c>
      <c r="W212" s="49">
        <v>462</v>
      </c>
      <c r="X212" s="49" t="s">
        <v>1574</v>
      </c>
      <c r="Y212" s="49">
        <v>287</v>
      </c>
      <c r="Z212" s="49">
        <v>502</v>
      </c>
      <c r="AA212" s="49">
        <v>251</v>
      </c>
      <c r="AB212" s="49" t="s">
        <v>1574</v>
      </c>
      <c r="AC212" s="49" t="s">
        <v>1574</v>
      </c>
      <c r="AD212" s="49">
        <v>51.419833102790001</v>
      </c>
      <c r="AE212" s="49">
        <v>111.6</v>
      </c>
      <c r="AF212" s="49">
        <v>99.7</v>
      </c>
      <c r="AG212" s="49">
        <v>239.53</v>
      </c>
      <c r="AH212" s="49" t="s">
        <v>1574</v>
      </c>
      <c r="AI212" s="49" t="s">
        <v>1574</v>
      </c>
      <c r="AJ212" s="49" t="s">
        <v>1574</v>
      </c>
      <c r="AK212" s="49" t="s">
        <v>1574</v>
      </c>
      <c r="AL212" s="49">
        <v>108.76</v>
      </c>
      <c r="AM212" s="49" t="s">
        <v>1574</v>
      </c>
      <c r="AN212" s="49">
        <v>0.24099999999999999</v>
      </c>
      <c r="AO212" s="49">
        <v>0.254</v>
      </c>
      <c r="AP212" s="49">
        <v>1.5773999999999999</v>
      </c>
      <c r="AQ212" s="49">
        <v>0.63339175275000004</v>
      </c>
      <c r="AR212" s="49">
        <v>1.7942</v>
      </c>
      <c r="AS212" s="49">
        <v>7.9145858000000002</v>
      </c>
      <c r="AT212" s="49">
        <v>0.29938739599999997</v>
      </c>
      <c r="AU212" s="49">
        <v>0.24140589000000001</v>
      </c>
      <c r="AV212" s="49">
        <v>0.18390000000000001</v>
      </c>
      <c r="AW212" s="49">
        <v>2323.42</v>
      </c>
      <c r="AX212" s="49">
        <v>156.96</v>
      </c>
      <c r="AY212" s="49">
        <v>92</v>
      </c>
      <c r="AZ212" s="49" t="s">
        <v>1574</v>
      </c>
      <c r="BA212" s="49">
        <v>264.11955563443001</v>
      </c>
      <c r="BB212" s="49" t="s">
        <v>1574</v>
      </c>
      <c r="BC212" s="49">
        <v>1.7514000000000001</v>
      </c>
      <c r="BD212" s="49" t="s">
        <v>1574</v>
      </c>
      <c r="BE212" s="49">
        <v>0.82169999999999999</v>
      </c>
      <c r="BF212" s="49">
        <v>140</v>
      </c>
      <c r="BG212" s="49">
        <v>130</v>
      </c>
      <c r="BH212" s="49">
        <v>95</v>
      </c>
      <c r="BI212" s="49">
        <v>115</v>
      </c>
      <c r="BJ212" s="49">
        <v>54.5</v>
      </c>
      <c r="BK212" s="49">
        <v>1058.21752929688</v>
      </c>
      <c r="BL212" s="49">
        <v>23.06</v>
      </c>
      <c r="BM212" s="49">
        <v>1396</v>
      </c>
      <c r="BN212" s="49">
        <v>560</v>
      </c>
      <c r="BO212" s="49">
        <v>9486.5</v>
      </c>
      <c r="BP212" s="49">
        <v>5313</v>
      </c>
      <c r="BQ212" s="49">
        <v>692</v>
      </c>
      <c r="BR212" s="49">
        <v>132.26</v>
      </c>
      <c r="BS212" s="49">
        <v>154.55000000000001</v>
      </c>
      <c r="BT212" s="49">
        <v>4.4192</v>
      </c>
      <c r="BU212" s="41"/>
      <c r="BV212" s="41"/>
      <c r="BW212" s="41"/>
      <c r="BX212" s="41"/>
      <c r="BY212" s="41"/>
      <c r="BZ212" s="41"/>
      <c r="CA212" s="41"/>
      <c r="CB212" s="41"/>
      <c r="CC212" s="41"/>
      <c r="CD212" s="41"/>
      <c r="CE212" s="41"/>
      <c r="CF212" s="41"/>
      <c r="CG212" s="41"/>
      <c r="CH212" s="41"/>
      <c r="CI212" s="41"/>
      <c r="CJ212" s="41"/>
      <c r="CK212" s="41"/>
    </row>
    <row r="213" spans="1:89">
      <c r="A213" s="41" t="s">
        <v>342</v>
      </c>
      <c r="B213" s="51">
        <v>12.5</v>
      </c>
      <c r="C213" s="51">
        <v>12.5</v>
      </c>
      <c r="D213" s="51">
        <v>12.5</v>
      </c>
      <c r="E213" s="51" t="s">
        <v>1574</v>
      </c>
      <c r="F213" s="51">
        <v>28.68</v>
      </c>
      <c r="G213" s="51" t="s">
        <v>1574</v>
      </c>
      <c r="H213" s="51">
        <v>0.71</v>
      </c>
      <c r="I213" s="51">
        <v>1.7916226068200001</v>
      </c>
      <c r="J213" s="51">
        <v>2.7711628728200002</v>
      </c>
      <c r="K213" s="51">
        <v>19.016565682909999</v>
      </c>
      <c r="L213" s="51">
        <v>3.8176999999999999</v>
      </c>
      <c r="M213" s="51">
        <v>5.4119000000000002</v>
      </c>
      <c r="N213" s="51">
        <v>5.4313969999999996</v>
      </c>
      <c r="O213" s="51">
        <v>1.893</v>
      </c>
      <c r="P213" s="51">
        <v>1.695557</v>
      </c>
      <c r="Q213" s="51">
        <v>1.90513</v>
      </c>
      <c r="R213" s="51">
        <v>2.0784250000000002</v>
      </c>
      <c r="S213" s="51">
        <v>576</v>
      </c>
      <c r="T213" s="51" t="s">
        <v>1574</v>
      </c>
      <c r="U213" s="51" t="s">
        <v>1574</v>
      </c>
      <c r="V213" s="51">
        <v>856</v>
      </c>
      <c r="W213" s="51">
        <v>507</v>
      </c>
      <c r="X213" s="51" t="s">
        <v>1574</v>
      </c>
      <c r="Y213" s="51">
        <v>293</v>
      </c>
      <c r="Z213" s="51">
        <v>553</v>
      </c>
      <c r="AA213" s="51">
        <v>248</v>
      </c>
      <c r="AB213" s="51" t="s">
        <v>1574</v>
      </c>
      <c r="AC213" s="51" t="s">
        <v>1574</v>
      </c>
      <c r="AD213" s="51">
        <v>51.741940393759997</v>
      </c>
      <c r="AE213" s="51">
        <v>110.6</v>
      </c>
      <c r="AF213" s="51">
        <v>99.5</v>
      </c>
      <c r="AG213" s="51">
        <v>235.11</v>
      </c>
      <c r="AH213" s="51" t="s">
        <v>1574</v>
      </c>
      <c r="AI213" s="51" t="s">
        <v>1574</v>
      </c>
      <c r="AJ213" s="51" t="s">
        <v>1574</v>
      </c>
      <c r="AK213" s="51" t="s">
        <v>1574</v>
      </c>
      <c r="AL213" s="51">
        <v>110.6</v>
      </c>
      <c r="AM213" s="51" t="s">
        <v>1574</v>
      </c>
      <c r="AN213" s="51">
        <v>0.3</v>
      </c>
      <c r="AO213" s="51">
        <v>0.254</v>
      </c>
      <c r="AP213" s="51">
        <v>1.6383000000000001</v>
      </c>
      <c r="AQ213" s="51">
        <v>0.63689532489</v>
      </c>
      <c r="AR213" s="51">
        <v>1.6501999999999999</v>
      </c>
      <c r="AS213" s="51">
        <v>7.9145858000000002</v>
      </c>
      <c r="AT213" s="51">
        <v>0.29828508599999998</v>
      </c>
      <c r="AU213" s="51">
        <v>0.24383097200000001</v>
      </c>
      <c r="AV213" s="51">
        <v>0.18940000000000001</v>
      </c>
      <c r="AW213" s="51">
        <v>2269.89</v>
      </c>
      <c r="AX213" s="51">
        <v>156.66</v>
      </c>
      <c r="AY213" s="51">
        <v>95.2</v>
      </c>
      <c r="AZ213" s="51" t="s">
        <v>1574</v>
      </c>
      <c r="BA213" s="51">
        <v>269.04138082950999</v>
      </c>
      <c r="BB213" s="51" t="s">
        <v>1574</v>
      </c>
      <c r="BC213" s="51">
        <v>1.8629</v>
      </c>
      <c r="BD213" s="51" t="s">
        <v>1574</v>
      </c>
      <c r="BE213" s="51">
        <v>0.81659999999999999</v>
      </c>
      <c r="BF213" s="51">
        <v>142.5</v>
      </c>
      <c r="BG213" s="51">
        <v>133</v>
      </c>
      <c r="BH213" s="51">
        <v>95</v>
      </c>
      <c r="BI213" s="51">
        <v>100.5</v>
      </c>
      <c r="BJ213" s="51">
        <v>54.5</v>
      </c>
      <c r="BK213" s="51">
        <v>1078.05908203125</v>
      </c>
      <c r="BL213" s="51">
        <v>23.06</v>
      </c>
      <c r="BM213" s="51">
        <v>1426</v>
      </c>
      <c r="BN213" s="51">
        <v>648</v>
      </c>
      <c r="BO213" s="51">
        <v>10227.200000000001</v>
      </c>
      <c r="BP213" s="51">
        <v>5313</v>
      </c>
      <c r="BQ213" s="51">
        <v>703</v>
      </c>
      <c r="BR213" s="51">
        <v>136.24</v>
      </c>
      <c r="BS213" s="51">
        <v>161.27000000000001</v>
      </c>
      <c r="BT213" s="51">
        <v>4.5324999999999998</v>
      </c>
      <c r="BU213" s="41"/>
      <c r="BV213" s="41"/>
      <c r="BW213" s="41"/>
      <c r="BX213" s="41"/>
      <c r="BY213" s="41"/>
      <c r="BZ213" s="41"/>
      <c r="CA213" s="41"/>
      <c r="CB213" s="41"/>
      <c r="CC213" s="41"/>
      <c r="CD213" s="41"/>
      <c r="CE213" s="41"/>
      <c r="CF213" s="41"/>
      <c r="CG213" s="41"/>
      <c r="CH213" s="41"/>
      <c r="CI213" s="41"/>
      <c r="CJ213" s="41"/>
      <c r="CK213" s="41"/>
    </row>
    <row r="214" spans="1:89">
      <c r="A214" s="48" t="s">
        <v>343</v>
      </c>
      <c r="B214" s="49">
        <v>12.5</v>
      </c>
      <c r="C214" s="49">
        <v>12.5</v>
      </c>
      <c r="D214" s="49">
        <v>12.5</v>
      </c>
      <c r="E214" s="49" t="s">
        <v>1574</v>
      </c>
      <c r="F214" s="49">
        <v>28.68</v>
      </c>
      <c r="G214" s="49" t="s">
        <v>1574</v>
      </c>
      <c r="H214" s="49">
        <v>0.75</v>
      </c>
      <c r="I214" s="49">
        <v>1.7916226068200001</v>
      </c>
      <c r="J214" s="49">
        <v>2.7711628728200002</v>
      </c>
      <c r="K214" s="49">
        <v>19.502300601849999</v>
      </c>
      <c r="L214" s="49">
        <v>4.0342000000000002</v>
      </c>
      <c r="M214" s="49">
        <v>6.7058</v>
      </c>
      <c r="N214" s="49">
        <v>6.7479659999999999</v>
      </c>
      <c r="O214" s="49">
        <v>2.1875</v>
      </c>
      <c r="P214" s="49">
        <v>2.4231060000000002</v>
      </c>
      <c r="Q214" s="49">
        <v>2.0574849999999998</v>
      </c>
      <c r="R214" s="49">
        <v>2.0820110000000001</v>
      </c>
      <c r="S214" s="49">
        <v>735</v>
      </c>
      <c r="T214" s="49" t="s">
        <v>1574</v>
      </c>
      <c r="U214" s="49" t="s">
        <v>1574</v>
      </c>
      <c r="V214" s="49">
        <v>871</v>
      </c>
      <c r="W214" s="49">
        <v>598</v>
      </c>
      <c r="X214" s="49" t="s">
        <v>1574</v>
      </c>
      <c r="Y214" s="49">
        <v>328</v>
      </c>
      <c r="Z214" s="49">
        <v>630</v>
      </c>
      <c r="AA214" s="49">
        <v>272</v>
      </c>
      <c r="AB214" s="49" t="s">
        <v>1574</v>
      </c>
      <c r="AC214" s="49" t="s">
        <v>1574</v>
      </c>
      <c r="AD214" s="49">
        <v>50.611217801999999</v>
      </c>
      <c r="AE214" s="49">
        <v>108</v>
      </c>
      <c r="AF214" s="49">
        <v>98</v>
      </c>
      <c r="AG214" s="49">
        <v>242.48</v>
      </c>
      <c r="AH214" s="49" t="s">
        <v>1574</v>
      </c>
      <c r="AI214" s="49" t="s">
        <v>1574</v>
      </c>
      <c r="AJ214" s="49" t="s">
        <v>1574</v>
      </c>
      <c r="AK214" s="49" t="s">
        <v>1574</v>
      </c>
      <c r="AL214" s="49">
        <v>106.92</v>
      </c>
      <c r="AM214" s="49" t="s">
        <v>1574</v>
      </c>
      <c r="AN214" s="49">
        <v>0.32800000000000001</v>
      </c>
      <c r="AO214" s="49">
        <v>0.254</v>
      </c>
      <c r="AP214" s="49">
        <v>1.6222000000000001</v>
      </c>
      <c r="AQ214" s="49">
        <v>0.64328271278000004</v>
      </c>
      <c r="AR214" s="49">
        <v>1.5915999999999999</v>
      </c>
      <c r="AS214" s="49">
        <v>7.9145858000000002</v>
      </c>
      <c r="AT214" s="49">
        <v>0.299166934</v>
      </c>
      <c r="AU214" s="49">
        <v>0.25727915400000001</v>
      </c>
      <c r="AV214" s="49">
        <v>0.19800000000000001</v>
      </c>
      <c r="AW214" s="49">
        <v>2240.98</v>
      </c>
      <c r="AX214" s="49">
        <v>156.58000000000001</v>
      </c>
      <c r="AY214" s="49">
        <v>96.6</v>
      </c>
      <c r="AZ214" s="49" t="s">
        <v>1574</v>
      </c>
      <c r="BA214" s="49">
        <v>271.17071075373002</v>
      </c>
      <c r="BB214" s="49" t="s">
        <v>1574</v>
      </c>
      <c r="BC214" s="49">
        <v>1.9169</v>
      </c>
      <c r="BD214" s="49" t="s">
        <v>1574</v>
      </c>
      <c r="BE214" s="49">
        <v>0.81859999999999999</v>
      </c>
      <c r="BF214" s="49">
        <v>123.5</v>
      </c>
      <c r="BG214" s="49">
        <v>137</v>
      </c>
      <c r="BH214" s="49">
        <v>99</v>
      </c>
      <c r="BI214" s="49">
        <v>100.5</v>
      </c>
      <c r="BJ214" s="49">
        <v>54.5</v>
      </c>
      <c r="BK214" s="49">
        <v>1082.46850585938</v>
      </c>
      <c r="BL214" s="49">
        <v>23.06</v>
      </c>
      <c r="BM214" s="49">
        <v>1515</v>
      </c>
      <c r="BN214" s="49">
        <v>703</v>
      </c>
      <c r="BO214" s="49">
        <v>10372.700000000001</v>
      </c>
      <c r="BP214" s="49">
        <v>5313</v>
      </c>
      <c r="BQ214" s="49">
        <v>719</v>
      </c>
      <c r="BR214" s="49">
        <v>148.22999999999999</v>
      </c>
      <c r="BS214" s="49">
        <v>162.99</v>
      </c>
      <c r="BT214" s="49">
        <v>4.8653000000000004</v>
      </c>
      <c r="BU214" s="41"/>
      <c r="BV214" s="41"/>
      <c r="BW214" s="41"/>
      <c r="BX214" s="41"/>
      <c r="BY214" s="41"/>
      <c r="BZ214" s="41"/>
      <c r="CA214" s="41"/>
      <c r="CB214" s="41"/>
      <c r="CC214" s="41"/>
      <c r="CD214" s="41"/>
      <c r="CE214" s="41"/>
      <c r="CF214" s="41"/>
      <c r="CG214" s="41"/>
      <c r="CH214" s="41"/>
      <c r="CI214" s="41"/>
      <c r="CJ214" s="41"/>
      <c r="CK214" s="41"/>
    </row>
    <row r="215" spans="1:89">
      <c r="A215" s="41" t="s">
        <v>344</v>
      </c>
      <c r="B215" s="51">
        <v>12.44999980927</v>
      </c>
      <c r="C215" s="51">
        <v>12.44999980927</v>
      </c>
      <c r="D215" s="51">
        <v>12.44999980927</v>
      </c>
      <c r="E215" s="51" t="s">
        <v>1574</v>
      </c>
      <c r="F215" s="51">
        <v>28.68</v>
      </c>
      <c r="G215" s="51" t="s">
        <v>1574</v>
      </c>
      <c r="H215" s="51">
        <v>0.77</v>
      </c>
      <c r="I215" s="51">
        <v>1.7916226068200001</v>
      </c>
      <c r="J215" s="51">
        <v>2.7711628728200002</v>
      </c>
      <c r="K215" s="51">
        <v>19.745168061329998</v>
      </c>
      <c r="L215" s="51">
        <v>3.5878000000000001</v>
      </c>
      <c r="M215" s="51">
        <v>7.0035999999999996</v>
      </c>
      <c r="N215" s="51">
        <v>6.8835470000000001</v>
      </c>
      <c r="O215" s="51">
        <v>2.8752</v>
      </c>
      <c r="P215" s="51">
        <v>3.5588799999999998</v>
      </c>
      <c r="Q215" s="51">
        <v>2.9788489999999999</v>
      </c>
      <c r="R215" s="51">
        <v>2.087888</v>
      </c>
      <c r="S215" s="51">
        <v>793</v>
      </c>
      <c r="T215" s="51" t="s">
        <v>1574</v>
      </c>
      <c r="U215" s="51" t="s">
        <v>1574</v>
      </c>
      <c r="V215" s="51">
        <v>881</v>
      </c>
      <c r="W215" s="51">
        <v>647</v>
      </c>
      <c r="X215" s="51" t="s">
        <v>1574</v>
      </c>
      <c r="Y215" s="51">
        <v>384</v>
      </c>
      <c r="Z215" s="51">
        <v>782</v>
      </c>
      <c r="AA215" s="51">
        <v>316</v>
      </c>
      <c r="AB215" s="51" t="s">
        <v>1574</v>
      </c>
      <c r="AC215" s="51" t="s">
        <v>1574</v>
      </c>
      <c r="AD215" s="51">
        <v>49.292532772210002</v>
      </c>
      <c r="AE215" s="51">
        <v>105.8</v>
      </c>
      <c r="AF215" s="51">
        <v>93.6</v>
      </c>
      <c r="AG215" s="51">
        <v>232.56</v>
      </c>
      <c r="AH215" s="51" t="s">
        <v>1574</v>
      </c>
      <c r="AI215" s="51" t="s">
        <v>1574</v>
      </c>
      <c r="AJ215" s="51" t="s">
        <v>1574</v>
      </c>
      <c r="AK215" s="51" t="s">
        <v>1574</v>
      </c>
      <c r="AL215" s="51">
        <v>102.15</v>
      </c>
      <c r="AM215" s="51" t="s">
        <v>1574</v>
      </c>
      <c r="AN215" s="51">
        <v>0.3</v>
      </c>
      <c r="AO215" s="51">
        <v>0.254</v>
      </c>
      <c r="AP215" s="51">
        <v>1.5505</v>
      </c>
      <c r="AQ215" s="51">
        <v>0.65133503758</v>
      </c>
      <c r="AR215" s="51">
        <v>1.5737000000000001</v>
      </c>
      <c r="AS215" s="51">
        <v>7.9145858000000002</v>
      </c>
      <c r="AT215" s="51">
        <v>0.30048970600000002</v>
      </c>
      <c r="AU215" s="51">
        <v>0.27712073399999998</v>
      </c>
      <c r="AV215" s="51">
        <v>0.2213</v>
      </c>
      <c r="AW215" s="51">
        <v>2260.9299999999998</v>
      </c>
      <c r="AX215" s="51">
        <v>157.11000000000001</v>
      </c>
      <c r="AY215" s="51">
        <v>94.7</v>
      </c>
      <c r="AZ215" s="51" t="s">
        <v>1574</v>
      </c>
      <c r="BA215" s="51">
        <v>268.27741919971999</v>
      </c>
      <c r="BB215" s="51" t="s">
        <v>1574</v>
      </c>
      <c r="BC215" s="51">
        <v>1.8905000000000001</v>
      </c>
      <c r="BD215" s="51" t="s">
        <v>1574</v>
      </c>
      <c r="BE215" s="51">
        <v>0.79339999999999999</v>
      </c>
      <c r="BF215" s="51">
        <v>44</v>
      </c>
      <c r="BG215" s="51">
        <v>134</v>
      </c>
      <c r="BH215" s="51">
        <v>98</v>
      </c>
      <c r="BI215" s="51">
        <v>109.5</v>
      </c>
      <c r="BJ215" s="51">
        <v>54.5</v>
      </c>
      <c r="BK215" s="51">
        <v>1082.46850585938</v>
      </c>
      <c r="BL215" s="51">
        <v>23.06</v>
      </c>
      <c r="BM215" s="51">
        <v>1429</v>
      </c>
      <c r="BN215" s="51">
        <v>648</v>
      </c>
      <c r="BO215" s="51">
        <v>9596.7000000000007</v>
      </c>
      <c r="BP215" s="51">
        <v>5187</v>
      </c>
      <c r="BQ215" s="51">
        <v>655</v>
      </c>
      <c r="BR215" s="51">
        <v>149.16999999999999</v>
      </c>
      <c r="BS215" s="51">
        <v>160.74</v>
      </c>
      <c r="BT215" s="51">
        <v>4.79</v>
      </c>
      <c r="BU215" s="41"/>
      <c r="BV215" s="41"/>
      <c r="BW215" s="41"/>
      <c r="BX215" s="41"/>
      <c r="BY215" s="41"/>
      <c r="BZ215" s="41"/>
      <c r="CA215" s="41"/>
      <c r="CB215" s="41"/>
      <c r="CC215" s="41"/>
      <c r="CD215" s="41"/>
      <c r="CE215" s="41"/>
      <c r="CF215" s="41"/>
      <c r="CG215" s="41"/>
      <c r="CH215" s="41"/>
      <c r="CI215" s="41"/>
      <c r="CJ215" s="41"/>
      <c r="CK215" s="41"/>
    </row>
    <row r="216" spans="1:89">
      <c r="A216" s="48" t="s">
        <v>345</v>
      </c>
      <c r="B216" s="49">
        <v>12.44999980927</v>
      </c>
      <c r="C216" s="49">
        <v>12.44999980927</v>
      </c>
      <c r="D216" s="49">
        <v>12.44999980927</v>
      </c>
      <c r="E216" s="49" t="s">
        <v>1574</v>
      </c>
      <c r="F216" s="49">
        <v>28.677777777780001</v>
      </c>
      <c r="G216" s="49" t="s">
        <v>1574</v>
      </c>
      <c r="H216" s="49">
        <v>0.77</v>
      </c>
      <c r="I216" s="49">
        <v>1.7916226068200001</v>
      </c>
      <c r="J216" s="49">
        <v>2.7711628728200002</v>
      </c>
      <c r="K216" s="49">
        <v>19.745168061329998</v>
      </c>
      <c r="L216" s="49">
        <v>3.7831000000000001</v>
      </c>
      <c r="M216" s="49">
        <v>6.2888999999999999</v>
      </c>
      <c r="N216" s="49">
        <v>5.9426360000000003</v>
      </c>
      <c r="O216" s="49">
        <v>2.1995</v>
      </c>
      <c r="P216" s="49">
        <v>2.2605</v>
      </c>
      <c r="Q216" s="49">
        <v>2.248183</v>
      </c>
      <c r="R216" s="49">
        <v>2.0899220000000001</v>
      </c>
      <c r="S216" s="49">
        <v>718</v>
      </c>
      <c r="T216" s="49" t="s">
        <v>1574</v>
      </c>
      <c r="U216" s="49" t="s">
        <v>1574</v>
      </c>
      <c r="V216" s="49">
        <v>897</v>
      </c>
      <c r="W216" s="49">
        <v>659</v>
      </c>
      <c r="X216" s="49" t="s">
        <v>1574</v>
      </c>
      <c r="Y216" s="49">
        <v>371</v>
      </c>
      <c r="Z216" s="49">
        <v>741</v>
      </c>
      <c r="AA216" s="49">
        <v>298</v>
      </c>
      <c r="AB216" s="49" t="s">
        <v>1574</v>
      </c>
      <c r="AC216" s="49" t="s">
        <v>1574</v>
      </c>
      <c r="AD216" s="49">
        <v>46.935191091969998</v>
      </c>
      <c r="AE216" s="49">
        <v>100.9</v>
      </c>
      <c r="AF216" s="49">
        <v>91.7</v>
      </c>
      <c r="AG216" s="49">
        <v>237.67</v>
      </c>
      <c r="AH216" s="49" t="s">
        <v>1574</v>
      </c>
      <c r="AI216" s="49" t="s">
        <v>1574</v>
      </c>
      <c r="AJ216" s="49" t="s">
        <v>1574</v>
      </c>
      <c r="AK216" s="49" t="s">
        <v>1574</v>
      </c>
      <c r="AL216" s="49">
        <v>94.8</v>
      </c>
      <c r="AM216" s="49" t="s">
        <v>1574</v>
      </c>
      <c r="AN216" s="49">
        <v>0.31900000000000001</v>
      </c>
      <c r="AO216" s="49">
        <v>0.254</v>
      </c>
      <c r="AP216" s="49">
        <v>1.498</v>
      </c>
      <c r="AQ216" s="49">
        <v>0.65363380170999996</v>
      </c>
      <c r="AR216" s="49">
        <v>1.6044</v>
      </c>
      <c r="AS216" s="49">
        <v>7.9145858000000002</v>
      </c>
      <c r="AT216" s="49">
        <v>0.30776495199999998</v>
      </c>
      <c r="AU216" s="49">
        <v>0.250003908</v>
      </c>
      <c r="AV216" s="49">
        <v>0.1986</v>
      </c>
      <c r="AW216" s="49">
        <v>2264.9699999999998</v>
      </c>
      <c r="AX216" s="49">
        <v>157.47999999999999</v>
      </c>
      <c r="AY216" s="49">
        <v>91.1</v>
      </c>
      <c r="AZ216" s="49" t="s">
        <v>1574</v>
      </c>
      <c r="BA216" s="49">
        <v>262.72116104627003</v>
      </c>
      <c r="BB216" s="49" t="s">
        <v>1574</v>
      </c>
      <c r="BC216" s="49">
        <v>1.7802</v>
      </c>
      <c r="BD216" s="49" t="s">
        <v>1574</v>
      </c>
      <c r="BE216" s="49">
        <v>0.7833</v>
      </c>
      <c r="BF216" s="49">
        <v>44</v>
      </c>
      <c r="BG216" s="49">
        <v>129</v>
      </c>
      <c r="BH216" s="49">
        <v>92</v>
      </c>
      <c r="BI216" s="49">
        <v>116.1</v>
      </c>
      <c r="BJ216" s="49">
        <v>54.3</v>
      </c>
      <c r="BK216" s="49">
        <v>1082.46850585938</v>
      </c>
      <c r="BL216" s="49">
        <v>23.06</v>
      </c>
      <c r="BM216" s="49">
        <v>1371</v>
      </c>
      <c r="BN216" s="49">
        <v>661</v>
      </c>
      <c r="BO216" s="49">
        <v>9843.6</v>
      </c>
      <c r="BP216" s="49">
        <v>5282</v>
      </c>
      <c r="BQ216" s="49">
        <v>611</v>
      </c>
      <c r="BR216" s="49">
        <v>146.61000000000001</v>
      </c>
      <c r="BS216" s="49">
        <v>156.55000000000001</v>
      </c>
      <c r="BT216" s="49">
        <v>4.6997999999999998</v>
      </c>
      <c r="BU216" s="41"/>
      <c r="BV216" s="41"/>
      <c r="BW216" s="41"/>
      <c r="BX216" s="41"/>
      <c r="BY216" s="41"/>
      <c r="BZ216" s="41"/>
      <c r="CA216" s="41"/>
      <c r="CB216" s="41"/>
      <c r="CC216" s="41"/>
      <c r="CD216" s="41"/>
      <c r="CE216" s="41"/>
      <c r="CF216" s="41"/>
      <c r="CG216" s="41"/>
      <c r="CH216" s="41"/>
      <c r="CI216" s="41"/>
      <c r="CJ216" s="41"/>
      <c r="CK216" s="41"/>
    </row>
    <row r="217" spans="1:89">
      <c r="A217" s="41" t="s">
        <v>346</v>
      </c>
      <c r="B217" s="51">
        <v>12.44999980927</v>
      </c>
      <c r="C217" s="51">
        <v>12.44999980927</v>
      </c>
      <c r="D217" s="51">
        <v>12.44999980927</v>
      </c>
      <c r="E217" s="51" t="s">
        <v>1574</v>
      </c>
      <c r="F217" s="51">
        <v>28.677777777780001</v>
      </c>
      <c r="G217" s="51" t="s">
        <v>1574</v>
      </c>
      <c r="H217" s="51">
        <v>0.82</v>
      </c>
      <c r="I217" s="51">
        <v>1.7916226068200001</v>
      </c>
      <c r="J217" s="51">
        <v>2.7711628728200002</v>
      </c>
      <c r="K217" s="51">
        <v>20.35233671001</v>
      </c>
      <c r="L217" s="51">
        <v>4.2535999999999996</v>
      </c>
      <c r="M217" s="51">
        <v>5.7781000000000002</v>
      </c>
      <c r="N217" s="51">
        <v>4.9386760000000001</v>
      </c>
      <c r="O217" s="51">
        <v>2.0911</v>
      </c>
      <c r="P217" s="51">
        <v>1.6318969999999999</v>
      </c>
      <c r="Q217" s="51">
        <v>2.5508060000000001</v>
      </c>
      <c r="R217" s="51">
        <v>2.0907010000000001</v>
      </c>
      <c r="S217" s="51">
        <v>620</v>
      </c>
      <c r="T217" s="51" t="s">
        <v>1574</v>
      </c>
      <c r="U217" s="51" t="s">
        <v>1574</v>
      </c>
      <c r="V217" s="51">
        <v>848</v>
      </c>
      <c r="W217" s="51">
        <v>619</v>
      </c>
      <c r="X217" s="51" t="s">
        <v>1574</v>
      </c>
      <c r="Y217" s="51">
        <v>326</v>
      </c>
      <c r="Z217" s="51">
        <v>666</v>
      </c>
      <c r="AA217" s="51">
        <v>253</v>
      </c>
      <c r="AB217" s="51" t="s">
        <v>1574</v>
      </c>
      <c r="AC217" s="51" t="s">
        <v>1574</v>
      </c>
      <c r="AD217" s="51">
        <v>45.54828176326</v>
      </c>
      <c r="AE217" s="51">
        <v>94.5</v>
      </c>
      <c r="AF217" s="51">
        <v>84.2</v>
      </c>
      <c r="AG217" s="51">
        <v>244.64</v>
      </c>
      <c r="AH217" s="51" t="s">
        <v>1574</v>
      </c>
      <c r="AI217" s="51" t="s">
        <v>1574</v>
      </c>
      <c r="AJ217" s="51" t="s">
        <v>1574</v>
      </c>
      <c r="AK217" s="51" t="s">
        <v>1574</v>
      </c>
      <c r="AL217" s="51">
        <v>92.96</v>
      </c>
      <c r="AM217" s="51" t="s">
        <v>1574</v>
      </c>
      <c r="AN217" s="51">
        <v>0.28499999999999998</v>
      </c>
      <c r="AO217" s="51">
        <v>0.254</v>
      </c>
      <c r="AP217" s="51">
        <v>1.4612000000000001</v>
      </c>
      <c r="AQ217" s="51">
        <v>0.65300151780000004</v>
      </c>
      <c r="AR217" s="51">
        <v>1.6180000000000001</v>
      </c>
      <c r="AS217" s="51">
        <v>7.9145858000000002</v>
      </c>
      <c r="AT217" s="51">
        <v>0.30776495199999998</v>
      </c>
      <c r="AU217" s="51">
        <v>0.22663493600000001</v>
      </c>
      <c r="AV217" s="51">
        <v>0.17349999999999999</v>
      </c>
      <c r="AW217" s="51">
        <v>2246.77</v>
      </c>
      <c r="AX217" s="51">
        <v>157.88999999999999</v>
      </c>
      <c r="AY217" s="51">
        <v>90.8</v>
      </c>
      <c r="AZ217" s="51" t="s">
        <v>1574</v>
      </c>
      <c r="BA217" s="51">
        <v>262.25361861125998</v>
      </c>
      <c r="BB217" s="51" t="s">
        <v>1574</v>
      </c>
      <c r="BC217" s="51">
        <v>1.605</v>
      </c>
      <c r="BD217" s="51" t="s">
        <v>1574</v>
      </c>
      <c r="BE217" s="51">
        <v>0.76680000000000004</v>
      </c>
      <c r="BF217" s="51">
        <v>40.75</v>
      </c>
      <c r="BG217" s="51">
        <v>133</v>
      </c>
      <c r="BH217" s="51">
        <v>96</v>
      </c>
      <c r="BI217" s="51">
        <v>120</v>
      </c>
      <c r="BJ217" s="51">
        <v>55</v>
      </c>
      <c r="BK217" s="51">
        <v>1102.31005859375</v>
      </c>
      <c r="BL217" s="51">
        <v>23.06</v>
      </c>
      <c r="BM217" s="51">
        <v>1312</v>
      </c>
      <c r="BN217" s="51">
        <v>567</v>
      </c>
      <c r="BO217" s="51">
        <v>9627.6</v>
      </c>
      <c r="BP217" s="51">
        <v>5313</v>
      </c>
      <c r="BQ217" s="51">
        <v>542</v>
      </c>
      <c r="BR217" s="51">
        <v>140.78</v>
      </c>
      <c r="BS217" s="51">
        <v>150.36000000000001</v>
      </c>
      <c r="BT217" s="51">
        <v>4.4814999999999996</v>
      </c>
      <c r="BU217" s="41"/>
      <c r="BV217" s="41"/>
      <c r="BW217" s="41"/>
      <c r="BX217" s="41"/>
      <c r="BY217" s="41"/>
      <c r="BZ217" s="41"/>
      <c r="CA217" s="41"/>
      <c r="CB217" s="41"/>
      <c r="CC217" s="41"/>
      <c r="CD217" s="41"/>
      <c r="CE217" s="41"/>
      <c r="CF217" s="41"/>
      <c r="CG217" s="41"/>
      <c r="CH217" s="41"/>
      <c r="CI217" s="41"/>
      <c r="CJ217" s="41"/>
      <c r="CK217" s="41"/>
    </row>
    <row r="218" spans="1:89">
      <c r="A218" s="48" t="s">
        <v>347</v>
      </c>
      <c r="B218" s="49">
        <v>12.63000011444</v>
      </c>
      <c r="C218" s="49">
        <v>12.63000011444</v>
      </c>
      <c r="D218" s="49">
        <v>12.63000011444</v>
      </c>
      <c r="E218" s="49" t="s">
        <v>1574</v>
      </c>
      <c r="F218" s="49">
        <v>28.677777777780001</v>
      </c>
      <c r="G218" s="49" t="s">
        <v>1574</v>
      </c>
      <c r="H218" s="49">
        <v>0.83</v>
      </c>
      <c r="I218" s="49">
        <v>1.7916226068200001</v>
      </c>
      <c r="J218" s="49">
        <v>2.7711628728200002</v>
      </c>
      <c r="K218" s="49">
        <v>20.473770439750002</v>
      </c>
      <c r="L218" s="49">
        <v>4.3628999999999998</v>
      </c>
      <c r="M218" s="49">
        <v>4.8487999999999998</v>
      </c>
      <c r="N218" s="49">
        <v>4.3317579999999998</v>
      </c>
      <c r="O218" s="49">
        <v>2.0543</v>
      </c>
      <c r="P218" s="49">
        <v>1.6181719999999999</v>
      </c>
      <c r="Q218" s="49">
        <v>2.4343840000000001</v>
      </c>
      <c r="R218" s="49">
        <v>2.1102219999999998</v>
      </c>
      <c r="S218" s="49">
        <v>513</v>
      </c>
      <c r="T218" s="49" t="s">
        <v>1574</v>
      </c>
      <c r="U218" s="49" t="s">
        <v>1574</v>
      </c>
      <c r="V218" s="49">
        <v>804</v>
      </c>
      <c r="W218" s="49">
        <v>520</v>
      </c>
      <c r="X218" s="49" t="s">
        <v>1574</v>
      </c>
      <c r="Y218" s="49">
        <v>252</v>
      </c>
      <c r="Z218" s="49">
        <v>548</v>
      </c>
      <c r="AA218" s="49">
        <v>193</v>
      </c>
      <c r="AB218" s="49" t="s">
        <v>1574</v>
      </c>
      <c r="AC218" s="49" t="s">
        <v>1574</v>
      </c>
      <c r="AD218" s="49">
        <v>44.773282760039997</v>
      </c>
      <c r="AE218" s="49">
        <v>85</v>
      </c>
      <c r="AF218" s="49">
        <v>80.3</v>
      </c>
      <c r="AG218" s="49">
        <v>251.22</v>
      </c>
      <c r="AH218" s="49" t="s">
        <v>1574</v>
      </c>
      <c r="AI218" s="49" t="s">
        <v>1574</v>
      </c>
      <c r="AJ218" s="49" t="s">
        <v>1574</v>
      </c>
      <c r="AK218" s="49" t="s">
        <v>1574</v>
      </c>
      <c r="AL218" s="49">
        <v>96.64</v>
      </c>
      <c r="AM218" s="49" t="s">
        <v>1574</v>
      </c>
      <c r="AN218" s="49">
        <v>0.23400000000000001</v>
      </c>
      <c r="AO218" s="49">
        <v>0.254</v>
      </c>
      <c r="AP218" s="49">
        <v>1.4177999999999999</v>
      </c>
      <c r="AQ218" s="49">
        <v>0.64939282676999999</v>
      </c>
      <c r="AR218" s="49">
        <v>1.5881000000000001</v>
      </c>
      <c r="AS218" s="49">
        <v>7.9145858000000002</v>
      </c>
      <c r="AT218" s="49">
        <v>0.31305603999999998</v>
      </c>
      <c r="AU218" s="49">
        <v>0.22376893</v>
      </c>
      <c r="AV218" s="49">
        <v>0.16289999999999999</v>
      </c>
      <c r="AW218" s="49">
        <v>2222.4</v>
      </c>
      <c r="AX218" s="49">
        <v>160.80000000000001</v>
      </c>
      <c r="AY218" s="49">
        <v>91.5</v>
      </c>
      <c r="AZ218" s="49" t="s">
        <v>1574</v>
      </c>
      <c r="BA218" s="49">
        <v>263.34345066778002</v>
      </c>
      <c r="BB218" s="49" t="s">
        <v>1574</v>
      </c>
      <c r="BC218" s="49">
        <v>1.5721000000000001</v>
      </c>
      <c r="BD218" s="49" t="s">
        <v>1574</v>
      </c>
      <c r="BE218" s="49">
        <v>0.77029999999999998</v>
      </c>
      <c r="BF218" s="49">
        <v>37.5</v>
      </c>
      <c r="BG218" s="49">
        <v>133</v>
      </c>
      <c r="BH218" s="49">
        <v>95</v>
      </c>
      <c r="BI218" s="49">
        <v>123.125</v>
      </c>
      <c r="BJ218" s="49">
        <v>55</v>
      </c>
      <c r="BK218" s="49">
        <v>1170.6533203125</v>
      </c>
      <c r="BL218" s="49">
        <v>23.06</v>
      </c>
      <c r="BM218" s="49">
        <v>1248</v>
      </c>
      <c r="BN218" s="49">
        <v>562</v>
      </c>
      <c r="BO218" s="49">
        <v>10416.799999999999</v>
      </c>
      <c r="BP218" s="49">
        <v>5313</v>
      </c>
      <c r="BQ218" s="49">
        <v>542</v>
      </c>
      <c r="BR218" s="49">
        <v>143.38999999999999</v>
      </c>
      <c r="BS218" s="49">
        <v>149.57</v>
      </c>
      <c r="BT218" s="49">
        <v>4.5323000000000002</v>
      </c>
      <c r="BU218" s="41"/>
      <c r="BV218" s="41"/>
      <c r="BW218" s="41"/>
      <c r="BX218" s="41"/>
      <c r="BY218" s="41"/>
      <c r="BZ218" s="41"/>
      <c r="CA218" s="41"/>
      <c r="CB218" s="41"/>
      <c r="CC218" s="41"/>
      <c r="CD218" s="41"/>
      <c r="CE218" s="41"/>
      <c r="CF218" s="41"/>
      <c r="CG218" s="41"/>
      <c r="CH218" s="41"/>
      <c r="CI218" s="41"/>
      <c r="CJ218" s="41"/>
      <c r="CK218" s="41"/>
    </row>
    <row r="219" spans="1:89">
      <c r="A219" s="41" t="s">
        <v>348</v>
      </c>
      <c r="B219" s="51">
        <v>12.63000011444</v>
      </c>
      <c r="C219" s="51">
        <v>12.63000011444</v>
      </c>
      <c r="D219" s="51">
        <v>12.63000011444</v>
      </c>
      <c r="E219" s="51" t="s">
        <v>1574</v>
      </c>
      <c r="F219" s="51">
        <v>28.677777777780001</v>
      </c>
      <c r="G219" s="51" t="s">
        <v>1574</v>
      </c>
      <c r="H219" s="51">
        <v>0.82</v>
      </c>
      <c r="I219" s="51">
        <v>1.7916226068200001</v>
      </c>
      <c r="J219" s="51">
        <v>2.7711628728200002</v>
      </c>
      <c r="K219" s="51">
        <v>20.35233671001</v>
      </c>
      <c r="L219" s="51">
        <v>3.9701</v>
      </c>
      <c r="M219" s="51">
        <v>4.3959999999999999</v>
      </c>
      <c r="N219" s="51">
        <v>4.482551</v>
      </c>
      <c r="O219" s="51">
        <v>1.9267000000000001</v>
      </c>
      <c r="P219" s="51">
        <v>1.5506629999999999</v>
      </c>
      <c r="Q219" s="51">
        <v>2.1302810000000001</v>
      </c>
      <c r="R219" s="51">
        <v>2.099059</v>
      </c>
      <c r="S219" s="51">
        <v>451</v>
      </c>
      <c r="T219" s="51" t="s">
        <v>1574</v>
      </c>
      <c r="U219" s="51" t="s">
        <v>1574</v>
      </c>
      <c r="V219" s="51">
        <v>807</v>
      </c>
      <c r="W219" s="51">
        <v>493</v>
      </c>
      <c r="X219" s="51" t="s">
        <v>1574</v>
      </c>
      <c r="Y219" s="51">
        <v>230</v>
      </c>
      <c r="Z219" s="51">
        <v>498</v>
      </c>
      <c r="AA219" s="51">
        <v>174</v>
      </c>
      <c r="AB219" s="51" t="s">
        <v>1574</v>
      </c>
      <c r="AC219" s="51" t="s">
        <v>1574</v>
      </c>
      <c r="AD219" s="51">
        <v>43.092125591859997</v>
      </c>
      <c r="AE219" s="51">
        <v>76.900000000000006</v>
      </c>
      <c r="AF219" s="51">
        <v>75.7</v>
      </c>
      <c r="AG219" s="51">
        <v>254.95</v>
      </c>
      <c r="AH219" s="51" t="s">
        <v>1574</v>
      </c>
      <c r="AI219" s="51" t="s">
        <v>1574</v>
      </c>
      <c r="AJ219" s="51" t="s">
        <v>1574</v>
      </c>
      <c r="AK219" s="51" t="s">
        <v>1574</v>
      </c>
      <c r="AL219" s="51">
        <v>95.53</v>
      </c>
      <c r="AM219" s="51" t="s">
        <v>1574</v>
      </c>
      <c r="AN219" s="51">
        <v>0.24299999999999999</v>
      </c>
      <c r="AO219" s="51">
        <v>0.254</v>
      </c>
      <c r="AP219" s="51">
        <v>1.3891</v>
      </c>
      <c r="AQ219" s="51">
        <v>0.65043270612000004</v>
      </c>
      <c r="AR219" s="51">
        <v>1.5936999999999999</v>
      </c>
      <c r="AS219" s="51">
        <v>7.9145858000000002</v>
      </c>
      <c r="AT219" s="51">
        <v>0.31151280599999998</v>
      </c>
      <c r="AU219" s="51">
        <v>0.24713790199999999</v>
      </c>
      <c r="AV219" s="51">
        <v>0.1678</v>
      </c>
      <c r="AW219" s="51">
        <v>2206.8200000000002</v>
      </c>
      <c r="AX219" s="51">
        <v>159.35</v>
      </c>
      <c r="AY219" s="51">
        <v>90.9</v>
      </c>
      <c r="AZ219" s="51" t="s">
        <v>1574</v>
      </c>
      <c r="BA219" s="51">
        <v>262.40954493408998</v>
      </c>
      <c r="BB219" s="51" t="s">
        <v>1574</v>
      </c>
      <c r="BC219" s="51">
        <v>1.506</v>
      </c>
      <c r="BD219" s="51" t="s">
        <v>1574</v>
      </c>
      <c r="BE219" s="51">
        <v>0.79630000000000001</v>
      </c>
      <c r="BF219" s="51">
        <v>31.2</v>
      </c>
      <c r="BG219" s="51">
        <v>143</v>
      </c>
      <c r="BH219" s="51">
        <v>104</v>
      </c>
      <c r="BI219" s="51">
        <v>129.6</v>
      </c>
      <c r="BJ219" s="51">
        <v>55.1</v>
      </c>
      <c r="BK219" s="51">
        <v>1183.880859375</v>
      </c>
      <c r="BL219" s="51">
        <v>23.06</v>
      </c>
      <c r="BM219" s="51">
        <v>1160</v>
      </c>
      <c r="BN219" s="51">
        <v>551</v>
      </c>
      <c r="BO219" s="51">
        <v>11309.7</v>
      </c>
      <c r="BP219" s="51">
        <v>5313</v>
      </c>
      <c r="BQ219" s="51">
        <v>520</v>
      </c>
      <c r="BR219" s="51">
        <v>144.94</v>
      </c>
      <c r="BS219" s="51">
        <v>148.86000000000001</v>
      </c>
      <c r="BT219" s="51">
        <v>4.4732000000000003</v>
      </c>
      <c r="BU219" s="41"/>
      <c r="BV219" s="41"/>
      <c r="BW219" s="41"/>
      <c r="BX219" s="41"/>
      <c r="BY219" s="41"/>
      <c r="BZ219" s="41"/>
      <c r="CA219" s="41"/>
      <c r="CB219" s="41"/>
      <c r="CC219" s="41"/>
      <c r="CD219" s="41"/>
      <c r="CE219" s="41"/>
      <c r="CF219" s="41"/>
      <c r="CG219" s="41"/>
      <c r="CH219" s="41"/>
      <c r="CI219" s="41"/>
      <c r="CJ219" s="41"/>
      <c r="CK219" s="41"/>
    </row>
    <row r="220" spans="1:89">
      <c r="A220" s="48" t="s">
        <v>349</v>
      </c>
      <c r="B220" s="49">
        <v>12.63000011444</v>
      </c>
      <c r="C220" s="49">
        <v>12.63000011444</v>
      </c>
      <c r="D220" s="49">
        <v>12.63000011444</v>
      </c>
      <c r="E220" s="49" t="s">
        <v>1574</v>
      </c>
      <c r="F220" s="49">
        <v>28.677777777780001</v>
      </c>
      <c r="G220" s="49" t="s">
        <v>1574</v>
      </c>
      <c r="H220" s="49">
        <v>0.83</v>
      </c>
      <c r="I220" s="49">
        <v>1.7916226068200001</v>
      </c>
      <c r="J220" s="49">
        <v>2.7711628728200002</v>
      </c>
      <c r="K220" s="49">
        <v>20.473770439750002</v>
      </c>
      <c r="L220" s="49">
        <v>3.8515000000000001</v>
      </c>
      <c r="M220" s="49">
        <v>4.1778000000000004</v>
      </c>
      <c r="N220" s="49">
        <v>4.4422069999999998</v>
      </c>
      <c r="O220" s="49">
        <v>1.8091999999999999</v>
      </c>
      <c r="P220" s="49">
        <v>1.349386</v>
      </c>
      <c r="Q220" s="49">
        <v>1.989215</v>
      </c>
      <c r="R220" s="49">
        <v>2.089118</v>
      </c>
      <c r="S220" s="49">
        <v>463</v>
      </c>
      <c r="T220" s="49" t="s">
        <v>1574</v>
      </c>
      <c r="U220" s="49" t="s">
        <v>1574</v>
      </c>
      <c r="V220" s="49">
        <v>773</v>
      </c>
      <c r="W220" s="49">
        <v>459.5</v>
      </c>
      <c r="X220" s="49" t="s">
        <v>1574</v>
      </c>
      <c r="Y220" s="49">
        <v>205</v>
      </c>
      <c r="Z220" s="49">
        <v>512</v>
      </c>
      <c r="AA220" s="49">
        <v>174</v>
      </c>
      <c r="AB220" s="49" t="s">
        <v>1574</v>
      </c>
      <c r="AC220" s="49" t="s">
        <v>1574</v>
      </c>
      <c r="AD220" s="49">
        <v>44.342642061749999</v>
      </c>
      <c r="AE220" s="49">
        <v>78.3</v>
      </c>
      <c r="AF220" s="49">
        <v>76.8</v>
      </c>
      <c r="AG220" s="49">
        <v>254.95</v>
      </c>
      <c r="AH220" s="49" t="s">
        <v>1574</v>
      </c>
      <c r="AI220" s="49" t="s">
        <v>1574</v>
      </c>
      <c r="AJ220" s="49" t="s">
        <v>1574</v>
      </c>
      <c r="AK220" s="49" t="s">
        <v>1574</v>
      </c>
      <c r="AL220" s="49">
        <v>99.94</v>
      </c>
      <c r="AM220" s="49" t="s">
        <v>1574</v>
      </c>
      <c r="AN220" s="49">
        <v>0.253</v>
      </c>
      <c r="AO220" s="49">
        <v>0.254</v>
      </c>
      <c r="AP220" s="49">
        <v>1.4149</v>
      </c>
      <c r="AQ220" s="49">
        <v>0.65436680415000004</v>
      </c>
      <c r="AR220" s="49">
        <v>1.6822999999999999</v>
      </c>
      <c r="AS220" s="49">
        <v>7.9145858000000002</v>
      </c>
      <c r="AT220" s="49">
        <v>0.310190034</v>
      </c>
      <c r="AU220" s="49">
        <v>0.22950094200000001</v>
      </c>
      <c r="AV220" s="49">
        <v>0.16120000000000001</v>
      </c>
      <c r="AW220" s="49">
        <v>2224.09</v>
      </c>
      <c r="AX220" s="49">
        <v>158.47</v>
      </c>
      <c r="AY220" s="49">
        <v>90.9</v>
      </c>
      <c r="AZ220" s="49" t="s">
        <v>1574</v>
      </c>
      <c r="BA220" s="49">
        <v>262.40954493408998</v>
      </c>
      <c r="BB220" s="49" t="s">
        <v>1574</v>
      </c>
      <c r="BC220" s="49">
        <v>1.4286000000000001</v>
      </c>
      <c r="BD220" s="49" t="s">
        <v>1574</v>
      </c>
      <c r="BE220" s="49">
        <v>0.85980000000000001</v>
      </c>
      <c r="BF220" s="49">
        <v>34.5</v>
      </c>
      <c r="BG220" s="49">
        <v>148</v>
      </c>
      <c r="BH220" s="49">
        <v>108</v>
      </c>
      <c r="BI220" s="49">
        <v>132.5</v>
      </c>
      <c r="BJ220" s="49">
        <v>56.625</v>
      </c>
      <c r="BK220" s="49">
        <v>1183.880859375</v>
      </c>
      <c r="BL220" s="49">
        <v>23.06</v>
      </c>
      <c r="BM220" s="49">
        <v>1195</v>
      </c>
      <c r="BN220" s="49">
        <v>582</v>
      </c>
      <c r="BO220" s="49">
        <v>11157.6</v>
      </c>
      <c r="BP220" s="49">
        <v>5313</v>
      </c>
      <c r="BQ220" s="49">
        <v>518</v>
      </c>
      <c r="BR220" s="49">
        <v>149.53</v>
      </c>
      <c r="BS220" s="49">
        <v>150.33000000000001</v>
      </c>
      <c r="BT220" s="49">
        <v>4.5380000000000003</v>
      </c>
      <c r="BU220" s="41"/>
      <c r="BV220" s="41"/>
      <c r="BW220" s="41"/>
      <c r="BX220" s="41"/>
      <c r="BY220" s="41"/>
      <c r="BZ220" s="41"/>
      <c r="CA220" s="41"/>
      <c r="CB220" s="41"/>
      <c r="CC220" s="41"/>
      <c r="CD220" s="41"/>
      <c r="CE220" s="41"/>
      <c r="CF220" s="41"/>
      <c r="CG220" s="41"/>
      <c r="CH220" s="41"/>
      <c r="CI220" s="41"/>
      <c r="CJ220" s="41"/>
      <c r="CK220" s="41"/>
    </row>
    <row r="221" spans="1:89">
      <c r="A221" s="41" t="s">
        <v>350</v>
      </c>
      <c r="B221" s="51">
        <v>12.68000030518</v>
      </c>
      <c r="C221" s="51">
        <v>12.68000030518</v>
      </c>
      <c r="D221" s="51">
        <v>12.68000030518</v>
      </c>
      <c r="E221" s="51" t="s">
        <v>1574</v>
      </c>
      <c r="F221" s="51">
        <v>28.677777777780001</v>
      </c>
      <c r="G221" s="51" t="s">
        <v>1574</v>
      </c>
      <c r="H221" s="51">
        <v>0.84</v>
      </c>
      <c r="I221" s="51">
        <v>1.7916226068200001</v>
      </c>
      <c r="J221" s="51">
        <v>2.7711628728200002</v>
      </c>
      <c r="K221" s="51">
        <v>20.595204169479999</v>
      </c>
      <c r="L221" s="51">
        <v>3.6934</v>
      </c>
      <c r="M221" s="51">
        <v>3.7703000000000002</v>
      </c>
      <c r="N221" s="51">
        <v>3.8344070000000001</v>
      </c>
      <c r="O221" s="51">
        <v>1.7714000000000001</v>
      </c>
      <c r="P221" s="51">
        <v>1.358385</v>
      </c>
      <c r="Q221" s="51">
        <v>1.849116</v>
      </c>
      <c r="R221" s="51">
        <v>2.1067429999999998</v>
      </c>
      <c r="S221" s="51">
        <v>479</v>
      </c>
      <c r="T221" s="51" t="s">
        <v>1574</v>
      </c>
      <c r="U221" s="51" t="s">
        <v>1574</v>
      </c>
      <c r="V221" s="51">
        <v>794</v>
      </c>
      <c r="W221" s="51">
        <v>450</v>
      </c>
      <c r="X221" s="51" t="s">
        <v>1574</v>
      </c>
      <c r="Y221" s="51">
        <v>209</v>
      </c>
      <c r="Z221" s="51">
        <v>490</v>
      </c>
      <c r="AA221" s="51">
        <v>179</v>
      </c>
      <c r="AB221" s="51" t="s">
        <v>1574</v>
      </c>
      <c r="AC221" s="51" t="s">
        <v>1574</v>
      </c>
      <c r="AD221" s="51">
        <v>46.19074401964</v>
      </c>
      <c r="AE221" s="51">
        <v>83.2</v>
      </c>
      <c r="AF221" s="51">
        <v>81</v>
      </c>
      <c r="AG221" s="51">
        <v>256.91000000000003</v>
      </c>
      <c r="AH221" s="51" t="s">
        <v>1574</v>
      </c>
      <c r="AI221" s="51" t="s">
        <v>1574</v>
      </c>
      <c r="AJ221" s="51" t="s">
        <v>1574</v>
      </c>
      <c r="AK221" s="51" t="s">
        <v>1574</v>
      </c>
      <c r="AL221" s="51">
        <v>103.98</v>
      </c>
      <c r="AM221" s="51" t="s">
        <v>1574</v>
      </c>
      <c r="AN221" s="51">
        <v>0.25800000000000001</v>
      </c>
      <c r="AO221" s="51">
        <v>0.254</v>
      </c>
      <c r="AP221" s="51">
        <v>1.4632000000000001</v>
      </c>
      <c r="AQ221" s="51">
        <v>0.65912245922000001</v>
      </c>
      <c r="AR221" s="51">
        <v>1.855</v>
      </c>
      <c r="AS221" s="51">
        <v>7.9145858000000002</v>
      </c>
      <c r="AT221" s="51">
        <v>0.31459927399999998</v>
      </c>
      <c r="AU221" s="51">
        <v>0.22575308799999999</v>
      </c>
      <c r="AV221" s="51">
        <v>0.15629999999999999</v>
      </c>
      <c r="AW221" s="51">
        <v>2255.52</v>
      </c>
      <c r="AX221" s="51">
        <v>160.52000000000001</v>
      </c>
      <c r="AY221" s="51">
        <v>92.3</v>
      </c>
      <c r="AZ221" s="51" t="s">
        <v>1574</v>
      </c>
      <c r="BA221" s="51">
        <v>264.58428746390001</v>
      </c>
      <c r="BB221" s="51" t="s">
        <v>1574</v>
      </c>
      <c r="BC221" s="51">
        <v>1.3944000000000001</v>
      </c>
      <c r="BD221" s="51" t="s">
        <v>1574</v>
      </c>
      <c r="BE221" s="51">
        <v>0.86750000000000005</v>
      </c>
      <c r="BF221" s="51">
        <v>34.5</v>
      </c>
      <c r="BG221" s="51">
        <v>138</v>
      </c>
      <c r="BH221" s="51">
        <v>107</v>
      </c>
      <c r="BI221" s="51">
        <v>131</v>
      </c>
      <c r="BJ221" s="51">
        <v>57.5</v>
      </c>
      <c r="BK221" s="51">
        <v>1203.72241210938</v>
      </c>
      <c r="BL221" s="51">
        <v>23.06</v>
      </c>
      <c r="BM221" s="51">
        <v>1210</v>
      </c>
      <c r="BN221" s="51">
        <v>615</v>
      </c>
      <c r="BO221" s="51">
        <v>12153.8</v>
      </c>
      <c r="BP221" s="51">
        <v>4586</v>
      </c>
      <c r="BQ221" s="51">
        <v>511</v>
      </c>
      <c r="BR221" s="51">
        <v>158.94999999999999</v>
      </c>
      <c r="BS221" s="51">
        <v>157.62</v>
      </c>
      <c r="BT221" s="51">
        <v>4.7586000000000004</v>
      </c>
      <c r="BU221" s="41"/>
      <c r="BV221" s="41"/>
      <c r="BW221" s="41"/>
      <c r="BX221" s="41"/>
      <c r="BY221" s="41"/>
      <c r="BZ221" s="41"/>
      <c r="CA221" s="41"/>
      <c r="CB221" s="41"/>
      <c r="CC221" s="41"/>
      <c r="CD221" s="41"/>
      <c r="CE221" s="41"/>
      <c r="CF221" s="41"/>
      <c r="CG221" s="41"/>
      <c r="CH221" s="41"/>
      <c r="CI221" s="41"/>
      <c r="CJ221" s="41"/>
      <c r="CK221" s="41"/>
    </row>
    <row r="222" spans="1:89">
      <c r="A222" s="48" t="s">
        <v>351</v>
      </c>
      <c r="B222" s="49">
        <v>12.68000030518</v>
      </c>
      <c r="C222" s="49">
        <v>12.68000030518</v>
      </c>
      <c r="D222" s="49">
        <v>12.68000030518</v>
      </c>
      <c r="E222" s="49" t="s">
        <v>1574</v>
      </c>
      <c r="F222" s="49">
        <v>28.677777777780001</v>
      </c>
      <c r="G222" s="49" t="s">
        <v>1574</v>
      </c>
      <c r="H222" s="49">
        <v>0.83</v>
      </c>
      <c r="I222" s="49">
        <v>1.7916226068200001</v>
      </c>
      <c r="J222" s="49">
        <v>2.7711628728200002</v>
      </c>
      <c r="K222" s="49">
        <v>20.473770439750002</v>
      </c>
      <c r="L222" s="49">
        <v>3.4817999999999998</v>
      </c>
      <c r="M222" s="49">
        <v>4.3465999999999996</v>
      </c>
      <c r="N222" s="49">
        <v>3.6752370000000001</v>
      </c>
      <c r="O222" s="49">
        <v>1.5442</v>
      </c>
      <c r="P222" s="49">
        <v>0.96895430000000005</v>
      </c>
      <c r="Q222" s="49">
        <v>1.5364359999999999</v>
      </c>
      <c r="R222" s="49">
        <v>2.1270609999999999</v>
      </c>
      <c r="S222" s="49">
        <v>505</v>
      </c>
      <c r="T222" s="49" t="s">
        <v>1574</v>
      </c>
      <c r="U222" s="49" t="s">
        <v>1574</v>
      </c>
      <c r="V222" s="49">
        <v>852</v>
      </c>
      <c r="W222" s="49">
        <v>444.8</v>
      </c>
      <c r="X222" s="49" t="s">
        <v>1574</v>
      </c>
      <c r="Y222" s="49">
        <v>236</v>
      </c>
      <c r="Z222" s="49">
        <v>500</v>
      </c>
      <c r="AA222" s="49">
        <v>200</v>
      </c>
      <c r="AB222" s="49" t="s">
        <v>1574</v>
      </c>
      <c r="AC222" s="49" t="s">
        <v>1574</v>
      </c>
      <c r="AD222" s="49">
        <v>49.763932459199999</v>
      </c>
      <c r="AE222" s="49">
        <v>93.4</v>
      </c>
      <c r="AF222" s="49">
        <v>90</v>
      </c>
      <c r="AG222" s="49">
        <v>274.10000000000002</v>
      </c>
      <c r="AH222" s="49" t="s">
        <v>1574</v>
      </c>
      <c r="AI222" s="49" t="s">
        <v>1574</v>
      </c>
      <c r="AJ222" s="49" t="s">
        <v>1574</v>
      </c>
      <c r="AK222" s="49" t="s">
        <v>1574</v>
      </c>
      <c r="AL222" s="49">
        <v>111.7</v>
      </c>
      <c r="AM222" s="49" t="s">
        <v>1574</v>
      </c>
      <c r="AN222" s="49">
        <v>0.26200000000000001</v>
      </c>
      <c r="AO222" s="49">
        <v>0.254</v>
      </c>
      <c r="AP222" s="49">
        <v>1.4601</v>
      </c>
      <c r="AQ222" s="49">
        <v>0.66626111558000001</v>
      </c>
      <c r="AR222" s="49">
        <v>1.9164000000000001</v>
      </c>
      <c r="AS222" s="49">
        <v>7.9145858000000002</v>
      </c>
      <c r="AT222" s="49">
        <v>0.31790620400000003</v>
      </c>
      <c r="AU222" s="49">
        <v>0.22972140399999999</v>
      </c>
      <c r="AV222" s="49">
        <v>0.15590000000000001</v>
      </c>
      <c r="AW222" s="49">
        <v>2261.85</v>
      </c>
      <c r="AX222" s="49">
        <v>160.69999999999999</v>
      </c>
      <c r="AY222" s="49">
        <v>93.1</v>
      </c>
      <c r="AZ222" s="49" t="s">
        <v>1574</v>
      </c>
      <c r="BA222" s="49">
        <v>265.82018681835001</v>
      </c>
      <c r="BB222" s="49" t="s">
        <v>1574</v>
      </c>
      <c r="BC222" s="49">
        <v>1.4137999999999999</v>
      </c>
      <c r="BD222" s="49" t="s">
        <v>1574</v>
      </c>
      <c r="BE222" s="49">
        <v>0.85540000000000005</v>
      </c>
      <c r="BF222" s="49">
        <v>34.5</v>
      </c>
      <c r="BG222" s="49">
        <v>123</v>
      </c>
      <c r="BH222" s="49">
        <v>93</v>
      </c>
      <c r="BI222" s="49">
        <v>137</v>
      </c>
      <c r="BJ222" s="49">
        <v>56</v>
      </c>
      <c r="BK222" s="49">
        <v>1236.79174804688</v>
      </c>
      <c r="BL222" s="49">
        <v>23.06</v>
      </c>
      <c r="BM222" s="49">
        <v>1182</v>
      </c>
      <c r="BN222" s="49">
        <v>633</v>
      </c>
      <c r="BO222" s="49">
        <v>12676.6</v>
      </c>
      <c r="BP222" s="49">
        <v>4586</v>
      </c>
      <c r="BQ222" s="49">
        <v>525</v>
      </c>
      <c r="BR222" s="49">
        <v>162.1</v>
      </c>
      <c r="BS222" s="49">
        <v>169.67</v>
      </c>
      <c r="BT222" s="49">
        <v>4.8258000000000001</v>
      </c>
      <c r="BU222" s="41"/>
      <c r="BV222" s="41"/>
      <c r="BW222" s="41"/>
      <c r="BX222" s="41"/>
      <c r="BY222" s="41"/>
      <c r="BZ222" s="41"/>
      <c r="CA222" s="41"/>
      <c r="CB222" s="41"/>
      <c r="CC222" s="41"/>
      <c r="CD222" s="41"/>
      <c r="CE222" s="41"/>
      <c r="CF222" s="41"/>
      <c r="CG222" s="41"/>
      <c r="CH222" s="41"/>
      <c r="CI222" s="41"/>
      <c r="CJ222" s="41"/>
      <c r="CK222" s="41"/>
    </row>
    <row r="223" spans="1:89">
      <c r="A223" s="41" t="s">
        <v>352</v>
      </c>
      <c r="B223" s="51">
        <v>12.68000030518</v>
      </c>
      <c r="C223" s="51">
        <v>12.68000030518</v>
      </c>
      <c r="D223" s="51">
        <v>12.68000030518</v>
      </c>
      <c r="E223" s="51" t="s">
        <v>1574</v>
      </c>
      <c r="F223" s="51">
        <v>28.677777777780001</v>
      </c>
      <c r="G223" s="51" t="s">
        <v>1574</v>
      </c>
      <c r="H223" s="51">
        <v>0.84</v>
      </c>
      <c r="I223" s="51">
        <v>1.7916226068200001</v>
      </c>
      <c r="J223" s="51">
        <v>2.7711628728200002</v>
      </c>
      <c r="K223" s="51">
        <v>20.595204169479999</v>
      </c>
      <c r="L223" s="51">
        <v>3.1947000000000001</v>
      </c>
      <c r="M223" s="51">
        <v>4.4714</v>
      </c>
      <c r="N223" s="51">
        <v>3.7162419999999998</v>
      </c>
      <c r="O223" s="51">
        <v>1.5047999999999999</v>
      </c>
      <c r="P223" s="51">
        <v>0.77943510000000005</v>
      </c>
      <c r="Q223" s="51">
        <v>1.577477</v>
      </c>
      <c r="R223" s="51">
        <v>2.157524</v>
      </c>
      <c r="S223" s="51">
        <v>539</v>
      </c>
      <c r="T223" s="51" t="s">
        <v>1574</v>
      </c>
      <c r="U223" s="51" t="s">
        <v>1574</v>
      </c>
      <c r="V223" s="51">
        <v>917</v>
      </c>
      <c r="W223" s="51">
        <v>501</v>
      </c>
      <c r="X223" s="51" t="s">
        <v>1574</v>
      </c>
      <c r="Y223" s="51">
        <v>241</v>
      </c>
      <c r="Z223" s="51">
        <v>541</v>
      </c>
      <c r="AA223" s="51">
        <v>200</v>
      </c>
      <c r="AB223" s="51" t="s">
        <v>1574</v>
      </c>
      <c r="AC223" s="51" t="s">
        <v>1574</v>
      </c>
      <c r="AD223" s="51">
        <v>50.925569640859997</v>
      </c>
      <c r="AE223" s="51">
        <v>96</v>
      </c>
      <c r="AF223" s="51">
        <v>89.9</v>
      </c>
      <c r="AG223" s="51">
        <v>302.58</v>
      </c>
      <c r="AH223" s="51" t="s">
        <v>1574</v>
      </c>
      <c r="AI223" s="51" t="s">
        <v>1574</v>
      </c>
      <c r="AJ223" s="51" t="s">
        <v>1574</v>
      </c>
      <c r="AK223" s="51" t="s">
        <v>1574</v>
      </c>
      <c r="AL223" s="51">
        <v>114.64</v>
      </c>
      <c r="AM223" s="51" t="s">
        <v>1574</v>
      </c>
      <c r="AN223" s="51">
        <v>0.26200000000000001</v>
      </c>
      <c r="AO223" s="51">
        <v>0.254</v>
      </c>
      <c r="AP223" s="51">
        <v>1.5849</v>
      </c>
      <c r="AQ223" s="51">
        <v>0.67029095067</v>
      </c>
      <c r="AR223" s="51">
        <v>1.9399</v>
      </c>
      <c r="AS223" s="51">
        <v>7.9145858000000002</v>
      </c>
      <c r="AT223" s="51">
        <v>0.32694514600000002</v>
      </c>
      <c r="AU223" s="51">
        <v>0.25904284999999999</v>
      </c>
      <c r="AV223" s="51">
        <v>0.1784</v>
      </c>
      <c r="AW223" s="51">
        <v>2269.4699999999998</v>
      </c>
      <c r="AX223" s="51">
        <v>162.72</v>
      </c>
      <c r="AY223" s="51">
        <v>91.7</v>
      </c>
      <c r="AZ223" s="51" t="s">
        <v>1574</v>
      </c>
      <c r="BA223" s="51">
        <v>263.65412618261001</v>
      </c>
      <c r="BB223" s="51" t="s">
        <v>1574</v>
      </c>
      <c r="BC223" s="51">
        <v>1.4207000000000001</v>
      </c>
      <c r="BD223" s="51" t="s">
        <v>1574</v>
      </c>
      <c r="BE223" s="51">
        <v>0.82650000000000001</v>
      </c>
      <c r="BF223" s="51">
        <v>34.5</v>
      </c>
      <c r="BG223" s="51">
        <v>128</v>
      </c>
      <c r="BH223" s="51">
        <v>93</v>
      </c>
      <c r="BI223" s="51">
        <v>134.33333333332999</v>
      </c>
      <c r="BJ223" s="51">
        <v>56</v>
      </c>
      <c r="BK223" s="51">
        <v>1261.04272460938</v>
      </c>
      <c r="BL223" s="51">
        <v>23.06</v>
      </c>
      <c r="BM223" s="51">
        <v>1261</v>
      </c>
      <c r="BN223" s="51">
        <v>686</v>
      </c>
      <c r="BO223" s="51">
        <v>12784.6</v>
      </c>
      <c r="BP223" s="51">
        <v>4586</v>
      </c>
      <c r="BQ223" s="51">
        <v>538</v>
      </c>
      <c r="BR223" s="51">
        <v>160.44999999999999</v>
      </c>
      <c r="BS223" s="51">
        <v>177.35</v>
      </c>
      <c r="BT223" s="51">
        <v>4.7168000000000001</v>
      </c>
      <c r="BU223" s="41"/>
      <c r="BV223" s="41"/>
      <c r="BW223" s="41"/>
      <c r="BX223" s="41"/>
      <c r="BY223" s="41"/>
      <c r="BZ223" s="41"/>
      <c r="CA223" s="41"/>
      <c r="CB223" s="41"/>
      <c r="CC223" s="41"/>
      <c r="CD223" s="41"/>
      <c r="CE223" s="41"/>
      <c r="CF223" s="41"/>
      <c r="CG223" s="41"/>
      <c r="CH223" s="41"/>
      <c r="CI223" s="41"/>
      <c r="CJ223" s="41"/>
      <c r="CK223" s="41"/>
    </row>
    <row r="224" spans="1:89">
      <c r="A224" s="48" t="s">
        <v>353</v>
      </c>
      <c r="B224" s="49">
        <v>12.659999847410001</v>
      </c>
      <c r="C224" s="49">
        <v>12.659999847410001</v>
      </c>
      <c r="D224" s="49">
        <v>12.659999847410001</v>
      </c>
      <c r="E224" s="49" t="s">
        <v>1574</v>
      </c>
      <c r="F224" s="49">
        <v>27.868888888890002</v>
      </c>
      <c r="G224" s="49" t="s">
        <v>1574</v>
      </c>
      <c r="H224" s="49">
        <v>0.87</v>
      </c>
      <c r="I224" s="49">
        <v>2.3022180992700001</v>
      </c>
      <c r="J224" s="49">
        <v>3.0360808420400001</v>
      </c>
      <c r="K224" s="49">
        <v>23.566342590360001</v>
      </c>
      <c r="L224" s="49">
        <v>2.9790999999999999</v>
      </c>
      <c r="M224" s="49">
        <v>4.5449999999999999</v>
      </c>
      <c r="N224" s="49">
        <v>3.9049529999999999</v>
      </c>
      <c r="O224" s="49">
        <v>1.3594999999999999</v>
      </c>
      <c r="P224" s="49">
        <v>0.7810781</v>
      </c>
      <c r="Q224" s="49">
        <v>1.7368749999999999</v>
      </c>
      <c r="R224" s="49">
        <v>1.560419</v>
      </c>
      <c r="S224" s="49">
        <v>541</v>
      </c>
      <c r="T224" s="49" t="s">
        <v>1574</v>
      </c>
      <c r="U224" s="49" t="s">
        <v>1574</v>
      </c>
      <c r="V224" s="49">
        <v>956</v>
      </c>
      <c r="W224" s="49">
        <v>514</v>
      </c>
      <c r="X224" s="49" t="s">
        <v>1574</v>
      </c>
      <c r="Y224" s="49">
        <v>239</v>
      </c>
      <c r="Z224" s="49">
        <v>522</v>
      </c>
      <c r="AA224" s="49">
        <v>200</v>
      </c>
      <c r="AB224" s="49" t="s">
        <v>1574</v>
      </c>
      <c r="AC224" s="49" t="s">
        <v>1574</v>
      </c>
      <c r="AD224" s="49">
        <v>50.897776394520001</v>
      </c>
      <c r="AE224" s="49">
        <v>95.8</v>
      </c>
      <c r="AF224" s="49">
        <v>88.4</v>
      </c>
      <c r="AG224" s="49">
        <v>317.31</v>
      </c>
      <c r="AH224" s="49" t="s">
        <v>1574</v>
      </c>
      <c r="AI224" s="49" t="s">
        <v>1574</v>
      </c>
      <c r="AJ224" s="49" t="s">
        <v>1574</v>
      </c>
      <c r="AK224" s="49" t="s">
        <v>1574</v>
      </c>
      <c r="AL224" s="49">
        <v>114.27</v>
      </c>
      <c r="AM224" s="49" t="s">
        <v>1574</v>
      </c>
      <c r="AN224" s="49">
        <v>0.25700000000000001</v>
      </c>
      <c r="AO224" s="49">
        <v>0.26939999999999997</v>
      </c>
      <c r="AP224" s="49">
        <v>1.7154</v>
      </c>
      <c r="AQ224" s="49">
        <v>0.67434515993999999</v>
      </c>
      <c r="AR224" s="49">
        <v>1.9975000000000001</v>
      </c>
      <c r="AS224" s="49">
        <v>8.0689092000000002</v>
      </c>
      <c r="AT224" s="49">
        <v>0.33399993</v>
      </c>
      <c r="AU224" s="49">
        <v>0.292773536</v>
      </c>
      <c r="AV224" s="49">
        <v>0.1933</v>
      </c>
      <c r="AW224" s="49">
        <v>2212.4699999999998</v>
      </c>
      <c r="AX224" s="49">
        <v>165.36</v>
      </c>
      <c r="AY224" s="49">
        <v>93.9</v>
      </c>
      <c r="AZ224" s="49" t="s">
        <v>1574</v>
      </c>
      <c r="BA224" s="49">
        <v>267.05121055379999</v>
      </c>
      <c r="BB224" s="49" t="s">
        <v>1574</v>
      </c>
      <c r="BC224" s="49">
        <v>1.4605999999999999</v>
      </c>
      <c r="BD224" s="49" t="s">
        <v>1574</v>
      </c>
      <c r="BE224" s="49">
        <v>0.84499999999999997</v>
      </c>
      <c r="BF224" s="49">
        <v>28</v>
      </c>
      <c r="BG224" s="49">
        <v>138</v>
      </c>
      <c r="BH224" s="49">
        <v>98</v>
      </c>
      <c r="BI224" s="49">
        <v>133</v>
      </c>
      <c r="BJ224" s="49">
        <v>56</v>
      </c>
      <c r="BK224" s="49">
        <v>1316.158203125</v>
      </c>
      <c r="BL224" s="49">
        <v>21.45</v>
      </c>
      <c r="BM224" s="49">
        <v>1261</v>
      </c>
      <c r="BN224" s="49">
        <v>664</v>
      </c>
      <c r="BO224" s="49">
        <v>12121</v>
      </c>
      <c r="BP224" s="49">
        <v>4586</v>
      </c>
      <c r="BQ224" s="49">
        <v>518</v>
      </c>
      <c r="BR224" s="49">
        <v>173.18</v>
      </c>
      <c r="BS224" s="49">
        <v>201.73</v>
      </c>
      <c r="BT224" s="49">
        <v>4.9238</v>
      </c>
      <c r="BU224" s="41"/>
      <c r="BV224" s="41"/>
      <c r="BW224" s="41"/>
      <c r="BX224" s="41"/>
      <c r="BY224" s="41"/>
      <c r="BZ224" s="41"/>
      <c r="CA224" s="41"/>
      <c r="CB224" s="41"/>
      <c r="CC224" s="41"/>
      <c r="CD224" s="41"/>
      <c r="CE224" s="41"/>
      <c r="CF224" s="41"/>
      <c r="CG224" s="41"/>
      <c r="CH224" s="41"/>
      <c r="CI224" s="41"/>
      <c r="CJ224" s="41"/>
      <c r="CK224" s="41"/>
    </row>
    <row r="225" spans="1:89">
      <c r="A225" s="41" t="s">
        <v>354</v>
      </c>
      <c r="B225" s="51">
        <v>12.659999847410001</v>
      </c>
      <c r="C225" s="51">
        <v>12.659999847410001</v>
      </c>
      <c r="D225" s="51">
        <v>12.659999847410001</v>
      </c>
      <c r="E225" s="51" t="s">
        <v>1574</v>
      </c>
      <c r="F225" s="51">
        <v>27.06</v>
      </c>
      <c r="G225" s="51" t="s">
        <v>1574</v>
      </c>
      <c r="H225" s="51">
        <v>0.88</v>
      </c>
      <c r="I225" s="51">
        <v>2.3022180992700001</v>
      </c>
      <c r="J225" s="51">
        <v>3.0360808420400001</v>
      </c>
      <c r="K225" s="51">
        <v>23.687776320099999</v>
      </c>
      <c r="L225" s="51">
        <v>2.8258999999999999</v>
      </c>
      <c r="M225" s="51">
        <v>4.3560999999999996</v>
      </c>
      <c r="N225" s="51">
        <v>3.8482959999999999</v>
      </c>
      <c r="O225" s="51">
        <v>1.4025000000000001</v>
      </c>
      <c r="P225" s="51">
        <v>0.91662319999999997</v>
      </c>
      <c r="Q225" s="51">
        <v>1.7254750000000001</v>
      </c>
      <c r="R225" s="51">
        <v>1.5652980000000001</v>
      </c>
      <c r="S225" s="51">
        <v>561</v>
      </c>
      <c r="T225" s="51" t="s">
        <v>1574</v>
      </c>
      <c r="U225" s="51" t="s">
        <v>1574</v>
      </c>
      <c r="V225" s="51">
        <v>910</v>
      </c>
      <c r="W225" s="51">
        <v>558</v>
      </c>
      <c r="X225" s="51" t="s">
        <v>1574</v>
      </c>
      <c r="Y225" s="51">
        <v>239</v>
      </c>
      <c r="Z225" s="51">
        <v>534</v>
      </c>
      <c r="AA225" s="51">
        <v>187.5</v>
      </c>
      <c r="AB225" s="51" t="s">
        <v>1574</v>
      </c>
      <c r="AC225" s="51" t="s">
        <v>1574</v>
      </c>
      <c r="AD225" s="51">
        <v>52.22811274979</v>
      </c>
      <c r="AE225" s="51">
        <v>101</v>
      </c>
      <c r="AF225" s="51">
        <v>89.9</v>
      </c>
      <c r="AG225" s="51">
        <v>341.07</v>
      </c>
      <c r="AH225" s="51" t="s">
        <v>1574</v>
      </c>
      <c r="AI225" s="51" t="s">
        <v>1574</v>
      </c>
      <c r="AJ225" s="51" t="s">
        <v>1574</v>
      </c>
      <c r="AK225" s="51" t="s">
        <v>1574</v>
      </c>
      <c r="AL225" s="51">
        <v>115.74</v>
      </c>
      <c r="AM225" s="51" t="s">
        <v>1574</v>
      </c>
      <c r="AN225" s="51">
        <v>0.30299999999999999</v>
      </c>
      <c r="AO225" s="51">
        <v>0.25009999999999999</v>
      </c>
      <c r="AP225" s="51">
        <v>1.9136</v>
      </c>
      <c r="AQ225" s="51">
        <v>0.67584648048999996</v>
      </c>
      <c r="AR225" s="51">
        <v>1.9591000000000001</v>
      </c>
      <c r="AS225" s="51">
        <v>8.0689092000000002</v>
      </c>
      <c r="AT225" s="51">
        <v>0.33642501200000002</v>
      </c>
      <c r="AU225" s="51">
        <v>0.32518144999999998</v>
      </c>
      <c r="AV225" s="51">
        <v>0.187</v>
      </c>
      <c r="AW225" s="51">
        <v>2230.98</v>
      </c>
      <c r="AX225" s="51">
        <v>161.19</v>
      </c>
      <c r="AY225" s="51">
        <v>96.6</v>
      </c>
      <c r="AZ225" s="51" t="s">
        <v>1574</v>
      </c>
      <c r="BA225" s="51">
        <v>271.17071075373002</v>
      </c>
      <c r="BB225" s="51" t="s">
        <v>1574</v>
      </c>
      <c r="BC225" s="51">
        <v>1.5335000000000001</v>
      </c>
      <c r="BD225" s="51" t="s">
        <v>1574</v>
      </c>
      <c r="BE225" s="51">
        <v>0.86329999999999996</v>
      </c>
      <c r="BF225" s="51">
        <v>28</v>
      </c>
      <c r="BG225" s="51">
        <v>138</v>
      </c>
      <c r="BH225" s="51">
        <v>93</v>
      </c>
      <c r="BI225" s="51">
        <v>134.75</v>
      </c>
      <c r="BJ225" s="51">
        <v>56</v>
      </c>
      <c r="BK225" s="51">
        <v>1320.5673828125</v>
      </c>
      <c r="BL225" s="51">
        <v>21.45</v>
      </c>
      <c r="BM225" s="51">
        <v>1217</v>
      </c>
      <c r="BN225" s="51">
        <v>582</v>
      </c>
      <c r="BO225" s="51">
        <v>12149.7</v>
      </c>
      <c r="BP225" s="51">
        <v>4586</v>
      </c>
      <c r="BQ225" s="51">
        <v>478</v>
      </c>
      <c r="BR225" s="51">
        <v>178.14</v>
      </c>
      <c r="BS225" s="51">
        <v>224.41</v>
      </c>
      <c r="BT225" s="51">
        <v>4.9607000000000001</v>
      </c>
      <c r="BU225" s="41"/>
      <c r="BV225" s="41"/>
      <c r="BW225" s="41"/>
      <c r="BX225" s="41"/>
      <c r="BY225" s="41"/>
      <c r="BZ225" s="41"/>
      <c r="CA225" s="41"/>
      <c r="CB225" s="41"/>
      <c r="CC225" s="41"/>
      <c r="CD225" s="41"/>
      <c r="CE225" s="41"/>
      <c r="CF225" s="41"/>
      <c r="CG225" s="41"/>
      <c r="CH225" s="41"/>
      <c r="CI225" s="41"/>
      <c r="CJ225" s="41"/>
      <c r="CK225" s="41"/>
    </row>
    <row r="226" spans="1:89">
      <c r="A226" s="48" t="s">
        <v>355</v>
      </c>
      <c r="B226" s="49">
        <v>12.659999847410001</v>
      </c>
      <c r="C226" s="49">
        <v>12.659999847410001</v>
      </c>
      <c r="D226" s="49">
        <v>12.659999847410001</v>
      </c>
      <c r="E226" s="49" t="s">
        <v>1574</v>
      </c>
      <c r="F226" s="49">
        <v>27.06</v>
      </c>
      <c r="G226" s="49" t="s">
        <v>1574</v>
      </c>
      <c r="H226" s="49">
        <v>0.89</v>
      </c>
      <c r="I226" s="49">
        <v>2.3022180992700001</v>
      </c>
      <c r="J226" s="49">
        <v>3.0360808420400001</v>
      </c>
      <c r="K226" s="49">
        <v>23.809210049840001</v>
      </c>
      <c r="L226" s="49">
        <v>3.3818999999999999</v>
      </c>
      <c r="M226" s="49">
        <v>3.8576000000000001</v>
      </c>
      <c r="N226" s="49">
        <v>3.4752830000000001</v>
      </c>
      <c r="O226" s="49">
        <v>1.3586</v>
      </c>
      <c r="P226" s="49">
        <v>0.84892829999999997</v>
      </c>
      <c r="Q226" s="49">
        <v>1.6463300000000001</v>
      </c>
      <c r="R226" s="49">
        <v>1.580495</v>
      </c>
      <c r="S226" s="49">
        <v>650</v>
      </c>
      <c r="T226" s="49" t="s">
        <v>1574</v>
      </c>
      <c r="U226" s="49" t="s">
        <v>1574</v>
      </c>
      <c r="V226" s="49">
        <v>1020</v>
      </c>
      <c r="W226" s="49">
        <v>598</v>
      </c>
      <c r="X226" s="49" t="s">
        <v>1574</v>
      </c>
      <c r="Y226" s="49">
        <v>273</v>
      </c>
      <c r="Z226" s="49">
        <v>629</v>
      </c>
      <c r="AA226" s="49">
        <v>215</v>
      </c>
      <c r="AB226" s="49" t="s">
        <v>1574</v>
      </c>
      <c r="AC226" s="49" t="s">
        <v>1574</v>
      </c>
      <c r="AD226" s="49">
        <v>54.962402221479998</v>
      </c>
      <c r="AE226" s="49">
        <v>106.1</v>
      </c>
      <c r="AF226" s="49">
        <v>95.6</v>
      </c>
      <c r="AG226" s="49">
        <v>373.77</v>
      </c>
      <c r="AH226" s="49" t="s">
        <v>1574</v>
      </c>
      <c r="AI226" s="49" t="s">
        <v>1574</v>
      </c>
      <c r="AJ226" s="49" t="s">
        <v>1574</v>
      </c>
      <c r="AK226" s="49" t="s">
        <v>1574</v>
      </c>
      <c r="AL226" s="49">
        <v>124.19</v>
      </c>
      <c r="AM226" s="49" t="s">
        <v>1574</v>
      </c>
      <c r="AN226" s="49">
        <v>0.35299999999999998</v>
      </c>
      <c r="AO226" s="49">
        <v>0.27960000000000002</v>
      </c>
      <c r="AP226" s="49">
        <v>1.9996</v>
      </c>
      <c r="AQ226" s="49">
        <v>0.68320787104000003</v>
      </c>
      <c r="AR226" s="49">
        <v>1.917</v>
      </c>
      <c r="AS226" s="49">
        <v>8.0689092000000002</v>
      </c>
      <c r="AT226" s="49">
        <v>0.343479796</v>
      </c>
      <c r="AU226" s="49">
        <v>0.3086468</v>
      </c>
      <c r="AV226" s="49">
        <v>0.1706</v>
      </c>
      <c r="AW226" s="49">
        <v>2207</v>
      </c>
      <c r="AX226" s="49">
        <v>165.48</v>
      </c>
      <c r="AY226" s="49">
        <v>96</v>
      </c>
      <c r="AZ226" s="49" t="s">
        <v>1574</v>
      </c>
      <c r="BA226" s="49">
        <v>270.25989083201</v>
      </c>
      <c r="BB226" s="49" t="s">
        <v>1574</v>
      </c>
      <c r="BC226" s="49">
        <v>1.5840000000000001</v>
      </c>
      <c r="BD226" s="49" t="s">
        <v>1574</v>
      </c>
      <c r="BE226" s="49">
        <v>0.87150000000000005</v>
      </c>
      <c r="BF226" s="49">
        <v>28</v>
      </c>
      <c r="BG226" s="49">
        <v>137</v>
      </c>
      <c r="BH226" s="49">
        <v>97</v>
      </c>
      <c r="BI226" s="49">
        <v>134.5</v>
      </c>
      <c r="BJ226" s="49">
        <v>56</v>
      </c>
      <c r="BK226" s="49">
        <v>1298.52124023438</v>
      </c>
      <c r="BL226" s="49">
        <v>21.45</v>
      </c>
      <c r="BM226" s="49">
        <v>1254</v>
      </c>
      <c r="BN226" s="49">
        <v>582</v>
      </c>
      <c r="BO226" s="49">
        <v>11422.1</v>
      </c>
      <c r="BP226" s="49">
        <v>4586</v>
      </c>
      <c r="BQ226" s="49">
        <v>507</v>
      </c>
      <c r="BR226" s="49">
        <v>183.61</v>
      </c>
      <c r="BS226" s="49">
        <v>226.78</v>
      </c>
      <c r="BT226" s="49">
        <v>5.2731000000000003</v>
      </c>
      <c r="BU226" s="41"/>
      <c r="BV226" s="41"/>
      <c r="BW226" s="41"/>
      <c r="BX226" s="41"/>
      <c r="BY226" s="41"/>
      <c r="BZ226" s="41"/>
      <c r="CA226" s="41"/>
      <c r="CB226" s="41"/>
      <c r="CC226" s="41"/>
      <c r="CD226" s="41"/>
      <c r="CE226" s="41"/>
      <c r="CF226" s="41"/>
      <c r="CG226" s="41"/>
      <c r="CH226" s="41"/>
      <c r="CI226" s="41"/>
      <c r="CJ226" s="41"/>
      <c r="CK226" s="41"/>
    </row>
    <row r="227" spans="1:89">
      <c r="A227" s="41" t="s">
        <v>356</v>
      </c>
      <c r="B227" s="51">
        <v>12.68000030518</v>
      </c>
      <c r="C227" s="51">
        <v>12.68000030518</v>
      </c>
      <c r="D227" s="51">
        <v>12.68000030518</v>
      </c>
      <c r="E227" s="51" t="s">
        <v>1574</v>
      </c>
      <c r="F227" s="51">
        <v>27.06</v>
      </c>
      <c r="G227" s="51" t="s">
        <v>1574</v>
      </c>
      <c r="H227" s="51">
        <v>0.88</v>
      </c>
      <c r="I227" s="51">
        <v>2.3022180992700001</v>
      </c>
      <c r="J227" s="51">
        <v>3.0360808420400001</v>
      </c>
      <c r="K227" s="51">
        <v>23.687776320099999</v>
      </c>
      <c r="L227" s="51">
        <v>3.4424999999999999</v>
      </c>
      <c r="M227" s="51">
        <v>3.9367999999999999</v>
      </c>
      <c r="N227" s="51">
        <v>3.1922160000000002</v>
      </c>
      <c r="O227" s="51">
        <v>1.7924</v>
      </c>
      <c r="P227" s="51">
        <v>0.7104277</v>
      </c>
      <c r="Q227" s="51">
        <v>3.0812409999999999</v>
      </c>
      <c r="R227" s="51">
        <v>1.5854980000000001</v>
      </c>
      <c r="S227" s="51">
        <v>600</v>
      </c>
      <c r="T227" s="51" t="s">
        <v>1574</v>
      </c>
      <c r="U227" s="51" t="s">
        <v>1574</v>
      </c>
      <c r="V227" s="51">
        <v>1127</v>
      </c>
      <c r="W227" s="51">
        <v>603</v>
      </c>
      <c r="X227" s="51" t="s">
        <v>1574</v>
      </c>
      <c r="Y227" s="51">
        <v>290</v>
      </c>
      <c r="Z227" s="51">
        <v>624</v>
      </c>
      <c r="AA227" s="51">
        <v>224</v>
      </c>
      <c r="AB227" s="51" t="s">
        <v>1574</v>
      </c>
      <c r="AC227" s="51" t="s">
        <v>1574</v>
      </c>
      <c r="AD227" s="51">
        <v>57.357579760969998</v>
      </c>
      <c r="AE227" s="51">
        <v>111.5</v>
      </c>
      <c r="AF227" s="51">
        <v>101.1</v>
      </c>
      <c r="AG227" s="51">
        <v>388.5</v>
      </c>
      <c r="AH227" s="51" t="s">
        <v>1574</v>
      </c>
      <c r="AI227" s="51" t="s">
        <v>1574</v>
      </c>
      <c r="AJ227" s="51" t="s">
        <v>1574</v>
      </c>
      <c r="AK227" s="51" t="s">
        <v>1574</v>
      </c>
      <c r="AL227" s="51">
        <v>130.81</v>
      </c>
      <c r="AM227" s="51" t="s">
        <v>1574</v>
      </c>
      <c r="AN227" s="51">
        <v>0.36399999999999999</v>
      </c>
      <c r="AO227" s="51">
        <v>0.2959</v>
      </c>
      <c r="AP227" s="51">
        <v>2.2376999999999998</v>
      </c>
      <c r="AQ227" s="51">
        <v>0.68782533404000001</v>
      </c>
      <c r="AR227" s="51">
        <v>1.8965000000000001</v>
      </c>
      <c r="AS227" s="51">
        <v>8.0689092000000002</v>
      </c>
      <c r="AT227" s="51">
        <v>0.343479796</v>
      </c>
      <c r="AU227" s="51">
        <v>0.30710356599999999</v>
      </c>
      <c r="AV227" s="51">
        <v>0.1673</v>
      </c>
      <c r="AW227" s="51">
        <v>2231.6799999999998</v>
      </c>
      <c r="AX227" s="51">
        <v>170.13</v>
      </c>
      <c r="AY227" s="51">
        <v>100.4</v>
      </c>
      <c r="AZ227" s="51" t="s">
        <v>1574</v>
      </c>
      <c r="BA227" s="51">
        <v>276.87984048182</v>
      </c>
      <c r="BB227" s="51" t="s">
        <v>1574</v>
      </c>
      <c r="BC227" s="51">
        <v>1.5956999999999999</v>
      </c>
      <c r="BD227" s="51" t="s">
        <v>1574</v>
      </c>
      <c r="BE227" s="51">
        <v>0.86470000000000002</v>
      </c>
      <c r="BF227" s="51">
        <v>31.375</v>
      </c>
      <c r="BG227" s="51">
        <v>131</v>
      </c>
      <c r="BH227" s="51">
        <v>97</v>
      </c>
      <c r="BI227" s="51">
        <v>134</v>
      </c>
      <c r="BJ227" s="51">
        <v>56</v>
      </c>
      <c r="BK227" s="51">
        <v>1258.83813476563</v>
      </c>
      <c r="BL227" s="51">
        <v>21.45</v>
      </c>
      <c r="BM227" s="51">
        <v>1285</v>
      </c>
      <c r="BN227" s="51">
        <v>573</v>
      </c>
      <c r="BO227" s="51">
        <v>11005.5</v>
      </c>
      <c r="BP227" s="51">
        <v>4696</v>
      </c>
      <c r="BQ227" s="51">
        <v>553</v>
      </c>
      <c r="BR227" s="51">
        <v>175.28</v>
      </c>
      <c r="BS227" s="51">
        <v>214.09</v>
      </c>
      <c r="BT227" s="51">
        <v>5.1672000000000002</v>
      </c>
      <c r="BU227" s="41"/>
      <c r="BV227" s="41"/>
      <c r="BW227" s="41"/>
      <c r="BX227" s="41"/>
      <c r="BY227" s="41"/>
      <c r="BZ227" s="41"/>
      <c r="CA227" s="41"/>
      <c r="CB227" s="41"/>
      <c r="CC227" s="41"/>
      <c r="CD227" s="41"/>
      <c r="CE227" s="41"/>
      <c r="CF227" s="41"/>
      <c r="CG227" s="41"/>
      <c r="CH227" s="41"/>
      <c r="CI227" s="41"/>
      <c r="CJ227" s="41"/>
      <c r="CK227" s="41"/>
    </row>
    <row r="228" spans="1:89">
      <c r="A228" s="48" t="s">
        <v>357</v>
      </c>
      <c r="B228" s="49">
        <v>12.69999980927</v>
      </c>
      <c r="C228" s="49">
        <v>12.69999980927</v>
      </c>
      <c r="D228" s="49">
        <v>12.69999980927</v>
      </c>
      <c r="E228" s="49" t="s">
        <v>1574</v>
      </c>
      <c r="F228" s="49">
        <v>28.605</v>
      </c>
      <c r="G228" s="49" t="s">
        <v>1574</v>
      </c>
      <c r="H228" s="49">
        <v>0.91</v>
      </c>
      <c r="I228" s="49">
        <v>2.3022180992700001</v>
      </c>
      <c r="J228" s="49">
        <v>3.0360808420400001</v>
      </c>
      <c r="K228" s="49">
        <v>24.052077509309999</v>
      </c>
      <c r="L228" s="49">
        <v>3.1356000000000002</v>
      </c>
      <c r="M228" s="49">
        <v>3.7397</v>
      </c>
      <c r="N228" s="49">
        <v>3.0001980000000001</v>
      </c>
      <c r="O228" s="49">
        <v>1.3593999999999999</v>
      </c>
      <c r="P228" s="49">
        <v>0.67086219999999996</v>
      </c>
      <c r="Q228" s="49">
        <v>1.843189</v>
      </c>
      <c r="R228" s="49">
        <v>1.5642510000000001</v>
      </c>
      <c r="S228" s="49">
        <v>596</v>
      </c>
      <c r="T228" s="49" t="s">
        <v>1574</v>
      </c>
      <c r="U228" s="49" t="s">
        <v>1574</v>
      </c>
      <c r="V228" s="49">
        <v>1128</v>
      </c>
      <c r="W228" s="49">
        <v>624</v>
      </c>
      <c r="X228" s="49" t="s">
        <v>1574</v>
      </c>
      <c r="Y228" s="49">
        <v>290</v>
      </c>
      <c r="Z228" s="49">
        <v>657</v>
      </c>
      <c r="AA228" s="49">
        <v>221</v>
      </c>
      <c r="AB228" s="49" t="s">
        <v>1574</v>
      </c>
      <c r="AC228" s="49" t="s">
        <v>1574</v>
      </c>
      <c r="AD228" s="49">
        <v>56.383036728759997</v>
      </c>
      <c r="AE228" s="49">
        <v>112.69</v>
      </c>
      <c r="AF228" s="49">
        <v>101.8</v>
      </c>
      <c r="AG228" s="49">
        <v>386.54</v>
      </c>
      <c r="AH228" s="49" t="s">
        <v>1574</v>
      </c>
      <c r="AI228" s="49" t="s">
        <v>1574</v>
      </c>
      <c r="AJ228" s="49" t="s">
        <v>1574</v>
      </c>
      <c r="AK228" s="49" t="s">
        <v>1574</v>
      </c>
      <c r="AL228" s="49">
        <v>124.56</v>
      </c>
      <c r="AM228" s="49" t="s">
        <v>1574</v>
      </c>
      <c r="AN228" s="49">
        <v>0.35799999999999998</v>
      </c>
      <c r="AO228" s="49">
        <v>0.2959</v>
      </c>
      <c r="AP228" s="49">
        <v>2.2509000000000001</v>
      </c>
      <c r="AQ228" s="49">
        <v>0.69086283439999996</v>
      </c>
      <c r="AR228" s="49">
        <v>2.0022000000000002</v>
      </c>
      <c r="AS228" s="49">
        <v>8.0689092000000002</v>
      </c>
      <c r="AT228" s="49">
        <v>0.33267715799999997</v>
      </c>
      <c r="AU228" s="49">
        <v>0.30026924399999999</v>
      </c>
      <c r="AV228" s="49">
        <v>0.16159999999999999</v>
      </c>
      <c r="AW228" s="49">
        <v>2211.87</v>
      </c>
      <c r="AX228" s="49">
        <v>193.5</v>
      </c>
      <c r="AY228" s="49">
        <v>93.8</v>
      </c>
      <c r="AZ228" s="49" t="s">
        <v>1574</v>
      </c>
      <c r="BA228" s="49">
        <v>266.89759714117997</v>
      </c>
      <c r="BB228" s="49" t="s">
        <v>1574</v>
      </c>
      <c r="BC228" s="49">
        <v>1.6301000000000001</v>
      </c>
      <c r="BD228" s="49" t="s">
        <v>1574</v>
      </c>
      <c r="BE228" s="49">
        <v>0.91269999999999996</v>
      </c>
      <c r="BF228" s="49">
        <v>32.5</v>
      </c>
      <c r="BG228" s="49">
        <v>128</v>
      </c>
      <c r="BH228" s="49">
        <v>93</v>
      </c>
      <c r="BI228" s="49">
        <v>130.80000000000001</v>
      </c>
      <c r="BJ228" s="49">
        <v>56</v>
      </c>
      <c r="BK228" s="49">
        <v>1236.79174804688</v>
      </c>
      <c r="BL228" s="49">
        <v>21.45</v>
      </c>
      <c r="BM228" s="49">
        <v>1303</v>
      </c>
      <c r="BN228" s="49">
        <v>545</v>
      </c>
      <c r="BO228" s="49">
        <v>11704.3</v>
      </c>
      <c r="BP228" s="49">
        <v>4696</v>
      </c>
      <c r="BQ228" s="49">
        <v>562</v>
      </c>
      <c r="BR228" s="49">
        <v>176.31</v>
      </c>
      <c r="BS228" s="49">
        <v>232.73</v>
      </c>
      <c r="BT228" s="49">
        <v>5.1337000000000002</v>
      </c>
      <c r="BU228" s="41"/>
      <c r="BV228" s="41"/>
      <c r="BW228" s="41"/>
      <c r="BX228" s="41"/>
      <c r="BY228" s="41"/>
      <c r="BZ228" s="41"/>
      <c r="CA228" s="41"/>
      <c r="CB228" s="41"/>
      <c r="CC228" s="41"/>
      <c r="CD228" s="41"/>
      <c r="CE228" s="41"/>
      <c r="CF228" s="41"/>
      <c r="CG228" s="41"/>
      <c r="CH228" s="41"/>
      <c r="CI228" s="41"/>
      <c r="CJ228" s="41"/>
      <c r="CK228" s="41"/>
    </row>
    <row r="229" spans="1:89">
      <c r="A229" s="41" t="s">
        <v>358</v>
      </c>
      <c r="B229" s="51">
        <v>12.72999954224</v>
      </c>
      <c r="C229" s="51">
        <v>12.72999954224</v>
      </c>
      <c r="D229" s="51">
        <v>12.72999954224</v>
      </c>
      <c r="E229" s="51" t="s">
        <v>1574</v>
      </c>
      <c r="F229" s="51">
        <v>30.15</v>
      </c>
      <c r="G229" s="51" t="s">
        <v>1574</v>
      </c>
      <c r="H229" s="51">
        <v>0.91</v>
      </c>
      <c r="I229" s="51">
        <v>2.3022180992700001</v>
      </c>
      <c r="J229" s="51">
        <v>3.0360808420400001</v>
      </c>
      <c r="K229" s="51">
        <v>24.052077509309999</v>
      </c>
      <c r="L229" s="51">
        <v>2.9921000000000002</v>
      </c>
      <c r="M229" s="51">
        <v>3.7147999999999999</v>
      </c>
      <c r="N229" s="51">
        <v>3.331985</v>
      </c>
      <c r="O229" s="51">
        <v>1.3512</v>
      </c>
      <c r="P229" s="51">
        <v>0.61728400000000005</v>
      </c>
      <c r="Q229" s="51">
        <v>1.8566720000000001</v>
      </c>
      <c r="R229" s="51">
        <v>1.579556</v>
      </c>
      <c r="S229" s="51">
        <v>646</v>
      </c>
      <c r="T229" s="51" t="s">
        <v>1574</v>
      </c>
      <c r="U229" s="51" t="s">
        <v>1574</v>
      </c>
      <c r="V229" s="51">
        <v>1106</v>
      </c>
      <c r="W229" s="51">
        <v>654</v>
      </c>
      <c r="X229" s="51" t="s">
        <v>1574</v>
      </c>
      <c r="Y229" s="51">
        <v>278</v>
      </c>
      <c r="Z229" s="51">
        <v>631</v>
      </c>
      <c r="AA229" s="51">
        <v>208</v>
      </c>
      <c r="AB229" s="51" t="s">
        <v>1574</v>
      </c>
      <c r="AC229" s="51" t="s">
        <v>1574</v>
      </c>
      <c r="AD229" s="51">
        <v>55.76703939627</v>
      </c>
      <c r="AE229" s="51">
        <v>106.55</v>
      </c>
      <c r="AF229" s="51">
        <v>97.05</v>
      </c>
      <c r="AG229" s="51">
        <v>381.14</v>
      </c>
      <c r="AH229" s="51" t="s">
        <v>1574</v>
      </c>
      <c r="AI229" s="51" t="s">
        <v>1574</v>
      </c>
      <c r="AJ229" s="51" t="s">
        <v>1574</v>
      </c>
      <c r="AK229" s="51" t="s">
        <v>1574</v>
      </c>
      <c r="AL229" s="51">
        <v>126.4</v>
      </c>
      <c r="AM229" s="51" t="s">
        <v>1574</v>
      </c>
      <c r="AN229" s="51">
        <v>0.255</v>
      </c>
      <c r="AO229" s="51">
        <v>0.3105</v>
      </c>
      <c r="AP229" s="51">
        <v>1.9885999999999999</v>
      </c>
      <c r="AQ229" s="51">
        <v>0.69251678512000003</v>
      </c>
      <c r="AR229" s="51">
        <v>2.1122999999999998</v>
      </c>
      <c r="AS229" s="51">
        <v>8.0689092000000002</v>
      </c>
      <c r="AT229" s="51">
        <v>0.33642501200000002</v>
      </c>
      <c r="AU229" s="51">
        <v>0.299166934</v>
      </c>
      <c r="AV229" s="51">
        <v>0.15939999999999999</v>
      </c>
      <c r="AW229" s="51">
        <v>2234.8000000000002</v>
      </c>
      <c r="AX229" s="51">
        <v>196.51</v>
      </c>
      <c r="AY229" s="51">
        <v>92.4</v>
      </c>
      <c r="AZ229" s="51" t="s">
        <v>1574</v>
      </c>
      <c r="BA229" s="51">
        <v>264.73904361904999</v>
      </c>
      <c r="BB229" s="51" t="s">
        <v>1574</v>
      </c>
      <c r="BC229" s="51">
        <v>1.6006</v>
      </c>
      <c r="BD229" s="51" t="s">
        <v>1574</v>
      </c>
      <c r="BE229" s="51">
        <v>0.98</v>
      </c>
      <c r="BF229" s="51">
        <v>32.5</v>
      </c>
      <c r="BG229" s="51">
        <v>130</v>
      </c>
      <c r="BH229" s="51">
        <v>92</v>
      </c>
      <c r="BI229" s="51">
        <v>132.5</v>
      </c>
      <c r="BJ229" s="51">
        <v>56</v>
      </c>
      <c r="BK229" s="51">
        <v>1247.81494140625</v>
      </c>
      <c r="BL229" s="51">
        <v>21.45</v>
      </c>
      <c r="BM229" s="51">
        <v>1333</v>
      </c>
      <c r="BN229" s="51">
        <v>570</v>
      </c>
      <c r="BO229" s="51">
        <v>12356.9</v>
      </c>
      <c r="BP229" s="51">
        <v>4645</v>
      </c>
      <c r="BQ229" s="51">
        <v>578</v>
      </c>
      <c r="BR229" s="51">
        <v>183.75</v>
      </c>
      <c r="BS229" s="51">
        <v>244.96</v>
      </c>
      <c r="BT229" s="51">
        <v>5.3288000000000002</v>
      </c>
      <c r="BU229" s="41"/>
      <c r="BV229" s="41"/>
      <c r="BW229" s="41"/>
      <c r="BX229" s="41"/>
      <c r="BY229" s="41"/>
      <c r="BZ229" s="41"/>
      <c r="CA229" s="41"/>
      <c r="CB229" s="41"/>
      <c r="CC229" s="41"/>
      <c r="CD229" s="41"/>
      <c r="CE229" s="41"/>
      <c r="CF229" s="41"/>
      <c r="CG229" s="41"/>
      <c r="CH229" s="41"/>
      <c r="CI229" s="41"/>
      <c r="CJ229" s="41"/>
      <c r="CK229" s="41"/>
    </row>
    <row r="230" spans="1:89">
      <c r="A230" s="48" t="s">
        <v>359</v>
      </c>
      <c r="B230" s="49">
        <v>12.77000045776</v>
      </c>
      <c r="C230" s="49">
        <v>12.77000045776</v>
      </c>
      <c r="D230" s="49">
        <v>12.77000045776</v>
      </c>
      <c r="E230" s="49" t="s">
        <v>1574</v>
      </c>
      <c r="F230" s="49">
        <v>30.15</v>
      </c>
      <c r="G230" s="49" t="s">
        <v>1574</v>
      </c>
      <c r="H230" s="49">
        <v>0.89</v>
      </c>
      <c r="I230" s="49">
        <v>2.3022180992700001</v>
      </c>
      <c r="J230" s="49">
        <v>3.0360808420400001</v>
      </c>
      <c r="K230" s="49">
        <v>23.809210049840001</v>
      </c>
      <c r="L230" s="49">
        <v>3.1636000000000002</v>
      </c>
      <c r="M230" s="49">
        <v>2.9498000000000002</v>
      </c>
      <c r="N230" s="49">
        <v>2.7897259999999999</v>
      </c>
      <c r="O230" s="49">
        <v>1.4278999999999999</v>
      </c>
      <c r="P230" s="49">
        <v>0.66061270000000005</v>
      </c>
      <c r="Q230" s="49">
        <v>2.0176419999999999</v>
      </c>
      <c r="R230" s="49">
        <v>1.605483</v>
      </c>
      <c r="S230" s="49">
        <v>644</v>
      </c>
      <c r="T230" s="49" t="s">
        <v>1574</v>
      </c>
      <c r="U230" s="49" t="s">
        <v>1574</v>
      </c>
      <c r="V230" s="49">
        <v>1042</v>
      </c>
      <c r="W230" s="49">
        <v>622</v>
      </c>
      <c r="X230" s="49" t="s">
        <v>1574</v>
      </c>
      <c r="Y230" s="49">
        <v>266</v>
      </c>
      <c r="Z230" s="49">
        <v>586</v>
      </c>
      <c r="AA230" s="49">
        <v>207</v>
      </c>
      <c r="AB230" s="49" t="s">
        <v>1574</v>
      </c>
      <c r="AC230" s="49" t="s">
        <v>1574</v>
      </c>
      <c r="AD230" s="49">
        <v>54.26825712438</v>
      </c>
      <c r="AE230" s="49">
        <v>97.26</v>
      </c>
      <c r="AF230" s="49">
        <v>90.61</v>
      </c>
      <c r="AG230" s="49">
        <v>362.23</v>
      </c>
      <c r="AH230" s="49" t="s">
        <v>1574</v>
      </c>
      <c r="AI230" s="49" t="s">
        <v>1574</v>
      </c>
      <c r="AJ230" s="49" t="s">
        <v>1574</v>
      </c>
      <c r="AK230" s="49" t="s">
        <v>1574</v>
      </c>
      <c r="AL230" s="49">
        <v>127.13</v>
      </c>
      <c r="AM230" s="49" t="s">
        <v>1574</v>
      </c>
      <c r="AN230" s="49">
        <v>0.23899999999999999</v>
      </c>
      <c r="AO230" s="49">
        <v>0.31480000000000002</v>
      </c>
      <c r="AP230" s="49">
        <v>1.9509000000000001</v>
      </c>
      <c r="AQ230" s="49">
        <v>0.69583267216</v>
      </c>
      <c r="AR230" s="49">
        <v>2.2831999999999999</v>
      </c>
      <c r="AS230" s="49">
        <v>8.0689092000000002</v>
      </c>
      <c r="AT230" s="49">
        <v>0.349873194</v>
      </c>
      <c r="AU230" s="49">
        <v>0.27844350600000001</v>
      </c>
      <c r="AV230" s="49">
        <v>0.14180000000000001</v>
      </c>
      <c r="AW230" s="49">
        <v>2286.81</v>
      </c>
      <c r="AX230" s="49">
        <v>202.73</v>
      </c>
      <c r="AY230" s="49">
        <v>94.3</v>
      </c>
      <c r="AZ230" s="49" t="s">
        <v>1574</v>
      </c>
      <c r="BA230" s="49">
        <v>267.66491302933002</v>
      </c>
      <c r="BB230" s="49" t="s">
        <v>1574</v>
      </c>
      <c r="BC230" s="49">
        <v>1.5461</v>
      </c>
      <c r="BD230" s="49" t="s">
        <v>1574</v>
      </c>
      <c r="BE230" s="49">
        <v>0.97840000000000005</v>
      </c>
      <c r="BF230" s="49">
        <v>32.5</v>
      </c>
      <c r="BG230" s="49">
        <v>137</v>
      </c>
      <c r="BH230" s="49">
        <v>95</v>
      </c>
      <c r="BI230" s="49">
        <v>142</v>
      </c>
      <c r="BJ230" s="49">
        <v>57</v>
      </c>
      <c r="BK230" s="49">
        <v>1289.70263671875</v>
      </c>
      <c r="BL230" s="49">
        <v>21.45</v>
      </c>
      <c r="BM230" s="49">
        <v>1337</v>
      </c>
      <c r="BN230" s="49">
        <v>582</v>
      </c>
      <c r="BO230" s="49">
        <v>12414.2</v>
      </c>
      <c r="BP230" s="49">
        <v>4586</v>
      </c>
      <c r="BQ230" s="49">
        <v>584</v>
      </c>
      <c r="BR230" s="49">
        <v>188.73</v>
      </c>
      <c r="BS230" s="49">
        <v>245.64</v>
      </c>
      <c r="BT230" s="49">
        <v>5.3613</v>
      </c>
      <c r="BU230" s="41"/>
      <c r="BV230" s="41"/>
      <c r="BW230" s="41"/>
      <c r="BX230" s="41"/>
      <c r="BY230" s="41"/>
      <c r="BZ230" s="41"/>
      <c r="CA230" s="41"/>
      <c r="CB230" s="41"/>
      <c r="CC230" s="41"/>
      <c r="CD230" s="41"/>
      <c r="CE230" s="41"/>
      <c r="CF230" s="41"/>
      <c r="CG230" s="41"/>
      <c r="CH230" s="41"/>
      <c r="CI230" s="41"/>
      <c r="CJ230" s="41"/>
      <c r="CK230" s="41"/>
    </row>
    <row r="231" spans="1:89">
      <c r="A231" s="41" t="s">
        <v>360</v>
      </c>
      <c r="B231" s="51">
        <v>12.78999996185</v>
      </c>
      <c r="C231" s="51">
        <v>12.78999996185</v>
      </c>
      <c r="D231" s="51">
        <v>12.78999996185</v>
      </c>
      <c r="E231" s="51" t="s">
        <v>1574</v>
      </c>
      <c r="F231" s="51">
        <v>30.15</v>
      </c>
      <c r="G231" s="51" t="s">
        <v>1574</v>
      </c>
      <c r="H231" s="51">
        <v>0.91</v>
      </c>
      <c r="I231" s="51">
        <v>2.3022180992700001</v>
      </c>
      <c r="J231" s="51">
        <v>3.0360808420400001</v>
      </c>
      <c r="K231" s="51">
        <v>24.052077509309999</v>
      </c>
      <c r="L231" s="51">
        <v>3.3612000000000002</v>
      </c>
      <c r="M231" s="51">
        <v>3.0472000000000001</v>
      </c>
      <c r="N231" s="51">
        <v>2.8318349999999999</v>
      </c>
      <c r="O231" s="51">
        <v>1.3958999999999999</v>
      </c>
      <c r="P231" s="51">
        <v>0.73431500000000005</v>
      </c>
      <c r="Q231" s="51">
        <v>1.8201160000000001</v>
      </c>
      <c r="R231" s="51">
        <v>1.6333470000000001</v>
      </c>
      <c r="S231" s="51">
        <v>657</v>
      </c>
      <c r="T231" s="51" t="s">
        <v>1574</v>
      </c>
      <c r="U231" s="51" t="s">
        <v>1574</v>
      </c>
      <c r="V231" s="51">
        <v>1044</v>
      </c>
      <c r="W231" s="51">
        <v>585</v>
      </c>
      <c r="X231" s="51" t="s">
        <v>1574</v>
      </c>
      <c r="Y231" s="51">
        <v>262</v>
      </c>
      <c r="Z231" s="51">
        <v>587</v>
      </c>
      <c r="AA231" s="51">
        <v>202</v>
      </c>
      <c r="AB231" s="51" t="s">
        <v>1574</v>
      </c>
      <c r="AC231" s="51" t="s">
        <v>1574</v>
      </c>
      <c r="AD231" s="51">
        <v>53.398439469240003</v>
      </c>
      <c r="AE231" s="51">
        <v>92.02</v>
      </c>
      <c r="AF231" s="51">
        <v>88.02</v>
      </c>
      <c r="AG231" s="51">
        <v>344.31</v>
      </c>
      <c r="AH231" s="51" t="s">
        <v>1574</v>
      </c>
      <c r="AI231" s="51" t="s">
        <v>1574</v>
      </c>
      <c r="AJ231" s="51" t="s">
        <v>1574</v>
      </c>
      <c r="AK231" s="51" t="s">
        <v>1574</v>
      </c>
      <c r="AL231" s="51">
        <v>127.5</v>
      </c>
      <c r="AM231" s="51" t="s">
        <v>1574</v>
      </c>
      <c r="AN231" s="51">
        <v>0.25</v>
      </c>
      <c r="AO231" s="51">
        <v>0.30599999999999999</v>
      </c>
      <c r="AP231" s="51">
        <v>2.0251999999999999</v>
      </c>
      <c r="AQ231" s="51">
        <v>0.69857792917999995</v>
      </c>
      <c r="AR231" s="51">
        <v>2.3184999999999998</v>
      </c>
      <c r="AS231" s="51">
        <v>8.0689092000000002</v>
      </c>
      <c r="AT231" s="51">
        <v>0.35758936400000002</v>
      </c>
      <c r="AU231" s="51">
        <v>0.29299399799999998</v>
      </c>
      <c r="AV231" s="51">
        <v>0.15609999999999999</v>
      </c>
      <c r="AW231" s="51">
        <v>2311.11</v>
      </c>
      <c r="AX231" s="51">
        <v>206.4</v>
      </c>
      <c r="AY231" s="51">
        <v>100.4</v>
      </c>
      <c r="AZ231" s="51" t="s">
        <v>1574</v>
      </c>
      <c r="BA231" s="51">
        <v>276.87984048182</v>
      </c>
      <c r="BB231" s="51" t="s">
        <v>1574</v>
      </c>
      <c r="BC231" s="51">
        <v>1.5894999999999999</v>
      </c>
      <c r="BD231" s="51" t="s">
        <v>1574</v>
      </c>
      <c r="BE231" s="51">
        <v>1.0344</v>
      </c>
      <c r="BF231" s="51">
        <v>32.5</v>
      </c>
      <c r="BG231" s="51">
        <v>143</v>
      </c>
      <c r="BH231" s="51">
        <v>102</v>
      </c>
      <c r="BI231" s="51">
        <v>142.5</v>
      </c>
      <c r="BJ231" s="51">
        <v>58.5</v>
      </c>
      <c r="BK231" s="51">
        <v>1320.5673828125</v>
      </c>
      <c r="BL231" s="51">
        <v>21.45</v>
      </c>
      <c r="BM231" s="51">
        <v>1426</v>
      </c>
      <c r="BN231" s="51">
        <v>639</v>
      </c>
      <c r="BO231" s="51">
        <v>12994.5</v>
      </c>
      <c r="BP231" s="51">
        <v>4586</v>
      </c>
      <c r="BQ231" s="51">
        <v>618</v>
      </c>
      <c r="BR231" s="51">
        <v>206.3</v>
      </c>
      <c r="BS231" s="51">
        <v>267.35000000000002</v>
      </c>
      <c r="BT231" s="51">
        <v>5.5361000000000002</v>
      </c>
      <c r="BU231" s="41"/>
      <c r="BV231" s="41"/>
      <c r="BW231" s="41"/>
      <c r="BX231" s="41"/>
      <c r="BY231" s="41"/>
      <c r="BZ231" s="41"/>
      <c r="CA231" s="41"/>
      <c r="CB231" s="41"/>
      <c r="CC231" s="41"/>
      <c r="CD231" s="41"/>
      <c r="CE231" s="41"/>
      <c r="CF231" s="41"/>
      <c r="CG231" s="41"/>
      <c r="CH231" s="41"/>
      <c r="CI231" s="41"/>
      <c r="CJ231" s="41"/>
      <c r="CK231" s="41"/>
    </row>
    <row r="232" spans="1:89">
      <c r="A232" s="48" t="s">
        <v>361</v>
      </c>
      <c r="B232" s="49">
        <v>12.80000019073</v>
      </c>
      <c r="C232" s="49">
        <v>12.80000019073</v>
      </c>
      <c r="D232" s="49">
        <v>12.80000019073</v>
      </c>
      <c r="E232" s="49" t="s">
        <v>1574</v>
      </c>
      <c r="F232" s="49">
        <v>30.15</v>
      </c>
      <c r="G232" s="49" t="s">
        <v>1574</v>
      </c>
      <c r="H232" s="49">
        <v>0.92</v>
      </c>
      <c r="I232" s="49">
        <v>2.3022180992700001</v>
      </c>
      <c r="J232" s="49">
        <v>3.0360808420400001</v>
      </c>
      <c r="K232" s="49">
        <v>24.173511239050001</v>
      </c>
      <c r="L232" s="49">
        <v>3.7505000000000002</v>
      </c>
      <c r="M232" s="49">
        <v>3.4243999999999999</v>
      </c>
      <c r="N232" s="49">
        <v>3.2385869999999999</v>
      </c>
      <c r="O232" s="49">
        <v>1.3633</v>
      </c>
      <c r="P232" s="49">
        <v>0.72845570000000004</v>
      </c>
      <c r="Q232" s="49">
        <v>1.724461</v>
      </c>
      <c r="R232" s="49">
        <v>1.6369009999999999</v>
      </c>
      <c r="S232" s="49">
        <v>777.5</v>
      </c>
      <c r="T232" s="49" t="s">
        <v>1574</v>
      </c>
      <c r="U232" s="49" t="s">
        <v>1574</v>
      </c>
      <c r="V232" s="49">
        <v>1210</v>
      </c>
      <c r="W232" s="49">
        <v>615</v>
      </c>
      <c r="X232" s="49" t="s">
        <v>1574</v>
      </c>
      <c r="Y232" s="49">
        <v>264</v>
      </c>
      <c r="Z232" s="49">
        <v>630</v>
      </c>
      <c r="AA232" s="49">
        <v>208</v>
      </c>
      <c r="AB232" s="49" t="s">
        <v>1574</v>
      </c>
      <c r="AC232" s="49" t="s">
        <v>1574</v>
      </c>
      <c r="AD232" s="49">
        <v>53.909617578979997</v>
      </c>
      <c r="AE232" s="49">
        <v>90.99</v>
      </c>
      <c r="AF232" s="49">
        <v>87.25</v>
      </c>
      <c r="AG232" s="49">
        <v>347.01</v>
      </c>
      <c r="AH232" s="49" t="s">
        <v>1574</v>
      </c>
      <c r="AI232" s="49" t="s">
        <v>1574</v>
      </c>
      <c r="AJ232" s="49" t="s">
        <v>1574</v>
      </c>
      <c r="AK232" s="49" t="s">
        <v>1574</v>
      </c>
      <c r="AL232" s="49">
        <v>130.81</v>
      </c>
      <c r="AM232" s="49" t="s">
        <v>1574</v>
      </c>
      <c r="AN232" s="49">
        <v>0.252</v>
      </c>
      <c r="AO232" s="49">
        <v>0.30599999999999999</v>
      </c>
      <c r="AP232" s="49">
        <v>2.2418999999999998</v>
      </c>
      <c r="AQ232" s="49">
        <v>0.70294647135999999</v>
      </c>
      <c r="AR232" s="49">
        <v>2.4079000000000002</v>
      </c>
      <c r="AS232" s="49">
        <v>8.0689092000000002</v>
      </c>
      <c r="AT232" s="49">
        <v>0.36133721800000002</v>
      </c>
      <c r="AU232" s="49">
        <v>0.31768574199999999</v>
      </c>
      <c r="AV232" s="49">
        <v>0.18010000000000001</v>
      </c>
      <c r="AW232" s="49">
        <v>2309.2399999999998</v>
      </c>
      <c r="AX232" s="49">
        <v>206.34</v>
      </c>
      <c r="AY232" s="49">
        <v>99.3</v>
      </c>
      <c r="AZ232" s="49" t="s">
        <v>1574</v>
      </c>
      <c r="BA232" s="49">
        <v>275.23757660878999</v>
      </c>
      <c r="BB232" s="49" t="s">
        <v>1574</v>
      </c>
      <c r="BC232" s="49">
        <v>1.6258999999999999</v>
      </c>
      <c r="BD232" s="49" t="s">
        <v>1574</v>
      </c>
      <c r="BE232" s="49">
        <v>1.0944</v>
      </c>
      <c r="BF232" s="49">
        <v>32.5</v>
      </c>
      <c r="BG232" s="49">
        <v>151.5</v>
      </c>
      <c r="BH232" s="49">
        <v>105.5</v>
      </c>
      <c r="BI232" s="49">
        <v>134.625</v>
      </c>
      <c r="BJ232" s="49">
        <v>63.125</v>
      </c>
      <c r="BK232" s="49">
        <v>1382.29663085938</v>
      </c>
      <c r="BL232" s="49">
        <v>21.45</v>
      </c>
      <c r="BM232" s="49">
        <v>1442</v>
      </c>
      <c r="BN232" s="49">
        <v>693</v>
      </c>
      <c r="BO232" s="49">
        <v>13889.1</v>
      </c>
      <c r="BP232" s="49">
        <v>4586</v>
      </c>
      <c r="BQ232" s="49">
        <v>634</v>
      </c>
      <c r="BR232" s="49">
        <v>212.08</v>
      </c>
      <c r="BS232" s="49">
        <v>269.33999999999997</v>
      </c>
      <c r="BT232" s="49">
        <v>5.5884</v>
      </c>
      <c r="BU232" s="41"/>
      <c r="BV232" s="41"/>
      <c r="BW232" s="41"/>
      <c r="BX232" s="41"/>
      <c r="BY232" s="41"/>
      <c r="BZ232" s="41"/>
      <c r="CA232" s="41"/>
      <c r="CB232" s="41"/>
      <c r="CC232" s="41"/>
      <c r="CD232" s="41"/>
      <c r="CE232" s="41"/>
      <c r="CF232" s="41"/>
      <c r="CG232" s="41"/>
      <c r="CH232" s="41"/>
      <c r="CI232" s="41"/>
      <c r="CJ232" s="41"/>
      <c r="CK232" s="41"/>
    </row>
    <row r="233" spans="1:89">
      <c r="A233" s="41" t="s">
        <v>362</v>
      </c>
      <c r="B233" s="51">
        <v>12.85000038147</v>
      </c>
      <c r="C233" s="51">
        <v>12.85000038147</v>
      </c>
      <c r="D233" s="51">
        <v>12.85000038147</v>
      </c>
      <c r="E233" s="51" t="s">
        <v>1574</v>
      </c>
      <c r="F233" s="51">
        <v>30.15</v>
      </c>
      <c r="G233" s="51" t="s">
        <v>1574</v>
      </c>
      <c r="H233" s="51">
        <v>0.92</v>
      </c>
      <c r="I233" s="51">
        <v>2.3022180992700001</v>
      </c>
      <c r="J233" s="51">
        <v>3.0360808420400001</v>
      </c>
      <c r="K233" s="51">
        <v>24.173511239050001</v>
      </c>
      <c r="L233" s="51">
        <v>3.8273999999999999</v>
      </c>
      <c r="M233" s="51">
        <v>3.3963999999999999</v>
      </c>
      <c r="N233" s="51">
        <v>3.3095759999999999</v>
      </c>
      <c r="O233" s="51">
        <v>1.4083000000000001</v>
      </c>
      <c r="P233" s="51">
        <v>0.81758189999999997</v>
      </c>
      <c r="Q233" s="51">
        <v>1.7302789999999999</v>
      </c>
      <c r="R233" s="51">
        <v>1.6770160000000001</v>
      </c>
      <c r="S233" s="51">
        <v>805</v>
      </c>
      <c r="T233" s="51" t="s">
        <v>1574</v>
      </c>
      <c r="U233" s="51" t="s">
        <v>1574</v>
      </c>
      <c r="V233" s="51">
        <v>1194</v>
      </c>
      <c r="W233" s="51">
        <v>623</v>
      </c>
      <c r="X233" s="51" t="s">
        <v>1574</v>
      </c>
      <c r="Y233" s="51">
        <v>271</v>
      </c>
      <c r="Z233" s="51">
        <v>637</v>
      </c>
      <c r="AA233" s="51">
        <v>223</v>
      </c>
      <c r="AB233" s="51" t="s">
        <v>1574</v>
      </c>
      <c r="AC233" s="51" t="s">
        <v>1574</v>
      </c>
      <c r="AD233" s="51">
        <v>56.255630228199998</v>
      </c>
      <c r="AE233" s="51">
        <v>95.94</v>
      </c>
      <c r="AF233" s="51">
        <v>93.81</v>
      </c>
      <c r="AG233" s="51">
        <v>338.42</v>
      </c>
      <c r="AH233" s="51" t="s">
        <v>1574</v>
      </c>
      <c r="AI233" s="51" t="s">
        <v>1574</v>
      </c>
      <c r="AJ233" s="51" t="s">
        <v>1574</v>
      </c>
      <c r="AK233" s="51" t="s">
        <v>1574</v>
      </c>
      <c r="AL233" s="51">
        <v>137.41999999999999</v>
      </c>
      <c r="AM233" s="51" t="s">
        <v>1574</v>
      </c>
      <c r="AN233" s="51">
        <v>0.25600000000000001</v>
      </c>
      <c r="AO233" s="51">
        <v>0.30599999999999999</v>
      </c>
      <c r="AP233" s="51">
        <v>2.3462000000000001</v>
      </c>
      <c r="AQ233" s="51">
        <v>0.70856387004999999</v>
      </c>
      <c r="AR233" s="51">
        <v>2.5428999999999999</v>
      </c>
      <c r="AS233" s="51">
        <v>8.0689092000000002</v>
      </c>
      <c r="AT233" s="51">
        <v>0.37985602600000001</v>
      </c>
      <c r="AU233" s="51">
        <v>0.34634580199999998</v>
      </c>
      <c r="AV233" s="51">
        <v>0.19750000000000001</v>
      </c>
      <c r="AW233" s="51">
        <v>2305.41</v>
      </c>
      <c r="AX233" s="51">
        <v>213.08</v>
      </c>
      <c r="AY233" s="51">
        <v>101.6</v>
      </c>
      <c r="AZ233" s="51" t="s">
        <v>1574</v>
      </c>
      <c r="BA233" s="51">
        <v>278.66198952046</v>
      </c>
      <c r="BB233" s="51" t="s">
        <v>1574</v>
      </c>
      <c r="BC233" s="51">
        <v>1.67</v>
      </c>
      <c r="BD233" s="51" t="s">
        <v>1574</v>
      </c>
      <c r="BE233" s="51">
        <v>1.1620999999999999</v>
      </c>
      <c r="BF233" s="51">
        <v>32.5</v>
      </c>
      <c r="BG233" s="51">
        <v>151.5</v>
      </c>
      <c r="BH233" s="51">
        <v>105.5</v>
      </c>
      <c r="BI233" s="51">
        <v>132</v>
      </c>
      <c r="BJ233" s="51">
        <v>63.5</v>
      </c>
      <c r="BK233" s="51">
        <v>1424.62548828125</v>
      </c>
      <c r="BL233" s="51">
        <v>21.45</v>
      </c>
      <c r="BM233" s="51">
        <v>1506</v>
      </c>
      <c r="BN233" s="51">
        <v>830</v>
      </c>
      <c r="BO233" s="51">
        <v>15256</v>
      </c>
      <c r="BP233" s="51">
        <v>4586</v>
      </c>
      <c r="BQ233" s="51">
        <v>713</v>
      </c>
      <c r="BR233" s="51">
        <v>227.44</v>
      </c>
      <c r="BS233" s="51">
        <v>331.83</v>
      </c>
      <c r="BT233" s="51">
        <v>5.9447000000000001</v>
      </c>
      <c r="BU233" s="41"/>
      <c r="BV233" s="41"/>
      <c r="BW233" s="41"/>
      <c r="BX233" s="41"/>
      <c r="BY233" s="41"/>
      <c r="BZ233" s="41"/>
      <c r="CA233" s="41"/>
      <c r="CB233" s="41"/>
      <c r="CC233" s="41"/>
      <c r="CD233" s="41"/>
      <c r="CE233" s="41"/>
      <c r="CF233" s="41"/>
      <c r="CG233" s="41"/>
      <c r="CH233" s="41"/>
      <c r="CI233" s="41"/>
      <c r="CJ233" s="41"/>
      <c r="CK233" s="41"/>
    </row>
    <row r="234" spans="1:89">
      <c r="A234" s="48" t="s">
        <v>363</v>
      </c>
      <c r="B234" s="49">
        <v>13.19999980927</v>
      </c>
      <c r="C234" s="49">
        <v>13.19999980927</v>
      </c>
      <c r="D234" s="49">
        <v>13.19999980927</v>
      </c>
      <c r="E234" s="49" t="s">
        <v>1574</v>
      </c>
      <c r="F234" s="49">
        <v>30.15</v>
      </c>
      <c r="G234" s="49" t="s">
        <v>1574</v>
      </c>
      <c r="H234" s="49">
        <v>0.93</v>
      </c>
      <c r="I234" s="49">
        <v>2.3022180992700001</v>
      </c>
      <c r="J234" s="49">
        <v>3.0360808420400001</v>
      </c>
      <c r="K234" s="49">
        <v>24.294944968780001</v>
      </c>
      <c r="L234" s="49">
        <v>4.0303000000000004</v>
      </c>
      <c r="M234" s="49">
        <v>3.2223000000000002</v>
      </c>
      <c r="N234" s="49">
        <v>3.1803849999999998</v>
      </c>
      <c r="O234" s="49">
        <v>1.3691</v>
      </c>
      <c r="P234" s="49">
        <v>0.75812040000000003</v>
      </c>
      <c r="Q234" s="49">
        <v>1.69279</v>
      </c>
      <c r="R234" s="49">
        <v>1.6562650000000001</v>
      </c>
      <c r="S234" s="49">
        <v>835</v>
      </c>
      <c r="T234" s="49" t="s">
        <v>1574</v>
      </c>
      <c r="U234" s="49" t="s">
        <v>1574</v>
      </c>
      <c r="V234" s="49">
        <v>1191</v>
      </c>
      <c r="W234" s="49">
        <v>604</v>
      </c>
      <c r="X234" s="49" t="s">
        <v>1574</v>
      </c>
      <c r="Y234" s="49">
        <v>270</v>
      </c>
      <c r="Z234" s="49">
        <v>620</v>
      </c>
      <c r="AA234" s="49">
        <v>227</v>
      </c>
      <c r="AB234" s="49" t="s">
        <v>1574</v>
      </c>
      <c r="AC234" s="49" t="s">
        <v>1574</v>
      </c>
      <c r="AD234" s="49">
        <v>57.339669778100003</v>
      </c>
      <c r="AE234" s="49">
        <v>100.54</v>
      </c>
      <c r="AF234" s="49">
        <v>96.47</v>
      </c>
      <c r="AG234" s="49">
        <v>294.23</v>
      </c>
      <c r="AH234" s="49" t="s">
        <v>1574</v>
      </c>
      <c r="AI234" s="49" t="s">
        <v>1574</v>
      </c>
      <c r="AJ234" s="49" t="s">
        <v>1574</v>
      </c>
      <c r="AK234" s="49" t="s">
        <v>1574</v>
      </c>
      <c r="AL234" s="49">
        <v>137.79</v>
      </c>
      <c r="AM234" s="49" t="s">
        <v>1574</v>
      </c>
      <c r="AN234" s="49">
        <v>0.26700000000000002</v>
      </c>
      <c r="AO234" s="49">
        <v>0.32469999999999999</v>
      </c>
      <c r="AP234" s="49">
        <v>2.4196</v>
      </c>
      <c r="AQ234" s="49">
        <v>0.71264467510999996</v>
      </c>
      <c r="AR234" s="49">
        <v>2.4807999999999999</v>
      </c>
      <c r="AS234" s="49">
        <v>8.0689092000000002</v>
      </c>
      <c r="AT234" s="49">
        <v>0.36795107799999999</v>
      </c>
      <c r="AU234" s="49">
        <v>0.313937888</v>
      </c>
      <c r="AV234" s="49">
        <v>0.17660000000000001</v>
      </c>
      <c r="AW234" s="49">
        <v>2328.9899999999998</v>
      </c>
      <c r="AX234" s="49">
        <v>206.32</v>
      </c>
      <c r="AY234" s="49">
        <v>97.8</v>
      </c>
      <c r="AZ234" s="49" t="s">
        <v>1574</v>
      </c>
      <c r="BA234" s="49">
        <v>272.98457803699</v>
      </c>
      <c r="BB234" s="49" t="s">
        <v>1574</v>
      </c>
      <c r="BC234" s="49">
        <v>1.7317</v>
      </c>
      <c r="BD234" s="49" t="s">
        <v>1574</v>
      </c>
      <c r="BE234" s="49">
        <v>1.1449</v>
      </c>
      <c r="BF234" s="49">
        <v>32.5</v>
      </c>
      <c r="BG234" s="49">
        <v>151.5</v>
      </c>
      <c r="BH234" s="49">
        <v>101</v>
      </c>
      <c r="BI234" s="49">
        <v>140.75</v>
      </c>
      <c r="BJ234" s="49">
        <v>65</v>
      </c>
      <c r="BK234" s="49">
        <v>1394.42211914063</v>
      </c>
      <c r="BL234" s="49">
        <v>21.45</v>
      </c>
      <c r="BM234" s="49">
        <v>1481</v>
      </c>
      <c r="BN234" s="49">
        <v>824</v>
      </c>
      <c r="BO234" s="49">
        <v>15035.5</v>
      </c>
      <c r="BP234" s="49">
        <v>4586</v>
      </c>
      <c r="BQ234" s="49">
        <v>695</v>
      </c>
      <c r="BR234" s="49">
        <v>206.2</v>
      </c>
      <c r="BS234" s="49">
        <v>328.51</v>
      </c>
      <c r="BT234" s="49">
        <v>5.8723999999999998</v>
      </c>
      <c r="BU234" s="41"/>
      <c r="BV234" s="41"/>
      <c r="BW234" s="41"/>
      <c r="BX234" s="41"/>
      <c r="BY234" s="41"/>
      <c r="BZ234" s="41"/>
      <c r="CA234" s="41"/>
      <c r="CB234" s="41"/>
      <c r="CC234" s="41"/>
      <c r="CD234" s="41"/>
      <c r="CE234" s="41"/>
      <c r="CF234" s="41"/>
      <c r="CG234" s="41"/>
      <c r="CH234" s="41"/>
      <c r="CI234" s="41"/>
      <c r="CJ234" s="41"/>
      <c r="CK234" s="41"/>
    </row>
    <row r="235" spans="1:89">
      <c r="A235" s="41" t="s">
        <v>364</v>
      </c>
      <c r="B235" s="51">
        <v>14.5</v>
      </c>
      <c r="C235" s="51">
        <v>14.5</v>
      </c>
      <c r="D235" s="51">
        <v>14.5</v>
      </c>
      <c r="E235" s="51" t="s">
        <v>1574</v>
      </c>
      <c r="F235" s="51">
        <v>30.15</v>
      </c>
      <c r="G235" s="51" t="s">
        <v>1574</v>
      </c>
      <c r="H235" s="51">
        <v>0.96</v>
      </c>
      <c r="I235" s="51">
        <v>2.3022180992700001</v>
      </c>
      <c r="J235" s="51">
        <v>3.0360808420400001</v>
      </c>
      <c r="K235" s="51">
        <v>24.659246157990001</v>
      </c>
      <c r="L235" s="51">
        <v>3.9478</v>
      </c>
      <c r="M235" s="51">
        <v>2.8898000000000001</v>
      </c>
      <c r="N235" s="51">
        <v>2.9118620000000002</v>
      </c>
      <c r="O235" s="51">
        <v>1.3257000000000001</v>
      </c>
      <c r="P235" s="51">
        <v>0.70359190000000005</v>
      </c>
      <c r="Q235" s="51">
        <v>1.6243529999999999</v>
      </c>
      <c r="R235" s="51">
        <v>1.6490499999999999</v>
      </c>
      <c r="S235" s="51">
        <v>886</v>
      </c>
      <c r="T235" s="51" t="s">
        <v>1574</v>
      </c>
      <c r="U235" s="51" t="s">
        <v>1574</v>
      </c>
      <c r="V235" s="51">
        <v>1022</v>
      </c>
      <c r="W235" s="51">
        <v>604</v>
      </c>
      <c r="X235" s="51" t="s">
        <v>1574</v>
      </c>
      <c r="Y235" s="51">
        <v>278</v>
      </c>
      <c r="Z235" s="51">
        <v>627</v>
      </c>
      <c r="AA235" s="51">
        <v>237</v>
      </c>
      <c r="AB235" s="51" t="s">
        <v>1574</v>
      </c>
      <c r="AC235" s="51" t="s">
        <v>1574</v>
      </c>
      <c r="AD235" s="51">
        <v>56.753164858440002</v>
      </c>
      <c r="AE235" s="51">
        <v>98.52</v>
      </c>
      <c r="AF235" s="51">
        <v>96.05</v>
      </c>
      <c r="AG235" s="51">
        <v>273.36</v>
      </c>
      <c r="AH235" s="51" t="s">
        <v>1574</v>
      </c>
      <c r="AI235" s="51" t="s">
        <v>1574</v>
      </c>
      <c r="AJ235" s="51" t="s">
        <v>1574</v>
      </c>
      <c r="AK235" s="51" t="s">
        <v>1574</v>
      </c>
      <c r="AL235" s="51">
        <v>136.32</v>
      </c>
      <c r="AM235" s="51" t="s">
        <v>1574</v>
      </c>
      <c r="AN235" s="51">
        <v>0.29299999999999998</v>
      </c>
      <c r="AO235" s="51">
        <v>0.34289999999999998</v>
      </c>
      <c r="AP235" s="51">
        <v>2.5697000000000001</v>
      </c>
      <c r="AQ235" s="51">
        <v>0.71752556122</v>
      </c>
      <c r="AR235" s="51">
        <v>2.4117999999999999</v>
      </c>
      <c r="AS235" s="51">
        <v>8.0689092000000002</v>
      </c>
      <c r="AT235" s="51">
        <v>0.37125800799999997</v>
      </c>
      <c r="AU235" s="51">
        <v>0.31415834999999998</v>
      </c>
      <c r="AV235" s="51">
        <v>0.1764</v>
      </c>
      <c r="AW235" s="51">
        <v>2345.85</v>
      </c>
      <c r="AX235" s="51">
        <v>208.33</v>
      </c>
      <c r="AY235" s="51">
        <v>101.8</v>
      </c>
      <c r="AZ235" s="51" t="s">
        <v>1574</v>
      </c>
      <c r="BA235" s="51">
        <v>278.95807103613998</v>
      </c>
      <c r="BB235" s="51" t="s">
        <v>1574</v>
      </c>
      <c r="BC235" s="51">
        <v>1.7122999999999999</v>
      </c>
      <c r="BD235" s="51" t="s">
        <v>1574</v>
      </c>
      <c r="BE235" s="51">
        <v>1.0761000000000001</v>
      </c>
      <c r="BF235" s="51">
        <v>32.5</v>
      </c>
      <c r="BG235" s="51">
        <v>141.5</v>
      </c>
      <c r="BH235" s="51">
        <v>97.5</v>
      </c>
      <c r="BI235" s="51">
        <v>141</v>
      </c>
      <c r="BJ235" s="51">
        <v>65</v>
      </c>
      <c r="BK235" s="51">
        <v>1408.75219726563</v>
      </c>
      <c r="BL235" s="51">
        <v>21.45</v>
      </c>
      <c r="BM235" s="51">
        <v>1533</v>
      </c>
      <c r="BN235" s="51">
        <v>859</v>
      </c>
      <c r="BO235" s="51">
        <v>14153.7</v>
      </c>
      <c r="BP235" s="51">
        <v>4586</v>
      </c>
      <c r="BQ235" s="51">
        <v>687</v>
      </c>
      <c r="BR235" s="51">
        <v>207.85</v>
      </c>
      <c r="BS235" s="51">
        <v>340.44</v>
      </c>
      <c r="BT235" s="51">
        <v>5.9349999999999996</v>
      </c>
      <c r="BU235" s="41"/>
      <c r="BV235" s="41"/>
      <c r="BW235" s="41"/>
      <c r="BX235" s="41"/>
      <c r="BY235" s="41"/>
      <c r="BZ235" s="41"/>
      <c r="CA235" s="41"/>
      <c r="CB235" s="41"/>
      <c r="CC235" s="41"/>
      <c r="CD235" s="41"/>
      <c r="CE235" s="41"/>
      <c r="CF235" s="41"/>
      <c r="CG235" s="41"/>
      <c r="CH235" s="41"/>
      <c r="CI235" s="41"/>
      <c r="CJ235" s="41"/>
      <c r="CK235" s="41"/>
    </row>
    <row r="236" spans="1:89">
      <c r="A236" s="48" t="s">
        <v>365</v>
      </c>
      <c r="B236" s="49">
        <v>17.4500002861</v>
      </c>
      <c r="C236" s="49">
        <v>18.95000076294</v>
      </c>
      <c r="D236" s="49">
        <v>15.94999980927</v>
      </c>
      <c r="E236" s="49" t="s">
        <v>1574</v>
      </c>
      <c r="F236" s="49">
        <v>30.15</v>
      </c>
      <c r="G236" s="49" t="s">
        <v>1574</v>
      </c>
      <c r="H236" s="49">
        <v>1.02</v>
      </c>
      <c r="I236" s="49">
        <v>3.2594885748500002</v>
      </c>
      <c r="J236" s="49">
        <v>3.6924229155699999</v>
      </c>
      <c r="K236" s="49">
        <v>30.383353821939998</v>
      </c>
      <c r="L236" s="49">
        <v>3.6555</v>
      </c>
      <c r="M236" s="49">
        <v>2.8349000000000002</v>
      </c>
      <c r="N236" s="49">
        <v>2.9377</v>
      </c>
      <c r="O236" s="49">
        <v>1.3112999999999999</v>
      </c>
      <c r="P236" s="49">
        <v>0.70779349999999996</v>
      </c>
      <c r="Q236" s="49">
        <v>1.593796</v>
      </c>
      <c r="R236" s="49">
        <v>1.6323570000000001</v>
      </c>
      <c r="S236" s="49">
        <v>966</v>
      </c>
      <c r="T236" s="49" t="s">
        <v>1574</v>
      </c>
      <c r="U236" s="49">
        <v>381</v>
      </c>
      <c r="V236" s="49">
        <v>976</v>
      </c>
      <c r="W236" s="49">
        <v>636</v>
      </c>
      <c r="X236" s="49" t="s">
        <v>1574</v>
      </c>
      <c r="Y236" s="49">
        <v>284</v>
      </c>
      <c r="Z236" s="49">
        <v>616</v>
      </c>
      <c r="AA236" s="49">
        <v>235</v>
      </c>
      <c r="AB236" s="49" t="s">
        <v>1574</v>
      </c>
      <c r="AC236" s="49" t="s">
        <v>1574</v>
      </c>
      <c r="AD236" s="49">
        <v>58.478917517089997</v>
      </c>
      <c r="AE236" s="49">
        <v>105.41</v>
      </c>
      <c r="AF236" s="49">
        <v>97.06</v>
      </c>
      <c r="AG236" s="49">
        <v>278.52</v>
      </c>
      <c r="AH236" s="49" t="s">
        <v>1574</v>
      </c>
      <c r="AI236" s="49" t="s">
        <v>1574</v>
      </c>
      <c r="AJ236" s="49" t="s">
        <v>1574</v>
      </c>
      <c r="AK236" s="49">
        <v>140.36000000000001</v>
      </c>
      <c r="AL236" s="49">
        <v>137.79</v>
      </c>
      <c r="AM236" s="49" t="s">
        <v>1574</v>
      </c>
      <c r="AN236" s="49">
        <v>0.27400000000000002</v>
      </c>
      <c r="AO236" s="49">
        <v>0.32729999999999998</v>
      </c>
      <c r="AP236" s="49">
        <v>2.7978999999999998</v>
      </c>
      <c r="AQ236" s="49">
        <v>0.72084854698</v>
      </c>
      <c r="AR236" s="49">
        <v>2.3426999999999998</v>
      </c>
      <c r="AS236" s="49">
        <v>11.9710866</v>
      </c>
      <c r="AT236" s="49">
        <v>0.37765140600000002</v>
      </c>
      <c r="AU236" s="49">
        <v>0.32253590599999998</v>
      </c>
      <c r="AV236" s="49">
        <v>0.16689999999999999</v>
      </c>
      <c r="AW236" s="49">
        <v>2380.71</v>
      </c>
      <c r="AX236" s="49">
        <v>212.2</v>
      </c>
      <c r="AY236" s="49">
        <v>116.2</v>
      </c>
      <c r="AZ236" s="49" t="s">
        <v>1574</v>
      </c>
      <c r="BA236" s="49">
        <v>299.61699248246998</v>
      </c>
      <c r="BB236" s="49">
        <v>270</v>
      </c>
      <c r="BC236" s="49">
        <v>1.6755</v>
      </c>
      <c r="BD236" s="49" t="s">
        <v>1574</v>
      </c>
      <c r="BE236" s="49">
        <v>1.0668</v>
      </c>
      <c r="BF236" s="49">
        <v>32.5</v>
      </c>
      <c r="BG236" s="49">
        <v>153</v>
      </c>
      <c r="BH236" s="49">
        <v>109.5</v>
      </c>
      <c r="BI236" s="49">
        <v>143</v>
      </c>
      <c r="BJ236" s="49">
        <v>65</v>
      </c>
      <c r="BK236" s="49">
        <v>1264.75634765625</v>
      </c>
      <c r="BL236" s="49">
        <v>23.5</v>
      </c>
      <c r="BM236" s="49">
        <v>1659</v>
      </c>
      <c r="BN236" s="49">
        <v>992</v>
      </c>
      <c r="BO236" s="49">
        <v>13853.8</v>
      </c>
      <c r="BP236" s="49">
        <v>4586</v>
      </c>
      <c r="BQ236" s="49">
        <v>720</v>
      </c>
      <c r="BR236" s="49">
        <v>227.28</v>
      </c>
      <c r="BS236" s="49">
        <v>358.47</v>
      </c>
      <c r="BT236" s="49">
        <v>6.2027000000000001</v>
      </c>
      <c r="BU236" s="41"/>
      <c r="BV236" s="41"/>
      <c r="BW236" s="41"/>
      <c r="BX236" s="41"/>
      <c r="BY236" s="41"/>
      <c r="BZ236" s="41"/>
      <c r="CA236" s="41"/>
      <c r="CB236" s="41"/>
      <c r="CC236" s="41"/>
      <c r="CD236" s="41"/>
      <c r="CE236" s="41"/>
      <c r="CF236" s="41"/>
      <c r="CG236" s="41"/>
      <c r="CH236" s="41"/>
      <c r="CI236" s="41"/>
      <c r="CJ236" s="41"/>
      <c r="CK236" s="41"/>
    </row>
    <row r="237" spans="1:89">
      <c r="A237" s="41" t="s">
        <v>366</v>
      </c>
      <c r="B237" s="51">
        <v>20.75</v>
      </c>
      <c r="C237" s="51">
        <v>22</v>
      </c>
      <c r="D237" s="51">
        <v>19.5</v>
      </c>
      <c r="E237" s="51" t="s">
        <v>1574</v>
      </c>
      <c r="F237" s="51">
        <v>30.15</v>
      </c>
      <c r="G237" s="51" t="s">
        <v>1574</v>
      </c>
      <c r="H237" s="51">
        <v>1.05</v>
      </c>
      <c r="I237" s="51">
        <v>3.2594885748500002</v>
      </c>
      <c r="J237" s="51">
        <v>3.6924229155699999</v>
      </c>
      <c r="K237" s="51">
        <v>30.747655011150002</v>
      </c>
      <c r="L237" s="51">
        <v>3.5028999999999999</v>
      </c>
      <c r="M237" s="51">
        <v>2.7119</v>
      </c>
      <c r="N237" s="51">
        <v>2.9211</v>
      </c>
      <c r="O237" s="51">
        <v>1.2827</v>
      </c>
      <c r="P237" s="51">
        <v>0.69534929999999995</v>
      </c>
      <c r="Q237" s="51">
        <v>1.528214</v>
      </c>
      <c r="R237" s="51">
        <v>1.6245689999999999</v>
      </c>
      <c r="S237" s="51">
        <v>981</v>
      </c>
      <c r="T237" s="51" t="s">
        <v>1574</v>
      </c>
      <c r="U237" s="51">
        <v>382</v>
      </c>
      <c r="V237" s="51">
        <v>969</v>
      </c>
      <c r="W237" s="51">
        <v>694</v>
      </c>
      <c r="X237" s="51" t="s">
        <v>1574</v>
      </c>
      <c r="Y237" s="51">
        <v>298</v>
      </c>
      <c r="Z237" s="51">
        <v>653</v>
      </c>
      <c r="AA237" s="51">
        <v>238</v>
      </c>
      <c r="AB237" s="51" t="s">
        <v>1574</v>
      </c>
      <c r="AC237" s="51" t="s">
        <v>1574</v>
      </c>
      <c r="AD237" s="51">
        <v>59.383369616960003</v>
      </c>
      <c r="AE237" s="51">
        <v>107.01</v>
      </c>
      <c r="AF237" s="51">
        <v>97.83</v>
      </c>
      <c r="AG237" s="51">
        <v>279.5</v>
      </c>
      <c r="AH237" s="51" t="s">
        <v>1574</v>
      </c>
      <c r="AI237" s="51" t="s">
        <v>1574</v>
      </c>
      <c r="AJ237" s="51" t="s">
        <v>1574</v>
      </c>
      <c r="AK237" s="51">
        <v>144.77000000000001</v>
      </c>
      <c r="AL237" s="51">
        <v>140.36000000000001</v>
      </c>
      <c r="AM237" s="51" t="s">
        <v>1574</v>
      </c>
      <c r="AN237" s="51">
        <v>0.31</v>
      </c>
      <c r="AO237" s="51">
        <v>0.28399999999999997</v>
      </c>
      <c r="AP237" s="51">
        <v>2.9285999999999999</v>
      </c>
      <c r="AQ237" s="51">
        <v>0.72458113308000005</v>
      </c>
      <c r="AR237" s="51">
        <v>2.1673</v>
      </c>
      <c r="AS237" s="51">
        <v>11.9710866</v>
      </c>
      <c r="AT237" s="51">
        <v>0.37588770999999999</v>
      </c>
      <c r="AU237" s="51">
        <v>0.33752732200000002</v>
      </c>
      <c r="AV237" s="51">
        <v>0.18140000000000001</v>
      </c>
      <c r="AW237" s="51">
        <v>2364.48</v>
      </c>
      <c r="AX237" s="51">
        <v>191.8</v>
      </c>
      <c r="AY237" s="51">
        <v>127.8</v>
      </c>
      <c r="AZ237" s="51" t="s">
        <v>1574</v>
      </c>
      <c r="BA237" s="51">
        <v>315.41460001492999</v>
      </c>
      <c r="BB237" s="51">
        <v>238</v>
      </c>
      <c r="BC237" s="51">
        <v>1.6737</v>
      </c>
      <c r="BD237" s="51" t="s">
        <v>1574</v>
      </c>
      <c r="BE237" s="51">
        <v>1.1281000000000001</v>
      </c>
      <c r="BF237" s="51">
        <v>32.5</v>
      </c>
      <c r="BG237" s="51">
        <v>157.5</v>
      </c>
      <c r="BH237" s="51">
        <v>116.5</v>
      </c>
      <c r="BI237" s="51">
        <v>143</v>
      </c>
      <c r="BJ237" s="51">
        <v>64.5</v>
      </c>
      <c r="BK237" s="51">
        <v>1441.91015625</v>
      </c>
      <c r="BL237" s="51">
        <v>23.5</v>
      </c>
      <c r="BM237" s="51">
        <v>1944</v>
      </c>
      <c r="BN237" s="51">
        <v>1055</v>
      </c>
      <c r="BO237" s="51">
        <v>14526.2</v>
      </c>
      <c r="BP237" s="51">
        <v>4546</v>
      </c>
      <c r="BQ237" s="51">
        <v>793</v>
      </c>
      <c r="BR237" s="51">
        <v>245.67</v>
      </c>
      <c r="BS237" s="51">
        <v>410.41</v>
      </c>
      <c r="BT237" s="51">
        <v>7.3494000000000002</v>
      </c>
      <c r="BU237" s="41"/>
      <c r="BV237" s="41"/>
      <c r="BW237" s="41"/>
      <c r="BX237" s="41"/>
      <c r="BY237" s="41"/>
      <c r="BZ237" s="41"/>
      <c r="CA237" s="41"/>
      <c r="CB237" s="41"/>
      <c r="CC237" s="41"/>
      <c r="CD237" s="41"/>
      <c r="CE237" s="41"/>
      <c r="CF237" s="41"/>
      <c r="CG237" s="41"/>
      <c r="CH237" s="41"/>
      <c r="CI237" s="41"/>
      <c r="CJ237" s="41"/>
      <c r="CK237" s="41"/>
    </row>
    <row r="238" spans="1:89">
      <c r="A238" s="48" t="s">
        <v>367</v>
      </c>
      <c r="B238" s="49">
        <v>22.02499961853</v>
      </c>
      <c r="C238" s="49">
        <v>23.25</v>
      </c>
      <c r="D238" s="49">
        <v>20.79999923706</v>
      </c>
      <c r="E238" s="49" t="s">
        <v>1574</v>
      </c>
      <c r="F238" s="49">
        <v>30.15</v>
      </c>
      <c r="G238" s="49" t="s">
        <v>1574</v>
      </c>
      <c r="H238" s="49">
        <v>1.1000000000000001</v>
      </c>
      <c r="I238" s="49">
        <v>3.2594885748500002</v>
      </c>
      <c r="J238" s="49">
        <v>3.6924229155699999</v>
      </c>
      <c r="K238" s="49">
        <v>31.35482365983</v>
      </c>
      <c r="L238" s="49">
        <v>3.3961999999999999</v>
      </c>
      <c r="M238" s="49">
        <v>2.8734999999999999</v>
      </c>
      <c r="N238" s="49">
        <v>2.9809000000000001</v>
      </c>
      <c r="O238" s="49">
        <v>1.2626999999999999</v>
      </c>
      <c r="P238" s="49">
        <v>0.66645140000000003</v>
      </c>
      <c r="Q238" s="49">
        <v>1.4974419999999999</v>
      </c>
      <c r="R238" s="49">
        <v>1.6241209999999999</v>
      </c>
      <c r="S238" s="49">
        <v>986</v>
      </c>
      <c r="T238" s="49" t="s">
        <v>1574</v>
      </c>
      <c r="U238" s="49">
        <v>381</v>
      </c>
      <c r="V238" s="49">
        <v>972</v>
      </c>
      <c r="W238" s="49">
        <v>688</v>
      </c>
      <c r="X238" s="49" t="s">
        <v>1574</v>
      </c>
      <c r="Y238" s="49">
        <v>310</v>
      </c>
      <c r="Z238" s="49">
        <v>669</v>
      </c>
      <c r="AA238" s="49">
        <v>241</v>
      </c>
      <c r="AB238" s="49" t="s">
        <v>1574</v>
      </c>
      <c r="AC238" s="49" t="s">
        <v>1574</v>
      </c>
      <c r="AD238" s="49">
        <v>59.888147720159999</v>
      </c>
      <c r="AE238" s="49">
        <v>109.52</v>
      </c>
      <c r="AF238" s="49">
        <v>99.21</v>
      </c>
      <c r="AG238" s="49">
        <v>293</v>
      </c>
      <c r="AH238" s="49" t="s">
        <v>1574</v>
      </c>
      <c r="AI238" s="49" t="s">
        <v>1574</v>
      </c>
      <c r="AJ238" s="49" t="s">
        <v>1574</v>
      </c>
      <c r="AK238" s="49">
        <v>144.04</v>
      </c>
      <c r="AL238" s="49">
        <v>139.99</v>
      </c>
      <c r="AM238" s="49" t="s">
        <v>1574</v>
      </c>
      <c r="AN238" s="49">
        <v>0.316</v>
      </c>
      <c r="AO238" s="49">
        <v>0.30980000000000002</v>
      </c>
      <c r="AP238" s="49">
        <v>3.0122</v>
      </c>
      <c r="AQ238" s="49">
        <v>0.72832809938999998</v>
      </c>
      <c r="AR238" s="49">
        <v>2.1787999999999998</v>
      </c>
      <c r="AS238" s="49">
        <v>11.9710866</v>
      </c>
      <c r="AT238" s="49">
        <v>0.37588770999999999</v>
      </c>
      <c r="AU238" s="49">
        <v>0.34237748600000001</v>
      </c>
      <c r="AV238" s="49">
        <v>0.1865</v>
      </c>
      <c r="AW238" s="49">
        <v>2398.7399999999998</v>
      </c>
      <c r="AX238" s="49">
        <v>199.4</v>
      </c>
      <c r="AY238" s="49">
        <v>131.69999999999999</v>
      </c>
      <c r="AZ238" s="49" t="s">
        <v>1574</v>
      </c>
      <c r="BA238" s="49">
        <v>320.57632771531001</v>
      </c>
      <c r="BB238" s="49">
        <v>206.6</v>
      </c>
      <c r="BC238" s="49">
        <v>1.6868000000000001</v>
      </c>
      <c r="BD238" s="49" t="s">
        <v>1574</v>
      </c>
      <c r="BE238" s="49">
        <v>1.159</v>
      </c>
      <c r="BF238" s="49">
        <v>32.5</v>
      </c>
      <c r="BG238" s="49">
        <v>162.5</v>
      </c>
      <c r="BH238" s="49">
        <v>132</v>
      </c>
      <c r="BI238" s="49">
        <v>131.875</v>
      </c>
      <c r="BJ238" s="49">
        <v>65.5</v>
      </c>
      <c r="BK238" s="49">
        <v>1541.69091796875</v>
      </c>
      <c r="BL238" s="49">
        <v>23.5</v>
      </c>
      <c r="BM238" s="49">
        <v>2050</v>
      </c>
      <c r="BN238" s="49">
        <v>1177</v>
      </c>
      <c r="BO238" s="49">
        <v>15022.3</v>
      </c>
      <c r="BP238" s="49">
        <v>4819</v>
      </c>
      <c r="BQ238" s="49">
        <v>795</v>
      </c>
      <c r="BR238" s="49">
        <v>242.05</v>
      </c>
      <c r="BS238" s="49">
        <v>397.76</v>
      </c>
      <c r="BT238" s="49">
        <v>7.4158999999999997</v>
      </c>
      <c r="BU238" s="41"/>
      <c r="BV238" s="41"/>
      <c r="BW238" s="41"/>
      <c r="BX238" s="41"/>
      <c r="BY238" s="41"/>
      <c r="BZ238" s="41"/>
      <c r="CA238" s="41"/>
      <c r="CB238" s="41"/>
      <c r="CC238" s="41"/>
      <c r="CD238" s="41"/>
      <c r="CE238" s="41"/>
      <c r="CF238" s="41"/>
      <c r="CG238" s="41"/>
      <c r="CH238" s="41"/>
      <c r="CI238" s="41"/>
      <c r="CJ238" s="41"/>
      <c r="CK238" s="41"/>
    </row>
    <row r="239" spans="1:89">
      <c r="A239" s="41" t="s">
        <v>368</v>
      </c>
      <c r="B239" s="51">
        <v>22.42500019073</v>
      </c>
      <c r="C239" s="51">
        <v>23.64999961853</v>
      </c>
      <c r="D239" s="51">
        <v>21.20000076294</v>
      </c>
      <c r="E239" s="51" t="s">
        <v>1574</v>
      </c>
      <c r="F239" s="51">
        <v>30.15</v>
      </c>
      <c r="G239" s="51" t="s">
        <v>1574</v>
      </c>
      <c r="H239" s="51">
        <v>1.1100000000000001</v>
      </c>
      <c r="I239" s="51">
        <v>3.2594885748500002</v>
      </c>
      <c r="J239" s="51">
        <v>3.6924229155699999</v>
      </c>
      <c r="K239" s="51">
        <v>31.476257389570002</v>
      </c>
      <c r="L239" s="51">
        <v>3.2477999999999998</v>
      </c>
      <c r="M239" s="51">
        <v>3.0562999999999998</v>
      </c>
      <c r="N239" s="51">
        <v>3.1261999999999999</v>
      </c>
      <c r="O239" s="51">
        <v>2.0665</v>
      </c>
      <c r="P239" s="51">
        <v>0.6247182</v>
      </c>
      <c r="Q239" s="51">
        <v>3.9570379999999998</v>
      </c>
      <c r="R239" s="51">
        <v>1.617747</v>
      </c>
      <c r="S239" s="51">
        <v>1062</v>
      </c>
      <c r="T239" s="51" t="s">
        <v>1574</v>
      </c>
      <c r="U239" s="51">
        <v>365.5</v>
      </c>
      <c r="V239" s="51">
        <v>970</v>
      </c>
      <c r="W239" s="51">
        <v>666</v>
      </c>
      <c r="X239" s="51" t="s">
        <v>1574</v>
      </c>
      <c r="Y239" s="51">
        <v>300</v>
      </c>
      <c r="Z239" s="51">
        <v>648</v>
      </c>
      <c r="AA239" s="51">
        <v>238</v>
      </c>
      <c r="AB239" s="51" t="s">
        <v>1574</v>
      </c>
      <c r="AC239" s="51" t="s">
        <v>1574</v>
      </c>
      <c r="AD239" s="51">
        <v>60.358503611080003</v>
      </c>
      <c r="AE239" s="51">
        <v>111.49</v>
      </c>
      <c r="AF239" s="51">
        <v>98.27</v>
      </c>
      <c r="AG239" s="51">
        <v>295.45999999999998</v>
      </c>
      <c r="AH239" s="51" t="s">
        <v>1574</v>
      </c>
      <c r="AI239" s="51" t="s">
        <v>1574</v>
      </c>
      <c r="AJ239" s="51" t="s">
        <v>1574</v>
      </c>
      <c r="AK239" s="51">
        <v>142.19999999999999</v>
      </c>
      <c r="AL239" s="51">
        <v>139.99</v>
      </c>
      <c r="AM239" s="51" t="s">
        <v>1574</v>
      </c>
      <c r="AN239" s="51">
        <v>0.36699999999999999</v>
      </c>
      <c r="AO239" s="51">
        <v>0.36709999999999998</v>
      </c>
      <c r="AP239" s="51">
        <v>3.1526000000000001</v>
      </c>
      <c r="AQ239" s="51">
        <v>0.73131082877999998</v>
      </c>
      <c r="AR239" s="51">
        <v>2.2568000000000001</v>
      </c>
      <c r="AS239" s="51">
        <v>11.9710866</v>
      </c>
      <c r="AT239" s="51">
        <v>0.37191939400000001</v>
      </c>
      <c r="AU239" s="51">
        <v>0.31504019799999999</v>
      </c>
      <c r="AV239" s="51">
        <v>0.1724</v>
      </c>
      <c r="AW239" s="51">
        <v>2350.83</v>
      </c>
      <c r="AX239" s="51">
        <v>204.6</v>
      </c>
      <c r="AY239" s="51">
        <v>133.1</v>
      </c>
      <c r="AZ239" s="51" t="s">
        <v>1574</v>
      </c>
      <c r="BA239" s="51">
        <v>322.41206197192002</v>
      </c>
      <c r="BB239" s="51">
        <v>225.4</v>
      </c>
      <c r="BC239" s="51">
        <v>1.6424000000000001</v>
      </c>
      <c r="BD239" s="51" t="s">
        <v>1574</v>
      </c>
      <c r="BE239" s="51">
        <v>1.2446999999999999</v>
      </c>
      <c r="BF239" s="51">
        <v>32.5</v>
      </c>
      <c r="BG239" s="51">
        <v>164</v>
      </c>
      <c r="BH239" s="51">
        <v>134.19999999999999</v>
      </c>
      <c r="BI239" s="51">
        <v>135</v>
      </c>
      <c r="BJ239" s="51">
        <v>70</v>
      </c>
      <c r="BK239" s="51">
        <v>1569.18627929688</v>
      </c>
      <c r="BL239" s="51">
        <v>23.5</v>
      </c>
      <c r="BM239" s="51">
        <v>2100</v>
      </c>
      <c r="BN239" s="51">
        <v>1161</v>
      </c>
      <c r="BO239" s="51">
        <v>15136.9</v>
      </c>
      <c r="BP239" s="51">
        <v>5379</v>
      </c>
      <c r="BQ239" s="51">
        <v>789</v>
      </c>
      <c r="BR239" s="51">
        <v>239.11</v>
      </c>
      <c r="BS239" s="51">
        <v>391.16</v>
      </c>
      <c r="BT239" s="51">
        <v>7.4371</v>
      </c>
      <c r="BU239" s="41"/>
      <c r="BV239" s="41"/>
      <c r="BW239" s="41"/>
      <c r="BX239" s="41"/>
      <c r="BY239" s="41"/>
      <c r="BZ239" s="41"/>
      <c r="CA239" s="41"/>
      <c r="CB239" s="41"/>
      <c r="CC239" s="41"/>
      <c r="CD239" s="41"/>
      <c r="CE239" s="41"/>
      <c r="CF239" s="41"/>
      <c r="CG239" s="41"/>
      <c r="CH239" s="41"/>
      <c r="CI239" s="41"/>
      <c r="CJ239" s="41"/>
      <c r="CK239" s="41"/>
    </row>
    <row r="240" spans="1:89">
      <c r="A240" s="48" t="s">
        <v>369</v>
      </c>
      <c r="B240" s="49">
        <v>33.5</v>
      </c>
      <c r="C240" s="49">
        <v>32.75</v>
      </c>
      <c r="D240" s="49">
        <v>34.25</v>
      </c>
      <c r="E240" s="49" t="s">
        <v>1574</v>
      </c>
      <c r="F240" s="49">
        <v>30.15</v>
      </c>
      <c r="G240" s="49" t="s">
        <v>1574</v>
      </c>
      <c r="H240" s="49">
        <v>1.1499999999999999</v>
      </c>
      <c r="I240" s="49">
        <v>3.2594885748500002</v>
      </c>
      <c r="J240" s="49">
        <v>3.6924229155699999</v>
      </c>
      <c r="K240" s="49">
        <v>31.961992308519999</v>
      </c>
      <c r="L240" s="49">
        <v>3.3586999999999998</v>
      </c>
      <c r="M240" s="49">
        <v>3.3022999999999998</v>
      </c>
      <c r="N240" s="49">
        <v>3.2557999999999998</v>
      </c>
      <c r="O240" s="49">
        <v>1.4376</v>
      </c>
      <c r="P240" s="49">
        <v>0.52219660000000001</v>
      </c>
      <c r="Q240" s="49">
        <v>2.1867260000000002</v>
      </c>
      <c r="R240" s="49">
        <v>1.603823</v>
      </c>
      <c r="S240" s="49">
        <v>1056</v>
      </c>
      <c r="T240" s="49" t="s">
        <v>1574</v>
      </c>
      <c r="U240" s="49">
        <v>368</v>
      </c>
      <c r="V240" s="49">
        <v>925</v>
      </c>
      <c r="W240" s="49">
        <v>665</v>
      </c>
      <c r="X240" s="49" t="s">
        <v>1574</v>
      </c>
      <c r="Y240" s="49">
        <v>300</v>
      </c>
      <c r="Z240" s="49">
        <v>636</v>
      </c>
      <c r="AA240" s="49">
        <v>240</v>
      </c>
      <c r="AB240" s="49" t="s">
        <v>1574</v>
      </c>
      <c r="AC240" s="49" t="s">
        <v>1574</v>
      </c>
      <c r="AD240" s="49">
        <v>61.314589436790001</v>
      </c>
      <c r="AE240" s="49">
        <v>112.57</v>
      </c>
      <c r="AF240" s="49">
        <v>100.49</v>
      </c>
      <c r="AG240" s="49">
        <v>296.77999999999997</v>
      </c>
      <c r="AH240" s="49" t="s">
        <v>1574</v>
      </c>
      <c r="AI240" s="49" t="s">
        <v>1574</v>
      </c>
      <c r="AJ240" s="49" t="s">
        <v>1574</v>
      </c>
      <c r="AK240" s="49">
        <v>141.43</v>
      </c>
      <c r="AL240" s="49">
        <v>143.30000000000001</v>
      </c>
      <c r="AM240" s="49" t="s">
        <v>1574</v>
      </c>
      <c r="AN240" s="49">
        <v>0.36709999999999998</v>
      </c>
      <c r="AO240" s="49">
        <v>0.41270000000000001</v>
      </c>
      <c r="AP240" s="49">
        <v>3.036</v>
      </c>
      <c r="AQ240" s="49">
        <v>0.73496194719999997</v>
      </c>
      <c r="AR240" s="49">
        <v>2.3542000000000001</v>
      </c>
      <c r="AS240" s="49">
        <v>11.9710866</v>
      </c>
      <c r="AT240" s="49">
        <v>0.36773061600000001</v>
      </c>
      <c r="AU240" s="49">
        <v>0.31592204600000001</v>
      </c>
      <c r="AV240" s="49">
        <v>0.1731</v>
      </c>
      <c r="AW240" s="49">
        <v>2362.0700000000002</v>
      </c>
      <c r="AX240" s="49">
        <v>201.9</v>
      </c>
      <c r="AY240" s="49">
        <v>148.4</v>
      </c>
      <c r="AZ240" s="49" t="s">
        <v>1574</v>
      </c>
      <c r="BA240" s="49">
        <v>341.92388365385</v>
      </c>
      <c r="BB240" s="49">
        <v>256</v>
      </c>
      <c r="BC240" s="49">
        <v>1.6798999999999999</v>
      </c>
      <c r="BD240" s="49" t="s">
        <v>1574</v>
      </c>
      <c r="BE240" s="49">
        <v>1.2796000000000001</v>
      </c>
      <c r="BF240" s="49">
        <v>32.5</v>
      </c>
      <c r="BG240" s="49">
        <v>162</v>
      </c>
      <c r="BH240" s="49">
        <v>130.5</v>
      </c>
      <c r="BI240" s="49">
        <v>141.75</v>
      </c>
      <c r="BJ240" s="49">
        <v>70</v>
      </c>
      <c r="BK240" s="49">
        <v>1576.08227539063</v>
      </c>
      <c r="BL240" s="49">
        <v>23.5</v>
      </c>
      <c r="BM240" s="49">
        <v>1926</v>
      </c>
      <c r="BN240" s="49">
        <v>1239</v>
      </c>
      <c r="BO240" s="49">
        <v>15361.8</v>
      </c>
      <c r="BP240" s="49">
        <v>5968</v>
      </c>
      <c r="BQ240" s="49">
        <v>778</v>
      </c>
      <c r="BR240" s="49">
        <v>257.58999999999997</v>
      </c>
      <c r="BS240" s="49">
        <v>430.39</v>
      </c>
      <c r="BT240" s="49">
        <v>8.3759999999999994</v>
      </c>
      <c r="BU240" s="41"/>
      <c r="BV240" s="41"/>
      <c r="BW240" s="41"/>
      <c r="BX240" s="41"/>
      <c r="BY240" s="41"/>
      <c r="BZ240" s="41"/>
      <c r="CA240" s="41"/>
      <c r="CB240" s="41"/>
      <c r="CC240" s="41"/>
      <c r="CD240" s="41"/>
      <c r="CE240" s="41"/>
      <c r="CF240" s="41"/>
      <c r="CG240" s="41"/>
      <c r="CH240" s="41"/>
      <c r="CI240" s="41"/>
      <c r="CJ240" s="41"/>
      <c r="CK240" s="41"/>
    </row>
    <row r="241" spans="1:89">
      <c r="A241" s="41" t="s">
        <v>370</v>
      </c>
      <c r="B241" s="51">
        <v>34.67499923706</v>
      </c>
      <c r="C241" s="51">
        <v>36.5</v>
      </c>
      <c r="D241" s="51">
        <v>32.84999847412</v>
      </c>
      <c r="E241" s="51" t="s">
        <v>1574</v>
      </c>
      <c r="F241" s="51">
        <v>30.15</v>
      </c>
      <c r="G241" s="51" t="s">
        <v>1574</v>
      </c>
      <c r="H241" s="51">
        <v>1.17</v>
      </c>
      <c r="I241" s="51">
        <v>3.2594885748500002</v>
      </c>
      <c r="J241" s="51">
        <v>3.6924229155699999</v>
      </c>
      <c r="K241" s="51">
        <v>32.204859767990001</v>
      </c>
      <c r="L241" s="51">
        <v>3.4807000000000001</v>
      </c>
      <c r="M241" s="51">
        <v>4.2588999999999997</v>
      </c>
      <c r="N241" s="51">
        <v>4.1620999999999997</v>
      </c>
      <c r="O241" s="51">
        <v>1.3341000000000001</v>
      </c>
      <c r="P241" s="51">
        <v>0.43419790000000003</v>
      </c>
      <c r="Q241" s="51">
        <v>1.9580420000000001</v>
      </c>
      <c r="R241" s="51">
        <v>1.6101399999999999</v>
      </c>
      <c r="S241" s="51">
        <v>1062</v>
      </c>
      <c r="T241" s="51" t="s">
        <v>1574</v>
      </c>
      <c r="U241" s="51">
        <v>393</v>
      </c>
      <c r="V241" s="51">
        <v>893</v>
      </c>
      <c r="W241" s="51">
        <v>675</v>
      </c>
      <c r="X241" s="51" t="s">
        <v>1574</v>
      </c>
      <c r="Y241" s="51">
        <v>322</v>
      </c>
      <c r="Z241" s="51">
        <v>673</v>
      </c>
      <c r="AA241" s="51">
        <v>261</v>
      </c>
      <c r="AB241" s="51" t="s">
        <v>1574</v>
      </c>
      <c r="AC241" s="51" t="s">
        <v>1574</v>
      </c>
      <c r="AD241" s="51">
        <v>67.595387991999999</v>
      </c>
      <c r="AE241" s="51">
        <v>120.35</v>
      </c>
      <c r="AF241" s="51">
        <v>109.46</v>
      </c>
      <c r="AG241" s="51">
        <v>303.31</v>
      </c>
      <c r="AH241" s="51" t="s">
        <v>1574</v>
      </c>
      <c r="AI241" s="51" t="s">
        <v>1574</v>
      </c>
      <c r="AJ241" s="51" t="s">
        <v>1574</v>
      </c>
      <c r="AK241" s="51">
        <v>163.88</v>
      </c>
      <c r="AL241" s="51">
        <v>167.92</v>
      </c>
      <c r="AM241" s="51" t="s">
        <v>1574</v>
      </c>
      <c r="AN241" s="51">
        <v>0.37809999999999999</v>
      </c>
      <c r="AO241" s="51">
        <v>0.48909999999999998</v>
      </c>
      <c r="AP241" s="51">
        <v>2.7749999999999999</v>
      </c>
      <c r="AQ241" s="51">
        <v>0.74101947772999999</v>
      </c>
      <c r="AR241" s="51">
        <v>2.3950999999999998</v>
      </c>
      <c r="AS241" s="51">
        <v>11.9710866</v>
      </c>
      <c r="AT241" s="51">
        <v>0.37213985599999999</v>
      </c>
      <c r="AU241" s="51">
        <v>0.32209498199999997</v>
      </c>
      <c r="AV241" s="51">
        <v>0.17949999999999999</v>
      </c>
      <c r="AW241" s="51">
        <v>2342.29</v>
      </c>
      <c r="AX241" s="51">
        <v>203.9</v>
      </c>
      <c r="AY241" s="51">
        <v>180.5</v>
      </c>
      <c r="AZ241" s="51" t="s">
        <v>1574</v>
      </c>
      <c r="BA241" s="51">
        <v>380.06057627950997</v>
      </c>
      <c r="BB241" s="51">
        <v>285</v>
      </c>
      <c r="BC241" s="51">
        <v>1.6976</v>
      </c>
      <c r="BD241" s="51" t="s">
        <v>1574</v>
      </c>
      <c r="BE241" s="51">
        <v>1.3756999999999999</v>
      </c>
      <c r="BF241" s="51">
        <v>32.5</v>
      </c>
      <c r="BG241" s="51">
        <v>175.5</v>
      </c>
      <c r="BH241" s="51">
        <v>131.5</v>
      </c>
      <c r="BI241" s="51">
        <v>148.5</v>
      </c>
      <c r="BJ241" s="51">
        <v>71.25</v>
      </c>
      <c r="BK241" s="51">
        <v>1596.5595703125</v>
      </c>
      <c r="BL241" s="51">
        <v>23.5</v>
      </c>
      <c r="BM241" s="51">
        <v>1877.9</v>
      </c>
      <c r="BN241" s="51">
        <v>1382</v>
      </c>
      <c r="BO241" s="51">
        <v>16135.6</v>
      </c>
      <c r="BP241" s="51">
        <v>6519</v>
      </c>
      <c r="BQ241" s="51">
        <v>754</v>
      </c>
      <c r="BR241" s="51">
        <v>279.07</v>
      </c>
      <c r="BS241" s="51">
        <v>430.29</v>
      </c>
      <c r="BT241" s="51">
        <v>8.5595999999999997</v>
      </c>
      <c r="BU241" s="41"/>
      <c r="BV241" s="41"/>
      <c r="BW241" s="41"/>
      <c r="BX241" s="41"/>
      <c r="BY241" s="41"/>
      <c r="BZ241" s="41"/>
      <c r="CA241" s="41"/>
      <c r="CB241" s="41"/>
      <c r="CC241" s="41"/>
      <c r="CD241" s="41"/>
      <c r="CE241" s="41"/>
      <c r="CF241" s="41"/>
      <c r="CG241" s="41"/>
      <c r="CH241" s="41"/>
      <c r="CI241" s="41"/>
      <c r="CJ241" s="41"/>
      <c r="CK241" s="41"/>
    </row>
    <row r="242" spans="1:89">
      <c r="A242" s="48" t="s">
        <v>371</v>
      </c>
      <c r="B242" s="49">
        <v>33.5</v>
      </c>
      <c r="C242" s="49">
        <v>35</v>
      </c>
      <c r="D242" s="49">
        <v>32</v>
      </c>
      <c r="E242" s="49" t="s">
        <v>1574</v>
      </c>
      <c r="F242" s="49">
        <v>30.15</v>
      </c>
      <c r="G242" s="49" t="s">
        <v>1574</v>
      </c>
      <c r="H242" s="49">
        <v>1.2</v>
      </c>
      <c r="I242" s="49">
        <v>3.2594885748500002</v>
      </c>
      <c r="J242" s="49">
        <v>3.6924229155699999</v>
      </c>
      <c r="K242" s="49">
        <v>32.569160957199998</v>
      </c>
      <c r="L242" s="49">
        <v>3.2519999999999998</v>
      </c>
      <c r="M242" s="49">
        <v>4.4898999999999996</v>
      </c>
      <c r="N242" s="49">
        <v>4.3240999999999996</v>
      </c>
      <c r="O242" s="49">
        <v>1.4221999999999999</v>
      </c>
      <c r="P242" s="49">
        <v>0.65406790000000004</v>
      </c>
      <c r="Q242" s="49">
        <v>1.9691190000000001</v>
      </c>
      <c r="R242" s="49">
        <v>1.6433979999999999</v>
      </c>
      <c r="S242" s="49">
        <v>1095</v>
      </c>
      <c r="T242" s="49" t="s">
        <v>1574</v>
      </c>
      <c r="U242" s="49">
        <v>415</v>
      </c>
      <c r="V242" s="49">
        <v>913</v>
      </c>
      <c r="W242" s="49">
        <v>678</v>
      </c>
      <c r="X242" s="49" t="s">
        <v>1574</v>
      </c>
      <c r="Y242" s="49">
        <v>322</v>
      </c>
      <c r="Z242" s="49">
        <v>690</v>
      </c>
      <c r="AA242" s="49">
        <v>246</v>
      </c>
      <c r="AB242" s="49" t="s">
        <v>1574</v>
      </c>
      <c r="AC242" s="49" t="s">
        <v>1574</v>
      </c>
      <c r="AD242" s="49">
        <v>70.876565127449993</v>
      </c>
      <c r="AE242" s="49">
        <v>130.51</v>
      </c>
      <c r="AF242" s="49">
        <v>118.9</v>
      </c>
      <c r="AG242" s="49">
        <v>304.05</v>
      </c>
      <c r="AH242" s="49" t="s">
        <v>1574</v>
      </c>
      <c r="AI242" s="49" t="s">
        <v>1574</v>
      </c>
      <c r="AJ242" s="49" t="s">
        <v>1574</v>
      </c>
      <c r="AK242" s="49">
        <v>168.29</v>
      </c>
      <c r="AL242" s="49">
        <v>174.53</v>
      </c>
      <c r="AM242" s="49" t="s">
        <v>1574</v>
      </c>
      <c r="AN242" s="49">
        <v>0.33510000000000001</v>
      </c>
      <c r="AO242" s="49">
        <v>0.51880000000000004</v>
      </c>
      <c r="AP242" s="49">
        <v>2.4752999999999998</v>
      </c>
      <c r="AQ242" s="49">
        <v>0.74257147188999995</v>
      </c>
      <c r="AR242" s="49">
        <v>2.5304000000000002</v>
      </c>
      <c r="AS242" s="49">
        <v>11.9710866</v>
      </c>
      <c r="AT242" s="49">
        <v>0.473552376</v>
      </c>
      <c r="AU242" s="49">
        <v>0.34370025799999998</v>
      </c>
      <c r="AV242" s="49">
        <v>0.18779999999999999</v>
      </c>
      <c r="AW242" s="49">
        <v>2335.4499999999998</v>
      </c>
      <c r="AX242" s="49">
        <v>209.7</v>
      </c>
      <c r="AY242" s="49">
        <v>208</v>
      </c>
      <c r="AZ242" s="49" t="s">
        <v>1574</v>
      </c>
      <c r="BA242" s="49">
        <v>410.30738336194997</v>
      </c>
      <c r="BB242" s="49">
        <v>333</v>
      </c>
      <c r="BC242" s="49">
        <v>1.7031000000000001</v>
      </c>
      <c r="BD242" s="49" t="s">
        <v>1574</v>
      </c>
      <c r="BE242" s="49">
        <v>1.3325</v>
      </c>
      <c r="BF242" s="49">
        <v>35.75</v>
      </c>
      <c r="BG242" s="49">
        <v>187.5</v>
      </c>
      <c r="BH242" s="49">
        <v>141.5</v>
      </c>
      <c r="BI242" s="49">
        <v>155.4</v>
      </c>
      <c r="BJ242" s="49">
        <v>77</v>
      </c>
      <c r="BK242" s="49">
        <v>1534.46801757813</v>
      </c>
      <c r="BL242" s="49">
        <v>23.5</v>
      </c>
      <c r="BM242" s="49">
        <v>1814</v>
      </c>
      <c r="BN242" s="49">
        <v>1272</v>
      </c>
      <c r="BO242" s="49">
        <v>15780.7</v>
      </c>
      <c r="BP242" s="49">
        <v>6614</v>
      </c>
      <c r="BQ242" s="49">
        <v>722</v>
      </c>
      <c r="BR242" s="49">
        <v>294.74</v>
      </c>
      <c r="BS242" s="49">
        <v>411.79</v>
      </c>
      <c r="BT242" s="49">
        <v>9.0545000000000009</v>
      </c>
      <c r="BU242" s="41"/>
      <c r="BV242" s="41"/>
      <c r="BW242" s="41"/>
      <c r="BX242" s="41"/>
      <c r="BY242" s="41"/>
      <c r="BZ242" s="41"/>
      <c r="CA242" s="41"/>
      <c r="CB242" s="41"/>
      <c r="CC242" s="41"/>
      <c r="CD242" s="41"/>
      <c r="CE242" s="41"/>
      <c r="CF242" s="41"/>
      <c r="CG242" s="41"/>
      <c r="CH242" s="41"/>
      <c r="CI242" s="41"/>
      <c r="CJ242" s="41"/>
      <c r="CK242" s="41"/>
    </row>
    <row r="243" spans="1:89">
      <c r="A243" s="41" t="s">
        <v>372</v>
      </c>
      <c r="B243" s="51">
        <v>34</v>
      </c>
      <c r="C243" s="51">
        <v>35.75</v>
      </c>
      <c r="D243" s="51">
        <v>32.25</v>
      </c>
      <c r="E243" s="51" t="s">
        <v>1574</v>
      </c>
      <c r="F243" s="51">
        <v>31.26</v>
      </c>
      <c r="G243" s="51" t="s">
        <v>1574</v>
      </c>
      <c r="H243" s="51">
        <v>1.24</v>
      </c>
      <c r="I243" s="51">
        <v>3.2594885748500002</v>
      </c>
      <c r="J243" s="51">
        <v>3.6924229155699999</v>
      </c>
      <c r="K243" s="51">
        <v>33.054895876149999</v>
      </c>
      <c r="L243" s="51">
        <v>3.1354000000000002</v>
      </c>
      <c r="M243" s="51">
        <v>4.3529999999999998</v>
      </c>
      <c r="N243" s="51">
        <v>4.0110999999999999</v>
      </c>
      <c r="O243" s="51">
        <v>1.5622</v>
      </c>
      <c r="P243" s="51">
        <v>0.9279077</v>
      </c>
      <c r="Q243" s="51">
        <v>2.1179730000000001</v>
      </c>
      <c r="R243" s="51">
        <v>1.6406499999999999</v>
      </c>
      <c r="S243" s="51">
        <v>1002</v>
      </c>
      <c r="T243" s="51" t="s">
        <v>1574</v>
      </c>
      <c r="U243" s="51">
        <v>400</v>
      </c>
      <c r="V243" s="51">
        <v>867</v>
      </c>
      <c r="W243" s="51">
        <v>652</v>
      </c>
      <c r="X243" s="51" t="s">
        <v>1574</v>
      </c>
      <c r="Y243" s="51">
        <v>302</v>
      </c>
      <c r="Z243" s="51">
        <v>682.2</v>
      </c>
      <c r="AA243" s="51">
        <v>236</v>
      </c>
      <c r="AB243" s="51" t="s">
        <v>1574</v>
      </c>
      <c r="AC243" s="51" t="s">
        <v>1574</v>
      </c>
      <c r="AD243" s="51">
        <v>67.729138250250003</v>
      </c>
      <c r="AE243" s="51">
        <v>118.85</v>
      </c>
      <c r="AF243" s="51">
        <v>111.38</v>
      </c>
      <c r="AG243" s="51">
        <v>328.43</v>
      </c>
      <c r="AH243" s="51" t="s">
        <v>1574</v>
      </c>
      <c r="AI243" s="51" t="s">
        <v>1574</v>
      </c>
      <c r="AJ243" s="51" t="s">
        <v>1574</v>
      </c>
      <c r="AK243" s="51">
        <v>162.77000000000001</v>
      </c>
      <c r="AL243" s="51">
        <v>169.02</v>
      </c>
      <c r="AM243" s="51" t="s">
        <v>1574</v>
      </c>
      <c r="AN243" s="51">
        <v>0.29809999999999998</v>
      </c>
      <c r="AO243" s="51">
        <v>0.48259999999999997</v>
      </c>
      <c r="AP243" s="51">
        <v>2.5607000000000002</v>
      </c>
      <c r="AQ243" s="51">
        <v>0.74468961965000002</v>
      </c>
      <c r="AR243" s="51">
        <v>2.4152</v>
      </c>
      <c r="AS243" s="51">
        <v>11.9710866</v>
      </c>
      <c r="AT243" s="51">
        <v>0.47200914199999999</v>
      </c>
      <c r="AU243" s="51">
        <v>0.348770884</v>
      </c>
      <c r="AV243" s="51">
        <v>0.1956</v>
      </c>
      <c r="AW243" s="51">
        <v>2340.27</v>
      </c>
      <c r="AX243" s="51">
        <v>209</v>
      </c>
      <c r="AY243" s="51">
        <v>222.5</v>
      </c>
      <c r="AZ243" s="51" t="s">
        <v>1574</v>
      </c>
      <c r="BA243" s="51">
        <v>425.51349628016999</v>
      </c>
      <c r="BB243" s="51">
        <v>281</v>
      </c>
      <c r="BC243" s="51">
        <v>1.7119</v>
      </c>
      <c r="BD243" s="51" t="s">
        <v>1574</v>
      </c>
      <c r="BE243" s="51">
        <v>1.3069</v>
      </c>
      <c r="BF243" s="51">
        <v>39</v>
      </c>
      <c r="BG243" s="51">
        <v>207.5</v>
      </c>
      <c r="BH243" s="51">
        <v>151.5</v>
      </c>
      <c r="BI243" s="51">
        <v>160</v>
      </c>
      <c r="BJ243" s="51">
        <v>79</v>
      </c>
      <c r="BK243" s="51">
        <v>1561.89428710938</v>
      </c>
      <c r="BL243" s="51">
        <v>23.5</v>
      </c>
      <c r="BM243" s="51">
        <v>1976.4</v>
      </c>
      <c r="BN243" s="51">
        <v>1213</v>
      </c>
      <c r="BO243" s="51">
        <v>14793</v>
      </c>
      <c r="BP243" s="51">
        <v>6614</v>
      </c>
      <c r="BQ243" s="51">
        <v>665</v>
      </c>
      <c r="BR243" s="51">
        <v>300.82</v>
      </c>
      <c r="BS243" s="51">
        <v>394.34</v>
      </c>
      <c r="BT243" s="51">
        <v>9.3066999999999993</v>
      </c>
      <c r="BU243" s="41"/>
      <c r="BV243" s="41"/>
      <c r="BW243" s="41"/>
      <c r="BX243" s="41"/>
      <c r="BY243" s="41"/>
      <c r="BZ243" s="41"/>
      <c r="CA243" s="41"/>
      <c r="CB243" s="41"/>
      <c r="CC243" s="41"/>
      <c r="CD243" s="41"/>
      <c r="CE243" s="41"/>
      <c r="CF243" s="41"/>
      <c r="CG243" s="41"/>
      <c r="CH243" s="41"/>
      <c r="CI243" s="41"/>
      <c r="CJ243" s="41"/>
      <c r="CK243" s="41"/>
    </row>
    <row r="244" spans="1:89">
      <c r="A244" s="48" t="s">
        <v>373</v>
      </c>
      <c r="B244" s="49">
        <v>35.5</v>
      </c>
      <c r="C244" s="49">
        <v>36.5</v>
      </c>
      <c r="D244" s="49">
        <v>34.5</v>
      </c>
      <c r="E244" s="49" t="s">
        <v>1574</v>
      </c>
      <c r="F244" s="49">
        <v>31.26</v>
      </c>
      <c r="G244" s="49" t="s">
        <v>1574</v>
      </c>
      <c r="H244" s="49">
        <v>1.24</v>
      </c>
      <c r="I244" s="49">
        <v>3.2594885748500002</v>
      </c>
      <c r="J244" s="49">
        <v>3.6924229155699999</v>
      </c>
      <c r="K244" s="49">
        <v>33.054895876149999</v>
      </c>
      <c r="L244" s="49">
        <v>3.2225000000000001</v>
      </c>
      <c r="M244" s="49">
        <v>4.5716999999999999</v>
      </c>
      <c r="N244" s="49">
        <v>4.2293000000000003</v>
      </c>
      <c r="O244" s="49">
        <v>1.5602</v>
      </c>
      <c r="P244" s="49">
        <v>0.96173540000000002</v>
      </c>
      <c r="Q244" s="49">
        <v>2.0737920000000001</v>
      </c>
      <c r="R244" s="49">
        <v>1.645043</v>
      </c>
      <c r="S244" s="49">
        <v>905</v>
      </c>
      <c r="T244" s="49" t="s">
        <v>1574</v>
      </c>
      <c r="U244" s="49">
        <v>394</v>
      </c>
      <c r="V244" s="49">
        <v>872</v>
      </c>
      <c r="W244" s="49">
        <v>640</v>
      </c>
      <c r="X244" s="49" t="s">
        <v>1574</v>
      </c>
      <c r="Y244" s="49">
        <v>292</v>
      </c>
      <c r="Z244" s="49">
        <v>691</v>
      </c>
      <c r="AA244" s="49">
        <v>238</v>
      </c>
      <c r="AB244" s="49" t="s">
        <v>1574</v>
      </c>
      <c r="AC244" s="49" t="s">
        <v>1574</v>
      </c>
      <c r="AD244" s="49">
        <v>68.602088674279997</v>
      </c>
      <c r="AE244" s="49">
        <v>117.96</v>
      </c>
      <c r="AF244" s="49">
        <v>112.6</v>
      </c>
      <c r="AG244" s="49">
        <v>338.17</v>
      </c>
      <c r="AH244" s="49" t="s">
        <v>1574</v>
      </c>
      <c r="AI244" s="49" t="s">
        <v>1574</v>
      </c>
      <c r="AJ244" s="49" t="s">
        <v>1574</v>
      </c>
      <c r="AK244" s="49">
        <v>164.98</v>
      </c>
      <c r="AL244" s="49">
        <v>174.16</v>
      </c>
      <c r="AM244" s="49" t="s">
        <v>1574</v>
      </c>
      <c r="AN244" s="49">
        <v>0.30199999999999999</v>
      </c>
      <c r="AO244" s="49">
        <v>0.43909999999999999</v>
      </c>
      <c r="AP244" s="49">
        <v>2.8847</v>
      </c>
      <c r="AQ244" s="49">
        <v>0.74840979188000001</v>
      </c>
      <c r="AR244" s="49">
        <v>2.3774000000000002</v>
      </c>
      <c r="AS244" s="49">
        <v>11.9710866</v>
      </c>
      <c r="AT244" s="49">
        <v>0.47707976800000002</v>
      </c>
      <c r="AU244" s="49">
        <v>0.34656626400000001</v>
      </c>
      <c r="AV244" s="49">
        <v>0.21820000000000001</v>
      </c>
      <c r="AW244" s="49">
        <v>2339.9299999999998</v>
      </c>
      <c r="AX244" s="49">
        <v>212.5</v>
      </c>
      <c r="AY244" s="49">
        <v>218.5</v>
      </c>
      <c r="AZ244" s="49" t="s">
        <v>1574</v>
      </c>
      <c r="BA244" s="49">
        <v>421.36543724530998</v>
      </c>
      <c r="BB244" s="49">
        <v>283</v>
      </c>
      <c r="BC244" s="49">
        <v>1.7182999999999999</v>
      </c>
      <c r="BD244" s="49" t="s">
        <v>1574</v>
      </c>
      <c r="BE244" s="49">
        <v>1.2957000000000001</v>
      </c>
      <c r="BF244" s="49">
        <v>39</v>
      </c>
      <c r="BG244" s="49">
        <v>215</v>
      </c>
      <c r="BH244" s="49">
        <v>153</v>
      </c>
      <c r="BI244" s="49">
        <v>163.75</v>
      </c>
      <c r="BJ244" s="49">
        <v>80.125</v>
      </c>
      <c r="BK244" s="49">
        <v>1615.60888671875</v>
      </c>
      <c r="BL244" s="49">
        <v>23.5</v>
      </c>
      <c r="BM244" s="49">
        <v>2095.9</v>
      </c>
      <c r="BN244" s="49">
        <v>1231</v>
      </c>
      <c r="BO244" s="49">
        <v>15399.3</v>
      </c>
      <c r="BP244" s="49">
        <v>6614</v>
      </c>
      <c r="BQ244" s="49">
        <v>724</v>
      </c>
      <c r="BR244" s="49">
        <v>354.95</v>
      </c>
      <c r="BS244" s="49">
        <v>462.93</v>
      </c>
      <c r="BT244" s="49">
        <v>13.7593</v>
      </c>
      <c r="BU244" s="41"/>
      <c r="BV244" s="41"/>
      <c r="BW244" s="41"/>
      <c r="BX244" s="41"/>
      <c r="BY244" s="41"/>
      <c r="BZ244" s="41"/>
      <c r="CA244" s="41"/>
      <c r="CB244" s="41"/>
      <c r="CC244" s="41"/>
      <c r="CD244" s="41"/>
      <c r="CE244" s="41"/>
      <c r="CF244" s="41"/>
      <c r="CG244" s="41"/>
      <c r="CH244" s="41"/>
      <c r="CI244" s="41"/>
      <c r="CJ244" s="41"/>
      <c r="CK244" s="41"/>
    </row>
    <row r="245" spans="1:89">
      <c r="A245" s="41" t="s">
        <v>374</v>
      </c>
      <c r="B245" s="51">
        <v>37.25</v>
      </c>
      <c r="C245" s="51">
        <v>38.5</v>
      </c>
      <c r="D245" s="51">
        <v>36</v>
      </c>
      <c r="E245" s="51" t="s">
        <v>1574</v>
      </c>
      <c r="F245" s="51">
        <v>32.369999999999997</v>
      </c>
      <c r="G245" s="51" t="s">
        <v>1574</v>
      </c>
      <c r="H245" s="51">
        <v>1.28</v>
      </c>
      <c r="I245" s="51">
        <v>3.2594885748500002</v>
      </c>
      <c r="J245" s="51">
        <v>3.6924229155699999</v>
      </c>
      <c r="K245" s="51">
        <v>33.540630795090003</v>
      </c>
      <c r="L245" s="51">
        <v>3.0590999999999999</v>
      </c>
      <c r="M245" s="51">
        <v>4.6207000000000003</v>
      </c>
      <c r="N245" s="51">
        <v>4.0640000000000001</v>
      </c>
      <c r="O245" s="51">
        <v>1.5702</v>
      </c>
      <c r="P245" s="51">
        <v>0.96416270000000004</v>
      </c>
      <c r="Q245" s="51">
        <v>2.1050499999999999</v>
      </c>
      <c r="R245" s="51">
        <v>1.6413040000000001</v>
      </c>
      <c r="S245" s="51">
        <v>907</v>
      </c>
      <c r="T245" s="51" t="s">
        <v>1574</v>
      </c>
      <c r="U245" s="51">
        <v>394</v>
      </c>
      <c r="V245" s="51">
        <v>812</v>
      </c>
      <c r="W245" s="51">
        <v>602</v>
      </c>
      <c r="X245" s="51" t="s">
        <v>1574</v>
      </c>
      <c r="Y245" s="51">
        <v>283</v>
      </c>
      <c r="Z245" s="51">
        <v>671</v>
      </c>
      <c r="AA245" s="51">
        <v>238</v>
      </c>
      <c r="AB245" s="51" t="s">
        <v>1574</v>
      </c>
      <c r="AC245" s="51" t="s">
        <v>1574</v>
      </c>
      <c r="AD245" s="51">
        <v>69.676025685940004</v>
      </c>
      <c r="AE245" s="51">
        <v>119.1</v>
      </c>
      <c r="AF245" s="51">
        <v>116.2</v>
      </c>
      <c r="AG245" s="51">
        <v>340.38</v>
      </c>
      <c r="AH245" s="51" t="s">
        <v>1574</v>
      </c>
      <c r="AI245" s="51" t="s">
        <v>1574</v>
      </c>
      <c r="AJ245" s="51" t="s">
        <v>1574</v>
      </c>
      <c r="AK245" s="51">
        <v>163.1</v>
      </c>
      <c r="AL245" s="51">
        <v>178.21</v>
      </c>
      <c r="AM245" s="51" t="s">
        <v>1574</v>
      </c>
      <c r="AN245" s="51">
        <v>0.307</v>
      </c>
      <c r="AO245" s="51">
        <v>0.44550000000000001</v>
      </c>
      <c r="AP245" s="51">
        <v>2.8593999999999999</v>
      </c>
      <c r="AQ245" s="51">
        <v>0.75187726389999998</v>
      </c>
      <c r="AR245" s="51">
        <v>2.4083999999999999</v>
      </c>
      <c r="AS245" s="51">
        <v>11.9710866</v>
      </c>
      <c r="AT245" s="51">
        <v>0.47509561</v>
      </c>
      <c r="AU245" s="51">
        <v>0.35075504200000002</v>
      </c>
      <c r="AV245" s="51">
        <v>0.26200000000000001</v>
      </c>
      <c r="AW245" s="51">
        <v>2328.3200000000002</v>
      </c>
      <c r="AX245" s="51">
        <v>226.4</v>
      </c>
      <c r="AY245" s="51">
        <v>191.4</v>
      </c>
      <c r="AZ245" s="51" t="s">
        <v>1574</v>
      </c>
      <c r="BA245" s="51">
        <v>392.28687258078003</v>
      </c>
      <c r="BB245" s="51">
        <v>258</v>
      </c>
      <c r="BC245" s="51">
        <v>1.7150000000000001</v>
      </c>
      <c r="BD245" s="51" t="s">
        <v>1574</v>
      </c>
      <c r="BE245" s="51">
        <v>1.3033999999999999</v>
      </c>
      <c r="BF245" s="51">
        <v>39</v>
      </c>
      <c r="BG245" s="51">
        <v>247.5</v>
      </c>
      <c r="BH245" s="51">
        <v>177.5</v>
      </c>
      <c r="BI245" s="51">
        <v>167.5</v>
      </c>
      <c r="BJ245" s="51">
        <v>83.5</v>
      </c>
      <c r="BK245" s="51">
        <v>1786.22021484375</v>
      </c>
      <c r="BL245" s="51">
        <v>23.5</v>
      </c>
      <c r="BM245" s="51">
        <v>2075.9</v>
      </c>
      <c r="BN245" s="51">
        <v>1319</v>
      </c>
      <c r="BO245" s="51">
        <v>16012.2</v>
      </c>
      <c r="BP245" s="51">
        <v>6614</v>
      </c>
      <c r="BQ245" s="51">
        <v>707</v>
      </c>
      <c r="BR245" s="51">
        <v>391.66</v>
      </c>
      <c r="BS245" s="51">
        <v>519.87</v>
      </c>
      <c r="BT245" s="51">
        <v>16.633099999999999</v>
      </c>
      <c r="BU245" s="41"/>
      <c r="BV245" s="41"/>
      <c r="BW245" s="41"/>
      <c r="BX245" s="41"/>
      <c r="BY245" s="41"/>
      <c r="BZ245" s="41"/>
      <c r="CA245" s="41"/>
      <c r="CB245" s="41"/>
      <c r="CC245" s="41"/>
      <c r="CD245" s="41"/>
      <c r="CE245" s="41"/>
      <c r="CF245" s="41"/>
      <c r="CG245" s="41"/>
      <c r="CH245" s="41"/>
      <c r="CI245" s="41"/>
      <c r="CJ245" s="41"/>
      <c r="CK245" s="41"/>
    </row>
    <row r="246" spans="1:89">
      <c r="A246" s="48" t="s">
        <v>375</v>
      </c>
      <c r="B246" s="49">
        <v>40.75</v>
      </c>
      <c r="C246" s="49">
        <v>42</v>
      </c>
      <c r="D246" s="49">
        <v>39.5</v>
      </c>
      <c r="E246" s="49" t="s">
        <v>1574</v>
      </c>
      <c r="F246" s="49">
        <v>32.369999999999997</v>
      </c>
      <c r="G246" s="49" t="s">
        <v>1574</v>
      </c>
      <c r="H246" s="49">
        <v>1.29</v>
      </c>
      <c r="I246" s="49">
        <v>3.2594885748500002</v>
      </c>
      <c r="J246" s="49">
        <v>3.6924229155699999</v>
      </c>
      <c r="K246" s="49">
        <v>33.662064524830001</v>
      </c>
      <c r="L246" s="49">
        <v>3.0164</v>
      </c>
      <c r="M246" s="49">
        <v>4.5574000000000003</v>
      </c>
      <c r="N246" s="49">
        <v>3.9089999999999998</v>
      </c>
      <c r="O246" s="49">
        <v>1.5841000000000001</v>
      </c>
      <c r="P246" s="49">
        <v>0.92235809999999996</v>
      </c>
      <c r="Q246" s="49">
        <v>2.1981670000000002</v>
      </c>
      <c r="R246" s="49">
        <v>1.631778</v>
      </c>
      <c r="S246" s="49">
        <v>907</v>
      </c>
      <c r="T246" s="49" t="s">
        <v>1574</v>
      </c>
      <c r="U246" s="49">
        <v>415</v>
      </c>
      <c r="V246" s="49">
        <v>775</v>
      </c>
      <c r="W246" s="49">
        <v>620</v>
      </c>
      <c r="X246" s="49" t="s">
        <v>1574</v>
      </c>
      <c r="Y246" s="49">
        <v>281</v>
      </c>
      <c r="Z246" s="49">
        <v>670</v>
      </c>
      <c r="AA246" s="49">
        <v>251</v>
      </c>
      <c r="AB246" s="49" t="s">
        <v>1574</v>
      </c>
      <c r="AC246" s="49" t="s">
        <v>1574</v>
      </c>
      <c r="AD246" s="49">
        <v>69.608873587310001</v>
      </c>
      <c r="AE246" s="49">
        <v>118.2</v>
      </c>
      <c r="AF246" s="49">
        <v>117.7</v>
      </c>
      <c r="AG246" s="49">
        <v>342.35</v>
      </c>
      <c r="AH246" s="49" t="s">
        <v>1574</v>
      </c>
      <c r="AI246" s="49" t="s">
        <v>1574</v>
      </c>
      <c r="AJ246" s="49" t="s">
        <v>1574</v>
      </c>
      <c r="AK246" s="49">
        <v>166.8</v>
      </c>
      <c r="AL246" s="49">
        <v>178.21</v>
      </c>
      <c r="AM246" s="49" t="s">
        <v>1574</v>
      </c>
      <c r="AN246" s="49">
        <v>0.312</v>
      </c>
      <c r="AO246" s="49">
        <v>0.35549999999999998</v>
      </c>
      <c r="AP246" s="49">
        <v>3.0283000000000002</v>
      </c>
      <c r="AQ246" s="49">
        <v>0.75708001870999997</v>
      </c>
      <c r="AR246" s="49">
        <v>2.4209999999999998</v>
      </c>
      <c r="AS246" s="49">
        <v>11.9710866</v>
      </c>
      <c r="AT246" s="49">
        <v>0.47685930599999998</v>
      </c>
      <c r="AU246" s="49">
        <v>0.35913259800000003</v>
      </c>
      <c r="AV246" s="49">
        <v>0.30299999999999999</v>
      </c>
      <c r="AW246" s="49">
        <v>2295.14</v>
      </c>
      <c r="AX246" s="49">
        <v>229.5</v>
      </c>
      <c r="AY246" s="49">
        <v>179.7</v>
      </c>
      <c r="AZ246" s="49" t="s">
        <v>1574</v>
      </c>
      <c r="BA246" s="49">
        <v>379.15002835272003</v>
      </c>
      <c r="BB246" s="49">
        <v>252</v>
      </c>
      <c r="BC246" s="49">
        <v>1.7649999999999999</v>
      </c>
      <c r="BD246" s="49" t="s">
        <v>1574</v>
      </c>
      <c r="BE246" s="49">
        <v>1.31</v>
      </c>
      <c r="BF246" s="49">
        <v>39</v>
      </c>
      <c r="BG246" s="49">
        <v>242</v>
      </c>
      <c r="BH246" s="49">
        <v>187</v>
      </c>
      <c r="BI246" s="49">
        <v>170</v>
      </c>
      <c r="BJ246" s="49">
        <v>83.5</v>
      </c>
      <c r="BK246" s="49">
        <v>1832.54736328125</v>
      </c>
      <c r="BL246" s="49">
        <v>23.5</v>
      </c>
      <c r="BM246" s="49">
        <v>2090</v>
      </c>
      <c r="BN246" s="49">
        <v>1225</v>
      </c>
      <c r="BO246" s="49">
        <v>16360.5</v>
      </c>
      <c r="BP246" s="49">
        <v>6614</v>
      </c>
      <c r="BQ246" s="49">
        <v>702</v>
      </c>
      <c r="BR246" s="49">
        <v>391.99</v>
      </c>
      <c r="BS246" s="49">
        <v>505.64</v>
      </c>
      <c r="BT246" s="49">
        <v>16.650200000000002</v>
      </c>
      <c r="BU246" s="41"/>
      <c r="BV246" s="41"/>
      <c r="BW246" s="41"/>
      <c r="BX246" s="41"/>
      <c r="BY246" s="41"/>
      <c r="BZ246" s="41"/>
      <c r="CA246" s="41"/>
      <c r="CB246" s="41"/>
      <c r="CC246" s="41"/>
      <c r="CD246" s="41"/>
      <c r="CE246" s="41"/>
      <c r="CF246" s="41"/>
      <c r="CG246" s="41"/>
      <c r="CH246" s="41"/>
      <c r="CI246" s="41"/>
      <c r="CJ246" s="41"/>
      <c r="CK246" s="41"/>
    </row>
    <row r="247" spans="1:89">
      <c r="A247" s="41" t="s">
        <v>376</v>
      </c>
      <c r="B247" s="51">
        <v>39.75</v>
      </c>
      <c r="C247" s="51">
        <v>40.5</v>
      </c>
      <c r="D247" s="51">
        <v>39</v>
      </c>
      <c r="E247" s="51" t="s">
        <v>1574</v>
      </c>
      <c r="F247" s="51">
        <v>32.369999999999997</v>
      </c>
      <c r="G247" s="51" t="s">
        <v>1574</v>
      </c>
      <c r="H247" s="51">
        <v>1.31</v>
      </c>
      <c r="I247" s="51">
        <v>3.2594885748500002</v>
      </c>
      <c r="J247" s="51">
        <v>3.6924229155699999</v>
      </c>
      <c r="K247" s="51">
        <v>33.904931984299999</v>
      </c>
      <c r="L247" s="51">
        <v>3.1867999999999999</v>
      </c>
      <c r="M247" s="51">
        <v>4.2831000000000001</v>
      </c>
      <c r="N247" s="51">
        <v>3.9020000000000001</v>
      </c>
      <c r="O247" s="51">
        <v>1.6709000000000001</v>
      </c>
      <c r="P247" s="51">
        <v>1.313053</v>
      </c>
      <c r="Q247" s="51">
        <v>2.0446810000000002</v>
      </c>
      <c r="R247" s="51">
        <v>1.6550720000000001</v>
      </c>
      <c r="S247" s="51">
        <v>885</v>
      </c>
      <c r="T247" s="51" t="s">
        <v>1574</v>
      </c>
      <c r="U247" s="51">
        <v>450</v>
      </c>
      <c r="V247" s="51">
        <v>720</v>
      </c>
      <c r="W247" s="51">
        <v>630</v>
      </c>
      <c r="X247" s="51" t="s">
        <v>1574</v>
      </c>
      <c r="Y247" s="51">
        <v>279</v>
      </c>
      <c r="Z247" s="51">
        <v>647</v>
      </c>
      <c r="AA247" s="51">
        <v>254.3</v>
      </c>
      <c r="AB247" s="51" t="s">
        <v>1574</v>
      </c>
      <c r="AC247" s="51" t="s">
        <v>1574</v>
      </c>
      <c r="AD247" s="51">
        <v>69.452935566350007</v>
      </c>
      <c r="AE247" s="51">
        <v>115.3</v>
      </c>
      <c r="AF247" s="51">
        <v>118.2</v>
      </c>
      <c r="AG247" s="51">
        <v>356.88</v>
      </c>
      <c r="AH247" s="51" t="s">
        <v>1574</v>
      </c>
      <c r="AI247" s="51" t="s">
        <v>1574</v>
      </c>
      <c r="AJ247" s="51" t="s">
        <v>1574</v>
      </c>
      <c r="AK247" s="51">
        <v>173.1</v>
      </c>
      <c r="AL247" s="51">
        <v>180.04</v>
      </c>
      <c r="AM247" s="51" t="s">
        <v>1574</v>
      </c>
      <c r="AN247" s="51">
        <v>0.34100000000000003</v>
      </c>
      <c r="AO247" s="51">
        <v>0.35</v>
      </c>
      <c r="AP247" s="51">
        <v>3.0975000000000001</v>
      </c>
      <c r="AQ247" s="51">
        <v>0.76101246349999996</v>
      </c>
      <c r="AR247" s="51">
        <v>2.6042999999999998</v>
      </c>
      <c r="AS247" s="51">
        <v>11.9710866</v>
      </c>
      <c r="AT247" s="51">
        <v>0.48788240599999999</v>
      </c>
      <c r="AU247" s="51">
        <v>0.40344545999999998</v>
      </c>
      <c r="AV247" s="51">
        <v>0.32900000000000001</v>
      </c>
      <c r="AW247" s="51">
        <v>2294.9699999999998</v>
      </c>
      <c r="AX247" s="51">
        <v>237.4</v>
      </c>
      <c r="AY247" s="51">
        <v>182.7</v>
      </c>
      <c r="AZ247" s="51" t="s">
        <v>1574</v>
      </c>
      <c r="BA247" s="51">
        <v>382.55505651419998</v>
      </c>
      <c r="BB247" s="51">
        <v>262</v>
      </c>
      <c r="BC247" s="51">
        <v>1.819</v>
      </c>
      <c r="BD247" s="51" t="s">
        <v>1574</v>
      </c>
      <c r="BE247" s="51">
        <v>1.3428</v>
      </c>
      <c r="BF247" s="51">
        <v>39</v>
      </c>
      <c r="BG247" s="51">
        <v>246</v>
      </c>
      <c r="BH247" s="51">
        <v>190</v>
      </c>
      <c r="BI247" s="51">
        <v>176.25</v>
      </c>
      <c r="BJ247" s="51">
        <v>108.25</v>
      </c>
      <c r="BK247" s="51">
        <v>1913.49438476563</v>
      </c>
      <c r="BL247" s="51">
        <v>23.5</v>
      </c>
      <c r="BM247" s="51">
        <v>2214</v>
      </c>
      <c r="BN247" s="51">
        <v>1233</v>
      </c>
      <c r="BO247" s="51">
        <v>16986.599999999999</v>
      </c>
      <c r="BP247" s="51">
        <v>6945</v>
      </c>
      <c r="BQ247" s="51">
        <v>751</v>
      </c>
      <c r="BR247" s="51">
        <v>455.08</v>
      </c>
      <c r="BS247" s="51">
        <v>600.53</v>
      </c>
      <c r="BT247" s="51">
        <v>22.450399999999998</v>
      </c>
      <c r="BU247" s="41"/>
      <c r="BV247" s="41"/>
      <c r="BW247" s="41"/>
      <c r="BX247" s="41"/>
      <c r="BY247" s="41"/>
      <c r="BZ247" s="41"/>
      <c r="CA247" s="41"/>
      <c r="CB247" s="41"/>
      <c r="CC247" s="41"/>
      <c r="CD247" s="41"/>
      <c r="CE247" s="41"/>
      <c r="CF247" s="41"/>
      <c r="CG247" s="41"/>
      <c r="CH247" s="41"/>
      <c r="CI247" s="41"/>
      <c r="CJ247" s="41"/>
      <c r="CK247" s="41"/>
    </row>
    <row r="248" spans="1:89">
      <c r="A248" s="48" t="s">
        <v>377</v>
      </c>
      <c r="B248" s="49">
        <v>39</v>
      </c>
      <c r="C248" s="49">
        <v>40</v>
      </c>
      <c r="D248" s="49">
        <v>38</v>
      </c>
      <c r="E248" s="49" t="s">
        <v>1574</v>
      </c>
      <c r="F248" s="49">
        <v>32.369999999999997</v>
      </c>
      <c r="G248" s="49" t="s">
        <v>1574</v>
      </c>
      <c r="H248" s="49">
        <v>1.37</v>
      </c>
      <c r="I248" s="49">
        <v>4.22</v>
      </c>
      <c r="J248" s="49">
        <v>5.69622732832</v>
      </c>
      <c r="K248" s="49">
        <v>40.557344803079999</v>
      </c>
      <c r="L248" s="49">
        <v>3.1675</v>
      </c>
      <c r="M248" s="49">
        <v>3.8077999999999999</v>
      </c>
      <c r="N248" s="49">
        <v>3.5712999999999999</v>
      </c>
      <c r="O248" s="49">
        <v>1.6861999999999999</v>
      </c>
      <c r="P248" s="49">
        <v>1.1859470000000001</v>
      </c>
      <c r="Q248" s="49">
        <v>2.0300210000000001</v>
      </c>
      <c r="R248" s="49">
        <v>1.842562</v>
      </c>
      <c r="S248" s="49">
        <v>885</v>
      </c>
      <c r="T248" s="49">
        <v>869</v>
      </c>
      <c r="U248" s="49">
        <v>491</v>
      </c>
      <c r="V248" s="49">
        <v>744</v>
      </c>
      <c r="W248" s="49">
        <v>662</v>
      </c>
      <c r="X248" s="49" t="s">
        <v>1574</v>
      </c>
      <c r="Y248" s="49">
        <v>268</v>
      </c>
      <c r="Z248" s="49">
        <v>609</v>
      </c>
      <c r="AA248" s="49">
        <v>244</v>
      </c>
      <c r="AB248" s="49" t="s">
        <v>1574</v>
      </c>
      <c r="AC248" s="49" t="s">
        <v>1574</v>
      </c>
      <c r="AD248" s="49">
        <v>66.584538050000006</v>
      </c>
      <c r="AE248" s="49">
        <v>105.4</v>
      </c>
      <c r="AF248" s="49">
        <v>111.5</v>
      </c>
      <c r="AG248" s="49">
        <v>372.79</v>
      </c>
      <c r="AH248" s="49" t="s">
        <v>1574</v>
      </c>
      <c r="AI248" s="49" t="s">
        <v>1574</v>
      </c>
      <c r="AJ248" s="49" t="s">
        <v>1574</v>
      </c>
      <c r="AK248" s="49">
        <v>169.71</v>
      </c>
      <c r="AL248" s="49">
        <v>175.63</v>
      </c>
      <c r="AM248" s="49" t="s">
        <v>1574</v>
      </c>
      <c r="AN248" s="49">
        <v>0.40179999999999999</v>
      </c>
      <c r="AO248" s="49">
        <v>0.34699999999999998</v>
      </c>
      <c r="AP248" s="49">
        <v>3.0062000000000002</v>
      </c>
      <c r="AQ248" s="49">
        <v>0.74736617999999999</v>
      </c>
      <c r="AR248" s="49">
        <v>2.5990000000000002</v>
      </c>
      <c r="AS248" s="49">
        <v>10.141252</v>
      </c>
      <c r="AT248" s="49">
        <v>0.49273256999999998</v>
      </c>
      <c r="AU248" s="49">
        <v>0.43342829199999999</v>
      </c>
      <c r="AV248" s="49">
        <v>0.38100000000000001</v>
      </c>
      <c r="AW248" s="49">
        <v>2286.27</v>
      </c>
      <c r="AX248" s="49">
        <v>245.2</v>
      </c>
      <c r="AY248" s="49">
        <v>200.1</v>
      </c>
      <c r="AZ248" s="49">
        <v>396</v>
      </c>
      <c r="BA248" s="49">
        <v>401.81723331356</v>
      </c>
      <c r="BB248" s="49">
        <v>285.8</v>
      </c>
      <c r="BC248" s="49">
        <v>1.9296</v>
      </c>
      <c r="BD248" s="49" t="s">
        <v>1574</v>
      </c>
      <c r="BE248" s="49">
        <v>1.5172000000000001</v>
      </c>
      <c r="BF248" s="49">
        <v>39</v>
      </c>
      <c r="BG248" s="49">
        <v>257</v>
      </c>
      <c r="BH248" s="49">
        <v>197.5</v>
      </c>
      <c r="BI248" s="49">
        <v>187.5</v>
      </c>
      <c r="BJ248" s="49">
        <v>106.5</v>
      </c>
      <c r="BK248" s="49">
        <v>2054.86010742188</v>
      </c>
      <c r="BL248" s="49">
        <v>28.09</v>
      </c>
      <c r="BM248" s="49">
        <v>2601</v>
      </c>
      <c r="BN248" s="49">
        <v>1118</v>
      </c>
      <c r="BO248" s="49">
        <v>17013</v>
      </c>
      <c r="BP248" s="49">
        <v>6584.8</v>
      </c>
      <c r="BQ248" s="49">
        <v>774</v>
      </c>
      <c r="BR248" s="49">
        <v>675.31</v>
      </c>
      <c r="BS248" s="49">
        <v>806.79</v>
      </c>
      <c r="BT248" s="49">
        <v>38.875599999999999</v>
      </c>
      <c r="BU248" s="41"/>
      <c r="BV248" s="41"/>
      <c r="BW248" s="41"/>
      <c r="BX248" s="41"/>
      <c r="BY248" s="41"/>
      <c r="BZ248" s="41"/>
      <c r="CA248" s="41"/>
      <c r="CB248" s="41"/>
      <c r="CC248" s="41"/>
      <c r="CD248" s="41"/>
      <c r="CE248" s="41"/>
      <c r="CF248" s="41"/>
      <c r="CG248" s="41"/>
      <c r="CH248" s="41"/>
      <c r="CI248" s="41"/>
      <c r="CJ248" s="41"/>
      <c r="CK248" s="41"/>
    </row>
    <row r="249" spans="1:89">
      <c r="A249" s="41" t="s">
        <v>378</v>
      </c>
      <c r="B249" s="51">
        <v>37.25</v>
      </c>
      <c r="C249" s="51">
        <v>38.5</v>
      </c>
      <c r="D249" s="51">
        <v>36</v>
      </c>
      <c r="E249" s="51" t="s">
        <v>1574</v>
      </c>
      <c r="F249" s="51">
        <v>32.369999999999997</v>
      </c>
      <c r="G249" s="51" t="s">
        <v>1574</v>
      </c>
      <c r="H249" s="51">
        <v>1.42</v>
      </c>
      <c r="I249" s="51">
        <v>4.22</v>
      </c>
      <c r="J249" s="51">
        <v>5.69622732832</v>
      </c>
      <c r="K249" s="51">
        <v>41.164513451760001</v>
      </c>
      <c r="L249" s="51">
        <v>3.2368000000000001</v>
      </c>
      <c r="M249" s="51">
        <v>3.7101999999999999</v>
      </c>
      <c r="N249" s="51">
        <v>3.5520999999999998</v>
      </c>
      <c r="O249" s="51">
        <v>1.6798999999999999</v>
      </c>
      <c r="P249" s="51">
        <v>1.174774</v>
      </c>
      <c r="Q249" s="51">
        <v>2.031631</v>
      </c>
      <c r="R249" s="51">
        <v>1.8331809999999999</v>
      </c>
      <c r="S249" s="51">
        <v>840</v>
      </c>
      <c r="T249" s="51">
        <v>887</v>
      </c>
      <c r="U249" s="51">
        <v>518.29999999999995</v>
      </c>
      <c r="V249" s="51">
        <v>778</v>
      </c>
      <c r="W249" s="51">
        <v>672</v>
      </c>
      <c r="X249" s="51" t="s">
        <v>1574</v>
      </c>
      <c r="Y249" s="51">
        <v>271</v>
      </c>
      <c r="Z249" s="51">
        <v>610</v>
      </c>
      <c r="AA249" s="51">
        <v>238</v>
      </c>
      <c r="AB249" s="51" t="s">
        <v>1574</v>
      </c>
      <c r="AC249" s="51" t="s">
        <v>1574</v>
      </c>
      <c r="AD249" s="51">
        <v>66.58</v>
      </c>
      <c r="AE249" s="51">
        <v>113.9</v>
      </c>
      <c r="AF249" s="51">
        <v>118.3</v>
      </c>
      <c r="AG249" s="51">
        <v>376.52</v>
      </c>
      <c r="AH249" s="51" t="s">
        <v>1574</v>
      </c>
      <c r="AI249" s="51" t="s">
        <v>1574</v>
      </c>
      <c r="AJ249" s="51" t="s">
        <v>1574</v>
      </c>
      <c r="AK249" s="51">
        <v>170.49</v>
      </c>
      <c r="AL249" s="51">
        <v>172.7</v>
      </c>
      <c r="AM249" s="51" t="s">
        <v>1574</v>
      </c>
      <c r="AN249" s="51">
        <v>0.37219999999999998</v>
      </c>
      <c r="AO249" s="51">
        <v>0.35</v>
      </c>
      <c r="AP249" s="51">
        <v>2.9662999999999999</v>
      </c>
      <c r="AQ249" s="51">
        <v>0.71760380999999995</v>
      </c>
      <c r="AR249" s="51">
        <v>2.6949999999999998</v>
      </c>
      <c r="AS249" s="51">
        <v>10.141252</v>
      </c>
      <c r="AT249" s="51">
        <v>0.48810286800000002</v>
      </c>
      <c r="AU249" s="51">
        <v>0.54432067799999995</v>
      </c>
      <c r="AV249" s="51">
        <v>0.5</v>
      </c>
      <c r="AW249" s="51">
        <v>2300.11</v>
      </c>
      <c r="AX249" s="51">
        <v>249</v>
      </c>
      <c r="AY249" s="51">
        <v>213.6</v>
      </c>
      <c r="AZ249" s="51">
        <v>396</v>
      </c>
      <c r="BA249" s="51">
        <v>416.23615900690999</v>
      </c>
      <c r="BB249" s="51">
        <v>306.89999999999998</v>
      </c>
      <c r="BC249" s="51">
        <v>2.0988000000000002</v>
      </c>
      <c r="BD249" s="51" t="s">
        <v>1574</v>
      </c>
      <c r="BE249" s="51">
        <v>1.6603000000000001</v>
      </c>
      <c r="BF249" s="51">
        <v>39</v>
      </c>
      <c r="BG249" s="51">
        <v>257.5</v>
      </c>
      <c r="BH249" s="51">
        <v>195</v>
      </c>
      <c r="BI249" s="51">
        <v>187.5</v>
      </c>
      <c r="BJ249" s="51">
        <v>106.5</v>
      </c>
      <c r="BK249" s="51">
        <v>2131.00854492188</v>
      </c>
      <c r="BL249" s="51">
        <v>28.09</v>
      </c>
      <c r="BM249" s="51">
        <v>2918</v>
      </c>
      <c r="BN249" s="51">
        <v>1168</v>
      </c>
      <c r="BO249" s="51">
        <v>17100.400000000001</v>
      </c>
      <c r="BP249" s="51">
        <v>6978.9</v>
      </c>
      <c r="BQ249" s="51">
        <v>870</v>
      </c>
      <c r="BR249" s="51">
        <v>665.32</v>
      </c>
      <c r="BS249" s="51">
        <v>882.31</v>
      </c>
      <c r="BT249" s="51">
        <v>35.243499999999997</v>
      </c>
      <c r="BU249" s="41"/>
      <c r="BV249" s="41"/>
      <c r="BW249" s="41"/>
      <c r="BX249" s="41"/>
      <c r="BY249" s="41"/>
      <c r="BZ249" s="41"/>
      <c r="CA249" s="41"/>
      <c r="CB249" s="41"/>
      <c r="CC249" s="41"/>
      <c r="CD249" s="41"/>
      <c r="CE249" s="41"/>
      <c r="CF249" s="41"/>
      <c r="CG249" s="41"/>
      <c r="CH249" s="41"/>
      <c r="CI249" s="41"/>
      <c r="CJ249" s="41"/>
      <c r="CK249" s="41"/>
    </row>
    <row r="250" spans="1:89">
      <c r="A250" s="48" t="s">
        <v>379</v>
      </c>
      <c r="B250" s="49">
        <v>37</v>
      </c>
      <c r="C250" s="49">
        <v>38.25</v>
      </c>
      <c r="D250" s="49">
        <v>35.75</v>
      </c>
      <c r="E250" s="49" t="s">
        <v>1574</v>
      </c>
      <c r="F250" s="49">
        <v>32.369999999999997</v>
      </c>
      <c r="G250" s="49" t="s">
        <v>1574</v>
      </c>
      <c r="H250" s="49">
        <v>1.46</v>
      </c>
      <c r="I250" s="49">
        <v>4.22</v>
      </c>
      <c r="J250" s="49">
        <v>5.69622732832</v>
      </c>
      <c r="K250" s="49">
        <v>41.650248370710003</v>
      </c>
      <c r="L250" s="49">
        <v>3.0910000000000002</v>
      </c>
      <c r="M250" s="49">
        <v>4.1173000000000002</v>
      </c>
      <c r="N250" s="49">
        <v>3.7225000000000001</v>
      </c>
      <c r="O250" s="49">
        <v>1.6375</v>
      </c>
      <c r="P250" s="49">
        <v>1.141416</v>
      </c>
      <c r="Q250" s="49">
        <v>1.9855579999999999</v>
      </c>
      <c r="R250" s="49">
        <v>1.785539</v>
      </c>
      <c r="S250" s="49">
        <v>760</v>
      </c>
      <c r="T250" s="49">
        <v>895</v>
      </c>
      <c r="U250" s="49">
        <v>478</v>
      </c>
      <c r="V250" s="49">
        <v>720</v>
      </c>
      <c r="W250" s="49">
        <v>637</v>
      </c>
      <c r="X250" s="49" t="s">
        <v>1574</v>
      </c>
      <c r="Y250" s="49">
        <v>264</v>
      </c>
      <c r="Z250" s="49">
        <v>580</v>
      </c>
      <c r="AA250" s="49">
        <v>242</v>
      </c>
      <c r="AB250" s="49" t="s">
        <v>1574</v>
      </c>
      <c r="AC250" s="49" t="s">
        <v>1574</v>
      </c>
      <c r="AD250" s="49">
        <v>69.900000000000006</v>
      </c>
      <c r="AE250" s="49">
        <v>110.4</v>
      </c>
      <c r="AF250" s="49">
        <v>114.6</v>
      </c>
      <c r="AG250" s="49">
        <v>392.72</v>
      </c>
      <c r="AH250" s="49" t="s">
        <v>1574</v>
      </c>
      <c r="AI250" s="49" t="s">
        <v>1574</v>
      </c>
      <c r="AJ250" s="49" t="s">
        <v>1574</v>
      </c>
      <c r="AK250" s="49">
        <v>162.4</v>
      </c>
      <c r="AL250" s="49">
        <v>163.51</v>
      </c>
      <c r="AM250" s="49" t="s">
        <v>1574</v>
      </c>
      <c r="AN250" s="49">
        <v>0.42270000000000002</v>
      </c>
      <c r="AO250" s="49">
        <v>0.33800000000000002</v>
      </c>
      <c r="AP250" s="49">
        <v>2.6015000000000001</v>
      </c>
      <c r="AQ250" s="49">
        <v>0.70173054599999996</v>
      </c>
      <c r="AR250" s="49">
        <v>2.629</v>
      </c>
      <c r="AS250" s="49">
        <v>10.141252</v>
      </c>
      <c r="AT250" s="49">
        <v>0.46341112400000001</v>
      </c>
      <c r="AU250" s="49">
        <v>0.46693851600000003</v>
      </c>
      <c r="AV250" s="49">
        <v>0.433</v>
      </c>
      <c r="AW250" s="49">
        <v>2292.46</v>
      </c>
      <c r="AX250" s="49">
        <v>243.4</v>
      </c>
      <c r="AY250" s="49">
        <v>209.3</v>
      </c>
      <c r="AZ250" s="49">
        <v>396</v>
      </c>
      <c r="BA250" s="49">
        <v>411.69018618054997</v>
      </c>
      <c r="BB250" s="49">
        <v>310.10000000000002</v>
      </c>
      <c r="BC250" s="49">
        <v>2.0331000000000001</v>
      </c>
      <c r="BD250" s="49" t="s">
        <v>1574</v>
      </c>
      <c r="BE250" s="49">
        <v>1.4628000000000001</v>
      </c>
      <c r="BF250" s="49">
        <v>42</v>
      </c>
      <c r="BG250" s="49">
        <v>260.5</v>
      </c>
      <c r="BH250" s="49">
        <v>200</v>
      </c>
      <c r="BI250" s="49">
        <v>187.5</v>
      </c>
      <c r="BJ250" s="49">
        <v>106.5</v>
      </c>
      <c r="BK250" s="49">
        <v>1978.37890625</v>
      </c>
      <c r="BL250" s="49">
        <v>28.09</v>
      </c>
      <c r="BM250" s="49">
        <v>2306</v>
      </c>
      <c r="BN250" s="49">
        <v>1121</v>
      </c>
      <c r="BO250" s="49">
        <v>17470.3</v>
      </c>
      <c r="BP250" s="49">
        <v>6733.8</v>
      </c>
      <c r="BQ250" s="49">
        <v>743</v>
      </c>
      <c r="BR250" s="49">
        <v>553.58000000000004</v>
      </c>
      <c r="BS250" s="49">
        <v>746.54</v>
      </c>
      <c r="BT250" s="49">
        <v>24.73</v>
      </c>
      <c r="BU250" s="41"/>
      <c r="BV250" s="41"/>
      <c r="BW250" s="41"/>
      <c r="BX250" s="41"/>
      <c r="BY250" s="41"/>
      <c r="BZ250" s="41"/>
      <c r="CA250" s="41"/>
      <c r="CB250" s="41"/>
      <c r="CC250" s="41"/>
      <c r="CD250" s="41"/>
      <c r="CE250" s="41"/>
      <c r="CF250" s="41"/>
      <c r="CG250" s="41"/>
      <c r="CH250" s="41"/>
      <c r="CI250" s="41"/>
      <c r="CJ250" s="41"/>
      <c r="CK250" s="41"/>
    </row>
    <row r="251" spans="1:89">
      <c r="A251" s="41" t="s">
        <v>380</v>
      </c>
      <c r="B251" s="51">
        <v>36.57500076294</v>
      </c>
      <c r="C251" s="51">
        <v>38.15000152588</v>
      </c>
      <c r="D251" s="51">
        <v>35</v>
      </c>
      <c r="E251" s="51" t="s">
        <v>1574</v>
      </c>
      <c r="F251" s="51">
        <v>39.54</v>
      </c>
      <c r="G251" s="51" t="s">
        <v>1574</v>
      </c>
      <c r="H251" s="51">
        <v>1.51</v>
      </c>
      <c r="I251" s="51">
        <v>4.22</v>
      </c>
      <c r="J251" s="51">
        <v>5.69622732832</v>
      </c>
      <c r="K251" s="51">
        <v>42.257417019389997</v>
      </c>
      <c r="L251" s="51">
        <v>2.9106999999999998</v>
      </c>
      <c r="M251" s="51">
        <v>4.0528000000000004</v>
      </c>
      <c r="N251" s="51">
        <v>3.6463999999999999</v>
      </c>
      <c r="O251" s="51">
        <v>1.6335999999999999</v>
      </c>
      <c r="P251" s="51">
        <v>1.1296679999999999</v>
      </c>
      <c r="Q251" s="51">
        <v>2.0010240000000001</v>
      </c>
      <c r="R251" s="51">
        <v>1.7700720000000001</v>
      </c>
      <c r="S251" s="51">
        <v>660</v>
      </c>
      <c r="T251" s="51">
        <v>900</v>
      </c>
      <c r="U251" s="51">
        <v>470</v>
      </c>
      <c r="V251" s="51">
        <v>708</v>
      </c>
      <c r="W251" s="51">
        <v>611</v>
      </c>
      <c r="X251" s="51" t="s">
        <v>1574</v>
      </c>
      <c r="Y251" s="51">
        <v>252</v>
      </c>
      <c r="Z251" s="51">
        <v>552</v>
      </c>
      <c r="AA251" s="51">
        <v>242</v>
      </c>
      <c r="AB251" s="51" t="s">
        <v>1574</v>
      </c>
      <c r="AC251" s="51" t="s">
        <v>1574</v>
      </c>
      <c r="AD251" s="51">
        <v>69.900000000000006</v>
      </c>
      <c r="AE251" s="51">
        <v>108.2</v>
      </c>
      <c r="AF251" s="51">
        <v>114.5</v>
      </c>
      <c r="AG251" s="51">
        <v>395.97</v>
      </c>
      <c r="AH251" s="51" t="s">
        <v>1574</v>
      </c>
      <c r="AI251" s="51" t="s">
        <v>1574</v>
      </c>
      <c r="AJ251" s="51" t="s">
        <v>1574</v>
      </c>
      <c r="AK251" s="51">
        <v>155.80000000000001</v>
      </c>
      <c r="AL251" s="51">
        <v>156.53</v>
      </c>
      <c r="AM251" s="51" t="s">
        <v>1574</v>
      </c>
      <c r="AN251" s="51">
        <v>0.39560000000000001</v>
      </c>
      <c r="AO251" s="51">
        <v>0.377</v>
      </c>
      <c r="AP251" s="51">
        <v>2.5245000000000002</v>
      </c>
      <c r="AQ251" s="51">
        <v>0.68321173800000001</v>
      </c>
      <c r="AR251" s="51">
        <v>2.9239999999999999</v>
      </c>
      <c r="AS251" s="51">
        <v>10.141252</v>
      </c>
      <c r="AT251" s="51">
        <v>0.45966327000000001</v>
      </c>
      <c r="AU251" s="51">
        <v>0.49978735400000002</v>
      </c>
      <c r="AV251" s="51">
        <v>0.46800000000000003</v>
      </c>
      <c r="AW251" s="51">
        <v>2323.69</v>
      </c>
      <c r="AX251" s="51">
        <v>241.8</v>
      </c>
      <c r="AY251" s="51">
        <v>206.8</v>
      </c>
      <c r="AZ251" s="51">
        <v>396</v>
      </c>
      <c r="BA251" s="51">
        <v>409.02741711325001</v>
      </c>
      <c r="BB251" s="51">
        <v>285.3</v>
      </c>
      <c r="BC251" s="51">
        <v>2.0015999999999998</v>
      </c>
      <c r="BD251" s="51" t="s">
        <v>1574</v>
      </c>
      <c r="BE251" s="51">
        <v>1.3349</v>
      </c>
      <c r="BF251" s="51">
        <v>54</v>
      </c>
      <c r="BG251" s="51">
        <v>202.5</v>
      </c>
      <c r="BH251" s="51">
        <v>182.5</v>
      </c>
      <c r="BI251" s="51">
        <v>196.25</v>
      </c>
      <c r="BJ251" s="51">
        <v>106.5</v>
      </c>
      <c r="BK251" s="51">
        <v>1932.45556640625</v>
      </c>
      <c r="BL251" s="51">
        <v>28.09</v>
      </c>
      <c r="BM251" s="51">
        <v>2070</v>
      </c>
      <c r="BN251" s="51">
        <v>969</v>
      </c>
      <c r="BO251" s="51">
        <v>17017.2</v>
      </c>
      <c r="BP251" s="51">
        <v>6233.3</v>
      </c>
      <c r="BQ251" s="51">
        <v>708</v>
      </c>
      <c r="BR251" s="51">
        <v>517.41</v>
      </c>
      <c r="BS251" s="51">
        <v>589.05999999999995</v>
      </c>
      <c r="BT251" s="51">
        <v>14.948700000000001</v>
      </c>
      <c r="BU251" s="41"/>
      <c r="BV251" s="41"/>
      <c r="BW251" s="41"/>
      <c r="BX251" s="41"/>
      <c r="BY251" s="41"/>
      <c r="BZ251" s="41"/>
      <c r="CA251" s="41"/>
      <c r="CB251" s="41"/>
      <c r="CC251" s="41"/>
      <c r="CD251" s="41"/>
      <c r="CE251" s="41"/>
      <c r="CF251" s="41"/>
      <c r="CG251" s="41"/>
      <c r="CH251" s="41"/>
      <c r="CI251" s="41"/>
      <c r="CJ251" s="41"/>
      <c r="CK251" s="41"/>
    </row>
    <row r="252" spans="1:89">
      <c r="A252" s="48" t="s">
        <v>381</v>
      </c>
      <c r="B252" s="49">
        <v>37.04999923706</v>
      </c>
      <c r="C252" s="49">
        <v>38.5</v>
      </c>
      <c r="D252" s="49">
        <v>35.59999847412</v>
      </c>
      <c r="E252" s="49" t="s">
        <v>1574</v>
      </c>
      <c r="F252" s="49">
        <v>40.14</v>
      </c>
      <c r="G252" s="49" t="s">
        <v>1574</v>
      </c>
      <c r="H252" s="49">
        <v>1.56</v>
      </c>
      <c r="I252" s="49">
        <v>4.22</v>
      </c>
      <c r="J252" s="49">
        <v>5.69622732832</v>
      </c>
      <c r="K252" s="49">
        <v>42.864585668079997</v>
      </c>
      <c r="L252" s="49">
        <v>2.5857999999999999</v>
      </c>
      <c r="M252" s="49">
        <v>4.2314999999999996</v>
      </c>
      <c r="N252" s="49">
        <v>3.8847999999999998</v>
      </c>
      <c r="O252" s="49">
        <v>1.6701999999999999</v>
      </c>
      <c r="P252" s="49">
        <v>1.1450530000000001</v>
      </c>
      <c r="Q252" s="49">
        <v>2.0446810000000002</v>
      </c>
      <c r="R252" s="49">
        <v>1.8207409999999999</v>
      </c>
      <c r="S252" s="49">
        <v>618</v>
      </c>
      <c r="T252" s="49">
        <v>918</v>
      </c>
      <c r="U252" s="49">
        <v>505</v>
      </c>
      <c r="V252" s="49">
        <v>733</v>
      </c>
      <c r="W252" s="49">
        <v>584</v>
      </c>
      <c r="X252" s="49" t="s">
        <v>1574</v>
      </c>
      <c r="Y252" s="49">
        <v>260</v>
      </c>
      <c r="Z252" s="49">
        <v>562</v>
      </c>
      <c r="AA252" s="49">
        <v>224</v>
      </c>
      <c r="AB252" s="49" t="s">
        <v>1574</v>
      </c>
      <c r="AC252" s="49" t="s">
        <v>1574</v>
      </c>
      <c r="AD252" s="49">
        <v>68.239999999999995</v>
      </c>
      <c r="AE252" s="49">
        <v>110</v>
      </c>
      <c r="AF252" s="49">
        <v>116.5</v>
      </c>
      <c r="AG252" s="49">
        <v>410.4</v>
      </c>
      <c r="AH252" s="49" t="s">
        <v>1574</v>
      </c>
      <c r="AI252" s="49" t="s">
        <v>1574</v>
      </c>
      <c r="AJ252" s="49" t="s">
        <v>1574</v>
      </c>
      <c r="AK252" s="49">
        <v>156.19999999999999</v>
      </c>
      <c r="AL252" s="49">
        <v>161.30000000000001</v>
      </c>
      <c r="AM252" s="49" t="s">
        <v>1574</v>
      </c>
      <c r="AN252" s="49">
        <v>0.44419999999999998</v>
      </c>
      <c r="AO252" s="49">
        <v>0.44219999999999998</v>
      </c>
      <c r="AP252" s="49">
        <v>2.4361000000000002</v>
      </c>
      <c r="AQ252" s="49">
        <v>0.67593649200000006</v>
      </c>
      <c r="AR252" s="49">
        <v>3.1349999999999998</v>
      </c>
      <c r="AS252" s="49">
        <v>10.141252</v>
      </c>
      <c r="AT252" s="49">
        <v>0.47862300200000002</v>
      </c>
      <c r="AU252" s="49">
        <v>0.70305331800000004</v>
      </c>
      <c r="AV252" s="49">
        <v>0.68159999999999998</v>
      </c>
      <c r="AW252" s="49">
        <v>2305.8000000000002</v>
      </c>
      <c r="AX252" s="49">
        <v>251.1</v>
      </c>
      <c r="AY252" s="49">
        <v>216.73</v>
      </c>
      <c r="AZ252" s="49">
        <v>396</v>
      </c>
      <c r="BA252" s="49">
        <v>419.51878082343001</v>
      </c>
      <c r="BB252" s="49">
        <v>291.10000000000002</v>
      </c>
      <c r="BC252" s="49">
        <v>1.958</v>
      </c>
      <c r="BD252" s="49" t="s">
        <v>1574</v>
      </c>
      <c r="BE252" s="49">
        <v>1.3313999999999999</v>
      </c>
      <c r="BF252" s="49">
        <v>54</v>
      </c>
      <c r="BG252" s="49">
        <v>211</v>
      </c>
      <c r="BH252" s="49">
        <v>171</v>
      </c>
      <c r="BI252" s="49">
        <v>205</v>
      </c>
      <c r="BJ252" s="49">
        <v>106.5</v>
      </c>
      <c r="BK252" s="49">
        <v>1775.8037109375</v>
      </c>
      <c r="BL252" s="49">
        <v>28.09</v>
      </c>
      <c r="BM252" s="49">
        <v>2037</v>
      </c>
      <c r="BN252" s="49">
        <v>772</v>
      </c>
      <c r="BO252" s="49">
        <v>17041.7</v>
      </c>
      <c r="BP252" s="49">
        <v>6000.8</v>
      </c>
      <c r="BQ252" s="49">
        <v>691.5</v>
      </c>
      <c r="BR252" s="49">
        <v>513.79999999999995</v>
      </c>
      <c r="BS252" s="49">
        <v>559.65</v>
      </c>
      <c r="BT252" s="49">
        <v>12.6761</v>
      </c>
      <c r="BU252" s="41"/>
      <c r="BV252" s="41"/>
      <c r="BW252" s="41"/>
      <c r="BX252" s="41"/>
      <c r="BY252" s="41"/>
      <c r="BZ252" s="41"/>
      <c r="CA252" s="41"/>
      <c r="CB252" s="41"/>
      <c r="CC252" s="41"/>
      <c r="CD252" s="41"/>
      <c r="CE252" s="41"/>
      <c r="CF252" s="41"/>
      <c r="CG252" s="41"/>
      <c r="CH252" s="41"/>
      <c r="CI252" s="41"/>
      <c r="CJ252" s="41"/>
      <c r="CK252" s="41"/>
    </row>
    <row r="253" spans="1:89">
      <c r="A253" s="41" t="s">
        <v>382</v>
      </c>
      <c r="B253" s="51">
        <v>37</v>
      </c>
      <c r="C253" s="51">
        <v>38</v>
      </c>
      <c r="D253" s="51">
        <v>36</v>
      </c>
      <c r="E253" s="51" t="s">
        <v>1574</v>
      </c>
      <c r="F253" s="51">
        <v>40.74</v>
      </c>
      <c r="G253" s="51" t="s">
        <v>1574</v>
      </c>
      <c r="H253" s="51">
        <v>1.57</v>
      </c>
      <c r="I253" s="51">
        <v>4.22</v>
      </c>
      <c r="J253" s="51">
        <v>5.69622732832</v>
      </c>
      <c r="K253" s="51">
        <v>42.986019397809997</v>
      </c>
      <c r="L253" s="51">
        <v>2.4981</v>
      </c>
      <c r="M253" s="51">
        <v>4.0503</v>
      </c>
      <c r="N253" s="51">
        <v>3.7612999999999999</v>
      </c>
      <c r="O253" s="51">
        <v>1.6807000000000001</v>
      </c>
      <c r="P253" s="51">
        <v>1.142911</v>
      </c>
      <c r="Q253" s="51">
        <v>2.0569250000000001</v>
      </c>
      <c r="R253" s="51">
        <v>1.842414</v>
      </c>
      <c r="S253" s="51">
        <v>630</v>
      </c>
      <c r="T253" s="51">
        <v>925</v>
      </c>
      <c r="U253" s="51">
        <v>484</v>
      </c>
      <c r="V253" s="51">
        <v>713</v>
      </c>
      <c r="W253" s="51">
        <v>555</v>
      </c>
      <c r="X253" s="51" t="s">
        <v>1574</v>
      </c>
      <c r="Y253" s="51">
        <v>262</v>
      </c>
      <c r="Z253" s="51">
        <v>570</v>
      </c>
      <c r="AA253" s="51">
        <v>218</v>
      </c>
      <c r="AB253" s="51" t="s">
        <v>1574</v>
      </c>
      <c r="AC253" s="51" t="s">
        <v>1574</v>
      </c>
      <c r="AD253" s="51">
        <v>64.930000000000007</v>
      </c>
      <c r="AE253" s="51">
        <v>113.6</v>
      </c>
      <c r="AF253" s="51">
        <v>119.4</v>
      </c>
      <c r="AG253" s="51">
        <v>418.94</v>
      </c>
      <c r="AH253" s="51" t="s">
        <v>1574</v>
      </c>
      <c r="AI253" s="51" t="s">
        <v>1574</v>
      </c>
      <c r="AJ253" s="51" t="s">
        <v>1574</v>
      </c>
      <c r="AK253" s="51">
        <v>146.19999999999999</v>
      </c>
      <c r="AL253" s="51">
        <v>157.63</v>
      </c>
      <c r="AM253" s="51" t="s">
        <v>1574</v>
      </c>
      <c r="AN253" s="51">
        <v>0.34229999999999999</v>
      </c>
      <c r="AO253" s="51">
        <v>0.48</v>
      </c>
      <c r="AP253" s="51">
        <v>2.5108000000000001</v>
      </c>
      <c r="AQ253" s="51">
        <v>0.68960513599999995</v>
      </c>
      <c r="AR253" s="51">
        <v>2.9820000000000002</v>
      </c>
      <c r="AS253" s="51">
        <v>10.141252</v>
      </c>
      <c r="AT253" s="51">
        <v>0.485677786</v>
      </c>
      <c r="AU253" s="51">
        <v>0.70768302000000005</v>
      </c>
      <c r="AV253" s="51">
        <v>0.67900000000000005</v>
      </c>
      <c r="AW253" s="51">
        <v>2297.7199999999998</v>
      </c>
      <c r="AX253" s="51">
        <v>255.3</v>
      </c>
      <c r="AY253" s="51">
        <v>218.42</v>
      </c>
      <c r="AZ253" s="51">
        <v>396</v>
      </c>
      <c r="BA253" s="51">
        <v>421.28212136410002</v>
      </c>
      <c r="BB253" s="51">
        <v>264.60000000000002</v>
      </c>
      <c r="BC253" s="51">
        <v>1.8909</v>
      </c>
      <c r="BD253" s="51" t="s">
        <v>1574</v>
      </c>
      <c r="BE253" s="51">
        <v>1.3640000000000001</v>
      </c>
      <c r="BF253" s="51">
        <v>44</v>
      </c>
      <c r="BG253" s="51">
        <v>212.5</v>
      </c>
      <c r="BH253" s="51">
        <v>170</v>
      </c>
      <c r="BI253" s="51">
        <v>205</v>
      </c>
      <c r="BJ253" s="51">
        <v>106.5</v>
      </c>
      <c r="BK253" s="51">
        <v>1668.96044921875</v>
      </c>
      <c r="BL253" s="51">
        <v>28.09</v>
      </c>
      <c r="BM253" s="51">
        <v>2006</v>
      </c>
      <c r="BN253" s="51">
        <v>739</v>
      </c>
      <c r="BO253" s="51">
        <v>17223.900000000001</v>
      </c>
      <c r="BP253" s="51">
        <v>6294.9</v>
      </c>
      <c r="BQ253" s="51">
        <v>678.1</v>
      </c>
      <c r="BR253" s="51">
        <v>600.72</v>
      </c>
      <c r="BS253" s="51">
        <v>641.84</v>
      </c>
      <c r="BT253" s="51">
        <v>15.7834</v>
      </c>
      <c r="BU253" s="41"/>
      <c r="BV253" s="41"/>
      <c r="BW253" s="41"/>
      <c r="BX253" s="41"/>
      <c r="BY253" s="41"/>
      <c r="BZ253" s="41"/>
      <c r="CA253" s="41"/>
      <c r="CB253" s="41"/>
      <c r="CC253" s="41"/>
      <c r="CD253" s="41"/>
      <c r="CE253" s="41"/>
      <c r="CF253" s="41"/>
      <c r="CG253" s="41"/>
      <c r="CH253" s="41"/>
      <c r="CI253" s="41"/>
      <c r="CJ253" s="41"/>
      <c r="CK253" s="41"/>
    </row>
    <row r="254" spans="1:89">
      <c r="A254" s="48" t="s">
        <v>383</v>
      </c>
      <c r="B254" s="49">
        <v>35.375</v>
      </c>
      <c r="C254" s="49">
        <v>37.40000152588</v>
      </c>
      <c r="D254" s="49">
        <v>33.34999847412</v>
      </c>
      <c r="E254" s="49" t="s">
        <v>1574</v>
      </c>
      <c r="F254" s="49">
        <v>40.74</v>
      </c>
      <c r="G254" s="49" t="s">
        <v>1574</v>
      </c>
      <c r="H254" s="49">
        <v>1.64</v>
      </c>
      <c r="I254" s="49">
        <v>4.22</v>
      </c>
      <c r="J254" s="49">
        <v>5.69622732832</v>
      </c>
      <c r="K254" s="49">
        <v>43.836055505970002</v>
      </c>
      <c r="L254" s="49">
        <v>2.4647999999999999</v>
      </c>
      <c r="M254" s="49">
        <v>3.5164</v>
      </c>
      <c r="N254" s="49">
        <v>3.2808999999999999</v>
      </c>
      <c r="O254" s="49">
        <v>1.6907000000000001</v>
      </c>
      <c r="P254" s="49">
        <v>1.139642</v>
      </c>
      <c r="Q254" s="49">
        <v>2.0791580000000001</v>
      </c>
      <c r="R254" s="49">
        <v>1.8531530000000001</v>
      </c>
      <c r="S254" s="49">
        <v>648</v>
      </c>
      <c r="T254" s="49">
        <v>880</v>
      </c>
      <c r="U254" s="49">
        <v>479</v>
      </c>
      <c r="V254" s="49">
        <v>860</v>
      </c>
      <c r="W254" s="49">
        <v>545</v>
      </c>
      <c r="X254" s="49" t="s">
        <v>1574</v>
      </c>
      <c r="Y254" s="49">
        <v>303</v>
      </c>
      <c r="Z254" s="49">
        <v>635</v>
      </c>
      <c r="AA254" s="49">
        <v>248</v>
      </c>
      <c r="AB254" s="49" t="s">
        <v>1574</v>
      </c>
      <c r="AC254" s="49" t="s">
        <v>1574</v>
      </c>
      <c r="AD254" s="49">
        <v>86.53</v>
      </c>
      <c r="AE254" s="49">
        <v>128.9</v>
      </c>
      <c r="AF254" s="49">
        <v>133</v>
      </c>
      <c r="AG254" s="49">
        <v>418.94</v>
      </c>
      <c r="AH254" s="49" t="s">
        <v>1574</v>
      </c>
      <c r="AI254" s="49" t="s">
        <v>1574</v>
      </c>
      <c r="AJ254" s="49" t="s">
        <v>1574</v>
      </c>
      <c r="AK254" s="49">
        <v>160.5</v>
      </c>
      <c r="AL254" s="49">
        <v>168.65</v>
      </c>
      <c r="AM254" s="49" t="s">
        <v>1574</v>
      </c>
      <c r="AN254" s="49">
        <v>0.35139999999999999</v>
      </c>
      <c r="AO254" s="49">
        <v>0.41499999999999998</v>
      </c>
      <c r="AP254" s="49">
        <v>2.7549000000000001</v>
      </c>
      <c r="AQ254" s="49">
        <v>0.75706650799999997</v>
      </c>
      <c r="AR254" s="49">
        <v>3.2</v>
      </c>
      <c r="AS254" s="49">
        <v>10.141252</v>
      </c>
      <c r="AT254" s="49">
        <v>0.51698339000000004</v>
      </c>
      <c r="AU254" s="49">
        <v>0.63382824999999998</v>
      </c>
      <c r="AV254" s="49">
        <v>0.60899999999999999</v>
      </c>
      <c r="AW254" s="49">
        <v>2297.52</v>
      </c>
      <c r="AX254" s="49">
        <v>259.89999999999998</v>
      </c>
      <c r="AY254" s="49">
        <v>195.13</v>
      </c>
      <c r="AZ254" s="49">
        <v>396</v>
      </c>
      <c r="BA254" s="49">
        <v>396.39677748016999</v>
      </c>
      <c r="BB254" s="49">
        <v>276.5</v>
      </c>
      <c r="BC254" s="49">
        <v>1.9821</v>
      </c>
      <c r="BD254" s="49" t="s">
        <v>1574</v>
      </c>
      <c r="BE254" s="49">
        <v>1.3461000000000001</v>
      </c>
      <c r="BF254" s="49">
        <v>44</v>
      </c>
      <c r="BG254" s="49">
        <v>215</v>
      </c>
      <c r="BH254" s="49">
        <v>173</v>
      </c>
      <c r="BI254" s="49">
        <v>205</v>
      </c>
      <c r="BJ254" s="49">
        <v>106.5</v>
      </c>
      <c r="BK254" s="49">
        <v>1758.07495117188</v>
      </c>
      <c r="BL254" s="49">
        <v>28.09</v>
      </c>
      <c r="BM254" s="49">
        <v>2176</v>
      </c>
      <c r="BN254" s="49">
        <v>811</v>
      </c>
      <c r="BO254" s="49">
        <v>17090.8</v>
      </c>
      <c r="BP254" s="49">
        <v>6622.2</v>
      </c>
      <c r="BQ254" s="49">
        <v>714</v>
      </c>
      <c r="BR254" s="49">
        <v>643.27</v>
      </c>
      <c r="BS254" s="49">
        <v>670.35</v>
      </c>
      <c r="BT254" s="49">
        <v>16.321999999999999</v>
      </c>
      <c r="BU254" s="41"/>
      <c r="BV254" s="41"/>
      <c r="BW254" s="41"/>
      <c r="BX254" s="41"/>
      <c r="BY254" s="41"/>
      <c r="BZ254" s="41"/>
      <c r="CA254" s="41"/>
      <c r="CB254" s="41"/>
      <c r="CC254" s="41"/>
      <c r="CD254" s="41"/>
      <c r="CE254" s="41"/>
      <c r="CF254" s="41"/>
      <c r="CG254" s="41"/>
      <c r="CH254" s="41"/>
      <c r="CI254" s="41"/>
      <c r="CJ254" s="41"/>
      <c r="CK254" s="41"/>
    </row>
    <row r="255" spans="1:89">
      <c r="A255" s="41" t="s">
        <v>384</v>
      </c>
      <c r="B255" s="51">
        <v>32.949998855590003</v>
      </c>
      <c r="C255" s="51">
        <v>33.59999847412</v>
      </c>
      <c r="D255" s="51">
        <v>32.29999923706</v>
      </c>
      <c r="E255" s="51" t="s">
        <v>1574</v>
      </c>
      <c r="F255" s="51">
        <v>44.24</v>
      </c>
      <c r="G255" s="51" t="s">
        <v>1574</v>
      </c>
      <c r="H255" s="51">
        <v>1.64</v>
      </c>
      <c r="I255" s="51">
        <v>4.22</v>
      </c>
      <c r="J255" s="51">
        <v>5.69622732832</v>
      </c>
      <c r="K255" s="51">
        <v>43.836055505970002</v>
      </c>
      <c r="L255" s="51">
        <v>2.3121999999999998</v>
      </c>
      <c r="M255" s="51">
        <v>3.1000999999999999</v>
      </c>
      <c r="N255" s="51">
        <v>2.9496000000000002</v>
      </c>
      <c r="O255" s="51">
        <v>1.6717</v>
      </c>
      <c r="P255" s="51">
        <v>1.1088260000000001</v>
      </c>
      <c r="Q255" s="51">
        <v>2.074163</v>
      </c>
      <c r="R255" s="51">
        <v>1.8321369999999999</v>
      </c>
      <c r="S255" s="51">
        <v>620</v>
      </c>
      <c r="T255" s="51">
        <v>940</v>
      </c>
      <c r="U255" s="51">
        <v>490</v>
      </c>
      <c r="V255" s="51">
        <v>914</v>
      </c>
      <c r="W255" s="51">
        <v>518</v>
      </c>
      <c r="X255" s="51" t="s">
        <v>1574</v>
      </c>
      <c r="Y255" s="51">
        <v>309</v>
      </c>
      <c r="Z255" s="51">
        <v>636</v>
      </c>
      <c r="AA255" s="51">
        <v>260</v>
      </c>
      <c r="AB255" s="51" t="s">
        <v>1574</v>
      </c>
      <c r="AC255" s="51" t="s">
        <v>1574</v>
      </c>
      <c r="AD255" s="51">
        <v>81.56</v>
      </c>
      <c r="AE255" s="51">
        <v>143.44999999999999</v>
      </c>
      <c r="AF255" s="51">
        <v>143.02000000000001</v>
      </c>
      <c r="AG255" s="51">
        <v>418.94</v>
      </c>
      <c r="AH255" s="51" t="s">
        <v>1574</v>
      </c>
      <c r="AI255" s="51" t="s">
        <v>1574</v>
      </c>
      <c r="AJ255" s="51" t="s">
        <v>1574</v>
      </c>
      <c r="AK255" s="51">
        <v>165.28</v>
      </c>
      <c r="AL255" s="51">
        <v>171.23</v>
      </c>
      <c r="AM255" s="51" t="s">
        <v>1574</v>
      </c>
      <c r="AN255" s="51">
        <v>0.3422</v>
      </c>
      <c r="AO255" s="51">
        <v>0.40429999999999999</v>
      </c>
      <c r="AP255" s="51">
        <v>2.9213</v>
      </c>
      <c r="AQ255" s="51">
        <v>0.80270214200000001</v>
      </c>
      <c r="AR255" s="51">
        <v>3.0720000000000001</v>
      </c>
      <c r="AS255" s="51">
        <v>10.141252</v>
      </c>
      <c r="AT255" s="51">
        <v>0.50706260000000003</v>
      </c>
      <c r="AU255" s="51">
        <v>0.73061106799999997</v>
      </c>
      <c r="AV255" s="51">
        <v>0.70279999999999998</v>
      </c>
      <c r="AW255" s="51">
        <v>2263.02</v>
      </c>
      <c r="AX255" s="51">
        <v>253</v>
      </c>
      <c r="AY255" s="51">
        <v>188.51</v>
      </c>
      <c r="AZ255" s="51">
        <v>396</v>
      </c>
      <c r="BA255" s="51">
        <v>389.07712994392</v>
      </c>
      <c r="BB255" s="51">
        <v>257.5</v>
      </c>
      <c r="BC255" s="51">
        <v>2.1219000000000001</v>
      </c>
      <c r="BD255" s="51" t="s">
        <v>1574</v>
      </c>
      <c r="BE255" s="51">
        <v>1.401</v>
      </c>
      <c r="BF255" s="51">
        <v>44</v>
      </c>
      <c r="BG255" s="51">
        <v>215</v>
      </c>
      <c r="BH255" s="51">
        <v>167.5</v>
      </c>
      <c r="BI255" s="51">
        <v>205</v>
      </c>
      <c r="BJ255" s="51">
        <v>106.5</v>
      </c>
      <c r="BK255" s="51">
        <v>1783.62719726563</v>
      </c>
      <c r="BL255" s="51">
        <v>28.09</v>
      </c>
      <c r="BM255" s="51">
        <v>2082.1</v>
      </c>
      <c r="BN255" s="51">
        <v>853</v>
      </c>
      <c r="BO255" s="51">
        <v>17018.400000000001</v>
      </c>
      <c r="BP255" s="51">
        <v>6584.5</v>
      </c>
      <c r="BQ255" s="51">
        <v>769</v>
      </c>
      <c r="BR255" s="51">
        <v>627.15</v>
      </c>
      <c r="BS255" s="51">
        <v>644.24</v>
      </c>
      <c r="BT255" s="51">
        <v>15.941800000000001</v>
      </c>
      <c r="BU255" s="41"/>
      <c r="BV255" s="41"/>
      <c r="BW255" s="41"/>
      <c r="BX255" s="41"/>
      <c r="BY255" s="41"/>
      <c r="BZ255" s="41"/>
      <c r="CA255" s="41"/>
      <c r="CB255" s="41"/>
      <c r="CC255" s="41"/>
      <c r="CD255" s="41"/>
      <c r="CE255" s="41"/>
      <c r="CF255" s="41"/>
      <c r="CG255" s="41"/>
      <c r="CH255" s="41"/>
      <c r="CI255" s="41"/>
      <c r="CJ255" s="41"/>
      <c r="CK255" s="41"/>
    </row>
    <row r="256" spans="1:89">
      <c r="A256" s="48" t="s">
        <v>385</v>
      </c>
      <c r="B256" s="49">
        <v>32.82500076294</v>
      </c>
      <c r="C256" s="49">
        <v>33.40000152588</v>
      </c>
      <c r="D256" s="49">
        <v>32.25</v>
      </c>
      <c r="E256" s="49" t="s">
        <v>1574</v>
      </c>
      <c r="F256" s="49">
        <v>44.61</v>
      </c>
      <c r="G256" s="49" t="s">
        <v>1574</v>
      </c>
      <c r="H256" s="49">
        <v>1.69</v>
      </c>
      <c r="I256" s="49">
        <v>4.22</v>
      </c>
      <c r="J256" s="49">
        <v>5.69622732832</v>
      </c>
      <c r="K256" s="49">
        <v>44.443224154649997</v>
      </c>
      <c r="L256" s="49">
        <v>2.3860000000000001</v>
      </c>
      <c r="M256" s="49">
        <v>2.8559000000000001</v>
      </c>
      <c r="N256" s="49">
        <v>2.7566999999999999</v>
      </c>
      <c r="O256" s="49">
        <v>1.6686000000000001</v>
      </c>
      <c r="P256" s="49">
        <v>1.0807150000000001</v>
      </c>
      <c r="Q256" s="49">
        <v>2.0852780000000002</v>
      </c>
      <c r="R256" s="49">
        <v>1.8398509999999999</v>
      </c>
      <c r="S256" s="49">
        <v>590</v>
      </c>
      <c r="T256" s="49">
        <v>1200</v>
      </c>
      <c r="U256" s="49">
        <v>501</v>
      </c>
      <c r="V256" s="49">
        <v>928</v>
      </c>
      <c r="W256" s="49">
        <v>509</v>
      </c>
      <c r="X256" s="49" t="s">
        <v>1574</v>
      </c>
      <c r="Y256" s="49">
        <v>335</v>
      </c>
      <c r="Z256" s="49">
        <v>615</v>
      </c>
      <c r="AA256" s="49">
        <v>292</v>
      </c>
      <c r="AB256" s="49" t="s">
        <v>1574</v>
      </c>
      <c r="AC256" s="49" t="s">
        <v>1574</v>
      </c>
      <c r="AD256" s="49">
        <v>78.239999999999995</v>
      </c>
      <c r="AE256" s="49">
        <v>140.80000000000001</v>
      </c>
      <c r="AF256" s="49">
        <v>141.80000000000001</v>
      </c>
      <c r="AG256" s="49">
        <v>418.94</v>
      </c>
      <c r="AH256" s="49" t="s">
        <v>1574</v>
      </c>
      <c r="AI256" s="49" t="s">
        <v>1574</v>
      </c>
      <c r="AJ256" s="49" t="s">
        <v>1574</v>
      </c>
      <c r="AK256" s="49">
        <v>175.6</v>
      </c>
      <c r="AL256" s="49">
        <v>179.68</v>
      </c>
      <c r="AM256" s="49" t="s">
        <v>1574</v>
      </c>
      <c r="AN256" s="49">
        <v>0.35270000000000001</v>
      </c>
      <c r="AO256" s="49">
        <v>0.50549999999999995</v>
      </c>
      <c r="AP256" s="49">
        <v>2.8473000000000002</v>
      </c>
      <c r="AQ256" s="49">
        <v>0.83709421399999995</v>
      </c>
      <c r="AR256" s="49">
        <v>2.9950000000000001</v>
      </c>
      <c r="AS256" s="49">
        <v>10.141252</v>
      </c>
      <c r="AT256" s="49">
        <v>0.50772398600000002</v>
      </c>
      <c r="AU256" s="49">
        <v>0.77227838599999998</v>
      </c>
      <c r="AV256" s="49">
        <v>0.76490000000000002</v>
      </c>
      <c r="AW256" s="49">
        <v>2226.88</v>
      </c>
      <c r="AX256" s="49">
        <v>252.5</v>
      </c>
      <c r="AY256" s="49">
        <v>213.12</v>
      </c>
      <c r="AZ256" s="49">
        <v>396</v>
      </c>
      <c r="BA256" s="49">
        <v>415.73080209665</v>
      </c>
      <c r="BB256" s="49">
        <v>242.5</v>
      </c>
      <c r="BC256" s="49">
        <v>2.1999</v>
      </c>
      <c r="BD256" s="49" t="s">
        <v>1574</v>
      </c>
      <c r="BE256" s="49">
        <v>1.4570000000000001</v>
      </c>
      <c r="BF256" s="49">
        <v>44</v>
      </c>
      <c r="BG256" s="49">
        <v>205</v>
      </c>
      <c r="BH256" s="49">
        <v>165</v>
      </c>
      <c r="BI256" s="49">
        <v>207</v>
      </c>
      <c r="BJ256" s="49">
        <v>106.5</v>
      </c>
      <c r="BK256" s="49">
        <v>1655.06567382813</v>
      </c>
      <c r="BL256" s="49">
        <v>28.09</v>
      </c>
      <c r="BM256" s="49">
        <v>2060</v>
      </c>
      <c r="BN256" s="49">
        <v>883</v>
      </c>
      <c r="BO256" s="49">
        <v>17308.3</v>
      </c>
      <c r="BP256" s="49">
        <v>6655.3</v>
      </c>
      <c r="BQ256" s="49">
        <v>796</v>
      </c>
      <c r="BR256" s="49">
        <v>673.63</v>
      </c>
      <c r="BS256" s="49">
        <v>695.88</v>
      </c>
      <c r="BT256" s="49">
        <v>19.886800000000001</v>
      </c>
      <c r="BU256" s="41"/>
      <c r="BV256" s="41"/>
      <c r="BW256" s="41"/>
      <c r="BX256" s="41"/>
      <c r="BY256" s="41"/>
      <c r="BZ256" s="41"/>
      <c r="CA256" s="41"/>
      <c r="CB256" s="41"/>
      <c r="CC256" s="41"/>
      <c r="CD256" s="41"/>
      <c r="CE256" s="41"/>
      <c r="CF256" s="41"/>
      <c r="CG256" s="41"/>
      <c r="CH256" s="41"/>
      <c r="CI256" s="41"/>
      <c r="CJ256" s="41"/>
      <c r="CK256" s="41"/>
    </row>
    <row r="257" spans="1:89">
      <c r="A257" s="41" t="s">
        <v>386</v>
      </c>
      <c r="B257" s="51">
        <v>37.350000381469997</v>
      </c>
      <c r="C257" s="51">
        <v>37.90000152588</v>
      </c>
      <c r="D257" s="51">
        <v>36.79999923706</v>
      </c>
      <c r="E257" s="51" t="s">
        <v>1574</v>
      </c>
      <c r="F257" s="51">
        <v>44.61</v>
      </c>
      <c r="G257" s="51" t="s">
        <v>1574</v>
      </c>
      <c r="H257" s="51">
        <v>1.71</v>
      </c>
      <c r="I257" s="51">
        <v>4.22</v>
      </c>
      <c r="J257" s="51">
        <v>5.69622732832</v>
      </c>
      <c r="K257" s="51">
        <v>44.68609161413</v>
      </c>
      <c r="L257" s="51">
        <v>2.3050000000000002</v>
      </c>
      <c r="M257" s="51">
        <v>2.8372999999999999</v>
      </c>
      <c r="N257" s="51">
        <v>2.7242000000000002</v>
      </c>
      <c r="O257" s="51">
        <v>1.6563000000000001</v>
      </c>
      <c r="P257" s="51">
        <v>1.0525409999999999</v>
      </c>
      <c r="Q257" s="51">
        <v>2.089467</v>
      </c>
      <c r="R257" s="51">
        <v>1.8268949999999999</v>
      </c>
      <c r="S257" s="51">
        <v>580</v>
      </c>
      <c r="T257" s="51">
        <v>1700</v>
      </c>
      <c r="U257" s="51">
        <v>511.8</v>
      </c>
      <c r="V257" s="51">
        <v>934</v>
      </c>
      <c r="W257" s="51">
        <v>507</v>
      </c>
      <c r="X257" s="51" t="s">
        <v>1574</v>
      </c>
      <c r="Y257" s="51">
        <v>340</v>
      </c>
      <c r="Z257" s="51">
        <v>592</v>
      </c>
      <c r="AA257" s="51">
        <v>310</v>
      </c>
      <c r="AB257" s="51" t="s">
        <v>1574</v>
      </c>
      <c r="AC257" s="51" t="s">
        <v>1574</v>
      </c>
      <c r="AD257" s="51">
        <v>88.18</v>
      </c>
      <c r="AE257" s="51">
        <v>140.4</v>
      </c>
      <c r="AF257" s="51">
        <v>142.9</v>
      </c>
      <c r="AG257" s="51">
        <v>418.94</v>
      </c>
      <c r="AH257" s="51" t="s">
        <v>1574</v>
      </c>
      <c r="AI257" s="51" t="s">
        <v>1574</v>
      </c>
      <c r="AJ257" s="51" t="s">
        <v>1574</v>
      </c>
      <c r="AK257" s="51">
        <v>187.04</v>
      </c>
      <c r="AL257" s="51">
        <v>188.13</v>
      </c>
      <c r="AM257" s="51" t="s">
        <v>1574</v>
      </c>
      <c r="AN257" s="51">
        <v>0.35270000000000001</v>
      </c>
      <c r="AO257" s="51">
        <v>0.505</v>
      </c>
      <c r="AP257" s="51">
        <v>2.8622999999999998</v>
      </c>
      <c r="AQ257" s="51">
        <v>0.84767638999999995</v>
      </c>
      <c r="AR257" s="51">
        <v>2.9159999999999999</v>
      </c>
      <c r="AS257" s="51">
        <v>10.141252</v>
      </c>
      <c r="AT257" s="51">
        <v>0.49714181000000002</v>
      </c>
      <c r="AU257" s="51">
        <v>0.91932654000000003</v>
      </c>
      <c r="AV257" s="51">
        <v>0.89400000000000002</v>
      </c>
      <c r="AW257" s="51">
        <v>2224.33</v>
      </c>
      <c r="AX257" s="51">
        <v>258.89999999999998</v>
      </c>
      <c r="AY257" s="51">
        <v>159.05000000000001</v>
      </c>
      <c r="AZ257" s="51">
        <v>396</v>
      </c>
      <c r="BA257" s="51">
        <v>354.96318685761997</v>
      </c>
      <c r="BB257" s="51">
        <v>241</v>
      </c>
      <c r="BC257" s="51">
        <v>2.1701999999999999</v>
      </c>
      <c r="BD257" s="51" t="s">
        <v>1574</v>
      </c>
      <c r="BE257" s="51">
        <v>1.4226000000000001</v>
      </c>
      <c r="BF257" s="51">
        <v>44</v>
      </c>
      <c r="BG257" s="51">
        <v>202.5</v>
      </c>
      <c r="BH257" s="51">
        <v>164.5</v>
      </c>
      <c r="BI257" s="51">
        <v>207</v>
      </c>
      <c r="BJ257" s="51">
        <v>106.5</v>
      </c>
      <c r="BK257" s="51">
        <v>1626.15209960938</v>
      </c>
      <c r="BL257" s="51">
        <v>28.09</v>
      </c>
      <c r="BM257" s="51">
        <v>2040</v>
      </c>
      <c r="BN257" s="51">
        <v>879</v>
      </c>
      <c r="BO257" s="51">
        <v>16692.099999999999</v>
      </c>
      <c r="BP257" s="51">
        <v>6691.9</v>
      </c>
      <c r="BQ257" s="51">
        <v>805</v>
      </c>
      <c r="BR257" s="51">
        <v>661.15</v>
      </c>
      <c r="BS257" s="51">
        <v>675.6</v>
      </c>
      <c r="BT257" s="51">
        <v>20.200399999999998</v>
      </c>
      <c r="BU257" s="41"/>
      <c r="BV257" s="41"/>
      <c r="BW257" s="41"/>
      <c r="BX257" s="41"/>
      <c r="BY257" s="41"/>
      <c r="BZ257" s="41"/>
      <c r="CA257" s="41"/>
      <c r="CB257" s="41"/>
      <c r="CC257" s="41"/>
      <c r="CD257" s="41"/>
      <c r="CE257" s="41"/>
      <c r="CF257" s="41"/>
      <c r="CG257" s="41"/>
      <c r="CH257" s="41"/>
      <c r="CI257" s="41"/>
      <c r="CJ257" s="41"/>
      <c r="CK257" s="41"/>
    </row>
    <row r="258" spans="1:89">
      <c r="A258" s="48" t="s">
        <v>387</v>
      </c>
      <c r="B258" s="49">
        <v>40.29999923706</v>
      </c>
      <c r="C258" s="49">
        <v>40.84999847412</v>
      </c>
      <c r="D258" s="49">
        <v>39.75</v>
      </c>
      <c r="E258" s="49" t="s">
        <v>1574</v>
      </c>
      <c r="F258" s="49">
        <v>44.98</v>
      </c>
      <c r="G258" s="49" t="s">
        <v>1574</v>
      </c>
      <c r="H258" s="49">
        <v>1.76</v>
      </c>
      <c r="I258" s="49">
        <v>4.22</v>
      </c>
      <c r="J258" s="49">
        <v>5.69622732832</v>
      </c>
      <c r="K258" s="49">
        <v>45.293260262810001</v>
      </c>
      <c r="L258" s="49">
        <v>2.1739999999999999</v>
      </c>
      <c r="M258" s="49">
        <v>2.5985999999999998</v>
      </c>
      <c r="N258" s="49">
        <v>2.5183</v>
      </c>
      <c r="O258" s="49">
        <v>1.6282000000000001</v>
      </c>
      <c r="P258" s="49">
        <v>1.020829</v>
      </c>
      <c r="Q258" s="49">
        <v>2.0736789999999998</v>
      </c>
      <c r="R258" s="49">
        <v>1.7900780000000001</v>
      </c>
      <c r="S258" s="49">
        <v>650</v>
      </c>
      <c r="T258" s="49">
        <v>2400</v>
      </c>
      <c r="U258" s="49">
        <v>568</v>
      </c>
      <c r="V258" s="49">
        <v>1093</v>
      </c>
      <c r="W258" s="49">
        <v>585</v>
      </c>
      <c r="X258" s="49" t="s">
        <v>1574</v>
      </c>
      <c r="Y258" s="49">
        <v>367</v>
      </c>
      <c r="Z258" s="49">
        <v>639</v>
      </c>
      <c r="AA258" s="49">
        <v>336</v>
      </c>
      <c r="AB258" s="49" t="s">
        <v>1574</v>
      </c>
      <c r="AC258" s="49" t="s">
        <v>1574</v>
      </c>
      <c r="AD258" s="49">
        <v>103.22</v>
      </c>
      <c r="AE258" s="49">
        <v>146.6</v>
      </c>
      <c r="AF258" s="49">
        <v>148.4</v>
      </c>
      <c r="AG258" s="49">
        <v>439.37</v>
      </c>
      <c r="AH258" s="49" t="s">
        <v>1574</v>
      </c>
      <c r="AI258" s="49" t="s">
        <v>1574</v>
      </c>
      <c r="AJ258" s="49" t="s">
        <v>1574</v>
      </c>
      <c r="AK258" s="49">
        <v>193.3</v>
      </c>
      <c r="AL258" s="49">
        <v>195.11</v>
      </c>
      <c r="AM258" s="49" t="s">
        <v>1574</v>
      </c>
      <c r="AN258" s="49">
        <v>0.37959999999999999</v>
      </c>
      <c r="AO258" s="49">
        <v>0.3165</v>
      </c>
      <c r="AP258" s="49">
        <v>2.9377</v>
      </c>
      <c r="AQ258" s="49">
        <v>0.81637078600000001</v>
      </c>
      <c r="AR258" s="49">
        <v>2.6949999999999998</v>
      </c>
      <c r="AS258" s="49">
        <v>10.141252</v>
      </c>
      <c r="AT258" s="49">
        <v>0.47928438800000001</v>
      </c>
      <c r="AU258" s="49">
        <v>0.86597473599999997</v>
      </c>
      <c r="AV258" s="49">
        <v>0.83299999999999996</v>
      </c>
      <c r="AW258" s="49">
        <v>2258.46</v>
      </c>
      <c r="AX258" s="49">
        <v>258.39999999999998</v>
      </c>
      <c r="AY258" s="49">
        <v>161.97</v>
      </c>
      <c r="AZ258" s="49">
        <v>396</v>
      </c>
      <c r="BA258" s="49">
        <v>358.4675152794</v>
      </c>
      <c r="BB258" s="49">
        <v>259.60000000000002</v>
      </c>
      <c r="BC258" s="49">
        <v>2.1560999999999999</v>
      </c>
      <c r="BD258" s="49" t="s">
        <v>1574</v>
      </c>
      <c r="BE258" s="49">
        <v>1.4157999999999999</v>
      </c>
      <c r="BF258" s="49">
        <v>44</v>
      </c>
      <c r="BG258" s="49">
        <v>214</v>
      </c>
      <c r="BH258" s="49">
        <v>175.5</v>
      </c>
      <c r="BI258" s="49">
        <v>207</v>
      </c>
      <c r="BJ258" s="49">
        <v>106.5</v>
      </c>
      <c r="BK258" s="49">
        <v>1503.91015625</v>
      </c>
      <c r="BL258" s="49">
        <v>28.09</v>
      </c>
      <c r="BM258" s="49">
        <v>2010</v>
      </c>
      <c r="BN258" s="49">
        <v>813</v>
      </c>
      <c r="BO258" s="49">
        <v>15615.5</v>
      </c>
      <c r="BP258" s="49">
        <v>6452.7</v>
      </c>
      <c r="BQ258" s="49">
        <v>802</v>
      </c>
      <c r="BR258" s="49">
        <v>624.77</v>
      </c>
      <c r="BS258" s="49">
        <v>632.6</v>
      </c>
      <c r="BT258" s="49">
        <v>18.5823</v>
      </c>
      <c r="BU258" s="41"/>
      <c r="BV258" s="41"/>
      <c r="BW258" s="41"/>
      <c r="BX258" s="41"/>
      <c r="BY258" s="41"/>
      <c r="BZ258" s="41"/>
      <c r="CA258" s="41"/>
      <c r="CB258" s="41"/>
      <c r="CC258" s="41"/>
      <c r="CD258" s="41"/>
      <c r="CE258" s="41"/>
      <c r="CF258" s="41"/>
      <c r="CG258" s="41"/>
      <c r="CH258" s="41"/>
      <c r="CI258" s="41"/>
      <c r="CJ258" s="41"/>
      <c r="CK258" s="41"/>
    </row>
    <row r="259" spans="1:89">
      <c r="A259" s="41" t="s">
        <v>388</v>
      </c>
      <c r="B259" s="51">
        <v>39.75</v>
      </c>
      <c r="C259" s="51">
        <v>40.15000152588</v>
      </c>
      <c r="D259" s="51">
        <v>39.34999847412</v>
      </c>
      <c r="E259" s="51" t="s">
        <v>1574</v>
      </c>
      <c r="F259" s="51">
        <v>44.98</v>
      </c>
      <c r="G259" s="51" t="s">
        <v>1574</v>
      </c>
      <c r="H259" s="51">
        <v>1.74</v>
      </c>
      <c r="I259" s="51">
        <v>4.22</v>
      </c>
      <c r="J259" s="51">
        <v>5.69622732832</v>
      </c>
      <c r="K259" s="51">
        <v>45.050392803340003</v>
      </c>
      <c r="L259" s="51">
        <v>2.11</v>
      </c>
      <c r="M259" s="51">
        <v>2.7172000000000001</v>
      </c>
      <c r="N259" s="51">
        <v>2.5505</v>
      </c>
      <c r="O259" s="51">
        <v>1.6079000000000001</v>
      </c>
      <c r="P259" s="51">
        <v>1.014052</v>
      </c>
      <c r="Q259" s="51">
        <v>2.040654</v>
      </c>
      <c r="R259" s="51">
        <v>1.7689010000000001</v>
      </c>
      <c r="S259" s="51">
        <v>605</v>
      </c>
      <c r="T259" s="51">
        <v>2325</v>
      </c>
      <c r="U259" s="51">
        <v>557</v>
      </c>
      <c r="V259" s="51">
        <v>1180</v>
      </c>
      <c r="W259" s="51">
        <v>619.29999999999995</v>
      </c>
      <c r="X259" s="51" t="s">
        <v>1574</v>
      </c>
      <c r="Y259" s="51">
        <v>323.75</v>
      </c>
      <c r="Z259" s="51">
        <v>571.29999999999995</v>
      </c>
      <c r="AA259" s="51">
        <v>295</v>
      </c>
      <c r="AB259" s="51" t="s">
        <v>1574</v>
      </c>
      <c r="AC259" s="51" t="s">
        <v>1574</v>
      </c>
      <c r="AD259" s="51">
        <v>94.88</v>
      </c>
      <c r="AE259" s="51">
        <v>141.5</v>
      </c>
      <c r="AF259" s="51">
        <v>142.41</v>
      </c>
      <c r="AG259" s="51">
        <v>446.44</v>
      </c>
      <c r="AH259" s="51" t="s">
        <v>1574</v>
      </c>
      <c r="AI259" s="51" t="s">
        <v>1574</v>
      </c>
      <c r="AJ259" s="51" t="s">
        <v>1574</v>
      </c>
      <c r="AK259" s="51">
        <v>177.1</v>
      </c>
      <c r="AL259" s="51">
        <v>182.62</v>
      </c>
      <c r="AM259" s="51" t="s">
        <v>1574</v>
      </c>
      <c r="AN259" s="51">
        <v>0.36980000000000002</v>
      </c>
      <c r="AO259" s="51">
        <v>0.3216</v>
      </c>
      <c r="AP259" s="51">
        <v>2.7507000000000001</v>
      </c>
      <c r="AQ259" s="51">
        <v>0.80909553999999995</v>
      </c>
      <c r="AR259" s="51">
        <v>2.7109999999999999</v>
      </c>
      <c r="AS259" s="51">
        <v>10.141252</v>
      </c>
      <c r="AT259" s="51">
        <v>0.46627712999999998</v>
      </c>
      <c r="AU259" s="51">
        <v>0.66777939799999997</v>
      </c>
      <c r="AV259" s="51">
        <v>0.63300000000000001</v>
      </c>
      <c r="AW259" s="51">
        <v>2234.06</v>
      </c>
      <c r="AX259" s="51">
        <v>251.8</v>
      </c>
      <c r="AY259" s="51">
        <v>163.43</v>
      </c>
      <c r="AZ259" s="51">
        <v>396</v>
      </c>
      <c r="BA259" s="51">
        <v>360.20877859705001</v>
      </c>
      <c r="BB259" s="51">
        <v>264.5</v>
      </c>
      <c r="BC259" s="51">
        <v>2.1999</v>
      </c>
      <c r="BD259" s="51" t="s">
        <v>1574</v>
      </c>
      <c r="BE259" s="51">
        <v>1.3814</v>
      </c>
      <c r="BF259" s="51">
        <v>44</v>
      </c>
      <c r="BG259" s="51">
        <v>214</v>
      </c>
      <c r="BH259" s="51">
        <v>201.5</v>
      </c>
      <c r="BI259" s="51">
        <v>207</v>
      </c>
      <c r="BJ259" s="51">
        <v>106.5</v>
      </c>
      <c r="BK259" s="51">
        <v>1430.65673828125</v>
      </c>
      <c r="BL259" s="51">
        <v>28.09</v>
      </c>
      <c r="BM259" s="51">
        <v>1879</v>
      </c>
      <c r="BN259" s="51">
        <v>743</v>
      </c>
      <c r="BO259" s="51">
        <v>14707</v>
      </c>
      <c r="BP259" s="51">
        <v>6391</v>
      </c>
      <c r="BQ259" s="51">
        <v>784</v>
      </c>
      <c r="BR259" s="51">
        <v>538.26</v>
      </c>
      <c r="BS259" s="51">
        <v>604.34</v>
      </c>
      <c r="BT259" s="51">
        <v>16.4618</v>
      </c>
      <c r="BU259" s="41"/>
      <c r="BV259" s="41"/>
      <c r="BW259" s="41"/>
      <c r="BX259" s="41"/>
      <c r="BY259" s="41"/>
      <c r="BZ259" s="41"/>
      <c r="CA259" s="41"/>
      <c r="CB259" s="41"/>
      <c r="CC259" s="41"/>
      <c r="CD259" s="41"/>
      <c r="CE259" s="41"/>
      <c r="CF259" s="41"/>
      <c r="CG259" s="41"/>
      <c r="CH259" s="41"/>
      <c r="CI259" s="41"/>
      <c r="CJ259" s="41"/>
      <c r="CK259" s="41"/>
    </row>
    <row r="260" spans="1:89">
      <c r="A260" s="48" t="s">
        <v>389</v>
      </c>
      <c r="B260" s="49">
        <v>39.774999618530003</v>
      </c>
      <c r="C260" s="49">
        <v>40.29999923706</v>
      </c>
      <c r="D260" s="49">
        <v>39.25</v>
      </c>
      <c r="E260" s="49" t="s">
        <v>1574</v>
      </c>
      <c r="F260" s="49">
        <v>44.98</v>
      </c>
      <c r="G260" s="49" t="s">
        <v>1574</v>
      </c>
      <c r="H260" s="49">
        <v>1.77</v>
      </c>
      <c r="I260" s="49">
        <v>4.5999999999999996</v>
      </c>
      <c r="J260" s="49">
        <v>6.0303414353400004</v>
      </c>
      <c r="K260" s="49">
        <v>47.447563833190003</v>
      </c>
      <c r="L260" s="49">
        <v>2.093</v>
      </c>
      <c r="M260" s="49">
        <v>2.8894000000000002</v>
      </c>
      <c r="N260" s="49">
        <v>2.6282999999999999</v>
      </c>
      <c r="O260" s="49">
        <v>1.6580999999999999</v>
      </c>
      <c r="P260" s="49">
        <v>1.0880449999999999</v>
      </c>
      <c r="Q260" s="49">
        <v>1.971751</v>
      </c>
      <c r="R260" s="49">
        <v>1.914596</v>
      </c>
      <c r="S260" s="49">
        <v>613</v>
      </c>
      <c r="T260" s="49">
        <v>2000</v>
      </c>
      <c r="U260" s="49">
        <v>541</v>
      </c>
      <c r="V260" s="49">
        <v>1110</v>
      </c>
      <c r="W260" s="49">
        <v>625</v>
      </c>
      <c r="X260" s="49" t="s">
        <v>1574</v>
      </c>
      <c r="Y260" s="49">
        <v>323</v>
      </c>
      <c r="Z260" s="49">
        <v>545</v>
      </c>
      <c r="AA260" s="49">
        <v>287</v>
      </c>
      <c r="AB260" s="49" t="s">
        <v>1574</v>
      </c>
      <c r="AC260" s="49" t="s">
        <v>1574</v>
      </c>
      <c r="AD260" s="49">
        <v>92.52</v>
      </c>
      <c r="AE260" s="49">
        <v>148.81</v>
      </c>
      <c r="AF260" s="49">
        <v>146.66</v>
      </c>
      <c r="AG260" s="49">
        <v>446.44</v>
      </c>
      <c r="AH260" s="49" t="s">
        <v>1574</v>
      </c>
      <c r="AI260" s="49" t="s">
        <v>1574</v>
      </c>
      <c r="AJ260" s="49" t="s">
        <v>1574</v>
      </c>
      <c r="AK260" s="49">
        <v>177.5</v>
      </c>
      <c r="AL260" s="49">
        <v>189.6</v>
      </c>
      <c r="AM260" s="49" t="s">
        <v>1574</v>
      </c>
      <c r="AN260" s="49">
        <v>0.38800000000000001</v>
      </c>
      <c r="AO260" s="49">
        <v>0.3488</v>
      </c>
      <c r="AP260" s="49">
        <v>2.6837</v>
      </c>
      <c r="AQ260" s="49">
        <v>0.79145858000000002</v>
      </c>
      <c r="AR260" s="49">
        <v>2.9180000000000001</v>
      </c>
      <c r="AS260" s="49">
        <v>10.1632982</v>
      </c>
      <c r="AT260" s="49">
        <v>0.46164742800000003</v>
      </c>
      <c r="AU260" s="49">
        <v>0.65190613399999997</v>
      </c>
      <c r="AV260" s="49">
        <v>0.61599999999999999</v>
      </c>
      <c r="AW260" s="49">
        <v>2271.12</v>
      </c>
      <c r="AX260" s="49">
        <v>247.98</v>
      </c>
      <c r="AY260" s="49">
        <v>166.34</v>
      </c>
      <c r="AZ260" s="49" t="s">
        <v>1574</v>
      </c>
      <c r="BA260" s="49">
        <v>363.65816889176</v>
      </c>
      <c r="BB260" s="49">
        <v>258.89999999999998</v>
      </c>
      <c r="BC260" s="49">
        <v>2.1779999999999999</v>
      </c>
      <c r="BD260" s="49" t="s">
        <v>1574</v>
      </c>
      <c r="BE260" s="49">
        <v>1.3708</v>
      </c>
      <c r="BF260" s="49">
        <v>44</v>
      </c>
      <c r="BG260" s="49">
        <v>227.5</v>
      </c>
      <c r="BH260" s="49">
        <v>202.5</v>
      </c>
      <c r="BI260" s="49">
        <v>207</v>
      </c>
      <c r="BJ260" s="49">
        <v>115</v>
      </c>
      <c r="BK260" s="49">
        <v>1430.82958984375</v>
      </c>
      <c r="BL260" s="49">
        <v>28.09</v>
      </c>
      <c r="BM260" s="49">
        <v>1869.1</v>
      </c>
      <c r="BN260" s="49">
        <v>705.3</v>
      </c>
      <c r="BO260" s="49">
        <v>14332.7</v>
      </c>
      <c r="BP260" s="49">
        <v>6403.8</v>
      </c>
      <c r="BQ260" s="49">
        <v>777.4</v>
      </c>
      <c r="BR260" s="49">
        <v>557.39</v>
      </c>
      <c r="BS260" s="49">
        <v>536.01</v>
      </c>
      <c r="BT260" s="49">
        <v>14.788500000000001</v>
      </c>
      <c r="BU260" s="41"/>
      <c r="BV260" s="41"/>
      <c r="BW260" s="41"/>
      <c r="BX260" s="41"/>
      <c r="BY260" s="41"/>
      <c r="BZ260" s="41"/>
      <c r="CA260" s="41"/>
      <c r="CB260" s="41"/>
      <c r="CC260" s="41"/>
      <c r="CD260" s="41"/>
      <c r="CE260" s="41"/>
      <c r="CF260" s="41"/>
      <c r="CG260" s="41"/>
      <c r="CH260" s="41"/>
      <c r="CI260" s="41"/>
      <c r="CJ260" s="41"/>
      <c r="CK260" s="41"/>
    </row>
    <row r="261" spans="1:89">
      <c r="A261" s="41" t="s">
        <v>390</v>
      </c>
      <c r="B261" s="51">
        <v>37.899999618530003</v>
      </c>
      <c r="C261" s="51">
        <v>38.70000076294</v>
      </c>
      <c r="D261" s="51">
        <v>37.09999847412</v>
      </c>
      <c r="E261" s="51" t="s">
        <v>1574</v>
      </c>
      <c r="F261" s="51">
        <v>44.98</v>
      </c>
      <c r="G261" s="51" t="s">
        <v>1574</v>
      </c>
      <c r="H261" s="51">
        <v>1.81</v>
      </c>
      <c r="I261" s="51">
        <v>4.5999999999999996</v>
      </c>
      <c r="J261" s="51">
        <v>6.0303414353400004</v>
      </c>
      <c r="K261" s="51">
        <v>47.933298752139997</v>
      </c>
      <c r="L261" s="51">
        <v>2.0409999999999999</v>
      </c>
      <c r="M261" s="51">
        <v>2.8517000000000001</v>
      </c>
      <c r="N261" s="51">
        <v>2.4885999999999999</v>
      </c>
      <c r="O261" s="51">
        <v>1.6373</v>
      </c>
      <c r="P261" s="51">
        <v>1.2260200000000001</v>
      </c>
      <c r="Q261" s="51">
        <v>1.913808</v>
      </c>
      <c r="R261" s="51">
        <v>1.7720229999999999</v>
      </c>
      <c r="S261" s="51">
        <v>603</v>
      </c>
      <c r="T261" s="51">
        <v>1500</v>
      </c>
      <c r="U261" s="51">
        <v>518</v>
      </c>
      <c r="V261" s="51">
        <v>1100</v>
      </c>
      <c r="W261" s="51">
        <v>640</v>
      </c>
      <c r="X261" s="51" t="s">
        <v>1574</v>
      </c>
      <c r="Y261" s="51">
        <v>306</v>
      </c>
      <c r="Z261" s="51">
        <v>516</v>
      </c>
      <c r="AA261" s="51">
        <v>270</v>
      </c>
      <c r="AB261" s="51" t="s">
        <v>1574</v>
      </c>
      <c r="AC261" s="51" t="s">
        <v>1574</v>
      </c>
      <c r="AD261" s="51">
        <v>94.17</v>
      </c>
      <c r="AE261" s="51">
        <v>143.30000000000001</v>
      </c>
      <c r="AF261" s="51">
        <v>142.66999999999999</v>
      </c>
      <c r="AG261" s="51">
        <v>456.26</v>
      </c>
      <c r="AH261" s="51" t="s">
        <v>1574</v>
      </c>
      <c r="AI261" s="51" t="s">
        <v>1574</v>
      </c>
      <c r="AJ261" s="51" t="s">
        <v>1574</v>
      </c>
      <c r="AK261" s="51">
        <v>176.4</v>
      </c>
      <c r="AL261" s="51">
        <v>181.51</v>
      </c>
      <c r="AM261" s="51" t="s">
        <v>1574</v>
      </c>
      <c r="AN261" s="51">
        <v>0.43519999999999998</v>
      </c>
      <c r="AO261" s="51">
        <v>0.32519999999999999</v>
      </c>
      <c r="AP261" s="51">
        <v>2.5739000000000001</v>
      </c>
      <c r="AQ261" s="51">
        <v>0.80909553999999995</v>
      </c>
      <c r="AR261" s="51">
        <v>2.97</v>
      </c>
      <c r="AS261" s="51">
        <v>10.1632982</v>
      </c>
      <c r="AT261" s="51">
        <v>0.43298736799999998</v>
      </c>
      <c r="AU261" s="51">
        <v>0.57474443399999997</v>
      </c>
      <c r="AV261" s="51">
        <v>0.53200000000000003</v>
      </c>
      <c r="AW261" s="51">
        <v>2288.69</v>
      </c>
      <c r="AX261" s="51">
        <v>231.48</v>
      </c>
      <c r="AY261" s="51">
        <v>163.11000000000001</v>
      </c>
      <c r="AZ261" s="51" t="s">
        <v>1574</v>
      </c>
      <c r="BA261" s="51">
        <v>359.82774613642999</v>
      </c>
      <c r="BB261" s="51">
        <v>259.39999999999998</v>
      </c>
      <c r="BC261" s="51">
        <v>2.1246</v>
      </c>
      <c r="BD261" s="51" t="s">
        <v>1574</v>
      </c>
      <c r="BE261" s="51">
        <v>1.3186</v>
      </c>
      <c r="BF261" s="51">
        <v>44</v>
      </c>
      <c r="BG261" s="51">
        <v>226</v>
      </c>
      <c r="BH261" s="51">
        <v>204.5</v>
      </c>
      <c r="BI261" s="51">
        <v>242.5</v>
      </c>
      <c r="BJ261" s="51">
        <v>115</v>
      </c>
      <c r="BK261" s="51">
        <v>1452.38110351563</v>
      </c>
      <c r="BL261" s="51">
        <v>28.09</v>
      </c>
      <c r="BM261" s="51">
        <v>1801</v>
      </c>
      <c r="BN261" s="51">
        <v>689.3</v>
      </c>
      <c r="BO261" s="51">
        <v>13633.4</v>
      </c>
      <c r="BP261" s="51">
        <v>6370.7</v>
      </c>
      <c r="BQ261" s="51">
        <v>731</v>
      </c>
      <c r="BR261" s="51">
        <v>499.76</v>
      </c>
      <c r="BS261" s="51">
        <v>479.69</v>
      </c>
      <c r="BT261" s="51">
        <v>13.0646</v>
      </c>
      <c r="BU261" s="41"/>
      <c r="BV261" s="41"/>
      <c r="BW261" s="41"/>
      <c r="BX261" s="41"/>
      <c r="BY261" s="41"/>
      <c r="BZ261" s="41"/>
      <c r="CA261" s="41"/>
      <c r="CB261" s="41"/>
      <c r="CC261" s="41"/>
      <c r="CD261" s="41"/>
      <c r="CE261" s="41"/>
      <c r="CF261" s="41"/>
      <c r="CG261" s="41"/>
      <c r="CH261" s="41"/>
      <c r="CI261" s="41"/>
      <c r="CJ261" s="41"/>
      <c r="CK261" s="41"/>
    </row>
    <row r="262" spans="1:89">
      <c r="A262" s="48" t="s">
        <v>391</v>
      </c>
      <c r="B262" s="49">
        <v>37.59999847412</v>
      </c>
      <c r="C262" s="49">
        <v>38.34999847412</v>
      </c>
      <c r="D262" s="49">
        <v>36.84999847412</v>
      </c>
      <c r="E262" s="49" t="s">
        <v>1574</v>
      </c>
      <c r="F262" s="49">
        <v>44.98</v>
      </c>
      <c r="G262" s="49" t="s">
        <v>1574</v>
      </c>
      <c r="H262" s="49">
        <v>1.86</v>
      </c>
      <c r="I262" s="49">
        <v>4.5999999999999996</v>
      </c>
      <c r="J262" s="49">
        <v>6.0303414353400004</v>
      </c>
      <c r="K262" s="49">
        <v>48.540467400819999</v>
      </c>
      <c r="L262" s="49">
        <v>2.1160000000000001</v>
      </c>
      <c r="M262" s="49">
        <v>2.8574000000000002</v>
      </c>
      <c r="N262" s="49">
        <v>2.4723000000000002</v>
      </c>
      <c r="O262" s="49">
        <v>1.6049</v>
      </c>
      <c r="P262" s="49">
        <v>1.224591</v>
      </c>
      <c r="Q262" s="49">
        <v>1.907233</v>
      </c>
      <c r="R262" s="49">
        <v>1.682747</v>
      </c>
      <c r="S262" s="49">
        <v>574</v>
      </c>
      <c r="T262" s="49">
        <v>1400</v>
      </c>
      <c r="U262" s="49">
        <v>507</v>
      </c>
      <c r="V262" s="49">
        <v>1115</v>
      </c>
      <c r="W262" s="49">
        <v>620</v>
      </c>
      <c r="X262" s="49" t="s">
        <v>1574</v>
      </c>
      <c r="Y262" s="49">
        <v>305</v>
      </c>
      <c r="Z262" s="49">
        <v>535</v>
      </c>
      <c r="AA262" s="49">
        <v>265</v>
      </c>
      <c r="AB262" s="49" t="s">
        <v>1574</v>
      </c>
      <c r="AC262" s="49" t="s">
        <v>1574</v>
      </c>
      <c r="AD262" s="49">
        <v>89.2</v>
      </c>
      <c r="AE262" s="49">
        <v>142.13</v>
      </c>
      <c r="AF262" s="49">
        <v>141.04</v>
      </c>
      <c r="AG262" s="49">
        <v>480.56</v>
      </c>
      <c r="AH262" s="49" t="s">
        <v>1574</v>
      </c>
      <c r="AI262" s="49" t="s">
        <v>1574</v>
      </c>
      <c r="AJ262" s="49" t="s">
        <v>1574</v>
      </c>
      <c r="AK262" s="49">
        <v>167.92</v>
      </c>
      <c r="AL262" s="49">
        <v>175.27</v>
      </c>
      <c r="AM262" s="49" t="s">
        <v>1574</v>
      </c>
      <c r="AN262" s="49">
        <v>0.45910000000000001</v>
      </c>
      <c r="AO262" s="49">
        <v>0.38650000000000001</v>
      </c>
      <c r="AP262" s="49">
        <v>2.4977999999999998</v>
      </c>
      <c r="AQ262" s="49">
        <v>0.79388366200000005</v>
      </c>
      <c r="AR262" s="49">
        <v>2.7250000000000001</v>
      </c>
      <c r="AS262" s="49">
        <v>10.1632982</v>
      </c>
      <c r="AT262" s="49">
        <v>0.43276690600000001</v>
      </c>
      <c r="AU262" s="49">
        <v>0.52492002199999999</v>
      </c>
      <c r="AV262" s="49">
        <v>0.49659999999999999</v>
      </c>
      <c r="AW262" s="49">
        <v>2286.29</v>
      </c>
      <c r="AX262" s="49">
        <v>231.39</v>
      </c>
      <c r="AY262" s="49">
        <v>160.77000000000001</v>
      </c>
      <c r="AZ262" s="49" t="s">
        <v>1574</v>
      </c>
      <c r="BA262" s="49">
        <v>357.03092699114001</v>
      </c>
      <c r="BB262" s="49">
        <v>244.3</v>
      </c>
      <c r="BC262" s="49">
        <v>2.0384000000000002</v>
      </c>
      <c r="BD262" s="49" t="s">
        <v>1574</v>
      </c>
      <c r="BE262" s="49">
        <v>1.2627999999999999</v>
      </c>
      <c r="BF262" s="49">
        <v>44</v>
      </c>
      <c r="BG262" s="49">
        <v>207.5</v>
      </c>
      <c r="BH262" s="49">
        <v>187.5</v>
      </c>
      <c r="BI262" s="49">
        <v>242.5</v>
      </c>
      <c r="BJ262" s="49">
        <v>115</v>
      </c>
      <c r="BK262" s="49">
        <v>1442.95190429688</v>
      </c>
      <c r="BL262" s="49">
        <v>28.09</v>
      </c>
      <c r="BM262" s="49">
        <v>1818</v>
      </c>
      <c r="BN262" s="49">
        <v>729.7</v>
      </c>
      <c r="BO262" s="49">
        <v>13633</v>
      </c>
      <c r="BP262" s="49">
        <v>6292.4</v>
      </c>
      <c r="BQ262" s="49">
        <v>751</v>
      </c>
      <c r="BR262" s="49">
        <v>499.11</v>
      </c>
      <c r="BS262" s="49">
        <v>490.88</v>
      </c>
      <c r="BT262" s="49">
        <v>12.3407</v>
      </c>
      <c r="BU262" s="41"/>
      <c r="BV262" s="41"/>
      <c r="BW262" s="41"/>
      <c r="BX262" s="41"/>
      <c r="BY262" s="41"/>
      <c r="BZ262" s="41"/>
      <c r="CA262" s="41"/>
      <c r="CB262" s="41"/>
      <c r="CC262" s="41"/>
      <c r="CD262" s="41"/>
      <c r="CE262" s="41"/>
      <c r="CF262" s="41"/>
      <c r="CG262" s="41"/>
      <c r="CH262" s="41"/>
      <c r="CI262" s="41"/>
      <c r="CJ262" s="41"/>
      <c r="CK262" s="41"/>
    </row>
    <row r="263" spans="1:89">
      <c r="A263" s="41" t="s">
        <v>392</v>
      </c>
      <c r="B263" s="51">
        <v>36.369998931879998</v>
      </c>
      <c r="C263" s="51">
        <v>37.18999862671</v>
      </c>
      <c r="D263" s="51">
        <v>35.54999923706</v>
      </c>
      <c r="E263" s="51" t="s">
        <v>1574</v>
      </c>
      <c r="F263" s="51">
        <v>56.5</v>
      </c>
      <c r="G263" s="51" t="s">
        <v>1574</v>
      </c>
      <c r="H263" s="51">
        <v>1.93</v>
      </c>
      <c r="I263" s="51">
        <v>4.5999999999999996</v>
      </c>
      <c r="J263" s="51">
        <v>6.0303414353400004</v>
      </c>
      <c r="K263" s="51">
        <v>49.390503508979997</v>
      </c>
      <c r="L263" s="51">
        <v>2.11</v>
      </c>
      <c r="M263" s="51">
        <v>2.8887</v>
      </c>
      <c r="N263" s="51">
        <v>2.4506999999999999</v>
      </c>
      <c r="O263" s="51">
        <v>1.5747</v>
      </c>
      <c r="P263" s="51">
        <v>1.0858589999999999</v>
      </c>
      <c r="Q263" s="51">
        <v>1.897991</v>
      </c>
      <c r="R263" s="51">
        <v>1.740367</v>
      </c>
      <c r="S263" s="51">
        <v>552</v>
      </c>
      <c r="T263" s="51">
        <v>1410</v>
      </c>
      <c r="U263" s="51">
        <v>501</v>
      </c>
      <c r="V263" s="51">
        <v>1105</v>
      </c>
      <c r="W263" s="51">
        <v>588</v>
      </c>
      <c r="X263" s="51" t="s">
        <v>1574</v>
      </c>
      <c r="Y263" s="51">
        <v>316</v>
      </c>
      <c r="Z263" s="51">
        <v>531.20000000000005</v>
      </c>
      <c r="AA263" s="51">
        <v>273</v>
      </c>
      <c r="AB263" s="51" t="s">
        <v>1574</v>
      </c>
      <c r="AC263" s="51" t="s">
        <v>1574</v>
      </c>
      <c r="AD263" s="51">
        <v>82.58</v>
      </c>
      <c r="AE263" s="51">
        <v>145.5</v>
      </c>
      <c r="AF263" s="51">
        <v>140.6</v>
      </c>
      <c r="AG263" s="51">
        <v>490.63</v>
      </c>
      <c r="AH263" s="51" t="s">
        <v>1574</v>
      </c>
      <c r="AI263" s="51" t="s">
        <v>1574</v>
      </c>
      <c r="AJ263" s="51" t="s">
        <v>1574</v>
      </c>
      <c r="AK263" s="51">
        <v>172.07</v>
      </c>
      <c r="AL263" s="51">
        <v>180.41</v>
      </c>
      <c r="AM263" s="51" t="s">
        <v>1574</v>
      </c>
      <c r="AN263" s="51">
        <v>0.42509999999999998</v>
      </c>
      <c r="AO263" s="51">
        <v>0.40300000000000002</v>
      </c>
      <c r="AP263" s="51">
        <v>2.5308999999999999</v>
      </c>
      <c r="AQ263" s="51">
        <v>0.77470346800000001</v>
      </c>
      <c r="AR263" s="51">
        <v>2.9740000000000002</v>
      </c>
      <c r="AS263" s="51">
        <v>10.1632982</v>
      </c>
      <c r="AT263" s="51">
        <v>0.42152334400000002</v>
      </c>
      <c r="AU263" s="51">
        <v>0.43893984200000002</v>
      </c>
      <c r="AV263" s="51">
        <v>0.3931</v>
      </c>
      <c r="AW263" s="51">
        <v>2292.4499999999998</v>
      </c>
      <c r="AX263" s="51">
        <v>225.25</v>
      </c>
      <c r="AY263" s="51">
        <v>156.28</v>
      </c>
      <c r="AZ263" s="51" t="s">
        <v>1574</v>
      </c>
      <c r="BA263" s="51">
        <v>351.61141711912001</v>
      </c>
      <c r="BB263" s="51">
        <v>259.39999999999998</v>
      </c>
      <c r="BC263" s="51">
        <v>1.9766999999999999</v>
      </c>
      <c r="BD263" s="51" t="s">
        <v>1574</v>
      </c>
      <c r="BE263" s="51">
        <v>1.149</v>
      </c>
      <c r="BF263" s="51">
        <v>47.5</v>
      </c>
      <c r="BG263" s="51">
        <v>193</v>
      </c>
      <c r="BH263" s="51">
        <v>177.5</v>
      </c>
      <c r="BI263" s="51">
        <v>135</v>
      </c>
      <c r="BJ263" s="51">
        <v>70</v>
      </c>
      <c r="BK263" s="51">
        <v>1369.23461914063</v>
      </c>
      <c r="BL263" s="51">
        <v>28.09</v>
      </c>
      <c r="BM263" s="51">
        <v>1821</v>
      </c>
      <c r="BN263" s="51">
        <v>758.7</v>
      </c>
      <c r="BO263" s="51">
        <v>13365</v>
      </c>
      <c r="BP263" s="51">
        <v>6307</v>
      </c>
      <c r="BQ263" s="51">
        <v>824</v>
      </c>
      <c r="BR263" s="51">
        <v>495.8</v>
      </c>
      <c r="BS263" s="51">
        <v>481.17</v>
      </c>
      <c r="BT263" s="51">
        <v>11.473599999999999</v>
      </c>
      <c r="BU263" s="41"/>
      <c r="BV263" s="41"/>
      <c r="BW263" s="41"/>
      <c r="BX263" s="41"/>
      <c r="BY263" s="41"/>
      <c r="BZ263" s="41"/>
      <c r="CA263" s="41"/>
      <c r="CB263" s="41"/>
      <c r="CC263" s="41"/>
      <c r="CD263" s="41"/>
      <c r="CE263" s="41"/>
      <c r="CF263" s="41"/>
      <c r="CG263" s="41"/>
      <c r="CH263" s="41"/>
      <c r="CI263" s="41"/>
      <c r="CJ263" s="41"/>
      <c r="CK263" s="41"/>
    </row>
    <row r="264" spans="1:89">
      <c r="A264" s="48" t="s">
        <v>393</v>
      </c>
      <c r="B264" s="49">
        <v>34.284999847409999</v>
      </c>
      <c r="C264" s="49">
        <v>35.18999862671</v>
      </c>
      <c r="D264" s="49">
        <v>33.380001068120002</v>
      </c>
      <c r="E264" s="49" t="s">
        <v>1574</v>
      </c>
      <c r="F264" s="49">
        <v>56.5</v>
      </c>
      <c r="G264" s="49" t="s">
        <v>1574</v>
      </c>
      <c r="H264" s="49">
        <v>1.95</v>
      </c>
      <c r="I264" s="49">
        <v>4.5999999999999996</v>
      </c>
      <c r="J264" s="49">
        <v>6.0303414353400004</v>
      </c>
      <c r="K264" s="49">
        <v>49.633370968450002</v>
      </c>
      <c r="L264" s="49">
        <v>1.9330000000000001</v>
      </c>
      <c r="M264" s="49">
        <v>2.8329</v>
      </c>
      <c r="N264" s="49">
        <v>2.3477000000000001</v>
      </c>
      <c r="O264" s="49">
        <v>1.5152000000000001</v>
      </c>
      <c r="P264" s="49">
        <v>0.98641279999999998</v>
      </c>
      <c r="Q264" s="49">
        <v>1.8662030000000001</v>
      </c>
      <c r="R264" s="49">
        <v>1.69309</v>
      </c>
      <c r="S264" s="49">
        <v>563</v>
      </c>
      <c r="T264" s="49">
        <v>1408</v>
      </c>
      <c r="U264" s="49">
        <v>504</v>
      </c>
      <c r="V264" s="49">
        <v>1185</v>
      </c>
      <c r="W264" s="49">
        <v>599</v>
      </c>
      <c r="X264" s="49" t="s">
        <v>1574</v>
      </c>
      <c r="Y264" s="49">
        <v>306</v>
      </c>
      <c r="Z264" s="49">
        <v>511</v>
      </c>
      <c r="AA264" s="49">
        <v>267</v>
      </c>
      <c r="AB264" s="49" t="s">
        <v>1574</v>
      </c>
      <c r="AC264" s="49" t="s">
        <v>1574</v>
      </c>
      <c r="AD264" s="49">
        <v>82.58</v>
      </c>
      <c r="AE264" s="49">
        <v>141.30000000000001</v>
      </c>
      <c r="AF264" s="49">
        <v>139.80000000000001</v>
      </c>
      <c r="AG264" s="49">
        <v>494.36</v>
      </c>
      <c r="AH264" s="49" t="s">
        <v>1574</v>
      </c>
      <c r="AI264" s="49" t="s">
        <v>1574</v>
      </c>
      <c r="AJ264" s="49" t="s">
        <v>1574</v>
      </c>
      <c r="AK264" s="49">
        <v>142.93</v>
      </c>
      <c r="AL264" s="49">
        <v>171.59</v>
      </c>
      <c r="AM264" s="49" t="s">
        <v>1574</v>
      </c>
      <c r="AN264" s="49">
        <v>0.45</v>
      </c>
      <c r="AO264" s="49">
        <v>0.373</v>
      </c>
      <c r="AP264" s="49">
        <v>2.4901</v>
      </c>
      <c r="AQ264" s="49">
        <v>0.74405924999999995</v>
      </c>
      <c r="AR264" s="49">
        <v>3.22</v>
      </c>
      <c r="AS264" s="49">
        <v>10.1632982</v>
      </c>
      <c r="AT264" s="49">
        <v>0.39727252400000002</v>
      </c>
      <c r="AU264" s="49">
        <v>0.38426526599999999</v>
      </c>
      <c r="AV264" s="49">
        <v>0.33050000000000002</v>
      </c>
      <c r="AW264" s="49">
        <v>2296.2399999999998</v>
      </c>
      <c r="AX264" s="49">
        <v>209.45</v>
      </c>
      <c r="AY264" s="49">
        <v>158.55000000000001</v>
      </c>
      <c r="AZ264" s="49" t="s">
        <v>1574</v>
      </c>
      <c r="BA264" s="49">
        <v>354.36017231398</v>
      </c>
      <c r="BB264" s="49">
        <v>256.5</v>
      </c>
      <c r="BC264" s="49">
        <v>1.9481999999999999</v>
      </c>
      <c r="BD264" s="49" t="s">
        <v>1574</v>
      </c>
      <c r="BE264" s="49">
        <v>1.1649</v>
      </c>
      <c r="BF264" s="49">
        <v>51</v>
      </c>
      <c r="BG264" s="49">
        <v>195.5</v>
      </c>
      <c r="BH264" s="49">
        <v>161</v>
      </c>
      <c r="BI264" s="49">
        <v>215</v>
      </c>
      <c r="BJ264" s="49">
        <v>115</v>
      </c>
      <c r="BK264" s="49">
        <v>1296.99584960938</v>
      </c>
      <c r="BL264" s="49">
        <v>28.09</v>
      </c>
      <c r="BM264" s="49">
        <v>1742</v>
      </c>
      <c r="BN264" s="49">
        <v>696.9</v>
      </c>
      <c r="BO264" s="49">
        <v>12663.5</v>
      </c>
      <c r="BP264" s="49">
        <v>6352.2</v>
      </c>
      <c r="BQ264" s="49">
        <v>851</v>
      </c>
      <c r="BR264" s="49">
        <v>479.7</v>
      </c>
      <c r="BS264" s="49">
        <v>461.92</v>
      </c>
      <c r="BT264" s="49">
        <v>10.850199999999999</v>
      </c>
      <c r="BU264" s="41"/>
      <c r="BV264" s="41"/>
      <c r="BW264" s="41"/>
      <c r="BX264" s="41"/>
      <c r="BY264" s="41"/>
      <c r="BZ264" s="41"/>
      <c r="CA264" s="41"/>
      <c r="CB264" s="41"/>
      <c r="CC264" s="41"/>
      <c r="CD264" s="41"/>
      <c r="CE264" s="41"/>
      <c r="CF264" s="41"/>
      <c r="CG264" s="41"/>
      <c r="CH264" s="41"/>
      <c r="CI264" s="41"/>
      <c r="CJ264" s="41"/>
      <c r="CK264" s="41"/>
    </row>
    <row r="265" spans="1:89">
      <c r="A265" s="41" t="s">
        <v>394</v>
      </c>
      <c r="B265" s="51">
        <v>32.709999084469999</v>
      </c>
      <c r="C265" s="51">
        <v>33.25</v>
      </c>
      <c r="D265" s="51">
        <v>32.169998168950002</v>
      </c>
      <c r="E265" s="51" t="s">
        <v>1574</v>
      </c>
      <c r="F265" s="51">
        <v>56.5</v>
      </c>
      <c r="G265" s="51" t="s">
        <v>1574</v>
      </c>
      <c r="H265" s="51">
        <v>1.95</v>
      </c>
      <c r="I265" s="51">
        <v>4.5999999999999996</v>
      </c>
      <c r="J265" s="51">
        <v>6.0303414353400004</v>
      </c>
      <c r="K265" s="51">
        <v>49.633370968450002</v>
      </c>
      <c r="L265" s="51">
        <v>1.663</v>
      </c>
      <c r="M265" s="51">
        <v>2.5104000000000002</v>
      </c>
      <c r="N265" s="51">
        <v>1.8583000000000001</v>
      </c>
      <c r="O265" s="51">
        <v>1.4614</v>
      </c>
      <c r="P265" s="51">
        <v>0.89918260000000005</v>
      </c>
      <c r="Q265" s="51">
        <v>1.823763</v>
      </c>
      <c r="R265" s="51">
        <v>1.6611659999999999</v>
      </c>
      <c r="S265" s="51">
        <v>570</v>
      </c>
      <c r="T265" s="51">
        <v>1226</v>
      </c>
      <c r="U265" s="51">
        <v>485</v>
      </c>
      <c r="V265" s="51">
        <v>1185</v>
      </c>
      <c r="W265" s="51">
        <v>640</v>
      </c>
      <c r="X265" s="51" t="s">
        <v>1574</v>
      </c>
      <c r="Y265" s="51">
        <v>291</v>
      </c>
      <c r="Z265" s="51">
        <v>512</v>
      </c>
      <c r="AA265" s="51">
        <v>247</v>
      </c>
      <c r="AB265" s="51" t="s">
        <v>1574</v>
      </c>
      <c r="AC265" s="51" t="s">
        <v>1574</v>
      </c>
      <c r="AD265" s="51">
        <v>70.92</v>
      </c>
      <c r="AE265" s="51">
        <v>136.1</v>
      </c>
      <c r="AF265" s="51">
        <v>127.04</v>
      </c>
      <c r="AG265" s="51">
        <v>510.27</v>
      </c>
      <c r="AH265" s="51" t="s">
        <v>1574</v>
      </c>
      <c r="AI265" s="51" t="s">
        <v>1574</v>
      </c>
      <c r="AJ265" s="51" t="s">
        <v>1574</v>
      </c>
      <c r="AK265" s="51">
        <v>132.83000000000001</v>
      </c>
      <c r="AL265" s="51">
        <v>168.65</v>
      </c>
      <c r="AM265" s="51" t="s">
        <v>1574</v>
      </c>
      <c r="AN265" s="51">
        <v>0.38779999999999998</v>
      </c>
      <c r="AO265" s="51">
        <v>0.37880000000000003</v>
      </c>
      <c r="AP265" s="51">
        <v>2.4357000000000002</v>
      </c>
      <c r="AQ265" s="51">
        <v>0.75772789399999996</v>
      </c>
      <c r="AR265" s="51">
        <v>2.9929999999999999</v>
      </c>
      <c r="AS265" s="51">
        <v>10.1632982</v>
      </c>
      <c r="AT265" s="51">
        <v>0.38250157000000001</v>
      </c>
      <c r="AU265" s="51">
        <v>0.41777549000000003</v>
      </c>
      <c r="AV265" s="51">
        <v>0.36099999999999999</v>
      </c>
      <c r="AW265" s="51">
        <v>2298.17</v>
      </c>
      <c r="AX265" s="51">
        <v>203.14</v>
      </c>
      <c r="AY265" s="51">
        <v>156.41999999999999</v>
      </c>
      <c r="AZ265" s="51" t="s">
        <v>1574</v>
      </c>
      <c r="BA265" s="51">
        <v>351.78147309935002</v>
      </c>
      <c r="BB265" s="51">
        <v>231.9</v>
      </c>
      <c r="BC265" s="51">
        <v>1.9276</v>
      </c>
      <c r="BD265" s="51" t="s">
        <v>1574</v>
      </c>
      <c r="BE265" s="51">
        <v>1.1385000000000001</v>
      </c>
      <c r="BF265" s="51">
        <v>51</v>
      </c>
      <c r="BG265" s="51">
        <v>190</v>
      </c>
      <c r="BH265" s="51">
        <v>157.5</v>
      </c>
      <c r="BI265" s="51">
        <v>215</v>
      </c>
      <c r="BJ265" s="51">
        <v>115</v>
      </c>
      <c r="BK265" s="51">
        <v>1232.40673828125</v>
      </c>
      <c r="BL265" s="51">
        <v>28.09</v>
      </c>
      <c r="BM265" s="51">
        <v>1700</v>
      </c>
      <c r="BN265" s="51">
        <v>712.1</v>
      </c>
      <c r="BO265" s="51">
        <v>12603.5</v>
      </c>
      <c r="BP265" s="51">
        <v>6169.4</v>
      </c>
      <c r="BQ265" s="51">
        <v>840</v>
      </c>
      <c r="BR265" s="51">
        <v>461.09</v>
      </c>
      <c r="BS265" s="51">
        <v>443.42</v>
      </c>
      <c r="BT265" s="51">
        <v>9.9981000000000009</v>
      </c>
      <c r="BU265" s="41"/>
      <c r="BV265" s="41"/>
      <c r="BW265" s="41"/>
      <c r="BX265" s="41"/>
      <c r="BY265" s="41"/>
      <c r="BZ265" s="41"/>
      <c r="CA265" s="41"/>
      <c r="CB265" s="41"/>
      <c r="CC265" s="41"/>
      <c r="CD265" s="41"/>
      <c r="CE265" s="41"/>
      <c r="CF265" s="41"/>
      <c r="CG265" s="41"/>
      <c r="CH265" s="41"/>
      <c r="CI265" s="41"/>
      <c r="CJ265" s="41"/>
      <c r="CK265" s="41"/>
    </row>
    <row r="266" spans="1:89">
      <c r="A266" s="48" t="s">
        <v>395</v>
      </c>
      <c r="B266" s="49">
        <v>33.510000228880003</v>
      </c>
      <c r="C266" s="49">
        <v>35.06000137329</v>
      </c>
      <c r="D266" s="49">
        <v>31.959999084469999</v>
      </c>
      <c r="E266" s="49" t="s">
        <v>1574</v>
      </c>
      <c r="F266" s="49">
        <v>56.5</v>
      </c>
      <c r="G266" s="49" t="s">
        <v>1574</v>
      </c>
      <c r="H266" s="49">
        <v>2.0099999999999998</v>
      </c>
      <c r="I266" s="49">
        <v>4.5999999999999996</v>
      </c>
      <c r="J266" s="49">
        <v>6.0303414353400004</v>
      </c>
      <c r="K266" s="49">
        <v>50.361973346870002</v>
      </c>
      <c r="L266" s="49">
        <v>2.0482999999999998</v>
      </c>
      <c r="M266" s="49">
        <v>2.6690999999999998</v>
      </c>
      <c r="N266" s="49">
        <v>1.9357</v>
      </c>
      <c r="O266" s="49">
        <v>1.4142999999999999</v>
      </c>
      <c r="P266" s="49">
        <v>0.84569499999999997</v>
      </c>
      <c r="Q266" s="49">
        <v>1.7655080000000001</v>
      </c>
      <c r="R266" s="49">
        <v>1.6317120000000001</v>
      </c>
      <c r="S266" s="49">
        <v>585</v>
      </c>
      <c r="T266" s="49">
        <v>1175</v>
      </c>
      <c r="U266" s="49">
        <v>470</v>
      </c>
      <c r="V266" s="49">
        <v>1160</v>
      </c>
      <c r="W266" s="49">
        <v>600</v>
      </c>
      <c r="X266" s="49" t="s">
        <v>1574</v>
      </c>
      <c r="Y266" s="49">
        <v>294</v>
      </c>
      <c r="Z266" s="49">
        <v>530</v>
      </c>
      <c r="AA266" s="49">
        <v>247</v>
      </c>
      <c r="AB266" s="49" t="s">
        <v>1574</v>
      </c>
      <c r="AC266" s="49" t="s">
        <v>1574</v>
      </c>
      <c r="AD266" s="49">
        <v>77.540000000000006</v>
      </c>
      <c r="AE266" s="49">
        <v>137.56</v>
      </c>
      <c r="AF266" s="49">
        <v>123.61</v>
      </c>
      <c r="AG266" s="49">
        <v>498.49</v>
      </c>
      <c r="AH266" s="49" t="s">
        <v>1574</v>
      </c>
      <c r="AI266" s="49" t="s">
        <v>1574</v>
      </c>
      <c r="AJ266" s="49" t="s">
        <v>1574</v>
      </c>
      <c r="AK266" s="49">
        <v>138.57</v>
      </c>
      <c r="AL266" s="49">
        <v>167.92</v>
      </c>
      <c r="AM266" s="49" t="s">
        <v>1574</v>
      </c>
      <c r="AN266" s="49">
        <v>0.3296</v>
      </c>
      <c r="AO266" s="49">
        <v>0.38178000000000001</v>
      </c>
      <c r="AP266" s="49">
        <v>2.4140999999999999</v>
      </c>
      <c r="AQ266" s="49">
        <v>0.80909553999999995</v>
      </c>
      <c r="AR266" s="49">
        <v>2.4891000000000001</v>
      </c>
      <c r="AS266" s="49">
        <v>10.1632982</v>
      </c>
      <c r="AT266" s="49">
        <v>0.40234314999999998</v>
      </c>
      <c r="AU266" s="49">
        <v>0.42108242000000001</v>
      </c>
      <c r="AV266" s="49">
        <v>0.36020000000000002</v>
      </c>
      <c r="AW266" s="49">
        <v>2283.3200000000002</v>
      </c>
      <c r="AX266" s="49">
        <v>198.3</v>
      </c>
      <c r="AY266" s="49">
        <v>145.61000000000001</v>
      </c>
      <c r="AZ266" s="49" t="s">
        <v>1574</v>
      </c>
      <c r="BA266" s="49">
        <v>338.43742352508002</v>
      </c>
      <c r="BB266" s="49">
        <v>224.18</v>
      </c>
      <c r="BC266" s="49">
        <v>1.8879999999999999</v>
      </c>
      <c r="BD266" s="49" t="s">
        <v>1574</v>
      </c>
      <c r="BE266" s="49">
        <v>1.0333000000000001</v>
      </c>
      <c r="BF266" s="49">
        <v>51</v>
      </c>
      <c r="BG266" s="49">
        <v>177.5</v>
      </c>
      <c r="BH266" s="49">
        <v>146.5</v>
      </c>
      <c r="BI266" s="49">
        <v>180</v>
      </c>
      <c r="BJ266" s="49">
        <v>116.5</v>
      </c>
      <c r="BK266" s="49">
        <v>1175.31127929688</v>
      </c>
      <c r="BL266" s="49">
        <v>28.09</v>
      </c>
      <c r="BM266" s="49">
        <v>1681.9</v>
      </c>
      <c r="BN266" s="49">
        <v>784.3</v>
      </c>
      <c r="BO266" s="49">
        <v>13358</v>
      </c>
      <c r="BP266" s="49">
        <v>6150.2</v>
      </c>
      <c r="BQ266" s="49">
        <v>865.1</v>
      </c>
      <c r="BR266" s="49">
        <v>409.07</v>
      </c>
      <c r="BS266" s="49">
        <v>406.71</v>
      </c>
      <c r="BT266" s="49">
        <v>8.5812000000000008</v>
      </c>
      <c r="BU266" s="41"/>
      <c r="BV266" s="41"/>
      <c r="BW266" s="41"/>
      <c r="BX266" s="41"/>
      <c r="BY266" s="41"/>
      <c r="BZ266" s="41"/>
      <c r="CA266" s="41"/>
      <c r="CB266" s="41"/>
      <c r="CC266" s="41"/>
      <c r="CD266" s="41"/>
      <c r="CE266" s="41"/>
      <c r="CF266" s="41"/>
      <c r="CG266" s="41"/>
      <c r="CH266" s="41"/>
      <c r="CI266" s="41"/>
      <c r="CJ266" s="41"/>
      <c r="CK266" s="41"/>
    </row>
    <row r="267" spans="1:89">
      <c r="A267" s="41" t="s">
        <v>396</v>
      </c>
      <c r="B267" s="51">
        <v>33.984998703000002</v>
      </c>
      <c r="C267" s="51">
        <v>35.79999923706</v>
      </c>
      <c r="D267" s="51">
        <v>32.169998168950002</v>
      </c>
      <c r="E267" s="51" t="s">
        <v>1574</v>
      </c>
      <c r="F267" s="51">
        <v>56.5</v>
      </c>
      <c r="G267" s="51" t="s">
        <v>1574</v>
      </c>
      <c r="H267" s="51">
        <v>2.02</v>
      </c>
      <c r="I267" s="51">
        <v>4.5999999999999996</v>
      </c>
      <c r="J267" s="51">
        <v>6.0303414353400004</v>
      </c>
      <c r="K267" s="51">
        <v>50.48340707661</v>
      </c>
      <c r="L267" s="51">
        <v>2.2469000000000001</v>
      </c>
      <c r="M267" s="51">
        <v>2.782</v>
      </c>
      <c r="N267" s="51">
        <v>1.9785999999999999</v>
      </c>
      <c r="O267" s="51">
        <v>1.3917999999999999</v>
      </c>
      <c r="P267" s="51">
        <v>0.82339150000000005</v>
      </c>
      <c r="Q267" s="51">
        <v>1.7415480000000001</v>
      </c>
      <c r="R267" s="51">
        <v>1.6103130000000001</v>
      </c>
      <c r="S267" s="51">
        <v>565</v>
      </c>
      <c r="T267" s="51">
        <v>1094</v>
      </c>
      <c r="U267" s="51">
        <v>438.8</v>
      </c>
      <c r="V267" s="51">
        <v>1160</v>
      </c>
      <c r="W267" s="51">
        <v>531</v>
      </c>
      <c r="X267" s="51" t="s">
        <v>1574</v>
      </c>
      <c r="Y267" s="51">
        <v>283</v>
      </c>
      <c r="Z267" s="51">
        <v>506</v>
      </c>
      <c r="AA267" s="51">
        <v>243</v>
      </c>
      <c r="AB267" s="51" t="s">
        <v>1574</v>
      </c>
      <c r="AC267" s="51" t="s">
        <v>1574</v>
      </c>
      <c r="AD267" s="51">
        <v>75.89</v>
      </c>
      <c r="AE267" s="51">
        <v>127.11</v>
      </c>
      <c r="AF267" s="51">
        <v>116.04</v>
      </c>
      <c r="AG267" s="51">
        <v>473.94</v>
      </c>
      <c r="AH267" s="51" t="s">
        <v>1574</v>
      </c>
      <c r="AI267" s="51" t="s">
        <v>1574</v>
      </c>
      <c r="AJ267" s="51" t="s">
        <v>1574</v>
      </c>
      <c r="AK267" s="51">
        <v>140.30000000000001</v>
      </c>
      <c r="AL267" s="51">
        <v>170.12</v>
      </c>
      <c r="AM267" s="51" t="s">
        <v>1574</v>
      </c>
      <c r="AN267" s="51">
        <v>0.30530000000000002</v>
      </c>
      <c r="AO267" s="51">
        <v>0.44424999999999998</v>
      </c>
      <c r="AP267" s="51">
        <v>2.4140999999999999</v>
      </c>
      <c r="AQ267" s="51">
        <v>0.787490264</v>
      </c>
      <c r="AR267" s="51">
        <v>2.1812</v>
      </c>
      <c r="AS267" s="51">
        <v>10.1632982</v>
      </c>
      <c r="AT267" s="51">
        <v>0.39220189799999999</v>
      </c>
      <c r="AU267" s="51">
        <v>0.38404480400000002</v>
      </c>
      <c r="AV267" s="51">
        <v>0.33</v>
      </c>
      <c r="AW267" s="51">
        <v>2313.73</v>
      </c>
      <c r="AX267" s="51">
        <v>192.26</v>
      </c>
      <c r="AY267" s="51">
        <v>142.83000000000001</v>
      </c>
      <c r="AZ267" s="51" t="s">
        <v>1574</v>
      </c>
      <c r="BA267" s="51">
        <v>334.93275880483998</v>
      </c>
      <c r="BB267" s="51">
        <v>215.24</v>
      </c>
      <c r="BC267" s="51">
        <v>1.772</v>
      </c>
      <c r="BD267" s="51" t="s">
        <v>1574</v>
      </c>
      <c r="BE267" s="51">
        <v>1.0679000000000001</v>
      </c>
      <c r="BF267" s="51">
        <v>51</v>
      </c>
      <c r="BG267" s="51">
        <v>179.5</v>
      </c>
      <c r="BH267" s="51">
        <v>137.5</v>
      </c>
      <c r="BI267" s="51">
        <v>160</v>
      </c>
      <c r="BJ267" s="51">
        <v>116.5</v>
      </c>
      <c r="BK267" s="51">
        <v>1230.82885742188</v>
      </c>
      <c r="BL267" s="51">
        <v>28.09</v>
      </c>
      <c r="BM267" s="51">
        <v>1787</v>
      </c>
      <c r="BN267" s="51">
        <v>824</v>
      </c>
      <c r="BO267" s="51">
        <v>14485</v>
      </c>
      <c r="BP267" s="51">
        <v>5999.2</v>
      </c>
      <c r="BQ267" s="51">
        <v>955</v>
      </c>
      <c r="BR267" s="51">
        <v>410.16</v>
      </c>
      <c r="BS267" s="51">
        <v>417.6</v>
      </c>
      <c r="BT267" s="51">
        <v>8.9159000000000006</v>
      </c>
      <c r="BU267" s="41"/>
      <c r="BV267" s="41"/>
      <c r="BW267" s="41"/>
      <c r="BX267" s="41"/>
      <c r="BY267" s="41"/>
      <c r="BZ267" s="41"/>
      <c r="CA267" s="41"/>
      <c r="CB267" s="41"/>
      <c r="CC267" s="41"/>
      <c r="CD267" s="41"/>
      <c r="CE267" s="41"/>
      <c r="CF267" s="41"/>
      <c r="CG267" s="41"/>
      <c r="CH267" s="41"/>
      <c r="CI267" s="41"/>
      <c r="CJ267" s="41"/>
      <c r="CK267" s="41"/>
    </row>
    <row r="268" spans="1:89">
      <c r="A268" s="48" t="s">
        <v>397</v>
      </c>
      <c r="B268" s="49">
        <v>33.985000610349999</v>
      </c>
      <c r="C268" s="49">
        <v>35.909999847409999</v>
      </c>
      <c r="D268" s="49">
        <v>32.06000137329</v>
      </c>
      <c r="E268" s="49" t="s">
        <v>1574</v>
      </c>
      <c r="F268" s="49">
        <v>56.5</v>
      </c>
      <c r="G268" s="49" t="s">
        <v>1574</v>
      </c>
      <c r="H268" s="49">
        <v>2.08</v>
      </c>
      <c r="I268" s="49">
        <v>4.5999999999999996</v>
      </c>
      <c r="J268" s="49">
        <v>6.0303414353400004</v>
      </c>
      <c r="K268" s="49">
        <v>51.21200945503</v>
      </c>
      <c r="L268" s="49">
        <v>2.3565</v>
      </c>
      <c r="M268" s="49">
        <v>2.8037999999999998</v>
      </c>
      <c r="N268" s="49">
        <v>1.9702999999999999</v>
      </c>
      <c r="O268" s="49">
        <v>1.4307000000000001</v>
      </c>
      <c r="P268" s="49">
        <v>1.0311269999999999</v>
      </c>
      <c r="Q268" s="49">
        <v>1.7225999999999999</v>
      </c>
      <c r="R268" s="49">
        <v>1.5382830000000001</v>
      </c>
      <c r="S268" s="49">
        <v>535</v>
      </c>
      <c r="T268" s="49">
        <v>1046</v>
      </c>
      <c r="U268" s="49">
        <v>434</v>
      </c>
      <c r="V268" s="49">
        <v>1005</v>
      </c>
      <c r="W268" s="49">
        <v>509</v>
      </c>
      <c r="X268" s="49" t="s">
        <v>1574</v>
      </c>
      <c r="Y268" s="49">
        <v>264</v>
      </c>
      <c r="Z268" s="49">
        <v>485</v>
      </c>
      <c r="AA268" s="49">
        <v>235</v>
      </c>
      <c r="AB268" s="49" t="s">
        <v>1574</v>
      </c>
      <c r="AC268" s="49" t="s">
        <v>1574</v>
      </c>
      <c r="AD268" s="49">
        <v>70.92</v>
      </c>
      <c r="AE268" s="49">
        <v>115.5</v>
      </c>
      <c r="AF268" s="49">
        <v>109.1</v>
      </c>
      <c r="AG268" s="49">
        <v>463.13</v>
      </c>
      <c r="AH268" s="49" t="s">
        <v>1574</v>
      </c>
      <c r="AI268" s="49" t="s">
        <v>1574</v>
      </c>
      <c r="AJ268" s="49" t="s">
        <v>1574</v>
      </c>
      <c r="AK268" s="49">
        <v>147.07</v>
      </c>
      <c r="AL268" s="49">
        <v>171.23</v>
      </c>
      <c r="AM268" s="49" t="s">
        <v>1574</v>
      </c>
      <c r="AN268" s="49">
        <v>0.435</v>
      </c>
      <c r="AO268" s="49">
        <v>0.52127000000000001</v>
      </c>
      <c r="AP268" s="49">
        <v>2.4881000000000002</v>
      </c>
      <c r="AQ268" s="49">
        <v>0.77139653799999996</v>
      </c>
      <c r="AR268" s="49">
        <v>2.4722</v>
      </c>
      <c r="AS268" s="49">
        <v>10.1632982</v>
      </c>
      <c r="AT268" s="49">
        <v>0.41160255400000001</v>
      </c>
      <c r="AU268" s="49">
        <v>0.34149563799999999</v>
      </c>
      <c r="AV268" s="49">
        <v>0.25679999999999997</v>
      </c>
      <c r="AW268" s="49">
        <v>2309.46</v>
      </c>
      <c r="AX268" s="49">
        <v>203.75</v>
      </c>
      <c r="AY268" s="49">
        <v>142.19</v>
      </c>
      <c r="AZ268" s="49" t="s">
        <v>1574</v>
      </c>
      <c r="BA268" s="49">
        <v>334.12149844906003</v>
      </c>
      <c r="BB268" s="49">
        <v>236.94</v>
      </c>
      <c r="BC268" s="49">
        <v>1.6976</v>
      </c>
      <c r="BD268" s="49" t="s">
        <v>1574</v>
      </c>
      <c r="BE268" s="49">
        <v>1.0606</v>
      </c>
      <c r="BF268" s="49">
        <v>51</v>
      </c>
      <c r="BG268" s="49">
        <v>130</v>
      </c>
      <c r="BH268" s="49">
        <v>139</v>
      </c>
      <c r="BI268" s="49">
        <v>160</v>
      </c>
      <c r="BJ268" s="49">
        <v>116.5</v>
      </c>
      <c r="BK268" s="49">
        <v>1168.9111328125</v>
      </c>
      <c r="BL268" s="49">
        <v>28.09</v>
      </c>
      <c r="BM268" s="49">
        <v>1710.4</v>
      </c>
      <c r="BN268" s="49">
        <v>763.6</v>
      </c>
      <c r="BO268" s="49">
        <v>14935.1</v>
      </c>
      <c r="BP268" s="49">
        <v>5579</v>
      </c>
      <c r="BQ268" s="49">
        <v>939.2</v>
      </c>
      <c r="BR268" s="49">
        <v>443.75</v>
      </c>
      <c r="BS268" s="49">
        <v>435.61</v>
      </c>
      <c r="BT268" s="49">
        <v>10.0502</v>
      </c>
      <c r="BU268" s="41"/>
      <c r="BV268" s="41"/>
      <c r="BW268" s="41"/>
      <c r="BX268" s="41"/>
      <c r="BY268" s="41"/>
      <c r="BZ268" s="41"/>
      <c r="CA268" s="41"/>
      <c r="CB268" s="41"/>
      <c r="CC268" s="41"/>
      <c r="CD268" s="41"/>
      <c r="CE268" s="41"/>
      <c r="CF268" s="41"/>
      <c r="CG268" s="41"/>
      <c r="CH268" s="41"/>
      <c r="CI268" s="41"/>
      <c r="CJ268" s="41"/>
      <c r="CK268" s="41"/>
    </row>
    <row r="269" spans="1:89">
      <c r="A269" s="41" t="s">
        <v>398</v>
      </c>
      <c r="B269" s="51">
        <v>34.610000610349999</v>
      </c>
      <c r="C269" s="51">
        <v>36.540000915530001</v>
      </c>
      <c r="D269" s="51">
        <v>32.680000305180002</v>
      </c>
      <c r="E269" s="51" t="s">
        <v>1574</v>
      </c>
      <c r="F269" s="51">
        <v>56.5</v>
      </c>
      <c r="G269" s="51" t="s">
        <v>1574</v>
      </c>
      <c r="H269" s="51">
        <v>2.11</v>
      </c>
      <c r="I269" s="51">
        <v>4.5999999999999996</v>
      </c>
      <c r="J269" s="51">
        <v>6.0303414353400004</v>
      </c>
      <c r="K269" s="51">
        <v>51.576310644240003</v>
      </c>
      <c r="L269" s="51">
        <v>2.1726999999999999</v>
      </c>
      <c r="M269" s="51">
        <v>3.0225</v>
      </c>
      <c r="N269" s="51">
        <v>2.1656</v>
      </c>
      <c r="O269" s="51">
        <v>1.2848999999999999</v>
      </c>
      <c r="P269" s="51">
        <v>0.73793299999999995</v>
      </c>
      <c r="Q269" s="51">
        <v>1.710229</v>
      </c>
      <c r="R269" s="51">
        <v>1.4066149999999999</v>
      </c>
      <c r="S269" s="51">
        <v>564</v>
      </c>
      <c r="T269" s="51">
        <v>978</v>
      </c>
      <c r="U269" s="51">
        <v>405</v>
      </c>
      <c r="V269" s="51">
        <v>863</v>
      </c>
      <c r="W269" s="51">
        <v>513</v>
      </c>
      <c r="X269" s="51" t="s">
        <v>1574</v>
      </c>
      <c r="Y269" s="51">
        <v>260</v>
      </c>
      <c r="Z269" s="51">
        <v>486</v>
      </c>
      <c r="AA269" s="51">
        <v>231</v>
      </c>
      <c r="AB269" s="51" t="s">
        <v>1574</v>
      </c>
      <c r="AC269" s="51" t="s">
        <v>1574</v>
      </c>
      <c r="AD269" s="51">
        <v>73.59</v>
      </c>
      <c r="AE269" s="51">
        <v>112.67</v>
      </c>
      <c r="AF269" s="51">
        <v>105.9</v>
      </c>
      <c r="AG269" s="51">
        <v>431.71</v>
      </c>
      <c r="AH269" s="51" t="s">
        <v>1574</v>
      </c>
      <c r="AI269" s="51" t="s">
        <v>1574</v>
      </c>
      <c r="AJ269" s="51" t="s">
        <v>1574</v>
      </c>
      <c r="AK269" s="51">
        <v>149.66</v>
      </c>
      <c r="AL269" s="51">
        <v>168.65</v>
      </c>
      <c r="AM269" s="51" t="s">
        <v>1574</v>
      </c>
      <c r="AN269" s="51">
        <v>0.38890000000000002</v>
      </c>
      <c r="AO269" s="51">
        <v>0.50563000000000002</v>
      </c>
      <c r="AP269" s="51">
        <v>2.4335</v>
      </c>
      <c r="AQ269" s="51">
        <v>0.75860974199999998</v>
      </c>
      <c r="AR269" s="51">
        <v>2.6421999999999999</v>
      </c>
      <c r="AS269" s="51">
        <v>10.1632982</v>
      </c>
      <c r="AT269" s="51">
        <v>0.42284611599999999</v>
      </c>
      <c r="AU269" s="51">
        <v>0.34524349199999999</v>
      </c>
      <c r="AV269" s="51">
        <v>0.26550000000000001</v>
      </c>
      <c r="AW269" s="51">
        <v>2378.4</v>
      </c>
      <c r="AX269" s="51">
        <v>204.46</v>
      </c>
      <c r="AY269" s="51">
        <v>146.24</v>
      </c>
      <c r="AZ269" s="51" t="s">
        <v>1574</v>
      </c>
      <c r="BA269" s="51">
        <v>339.22735606470002</v>
      </c>
      <c r="BB269" s="51">
        <v>231.37</v>
      </c>
      <c r="BC269" s="51">
        <v>1.6689000000000001</v>
      </c>
      <c r="BD269" s="51" t="s">
        <v>1574</v>
      </c>
      <c r="BE269" s="51">
        <v>1.0189999999999999</v>
      </c>
      <c r="BF269" s="51">
        <v>51</v>
      </c>
      <c r="BG269" s="51">
        <v>122.5</v>
      </c>
      <c r="BH269" s="51">
        <v>133.5</v>
      </c>
      <c r="BI269" s="51">
        <v>160</v>
      </c>
      <c r="BJ269" s="51">
        <v>116.5</v>
      </c>
      <c r="BK269" s="51">
        <v>1140.181640625</v>
      </c>
      <c r="BL269" s="51">
        <v>28.09</v>
      </c>
      <c r="BM269" s="51">
        <v>1666.3</v>
      </c>
      <c r="BN269" s="51">
        <v>716.5</v>
      </c>
      <c r="BO269" s="51">
        <v>15112.6</v>
      </c>
      <c r="BP269" s="51">
        <v>5216.8</v>
      </c>
      <c r="BQ269" s="51">
        <v>891.7</v>
      </c>
      <c r="BR269" s="51">
        <v>437.76</v>
      </c>
      <c r="BS269" s="51">
        <v>420.25</v>
      </c>
      <c r="BT269" s="51">
        <v>9.2281999999999993</v>
      </c>
      <c r="BU269" s="41"/>
      <c r="BV269" s="41"/>
      <c r="BW269" s="41"/>
      <c r="BX269" s="41"/>
      <c r="BY269" s="41"/>
      <c r="BZ269" s="41"/>
      <c r="CA269" s="41"/>
      <c r="CB269" s="41"/>
      <c r="CC269" s="41"/>
      <c r="CD269" s="41"/>
      <c r="CE269" s="41"/>
      <c r="CF269" s="41"/>
      <c r="CG269" s="41"/>
      <c r="CH269" s="41"/>
      <c r="CI269" s="41"/>
      <c r="CJ269" s="41"/>
      <c r="CK269" s="41"/>
    </row>
    <row r="270" spans="1:89">
      <c r="A270" s="48" t="s">
        <v>399</v>
      </c>
      <c r="B270" s="49">
        <v>35.680000305180002</v>
      </c>
      <c r="C270" s="49">
        <v>37.119998931879998</v>
      </c>
      <c r="D270" s="49">
        <v>34.240001678470001</v>
      </c>
      <c r="E270" s="49" t="s">
        <v>1574</v>
      </c>
      <c r="F270" s="49">
        <v>56.5</v>
      </c>
      <c r="G270" s="49" t="s">
        <v>1574</v>
      </c>
      <c r="H270" s="49">
        <v>2.15</v>
      </c>
      <c r="I270" s="49">
        <v>4.5999999999999996</v>
      </c>
      <c r="J270" s="49">
        <v>6.0303414353400004</v>
      </c>
      <c r="K270" s="49">
        <v>52.062045563189997</v>
      </c>
      <c r="L270" s="49">
        <v>2.0636999999999999</v>
      </c>
      <c r="M270" s="49">
        <v>3.1804000000000001</v>
      </c>
      <c r="N270" s="49">
        <v>2.3134999999999999</v>
      </c>
      <c r="O270" s="49">
        <v>1.3243</v>
      </c>
      <c r="P270" s="49">
        <v>0.83428789999999997</v>
      </c>
      <c r="Q270" s="49">
        <v>1.7188410000000001</v>
      </c>
      <c r="R270" s="49">
        <v>1.419635</v>
      </c>
      <c r="S270" s="49">
        <v>570</v>
      </c>
      <c r="T270" s="49">
        <v>948</v>
      </c>
      <c r="U270" s="49">
        <v>407</v>
      </c>
      <c r="V270" s="49">
        <v>805</v>
      </c>
      <c r="W270" s="49">
        <v>500</v>
      </c>
      <c r="X270" s="49" t="s">
        <v>1574</v>
      </c>
      <c r="Y270" s="49">
        <v>257</v>
      </c>
      <c r="Z270" s="49">
        <v>470</v>
      </c>
      <c r="AA270" s="49">
        <v>230</v>
      </c>
      <c r="AB270" s="49" t="s">
        <v>1574</v>
      </c>
      <c r="AC270" s="49" t="s">
        <v>1574</v>
      </c>
      <c r="AD270" s="49">
        <v>77.540000000000006</v>
      </c>
      <c r="AE270" s="49">
        <v>111.76</v>
      </c>
      <c r="AF270" s="49">
        <v>112.14</v>
      </c>
      <c r="AG270" s="49">
        <v>405.2</v>
      </c>
      <c r="AH270" s="49" t="s">
        <v>1574</v>
      </c>
      <c r="AI270" s="49" t="s">
        <v>1574</v>
      </c>
      <c r="AJ270" s="49" t="s">
        <v>1574</v>
      </c>
      <c r="AK270" s="49">
        <v>156.80000000000001</v>
      </c>
      <c r="AL270" s="49">
        <v>178.57</v>
      </c>
      <c r="AM270" s="49" t="s">
        <v>1574</v>
      </c>
      <c r="AN270" s="49">
        <v>0.39550000000000002</v>
      </c>
      <c r="AO270" s="49">
        <v>0.45889999999999997</v>
      </c>
      <c r="AP270" s="49">
        <v>2.3706</v>
      </c>
      <c r="AQ270" s="49">
        <v>0.74648433199999997</v>
      </c>
      <c r="AR270" s="49">
        <v>2.6547999999999998</v>
      </c>
      <c r="AS270" s="49">
        <v>10.1632982</v>
      </c>
      <c r="AT270" s="49">
        <v>0.42769627999999998</v>
      </c>
      <c r="AU270" s="49">
        <v>0.35891213599999999</v>
      </c>
      <c r="AV270" s="49">
        <v>0.26219999999999999</v>
      </c>
      <c r="AW270" s="49">
        <v>2405.27</v>
      </c>
      <c r="AX270" s="49">
        <v>204.82</v>
      </c>
      <c r="AY270" s="49">
        <v>156.41999999999999</v>
      </c>
      <c r="AZ270" s="49" t="s">
        <v>1574</v>
      </c>
      <c r="BA270" s="49">
        <v>351.78147309935002</v>
      </c>
      <c r="BB270" s="49">
        <v>250.88</v>
      </c>
      <c r="BC270" s="49">
        <v>1.6479999999999999</v>
      </c>
      <c r="BD270" s="49" t="s">
        <v>1574</v>
      </c>
      <c r="BE270" s="49">
        <v>0.98740000000000006</v>
      </c>
      <c r="BF270" s="49">
        <v>51</v>
      </c>
      <c r="BG270" s="49">
        <v>145</v>
      </c>
      <c r="BH270" s="49">
        <v>146.5</v>
      </c>
      <c r="BI270" s="49">
        <v>136.5</v>
      </c>
      <c r="BJ270" s="49">
        <v>116.5</v>
      </c>
      <c r="BK270" s="49">
        <v>1081.84643554688</v>
      </c>
      <c r="BL270" s="49">
        <v>28.09</v>
      </c>
      <c r="BM270" s="49">
        <v>1651.4</v>
      </c>
      <c r="BN270" s="49">
        <v>666</v>
      </c>
      <c r="BO270" s="49">
        <v>15836.2</v>
      </c>
      <c r="BP270" s="49">
        <v>5100.2</v>
      </c>
      <c r="BQ270" s="49">
        <v>876.9</v>
      </c>
      <c r="BR270" s="49">
        <v>413.37</v>
      </c>
      <c r="BS270" s="49">
        <v>397.07</v>
      </c>
      <c r="BT270" s="49">
        <v>8.5388999999999999</v>
      </c>
      <c r="BU270" s="41"/>
      <c r="BV270" s="41"/>
      <c r="BW270" s="41"/>
      <c r="BX270" s="41"/>
      <c r="BY270" s="41"/>
      <c r="BZ270" s="41"/>
      <c r="CA270" s="41"/>
      <c r="CB270" s="41"/>
      <c r="CC270" s="41"/>
      <c r="CD270" s="41"/>
      <c r="CE270" s="41"/>
      <c r="CF270" s="41"/>
      <c r="CG270" s="41"/>
      <c r="CH270" s="41"/>
      <c r="CI270" s="41"/>
      <c r="CJ270" s="41"/>
      <c r="CK270" s="41"/>
    </row>
    <row r="271" spans="1:89">
      <c r="A271" s="41" t="s">
        <v>400</v>
      </c>
      <c r="B271" s="51">
        <v>35.409999847409999</v>
      </c>
      <c r="C271" s="51">
        <v>36.70000076294</v>
      </c>
      <c r="D271" s="51">
        <v>34.119998931879998</v>
      </c>
      <c r="E271" s="51" t="s">
        <v>1574</v>
      </c>
      <c r="F271" s="51">
        <v>56.5</v>
      </c>
      <c r="G271" s="51" t="s">
        <v>1574</v>
      </c>
      <c r="H271" s="51">
        <v>2.16</v>
      </c>
      <c r="I271" s="51">
        <v>4.5999999999999996</v>
      </c>
      <c r="J271" s="51">
        <v>6.0303414353400004</v>
      </c>
      <c r="K271" s="51">
        <v>52.183479292919998</v>
      </c>
      <c r="L271" s="51">
        <v>2.1105</v>
      </c>
      <c r="M271" s="51">
        <v>3.1343000000000001</v>
      </c>
      <c r="N271" s="51">
        <v>2.2730000000000001</v>
      </c>
      <c r="O271" s="51">
        <v>1.3448</v>
      </c>
      <c r="P271" s="51">
        <v>0.89672989999999997</v>
      </c>
      <c r="Q271" s="51">
        <v>1.717589</v>
      </c>
      <c r="R271" s="51">
        <v>1.419967</v>
      </c>
      <c r="S271" s="51">
        <v>545</v>
      </c>
      <c r="T271" s="51">
        <v>904</v>
      </c>
      <c r="U271" s="51">
        <v>399</v>
      </c>
      <c r="V271" s="51">
        <v>720</v>
      </c>
      <c r="W271" s="51">
        <v>483</v>
      </c>
      <c r="X271" s="51" t="s">
        <v>1574</v>
      </c>
      <c r="Y271" s="51">
        <v>256</v>
      </c>
      <c r="Z271" s="51">
        <v>455</v>
      </c>
      <c r="AA271" s="51">
        <v>236</v>
      </c>
      <c r="AB271" s="51" t="s">
        <v>1574</v>
      </c>
      <c r="AC271" s="51" t="s">
        <v>1574</v>
      </c>
      <c r="AD271" s="51">
        <v>69.260000000000005</v>
      </c>
      <c r="AE271" s="51">
        <v>107.63</v>
      </c>
      <c r="AF271" s="51">
        <v>111.86</v>
      </c>
      <c r="AG271" s="51">
        <v>356.88</v>
      </c>
      <c r="AH271" s="51" t="s">
        <v>1574</v>
      </c>
      <c r="AI271" s="51" t="s">
        <v>1574</v>
      </c>
      <c r="AJ271" s="51" t="s">
        <v>1574</v>
      </c>
      <c r="AK271" s="51">
        <v>152.99</v>
      </c>
      <c r="AL271" s="51">
        <v>176</v>
      </c>
      <c r="AM271" s="51" t="s">
        <v>1574</v>
      </c>
      <c r="AN271" s="51">
        <v>0.4158</v>
      </c>
      <c r="AO271" s="51">
        <v>0.34160000000000001</v>
      </c>
      <c r="AP271" s="51">
        <v>2.3597999999999999</v>
      </c>
      <c r="AQ271" s="51">
        <v>0.74339786399999996</v>
      </c>
      <c r="AR271" s="51">
        <v>2.6244000000000001</v>
      </c>
      <c r="AS271" s="51">
        <v>10.1632982</v>
      </c>
      <c r="AT271" s="51">
        <v>0.42196426799999998</v>
      </c>
      <c r="AU271" s="51">
        <v>0.376328634</v>
      </c>
      <c r="AV271" s="51">
        <v>0.28510000000000002</v>
      </c>
      <c r="AW271" s="51">
        <v>2437.1</v>
      </c>
      <c r="AX271" s="51">
        <v>201.2</v>
      </c>
      <c r="AY271" s="51">
        <v>160</v>
      </c>
      <c r="AZ271" s="51" t="s">
        <v>1574</v>
      </c>
      <c r="BA271" s="51">
        <v>356.10651712509002</v>
      </c>
      <c r="BB271" s="51">
        <v>267.32</v>
      </c>
      <c r="BC271" s="51">
        <v>1.5847</v>
      </c>
      <c r="BD271" s="51" t="s">
        <v>1574</v>
      </c>
      <c r="BE271" s="51">
        <v>0.9012</v>
      </c>
      <c r="BF271" s="51">
        <v>51</v>
      </c>
      <c r="BG271" s="51">
        <v>137.5</v>
      </c>
      <c r="BH271" s="51">
        <v>142.5</v>
      </c>
      <c r="BI271" s="51">
        <v>136.5</v>
      </c>
      <c r="BJ271" s="51">
        <v>94.5</v>
      </c>
      <c r="BK271" s="51">
        <v>1130.88427734375</v>
      </c>
      <c r="BL271" s="51">
        <v>28.09</v>
      </c>
      <c r="BM271" s="51">
        <v>1655.3</v>
      </c>
      <c r="BN271" s="51">
        <v>674.3</v>
      </c>
      <c r="BO271" s="51">
        <v>15951.5</v>
      </c>
      <c r="BP271" s="51">
        <v>5496.1</v>
      </c>
      <c r="BQ271" s="51">
        <v>845.5</v>
      </c>
      <c r="BR271" s="51">
        <v>410.09</v>
      </c>
      <c r="BS271" s="51">
        <v>399.45</v>
      </c>
      <c r="BT271" s="51">
        <v>8.4481000000000002</v>
      </c>
      <c r="BU271" s="41"/>
      <c r="BV271" s="41"/>
      <c r="BW271" s="41"/>
      <c r="BX271" s="41"/>
      <c r="BY271" s="41"/>
      <c r="BZ271" s="41"/>
      <c r="CA271" s="41"/>
      <c r="CB271" s="41"/>
      <c r="CC271" s="41"/>
      <c r="CD271" s="41"/>
      <c r="CE271" s="41"/>
      <c r="CF271" s="41"/>
      <c r="CG271" s="41"/>
      <c r="CH271" s="41"/>
      <c r="CI271" s="41"/>
      <c r="CJ271" s="41"/>
      <c r="CK271" s="41"/>
    </row>
    <row r="272" spans="1:89">
      <c r="A272" s="48" t="s">
        <v>401</v>
      </c>
      <c r="B272" s="49">
        <v>35.049999491370002</v>
      </c>
      <c r="C272" s="49">
        <v>35.84999847412</v>
      </c>
      <c r="D272" s="49">
        <v>34</v>
      </c>
      <c r="E272" s="49">
        <v>35.299999999999997</v>
      </c>
      <c r="F272" s="49">
        <v>55.61</v>
      </c>
      <c r="G272" s="49" t="s">
        <v>1574</v>
      </c>
      <c r="H272" s="49">
        <v>2.23</v>
      </c>
      <c r="I272" s="49">
        <v>4.45</v>
      </c>
      <c r="J272" s="49">
        <v>6.0516223988900002</v>
      </c>
      <c r="K272" s="49">
        <v>52.334837269639998</v>
      </c>
      <c r="L272" s="49">
        <v>2.1922000000000001</v>
      </c>
      <c r="M272" s="49">
        <v>3.1785999999999999</v>
      </c>
      <c r="N272" s="49">
        <v>2.3075999999999999</v>
      </c>
      <c r="O272" s="49">
        <v>1.5295000000000001</v>
      </c>
      <c r="P272" s="49">
        <v>0.95013840000000005</v>
      </c>
      <c r="Q272" s="49">
        <v>1.91252</v>
      </c>
      <c r="R272" s="49">
        <v>1.725786</v>
      </c>
      <c r="S272" s="49">
        <v>536</v>
      </c>
      <c r="T272" s="49">
        <v>898</v>
      </c>
      <c r="U272" s="49">
        <v>390</v>
      </c>
      <c r="V272" s="49">
        <v>685</v>
      </c>
      <c r="W272" s="49">
        <v>502</v>
      </c>
      <c r="X272" s="49" t="s">
        <v>1574</v>
      </c>
      <c r="Y272" s="49">
        <v>262</v>
      </c>
      <c r="Z272" s="49">
        <v>455</v>
      </c>
      <c r="AA272" s="49">
        <v>242</v>
      </c>
      <c r="AB272" s="49" t="s">
        <v>1574</v>
      </c>
      <c r="AC272" s="49" t="s">
        <v>1574</v>
      </c>
      <c r="AD272" s="49">
        <v>72.569999999999993</v>
      </c>
      <c r="AE272" s="49">
        <v>115.35</v>
      </c>
      <c r="AF272" s="49">
        <v>116.04</v>
      </c>
      <c r="AG272" s="49">
        <v>321.24</v>
      </c>
      <c r="AH272" s="49" t="s">
        <v>1574</v>
      </c>
      <c r="AI272" s="49" t="s">
        <v>1574</v>
      </c>
      <c r="AJ272" s="49" t="s">
        <v>1574</v>
      </c>
      <c r="AK272" s="49">
        <v>148.41999999999999</v>
      </c>
      <c r="AL272" s="49">
        <v>173.06</v>
      </c>
      <c r="AM272" s="49" t="s">
        <v>1574</v>
      </c>
      <c r="AN272" s="49">
        <v>0.42459999999999998</v>
      </c>
      <c r="AO272" s="49">
        <v>0.31519999999999998</v>
      </c>
      <c r="AP272" s="49">
        <v>2.3809999999999998</v>
      </c>
      <c r="AQ272" s="49">
        <v>0.75530281200000005</v>
      </c>
      <c r="AR272" s="49">
        <v>2.9613999999999998</v>
      </c>
      <c r="AS272" s="49">
        <v>10.029999999999999</v>
      </c>
      <c r="AT272" s="49">
        <v>0.41557086999999998</v>
      </c>
      <c r="AU272" s="49">
        <v>0.40035899200000002</v>
      </c>
      <c r="AV272" s="49">
        <v>0.28620000000000001</v>
      </c>
      <c r="AW272" s="49">
        <v>2471.1</v>
      </c>
      <c r="AX272" s="49">
        <v>197.42</v>
      </c>
      <c r="AY272" s="49">
        <v>163.27000000000001</v>
      </c>
      <c r="AZ272" s="49" t="s">
        <v>1574</v>
      </c>
      <c r="BA272" s="49">
        <v>360.01830530786998</v>
      </c>
      <c r="BB272" s="49">
        <v>255.47</v>
      </c>
      <c r="BC272" s="49">
        <v>1.5454000000000001</v>
      </c>
      <c r="BD272" s="49" t="s">
        <v>1574</v>
      </c>
      <c r="BE272" s="49">
        <v>0.90849999999999997</v>
      </c>
      <c r="BF272" s="49">
        <v>51</v>
      </c>
      <c r="BG272" s="49">
        <v>135</v>
      </c>
      <c r="BH272" s="49">
        <v>155</v>
      </c>
      <c r="BI272" s="49">
        <v>112.5</v>
      </c>
      <c r="BJ272" s="49">
        <v>94.5</v>
      </c>
      <c r="BK272" s="49">
        <v>1113.3</v>
      </c>
      <c r="BL272" s="49">
        <v>32.5</v>
      </c>
      <c r="BM272" s="49">
        <v>1610.6</v>
      </c>
      <c r="BN272" s="49">
        <v>648.20000000000005</v>
      </c>
      <c r="BO272" s="49">
        <v>16133.1</v>
      </c>
      <c r="BP272" s="49">
        <v>5628.8</v>
      </c>
      <c r="BQ272" s="49">
        <v>818.5</v>
      </c>
      <c r="BR272" s="49">
        <v>384.14</v>
      </c>
      <c r="BS272" s="49">
        <v>369.59</v>
      </c>
      <c r="BT272" s="49">
        <v>7.9881000000000002</v>
      </c>
      <c r="BU272" s="41"/>
      <c r="BV272" s="41"/>
      <c r="BW272" s="41"/>
      <c r="BX272" s="41"/>
      <c r="BY272" s="41"/>
      <c r="BZ272" s="41"/>
      <c r="CA272" s="41"/>
      <c r="CB272" s="41"/>
      <c r="CC272" s="41"/>
      <c r="CD272" s="41"/>
      <c r="CE272" s="41"/>
      <c r="CF272" s="41"/>
      <c r="CG272" s="41"/>
      <c r="CH272" s="41"/>
      <c r="CI272" s="41"/>
      <c r="CJ272" s="41"/>
      <c r="CK272" s="41"/>
    </row>
    <row r="273" spans="1:89">
      <c r="A273" s="41" t="s">
        <v>402</v>
      </c>
      <c r="B273" s="51">
        <v>32.273333485919999</v>
      </c>
      <c r="C273" s="51">
        <v>31.620000839229998</v>
      </c>
      <c r="D273" s="51">
        <v>30.39999961853</v>
      </c>
      <c r="E273" s="51">
        <v>34.799999999999997</v>
      </c>
      <c r="F273" s="51">
        <v>55.61</v>
      </c>
      <c r="G273" s="51" t="s">
        <v>1574</v>
      </c>
      <c r="H273" s="51">
        <v>2.2999999999999998</v>
      </c>
      <c r="I273" s="51">
        <v>4.45</v>
      </c>
      <c r="J273" s="51">
        <v>6.0516223988900002</v>
      </c>
      <c r="K273" s="51">
        <v>53.184873377800002</v>
      </c>
      <c r="L273" s="51">
        <v>2.0871</v>
      </c>
      <c r="M273" s="51">
        <v>3.4045999999999998</v>
      </c>
      <c r="N273" s="51">
        <v>2.5167999999999999</v>
      </c>
      <c r="O273" s="51">
        <v>1.5270999999999999</v>
      </c>
      <c r="P273" s="51">
        <v>0.98571770000000003</v>
      </c>
      <c r="Q273" s="51">
        <v>1.899607</v>
      </c>
      <c r="R273" s="51">
        <v>1.6959930000000001</v>
      </c>
      <c r="S273" s="51">
        <v>526</v>
      </c>
      <c r="T273" s="51">
        <v>868</v>
      </c>
      <c r="U273" s="51">
        <v>369</v>
      </c>
      <c r="V273" s="51">
        <v>685</v>
      </c>
      <c r="W273" s="51">
        <v>528</v>
      </c>
      <c r="X273" s="51" t="s">
        <v>1574</v>
      </c>
      <c r="Y273" s="51">
        <v>254</v>
      </c>
      <c r="Z273" s="51">
        <v>454</v>
      </c>
      <c r="AA273" s="51">
        <v>235</v>
      </c>
      <c r="AB273" s="51" t="s">
        <v>1574</v>
      </c>
      <c r="AC273" s="51" t="s">
        <v>1574</v>
      </c>
      <c r="AD273" s="51">
        <v>75.89</v>
      </c>
      <c r="AE273" s="51">
        <v>112.59</v>
      </c>
      <c r="AF273" s="51">
        <v>112.73</v>
      </c>
      <c r="AG273" s="51">
        <v>302.82</v>
      </c>
      <c r="AH273" s="51" t="s">
        <v>1574</v>
      </c>
      <c r="AI273" s="51" t="s">
        <v>1574</v>
      </c>
      <c r="AJ273" s="51" t="s">
        <v>1574</v>
      </c>
      <c r="AK273" s="51">
        <v>153.74</v>
      </c>
      <c r="AL273" s="51">
        <v>170.86</v>
      </c>
      <c r="AM273" s="51" t="s">
        <v>1574</v>
      </c>
      <c r="AN273" s="51">
        <v>0.38319999999999999</v>
      </c>
      <c r="AO273" s="51">
        <v>0.30199999999999999</v>
      </c>
      <c r="AP273" s="51">
        <v>2.3809999999999998</v>
      </c>
      <c r="AQ273" s="51">
        <v>0.76742822200000005</v>
      </c>
      <c r="AR273" s="51">
        <v>2.7618</v>
      </c>
      <c r="AS273" s="51">
        <v>11.46</v>
      </c>
      <c r="AT273" s="51">
        <v>0.40212268800000001</v>
      </c>
      <c r="AU273" s="51">
        <v>0.39176097399999998</v>
      </c>
      <c r="AV273" s="51">
        <v>0.28839999999999999</v>
      </c>
      <c r="AW273" s="51">
        <v>2535.7399999999998</v>
      </c>
      <c r="AX273" s="51">
        <v>191.11</v>
      </c>
      <c r="AY273" s="51">
        <v>154.81</v>
      </c>
      <c r="AZ273" s="51" t="s">
        <v>1574</v>
      </c>
      <c r="BA273" s="51">
        <v>349.82157993750002</v>
      </c>
      <c r="BB273" s="51">
        <v>235.29</v>
      </c>
      <c r="BC273" s="51">
        <v>1.5421</v>
      </c>
      <c r="BD273" s="51" t="s">
        <v>1574</v>
      </c>
      <c r="BE273" s="51">
        <v>0.87939999999999996</v>
      </c>
      <c r="BF273" s="51">
        <v>51</v>
      </c>
      <c r="BG273" s="51">
        <v>190</v>
      </c>
      <c r="BH273" s="51">
        <v>157.5</v>
      </c>
      <c r="BI273" s="51">
        <v>130</v>
      </c>
      <c r="BJ273" s="51">
        <v>94.5</v>
      </c>
      <c r="BK273" s="51">
        <v>1087.7</v>
      </c>
      <c r="BL273" s="51">
        <v>32.5</v>
      </c>
      <c r="BM273" s="51">
        <v>1598</v>
      </c>
      <c r="BN273" s="51">
        <v>618</v>
      </c>
      <c r="BO273" s="51">
        <v>15992.6</v>
      </c>
      <c r="BP273" s="51">
        <v>5716.8</v>
      </c>
      <c r="BQ273" s="51">
        <v>822.9</v>
      </c>
      <c r="BR273" s="51">
        <v>374.13</v>
      </c>
      <c r="BS273" s="51">
        <v>359.63</v>
      </c>
      <c r="BT273" s="51">
        <v>8.2848000000000006</v>
      </c>
      <c r="BU273" s="41"/>
      <c r="BV273" s="41"/>
      <c r="BW273" s="41"/>
      <c r="BX273" s="41"/>
      <c r="BY273" s="41"/>
      <c r="BZ273" s="41"/>
      <c r="CA273" s="41"/>
      <c r="CB273" s="41"/>
      <c r="CC273" s="41"/>
      <c r="CD273" s="41"/>
      <c r="CE273" s="41"/>
      <c r="CF273" s="41"/>
      <c r="CG273" s="41"/>
      <c r="CH273" s="41"/>
      <c r="CI273" s="41"/>
      <c r="CJ273" s="41"/>
      <c r="CK273" s="41"/>
    </row>
    <row r="274" spans="1:89">
      <c r="A274" s="48" t="s">
        <v>403</v>
      </c>
      <c r="B274" s="49">
        <v>30.16666653951</v>
      </c>
      <c r="C274" s="49">
        <v>29.29999923706</v>
      </c>
      <c r="D274" s="49">
        <v>28.60000038147</v>
      </c>
      <c r="E274" s="49">
        <v>32.6</v>
      </c>
      <c r="F274" s="49">
        <v>55.61</v>
      </c>
      <c r="G274" s="49" t="s">
        <v>1574</v>
      </c>
      <c r="H274" s="49">
        <v>2.35</v>
      </c>
      <c r="I274" s="49">
        <v>4.45</v>
      </c>
      <c r="J274" s="49">
        <v>6.0516223988900002</v>
      </c>
      <c r="K274" s="49">
        <v>53.792042026479997</v>
      </c>
      <c r="L274" s="49">
        <v>1.946</v>
      </c>
      <c r="M274" s="49">
        <v>3.2195999999999998</v>
      </c>
      <c r="N274" s="49">
        <v>2.4685000000000001</v>
      </c>
      <c r="O274" s="49">
        <v>1.528</v>
      </c>
      <c r="P274" s="49">
        <v>1.02176</v>
      </c>
      <c r="Q274" s="49">
        <v>1.881284</v>
      </c>
      <c r="R274" s="49">
        <v>1.680917</v>
      </c>
      <c r="S274" s="49">
        <v>480</v>
      </c>
      <c r="T274" s="49">
        <v>855</v>
      </c>
      <c r="U274" s="49">
        <v>357</v>
      </c>
      <c r="V274" s="49">
        <v>644</v>
      </c>
      <c r="W274" s="49">
        <v>507</v>
      </c>
      <c r="X274" s="49" t="s">
        <v>1574</v>
      </c>
      <c r="Y274" s="49">
        <v>254.25</v>
      </c>
      <c r="Z274" s="49">
        <v>452</v>
      </c>
      <c r="AA274" s="49">
        <v>226.35</v>
      </c>
      <c r="AB274" s="49" t="s">
        <v>1574</v>
      </c>
      <c r="AC274" s="49" t="s">
        <v>1574</v>
      </c>
      <c r="AD274" s="49">
        <v>70.92</v>
      </c>
      <c r="AE274" s="49">
        <v>114.17</v>
      </c>
      <c r="AF274" s="49">
        <v>112</v>
      </c>
      <c r="AG274" s="49">
        <v>305.27999999999997</v>
      </c>
      <c r="AH274" s="49" t="s">
        <v>1574</v>
      </c>
      <c r="AI274" s="49" t="s">
        <v>1574</v>
      </c>
      <c r="AJ274" s="49" t="s">
        <v>1574</v>
      </c>
      <c r="AK274" s="49">
        <v>141.83000000000001</v>
      </c>
      <c r="AL274" s="49">
        <v>168.65</v>
      </c>
      <c r="AM274" s="49" t="s">
        <v>1574</v>
      </c>
      <c r="AN274" s="49">
        <v>0.42149999999999999</v>
      </c>
      <c r="AO274" s="49">
        <v>0.32440000000000002</v>
      </c>
      <c r="AP274" s="49">
        <v>2.3809999999999998</v>
      </c>
      <c r="AQ274" s="49">
        <v>0.762578058</v>
      </c>
      <c r="AR274" s="49">
        <v>2.6564999999999999</v>
      </c>
      <c r="AS274" s="49">
        <v>12.79</v>
      </c>
      <c r="AT274" s="49">
        <v>0.39440651799999998</v>
      </c>
      <c r="AU274" s="49">
        <v>0.37765140600000002</v>
      </c>
      <c r="AV274" s="49">
        <v>0.24840000000000001</v>
      </c>
      <c r="AW274" s="49">
        <v>2566.2600000000002</v>
      </c>
      <c r="AX274" s="49">
        <v>187.23</v>
      </c>
      <c r="AY274" s="49">
        <v>151.18</v>
      </c>
      <c r="AZ274" s="49" t="s">
        <v>1574</v>
      </c>
      <c r="BA274" s="49">
        <v>345.36798383453998</v>
      </c>
      <c r="BB274" s="49">
        <v>240.94</v>
      </c>
      <c r="BC274" s="49">
        <v>1.5528999999999999</v>
      </c>
      <c r="BD274" s="49" t="s">
        <v>1574</v>
      </c>
      <c r="BE274" s="49">
        <v>0.877</v>
      </c>
      <c r="BF274" s="49">
        <v>51</v>
      </c>
      <c r="BG274" s="49">
        <v>190</v>
      </c>
      <c r="BH274" s="49">
        <v>140</v>
      </c>
      <c r="BI274" s="49">
        <v>130</v>
      </c>
      <c r="BJ274" s="49">
        <v>94.5</v>
      </c>
      <c r="BK274" s="49">
        <v>1029.2</v>
      </c>
      <c r="BL274" s="49">
        <v>32.5</v>
      </c>
      <c r="BM274" s="49">
        <v>1510.4</v>
      </c>
      <c r="BN274" s="49">
        <v>612.5</v>
      </c>
      <c r="BO274" s="49">
        <v>12766.3</v>
      </c>
      <c r="BP274" s="49">
        <v>5653.3</v>
      </c>
      <c r="BQ274" s="49">
        <v>789.7</v>
      </c>
      <c r="BR274" s="49">
        <v>330.25</v>
      </c>
      <c r="BS274" s="49">
        <v>317.62</v>
      </c>
      <c r="BT274" s="49">
        <v>7.2327000000000004</v>
      </c>
      <c r="BU274" s="41"/>
      <c r="BV274" s="41"/>
      <c r="BW274" s="41"/>
      <c r="BX274" s="41"/>
      <c r="BY274" s="41"/>
      <c r="BZ274" s="41"/>
      <c r="CA274" s="41"/>
      <c r="CB274" s="41"/>
      <c r="CC274" s="41"/>
      <c r="CD274" s="41"/>
      <c r="CE274" s="41"/>
      <c r="CF274" s="41"/>
      <c r="CG274" s="41"/>
      <c r="CH274" s="41"/>
      <c r="CI274" s="41"/>
      <c r="CJ274" s="41"/>
      <c r="CK274" s="41"/>
    </row>
    <row r="275" spans="1:89">
      <c r="A275" s="41" t="s">
        <v>404</v>
      </c>
      <c r="B275" s="51">
        <v>31.56666603088</v>
      </c>
      <c r="C275" s="51">
        <v>33.119998931879998</v>
      </c>
      <c r="D275" s="51">
        <v>30.879999160770002</v>
      </c>
      <c r="E275" s="51">
        <v>30.7</v>
      </c>
      <c r="F275" s="51">
        <v>55.61</v>
      </c>
      <c r="G275" s="51" t="s">
        <v>1574</v>
      </c>
      <c r="H275" s="51">
        <v>2.4</v>
      </c>
      <c r="I275" s="51">
        <v>4.45</v>
      </c>
      <c r="J275" s="51">
        <v>6.0516223988900002</v>
      </c>
      <c r="K275" s="51">
        <v>54.399210675170004</v>
      </c>
      <c r="L275" s="51">
        <v>1.7408999999999999</v>
      </c>
      <c r="M275" s="51">
        <v>3.1223999999999998</v>
      </c>
      <c r="N275" s="51">
        <v>2.3454999999999999</v>
      </c>
      <c r="O275" s="51">
        <v>1.5287999999999999</v>
      </c>
      <c r="P275" s="51">
        <v>1.054616</v>
      </c>
      <c r="Q275" s="51">
        <v>1.8647069999999999</v>
      </c>
      <c r="R275" s="51">
        <v>1.667133</v>
      </c>
      <c r="S275" s="51">
        <v>502</v>
      </c>
      <c r="T275" s="51">
        <v>838</v>
      </c>
      <c r="U275" s="51">
        <v>357</v>
      </c>
      <c r="V275" s="51">
        <v>679</v>
      </c>
      <c r="W275" s="51">
        <v>509</v>
      </c>
      <c r="X275" s="51" t="s">
        <v>1574</v>
      </c>
      <c r="Y275" s="51">
        <v>265</v>
      </c>
      <c r="Z275" s="51">
        <v>482</v>
      </c>
      <c r="AA275" s="51">
        <v>230</v>
      </c>
      <c r="AB275" s="51" t="s">
        <v>1574</v>
      </c>
      <c r="AC275" s="51" t="s">
        <v>1574</v>
      </c>
      <c r="AD275" s="51">
        <v>70.22</v>
      </c>
      <c r="AE275" s="51">
        <v>117.76</v>
      </c>
      <c r="AF275" s="51">
        <v>114.6</v>
      </c>
      <c r="AG275" s="51">
        <v>291.27999999999997</v>
      </c>
      <c r="AH275" s="51" t="s">
        <v>1574</v>
      </c>
      <c r="AI275" s="51" t="s">
        <v>1574</v>
      </c>
      <c r="AJ275" s="51" t="s">
        <v>1574</v>
      </c>
      <c r="AK275" s="51">
        <v>148.58000000000001</v>
      </c>
      <c r="AL275" s="51">
        <v>169.76</v>
      </c>
      <c r="AM275" s="51" t="s">
        <v>1574</v>
      </c>
      <c r="AN275" s="51">
        <v>0.47639999999999999</v>
      </c>
      <c r="AO275" s="51">
        <v>0.34649999999999997</v>
      </c>
      <c r="AP275" s="51">
        <v>2.403</v>
      </c>
      <c r="AQ275" s="51">
        <v>0.75949158999999999</v>
      </c>
      <c r="AR275" s="51">
        <v>2.5499999999999998</v>
      </c>
      <c r="AS275" s="51">
        <v>13.45</v>
      </c>
      <c r="AT275" s="51">
        <v>0.38867450599999998</v>
      </c>
      <c r="AU275" s="51">
        <v>0.39440651799999998</v>
      </c>
      <c r="AV275" s="51">
        <v>0.21029999999999999</v>
      </c>
      <c r="AW275" s="51">
        <v>2610.86</v>
      </c>
      <c r="AX275" s="51">
        <v>184.19</v>
      </c>
      <c r="AY275" s="51">
        <v>148.88999999999999</v>
      </c>
      <c r="AZ275" s="51" t="s">
        <v>1574</v>
      </c>
      <c r="BA275" s="51">
        <v>342.53307813825</v>
      </c>
      <c r="BB275" s="51">
        <v>235.85</v>
      </c>
      <c r="BC275" s="51">
        <v>1.5767</v>
      </c>
      <c r="BD275" s="51" t="s">
        <v>1574</v>
      </c>
      <c r="BE275" s="51">
        <v>0.88670000000000004</v>
      </c>
      <c r="BF275" s="51">
        <v>51</v>
      </c>
      <c r="BG275" s="51">
        <v>168.5</v>
      </c>
      <c r="BH275" s="51">
        <v>135.5</v>
      </c>
      <c r="BI275" s="51">
        <v>122.5</v>
      </c>
      <c r="BJ275" s="51">
        <v>94.5</v>
      </c>
      <c r="BK275" s="51">
        <v>996.2</v>
      </c>
      <c r="BL275" s="51">
        <v>32.5</v>
      </c>
      <c r="BM275" s="51">
        <v>1521.7</v>
      </c>
      <c r="BN275" s="51">
        <v>574.70000000000005</v>
      </c>
      <c r="BO275" s="51">
        <v>12618.1</v>
      </c>
      <c r="BP275" s="51">
        <v>5394</v>
      </c>
      <c r="BQ275" s="51">
        <v>742.5</v>
      </c>
      <c r="BR275" s="51">
        <v>350.3</v>
      </c>
      <c r="BS275" s="51">
        <v>337.93</v>
      </c>
      <c r="BT275" s="51">
        <v>7.3087</v>
      </c>
      <c r="BU275" s="41"/>
      <c r="BV275" s="41"/>
      <c r="BW275" s="41"/>
      <c r="BX275" s="41"/>
      <c r="BY275" s="41"/>
      <c r="BZ275" s="41"/>
      <c r="CA275" s="41"/>
      <c r="CB275" s="41"/>
      <c r="CC275" s="41"/>
      <c r="CD275" s="41"/>
      <c r="CE275" s="41"/>
      <c r="CF275" s="41"/>
      <c r="CG275" s="41"/>
      <c r="CH275" s="41"/>
      <c r="CI275" s="41"/>
      <c r="CJ275" s="41"/>
      <c r="CK275" s="41"/>
    </row>
    <row r="276" spans="1:89">
      <c r="A276" s="48" t="s">
        <v>405</v>
      </c>
      <c r="B276" s="49">
        <v>33.043332926429997</v>
      </c>
      <c r="C276" s="49">
        <v>35.180000305180002</v>
      </c>
      <c r="D276" s="49">
        <v>33.34999847412</v>
      </c>
      <c r="E276" s="49">
        <v>30.6</v>
      </c>
      <c r="F276" s="49">
        <v>55.61</v>
      </c>
      <c r="G276" s="49" t="s">
        <v>1574</v>
      </c>
      <c r="H276" s="49">
        <v>2.4500000000000002</v>
      </c>
      <c r="I276" s="49">
        <v>4.45</v>
      </c>
      <c r="J276" s="49">
        <v>6.0516223988900002</v>
      </c>
      <c r="K276" s="49">
        <v>55.006379323849998</v>
      </c>
      <c r="L276" s="49">
        <v>1.7190000000000001</v>
      </c>
      <c r="M276" s="49">
        <v>3.0333000000000001</v>
      </c>
      <c r="N276" s="49">
        <v>2.2822</v>
      </c>
      <c r="O276" s="49">
        <v>1.5471999999999999</v>
      </c>
      <c r="P276" s="49">
        <v>1.0638300000000001</v>
      </c>
      <c r="Q276" s="49">
        <v>1.881284</v>
      </c>
      <c r="R276" s="49">
        <v>1.6964920000000001</v>
      </c>
      <c r="S276" s="49">
        <v>493</v>
      </c>
      <c r="T276" s="49">
        <v>802</v>
      </c>
      <c r="U276" s="49">
        <v>362</v>
      </c>
      <c r="V276" s="49">
        <v>645</v>
      </c>
      <c r="W276" s="49">
        <v>511</v>
      </c>
      <c r="X276" s="49" t="s">
        <v>1574</v>
      </c>
      <c r="Y276" s="49">
        <v>269</v>
      </c>
      <c r="Z276" s="49">
        <v>509</v>
      </c>
      <c r="AA276" s="49">
        <v>234</v>
      </c>
      <c r="AB276" s="49" t="s">
        <v>1574</v>
      </c>
      <c r="AC276" s="49" t="s">
        <v>1574</v>
      </c>
      <c r="AD276" s="49">
        <v>76.209999999999994</v>
      </c>
      <c r="AE276" s="49">
        <v>118.11</v>
      </c>
      <c r="AF276" s="49">
        <v>116.73</v>
      </c>
      <c r="AG276" s="49">
        <v>278.52</v>
      </c>
      <c r="AH276" s="49" t="s">
        <v>1574</v>
      </c>
      <c r="AI276" s="49" t="s">
        <v>1574</v>
      </c>
      <c r="AJ276" s="49" t="s">
        <v>1574</v>
      </c>
      <c r="AK276" s="49">
        <v>128.26</v>
      </c>
      <c r="AL276" s="49">
        <v>167.55</v>
      </c>
      <c r="AM276" s="49" t="s">
        <v>1574</v>
      </c>
      <c r="AN276" s="49">
        <v>0.43809999999999999</v>
      </c>
      <c r="AO276" s="49">
        <v>0.3725</v>
      </c>
      <c r="AP276" s="49">
        <v>2.4140999999999999</v>
      </c>
      <c r="AQ276" s="49">
        <v>0.76985330399999996</v>
      </c>
      <c r="AR276" s="49">
        <v>2.5398000000000001</v>
      </c>
      <c r="AS276" s="49">
        <v>13.89</v>
      </c>
      <c r="AT276" s="49">
        <v>0.40234314999999998</v>
      </c>
      <c r="AU276" s="49">
        <v>0.43144413399999998</v>
      </c>
      <c r="AV276" s="49">
        <v>0.1792</v>
      </c>
      <c r="AW276" s="49">
        <v>2652.52</v>
      </c>
      <c r="AX276" s="49">
        <v>191.1</v>
      </c>
      <c r="AY276" s="49">
        <v>152.71</v>
      </c>
      <c r="AZ276" s="49" t="s">
        <v>1574</v>
      </c>
      <c r="BA276" s="49">
        <v>347.25105097004001</v>
      </c>
      <c r="BB276" s="49">
        <v>233.8</v>
      </c>
      <c r="BC276" s="49">
        <v>1.6887000000000001</v>
      </c>
      <c r="BD276" s="49" t="s">
        <v>1574</v>
      </c>
      <c r="BE276" s="49">
        <v>0.89710000000000001</v>
      </c>
      <c r="BF276" s="49">
        <v>48.4</v>
      </c>
      <c r="BG276" s="49">
        <v>166</v>
      </c>
      <c r="BH276" s="49">
        <v>138.5</v>
      </c>
      <c r="BI276" s="49">
        <v>122.5</v>
      </c>
      <c r="BJ276" s="49">
        <v>90</v>
      </c>
      <c r="BK276" s="49">
        <v>973.3</v>
      </c>
      <c r="BL276" s="49">
        <v>32.5</v>
      </c>
      <c r="BM276" s="49">
        <v>1527.7</v>
      </c>
      <c r="BN276" s="49">
        <v>574.70000000000005</v>
      </c>
      <c r="BO276" s="49">
        <v>12735.9</v>
      </c>
      <c r="BP276" s="49">
        <v>5211.8999999999996</v>
      </c>
      <c r="BQ276" s="49">
        <v>750.2</v>
      </c>
      <c r="BR276" s="49">
        <v>333.71</v>
      </c>
      <c r="BS276" s="49">
        <v>310.39</v>
      </c>
      <c r="BT276" s="49">
        <v>6.6833999999999998</v>
      </c>
      <c r="BU276" s="41"/>
      <c r="BV276" s="41"/>
      <c r="BW276" s="41"/>
      <c r="BX276" s="41"/>
      <c r="BY276" s="41"/>
      <c r="BZ276" s="41"/>
      <c r="CA276" s="41"/>
      <c r="CB276" s="41"/>
      <c r="CC276" s="41"/>
      <c r="CD276" s="41"/>
      <c r="CE276" s="41"/>
      <c r="CF276" s="41"/>
      <c r="CG276" s="41"/>
      <c r="CH276" s="41"/>
      <c r="CI276" s="41"/>
      <c r="CJ276" s="41"/>
      <c r="CK276" s="41"/>
    </row>
    <row r="277" spans="1:89">
      <c r="A277" s="41" t="s">
        <v>406</v>
      </c>
      <c r="B277" s="51">
        <v>32.766666666669998</v>
      </c>
      <c r="C277" s="51">
        <v>34.59999847412</v>
      </c>
      <c r="D277" s="51">
        <v>32.65000152588</v>
      </c>
      <c r="E277" s="51">
        <v>31.05</v>
      </c>
      <c r="F277" s="51">
        <v>55.61</v>
      </c>
      <c r="G277" s="51" t="s">
        <v>1574</v>
      </c>
      <c r="H277" s="51">
        <v>2.4500000000000002</v>
      </c>
      <c r="I277" s="51">
        <v>4.45</v>
      </c>
      <c r="J277" s="51">
        <v>6.0516223988900002</v>
      </c>
      <c r="K277" s="51">
        <v>55.006379323849998</v>
      </c>
      <c r="L277" s="51">
        <v>1.5488</v>
      </c>
      <c r="M277" s="51">
        <v>3.1004</v>
      </c>
      <c r="N277" s="51">
        <v>2.2408000000000001</v>
      </c>
      <c r="O277" s="51">
        <v>1.4964999999999999</v>
      </c>
      <c r="P277" s="51">
        <v>0.98981710000000001</v>
      </c>
      <c r="Q277" s="51">
        <v>1.850921</v>
      </c>
      <c r="R277" s="51">
        <v>1.648676</v>
      </c>
      <c r="S277" s="51">
        <v>497</v>
      </c>
      <c r="T277" s="51">
        <v>770</v>
      </c>
      <c r="U277" s="51">
        <v>348</v>
      </c>
      <c r="V277" s="51">
        <v>599</v>
      </c>
      <c r="W277" s="51">
        <v>494</v>
      </c>
      <c r="X277" s="51" t="s">
        <v>1574</v>
      </c>
      <c r="Y277" s="51">
        <v>254</v>
      </c>
      <c r="Z277" s="51">
        <v>475</v>
      </c>
      <c r="AA277" s="51">
        <v>222</v>
      </c>
      <c r="AB277" s="51" t="s">
        <v>1574</v>
      </c>
      <c r="AC277" s="51" t="s">
        <v>1574</v>
      </c>
      <c r="AD277" s="51">
        <v>71.87</v>
      </c>
      <c r="AE277" s="51">
        <v>114.95</v>
      </c>
      <c r="AF277" s="51">
        <v>110.45</v>
      </c>
      <c r="AG277" s="51">
        <v>270.66000000000003</v>
      </c>
      <c r="AH277" s="51" t="s">
        <v>1574</v>
      </c>
      <c r="AI277" s="51" t="s">
        <v>1574</v>
      </c>
      <c r="AJ277" s="51" t="s">
        <v>1574</v>
      </c>
      <c r="AK277" s="51">
        <v>125.7</v>
      </c>
      <c r="AL277" s="51">
        <v>155.79</v>
      </c>
      <c r="AM277" s="51" t="s">
        <v>1574</v>
      </c>
      <c r="AN277" s="51">
        <v>0.3997</v>
      </c>
      <c r="AO277" s="51">
        <v>0.40899999999999997</v>
      </c>
      <c r="AP277" s="51">
        <v>2.3809999999999998</v>
      </c>
      <c r="AQ277" s="51">
        <v>0.77867178400000003</v>
      </c>
      <c r="AR277" s="51">
        <v>2.4270999999999998</v>
      </c>
      <c r="AS277" s="51">
        <v>13.89</v>
      </c>
      <c r="AT277" s="51">
        <v>0.38073787399999998</v>
      </c>
      <c r="AU277" s="51">
        <v>0.46363158599999998</v>
      </c>
      <c r="AV277" s="51">
        <v>0.151</v>
      </c>
      <c r="AW277" s="51">
        <v>2635.91</v>
      </c>
      <c r="AX277" s="51">
        <v>174.8</v>
      </c>
      <c r="AY277" s="51">
        <v>140.38999999999999</v>
      </c>
      <c r="AZ277" s="51" t="s">
        <v>1574</v>
      </c>
      <c r="BA277" s="51">
        <v>331.83077789316002</v>
      </c>
      <c r="BB277" s="51">
        <v>207.5</v>
      </c>
      <c r="BC277" s="51">
        <v>1.6675</v>
      </c>
      <c r="BD277" s="51" t="s">
        <v>1574</v>
      </c>
      <c r="BE277" s="51">
        <v>0.84299999999999997</v>
      </c>
      <c r="BF277" s="51">
        <v>44.5</v>
      </c>
      <c r="BG277" s="51">
        <v>167</v>
      </c>
      <c r="BH277" s="51">
        <v>133</v>
      </c>
      <c r="BI277" s="51">
        <v>122.5</v>
      </c>
      <c r="BJ277" s="51">
        <v>75</v>
      </c>
      <c r="BK277" s="51">
        <v>918.8</v>
      </c>
      <c r="BL277" s="51">
        <v>32.5</v>
      </c>
      <c r="BM277" s="51">
        <v>1300</v>
      </c>
      <c r="BN277" s="51">
        <v>520.70000000000005</v>
      </c>
      <c r="BO277" s="51">
        <v>11087</v>
      </c>
      <c r="BP277" s="51">
        <v>5186.6000000000004</v>
      </c>
      <c r="BQ277" s="51">
        <v>691.9</v>
      </c>
      <c r="BR277" s="51">
        <v>314.98</v>
      </c>
      <c r="BS277" s="51">
        <v>276.26</v>
      </c>
      <c r="BT277" s="51">
        <v>5.5616000000000003</v>
      </c>
      <c r="BU277" s="41"/>
      <c r="BV277" s="41"/>
      <c r="BW277" s="41"/>
      <c r="BX277" s="41"/>
      <c r="BY277" s="41"/>
      <c r="BZ277" s="41"/>
      <c r="CA277" s="41"/>
      <c r="CB277" s="41"/>
      <c r="CC277" s="41"/>
      <c r="CD277" s="41"/>
      <c r="CE277" s="41"/>
      <c r="CF277" s="41"/>
      <c r="CG277" s="41"/>
      <c r="CH277" s="41"/>
      <c r="CI277" s="41"/>
      <c r="CJ277" s="41"/>
      <c r="CK277" s="41"/>
    </row>
    <row r="278" spans="1:89">
      <c r="A278" s="48" t="s">
        <v>407</v>
      </c>
      <c r="B278" s="49">
        <v>32.916667175290002</v>
      </c>
      <c r="C278" s="49">
        <v>33.70000076294</v>
      </c>
      <c r="D278" s="49">
        <v>31.70000076294</v>
      </c>
      <c r="E278" s="49">
        <v>33.35</v>
      </c>
      <c r="F278" s="49">
        <v>55.61</v>
      </c>
      <c r="G278" s="49" t="s">
        <v>1574</v>
      </c>
      <c r="H278" s="49">
        <v>2.4700000000000002</v>
      </c>
      <c r="I278" s="49">
        <v>4.45</v>
      </c>
      <c r="J278" s="49">
        <v>6.0516223988900002</v>
      </c>
      <c r="K278" s="49">
        <v>55.249246783319997</v>
      </c>
      <c r="L278" s="49">
        <v>1.5565</v>
      </c>
      <c r="M278" s="49">
        <v>2.9434</v>
      </c>
      <c r="N278" s="49">
        <v>2.1678000000000002</v>
      </c>
      <c r="O278" s="49">
        <v>1.5182</v>
      </c>
      <c r="P278" s="49">
        <v>1.0929329999999999</v>
      </c>
      <c r="Q278" s="49">
        <v>1.8298080000000001</v>
      </c>
      <c r="R278" s="49">
        <v>1.6319779999999999</v>
      </c>
      <c r="S278" s="49">
        <v>465</v>
      </c>
      <c r="T278" s="49">
        <v>798</v>
      </c>
      <c r="U278" s="49">
        <v>335</v>
      </c>
      <c r="V278" s="49">
        <v>570</v>
      </c>
      <c r="W278" s="49">
        <v>421</v>
      </c>
      <c r="X278" s="49" t="s">
        <v>1574</v>
      </c>
      <c r="Y278" s="49">
        <v>249</v>
      </c>
      <c r="Z278" s="49">
        <v>464</v>
      </c>
      <c r="AA278" s="49">
        <v>212</v>
      </c>
      <c r="AB278" s="49" t="s">
        <v>1574</v>
      </c>
      <c r="AC278" s="49" t="s">
        <v>1574</v>
      </c>
      <c r="AD278" s="49">
        <v>58.56</v>
      </c>
      <c r="AE278" s="49">
        <v>114.95</v>
      </c>
      <c r="AF278" s="49">
        <v>102.69</v>
      </c>
      <c r="AG278" s="49">
        <v>261.82</v>
      </c>
      <c r="AH278" s="49" t="s">
        <v>1574</v>
      </c>
      <c r="AI278" s="49" t="s">
        <v>1574</v>
      </c>
      <c r="AJ278" s="49" t="s">
        <v>1574</v>
      </c>
      <c r="AK278" s="49">
        <v>127.52</v>
      </c>
      <c r="AL278" s="49">
        <v>151.75</v>
      </c>
      <c r="AM278" s="49" t="s">
        <v>1574</v>
      </c>
      <c r="AN278" s="49">
        <v>0.32719999999999999</v>
      </c>
      <c r="AO278" s="49">
        <v>0.43219999999999997</v>
      </c>
      <c r="AP278" s="49">
        <v>2.2267000000000001</v>
      </c>
      <c r="AQ278" s="49">
        <v>0.78660841599999998</v>
      </c>
      <c r="AR278" s="49">
        <v>2.3769999999999998</v>
      </c>
      <c r="AS278" s="49">
        <v>12.68</v>
      </c>
      <c r="AT278" s="49">
        <v>0.408516086</v>
      </c>
      <c r="AU278" s="49">
        <v>0.48832333</v>
      </c>
      <c r="AV278" s="49">
        <v>0.1726</v>
      </c>
      <c r="AW278" s="49">
        <v>2597.12</v>
      </c>
      <c r="AX278" s="49">
        <v>168</v>
      </c>
      <c r="AY278" s="49">
        <v>140.59</v>
      </c>
      <c r="AZ278" s="49" t="s">
        <v>1574</v>
      </c>
      <c r="BA278" s="49">
        <v>332.08596693516</v>
      </c>
      <c r="BB278" s="49">
        <v>225.4</v>
      </c>
      <c r="BC278" s="49">
        <v>1.73</v>
      </c>
      <c r="BD278" s="49" t="s">
        <v>1574</v>
      </c>
      <c r="BE278" s="49">
        <v>0.83030000000000004</v>
      </c>
      <c r="BF278" s="49">
        <v>37.375</v>
      </c>
      <c r="BG278" s="49">
        <v>168</v>
      </c>
      <c r="BH278" s="49">
        <v>133.5</v>
      </c>
      <c r="BI278" s="49">
        <v>122.5</v>
      </c>
      <c r="BJ278" s="49">
        <v>77.5</v>
      </c>
      <c r="BK278" s="49">
        <v>957.8</v>
      </c>
      <c r="BL278" s="49">
        <v>32.5</v>
      </c>
      <c r="BM278" s="49">
        <v>1440.9</v>
      </c>
      <c r="BN278" s="49">
        <v>552.4</v>
      </c>
      <c r="BO278" s="49">
        <v>11316.6</v>
      </c>
      <c r="BP278" s="49">
        <v>5068.6000000000004</v>
      </c>
      <c r="BQ278" s="49">
        <v>726.9</v>
      </c>
      <c r="BR278" s="49">
        <v>338.97</v>
      </c>
      <c r="BS278" s="49">
        <v>287.97000000000003</v>
      </c>
      <c r="BT278" s="49">
        <v>6.4626000000000001</v>
      </c>
      <c r="BU278" s="41"/>
      <c r="BV278" s="41"/>
      <c r="BW278" s="41"/>
      <c r="BX278" s="41"/>
      <c r="BY278" s="41"/>
      <c r="BZ278" s="41"/>
      <c r="CA278" s="41"/>
      <c r="CB278" s="41"/>
      <c r="CC278" s="41"/>
      <c r="CD278" s="41"/>
      <c r="CE278" s="41"/>
      <c r="CF278" s="41"/>
      <c r="CG278" s="41"/>
      <c r="CH278" s="41"/>
      <c r="CI278" s="41"/>
      <c r="CJ278" s="41"/>
      <c r="CK278" s="41"/>
    </row>
    <row r="279" spans="1:89">
      <c r="A279" s="41" t="s">
        <v>408</v>
      </c>
      <c r="B279" s="51">
        <v>32.416666412349997</v>
      </c>
      <c r="C279" s="51">
        <v>32.84999847412</v>
      </c>
      <c r="D279" s="51">
        <v>31.20000076294</v>
      </c>
      <c r="E279" s="51">
        <v>33.200000000000003</v>
      </c>
      <c r="F279" s="51">
        <v>55.61</v>
      </c>
      <c r="G279" s="51" t="s">
        <v>1574</v>
      </c>
      <c r="H279" s="51">
        <v>2.5299999999999998</v>
      </c>
      <c r="I279" s="51">
        <v>4.45</v>
      </c>
      <c r="J279" s="51">
        <v>6.0516223988900002</v>
      </c>
      <c r="K279" s="51">
        <v>55.977849161739996</v>
      </c>
      <c r="L279" s="51">
        <v>1.5463</v>
      </c>
      <c r="M279" s="51">
        <v>2.9308000000000001</v>
      </c>
      <c r="N279" s="51">
        <v>2.2477999999999998</v>
      </c>
      <c r="O279" s="51">
        <v>1.5741000000000001</v>
      </c>
      <c r="P279" s="51">
        <v>1.272562</v>
      </c>
      <c r="Q279" s="51">
        <v>1.8264910000000001</v>
      </c>
      <c r="R279" s="51">
        <v>1.6233059999999999</v>
      </c>
      <c r="S279" s="51">
        <v>412</v>
      </c>
      <c r="T279" s="51">
        <v>770</v>
      </c>
      <c r="U279" s="51">
        <v>320</v>
      </c>
      <c r="V279" s="51">
        <v>572</v>
      </c>
      <c r="W279" s="51">
        <v>396</v>
      </c>
      <c r="X279" s="51" t="s">
        <v>1574</v>
      </c>
      <c r="Y279" s="51">
        <v>234</v>
      </c>
      <c r="Z279" s="51">
        <v>432</v>
      </c>
      <c r="AA279" s="51">
        <v>203</v>
      </c>
      <c r="AB279" s="51" t="s">
        <v>1574</v>
      </c>
      <c r="AC279" s="51" t="s">
        <v>1574</v>
      </c>
      <c r="AD279" s="51">
        <v>59.26</v>
      </c>
      <c r="AE279" s="51">
        <v>102.28</v>
      </c>
      <c r="AF279" s="51">
        <v>100.31</v>
      </c>
      <c r="AG279" s="51">
        <v>266.73</v>
      </c>
      <c r="AH279" s="51" t="s">
        <v>1574</v>
      </c>
      <c r="AI279" s="51" t="s">
        <v>1574</v>
      </c>
      <c r="AJ279" s="51" t="s">
        <v>1574</v>
      </c>
      <c r="AK279" s="51">
        <v>123.8</v>
      </c>
      <c r="AL279" s="51">
        <v>152.49</v>
      </c>
      <c r="AM279" s="51" t="s">
        <v>1574</v>
      </c>
      <c r="AN279" s="51">
        <v>0.30270000000000002</v>
      </c>
      <c r="AO279" s="51">
        <v>0.52690000000000003</v>
      </c>
      <c r="AP279" s="51">
        <v>2.2421000000000002</v>
      </c>
      <c r="AQ279" s="51">
        <v>0.75772789399999996</v>
      </c>
      <c r="AR279" s="51">
        <v>2.2677999999999998</v>
      </c>
      <c r="AS279" s="51">
        <v>13.12</v>
      </c>
      <c r="AT279" s="51">
        <v>0.405870542</v>
      </c>
      <c r="AU279" s="51">
        <v>0.49493719000000003</v>
      </c>
      <c r="AV279" s="51">
        <v>0.14899999999999999</v>
      </c>
      <c r="AW279" s="51">
        <v>2554.87</v>
      </c>
      <c r="AX279" s="51">
        <v>166.3</v>
      </c>
      <c r="AY279" s="51">
        <v>140.11000000000001</v>
      </c>
      <c r="AZ279" s="51" t="s">
        <v>1574</v>
      </c>
      <c r="BA279" s="51">
        <v>331.47323211807998</v>
      </c>
      <c r="BB279" s="51">
        <v>230.3</v>
      </c>
      <c r="BC279" s="51">
        <v>1.6568000000000001</v>
      </c>
      <c r="BD279" s="51" t="s">
        <v>1574</v>
      </c>
      <c r="BE279" s="51">
        <v>0.84330000000000005</v>
      </c>
      <c r="BF279" s="51">
        <v>35</v>
      </c>
      <c r="BG279" s="51">
        <v>165.5</v>
      </c>
      <c r="BH279" s="51">
        <v>135.5</v>
      </c>
      <c r="BI279" s="51">
        <v>125</v>
      </c>
      <c r="BJ279" s="51">
        <v>77.5</v>
      </c>
      <c r="BK279" s="51">
        <v>958.9</v>
      </c>
      <c r="BL279" s="51">
        <v>32.5</v>
      </c>
      <c r="BM279" s="51">
        <v>1451.5</v>
      </c>
      <c r="BN279" s="51">
        <v>522.9</v>
      </c>
      <c r="BO279" s="51">
        <v>12195.7</v>
      </c>
      <c r="BP279" s="51">
        <v>4953.1000000000004</v>
      </c>
      <c r="BQ279" s="51">
        <v>715.5</v>
      </c>
      <c r="BR279" s="51">
        <v>364.23</v>
      </c>
      <c r="BS279" s="51">
        <v>296.81</v>
      </c>
      <c r="BT279" s="51">
        <v>7.1078000000000001</v>
      </c>
      <c r="BU279" s="41"/>
      <c r="BV279" s="41"/>
      <c r="BW279" s="41"/>
      <c r="BX279" s="41"/>
      <c r="BY279" s="41"/>
      <c r="BZ279" s="41"/>
      <c r="CA279" s="41"/>
      <c r="CB279" s="41"/>
      <c r="CC279" s="41"/>
      <c r="CD279" s="41"/>
      <c r="CE279" s="41"/>
      <c r="CF279" s="41"/>
      <c r="CG279" s="41"/>
      <c r="CH279" s="41"/>
      <c r="CI279" s="41"/>
      <c r="CJ279" s="41"/>
      <c r="CK279" s="41"/>
    </row>
    <row r="280" spans="1:89">
      <c r="A280" s="48" t="s">
        <v>409</v>
      </c>
      <c r="B280" s="49">
        <v>33.466666412350001</v>
      </c>
      <c r="C280" s="49">
        <v>34.25</v>
      </c>
      <c r="D280" s="49">
        <v>33.04999923706</v>
      </c>
      <c r="E280" s="49">
        <v>33.1</v>
      </c>
      <c r="F280" s="49">
        <v>55.61</v>
      </c>
      <c r="G280" s="49" t="s">
        <v>1574</v>
      </c>
      <c r="H280" s="49">
        <v>2.56</v>
      </c>
      <c r="I280" s="49">
        <v>4.45</v>
      </c>
      <c r="J280" s="49">
        <v>6.0516223988900002</v>
      </c>
      <c r="K280" s="49">
        <v>56.34215035095</v>
      </c>
      <c r="L280" s="49">
        <v>1.6851</v>
      </c>
      <c r="M280" s="49">
        <v>3.0042</v>
      </c>
      <c r="N280" s="49">
        <v>2.4091999999999998</v>
      </c>
      <c r="O280" s="49">
        <v>1.6328</v>
      </c>
      <c r="P280" s="49">
        <v>1.4686049999999999</v>
      </c>
      <c r="Q280" s="49">
        <v>1.814103</v>
      </c>
      <c r="R280" s="49">
        <v>1.6157760000000001</v>
      </c>
      <c r="S280" s="49">
        <v>411</v>
      </c>
      <c r="T280" s="49">
        <v>750</v>
      </c>
      <c r="U280" s="49">
        <v>319</v>
      </c>
      <c r="V280" s="49">
        <v>530</v>
      </c>
      <c r="W280" s="49">
        <v>380</v>
      </c>
      <c r="X280" s="49" t="s">
        <v>1574</v>
      </c>
      <c r="Y280" s="49">
        <v>217</v>
      </c>
      <c r="Z280" s="49">
        <v>426</v>
      </c>
      <c r="AA280" s="49">
        <v>196</v>
      </c>
      <c r="AB280" s="49" t="s">
        <v>1574</v>
      </c>
      <c r="AC280" s="49" t="s">
        <v>1574</v>
      </c>
      <c r="AD280" s="49">
        <v>54.92</v>
      </c>
      <c r="AE280" s="49">
        <v>100.88</v>
      </c>
      <c r="AF280" s="49">
        <v>97.08</v>
      </c>
      <c r="AG280" s="49">
        <v>252</v>
      </c>
      <c r="AH280" s="49" t="s">
        <v>1574</v>
      </c>
      <c r="AI280" s="49" t="s">
        <v>1574</v>
      </c>
      <c r="AJ280" s="49" t="s">
        <v>1574</v>
      </c>
      <c r="AK280" s="49">
        <v>120.45</v>
      </c>
      <c r="AL280" s="49">
        <v>152.85</v>
      </c>
      <c r="AM280" s="49" t="s">
        <v>1574</v>
      </c>
      <c r="AN280" s="49">
        <v>0.34789999999999999</v>
      </c>
      <c r="AO280" s="49">
        <v>0.4728</v>
      </c>
      <c r="AP280" s="49">
        <v>2.4249999999999998</v>
      </c>
      <c r="AQ280" s="49">
        <v>0.76191667200000002</v>
      </c>
      <c r="AR280" s="49">
        <v>2.1835</v>
      </c>
      <c r="AS280" s="49">
        <v>14.55</v>
      </c>
      <c r="AT280" s="49">
        <v>0.40124083999999999</v>
      </c>
      <c r="AU280" s="49">
        <v>0.460324656</v>
      </c>
      <c r="AV280" s="49">
        <v>0.13</v>
      </c>
      <c r="AW280" s="49">
        <v>2585.79</v>
      </c>
      <c r="AX280" s="49">
        <v>162.79</v>
      </c>
      <c r="AY280" s="49">
        <v>140.59</v>
      </c>
      <c r="AZ280" s="49" t="s">
        <v>1574</v>
      </c>
      <c r="BA280" s="49">
        <v>332.08596693516</v>
      </c>
      <c r="BB280" s="49">
        <v>239.1</v>
      </c>
      <c r="BC280" s="49">
        <v>1.6039000000000001</v>
      </c>
      <c r="BD280" s="49" t="s">
        <v>1574</v>
      </c>
      <c r="BE280" s="49">
        <v>0.85319999999999996</v>
      </c>
      <c r="BF280" s="49">
        <v>35</v>
      </c>
      <c r="BG280" s="49">
        <v>167</v>
      </c>
      <c r="BH280" s="49">
        <v>135</v>
      </c>
      <c r="BI280" s="49">
        <v>125</v>
      </c>
      <c r="BJ280" s="49">
        <v>77</v>
      </c>
      <c r="BK280" s="49">
        <v>959.5</v>
      </c>
      <c r="BL280" s="49">
        <v>32.5</v>
      </c>
      <c r="BM280" s="49">
        <v>1426.5</v>
      </c>
      <c r="BN280" s="49">
        <v>515.29999999999995</v>
      </c>
      <c r="BO280" s="49">
        <v>12675.7</v>
      </c>
      <c r="BP280" s="49">
        <v>4310.3</v>
      </c>
      <c r="BQ280" s="49">
        <v>749.5</v>
      </c>
      <c r="BR280" s="49">
        <v>437.31</v>
      </c>
      <c r="BS280" s="49">
        <v>334.13</v>
      </c>
      <c r="BT280" s="49">
        <v>8.7818000000000005</v>
      </c>
      <c r="BU280" s="41"/>
      <c r="BV280" s="41"/>
      <c r="BW280" s="41"/>
      <c r="BX280" s="41"/>
      <c r="BY280" s="41"/>
      <c r="BZ280" s="41"/>
      <c r="CA280" s="41"/>
      <c r="CB280" s="41"/>
      <c r="CC280" s="41"/>
      <c r="CD280" s="41"/>
      <c r="CE280" s="41"/>
      <c r="CF280" s="41"/>
      <c r="CG280" s="41"/>
      <c r="CH280" s="41"/>
      <c r="CI280" s="41"/>
      <c r="CJ280" s="41"/>
      <c r="CK280" s="41"/>
    </row>
    <row r="281" spans="1:89">
      <c r="A281" s="41" t="s">
        <v>410</v>
      </c>
      <c r="B281" s="51">
        <v>33.783333841960001</v>
      </c>
      <c r="C281" s="51">
        <v>35</v>
      </c>
      <c r="D281" s="51">
        <v>33.40000152588</v>
      </c>
      <c r="E281" s="51">
        <v>32.950000000000003</v>
      </c>
      <c r="F281" s="51">
        <v>55.61</v>
      </c>
      <c r="G281" s="51" t="s">
        <v>1574</v>
      </c>
      <c r="H281" s="51">
        <v>2.6</v>
      </c>
      <c r="I281" s="51">
        <v>4.45</v>
      </c>
      <c r="J281" s="51">
        <v>6.0516223988900002</v>
      </c>
      <c r="K281" s="51">
        <v>56.827885269900001</v>
      </c>
      <c r="L281" s="51">
        <v>1.6335</v>
      </c>
      <c r="M281" s="51">
        <v>3.0954999999999999</v>
      </c>
      <c r="N281" s="51">
        <v>2.5855999999999999</v>
      </c>
      <c r="O281" s="51">
        <v>1.5694999999999999</v>
      </c>
      <c r="P281" s="51">
        <v>1.3008710000000001</v>
      </c>
      <c r="Q281" s="51">
        <v>1.805377</v>
      </c>
      <c r="R281" s="51">
        <v>1.6021730000000001</v>
      </c>
      <c r="S281" s="51">
        <v>406</v>
      </c>
      <c r="T281" s="51">
        <v>851</v>
      </c>
      <c r="U281" s="51">
        <v>326</v>
      </c>
      <c r="V281" s="51">
        <v>470</v>
      </c>
      <c r="W281" s="51">
        <v>355</v>
      </c>
      <c r="X281" s="51" t="s">
        <v>1574</v>
      </c>
      <c r="Y281" s="51">
        <v>214</v>
      </c>
      <c r="Z281" s="51">
        <v>416</v>
      </c>
      <c r="AA281" s="51">
        <v>192</v>
      </c>
      <c r="AB281" s="51" t="s">
        <v>1574</v>
      </c>
      <c r="AC281" s="51" t="s">
        <v>1574</v>
      </c>
      <c r="AD281" s="51">
        <v>50.27</v>
      </c>
      <c r="AE281" s="51">
        <v>91.73</v>
      </c>
      <c r="AF281" s="51">
        <v>97.94</v>
      </c>
      <c r="AG281" s="51">
        <v>235.06</v>
      </c>
      <c r="AH281" s="51" t="s">
        <v>1574</v>
      </c>
      <c r="AI281" s="51" t="s">
        <v>1574</v>
      </c>
      <c r="AJ281" s="51" t="s">
        <v>1574</v>
      </c>
      <c r="AK281" s="51">
        <v>112.86</v>
      </c>
      <c r="AL281" s="51">
        <v>146.61000000000001</v>
      </c>
      <c r="AM281" s="51" t="s">
        <v>1574</v>
      </c>
      <c r="AN281" s="51">
        <v>0.2944</v>
      </c>
      <c r="AO281" s="51">
        <v>0.4304</v>
      </c>
      <c r="AP281" s="51">
        <v>2.4802</v>
      </c>
      <c r="AQ281" s="51">
        <v>0.75287773000000002</v>
      </c>
      <c r="AR281" s="51">
        <v>2.0989</v>
      </c>
      <c r="AS281" s="51">
        <v>14.22</v>
      </c>
      <c r="AT281" s="51">
        <v>0.39661113799999997</v>
      </c>
      <c r="AU281" s="51">
        <v>0.45062432800000002</v>
      </c>
      <c r="AV281" s="51">
        <v>0.13020000000000001</v>
      </c>
      <c r="AW281" s="51">
        <v>2516.15</v>
      </c>
      <c r="AX281" s="51">
        <v>160.97</v>
      </c>
      <c r="AY281" s="51">
        <v>136.66</v>
      </c>
      <c r="AZ281" s="51" t="s">
        <v>1574</v>
      </c>
      <c r="BA281" s="51">
        <v>327.04046830703999</v>
      </c>
      <c r="BB281" s="51">
        <v>217.39</v>
      </c>
      <c r="BC281" s="51">
        <v>1.5479000000000001</v>
      </c>
      <c r="BD281" s="51" t="s">
        <v>1574</v>
      </c>
      <c r="BE281" s="51">
        <v>0.85099999999999998</v>
      </c>
      <c r="BF281" s="51">
        <v>35</v>
      </c>
      <c r="BG281" s="51">
        <v>163.5</v>
      </c>
      <c r="BH281" s="51">
        <v>134</v>
      </c>
      <c r="BI281" s="51">
        <v>127.5</v>
      </c>
      <c r="BJ281" s="51">
        <v>79</v>
      </c>
      <c r="BK281" s="51">
        <v>951.5</v>
      </c>
      <c r="BL281" s="51">
        <v>32.5</v>
      </c>
      <c r="BM281" s="51">
        <v>1461</v>
      </c>
      <c r="BN281" s="51">
        <v>497.4</v>
      </c>
      <c r="BO281" s="51">
        <v>12413.8</v>
      </c>
      <c r="BP281" s="51">
        <v>3916.5</v>
      </c>
      <c r="BQ281" s="51">
        <v>751.3</v>
      </c>
      <c r="BR281" s="51">
        <v>422.15</v>
      </c>
      <c r="BS281" s="51">
        <v>334.54</v>
      </c>
      <c r="BT281" s="51">
        <v>9.3874999999999993</v>
      </c>
      <c r="BU281" s="41"/>
      <c r="BV281" s="41"/>
      <c r="BW281" s="41"/>
      <c r="BX281" s="41"/>
      <c r="BY281" s="41"/>
      <c r="BZ281" s="41"/>
      <c r="CA281" s="41"/>
      <c r="CB281" s="41"/>
      <c r="CC281" s="41"/>
      <c r="CD281" s="41"/>
      <c r="CE281" s="41"/>
      <c r="CF281" s="41"/>
      <c r="CG281" s="41"/>
      <c r="CH281" s="41"/>
      <c r="CI281" s="41"/>
      <c r="CJ281" s="41"/>
      <c r="CK281" s="41"/>
    </row>
    <row r="282" spans="1:89">
      <c r="A282" s="48" t="s">
        <v>411</v>
      </c>
      <c r="B282" s="49">
        <v>32.849999745689999</v>
      </c>
      <c r="C282" s="49">
        <v>33.79999923706</v>
      </c>
      <c r="D282" s="49">
        <v>31.75</v>
      </c>
      <c r="E282" s="49">
        <v>33</v>
      </c>
      <c r="F282" s="49">
        <v>55.61</v>
      </c>
      <c r="G282" s="49" t="s">
        <v>1574</v>
      </c>
      <c r="H282" s="49">
        <v>2.62</v>
      </c>
      <c r="I282" s="49">
        <v>4.45</v>
      </c>
      <c r="J282" s="49">
        <v>6.0516223988900002</v>
      </c>
      <c r="K282" s="49">
        <v>57.07075272937</v>
      </c>
      <c r="L282" s="49">
        <v>1.5405</v>
      </c>
      <c r="M282" s="49">
        <v>3.0449999999999999</v>
      </c>
      <c r="N282" s="49">
        <v>2.6943000000000001</v>
      </c>
      <c r="O282" s="49">
        <v>1.5611999999999999</v>
      </c>
      <c r="P282" s="49">
        <v>1.3013699999999999</v>
      </c>
      <c r="Q282" s="49">
        <v>1.788799</v>
      </c>
      <c r="R282" s="49">
        <v>1.5934729999999999</v>
      </c>
      <c r="S282" s="49">
        <v>416</v>
      </c>
      <c r="T282" s="49">
        <v>868</v>
      </c>
      <c r="U282" s="49">
        <v>353</v>
      </c>
      <c r="V282" s="49">
        <v>474</v>
      </c>
      <c r="W282" s="49">
        <v>362</v>
      </c>
      <c r="X282" s="49" t="s">
        <v>1574</v>
      </c>
      <c r="Y282" s="49">
        <v>231</v>
      </c>
      <c r="Z282" s="49">
        <v>403</v>
      </c>
      <c r="AA282" s="49">
        <v>213</v>
      </c>
      <c r="AB282" s="49" t="s">
        <v>1574</v>
      </c>
      <c r="AC282" s="49" t="s">
        <v>1574</v>
      </c>
      <c r="AD282" s="49">
        <v>50.27</v>
      </c>
      <c r="AE282" s="49">
        <v>102.87</v>
      </c>
      <c r="AF282" s="49">
        <v>110.23</v>
      </c>
      <c r="AG282" s="49">
        <v>238.26</v>
      </c>
      <c r="AH282" s="49" t="s">
        <v>1574</v>
      </c>
      <c r="AI282" s="49" t="s">
        <v>1574</v>
      </c>
      <c r="AJ282" s="49" t="s">
        <v>1574</v>
      </c>
      <c r="AK282" s="49">
        <v>131.59</v>
      </c>
      <c r="AL282" s="49">
        <v>155.06</v>
      </c>
      <c r="AM282" s="49" t="s">
        <v>1574</v>
      </c>
      <c r="AN282" s="49">
        <v>0.3327</v>
      </c>
      <c r="AO282" s="49">
        <v>0.3916</v>
      </c>
      <c r="AP282" s="49">
        <v>2.4802</v>
      </c>
      <c r="AQ282" s="49">
        <v>0.74009093400000003</v>
      </c>
      <c r="AR282" s="49">
        <v>1.8782000000000001</v>
      </c>
      <c r="AS282" s="49">
        <v>14.44</v>
      </c>
      <c r="AT282" s="49">
        <v>0.39043820200000001</v>
      </c>
      <c r="AU282" s="49">
        <v>0.45834049799999999</v>
      </c>
      <c r="AV282" s="49">
        <v>0.14330000000000001</v>
      </c>
      <c r="AW282" s="49">
        <v>2485</v>
      </c>
      <c r="AX282" s="49">
        <v>159.4</v>
      </c>
      <c r="AY282" s="49">
        <v>140.78</v>
      </c>
      <c r="AZ282" s="49" t="s">
        <v>1574</v>
      </c>
      <c r="BA282" s="49">
        <v>332.32824189399003</v>
      </c>
      <c r="BB282" s="49">
        <v>221.6</v>
      </c>
      <c r="BC282" s="49">
        <v>1.5198</v>
      </c>
      <c r="BD282" s="49" t="s">
        <v>1574</v>
      </c>
      <c r="BE282" s="49">
        <v>0.82669999999999999</v>
      </c>
      <c r="BF282" s="49">
        <v>35</v>
      </c>
      <c r="BG282" s="49">
        <v>160.5</v>
      </c>
      <c r="BH282" s="49">
        <v>131.5</v>
      </c>
      <c r="BI282" s="49">
        <v>127.5</v>
      </c>
      <c r="BJ282" s="49">
        <v>72.5</v>
      </c>
      <c r="BK282" s="49">
        <v>965.2</v>
      </c>
      <c r="BL282" s="49">
        <v>32.5</v>
      </c>
      <c r="BM282" s="49">
        <v>1443.8</v>
      </c>
      <c r="BN282" s="49">
        <v>462.4</v>
      </c>
      <c r="BO282" s="49">
        <v>11981.9</v>
      </c>
      <c r="BP282" s="49">
        <v>3433.7</v>
      </c>
      <c r="BQ282" s="49">
        <v>710</v>
      </c>
      <c r="BR282" s="49">
        <v>414.89</v>
      </c>
      <c r="BS282" s="49">
        <v>345.91</v>
      </c>
      <c r="BT282" s="49">
        <v>9.7905999999999995</v>
      </c>
      <c r="BU282" s="41"/>
      <c r="BV282" s="41"/>
      <c r="BW282" s="41"/>
      <c r="BX282" s="41"/>
      <c r="BY282" s="41"/>
      <c r="BZ282" s="41"/>
      <c r="CA282" s="41"/>
      <c r="CB282" s="41"/>
      <c r="CC282" s="41"/>
      <c r="CD282" s="41"/>
      <c r="CE282" s="41"/>
      <c r="CF282" s="41"/>
      <c r="CG282" s="41"/>
      <c r="CH282" s="41"/>
      <c r="CI282" s="41"/>
      <c r="CJ282" s="41"/>
      <c r="CK282" s="41"/>
    </row>
    <row r="283" spans="1:89">
      <c r="A283" s="41" t="s">
        <v>412</v>
      </c>
      <c r="B283" s="51">
        <v>31.46666679382</v>
      </c>
      <c r="C283" s="51">
        <v>31.75</v>
      </c>
      <c r="D283" s="51">
        <v>30.10000038147</v>
      </c>
      <c r="E283" s="51">
        <v>32.549999999999997</v>
      </c>
      <c r="F283" s="51">
        <v>45.5</v>
      </c>
      <c r="G283" s="51" t="s">
        <v>1574</v>
      </c>
      <c r="H283" s="51">
        <v>2.62</v>
      </c>
      <c r="I283" s="51">
        <v>4.45</v>
      </c>
      <c r="J283" s="51">
        <v>6.0516223988900002</v>
      </c>
      <c r="K283" s="51">
        <v>57.07075272937</v>
      </c>
      <c r="L283" s="51">
        <v>1.6315</v>
      </c>
      <c r="M283" s="51">
        <v>2.9729000000000001</v>
      </c>
      <c r="N283" s="51">
        <v>2.8176999999999999</v>
      </c>
      <c r="O283" s="51">
        <v>1.5066999999999999</v>
      </c>
      <c r="P283" s="51">
        <v>1.237425</v>
      </c>
      <c r="Q283" s="51">
        <v>1.801887</v>
      </c>
      <c r="R283" s="51">
        <v>1.480788</v>
      </c>
      <c r="S283" s="51">
        <v>429</v>
      </c>
      <c r="T283" s="51">
        <v>862</v>
      </c>
      <c r="U283" s="51">
        <v>399</v>
      </c>
      <c r="V283" s="51">
        <v>466</v>
      </c>
      <c r="W283" s="51">
        <v>376</v>
      </c>
      <c r="X283" s="51" t="s">
        <v>1574</v>
      </c>
      <c r="Y283" s="51">
        <v>232</v>
      </c>
      <c r="Z283" s="51">
        <v>399</v>
      </c>
      <c r="AA283" s="51">
        <v>217</v>
      </c>
      <c r="AB283" s="51" t="s">
        <v>1574</v>
      </c>
      <c r="AC283" s="51" t="s">
        <v>1574</v>
      </c>
      <c r="AD283" s="51">
        <v>53.59</v>
      </c>
      <c r="AE283" s="51">
        <v>105.51</v>
      </c>
      <c r="AF283" s="51">
        <v>111.55</v>
      </c>
      <c r="AG283" s="51">
        <v>246.11</v>
      </c>
      <c r="AH283" s="51" t="s">
        <v>1574</v>
      </c>
      <c r="AI283" s="51" t="s">
        <v>1574</v>
      </c>
      <c r="AJ283" s="51" t="s">
        <v>1574</v>
      </c>
      <c r="AK283" s="51">
        <v>127.87</v>
      </c>
      <c r="AL283" s="51">
        <v>159.83000000000001</v>
      </c>
      <c r="AM283" s="51" t="s">
        <v>1574</v>
      </c>
      <c r="AN283" s="51">
        <v>0.34279999999999999</v>
      </c>
      <c r="AO283" s="51">
        <v>0.2913</v>
      </c>
      <c r="AP283" s="51">
        <v>2.4802</v>
      </c>
      <c r="AQ283" s="51">
        <v>0.72487905600000002</v>
      </c>
      <c r="AR283" s="51">
        <v>1.821</v>
      </c>
      <c r="AS283" s="51">
        <v>14.88</v>
      </c>
      <c r="AT283" s="51">
        <v>0.406972852</v>
      </c>
      <c r="AU283" s="51">
        <v>0.459222346</v>
      </c>
      <c r="AV283" s="51">
        <v>0.1391</v>
      </c>
      <c r="AW283" s="51">
        <v>2556.16</v>
      </c>
      <c r="AX283" s="51">
        <v>167.7</v>
      </c>
      <c r="AY283" s="51">
        <v>147.47</v>
      </c>
      <c r="AZ283" s="51" t="s">
        <v>1574</v>
      </c>
      <c r="BA283" s="51">
        <v>340.76510712684001</v>
      </c>
      <c r="BB283" s="51">
        <v>246.72</v>
      </c>
      <c r="BC283" s="51">
        <v>1.5355000000000001</v>
      </c>
      <c r="BD283" s="51" t="s">
        <v>1574</v>
      </c>
      <c r="BE283" s="51">
        <v>0.79590000000000005</v>
      </c>
      <c r="BF283" s="51">
        <v>41.25</v>
      </c>
      <c r="BG283" s="51">
        <v>158.5</v>
      </c>
      <c r="BH283" s="51">
        <v>132</v>
      </c>
      <c r="BI283" s="51">
        <v>120</v>
      </c>
      <c r="BJ283" s="51">
        <v>72.5</v>
      </c>
      <c r="BK283" s="51">
        <v>987.4</v>
      </c>
      <c r="BL283" s="51">
        <v>32.5</v>
      </c>
      <c r="BM283" s="51">
        <v>1473.2</v>
      </c>
      <c r="BN283" s="51">
        <v>448</v>
      </c>
      <c r="BO283" s="51">
        <v>11992.9</v>
      </c>
      <c r="BP283" s="51">
        <v>3576.3</v>
      </c>
      <c r="BQ283" s="51">
        <v>668.5</v>
      </c>
      <c r="BR283" s="51">
        <v>444.5</v>
      </c>
      <c r="BS283" s="51">
        <v>368.72</v>
      </c>
      <c r="BT283" s="51">
        <v>10.569100000000001</v>
      </c>
      <c r="BU283" s="41"/>
      <c r="BV283" s="41"/>
      <c r="BW283" s="41"/>
      <c r="BX283" s="41"/>
      <c r="BY283" s="41"/>
      <c r="BZ283" s="41"/>
      <c r="CA283" s="41"/>
      <c r="CB283" s="41"/>
      <c r="CC283" s="41"/>
      <c r="CD283" s="41"/>
      <c r="CE283" s="41"/>
      <c r="CF283" s="41"/>
      <c r="CG283" s="41"/>
      <c r="CH283" s="41"/>
      <c r="CI283" s="41"/>
      <c r="CJ283" s="41"/>
      <c r="CK283" s="41"/>
    </row>
    <row r="284" spans="1:89">
      <c r="A284" s="48" t="s">
        <v>413</v>
      </c>
      <c r="B284" s="49">
        <v>30.653333028159999</v>
      </c>
      <c r="C284" s="49">
        <v>30.85000038147</v>
      </c>
      <c r="D284" s="49">
        <v>30.04999923706</v>
      </c>
      <c r="E284" s="49">
        <v>31.059999465939999</v>
      </c>
      <c r="F284" s="49">
        <v>43</v>
      </c>
      <c r="G284" s="49" t="s">
        <v>1574</v>
      </c>
      <c r="H284" s="49">
        <v>2.66</v>
      </c>
      <c r="I284" s="49">
        <v>4.05</v>
      </c>
      <c r="J284" s="49">
        <v>5.5458157477299999</v>
      </c>
      <c r="K284" s="49">
        <v>55.312217676099998</v>
      </c>
      <c r="L284" s="49">
        <v>1.7784</v>
      </c>
      <c r="M284" s="49">
        <v>2.8651</v>
      </c>
      <c r="N284" s="49">
        <v>2.7450000000000001</v>
      </c>
      <c r="O284" s="49">
        <v>1.7617</v>
      </c>
      <c r="P284" s="49">
        <v>1.3767</v>
      </c>
      <c r="Q284" s="49">
        <v>1.9151260000000001</v>
      </c>
      <c r="R284" s="49">
        <v>1.99333</v>
      </c>
      <c r="S284" s="49">
        <v>435</v>
      </c>
      <c r="T284" s="49">
        <v>840</v>
      </c>
      <c r="U284" s="49">
        <v>439</v>
      </c>
      <c r="V284" s="49">
        <v>461</v>
      </c>
      <c r="W284" s="49">
        <v>372</v>
      </c>
      <c r="X284" s="49" t="s">
        <v>1574</v>
      </c>
      <c r="Y284" s="49">
        <v>235</v>
      </c>
      <c r="Z284" s="49">
        <v>397</v>
      </c>
      <c r="AA284" s="49">
        <v>216</v>
      </c>
      <c r="AB284" s="49" t="s">
        <v>1574</v>
      </c>
      <c r="AC284" s="49" t="s">
        <v>1574</v>
      </c>
      <c r="AD284" s="49">
        <v>53.59</v>
      </c>
      <c r="AE284" s="49">
        <v>107.84</v>
      </c>
      <c r="AF284" s="49">
        <v>114.64</v>
      </c>
      <c r="AG284" s="49">
        <v>239.97</v>
      </c>
      <c r="AH284" s="49" t="s">
        <v>1574</v>
      </c>
      <c r="AI284" s="49" t="s">
        <v>1574</v>
      </c>
      <c r="AJ284" s="49" t="s">
        <v>1574</v>
      </c>
      <c r="AK284" s="49">
        <v>131.15</v>
      </c>
      <c r="AL284" s="49">
        <v>164.98</v>
      </c>
      <c r="AM284" s="49" t="s">
        <v>1574</v>
      </c>
      <c r="AN284" s="49">
        <v>0.33800000000000002</v>
      </c>
      <c r="AO284" s="49">
        <v>0.28944999999999999</v>
      </c>
      <c r="AP284" s="49">
        <v>2.2839999999999998</v>
      </c>
      <c r="AQ284" s="49">
        <v>0.73061106799999997</v>
      </c>
      <c r="AR284" s="49">
        <v>1.7765</v>
      </c>
      <c r="AS284" s="49">
        <v>14.64</v>
      </c>
      <c r="AT284" s="49">
        <v>0.41005932</v>
      </c>
      <c r="AU284" s="49">
        <v>0.46804082600000002</v>
      </c>
      <c r="AV284" s="49">
        <v>0.13270000000000001</v>
      </c>
      <c r="AW284" s="49">
        <v>2572.2399999999998</v>
      </c>
      <c r="AX284" s="49">
        <v>169.88</v>
      </c>
      <c r="AY284" s="49">
        <v>145.53</v>
      </c>
      <c r="AZ284" s="49" t="s">
        <v>1574</v>
      </c>
      <c r="BA284" s="49">
        <v>338.33700223046998</v>
      </c>
      <c r="BB284" s="49">
        <v>244.7</v>
      </c>
      <c r="BC284" s="49">
        <v>1.5846</v>
      </c>
      <c r="BD284" s="49" t="s">
        <v>1574</v>
      </c>
      <c r="BE284" s="49">
        <v>0.82010000000000005</v>
      </c>
      <c r="BF284" s="49">
        <v>47.5</v>
      </c>
      <c r="BG284" s="49">
        <v>150.5</v>
      </c>
      <c r="BH284" s="49">
        <v>137.5</v>
      </c>
      <c r="BI284" s="49">
        <v>124.5</v>
      </c>
      <c r="BJ284" s="49">
        <v>75</v>
      </c>
      <c r="BK284" s="49">
        <v>1076.5</v>
      </c>
      <c r="BL284" s="49">
        <v>29</v>
      </c>
      <c r="BM284" s="49">
        <v>1571.9</v>
      </c>
      <c r="BN284" s="49">
        <v>475.3</v>
      </c>
      <c r="BO284" s="49">
        <v>12082.6</v>
      </c>
      <c r="BP284" s="49">
        <v>3797</v>
      </c>
      <c r="BQ284" s="49">
        <v>699.1</v>
      </c>
      <c r="BR284" s="49">
        <v>481.29</v>
      </c>
      <c r="BS284" s="49">
        <v>452.85</v>
      </c>
      <c r="BT284" s="49">
        <v>12.339</v>
      </c>
      <c r="BU284" s="41"/>
      <c r="BV284" s="41"/>
      <c r="BW284" s="41"/>
      <c r="BX284" s="41"/>
      <c r="BY284" s="41"/>
      <c r="BZ284" s="41"/>
      <c r="CA284" s="41"/>
      <c r="CB284" s="41"/>
      <c r="CC284" s="41"/>
      <c r="CD284" s="41"/>
      <c r="CE284" s="41"/>
      <c r="CF284" s="41"/>
      <c r="CG284" s="41"/>
      <c r="CH284" s="41"/>
      <c r="CI284" s="41"/>
      <c r="CJ284" s="41"/>
      <c r="CK284" s="41"/>
    </row>
    <row r="285" spans="1:89">
      <c r="A285" s="41" t="s">
        <v>414</v>
      </c>
      <c r="B285" s="51">
        <v>29.113333384200001</v>
      </c>
      <c r="C285" s="51">
        <v>29.10000038147</v>
      </c>
      <c r="D285" s="51">
        <v>29</v>
      </c>
      <c r="E285" s="51">
        <v>29.239999771120001</v>
      </c>
      <c r="F285" s="51">
        <v>43</v>
      </c>
      <c r="G285" s="51" t="s">
        <v>1574</v>
      </c>
      <c r="H285" s="51">
        <v>2.66</v>
      </c>
      <c r="I285" s="51">
        <v>4.05</v>
      </c>
      <c r="J285" s="51">
        <v>5.5458157477299999</v>
      </c>
      <c r="K285" s="51">
        <v>55.312217676099998</v>
      </c>
      <c r="L285" s="51">
        <v>1.9439</v>
      </c>
      <c r="M285" s="51">
        <v>2.7982999999999998</v>
      </c>
      <c r="N285" s="51">
        <v>2.6846000000000001</v>
      </c>
      <c r="O285" s="51">
        <v>1.8217000000000001</v>
      </c>
      <c r="P285" s="51">
        <v>1.500712</v>
      </c>
      <c r="Q285" s="51">
        <v>1.9911289999999999</v>
      </c>
      <c r="R285" s="51">
        <v>1.973322</v>
      </c>
      <c r="S285" s="51">
        <v>451</v>
      </c>
      <c r="T285" s="51">
        <v>820</v>
      </c>
      <c r="U285" s="51">
        <v>423</v>
      </c>
      <c r="V285" s="51">
        <v>452</v>
      </c>
      <c r="W285" s="51">
        <v>367</v>
      </c>
      <c r="X285" s="51" t="s">
        <v>1574</v>
      </c>
      <c r="Y285" s="51">
        <v>239</v>
      </c>
      <c r="Z285" s="51">
        <v>395</v>
      </c>
      <c r="AA285" s="51">
        <v>211</v>
      </c>
      <c r="AB285" s="51" t="s">
        <v>1574</v>
      </c>
      <c r="AC285" s="51" t="s">
        <v>1574</v>
      </c>
      <c r="AD285" s="51">
        <v>57.92</v>
      </c>
      <c r="AE285" s="51">
        <v>117.32</v>
      </c>
      <c r="AF285" s="51">
        <v>121.03</v>
      </c>
      <c r="AG285" s="51">
        <v>249.55</v>
      </c>
      <c r="AH285" s="51" t="s">
        <v>1574</v>
      </c>
      <c r="AI285" s="51" t="s">
        <v>1574</v>
      </c>
      <c r="AJ285" s="51" t="s">
        <v>1574</v>
      </c>
      <c r="AK285" s="51">
        <v>133.38</v>
      </c>
      <c r="AL285" s="51">
        <v>164.24</v>
      </c>
      <c r="AM285" s="51" t="s">
        <v>1574</v>
      </c>
      <c r="AN285" s="51">
        <v>0.38030000000000003</v>
      </c>
      <c r="AO285" s="51">
        <v>0.28889999999999999</v>
      </c>
      <c r="AP285" s="51">
        <v>2.3809999999999998</v>
      </c>
      <c r="AQ285" s="51">
        <v>0.74494109799999997</v>
      </c>
      <c r="AR285" s="51">
        <v>1.6675</v>
      </c>
      <c r="AS285" s="51">
        <v>14.37</v>
      </c>
      <c r="AT285" s="51">
        <v>0.40234314999999998</v>
      </c>
      <c r="AU285" s="51">
        <v>0.47972531200000001</v>
      </c>
      <c r="AV285" s="51">
        <v>0.14169999999999999</v>
      </c>
      <c r="AW285" s="51">
        <v>2598.64</v>
      </c>
      <c r="AX285" s="51">
        <v>167.1</v>
      </c>
      <c r="AY285" s="51">
        <v>127.51</v>
      </c>
      <c r="AZ285" s="51" t="s">
        <v>1574</v>
      </c>
      <c r="BA285" s="51">
        <v>315.02790413060001</v>
      </c>
      <c r="BB285" s="51">
        <v>234.9</v>
      </c>
      <c r="BC285" s="51">
        <v>1.6387</v>
      </c>
      <c r="BD285" s="51" t="s">
        <v>1574</v>
      </c>
      <c r="BE285" s="51">
        <v>0.94379999999999997</v>
      </c>
      <c r="BF285" s="51">
        <v>47.5</v>
      </c>
      <c r="BG285" s="51">
        <v>164</v>
      </c>
      <c r="BH285" s="51">
        <v>134.5</v>
      </c>
      <c r="BI285" s="51">
        <v>124.5</v>
      </c>
      <c r="BJ285" s="51">
        <v>75.5</v>
      </c>
      <c r="BK285" s="51">
        <v>1230.4000000000001</v>
      </c>
      <c r="BL285" s="51">
        <v>29</v>
      </c>
      <c r="BM285" s="51">
        <v>1647.4</v>
      </c>
      <c r="BN285" s="51">
        <v>454.5</v>
      </c>
      <c r="BO285" s="51">
        <v>13034.2</v>
      </c>
      <c r="BP285" s="51">
        <v>4228.2</v>
      </c>
      <c r="BQ285" s="51">
        <v>681.4</v>
      </c>
      <c r="BR285" s="51">
        <v>491.09</v>
      </c>
      <c r="BS285" s="51">
        <v>464.51</v>
      </c>
      <c r="BT285" s="51">
        <v>13.9756</v>
      </c>
      <c r="BU285" s="41"/>
      <c r="BV285" s="41"/>
      <c r="BW285" s="41"/>
      <c r="BX285" s="41"/>
      <c r="BY285" s="41"/>
      <c r="BZ285" s="41"/>
      <c r="CA285" s="41"/>
      <c r="CB285" s="41"/>
      <c r="CC285" s="41"/>
      <c r="CD285" s="41"/>
      <c r="CE285" s="41"/>
      <c r="CF285" s="41"/>
      <c r="CG285" s="41"/>
      <c r="CH285" s="41"/>
      <c r="CI285" s="41"/>
      <c r="CJ285" s="41"/>
      <c r="CK285" s="41"/>
    </row>
    <row r="286" spans="1:89">
      <c r="A286" s="48" t="s">
        <v>415</v>
      </c>
      <c r="B286" s="49">
        <v>28.32000033061</v>
      </c>
      <c r="C286" s="49">
        <v>28.20000076294</v>
      </c>
      <c r="D286" s="49">
        <v>28.10000038147</v>
      </c>
      <c r="E286" s="49">
        <v>28.659999847409999</v>
      </c>
      <c r="F286" s="49">
        <v>43</v>
      </c>
      <c r="G286" s="49" t="s">
        <v>1574</v>
      </c>
      <c r="H286" s="49">
        <v>2.58</v>
      </c>
      <c r="I286" s="49">
        <v>4.05</v>
      </c>
      <c r="J286" s="49">
        <v>5.5458157477299999</v>
      </c>
      <c r="K286" s="49">
        <v>54.34074783821</v>
      </c>
      <c r="L286" s="49">
        <v>1.8680000000000001</v>
      </c>
      <c r="M286" s="49">
        <v>2.7566999999999999</v>
      </c>
      <c r="N286" s="49">
        <v>2.6726999999999999</v>
      </c>
      <c r="O286" s="49">
        <v>1.8802000000000001</v>
      </c>
      <c r="P286" s="49">
        <v>1.7030719999999999</v>
      </c>
      <c r="Q286" s="49">
        <v>1.9710909999999999</v>
      </c>
      <c r="R286" s="49">
        <v>1.9663569999999999</v>
      </c>
      <c r="S286" s="49">
        <v>482.2</v>
      </c>
      <c r="T286" s="49">
        <v>815</v>
      </c>
      <c r="U286" s="49">
        <v>403.2</v>
      </c>
      <c r="V286" s="49">
        <v>445</v>
      </c>
      <c r="W286" s="49">
        <v>377.6</v>
      </c>
      <c r="X286" s="49" t="s">
        <v>1574</v>
      </c>
      <c r="Y286" s="49">
        <v>242</v>
      </c>
      <c r="Z286" s="49">
        <v>394</v>
      </c>
      <c r="AA286" s="49">
        <v>211.4</v>
      </c>
      <c r="AB286" s="49" t="s">
        <v>1574</v>
      </c>
      <c r="AC286" s="49" t="s">
        <v>1574</v>
      </c>
      <c r="AD286" s="49">
        <v>56.9</v>
      </c>
      <c r="AE286" s="49">
        <v>125.19</v>
      </c>
      <c r="AF286" s="49">
        <v>124.34</v>
      </c>
      <c r="AG286" s="49">
        <v>261.82</v>
      </c>
      <c r="AH286" s="49" t="s">
        <v>1574</v>
      </c>
      <c r="AI286" s="49" t="s">
        <v>1574</v>
      </c>
      <c r="AJ286" s="49" t="s">
        <v>1574</v>
      </c>
      <c r="AK286" s="49">
        <v>133.01</v>
      </c>
      <c r="AL286" s="49">
        <v>166.08</v>
      </c>
      <c r="AM286" s="49" t="s">
        <v>1574</v>
      </c>
      <c r="AN286" s="49">
        <v>0.40679999999999999</v>
      </c>
      <c r="AO286" s="49">
        <v>0.32790000000000002</v>
      </c>
      <c r="AP286" s="49">
        <v>2.4933999999999998</v>
      </c>
      <c r="AQ286" s="49">
        <v>0.74582294599999999</v>
      </c>
      <c r="AR286" s="49">
        <v>1.8159000000000001</v>
      </c>
      <c r="AS286" s="49">
        <v>13.78</v>
      </c>
      <c r="AT286" s="49">
        <v>0.40035899200000002</v>
      </c>
      <c r="AU286" s="49">
        <v>0.48192993200000001</v>
      </c>
      <c r="AV286" s="49">
        <v>0.13669999999999999</v>
      </c>
      <c r="AW286" s="49">
        <v>2601.79</v>
      </c>
      <c r="AX286" s="49">
        <v>164.03</v>
      </c>
      <c r="AY286" s="49">
        <v>125.49</v>
      </c>
      <c r="AZ286" s="49" t="s">
        <v>1574</v>
      </c>
      <c r="BA286" s="49">
        <v>312.32306327506001</v>
      </c>
      <c r="BB286" s="49">
        <v>243.3</v>
      </c>
      <c r="BC286" s="49">
        <v>1.7392000000000001</v>
      </c>
      <c r="BD286" s="49" t="s">
        <v>1574</v>
      </c>
      <c r="BE286" s="49">
        <v>1.0592999999999999</v>
      </c>
      <c r="BF286" s="49">
        <v>47.5</v>
      </c>
      <c r="BG286" s="49">
        <v>179.5</v>
      </c>
      <c r="BH286" s="49">
        <v>145</v>
      </c>
      <c r="BI286" s="49">
        <v>120</v>
      </c>
      <c r="BJ286" s="49">
        <v>75.5</v>
      </c>
      <c r="BK286" s="49">
        <v>1301.8</v>
      </c>
      <c r="BL286" s="49">
        <v>29</v>
      </c>
      <c r="BM286" s="49">
        <v>1597.7</v>
      </c>
      <c r="BN286" s="49">
        <v>443.3</v>
      </c>
      <c r="BO286" s="49">
        <v>13426</v>
      </c>
      <c r="BP286" s="49">
        <v>4831.8999999999996</v>
      </c>
      <c r="BQ286" s="49">
        <v>678.4</v>
      </c>
      <c r="BR286" s="49">
        <v>419.7</v>
      </c>
      <c r="BS286" s="49">
        <v>401.06</v>
      </c>
      <c r="BT286" s="49">
        <v>10.6403</v>
      </c>
      <c r="BU286" s="41"/>
      <c r="BV286" s="41"/>
      <c r="BW286" s="41"/>
      <c r="BX286" s="41"/>
      <c r="BY286" s="41"/>
      <c r="BZ286" s="41"/>
      <c r="CA286" s="41"/>
      <c r="CB286" s="41"/>
      <c r="CC286" s="41"/>
      <c r="CD286" s="41"/>
      <c r="CE286" s="41"/>
      <c r="CF286" s="41"/>
      <c r="CG286" s="41"/>
      <c r="CH286" s="41"/>
      <c r="CI286" s="41"/>
      <c r="CJ286" s="41"/>
      <c r="CK286" s="41"/>
    </row>
    <row r="287" spans="1:89">
      <c r="A287" s="41" t="s">
        <v>416</v>
      </c>
      <c r="B287" s="51">
        <v>29.693333307900001</v>
      </c>
      <c r="C287" s="51">
        <v>29.75</v>
      </c>
      <c r="D287" s="51">
        <v>28.70000076294</v>
      </c>
      <c r="E287" s="51">
        <v>30.629999160770002</v>
      </c>
      <c r="F287" s="51">
        <v>43</v>
      </c>
      <c r="G287" s="51" t="s">
        <v>1574</v>
      </c>
      <c r="H287" s="51">
        <v>2.5299999999999998</v>
      </c>
      <c r="I287" s="51">
        <v>4.05</v>
      </c>
      <c r="J287" s="51">
        <v>5.5458157477299999</v>
      </c>
      <c r="K287" s="51">
        <v>53.73357918952</v>
      </c>
      <c r="L287" s="51">
        <v>1.8772</v>
      </c>
      <c r="M287" s="51">
        <v>2.7505000000000002</v>
      </c>
      <c r="N287" s="51">
        <v>2.6726999999999999</v>
      </c>
      <c r="O287" s="51">
        <v>2.0491999999999999</v>
      </c>
      <c r="P287" s="51">
        <v>1.7831790000000001</v>
      </c>
      <c r="Q287" s="51">
        <v>2.404277</v>
      </c>
      <c r="R287" s="51">
        <v>1.9600900000000001</v>
      </c>
      <c r="S287" s="51">
        <v>576.29999999999995</v>
      </c>
      <c r="T287" s="51">
        <v>836</v>
      </c>
      <c r="U287" s="51">
        <v>440</v>
      </c>
      <c r="V287" s="51">
        <v>495</v>
      </c>
      <c r="W287" s="51">
        <v>418.5</v>
      </c>
      <c r="X287" s="51" t="s">
        <v>1574</v>
      </c>
      <c r="Y287" s="51">
        <v>252.5</v>
      </c>
      <c r="Z287" s="51">
        <v>434</v>
      </c>
      <c r="AA287" s="51">
        <v>219</v>
      </c>
      <c r="AB287" s="51" t="s">
        <v>1574</v>
      </c>
      <c r="AC287" s="51" t="s">
        <v>1574</v>
      </c>
      <c r="AD287" s="51">
        <v>66.900000000000006</v>
      </c>
      <c r="AE287" s="51">
        <v>133.43</v>
      </c>
      <c r="AF287" s="51">
        <v>132.06</v>
      </c>
      <c r="AG287" s="51">
        <v>261.82</v>
      </c>
      <c r="AH287" s="51" t="s">
        <v>1574</v>
      </c>
      <c r="AI287" s="51" t="s">
        <v>1574</v>
      </c>
      <c r="AJ287" s="51" t="s">
        <v>1574</v>
      </c>
      <c r="AK287" s="51">
        <v>137.05000000000001</v>
      </c>
      <c r="AL287" s="51">
        <v>167.18</v>
      </c>
      <c r="AM287" s="51" t="s">
        <v>1574</v>
      </c>
      <c r="AN287" s="51">
        <v>0.4793</v>
      </c>
      <c r="AO287" s="51">
        <v>0.40570000000000001</v>
      </c>
      <c r="AP287" s="51">
        <v>2.5440999999999998</v>
      </c>
      <c r="AQ287" s="51">
        <v>0.72179258800000001</v>
      </c>
      <c r="AR287" s="51">
        <v>2.1168</v>
      </c>
      <c r="AS287" s="51">
        <v>13.4</v>
      </c>
      <c r="AT287" s="51">
        <v>0.39418605600000001</v>
      </c>
      <c r="AU287" s="51">
        <v>0.49449626600000002</v>
      </c>
      <c r="AV287" s="51">
        <v>0.1479</v>
      </c>
      <c r="AW287" s="51">
        <v>2619.7600000000002</v>
      </c>
      <c r="AX287" s="51">
        <v>157.18</v>
      </c>
      <c r="AY287" s="51">
        <v>127.11</v>
      </c>
      <c r="AZ287" s="51" t="s">
        <v>1574</v>
      </c>
      <c r="BA287" s="51">
        <v>314.49386602833999</v>
      </c>
      <c r="BB287" s="51">
        <v>237.68</v>
      </c>
      <c r="BC287" s="51">
        <v>1.7686999999999999</v>
      </c>
      <c r="BD287" s="51" t="s">
        <v>1574</v>
      </c>
      <c r="BE287" s="51">
        <v>1.1343000000000001</v>
      </c>
      <c r="BF287" s="51">
        <v>47.5</v>
      </c>
      <c r="BG287" s="51">
        <v>180.5</v>
      </c>
      <c r="BH287" s="51">
        <v>136</v>
      </c>
      <c r="BI287" s="51">
        <v>109</v>
      </c>
      <c r="BJ287" s="51">
        <v>75.5</v>
      </c>
      <c r="BK287" s="51">
        <v>1363.6</v>
      </c>
      <c r="BL287" s="51">
        <v>29</v>
      </c>
      <c r="BM287" s="51">
        <v>1674.9</v>
      </c>
      <c r="BN287" s="51">
        <v>457.6</v>
      </c>
      <c r="BO287" s="51">
        <v>13792.8</v>
      </c>
      <c r="BP287" s="51">
        <v>4817.8</v>
      </c>
      <c r="BQ287" s="51">
        <v>697.5</v>
      </c>
      <c r="BR287" s="51">
        <v>432.88</v>
      </c>
      <c r="BS287" s="51">
        <v>413.68</v>
      </c>
      <c r="BT287" s="51">
        <v>11.6129</v>
      </c>
      <c r="BU287" s="41"/>
      <c r="BV287" s="41"/>
      <c r="BW287" s="41"/>
      <c r="BX287" s="41"/>
      <c r="BY287" s="41"/>
      <c r="BZ287" s="41"/>
      <c r="CA287" s="41"/>
      <c r="CB287" s="41"/>
      <c r="CC287" s="41"/>
      <c r="CD287" s="41"/>
      <c r="CE287" s="41"/>
      <c r="CF287" s="41"/>
      <c r="CG287" s="41"/>
      <c r="CH287" s="41"/>
      <c r="CI287" s="41"/>
      <c r="CJ287" s="41"/>
      <c r="CK287" s="41"/>
    </row>
    <row r="288" spans="1:89">
      <c r="A288" s="48" t="s">
        <v>417</v>
      </c>
      <c r="B288" s="49">
        <v>29.359999974570002</v>
      </c>
      <c r="C288" s="49">
        <v>29.60000038147</v>
      </c>
      <c r="D288" s="49">
        <v>28.5</v>
      </c>
      <c r="E288" s="49">
        <v>29.979999542240002</v>
      </c>
      <c r="F288" s="49">
        <v>43</v>
      </c>
      <c r="G288" s="49" t="s">
        <v>1574</v>
      </c>
      <c r="H288" s="49">
        <v>2.5299999999999998</v>
      </c>
      <c r="I288" s="49">
        <v>4.05</v>
      </c>
      <c r="J288" s="49">
        <v>5.5458157477299999</v>
      </c>
      <c r="K288" s="49">
        <v>53.73357918952</v>
      </c>
      <c r="L288" s="49">
        <v>2.0703</v>
      </c>
      <c r="M288" s="49">
        <v>2.8323</v>
      </c>
      <c r="N288" s="49">
        <v>2.7151999999999998</v>
      </c>
      <c r="O288" s="49">
        <v>2.1284000000000001</v>
      </c>
      <c r="P288" s="49">
        <v>1.954458</v>
      </c>
      <c r="Q288" s="49">
        <v>2.4694820000000002</v>
      </c>
      <c r="R288" s="49">
        <v>1.961328</v>
      </c>
      <c r="S288" s="49">
        <v>622</v>
      </c>
      <c r="T288" s="49">
        <v>825</v>
      </c>
      <c r="U288" s="49">
        <v>437</v>
      </c>
      <c r="V288" s="49">
        <v>548</v>
      </c>
      <c r="W288" s="49">
        <v>432</v>
      </c>
      <c r="X288" s="49" t="s">
        <v>1574</v>
      </c>
      <c r="Y288" s="49">
        <v>252</v>
      </c>
      <c r="Z288" s="49">
        <v>434</v>
      </c>
      <c r="AA288" s="49">
        <v>217</v>
      </c>
      <c r="AB288" s="49" t="s">
        <v>1574</v>
      </c>
      <c r="AC288" s="49" t="s">
        <v>1574</v>
      </c>
      <c r="AD288" s="49">
        <v>63.59</v>
      </c>
      <c r="AE288" s="49">
        <v>133.85</v>
      </c>
      <c r="AF288" s="49">
        <v>133.43</v>
      </c>
      <c r="AG288" s="49">
        <v>259.86</v>
      </c>
      <c r="AH288" s="49" t="s">
        <v>1574</v>
      </c>
      <c r="AI288" s="49" t="s">
        <v>1574</v>
      </c>
      <c r="AJ288" s="49" t="s">
        <v>1574</v>
      </c>
      <c r="AK288" s="49">
        <v>135.69999999999999</v>
      </c>
      <c r="AL288" s="49">
        <v>160.19999999999999</v>
      </c>
      <c r="AM288" s="49" t="s">
        <v>1574</v>
      </c>
      <c r="AN288" s="49">
        <v>0.55420000000000003</v>
      </c>
      <c r="AO288" s="49">
        <v>0.4506</v>
      </c>
      <c r="AP288" s="49">
        <v>2.5375000000000001</v>
      </c>
      <c r="AQ288" s="49">
        <v>0.73369753599999998</v>
      </c>
      <c r="AR288" s="49">
        <v>2.1017000000000001</v>
      </c>
      <c r="AS288" s="49">
        <v>13.45</v>
      </c>
      <c r="AT288" s="49">
        <v>0.39220189799999999</v>
      </c>
      <c r="AU288" s="49">
        <v>0.49824412000000001</v>
      </c>
      <c r="AV288" s="49">
        <v>0.2036</v>
      </c>
      <c r="AW288" s="49">
        <v>2613</v>
      </c>
      <c r="AX288" s="49">
        <v>154.78</v>
      </c>
      <c r="AY288" s="49">
        <v>131.86000000000001</v>
      </c>
      <c r="AZ288" s="49" t="s">
        <v>1574</v>
      </c>
      <c r="BA288" s="49">
        <v>320.78657873952</v>
      </c>
      <c r="BB288" s="49">
        <v>240.63</v>
      </c>
      <c r="BC288" s="49">
        <v>1.8069999999999999</v>
      </c>
      <c r="BD288" s="49" t="s">
        <v>1574</v>
      </c>
      <c r="BE288" s="49">
        <v>1.0525</v>
      </c>
      <c r="BF288" s="49">
        <v>43</v>
      </c>
      <c r="BG288" s="49">
        <v>171.5</v>
      </c>
      <c r="BH288" s="49">
        <v>132.5</v>
      </c>
      <c r="BI288" s="49">
        <v>101.5</v>
      </c>
      <c r="BJ288" s="49">
        <v>75.5</v>
      </c>
      <c r="BK288" s="49">
        <v>1453.4</v>
      </c>
      <c r="BL288" s="49">
        <v>29</v>
      </c>
      <c r="BM288" s="49">
        <v>1765.7</v>
      </c>
      <c r="BN288" s="49">
        <v>433.1</v>
      </c>
      <c r="BO288" s="49">
        <v>13522.9</v>
      </c>
      <c r="BP288" s="49">
        <v>5031.6000000000004</v>
      </c>
      <c r="BQ288" s="49">
        <v>735.6</v>
      </c>
      <c r="BR288" s="49">
        <v>438.01</v>
      </c>
      <c r="BS288" s="49">
        <v>448.52</v>
      </c>
      <c r="BT288" s="49">
        <v>12.9162</v>
      </c>
      <c r="BU288" s="41"/>
      <c r="BV288" s="41"/>
      <c r="BW288" s="41"/>
      <c r="BX288" s="41"/>
      <c r="BY288" s="41"/>
      <c r="BZ288" s="41"/>
      <c r="CA288" s="41"/>
      <c r="CB288" s="41"/>
      <c r="CC288" s="41"/>
      <c r="CD288" s="41"/>
      <c r="CE288" s="41"/>
      <c r="CF288" s="41"/>
      <c r="CG288" s="41"/>
      <c r="CH288" s="41"/>
      <c r="CI288" s="41"/>
      <c r="CJ288" s="41"/>
      <c r="CK288" s="41"/>
    </row>
    <row r="289" spans="1:89">
      <c r="A289" s="41" t="s">
        <v>418</v>
      </c>
      <c r="B289" s="51">
        <v>29.966667175289999</v>
      </c>
      <c r="C289" s="51">
        <v>30.20000076294</v>
      </c>
      <c r="D289" s="51">
        <v>28.75</v>
      </c>
      <c r="E289" s="51">
        <v>30.95000076294</v>
      </c>
      <c r="F289" s="51">
        <v>43</v>
      </c>
      <c r="G289" s="51" t="s">
        <v>1574</v>
      </c>
      <c r="H289" s="51">
        <v>2.59</v>
      </c>
      <c r="I289" s="51">
        <v>4.05</v>
      </c>
      <c r="J289" s="51">
        <v>5.5458157477299999</v>
      </c>
      <c r="K289" s="51">
        <v>54.46218156794</v>
      </c>
      <c r="L289" s="51">
        <v>2.2976999999999999</v>
      </c>
      <c r="M289" s="51">
        <v>2.8071000000000002</v>
      </c>
      <c r="N289" s="51">
        <v>2.6511</v>
      </c>
      <c r="O289" s="51">
        <v>2.1964999999999999</v>
      </c>
      <c r="P289" s="51">
        <v>2.0148350000000002</v>
      </c>
      <c r="Q289" s="51">
        <v>2.643176</v>
      </c>
      <c r="R289" s="51">
        <v>1.931627</v>
      </c>
      <c r="S289" s="51">
        <v>694</v>
      </c>
      <c r="T289" s="51">
        <v>831</v>
      </c>
      <c r="U289" s="51">
        <v>430</v>
      </c>
      <c r="V289" s="51">
        <v>593</v>
      </c>
      <c r="W289" s="51">
        <v>394</v>
      </c>
      <c r="X289" s="51" t="s">
        <v>1574</v>
      </c>
      <c r="Y289" s="51">
        <v>243</v>
      </c>
      <c r="Z289" s="51">
        <v>425</v>
      </c>
      <c r="AA289" s="51">
        <v>210</v>
      </c>
      <c r="AB289" s="51" t="s">
        <v>1574</v>
      </c>
      <c r="AC289" s="51" t="s">
        <v>1574</v>
      </c>
      <c r="AD289" s="51">
        <v>66.58</v>
      </c>
      <c r="AE289" s="51">
        <v>135.03</v>
      </c>
      <c r="AF289" s="51">
        <v>127.4</v>
      </c>
      <c r="AG289" s="51">
        <v>249.06</v>
      </c>
      <c r="AH289" s="51" t="s">
        <v>1574</v>
      </c>
      <c r="AI289" s="51" t="s">
        <v>1574</v>
      </c>
      <c r="AJ289" s="51" t="s">
        <v>1574</v>
      </c>
      <c r="AK289" s="51">
        <v>132.28</v>
      </c>
      <c r="AL289" s="51">
        <v>151.75</v>
      </c>
      <c r="AM289" s="51" t="s">
        <v>1574</v>
      </c>
      <c r="AN289" s="51">
        <v>0.50460000000000005</v>
      </c>
      <c r="AO289" s="51">
        <v>0.38769999999999999</v>
      </c>
      <c r="AP289" s="51">
        <v>2.4670000000000001</v>
      </c>
      <c r="AQ289" s="51">
        <v>0.75133449600000002</v>
      </c>
      <c r="AR289" s="51">
        <v>2.0388000000000002</v>
      </c>
      <c r="AS289" s="51">
        <v>13.76</v>
      </c>
      <c r="AT289" s="51">
        <v>0.38029695000000002</v>
      </c>
      <c r="AU289" s="51">
        <v>0.49692134799999998</v>
      </c>
      <c r="AV289" s="51">
        <v>0.23680000000000001</v>
      </c>
      <c r="AW289" s="51">
        <v>2637.52</v>
      </c>
      <c r="AX289" s="51">
        <v>150.07</v>
      </c>
      <c r="AY289" s="51">
        <v>129.77000000000001</v>
      </c>
      <c r="AZ289" s="51" t="s">
        <v>1574</v>
      </c>
      <c r="BA289" s="51">
        <v>318.03085416984999</v>
      </c>
      <c r="BB289" s="51">
        <v>231.63</v>
      </c>
      <c r="BC289" s="51">
        <v>1.8982000000000001</v>
      </c>
      <c r="BD289" s="51" t="s">
        <v>1574</v>
      </c>
      <c r="BE289" s="51">
        <v>1.0803</v>
      </c>
      <c r="BF289" s="51">
        <v>41.125</v>
      </c>
      <c r="BG289" s="51">
        <v>158.5</v>
      </c>
      <c r="BH289" s="51">
        <v>127.5</v>
      </c>
      <c r="BI289" s="51">
        <v>120</v>
      </c>
      <c r="BJ289" s="51">
        <v>73</v>
      </c>
      <c r="BK289" s="51">
        <v>1465.6</v>
      </c>
      <c r="BL289" s="51">
        <v>29</v>
      </c>
      <c r="BM289" s="51">
        <v>1701.2</v>
      </c>
      <c r="BN289" s="51">
        <v>408.1</v>
      </c>
      <c r="BO289" s="51">
        <v>13354</v>
      </c>
      <c r="BP289" s="51">
        <v>4883.2</v>
      </c>
      <c r="BQ289" s="51">
        <v>718.4</v>
      </c>
      <c r="BR289" s="51">
        <v>412.84</v>
      </c>
      <c r="BS289" s="51">
        <v>422.37</v>
      </c>
      <c r="BT289" s="51">
        <v>11.739000000000001</v>
      </c>
      <c r="BU289" s="41"/>
      <c r="BV289" s="41"/>
      <c r="BW289" s="41"/>
      <c r="BX289" s="41"/>
      <c r="BY289" s="41"/>
      <c r="BZ289" s="41"/>
      <c r="CA289" s="41"/>
      <c r="CB289" s="41"/>
      <c r="CC289" s="41"/>
      <c r="CD289" s="41"/>
      <c r="CE289" s="41"/>
      <c r="CF289" s="41"/>
      <c r="CG289" s="41"/>
      <c r="CH289" s="41"/>
      <c r="CI289" s="41"/>
      <c r="CJ289" s="41"/>
      <c r="CK289" s="41"/>
    </row>
    <row r="290" spans="1:89">
      <c r="A290" s="48" t="s">
        <v>419</v>
      </c>
      <c r="B290" s="49">
        <v>30.466666539510001</v>
      </c>
      <c r="C290" s="49">
        <v>30.79999923706</v>
      </c>
      <c r="D290" s="49">
        <v>29</v>
      </c>
      <c r="E290" s="49">
        <v>31.60000038147</v>
      </c>
      <c r="F290" s="49">
        <v>34.75</v>
      </c>
      <c r="G290" s="49" t="s">
        <v>1574</v>
      </c>
      <c r="H290" s="49">
        <v>2.52</v>
      </c>
      <c r="I290" s="49">
        <v>4.05</v>
      </c>
      <c r="J290" s="49">
        <v>5.5458157477299999</v>
      </c>
      <c r="K290" s="49">
        <v>53.612145459780002</v>
      </c>
      <c r="L290" s="49">
        <v>2.3027000000000002</v>
      </c>
      <c r="M290" s="49">
        <v>2.8294000000000001</v>
      </c>
      <c r="N290" s="49">
        <v>2.6469</v>
      </c>
      <c r="O290" s="49">
        <v>2.0154000000000001</v>
      </c>
      <c r="P290" s="49">
        <v>1.6543749999999999</v>
      </c>
      <c r="Q290" s="49">
        <v>2.5037929999999999</v>
      </c>
      <c r="R290" s="49">
        <v>1.8880520000000001</v>
      </c>
      <c r="S290" s="49">
        <v>846</v>
      </c>
      <c r="T290" s="49">
        <v>832</v>
      </c>
      <c r="U290" s="49">
        <v>433</v>
      </c>
      <c r="V290" s="49">
        <v>635</v>
      </c>
      <c r="W290" s="49">
        <v>425</v>
      </c>
      <c r="X290" s="49" t="s">
        <v>1574</v>
      </c>
      <c r="Y290" s="49">
        <v>263</v>
      </c>
      <c r="Z290" s="49">
        <v>477</v>
      </c>
      <c r="AA290" s="49">
        <v>226</v>
      </c>
      <c r="AB290" s="49" t="s">
        <v>1574</v>
      </c>
      <c r="AC290" s="49" t="s">
        <v>1574</v>
      </c>
      <c r="AD290" s="49">
        <v>64.930000000000007</v>
      </c>
      <c r="AE290" s="49">
        <v>140.59</v>
      </c>
      <c r="AF290" s="49">
        <v>125.11</v>
      </c>
      <c r="AG290" s="49">
        <v>241.45</v>
      </c>
      <c r="AH290" s="49" t="s">
        <v>1574</v>
      </c>
      <c r="AI290" s="49" t="s">
        <v>1574</v>
      </c>
      <c r="AJ290" s="49" t="s">
        <v>1574</v>
      </c>
      <c r="AK290" s="49">
        <v>135.33000000000001</v>
      </c>
      <c r="AL290" s="49">
        <v>147.34</v>
      </c>
      <c r="AM290" s="49" t="s">
        <v>1574</v>
      </c>
      <c r="AN290" s="49">
        <v>0.50309999999999999</v>
      </c>
      <c r="AO290" s="49">
        <v>0.33750000000000002</v>
      </c>
      <c r="AP290" s="49">
        <v>2.4582000000000002</v>
      </c>
      <c r="AQ290" s="49">
        <v>0.77712855000000003</v>
      </c>
      <c r="AR290" s="49">
        <v>1.9735</v>
      </c>
      <c r="AS290" s="49">
        <v>13.12</v>
      </c>
      <c r="AT290" s="49">
        <v>0.38911542999999998</v>
      </c>
      <c r="AU290" s="49">
        <v>0.48700055799999997</v>
      </c>
      <c r="AV290" s="49">
        <v>0.2321</v>
      </c>
      <c r="AW290" s="49">
        <v>2668.06</v>
      </c>
      <c r="AX290" s="49">
        <v>147.82</v>
      </c>
      <c r="AY290" s="49">
        <v>129.22999999999999</v>
      </c>
      <c r="AZ290" s="49" t="s">
        <v>1574</v>
      </c>
      <c r="BA290" s="49">
        <v>317.31553680390999</v>
      </c>
      <c r="BB290" s="49">
        <v>215.39</v>
      </c>
      <c r="BC290" s="49">
        <v>1.9497</v>
      </c>
      <c r="BD290" s="49" t="s">
        <v>1574</v>
      </c>
      <c r="BE290" s="49">
        <v>1.1332</v>
      </c>
      <c r="BF290" s="49">
        <v>37.25</v>
      </c>
      <c r="BG290" s="49">
        <v>157.5</v>
      </c>
      <c r="BH290" s="49">
        <v>128</v>
      </c>
      <c r="BI290" s="49">
        <v>109</v>
      </c>
      <c r="BJ290" s="49">
        <v>73</v>
      </c>
      <c r="BK290" s="49">
        <v>1520.2</v>
      </c>
      <c r="BL290" s="49">
        <v>29</v>
      </c>
      <c r="BM290" s="49">
        <v>1704.3</v>
      </c>
      <c r="BN290" s="49">
        <v>403.3</v>
      </c>
      <c r="BO290" s="49">
        <v>13193</v>
      </c>
      <c r="BP290" s="49">
        <v>4804.1000000000004</v>
      </c>
      <c r="BQ290" s="49">
        <v>739.8</v>
      </c>
      <c r="BR290" s="49">
        <v>402.91</v>
      </c>
      <c r="BS290" s="49">
        <v>433.27</v>
      </c>
      <c r="BT290" s="49">
        <v>12.029299999999999</v>
      </c>
      <c r="BU290" s="41"/>
      <c r="BV290" s="41"/>
      <c r="BW290" s="41"/>
      <c r="BX290" s="41"/>
      <c r="BY290" s="41"/>
      <c r="BZ290" s="41"/>
      <c r="CA290" s="41"/>
      <c r="CB290" s="41"/>
      <c r="CC290" s="41"/>
      <c r="CD290" s="41"/>
      <c r="CE290" s="41"/>
      <c r="CF290" s="41"/>
      <c r="CG290" s="41"/>
      <c r="CH290" s="41"/>
      <c r="CI290" s="41"/>
      <c r="CJ290" s="41"/>
      <c r="CK290" s="41"/>
    </row>
    <row r="291" spans="1:89">
      <c r="A291" s="41" t="s">
        <v>420</v>
      </c>
      <c r="B291" s="51">
        <v>30.653333028159999</v>
      </c>
      <c r="C291" s="51">
        <v>31.10000038147</v>
      </c>
      <c r="D291" s="51">
        <v>28.89999961853</v>
      </c>
      <c r="E291" s="51">
        <v>31.959999084469999</v>
      </c>
      <c r="F291" s="51">
        <v>34.75</v>
      </c>
      <c r="G291" s="51" t="s">
        <v>1574</v>
      </c>
      <c r="H291" s="51">
        <v>2.58</v>
      </c>
      <c r="I291" s="51">
        <v>4.05</v>
      </c>
      <c r="J291" s="51">
        <v>5.5458157477299999</v>
      </c>
      <c r="K291" s="51">
        <v>54.34074783821</v>
      </c>
      <c r="L291" s="51">
        <v>2.3037999999999998</v>
      </c>
      <c r="M291" s="51">
        <v>2.8559000000000001</v>
      </c>
      <c r="N291" s="51">
        <v>2.6526000000000001</v>
      </c>
      <c r="O291" s="51">
        <v>2.1145999999999998</v>
      </c>
      <c r="P291" s="51">
        <v>1.8442959999999999</v>
      </c>
      <c r="Q291" s="51">
        <v>2.6411530000000001</v>
      </c>
      <c r="R291" s="51">
        <v>1.8583400000000001</v>
      </c>
      <c r="S291" s="51">
        <v>985</v>
      </c>
      <c r="T291" s="51">
        <v>950</v>
      </c>
      <c r="U291" s="51">
        <v>452</v>
      </c>
      <c r="V291" s="51">
        <v>969</v>
      </c>
      <c r="W291" s="51">
        <v>559</v>
      </c>
      <c r="X291" s="51" t="s">
        <v>1574</v>
      </c>
      <c r="Y291" s="51">
        <v>339</v>
      </c>
      <c r="Z291" s="51">
        <v>651</v>
      </c>
      <c r="AA291" s="51">
        <v>279</v>
      </c>
      <c r="AB291" s="51" t="s">
        <v>1574</v>
      </c>
      <c r="AC291" s="51" t="s">
        <v>1574</v>
      </c>
      <c r="AD291" s="51">
        <v>76.59</v>
      </c>
      <c r="AE291" s="51">
        <v>152.75</v>
      </c>
      <c r="AF291" s="51">
        <v>136.30000000000001</v>
      </c>
      <c r="AG291" s="51">
        <v>254.95</v>
      </c>
      <c r="AH291" s="51" t="s">
        <v>1574</v>
      </c>
      <c r="AI291" s="51" t="s">
        <v>1574</v>
      </c>
      <c r="AJ291" s="51" t="s">
        <v>1574</v>
      </c>
      <c r="AK291" s="51">
        <v>145.13999999999999</v>
      </c>
      <c r="AL291" s="51">
        <v>152.49</v>
      </c>
      <c r="AM291" s="51" t="s">
        <v>1574</v>
      </c>
      <c r="AN291" s="51">
        <v>0.46410000000000001</v>
      </c>
      <c r="AO291" s="51">
        <v>0.34984999999999999</v>
      </c>
      <c r="AP291" s="51">
        <v>2.4802</v>
      </c>
      <c r="AQ291" s="51">
        <v>0.790576732</v>
      </c>
      <c r="AR291" s="51">
        <v>1.9300999999999999</v>
      </c>
      <c r="AS291" s="51">
        <v>12.74</v>
      </c>
      <c r="AT291" s="51">
        <v>0.37809232999999998</v>
      </c>
      <c r="AU291" s="51">
        <v>0.49714181000000002</v>
      </c>
      <c r="AV291" s="51">
        <v>0.23280000000000001</v>
      </c>
      <c r="AW291" s="51">
        <v>2692.84</v>
      </c>
      <c r="AX291" s="51">
        <v>143.03</v>
      </c>
      <c r="AY291" s="51">
        <v>134.5</v>
      </c>
      <c r="AZ291" s="51" t="s">
        <v>1574</v>
      </c>
      <c r="BA291" s="51">
        <v>324.23893534118002</v>
      </c>
      <c r="BB291" s="51">
        <v>214.47</v>
      </c>
      <c r="BC291" s="51">
        <v>2.0017999999999998</v>
      </c>
      <c r="BD291" s="51" t="s">
        <v>1574</v>
      </c>
      <c r="BE291" s="51">
        <v>1.1315999999999999</v>
      </c>
      <c r="BF291" s="51">
        <v>34</v>
      </c>
      <c r="BG291" s="51">
        <v>154.5</v>
      </c>
      <c r="BH291" s="51">
        <v>122.5</v>
      </c>
      <c r="BI291" s="51">
        <v>110.5</v>
      </c>
      <c r="BJ291" s="51">
        <v>73</v>
      </c>
      <c r="BK291" s="51">
        <v>1603.6</v>
      </c>
      <c r="BL291" s="51">
        <v>29</v>
      </c>
      <c r="BM291" s="51">
        <v>1639.8</v>
      </c>
      <c r="BN291" s="51">
        <v>398</v>
      </c>
      <c r="BO291" s="51">
        <v>12826</v>
      </c>
      <c r="BP291" s="51">
        <v>4852.8</v>
      </c>
      <c r="BQ291" s="51">
        <v>808.9</v>
      </c>
      <c r="BR291" s="51">
        <v>416.2</v>
      </c>
      <c r="BS291" s="51">
        <v>435.56</v>
      </c>
      <c r="BT291" s="51">
        <v>12.0626</v>
      </c>
      <c r="BU291" s="41"/>
      <c r="BV291" s="41"/>
      <c r="BW291" s="41"/>
      <c r="BX291" s="41"/>
      <c r="BY291" s="41"/>
      <c r="BZ291" s="41"/>
      <c r="CA291" s="41"/>
      <c r="CB291" s="41"/>
      <c r="CC291" s="41"/>
      <c r="CD291" s="41"/>
      <c r="CE291" s="41"/>
      <c r="CF291" s="41"/>
      <c r="CG291" s="41"/>
      <c r="CH291" s="41"/>
      <c r="CI291" s="41"/>
      <c r="CJ291" s="41"/>
      <c r="CK291" s="41"/>
    </row>
    <row r="292" spans="1:89">
      <c r="A292" s="48" t="s">
        <v>421</v>
      </c>
      <c r="B292" s="49">
        <v>30.07000033061</v>
      </c>
      <c r="C292" s="49">
        <v>30.35000038147</v>
      </c>
      <c r="D292" s="49">
        <v>28.60000038147</v>
      </c>
      <c r="E292" s="49">
        <v>31.260000228879999</v>
      </c>
      <c r="F292" s="49">
        <v>34.75</v>
      </c>
      <c r="G292" s="49" t="s">
        <v>1574</v>
      </c>
      <c r="H292" s="49">
        <v>2.67</v>
      </c>
      <c r="I292" s="49">
        <v>4.05</v>
      </c>
      <c r="J292" s="49">
        <v>5.5458157477299999</v>
      </c>
      <c r="K292" s="49">
        <v>55.433651405840003</v>
      </c>
      <c r="L292" s="49">
        <v>2.145</v>
      </c>
      <c r="M292" s="49">
        <v>2.9169</v>
      </c>
      <c r="N292" s="49">
        <v>2.6877</v>
      </c>
      <c r="O292" s="49">
        <v>2.1558999999999999</v>
      </c>
      <c r="P292" s="49">
        <v>1.908979</v>
      </c>
      <c r="Q292" s="49">
        <v>2.7030470000000002</v>
      </c>
      <c r="R292" s="49">
        <v>1.8555630000000001</v>
      </c>
      <c r="S292" s="49">
        <v>954</v>
      </c>
      <c r="T292" s="49">
        <v>1300</v>
      </c>
      <c r="U292" s="49">
        <v>502.8</v>
      </c>
      <c r="V292" s="49">
        <v>1052</v>
      </c>
      <c r="W292" s="49">
        <v>645</v>
      </c>
      <c r="X292" s="49" t="s">
        <v>1574</v>
      </c>
      <c r="Y292" s="49">
        <v>349.8</v>
      </c>
      <c r="Z292" s="49">
        <v>732.6</v>
      </c>
      <c r="AA292" s="49">
        <v>276.60000000000002</v>
      </c>
      <c r="AB292" s="49" t="s">
        <v>1574</v>
      </c>
      <c r="AC292" s="49" t="s">
        <v>1574</v>
      </c>
      <c r="AD292" s="49">
        <v>87.36</v>
      </c>
      <c r="AE292" s="49">
        <v>147.75</v>
      </c>
      <c r="AF292" s="49">
        <v>135.54</v>
      </c>
      <c r="AG292" s="49">
        <v>278.27</v>
      </c>
      <c r="AH292" s="49" t="s">
        <v>1574</v>
      </c>
      <c r="AI292" s="49" t="s">
        <v>1574</v>
      </c>
      <c r="AJ292" s="49" t="s">
        <v>1574</v>
      </c>
      <c r="AK292" s="49">
        <v>141.83000000000001</v>
      </c>
      <c r="AL292" s="49">
        <v>156.53</v>
      </c>
      <c r="AM292" s="49" t="s">
        <v>1574</v>
      </c>
      <c r="AN292" s="49">
        <v>0.41889999999999999</v>
      </c>
      <c r="AO292" s="49">
        <v>0.437</v>
      </c>
      <c r="AP292" s="49">
        <v>2.4653999999999998</v>
      </c>
      <c r="AQ292" s="49">
        <v>0.81945725400000002</v>
      </c>
      <c r="AR292" s="49">
        <v>1.9471000000000001</v>
      </c>
      <c r="AS292" s="49">
        <v>12.61</v>
      </c>
      <c r="AT292" s="49">
        <v>0.37765140600000002</v>
      </c>
      <c r="AU292" s="49">
        <v>0.48942564</v>
      </c>
      <c r="AV292" s="49">
        <v>0.2079</v>
      </c>
      <c r="AW292" s="49">
        <v>2678.49</v>
      </c>
      <c r="AX292" s="49">
        <v>156.63999999999999</v>
      </c>
      <c r="AY292" s="49">
        <v>138.54</v>
      </c>
      <c r="AZ292" s="49" t="s">
        <v>1574</v>
      </c>
      <c r="BA292" s="49">
        <v>329.46230318466002</v>
      </c>
      <c r="BB292" s="49">
        <v>218.32</v>
      </c>
      <c r="BC292" s="49">
        <v>1.9809000000000001</v>
      </c>
      <c r="BD292" s="49" t="s">
        <v>1574</v>
      </c>
      <c r="BE292" s="49">
        <v>1.0871</v>
      </c>
      <c r="BF292" s="49">
        <v>34</v>
      </c>
      <c r="BG292" s="49">
        <v>160</v>
      </c>
      <c r="BH292" s="49">
        <v>124.5</v>
      </c>
      <c r="BI292" s="49">
        <v>110.5</v>
      </c>
      <c r="BJ292" s="49">
        <v>73</v>
      </c>
      <c r="BK292" s="49">
        <v>1613.7</v>
      </c>
      <c r="BL292" s="49">
        <v>29</v>
      </c>
      <c r="BM292" s="49">
        <v>1560.7</v>
      </c>
      <c r="BN292" s="49">
        <v>404.7</v>
      </c>
      <c r="BO292" s="49">
        <v>12755.3</v>
      </c>
      <c r="BP292" s="49">
        <v>4910.6000000000004</v>
      </c>
      <c r="BQ292" s="49">
        <v>837.8</v>
      </c>
      <c r="BR292" s="49">
        <v>411.8</v>
      </c>
      <c r="BS292" s="49">
        <v>431.11</v>
      </c>
      <c r="BT292" s="49">
        <v>11.956200000000001</v>
      </c>
      <c r="BU292" s="41"/>
      <c r="BV292" s="41"/>
      <c r="BW292" s="41"/>
      <c r="BX292" s="41"/>
      <c r="BY292" s="41"/>
      <c r="BZ292" s="41"/>
      <c r="CA292" s="41"/>
      <c r="CB292" s="41"/>
      <c r="CC292" s="41"/>
      <c r="CD292" s="41"/>
      <c r="CE292" s="41"/>
      <c r="CF292" s="41"/>
      <c r="CG292" s="41"/>
      <c r="CH292" s="41"/>
      <c r="CI292" s="41"/>
      <c r="CJ292" s="41"/>
      <c r="CK292" s="41"/>
    </row>
    <row r="293" spans="1:89">
      <c r="A293" s="41" t="s">
        <v>422</v>
      </c>
      <c r="B293" s="51">
        <v>29.616666793819999</v>
      </c>
      <c r="C293" s="51">
        <v>29.85000038147</v>
      </c>
      <c r="D293" s="51">
        <v>28.60000038147</v>
      </c>
      <c r="E293" s="51">
        <v>30.39999961853</v>
      </c>
      <c r="F293" s="51">
        <v>34.75</v>
      </c>
      <c r="G293" s="51" t="s">
        <v>1574</v>
      </c>
      <c r="H293" s="51">
        <v>2.58</v>
      </c>
      <c r="I293" s="51">
        <v>4.05</v>
      </c>
      <c r="J293" s="51">
        <v>5.5458157477299999</v>
      </c>
      <c r="K293" s="51">
        <v>54.34074783821</v>
      </c>
      <c r="L293" s="51">
        <v>2.0977000000000001</v>
      </c>
      <c r="M293" s="51">
        <v>3.1025999999999998</v>
      </c>
      <c r="N293" s="51">
        <v>2.8725999999999998</v>
      </c>
      <c r="O293" s="51">
        <v>2.2252000000000001</v>
      </c>
      <c r="P293" s="51">
        <v>1.926339</v>
      </c>
      <c r="Q293" s="51">
        <v>2.8687680000000002</v>
      </c>
      <c r="R293" s="51">
        <v>1.8805909999999999</v>
      </c>
      <c r="S293" s="51">
        <v>860</v>
      </c>
      <c r="T293" s="51">
        <v>1275</v>
      </c>
      <c r="U293" s="51">
        <v>510</v>
      </c>
      <c r="V293" s="51">
        <v>1054</v>
      </c>
      <c r="W293" s="51">
        <v>671</v>
      </c>
      <c r="X293" s="51" t="s">
        <v>1574</v>
      </c>
      <c r="Y293" s="51">
        <v>328.75</v>
      </c>
      <c r="Z293" s="51">
        <v>687</v>
      </c>
      <c r="AA293" s="51">
        <v>267</v>
      </c>
      <c r="AB293" s="51" t="s">
        <v>1574</v>
      </c>
      <c r="AC293" s="51" t="s">
        <v>1574</v>
      </c>
      <c r="AD293" s="51">
        <v>88.18</v>
      </c>
      <c r="AE293" s="51">
        <v>148.15</v>
      </c>
      <c r="AF293" s="51">
        <v>132.06</v>
      </c>
      <c r="AG293" s="51">
        <v>269.68</v>
      </c>
      <c r="AH293" s="51" t="s">
        <v>1574</v>
      </c>
      <c r="AI293" s="51" t="s">
        <v>1574</v>
      </c>
      <c r="AJ293" s="51" t="s">
        <v>1574</v>
      </c>
      <c r="AK293" s="51">
        <v>141.46</v>
      </c>
      <c r="AL293" s="51">
        <v>152.85</v>
      </c>
      <c r="AM293" s="51" t="s">
        <v>1574</v>
      </c>
      <c r="AN293" s="51">
        <v>0.41149999999999998</v>
      </c>
      <c r="AO293" s="51">
        <v>0.4587</v>
      </c>
      <c r="AP293" s="51">
        <v>2.452</v>
      </c>
      <c r="AQ293" s="51">
        <v>0.77867178400000003</v>
      </c>
      <c r="AR293" s="51">
        <v>1.9763999999999999</v>
      </c>
      <c r="AS293" s="51">
        <v>12.32</v>
      </c>
      <c r="AT293" s="51">
        <v>0.38404480400000002</v>
      </c>
      <c r="AU293" s="51">
        <v>0.48369362799999999</v>
      </c>
      <c r="AV293" s="51">
        <v>0.2147</v>
      </c>
      <c r="AW293" s="51">
        <v>2741.07</v>
      </c>
      <c r="AX293" s="51">
        <v>168.27</v>
      </c>
      <c r="AY293" s="51">
        <v>152.84</v>
      </c>
      <c r="AZ293" s="51" t="s">
        <v>1574</v>
      </c>
      <c r="BA293" s="51">
        <v>347.41064924672003</v>
      </c>
      <c r="BB293" s="51">
        <v>227.46</v>
      </c>
      <c r="BC293" s="51">
        <v>1.9428000000000001</v>
      </c>
      <c r="BD293" s="51" t="s">
        <v>1574</v>
      </c>
      <c r="BE293" s="51">
        <v>1.0919000000000001</v>
      </c>
      <c r="BF293" s="51">
        <v>34</v>
      </c>
      <c r="BG293" s="51">
        <v>174</v>
      </c>
      <c r="BH293" s="51">
        <v>145</v>
      </c>
      <c r="BI293" s="51">
        <v>114</v>
      </c>
      <c r="BJ293" s="51">
        <v>73</v>
      </c>
      <c r="BK293" s="51">
        <v>1566.3</v>
      </c>
      <c r="BL293" s="51">
        <v>29</v>
      </c>
      <c r="BM293" s="51">
        <v>1435.2</v>
      </c>
      <c r="BN293" s="51">
        <v>419.4</v>
      </c>
      <c r="BO293" s="51">
        <v>12750.8</v>
      </c>
      <c r="BP293" s="51">
        <v>4674.2</v>
      </c>
      <c r="BQ293" s="51">
        <v>859</v>
      </c>
      <c r="BR293" s="51">
        <v>393.6</v>
      </c>
      <c r="BS293" s="51">
        <v>395.87</v>
      </c>
      <c r="BT293" s="51">
        <v>9.8866999999999994</v>
      </c>
      <c r="BU293" s="41"/>
      <c r="BV293" s="41"/>
      <c r="BW293" s="41"/>
      <c r="BX293" s="41"/>
      <c r="BY293" s="41"/>
      <c r="BZ293" s="41"/>
      <c r="CA293" s="41"/>
      <c r="CB293" s="41"/>
      <c r="CC293" s="41"/>
      <c r="CD293" s="41"/>
      <c r="CE293" s="41"/>
      <c r="CF293" s="41"/>
      <c r="CG293" s="41"/>
      <c r="CH293" s="41"/>
      <c r="CI293" s="41"/>
      <c r="CJ293" s="41"/>
      <c r="CK293" s="41"/>
    </row>
    <row r="294" spans="1:89">
      <c r="A294" s="48" t="s">
        <v>423</v>
      </c>
      <c r="B294" s="49">
        <v>29.16666666667</v>
      </c>
      <c r="C294" s="49">
        <v>29.20000076294</v>
      </c>
      <c r="D294" s="49">
        <v>28.29999923706</v>
      </c>
      <c r="E294" s="49">
        <v>30</v>
      </c>
      <c r="F294" s="49">
        <v>32</v>
      </c>
      <c r="G294" s="49" t="s">
        <v>1574</v>
      </c>
      <c r="H294" s="49">
        <v>2.6</v>
      </c>
      <c r="I294" s="49">
        <v>4.05</v>
      </c>
      <c r="J294" s="49">
        <v>5.5458157477299999</v>
      </c>
      <c r="K294" s="49">
        <v>54.583615297679998</v>
      </c>
      <c r="L294" s="49">
        <v>2.2151999999999998</v>
      </c>
      <c r="M294" s="49">
        <v>3.1869999999999998</v>
      </c>
      <c r="N294" s="49">
        <v>2.8515000000000001</v>
      </c>
      <c r="O294" s="49">
        <v>2.3950999999999998</v>
      </c>
      <c r="P294" s="49">
        <v>2.2266499999999998</v>
      </c>
      <c r="Q294" s="49">
        <v>3.099577</v>
      </c>
      <c r="R294" s="49">
        <v>1.859032</v>
      </c>
      <c r="S294" s="49">
        <v>884</v>
      </c>
      <c r="T294" s="49">
        <v>1140</v>
      </c>
      <c r="U294" s="49">
        <v>479</v>
      </c>
      <c r="V294" s="49">
        <v>951</v>
      </c>
      <c r="W294" s="49">
        <v>661</v>
      </c>
      <c r="X294" s="49" t="s">
        <v>1574</v>
      </c>
      <c r="Y294" s="49">
        <v>324</v>
      </c>
      <c r="Z294" s="49">
        <v>652</v>
      </c>
      <c r="AA294" s="49">
        <v>265</v>
      </c>
      <c r="AB294" s="49" t="s">
        <v>1574</v>
      </c>
      <c r="AC294" s="49" t="s">
        <v>1574</v>
      </c>
      <c r="AD294" s="49">
        <v>89.91</v>
      </c>
      <c r="AE294" s="49">
        <v>147.02000000000001</v>
      </c>
      <c r="AF294" s="49">
        <v>132.28</v>
      </c>
      <c r="AG294" s="49">
        <v>264.18</v>
      </c>
      <c r="AH294" s="49" t="s">
        <v>1574</v>
      </c>
      <c r="AI294" s="49" t="s">
        <v>1574</v>
      </c>
      <c r="AJ294" s="49" t="s">
        <v>1574</v>
      </c>
      <c r="AK294" s="49">
        <v>139.63999999999999</v>
      </c>
      <c r="AL294" s="49">
        <v>151.75</v>
      </c>
      <c r="AM294" s="49" t="s">
        <v>1574</v>
      </c>
      <c r="AN294" s="49">
        <v>0.34250000000000003</v>
      </c>
      <c r="AO294" s="49">
        <v>0.40600000000000003</v>
      </c>
      <c r="AP294" s="49">
        <v>2.4068000000000001</v>
      </c>
      <c r="AQ294" s="49">
        <v>0.81152062199999997</v>
      </c>
      <c r="AR294" s="49">
        <v>1.9438</v>
      </c>
      <c r="AS294" s="49">
        <v>12.24</v>
      </c>
      <c r="AT294" s="49">
        <v>0.37390355199999997</v>
      </c>
      <c r="AU294" s="49">
        <v>0.48060715999999998</v>
      </c>
      <c r="AV294" s="49">
        <v>0.18360000000000001</v>
      </c>
      <c r="AW294" s="49">
        <v>2745.91</v>
      </c>
      <c r="AX294" s="49">
        <v>177.43</v>
      </c>
      <c r="AY294" s="49">
        <v>152.91999999999999</v>
      </c>
      <c r="AZ294" s="49" t="s">
        <v>1574</v>
      </c>
      <c r="BA294" s="49">
        <v>347.50883253457999</v>
      </c>
      <c r="BB294" s="49">
        <v>225.24</v>
      </c>
      <c r="BC294" s="49">
        <v>1.9650000000000001</v>
      </c>
      <c r="BD294" s="49" t="s">
        <v>1574</v>
      </c>
      <c r="BE294" s="49">
        <v>1.1083000000000001</v>
      </c>
      <c r="BF294" s="49">
        <v>32.75</v>
      </c>
      <c r="BG294" s="49">
        <v>188.5</v>
      </c>
      <c r="BH294" s="49">
        <v>140.5</v>
      </c>
      <c r="BI294" s="49">
        <v>115.5</v>
      </c>
      <c r="BJ294" s="49">
        <v>75.5</v>
      </c>
      <c r="BK294" s="49">
        <v>1516.8</v>
      </c>
      <c r="BL294" s="49">
        <v>29</v>
      </c>
      <c r="BM294" s="49">
        <v>1389.1</v>
      </c>
      <c r="BN294" s="49">
        <v>404.7</v>
      </c>
      <c r="BO294" s="49">
        <v>12772.5</v>
      </c>
      <c r="BP294" s="49">
        <v>4585.2</v>
      </c>
      <c r="BQ294" s="49">
        <v>859.1</v>
      </c>
      <c r="BR294" s="49">
        <v>381.7</v>
      </c>
      <c r="BS294" s="49">
        <v>387.67</v>
      </c>
      <c r="BT294" s="49">
        <v>8.8122000000000007</v>
      </c>
      <c r="BU294" s="41"/>
      <c r="BV294" s="41"/>
      <c r="BW294" s="41"/>
      <c r="BX294" s="41"/>
      <c r="BY294" s="41"/>
      <c r="BZ294" s="41"/>
      <c r="CA294" s="41"/>
      <c r="CB294" s="41"/>
      <c r="CC294" s="41"/>
      <c r="CD294" s="41"/>
      <c r="CE294" s="41"/>
      <c r="CF294" s="41"/>
      <c r="CG294" s="41"/>
      <c r="CH294" s="41"/>
      <c r="CI294" s="41"/>
      <c r="CJ294" s="41"/>
      <c r="CK294" s="41"/>
    </row>
    <row r="295" spans="1:89">
      <c r="A295" s="41" t="s">
        <v>424</v>
      </c>
      <c r="B295" s="51">
        <v>28.813333511349999</v>
      </c>
      <c r="C295" s="51">
        <v>28.95000076294</v>
      </c>
      <c r="D295" s="51">
        <v>28.25</v>
      </c>
      <c r="E295" s="51">
        <v>29.239999771120001</v>
      </c>
      <c r="F295" s="51">
        <v>29.25</v>
      </c>
      <c r="G295" s="51" t="s">
        <v>1574</v>
      </c>
      <c r="H295" s="51">
        <v>2.61</v>
      </c>
      <c r="I295" s="51">
        <v>4.05</v>
      </c>
      <c r="J295" s="51">
        <v>5.5458157477299999</v>
      </c>
      <c r="K295" s="51">
        <v>54.705049027420003</v>
      </c>
      <c r="L295" s="51">
        <v>2.5385</v>
      </c>
      <c r="M295" s="51">
        <v>3.2332999999999998</v>
      </c>
      <c r="N295" s="51">
        <v>2.9270999999999998</v>
      </c>
      <c r="O295" s="51">
        <v>2.4211999999999998</v>
      </c>
      <c r="P295" s="51">
        <v>2.3922629999999998</v>
      </c>
      <c r="Q295" s="51">
        <v>3.0298980000000002</v>
      </c>
      <c r="R295" s="51">
        <v>1.8415649999999999</v>
      </c>
      <c r="S295" s="51">
        <v>969</v>
      </c>
      <c r="T295" s="51">
        <v>1120</v>
      </c>
      <c r="U295" s="51">
        <v>482</v>
      </c>
      <c r="V295" s="51">
        <v>876</v>
      </c>
      <c r="W295" s="51">
        <v>695</v>
      </c>
      <c r="X295" s="51" t="s">
        <v>1574</v>
      </c>
      <c r="Y295" s="51">
        <v>311</v>
      </c>
      <c r="Z295" s="51">
        <v>644</v>
      </c>
      <c r="AA295" s="51">
        <v>256</v>
      </c>
      <c r="AB295" s="51" t="s">
        <v>1574</v>
      </c>
      <c r="AC295" s="51" t="s">
        <v>1574</v>
      </c>
      <c r="AD295" s="51">
        <v>78.239999999999995</v>
      </c>
      <c r="AE295" s="51">
        <v>143.28</v>
      </c>
      <c r="AF295" s="51">
        <v>130.87</v>
      </c>
      <c r="AG295" s="51">
        <v>251.02</v>
      </c>
      <c r="AH295" s="51" t="s">
        <v>1574</v>
      </c>
      <c r="AI295" s="51" t="s">
        <v>1574</v>
      </c>
      <c r="AJ295" s="51" t="s">
        <v>1574</v>
      </c>
      <c r="AK295" s="51">
        <v>141.68</v>
      </c>
      <c r="AL295" s="51">
        <v>153.59</v>
      </c>
      <c r="AM295" s="51" t="s">
        <v>1574</v>
      </c>
      <c r="AN295" s="51">
        <v>0.34239999999999998</v>
      </c>
      <c r="AO295" s="51">
        <v>0.33910000000000001</v>
      </c>
      <c r="AP295" s="51">
        <v>2.3090999999999999</v>
      </c>
      <c r="AQ295" s="51">
        <v>0.85803810400000002</v>
      </c>
      <c r="AR295" s="51">
        <v>1.8843000000000001</v>
      </c>
      <c r="AS295" s="51">
        <v>12.06</v>
      </c>
      <c r="AT295" s="51">
        <v>0.364644148</v>
      </c>
      <c r="AU295" s="51">
        <v>0.47333191400000002</v>
      </c>
      <c r="AV295" s="51">
        <v>0.17019999999999999</v>
      </c>
      <c r="AW295" s="51">
        <v>2709.22</v>
      </c>
      <c r="AX295" s="51">
        <v>172.99</v>
      </c>
      <c r="AY295" s="51">
        <v>157.16999999999999</v>
      </c>
      <c r="AZ295" s="51" t="s">
        <v>1574</v>
      </c>
      <c r="BA295" s="51">
        <v>352.69129757554998</v>
      </c>
      <c r="BB295" s="51">
        <v>223.98</v>
      </c>
      <c r="BC295" s="51">
        <v>1.9701</v>
      </c>
      <c r="BD295" s="51" t="s">
        <v>1574</v>
      </c>
      <c r="BE295" s="51">
        <v>1.1276999999999999</v>
      </c>
      <c r="BF295" s="51">
        <v>31.5</v>
      </c>
      <c r="BG295" s="51">
        <v>190</v>
      </c>
      <c r="BH295" s="51">
        <v>142.5</v>
      </c>
      <c r="BI295" s="51">
        <v>115.5</v>
      </c>
      <c r="BJ295" s="51">
        <v>75.5</v>
      </c>
      <c r="BK295" s="51">
        <v>1549.3</v>
      </c>
      <c r="BL295" s="51">
        <v>29</v>
      </c>
      <c r="BM295" s="51">
        <v>1415.2</v>
      </c>
      <c r="BN295" s="51">
        <v>402.1</v>
      </c>
      <c r="BO295" s="51">
        <v>12345.5</v>
      </c>
      <c r="BP295" s="51">
        <v>4657</v>
      </c>
      <c r="BQ295" s="51">
        <v>857</v>
      </c>
      <c r="BR295" s="51">
        <v>388.34</v>
      </c>
      <c r="BS295" s="51">
        <v>393.22</v>
      </c>
      <c r="BT295" s="51">
        <v>9.1454000000000004</v>
      </c>
      <c r="BU295" s="41"/>
      <c r="BV295" s="41"/>
      <c r="BW295" s="41"/>
      <c r="BX295" s="41"/>
      <c r="BY295" s="41"/>
      <c r="BZ295" s="41"/>
      <c r="CA295" s="41"/>
      <c r="CB295" s="41"/>
      <c r="CC295" s="41"/>
      <c r="CD295" s="41"/>
      <c r="CE295" s="41"/>
      <c r="CF295" s="41"/>
      <c r="CG295" s="41"/>
      <c r="CH295" s="41"/>
      <c r="CI295" s="41"/>
      <c r="CJ295" s="41"/>
      <c r="CK295" s="41"/>
    </row>
    <row r="296" spans="1:89">
      <c r="A296" s="48" t="s">
        <v>425</v>
      </c>
      <c r="B296" s="49">
        <v>29.043333053590001</v>
      </c>
      <c r="C296" s="49">
        <v>29.559999465939999</v>
      </c>
      <c r="D296" s="49">
        <v>27.729999542240002</v>
      </c>
      <c r="E296" s="49">
        <v>29.840000152590001</v>
      </c>
      <c r="F296" s="49">
        <v>29.25</v>
      </c>
      <c r="G296" s="49">
        <v>29.34</v>
      </c>
      <c r="H296" s="49">
        <v>2.67</v>
      </c>
      <c r="I296" s="49">
        <v>3.76</v>
      </c>
      <c r="J296" s="49">
        <v>5.23768078193</v>
      </c>
      <c r="K296" s="49">
        <v>53.846239794870002</v>
      </c>
      <c r="L296" s="49">
        <v>2.6219999999999999</v>
      </c>
      <c r="M296" s="49">
        <v>3.1682999999999999</v>
      </c>
      <c r="N296" s="49">
        <v>2.9306000000000001</v>
      </c>
      <c r="O296" s="49">
        <v>3.0710999999999999</v>
      </c>
      <c r="P296" s="49">
        <v>2.8414239999999999</v>
      </c>
      <c r="Q296" s="49">
        <v>3.4692539999999998</v>
      </c>
      <c r="R296" s="49">
        <v>2.9025590000000001</v>
      </c>
      <c r="S296" s="49">
        <v>1069</v>
      </c>
      <c r="T296" s="49">
        <v>1080</v>
      </c>
      <c r="U296" s="49">
        <v>480</v>
      </c>
      <c r="V296" s="49">
        <v>983</v>
      </c>
      <c r="W296" s="49">
        <v>875</v>
      </c>
      <c r="X296" s="49" t="s">
        <v>1574</v>
      </c>
      <c r="Y296" s="49">
        <v>305</v>
      </c>
      <c r="Z296" s="49">
        <v>692</v>
      </c>
      <c r="AA296" s="49">
        <v>237</v>
      </c>
      <c r="AB296" s="49" t="s">
        <v>1574</v>
      </c>
      <c r="AC296" s="49" t="s">
        <v>1574</v>
      </c>
      <c r="AD296" s="49">
        <v>84.87</v>
      </c>
      <c r="AE296" s="49">
        <v>141.91999999999999</v>
      </c>
      <c r="AF296" s="49">
        <v>129.47</v>
      </c>
      <c r="AG296" s="49">
        <v>237.77</v>
      </c>
      <c r="AH296" s="49" t="s">
        <v>1574</v>
      </c>
      <c r="AI296" s="49" t="s">
        <v>1574</v>
      </c>
      <c r="AJ296" s="49" t="s">
        <v>1574</v>
      </c>
      <c r="AK296" s="49">
        <v>139.94999999999999</v>
      </c>
      <c r="AL296" s="49">
        <v>152.85</v>
      </c>
      <c r="AM296" s="49" t="s">
        <v>1574</v>
      </c>
      <c r="AN296" s="49">
        <v>0.3417</v>
      </c>
      <c r="AO296" s="49">
        <v>0.26795000000000002</v>
      </c>
      <c r="AP296" s="49">
        <v>2.2618999999999998</v>
      </c>
      <c r="AQ296" s="49">
        <v>0.894193872</v>
      </c>
      <c r="AR296" s="49">
        <v>1.8496999999999999</v>
      </c>
      <c r="AS296" s="49">
        <v>11.93</v>
      </c>
      <c r="AT296" s="49">
        <v>0.356707516</v>
      </c>
      <c r="AU296" s="49">
        <v>0.47421376199999998</v>
      </c>
      <c r="AV296" s="49">
        <v>0.15359999999999999</v>
      </c>
      <c r="AW296" s="49">
        <v>2675.78</v>
      </c>
      <c r="AX296" s="49">
        <v>168.69</v>
      </c>
      <c r="AY296" s="49">
        <v>160.6</v>
      </c>
      <c r="AZ296" s="49" t="s">
        <v>1574</v>
      </c>
      <c r="BA296" s="49">
        <v>356.82701199245002</v>
      </c>
      <c r="BB296" s="49">
        <v>222.32</v>
      </c>
      <c r="BC296" s="49">
        <v>1.9308000000000001</v>
      </c>
      <c r="BD296" s="49" t="s">
        <v>1574</v>
      </c>
      <c r="BE296" s="49">
        <v>1.1354</v>
      </c>
      <c r="BF296" s="49">
        <v>31.5</v>
      </c>
      <c r="BG296" s="49">
        <v>191.5</v>
      </c>
      <c r="BH296" s="49">
        <v>142.5</v>
      </c>
      <c r="BI296" s="49">
        <v>116.5</v>
      </c>
      <c r="BJ296" s="49">
        <v>82.5</v>
      </c>
      <c r="BK296" s="49">
        <v>1548.9</v>
      </c>
      <c r="BL296" s="49">
        <v>26.15</v>
      </c>
      <c r="BM296" s="49">
        <v>1375.7</v>
      </c>
      <c r="BN296" s="49">
        <v>397.5</v>
      </c>
      <c r="BO296" s="49">
        <v>12117.8</v>
      </c>
      <c r="BP296" s="49">
        <v>4670.5</v>
      </c>
      <c r="BQ296" s="49">
        <v>957.8</v>
      </c>
      <c r="BR296" s="49">
        <v>370.89</v>
      </c>
      <c r="BS296" s="49">
        <v>376.25</v>
      </c>
      <c r="BT296" s="49">
        <v>8.2538</v>
      </c>
      <c r="BU296" s="41"/>
      <c r="BV296" s="41"/>
      <c r="BW296" s="41"/>
      <c r="BX296" s="41"/>
      <c r="BY296" s="41"/>
      <c r="BZ296" s="41"/>
      <c r="CA296" s="41"/>
      <c r="CB296" s="41"/>
      <c r="CC296" s="41"/>
      <c r="CD296" s="41"/>
      <c r="CE296" s="41"/>
      <c r="CF296" s="41"/>
      <c r="CG296" s="41"/>
      <c r="CH296" s="41"/>
      <c r="CI296" s="41"/>
      <c r="CJ296" s="41"/>
      <c r="CK296" s="41"/>
    </row>
    <row r="297" spans="1:89">
      <c r="A297" s="41" t="s">
        <v>426</v>
      </c>
      <c r="B297" s="51">
        <v>29.203332901</v>
      </c>
      <c r="C297" s="51">
        <v>29.879999160770002</v>
      </c>
      <c r="D297" s="51">
        <v>27.64999961853</v>
      </c>
      <c r="E297" s="51">
        <v>30.079999923710002</v>
      </c>
      <c r="F297" s="51">
        <v>29.25</v>
      </c>
      <c r="G297" s="51">
        <v>29.34</v>
      </c>
      <c r="H297" s="51">
        <v>2.71</v>
      </c>
      <c r="I297" s="51">
        <v>3.76</v>
      </c>
      <c r="J297" s="51">
        <v>5.23768078193</v>
      </c>
      <c r="K297" s="51">
        <v>54.331974713820003</v>
      </c>
      <c r="L297" s="51">
        <v>2.5005000000000002</v>
      </c>
      <c r="M297" s="51">
        <v>3.2168000000000001</v>
      </c>
      <c r="N297" s="51">
        <v>3.0049000000000001</v>
      </c>
      <c r="O297" s="51">
        <v>2.7067999999999999</v>
      </c>
      <c r="P297" s="51">
        <v>2.6451030000000002</v>
      </c>
      <c r="Q297" s="51">
        <v>2.5446260000000001</v>
      </c>
      <c r="R297" s="51">
        <v>2.9306390000000002</v>
      </c>
      <c r="S297" s="51">
        <v>1158</v>
      </c>
      <c r="T297" s="51">
        <v>960</v>
      </c>
      <c r="U297" s="51">
        <v>466</v>
      </c>
      <c r="V297" s="51">
        <v>1024</v>
      </c>
      <c r="W297" s="51">
        <v>875</v>
      </c>
      <c r="X297" s="51" t="s">
        <v>1574</v>
      </c>
      <c r="Y297" s="51">
        <v>293</v>
      </c>
      <c r="Z297" s="51">
        <v>669</v>
      </c>
      <c r="AA297" s="51">
        <v>221</v>
      </c>
      <c r="AB297" s="51" t="s">
        <v>1574</v>
      </c>
      <c r="AC297" s="51" t="s">
        <v>1574</v>
      </c>
      <c r="AD297" s="51">
        <v>84.87</v>
      </c>
      <c r="AE297" s="51">
        <v>137</v>
      </c>
      <c r="AF297" s="51">
        <v>125.66</v>
      </c>
      <c r="AG297" s="51">
        <v>227.85</v>
      </c>
      <c r="AH297" s="51" t="s">
        <v>1574</v>
      </c>
      <c r="AI297" s="51" t="s">
        <v>1574</v>
      </c>
      <c r="AJ297" s="51" t="s">
        <v>1574</v>
      </c>
      <c r="AK297" s="51">
        <v>133.27000000000001</v>
      </c>
      <c r="AL297" s="51">
        <v>150.65</v>
      </c>
      <c r="AM297" s="51" t="s">
        <v>1574</v>
      </c>
      <c r="AN297" s="51">
        <v>0.41652</v>
      </c>
      <c r="AO297" s="51">
        <v>0.24562999999999999</v>
      </c>
      <c r="AP297" s="51">
        <v>2.339</v>
      </c>
      <c r="AQ297" s="51">
        <v>0.922192546</v>
      </c>
      <c r="AR297" s="51">
        <v>1.8706</v>
      </c>
      <c r="AS297" s="51">
        <v>12.08</v>
      </c>
      <c r="AT297" s="51">
        <v>0.36773061600000001</v>
      </c>
      <c r="AU297" s="51">
        <v>0.48237085600000001</v>
      </c>
      <c r="AV297" s="51">
        <v>0.1462</v>
      </c>
      <c r="AW297" s="51">
        <v>2630.46</v>
      </c>
      <c r="AX297" s="51">
        <v>174.21</v>
      </c>
      <c r="AY297" s="51">
        <v>158.63</v>
      </c>
      <c r="AZ297" s="51" t="s">
        <v>1574</v>
      </c>
      <c r="BA297" s="51">
        <v>354.45671336298</v>
      </c>
      <c r="BB297" s="51">
        <v>225.74</v>
      </c>
      <c r="BC297" s="51">
        <v>1.9277</v>
      </c>
      <c r="BD297" s="51" t="s">
        <v>1574</v>
      </c>
      <c r="BE297" s="51">
        <v>1.1387</v>
      </c>
      <c r="BF297" s="51">
        <v>31.5</v>
      </c>
      <c r="BG297" s="51">
        <v>204</v>
      </c>
      <c r="BH297" s="51">
        <v>142.5</v>
      </c>
      <c r="BI297" s="51">
        <v>118</v>
      </c>
      <c r="BJ297" s="51">
        <v>82.5</v>
      </c>
      <c r="BK297" s="51">
        <v>1491.2</v>
      </c>
      <c r="BL297" s="51">
        <v>26.15</v>
      </c>
      <c r="BM297" s="51">
        <v>1429.8</v>
      </c>
      <c r="BN297" s="51">
        <v>404.5</v>
      </c>
      <c r="BO297" s="51">
        <v>12297.7</v>
      </c>
      <c r="BP297" s="51">
        <v>4639.8</v>
      </c>
      <c r="BQ297" s="51">
        <v>998.4</v>
      </c>
      <c r="BR297" s="51">
        <v>385.96</v>
      </c>
      <c r="BS297" s="51">
        <v>391.23</v>
      </c>
      <c r="BT297" s="51">
        <v>9.1181999999999999</v>
      </c>
      <c r="BU297" s="41"/>
      <c r="BV297" s="41"/>
      <c r="BW297" s="41"/>
      <c r="BX297" s="41"/>
      <c r="BY297" s="41"/>
      <c r="BZ297" s="41"/>
      <c r="CA297" s="41"/>
      <c r="CB297" s="41"/>
      <c r="CC297" s="41"/>
      <c r="CD297" s="41"/>
      <c r="CE297" s="41"/>
      <c r="CF297" s="41"/>
      <c r="CG297" s="41"/>
      <c r="CH297" s="41"/>
      <c r="CI297" s="41"/>
      <c r="CJ297" s="41"/>
      <c r="CK297" s="41"/>
    </row>
    <row r="298" spans="1:89">
      <c r="A298" s="48" t="s">
        <v>427</v>
      </c>
      <c r="B298" s="49">
        <v>29.533333460489999</v>
      </c>
      <c r="C298" s="49">
        <v>30.079999923710002</v>
      </c>
      <c r="D298" s="49">
        <v>27.790000915530001</v>
      </c>
      <c r="E298" s="49">
        <v>30.729999542240002</v>
      </c>
      <c r="F298" s="49">
        <v>29.25</v>
      </c>
      <c r="G298" s="49">
        <v>29.34</v>
      </c>
      <c r="H298" s="49">
        <v>2.67</v>
      </c>
      <c r="I298" s="49">
        <v>3.76</v>
      </c>
      <c r="J298" s="49">
        <v>5.23768078193</v>
      </c>
      <c r="K298" s="49">
        <v>53.846239794870002</v>
      </c>
      <c r="L298" s="49">
        <v>2.5347</v>
      </c>
      <c r="M298" s="49">
        <v>3.2698999999999998</v>
      </c>
      <c r="N298" s="49">
        <v>3.0432999999999999</v>
      </c>
      <c r="O298" s="49">
        <v>2.7898000000000001</v>
      </c>
      <c r="P298" s="49">
        <v>2.665368</v>
      </c>
      <c r="Q298" s="49">
        <v>2.6262910000000002</v>
      </c>
      <c r="R298" s="49">
        <v>3.0777079999999999</v>
      </c>
      <c r="S298" s="49">
        <v>1123</v>
      </c>
      <c r="T298" s="49">
        <v>975</v>
      </c>
      <c r="U298" s="49">
        <v>428</v>
      </c>
      <c r="V298" s="49">
        <v>1086</v>
      </c>
      <c r="W298" s="49">
        <v>845</v>
      </c>
      <c r="X298" s="49" t="s">
        <v>1574</v>
      </c>
      <c r="Y298" s="49">
        <v>314</v>
      </c>
      <c r="Z298" s="49">
        <v>720</v>
      </c>
      <c r="AA298" s="49">
        <v>229</v>
      </c>
      <c r="AB298" s="49" t="s">
        <v>1574</v>
      </c>
      <c r="AC298" s="49" t="s">
        <v>1574</v>
      </c>
      <c r="AD298" s="49">
        <v>87.55</v>
      </c>
      <c r="AE298" s="49">
        <v>147.08000000000001</v>
      </c>
      <c r="AF298" s="49">
        <v>130.82</v>
      </c>
      <c r="AG298" s="49">
        <v>234.08</v>
      </c>
      <c r="AH298" s="49" t="s">
        <v>1574</v>
      </c>
      <c r="AI298" s="49" t="s">
        <v>1574</v>
      </c>
      <c r="AJ298" s="49" t="s">
        <v>1574</v>
      </c>
      <c r="AK298" s="49">
        <v>142.66</v>
      </c>
      <c r="AL298" s="49">
        <v>153.96</v>
      </c>
      <c r="AM298" s="49" t="s">
        <v>1574</v>
      </c>
      <c r="AN298" s="49">
        <v>0.41364000000000001</v>
      </c>
      <c r="AO298" s="49">
        <v>0.25784000000000001</v>
      </c>
      <c r="AP298" s="49">
        <v>2.3809999999999998</v>
      </c>
      <c r="AQ298" s="49">
        <v>0.90940575000000001</v>
      </c>
      <c r="AR298" s="49">
        <v>1.9560999999999999</v>
      </c>
      <c r="AS298" s="49">
        <v>12.48</v>
      </c>
      <c r="AT298" s="49">
        <v>0.38139926000000002</v>
      </c>
      <c r="AU298" s="49">
        <v>0.485677786</v>
      </c>
      <c r="AV298" s="49">
        <v>0.14149999999999999</v>
      </c>
      <c r="AW298" s="49">
        <v>2632.91</v>
      </c>
      <c r="AX298" s="49">
        <v>190.58</v>
      </c>
      <c r="AY298" s="49">
        <v>169.74</v>
      </c>
      <c r="AZ298" s="49" t="s">
        <v>1574</v>
      </c>
      <c r="BA298" s="49">
        <v>367.65340963518003</v>
      </c>
      <c r="BB298" s="49">
        <v>254</v>
      </c>
      <c r="BC298" s="49">
        <v>1.9495</v>
      </c>
      <c r="BD298" s="49" t="s">
        <v>1574</v>
      </c>
      <c r="BE298" s="49">
        <v>1.1233</v>
      </c>
      <c r="BF298" s="49">
        <v>31.5</v>
      </c>
      <c r="BG298" s="49">
        <v>201</v>
      </c>
      <c r="BH298" s="49">
        <v>132.5</v>
      </c>
      <c r="BI298" s="49">
        <v>141</v>
      </c>
      <c r="BJ298" s="49">
        <v>82.5</v>
      </c>
      <c r="BK298" s="49">
        <v>1455.8</v>
      </c>
      <c r="BL298" s="49">
        <v>26.15</v>
      </c>
      <c r="BM298" s="49">
        <v>1501.2</v>
      </c>
      <c r="BN298" s="49">
        <v>459.5</v>
      </c>
      <c r="BO298" s="49">
        <v>12406.1</v>
      </c>
      <c r="BP298" s="49">
        <v>4780.7</v>
      </c>
      <c r="BQ298" s="49">
        <v>1040.5999999999999</v>
      </c>
      <c r="BR298" s="49">
        <v>394.26</v>
      </c>
      <c r="BS298" s="49">
        <v>398.43</v>
      </c>
      <c r="BT298" s="49">
        <v>9.6479999999999997</v>
      </c>
      <c r="BU298" s="41"/>
      <c r="BV298" s="41"/>
      <c r="BW298" s="41"/>
      <c r="BX298" s="41"/>
      <c r="BY298" s="41"/>
      <c r="BZ298" s="41"/>
      <c r="CA298" s="41"/>
      <c r="CB298" s="41"/>
      <c r="CC298" s="41"/>
      <c r="CD298" s="41"/>
      <c r="CE298" s="41"/>
      <c r="CF298" s="41"/>
      <c r="CG298" s="41"/>
      <c r="CH298" s="41"/>
      <c r="CI298" s="41"/>
      <c r="CJ298" s="41"/>
      <c r="CK298" s="41"/>
    </row>
    <row r="299" spans="1:89">
      <c r="A299" s="41" t="s">
        <v>428</v>
      </c>
      <c r="B299" s="51">
        <v>29.573332468669999</v>
      </c>
      <c r="C299" s="51">
        <v>30.129999160770002</v>
      </c>
      <c r="D299" s="51">
        <v>27.959999084469999</v>
      </c>
      <c r="E299" s="51">
        <v>30.629999160770002</v>
      </c>
      <c r="F299" s="51">
        <v>29.25</v>
      </c>
      <c r="G299" s="51">
        <v>29.34</v>
      </c>
      <c r="H299" s="51">
        <v>2.64</v>
      </c>
      <c r="I299" s="51">
        <v>3.76</v>
      </c>
      <c r="J299" s="51">
        <v>5.23768078193</v>
      </c>
      <c r="K299" s="51">
        <v>53.481938605659998</v>
      </c>
      <c r="L299" s="51">
        <v>2.5358000000000001</v>
      </c>
      <c r="M299" s="51">
        <v>3.3115999999999999</v>
      </c>
      <c r="N299" s="51">
        <v>3.0325000000000002</v>
      </c>
      <c r="O299" s="51">
        <v>3.0051000000000001</v>
      </c>
      <c r="P299" s="51">
        <v>2.7269830000000002</v>
      </c>
      <c r="Q299" s="51">
        <v>3.3508719999999999</v>
      </c>
      <c r="R299" s="51">
        <v>2.9373499999999999</v>
      </c>
      <c r="S299" s="51">
        <v>1150</v>
      </c>
      <c r="T299" s="51">
        <v>950</v>
      </c>
      <c r="U299" s="51">
        <v>402</v>
      </c>
      <c r="V299" s="51">
        <v>1159</v>
      </c>
      <c r="W299" s="51">
        <v>841</v>
      </c>
      <c r="X299" s="51" t="s">
        <v>1574</v>
      </c>
      <c r="Y299" s="51">
        <v>315</v>
      </c>
      <c r="Z299" s="51">
        <v>772</v>
      </c>
      <c r="AA299" s="51">
        <v>220</v>
      </c>
      <c r="AB299" s="51" t="s">
        <v>1574</v>
      </c>
      <c r="AC299" s="51" t="s">
        <v>1574</v>
      </c>
      <c r="AD299" s="51">
        <v>92.52</v>
      </c>
      <c r="AE299" s="51">
        <v>148.02000000000001</v>
      </c>
      <c r="AF299" s="51">
        <v>129.52000000000001</v>
      </c>
      <c r="AG299" s="51">
        <v>235.31</v>
      </c>
      <c r="AH299" s="51" t="s">
        <v>1574</v>
      </c>
      <c r="AI299" s="51" t="s">
        <v>1574</v>
      </c>
      <c r="AJ299" s="51" t="s">
        <v>1574</v>
      </c>
      <c r="AK299" s="51">
        <v>148.1</v>
      </c>
      <c r="AL299" s="51">
        <v>157.26</v>
      </c>
      <c r="AM299" s="51" t="s">
        <v>1574</v>
      </c>
      <c r="AN299" s="51">
        <v>0.41449999999999998</v>
      </c>
      <c r="AO299" s="51">
        <v>0.24179</v>
      </c>
      <c r="AP299" s="51">
        <v>2.4691999999999998</v>
      </c>
      <c r="AQ299" s="51">
        <v>0.90367373799999995</v>
      </c>
      <c r="AR299" s="51">
        <v>2.0746000000000002</v>
      </c>
      <c r="AS299" s="51">
        <v>12.54</v>
      </c>
      <c r="AT299" s="51">
        <v>0.37456493800000001</v>
      </c>
      <c r="AU299" s="51">
        <v>0.48589824799999998</v>
      </c>
      <c r="AV299" s="51">
        <v>0.13250000000000001</v>
      </c>
      <c r="AW299" s="51">
        <v>2627.55</v>
      </c>
      <c r="AX299" s="51">
        <v>190.76</v>
      </c>
      <c r="AY299" s="51">
        <v>181.83</v>
      </c>
      <c r="AZ299" s="51" t="s">
        <v>1574</v>
      </c>
      <c r="BA299" s="51">
        <v>381.57026360761</v>
      </c>
      <c r="BB299" s="51">
        <v>255.61</v>
      </c>
      <c r="BC299" s="51">
        <v>1.9619</v>
      </c>
      <c r="BD299" s="51" t="s">
        <v>1574</v>
      </c>
      <c r="BE299" s="51">
        <v>1.0731999999999999</v>
      </c>
      <c r="BF299" s="51">
        <v>31.5</v>
      </c>
      <c r="BG299" s="51">
        <v>198.5</v>
      </c>
      <c r="BH299" s="51">
        <v>125</v>
      </c>
      <c r="BI299" s="51">
        <v>127.5</v>
      </c>
      <c r="BJ299" s="51">
        <v>81</v>
      </c>
      <c r="BK299" s="51">
        <v>1370.3</v>
      </c>
      <c r="BL299" s="51">
        <v>26.15</v>
      </c>
      <c r="BM299" s="51">
        <v>1532.6</v>
      </c>
      <c r="BN299" s="51">
        <v>481.7</v>
      </c>
      <c r="BO299" s="51">
        <v>12445</v>
      </c>
      <c r="BP299" s="51">
        <v>4911.5</v>
      </c>
      <c r="BQ299" s="51">
        <v>1004.1</v>
      </c>
      <c r="BR299" s="51">
        <v>381.37</v>
      </c>
      <c r="BS299" s="51">
        <v>391.62</v>
      </c>
      <c r="BT299" s="51">
        <v>9.2471999999999994</v>
      </c>
      <c r="BU299" s="41"/>
      <c r="BV299" s="41"/>
      <c r="BW299" s="41"/>
      <c r="BX299" s="41"/>
      <c r="BY299" s="41"/>
      <c r="BZ299" s="41"/>
      <c r="CA299" s="41"/>
      <c r="CB299" s="41"/>
      <c r="CC299" s="41"/>
      <c r="CD299" s="41"/>
      <c r="CE299" s="41"/>
      <c r="CF299" s="41"/>
      <c r="CG299" s="41"/>
      <c r="CH299" s="41"/>
      <c r="CI299" s="41"/>
      <c r="CJ299" s="41"/>
      <c r="CK299" s="41"/>
    </row>
    <row r="300" spans="1:89">
      <c r="A300" s="48" t="s">
        <v>429</v>
      </c>
      <c r="B300" s="49">
        <v>29.460000356039998</v>
      </c>
      <c r="C300" s="49">
        <v>29.89999961853</v>
      </c>
      <c r="D300" s="49">
        <v>28.030000686649998</v>
      </c>
      <c r="E300" s="49">
        <v>30.45000076294</v>
      </c>
      <c r="F300" s="49">
        <v>29.25</v>
      </c>
      <c r="G300" s="49">
        <v>29.34</v>
      </c>
      <c r="H300" s="49">
        <v>2.67</v>
      </c>
      <c r="I300" s="49">
        <v>3.76</v>
      </c>
      <c r="J300" s="49">
        <v>5.23768078193</v>
      </c>
      <c r="K300" s="49">
        <v>53.846239794870002</v>
      </c>
      <c r="L300" s="49">
        <v>2.6825999999999999</v>
      </c>
      <c r="M300" s="49">
        <v>3.3123999999999998</v>
      </c>
      <c r="N300" s="49">
        <v>3.2292999999999998</v>
      </c>
      <c r="O300" s="49">
        <v>2.8134000000000001</v>
      </c>
      <c r="P300" s="49">
        <v>2.5274329999999998</v>
      </c>
      <c r="Q300" s="49">
        <v>3.0555810000000001</v>
      </c>
      <c r="R300" s="49">
        <v>2.8570419999999999</v>
      </c>
      <c r="S300" s="49">
        <v>1314</v>
      </c>
      <c r="T300" s="49">
        <v>910</v>
      </c>
      <c r="U300" s="49">
        <v>382</v>
      </c>
      <c r="V300" s="49">
        <v>1171</v>
      </c>
      <c r="W300" s="49">
        <v>951</v>
      </c>
      <c r="X300" s="49" t="s">
        <v>1574</v>
      </c>
      <c r="Y300" s="49">
        <v>338</v>
      </c>
      <c r="Z300" s="49">
        <v>914</v>
      </c>
      <c r="AA300" s="49">
        <v>219</v>
      </c>
      <c r="AB300" s="49" t="s">
        <v>1574</v>
      </c>
      <c r="AC300" s="49" t="s">
        <v>1574</v>
      </c>
      <c r="AD300" s="49">
        <v>93.22</v>
      </c>
      <c r="AE300" s="49">
        <v>146.06</v>
      </c>
      <c r="AF300" s="49">
        <v>131.91999999999999</v>
      </c>
      <c r="AG300" s="49">
        <v>234.33</v>
      </c>
      <c r="AH300" s="49" t="s">
        <v>1574</v>
      </c>
      <c r="AI300" s="49" t="s">
        <v>1574</v>
      </c>
      <c r="AJ300" s="49" t="s">
        <v>1574</v>
      </c>
      <c r="AK300" s="49">
        <v>144.33000000000001</v>
      </c>
      <c r="AL300" s="49">
        <v>153.96</v>
      </c>
      <c r="AM300" s="49" t="s">
        <v>1574</v>
      </c>
      <c r="AN300" s="49">
        <v>0.42621999999999999</v>
      </c>
      <c r="AO300" s="49">
        <v>0.24057999999999999</v>
      </c>
      <c r="AP300" s="49">
        <v>2.3950999999999998</v>
      </c>
      <c r="AQ300" s="49">
        <v>0.87236813400000002</v>
      </c>
      <c r="AR300" s="49">
        <v>2.0754999999999999</v>
      </c>
      <c r="AS300" s="49">
        <v>12.02</v>
      </c>
      <c r="AT300" s="49">
        <v>0.36111675599999998</v>
      </c>
      <c r="AU300" s="49">
        <v>0.48523686199999999</v>
      </c>
      <c r="AV300" s="49">
        <v>0.1241</v>
      </c>
      <c r="AW300" s="49">
        <v>2687.46</v>
      </c>
      <c r="AX300" s="49">
        <v>183.43</v>
      </c>
      <c r="AY300" s="49">
        <v>184.41</v>
      </c>
      <c r="AZ300" s="49" t="s">
        <v>1574</v>
      </c>
      <c r="BA300" s="49">
        <v>384.48441795784998</v>
      </c>
      <c r="BB300" s="49">
        <v>244.95</v>
      </c>
      <c r="BC300" s="49">
        <v>1.972</v>
      </c>
      <c r="BD300" s="49" t="s">
        <v>1574</v>
      </c>
      <c r="BE300" s="49">
        <v>0.97729999999999995</v>
      </c>
      <c r="BF300" s="49">
        <v>31.5</v>
      </c>
      <c r="BG300" s="49">
        <v>171.5</v>
      </c>
      <c r="BH300" s="49">
        <v>116</v>
      </c>
      <c r="BI300" s="49">
        <v>147.5</v>
      </c>
      <c r="BJ300" s="49">
        <v>81</v>
      </c>
      <c r="BK300" s="49">
        <v>1289.0999999999999</v>
      </c>
      <c r="BL300" s="49">
        <v>26.15</v>
      </c>
      <c r="BM300" s="49">
        <v>1420.9</v>
      </c>
      <c r="BN300" s="49">
        <v>453.1</v>
      </c>
      <c r="BO300" s="49">
        <v>12582.8</v>
      </c>
      <c r="BP300" s="49">
        <v>4811.3999999999996</v>
      </c>
      <c r="BQ300" s="49">
        <v>1001.3</v>
      </c>
      <c r="BR300" s="49">
        <v>377.4</v>
      </c>
      <c r="BS300" s="49">
        <v>387.86</v>
      </c>
      <c r="BT300" s="49">
        <v>8.9675999999999991</v>
      </c>
      <c r="BU300" s="41"/>
      <c r="BV300" s="41"/>
      <c r="BW300" s="41"/>
      <c r="BX300" s="41"/>
      <c r="BY300" s="41"/>
      <c r="BZ300" s="41"/>
      <c r="CA300" s="41"/>
      <c r="CB300" s="41"/>
      <c r="CC300" s="41"/>
      <c r="CD300" s="41"/>
      <c r="CE300" s="41"/>
      <c r="CF300" s="41"/>
      <c r="CG300" s="41"/>
      <c r="CH300" s="41"/>
      <c r="CI300" s="41"/>
      <c r="CJ300" s="41"/>
      <c r="CK300" s="41"/>
    </row>
    <row r="301" spans="1:89">
      <c r="A301" s="41" t="s">
        <v>430</v>
      </c>
      <c r="B301" s="51">
        <v>29.050000508629999</v>
      </c>
      <c r="C301" s="51">
        <v>29.20000076294</v>
      </c>
      <c r="D301" s="51">
        <v>27.909999847409999</v>
      </c>
      <c r="E301" s="51">
        <v>30.040000915530001</v>
      </c>
      <c r="F301" s="51">
        <v>31.75</v>
      </c>
      <c r="G301" s="51">
        <v>34.31</v>
      </c>
      <c r="H301" s="51">
        <v>2.7</v>
      </c>
      <c r="I301" s="51">
        <v>3.76</v>
      </c>
      <c r="J301" s="51">
        <v>5.23768078193</v>
      </c>
      <c r="K301" s="51">
        <v>54.210540984079998</v>
      </c>
      <c r="L301" s="51">
        <v>2.4849999999999999</v>
      </c>
      <c r="M301" s="51">
        <v>3.2473999999999998</v>
      </c>
      <c r="N301" s="51">
        <v>3.165</v>
      </c>
      <c r="O301" s="51">
        <v>2.7050000000000001</v>
      </c>
      <c r="P301" s="51">
        <v>2.196615</v>
      </c>
      <c r="Q301" s="51">
        <v>3.0884749999999999</v>
      </c>
      <c r="R301" s="51">
        <v>2.8299110000000001</v>
      </c>
      <c r="S301" s="51">
        <v>1431</v>
      </c>
      <c r="T301" s="51">
        <v>923</v>
      </c>
      <c r="U301" s="51">
        <v>372</v>
      </c>
      <c r="V301" s="51">
        <v>1155</v>
      </c>
      <c r="W301" s="51">
        <v>783</v>
      </c>
      <c r="X301" s="51" t="s">
        <v>1574</v>
      </c>
      <c r="Y301" s="51">
        <v>308</v>
      </c>
      <c r="Z301" s="51">
        <v>844</v>
      </c>
      <c r="AA301" s="51">
        <v>202</v>
      </c>
      <c r="AB301" s="51" t="s">
        <v>1574</v>
      </c>
      <c r="AC301" s="51" t="s">
        <v>1574</v>
      </c>
      <c r="AD301" s="51">
        <v>89.91</v>
      </c>
      <c r="AE301" s="51">
        <v>146.97</v>
      </c>
      <c r="AF301" s="51">
        <v>128.32</v>
      </c>
      <c r="AG301" s="51">
        <v>235.31</v>
      </c>
      <c r="AH301" s="51" t="s">
        <v>1574</v>
      </c>
      <c r="AI301" s="51" t="s">
        <v>1574</v>
      </c>
      <c r="AJ301" s="51" t="s">
        <v>1574</v>
      </c>
      <c r="AK301" s="51">
        <v>136.32</v>
      </c>
      <c r="AL301" s="51">
        <v>149.91</v>
      </c>
      <c r="AM301" s="51" t="s">
        <v>1574</v>
      </c>
      <c r="AN301" s="51">
        <v>0.45889000000000002</v>
      </c>
      <c r="AO301" s="51">
        <v>0.31769999999999998</v>
      </c>
      <c r="AP301" s="51">
        <v>2.3331</v>
      </c>
      <c r="AQ301" s="51">
        <v>0.87479321600000004</v>
      </c>
      <c r="AR301" s="51">
        <v>2.048</v>
      </c>
      <c r="AS301" s="51">
        <v>11.79</v>
      </c>
      <c r="AT301" s="51">
        <v>0.36155767999999999</v>
      </c>
      <c r="AU301" s="51">
        <v>0.48633917199999999</v>
      </c>
      <c r="AV301" s="51">
        <v>0.1217</v>
      </c>
      <c r="AW301" s="51">
        <v>2759.88</v>
      </c>
      <c r="AX301" s="51">
        <v>184.09</v>
      </c>
      <c r="AY301" s="51">
        <v>175.13</v>
      </c>
      <c r="AZ301" s="51" t="s">
        <v>1574</v>
      </c>
      <c r="BA301" s="51">
        <v>373.91236475996999</v>
      </c>
      <c r="BB301" s="51">
        <v>232.62</v>
      </c>
      <c r="BC301" s="51">
        <v>1.8454999999999999</v>
      </c>
      <c r="BD301" s="51" t="s">
        <v>1574</v>
      </c>
      <c r="BE301" s="51">
        <v>0.87939999999999996</v>
      </c>
      <c r="BF301" s="51">
        <v>31.5</v>
      </c>
      <c r="BG301" s="51">
        <v>156</v>
      </c>
      <c r="BH301" s="51">
        <v>120</v>
      </c>
      <c r="BI301" s="51">
        <v>155</v>
      </c>
      <c r="BJ301" s="51">
        <v>81</v>
      </c>
      <c r="BK301" s="51">
        <v>1275</v>
      </c>
      <c r="BL301" s="51">
        <v>26.15</v>
      </c>
      <c r="BM301" s="51">
        <v>1366.5</v>
      </c>
      <c r="BN301" s="51">
        <v>484.3</v>
      </c>
      <c r="BO301" s="51">
        <v>12662.2</v>
      </c>
      <c r="BP301" s="51">
        <v>4773.2</v>
      </c>
      <c r="BQ301" s="51">
        <v>941.5</v>
      </c>
      <c r="BR301" s="51">
        <v>377.7</v>
      </c>
      <c r="BS301" s="51">
        <v>381.55</v>
      </c>
      <c r="BT301" s="51">
        <v>8.7721</v>
      </c>
      <c r="BU301" s="41"/>
      <c r="BV301" s="41"/>
      <c r="BW301" s="41"/>
      <c r="BX301" s="41"/>
      <c r="BY301" s="41"/>
      <c r="BZ301" s="41"/>
      <c r="CA301" s="41"/>
      <c r="CB301" s="41"/>
      <c r="CC301" s="41"/>
      <c r="CD301" s="41"/>
      <c r="CE301" s="41"/>
      <c r="CF301" s="41"/>
      <c r="CG301" s="41"/>
      <c r="CH301" s="41"/>
      <c r="CI301" s="41"/>
      <c r="CJ301" s="41"/>
      <c r="CK301" s="41"/>
    </row>
    <row r="302" spans="1:89">
      <c r="A302" s="48" t="s">
        <v>431</v>
      </c>
      <c r="B302" s="49">
        <v>27.98666699727</v>
      </c>
      <c r="C302" s="49">
        <v>27.909999847409999</v>
      </c>
      <c r="D302" s="49">
        <v>27.260000228879999</v>
      </c>
      <c r="E302" s="49">
        <v>28.790000915530001</v>
      </c>
      <c r="F302" s="49">
        <v>31.75</v>
      </c>
      <c r="G302" s="49">
        <v>35.799999999999997</v>
      </c>
      <c r="H302" s="49">
        <v>2.68</v>
      </c>
      <c r="I302" s="49">
        <v>3.76</v>
      </c>
      <c r="J302" s="49">
        <v>5.23768078193</v>
      </c>
      <c r="K302" s="49">
        <v>53.967673524609999</v>
      </c>
      <c r="L302" s="49">
        <v>2.2145000000000001</v>
      </c>
      <c r="M302" s="49">
        <v>3.1770999999999998</v>
      </c>
      <c r="N302" s="49">
        <v>3.0402</v>
      </c>
      <c r="O302" s="49">
        <v>2.6983000000000001</v>
      </c>
      <c r="P302" s="49">
        <v>2.1369929999999999</v>
      </c>
      <c r="Q302" s="49">
        <v>3.1948850000000002</v>
      </c>
      <c r="R302" s="49">
        <v>2.763153</v>
      </c>
      <c r="S302" s="49">
        <v>1273</v>
      </c>
      <c r="T302" s="49">
        <v>840</v>
      </c>
      <c r="U302" s="49">
        <v>341</v>
      </c>
      <c r="V302" s="49">
        <v>1054</v>
      </c>
      <c r="W302" s="49">
        <v>580</v>
      </c>
      <c r="X302" s="49" t="s">
        <v>1574</v>
      </c>
      <c r="Y302" s="49">
        <v>270</v>
      </c>
      <c r="Z302" s="49">
        <v>697</v>
      </c>
      <c r="AA302" s="49">
        <v>186</v>
      </c>
      <c r="AB302" s="49" t="s">
        <v>1574</v>
      </c>
      <c r="AC302" s="49" t="s">
        <v>1574</v>
      </c>
      <c r="AD302" s="49">
        <v>72.89</v>
      </c>
      <c r="AE302" s="49">
        <v>142.59</v>
      </c>
      <c r="AF302" s="49">
        <v>111.39</v>
      </c>
      <c r="AG302" s="49">
        <v>248.81</v>
      </c>
      <c r="AH302" s="49" t="s">
        <v>1574</v>
      </c>
      <c r="AI302" s="49" t="s">
        <v>1574</v>
      </c>
      <c r="AJ302" s="49" t="s">
        <v>1574</v>
      </c>
      <c r="AK302" s="49">
        <v>133.66</v>
      </c>
      <c r="AL302" s="49">
        <v>146.97</v>
      </c>
      <c r="AM302" s="49" t="s">
        <v>1574</v>
      </c>
      <c r="AN302" s="49">
        <v>0.36663000000000001</v>
      </c>
      <c r="AO302" s="49">
        <v>0.4088</v>
      </c>
      <c r="AP302" s="49">
        <v>2.2336999999999998</v>
      </c>
      <c r="AQ302" s="49">
        <v>0.89176878999999998</v>
      </c>
      <c r="AR302" s="49">
        <v>1.9575</v>
      </c>
      <c r="AS302" s="49">
        <v>11.46</v>
      </c>
      <c r="AT302" s="49">
        <v>0.35692797799999998</v>
      </c>
      <c r="AU302" s="49">
        <v>0.48259131799999999</v>
      </c>
      <c r="AV302" s="49">
        <v>0.10009999999999999</v>
      </c>
      <c r="AW302" s="49">
        <v>2840.07</v>
      </c>
      <c r="AX302" s="49">
        <v>177.35</v>
      </c>
      <c r="AY302" s="49">
        <v>157.9</v>
      </c>
      <c r="AZ302" s="49" t="s">
        <v>1574</v>
      </c>
      <c r="BA302" s="49">
        <v>353.57494408388999</v>
      </c>
      <c r="BB302" s="49">
        <v>218.25</v>
      </c>
      <c r="BC302" s="49">
        <v>1.7414000000000001</v>
      </c>
      <c r="BD302" s="49" t="s">
        <v>1574</v>
      </c>
      <c r="BE302" s="49">
        <v>0.88959999999999995</v>
      </c>
      <c r="BF302" s="49">
        <v>33.799999999999997</v>
      </c>
      <c r="BG302" s="49">
        <v>163.5</v>
      </c>
      <c r="BH302" s="49">
        <v>132.5</v>
      </c>
      <c r="BI302" s="49">
        <v>162.5</v>
      </c>
      <c r="BJ302" s="49">
        <v>86.5</v>
      </c>
      <c r="BK302" s="49">
        <v>1162.8</v>
      </c>
      <c r="BL302" s="49">
        <v>26.15</v>
      </c>
      <c r="BM302" s="49">
        <v>1330.8</v>
      </c>
      <c r="BN302" s="49">
        <v>493.6</v>
      </c>
      <c r="BO302" s="49">
        <v>12438.7</v>
      </c>
      <c r="BP302" s="49">
        <v>4640.3</v>
      </c>
      <c r="BQ302" s="49">
        <v>853.6</v>
      </c>
      <c r="BR302" s="49">
        <v>347.71</v>
      </c>
      <c r="BS302" s="49">
        <v>343.32</v>
      </c>
      <c r="BT302" s="49">
        <v>7.4553000000000003</v>
      </c>
      <c r="BU302" s="41"/>
      <c r="BV302" s="41"/>
      <c r="BW302" s="41"/>
      <c r="BX302" s="41"/>
      <c r="BY302" s="41"/>
      <c r="BZ302" s="41"/>
      <c r="CA302" s="41"/>
      <c r="CB302" s="41"/>
      <c r="CC302" s="41"/>
      <c r="CD302" s="41"/>
      <c r="CE302" s="41"/>
      <c r="CF302" s="41"/>
      <c r="CG302" s="41"/>
      <c r="CH302" s="41"/>
      <c r="CI302" s="41"/>
      <c r="CJ302" s="41"/>
      <c r="CK302" s="41"/>
    </row>
    <row r="303" spans="1:89">
      <c r="A303" s="41" t="s">
        <v>432</v>
      </c>
      <c r="B303" s="51">
        <v>28.170000076289998</v>
      </c>
      <c r="C303" s="51">
        <v>28.110000610349999</v>
      </c>
      <c r="D303" s="51">
        <v>27.229999542240002</v>
      </c>
      <c r="E303" s="51">
        <v>29.170000076289998</v>
      </c>
      <c r="F303" s="51">
        <v>31.75</v>
      </c>
      <c r="G303" s="51">
        <v>35.799999999999997</v>
      </c>
      <c r="H303" s="51">
        <v>2.69</v>
      </c>
      <c r="I303" s="51">
        <v>3.76</v>
      </c>
      <c r="J303" s="51">
        <v>5.23768078193</v>
      </c>
      <c r="K303" s="51">
        <v>54.089107254349997</v>
      </c>
      <c r="L303" s="51">
        <v>2.2136</v>
      </c>
      <c r="M303" s="51">
        <v>3.2121</v>
      </c>
      <c r="N303" s="51">
        <v>3.0990000000000002</v>
      </c>
      <c r="O303" s="51">
        <v>2.7004999999999999</v>
      </c>
      <c r="P303" s="51">
        <v>2.26003</v>
      </c>
      <c r="Q303" s="51">
        <v>3.0965959999999999</v>
      </c>
      <c r="R303" s="51">
        <v>2.7448899999999998</v>
      </c>
      <c r="S303" s="51">
        <v>1079</v>
      </c>
      <c r="T303" s="51">
        <v>700</v>
      </c>
      <c r="U303" s="51">
        <v>333</v>
      </c>
      <c r="V303" s="51">
        <v>984</v>
      </c>
      <c r="W303" s="51">
        <v>562</v>
      </c>
      <c r="X303" s="51" t="s">
        <v>1574</v>
      </c>
      <c r="Y303" s="51">
        <v>261</v>
      </c>
      <c r="Z303" s="51">
        <v>679</v>
      </c>
      <c r="AA303" s="51">
        <v>180</v>
      </c>
      <c r="AB303" s="51" t="s">
        <v>1574</v>
      </c>
      <c r="AC303" s="51" t="s">
        <v>1574</v>
      </c>
      <c r="AD303" s="51">
        <v>66.58</v>
      </c>
      <c r="AE303" s="51">
        <v>138.75</v>
      </c>
      <c r="AF303" s="51">
        <v>107.23</v>
      </c>
      <c r="AG303" s="51">
        <v>252</v>
      </c>
      <c r="AH303" s="51" t="s">
        <v>1574</v>
      </c>
      <c r="AI303" s="51" t="s">
        <v>1574</v>
      </c>
      <c r="AJ303" s="51" t="s">
        <v>1574</v>
      </c>
      <c r="AK303" s="51">
        <v>137.47</v>
      </c>
      <c r="AL303" s="51">
        <v>152.49</v>
      </c>
      <c r="AM303" s="51" t="s">
        <v>1574</v>
      </c>
      <c r="AN303" s="51">
        <v>0.33961999999999998</v>
      </c>
      <c r="AO303" s="51">
        <v>0.50790000000000002</v>
      </c>
      <c r="AP303" s="51">
        <v>2.2544</v>
      </c>
      <c r="AQ303" s="51">
        <v>0.85473117399999998</v>
      </c>
      <c r="AR303" s="51">
        <v>1.9468000000000001</v>
      </c>
      <c r="AS303" s="51">
        <v>11</v>
      </c>
      <c r="AT303" s="51">
        <v>0.355164282</v>
      </c>
      <c r="AU303" s="51">
        <v>0.478843464</v>
      </c>
      <c r="AV303" s="51">
        <v>8.8999999999999996E-2</v>
      </c>
      <c r="AW303" s="51">
        <v>2907.89</v>
      </c>
      <c r="AX303" s="51">
        <v>174.9</v>
      </c>
      <c r="AY303" s="51">
        <v>147.54</v>
      </c>
      <c r="AZ303" s="51" t="s">
        <v>1574</v>
      </c>
      <c r="BA303" s="51">
        <v>340.85244363665998</v>
      </c>
      <c r="BB303" s="51">
        <v>222.86</v>
      </c>
      <c r="BC303" s="51">
        <v>1.6649</v>
      </c>
      <c r="BD303" s="51" t="s">
        <v>1574</v>
      </c>
      <c r="BE303" s="51">
        <v>0.9052</v>
      </c>
      <c r="BF303" s="51">
        <v>33.5</v>
      </c>
      <c r="BG303" s="51">
        <v>170.5</v>
      </c>
      <c r="BH303" s="51">
        <v>137.5</v>
      </c>
      <c r="BI303" s="51">
        <v>165</v>
      </c>
      <c r="BJ303" s="51">
        <v>86.5</v>
      </c>
      <c r="BK303" s="51">
        <v>1135.8</v>
      </c>
      <c r="BL303" s="51">
        <v>26.15</v>
      </c>
      <c r="BM303" s="51">
        <v>1337.5</v>
      </c>
      <c r="BN303" s="51">
        <v>467.4</v>
      </c>
      <c r="BO303" s="51">
        <v>12302.2</v>
      </c>
      <c r="BP303" s="51">
        <v>4736</v>
      </c>
      <c r="BQ303" s="51">
        <v>834.1</v>
      </c>
      <c r="BR303" s="51">
        <v>347.7</v>
      </c>
      <c r="BS303" s="51">
        <v>339.78</v>
      </c>
      <c r="BT303" s="51">
        <v>7.5974000000000004</v>
      </c>
      <c r="BU303" s="41"/>
      <c r="BV303" s="41"/>
      <c r="BW303" s="41"/>
      <c r="BX303" s="41"/>
      <c r="BY303" s="41"/>
      <c r="BZ303" s="41"/>
      <c r="CA303" s="41"/>
      <c r="CB303" s="41"/>
      <c r="CC303" s="41"/>
      <c r="CD303" s="41"/>
      <c r="CE303" s="41"/>
      <c r="CF303" s="41"/>
      <c r="CG303" s="41"/>
      <c r="CH303" s="41"/>
      <c r="CI303" s="41"/>
      <c r="CJ303" s="41"/>
      <c r="CK303" s="41"/>
    </row>
    <row r="304" spans="1:89">
      <c r="A304" s="48" t="s">
        <v>433</v>
      </c>
      <c r="B304" s="49">
        <v>28.353333155310001</v>
      </c>
      <c r="C304" s="49">
        <v>28.360000610349999</v>
      </c>
      <c r="D304" s="49">
        <v>27.39999961853</v>
      </c>
      <c r="E304" s="49">
        <v>29.29999923706</v>
      </c>
      <c r="F304" s="49">
        <v>31.75</v>
      </c>
      <c r="G304" s="49">
        <v>35.799999999999997</v>
      </c>
      <c r="H304" s="49">
        <v>2.62</v>
      </c>
      <c r="I304" s="49">
        <v>3.76</v>
      </c>
      <c r="J304" s="49">
        <v>5.23768078193</v>
      </c>
      <c r="K304" s="49">
        <v>53.23907114619</v>
      </c>
      <c r="L304" s="49">
        <v>2.3108</v>
      </c>
      <c r="M304" s="49">
        <v>3.1356000000000002</v>
      </c>
      <c r="N304" s="49">
        <v>3.1189</v>
      </c>
      <c r="O304" s="49">
        <v>2.6547999999999998</v>
      </c>
      <c r="P304" s="49">
        <v>2.5340940000000001</v>
      </c>
      <c r="Q304" s="49">
        <v>2.7131259999999999</v>
      </c>
      <c r="R304" s="49">
        <v>2.717114</v>
      </c>
      <c r="S304" s="49">
        <v>1170</v>
      </c>
      <c r="T304" s="49">
        <v>630</v>
      </c>
      <c r="U304" s="49">
        <v>318</v>
      </c>
      <c r="V304" s="49">
        <v>931</v>
      </c>
      <c r="W304" s="49">
        <v>611</v>
      </c>
      <c r="X304" s="49" t="s">
        <v>1574</v>
      </c>
      <c r="Y304" s="49">
        <v>245</v>
      </c>
      <c r="Z304" s="49">
        <v>694</v>
      </c>
      <c r="AA304" s="49">
        <v>168</v>
      </c>
      <c r="AB304" s="49" t="s">
        <v>1574</v>
      </c>
      <c r="AC304" s="49" t="s">
        <v>1574</v>
      </c>
      <c r="AD304" s="49">
        <v>68.88</v>
      </c>
      <c r="AE304" s="49">
        <v>130.41</v>
      </c>
      <c r="AF304" s="49">
        <v>104.78</v>
      </c>
      <c r="AG304" s="49">
        <v>236.54</v>
      </c>
      <c r="AH304" s="49" t="s">
        <v>1574</v>
      </c>
      <c r="AI304" s="49" t="s">
        <v>1574</v>
      </c>
      <c r="AJ304" s="49" t="s">
        <v>1574</v>
      </c>
      <c r="AK304" s="49">
        <v>140.78</v>
      </c>
      <c r="AL304" s="49">
        <v>155.06</v>
      </c>
      <c r="AM304" s="49" t="s">
        <v>1574</v>
      </c>
      <c r="AN304" s="49">
        <v>0.37892999999999999</v>
      </c>
      <c r="AO304" s="49">
        <v>0.5615</v>
      </c>
      <c r="AP304" s="49">
        <v>2.1846000000000001</v>
      </c>
      <c r="AQ304" s="49">
        <v>0.86134503399999995</v>
      </c>
      <c r="AR304" s="49">
        <v>1.8616999999999999</v>
      </c>
      <c r="AS304" s="49">
        <v>10.47</v>
      </c>
      <c r="AT304" s="49">
        <v>0.340393328</v>
      </c>
      <c r="AU304" s="49">
        <v>0.47840253999999999</v>
      </c>
      <c r="AV304" s="49">
        <v>9.0399999999999994E-2</v>
      </c>
      <c r="AW304" s="49">
        <v>2953.76</v>
      </c>
      <c r="AX304" s="49">
        <v>167.04</v>
      </c>
      <c r="AY304" s="49">
        <v>142.78</v>
      </c>
      <c r="AZ304" s="49" t="s">
        <v>1574</v>
      </c>
      <c r="BA304" s="49">
        <v>334.86943938505999</v>
      </c>
      <c r="BB304" s="49">
        <v>216.12</v>
      </c>
      <c r="BC304" s="49">
        <v>1.6129</v>
      </c>
      <c r="BD304" s="49" t="s">
        <v>1574</v>
      </c>
      <c r="BE304" s="49">
        <v>0.92259999999999998</v>
      </c>
      <c r="BF304" s="49">
        <v>33.5</v>
      </c>
      <c r="BG304" s="49">
        <v>168</v>
      </c>
      <c r="BH304" s="49">
        <v>137.5</v>
      </c>
      <c r="BI304" s="49">
        <v>165</v>
      </c>
      <c r="BJ304" s="49">
        <v>86.5</v>
      </c>
      <c r="BK304" s="49">
        <v>1012.1</v>
      </c>
      <c r="BL304" s="49">
        <v>26.15</v>
      </c>
      <c r="BM304" s="49">
        <v>1293.5999999999999</v>
      </c>
      <c r="BN304" s="49">
        <v>401.6</v>
      </c>
      <c r="BO304" s="49">
        <v>12091.1</v>
      </c>
      <c r="BP304" s="49">
        <v>4705.5</v>
      </c>
      <c r="BQ304" s="49">
        <v>873.3</v>
      </c>
      <c r="BR304" s="49">
        <v>340.2</v>
      </c>
      <c r="BS304" s="49">
        <v>326.7</v>
      </c>
      <c r="BT304" s="49">
        <v>7.2533000000000003</v>
      </c>
      <c r="BU304" s="41"/>
      <c r="BV304" s="41"/>
      <c r="BW304" s="41"/>
      <c r="BX304" s="41"/>
      <c r="BY304" s="41"/>
      <c r="BZ304" s="41"/>
      <c r="CA304" s="41"/>
      <c r="CB304" s="41"/>
      <c r="CC304" s="41"/>
      <c r="CD304" s="41"/>
      <c r="CE304" s="41"/>
      <c r="CF304" s="41"/>
      <c r="CG304" s="41"/>
      <c r="CH304" s="41"/>
      <c r="CI304" s="41"/>
      <c r="CJ304" s="41"/>
      <c r="CK304" s="41"/>
    </row>
    <row r="305" spans="1:89">
      <c r="A305" s="41" t="s">
        <v>434</v>
      </c>
      <c r="B305" s="51">
        <v>27.853333155310001</v>
      </c>
      <c r="C305" s="51">
        <v>27.809999465939999</v>
      </c>
      <c r="D305" s="51">
        <v>27.110000610349999</v>
      </c>
      <c r="E305" s="51">
        <v>28.639999389650001</v>
      </c>
      <c r="F305" s="51">
        <v>31.75</v>
      </c>
      <c r="G305" s="51">
        <v>35.799999999999997</v>
      </c>
      <c r="H305" s="51">
        <v>2.63</v>
      </c>
      <c r="I305" s="51">
        <v>3.76</v>
      </c>
      <c r="J305" s="51">
        <v>5.23768078193</v>
      </c>
      <c r="K305" s="51">
        <v>53.360504875929998</v>
      </c>
      <c r="L305" s="51">
        <v>2.2572999999999999</v>
      </c>
      <c r="M305" s="51">
        <v>3.0175000000000001</v>
      </c>
      <c r="N305" s="51">
        <v>2.9786999999999999</v>
      </c>
      <c r="O305" s="51">
        <v>2.6659999999999999</v>
      </c>
      <c r="P305" s="51">
        <v>2.5083039999999999</v>
      </c>
      <c r="Q305" s="51">
        <v>2.7980130000000001</v>
      </c>
      <c r="R305" s="51">
        <v>2.6915960000000001</v>
      </c>
      <c r="S305" s="51">
        <v>1175</v>
      </c>
      <c r="T305" s="51">
        <v>655</v>
      </c>
      <c r="U305" s="51">
        <v>319</v>
      </c>
      <c r="V305" s="51">
        <v>836</v>
      </c>
      <c r="W305" s="51">
        <v>615</v>
      </c>
      <c r="X305" s="51" t="s">
        <v>1574</v>
      </c>
      <c r="Y305" s="51">
        <v>245</v>
      </c>
      <c r="Z305" s="51">
        <v>679</v>
      </c>
      <c r="AA305" s="51">
        <v>170</v>
      </c>
      <c r="AB305" s="51" t="s">
        <v>1574</v>
      </c>
      <c r="AC305" s="51" t="s">
        <v>1574</v>
      </c>
      <c r="AD305" s="51">
        <v>70.599999999999994</v>
      </c>
      <c r="AE305" s="51">
        <v>121.19</v>
      </c>
      <c r="AF305" s="51">
        <v>101.34</v>
      </c>
      <c r="AG305" s="51">
        <v>231.63</v>
      </c>
      <c r="AH305" s="51" t="s">
        <v>1574</v>
      </c>
      <c r="AI305" s="51" t="s">
        <v>1574</v>
      </c>
      <c r="AJ305" s="51" t="s">
        <v>1574</v>
      </c>
      <c r="AK305" s="51">
        <v>141.28</v>
      </c>
      <c r="AL305" s="51">
        <v>152.85</v>
      </c>
      <c r="AM305" s="51" t="s">
        <v>1574</v>
      </c>
      <c r="AN305" s="51">
        <v>0.30886999999999998</v>
      </c>
      <c r="AO305" s="51">
        <v>0.49991999999999998</v>
      </c>
      <c r="AP305" s="51">
        <v>2.105</v>
      </c>
      <c r="AQ305" s="51">
        <v>0.83643282799999996</v>
      </c>
      <c r="AR305" s="51">
        <v>1.8007</v>
      </c>
      <c r="AS305" s="51">
        <v>11.13</v>
      </c>
      <c r="AT305" s="51">
        <v>0.44004215200000002</v>
      </c>
      <c r="AU305" s="51">
        <v>0.47509561</v>
      </c>
      <c r="AV305" s="51">
        <v>0.10249999999999999</v>
      </c>
      <c r="AW305" s="51">
        <v>2932.06</v>
      </c>
      <c r="AX305" s="51">
        <v>164.5</v>
      </c>
      <c r="AY305" s="51">
        <v>135.87</v>
      </c>
      <c r="AZ305" s="51" t="s">
        <v>1574</v>
      </c>
      <c r="BA305" s="51">
        <v>326.01821245997002</v>
      </c>
      <c r="BB305" s="51">
        <v>211.92</v>
      </c>
      <c r="BC305" s="51">
        <v>1.6233</v>
      </c>
      <c r="BD305" s="51" t="s">
        <v>1574</v>
      </c>
      <c r="BE305" s="51">
        <v>0.85299999999999998</v>
      </c>
      <c r="BF305" s="51">
        <v>35</v>
      </c>
      <c r="BG305" s="51">
        <v>166</v>
      </c>
      <c r="BH305" s="51">
        <v>137.5</v>
      </c>
      <c r="BI305" s="51">
        <v>172</v>
      </c>
      <c r="BJ305" s="51">
        <v>86.5</v>
      </c>
      <c r="BK305" s="51">
        <v>1027.9000000000001</v>
      </c>
      <c r="BL305" s="51">
        <v>26.15</v>
      </c>
      <c r="BM305" s="51">
        <v>1273</v>
      </c>
      <c r="BN305" s="51">
        <v>412</v>
      </c>
      <c r="BO305" s="51">
        <v>11744.9</v>
      </c>
      <c r="BP305" s="51">
        <v>4750.3</v>
      </c>
      <c r="BQ305" s="51">
        <v>843.7</v>
      </c>
      <c r="BR305" s="51">
        <v>341</v>
      </c>
      <c r="BS305" s="51">
        <v>324.33999999999997</v>
      </c>
      <c r="BT305" s="51">
        <v>7.2903000000000002</v>
      </c>
      <c r="BU305" s="41"/>
      <c r="BV305" s="41"/>
      <c r="BW305" s="41"/>
      <c r="BX305" s="41"/>
      <c r="BY305" s="41"/>
      <c r="BZ305" s="41"/>
      <c r="CA305" s="41"/>
      <c r="CB305" s="41"/>
      <c r="CC305" s="41"/>
      <c r="CD305" s="41"/>
      <c r="CE305" s="41"/>
      <c r="CF305" s="41"/>
      <c r="CG305" s="41"/>
      <c r="CH305" s="41"/>
      <c r="CI305" s="41"/>
      <c r="CJ305" s="41"/>
      <c r="CK305" s="41"/>
    </row>
    <row r="306" spans="1:89">
      <c r="A306" s="48" t="s">
        <v>435</v>
      </c>
      <c r="B306" s="49">
        <v>27.650000254310001</v>
      </c>
      <c r="C306" s="49">
        <v>27.70000076294</v>
      </c>
      <c r="D306" s="49">
        <v>27.090000152590001</v>
      </c>
      <c r="E306" s="49">
        <v>28.159999847409999</v>
      </c>
      <c r="F306" s="49">
        <v>32.75</v>
      </c>
      <c r="G306" s="49">
        <v>35.305</v>
      </c>
      <c r="H306" s="49">
        <v>2.61</v>
      </c>
      <c r="I306" s="49">
        <v>3.76</v>
      </c>
      <c r="J306" s="49">
        <v>5.23768078193</v>
      </c>
      <c r="K306" s="49">
        <v>53.117637416450002</v>
      </c>
      <c r="L306" s="49">
        <v>2.2551000000000001</v>
      </c>
      <c r="M306" s="49">
        <v>3.0911</v>
      </c>
      <c r="N306" s="49">
        <v>2.9998</v>
      </c>
      <c r="O306" s="49">
        <v>2.5293000000000001</v>
      </c>
      <c r="P306" s="49">
        <v>2.5111279999999998</v>
      </c>
      <c r="Q306" s="49">
        <v>2.4058600000000001</v>
      </c>
      <c r="R306" s="49">
        <v>2.6710470000000002</v>
      </c>
      <c r="S306" s="49">
        <v>993</v>
      </c>
      <c r="T306" s="49">
        <v>720</v>
      </c>
      <c r="U306" s="49">
        <v>323</v>
      </c>
      <c r="V306" s="49">
        <v>905</v>
      </c>
      <c r="W306" s="49">
        <v>616</v>
      </c>
      <c r="X306" s="49" t="s">
        <v>1574</v>
      </c>
      <c r="Y306" s="49">
        <v>250</v>
      </c>
      <c r="Z306" s="49">
        <v>698</v>
      </c>
      <c r="AA306" s="49">
        <v>169</v>
      </c>
      <c r="AB306" s="49" t="s">
        <v>1574</v>
      </c>
      <c r="AC306" s="49" t="s">
        <v>1574</v>
      </c>
      <c r="AD306" s="49">
        <v>71.239999999999995</v>
      </c>
      <c r="AE306" s="49">
        <v>117.37</v>
      </c>
      <c r="AF306" s="49">
        <v>106.7</v>
      </c>
      <c r="AG306" s="49">
        <v>211.74</v>
      </c>
      <c r="AH306" s="49" t="s">
        <v>1574</v>
      </c>
      <c r="AI306" s="49" t="s">
        <v>1574</v>
      </c>
      <c r="AJ306" s="49" t="s">
        <v>1574</v>
      </c>
      <c r="AK306" s="49">
        <v>143.52000000000001</v>
      </c>
      <c r="AL306" s="49">
        <v>152.49</v>
      </c>
      <c r="AM306" s="49" t="s">
        <v>1574</v>
      </c>
      <c r="AN306" s="49">
        <v>0.26900000000000002</v>
      </c>
      <c r="AO306" s="49">
        <v>0.36181000000000002</v>
      </c>
      <c r="AP306" s="49">
        <v>2.1013999999999999</v>
      </c>
      <c r="AQ306" s="49">
        <v>0.84194437799999999</v>
      </c>
      <c r="AR306" s="49">
        <v>1.8428</v>
      </c>
      <c r="AS306" s="49">
        <v>11.79</v>
      </c>
      <c r="AT306" s="49">
        <v>0.33576362599999998</v>
      </c>
      <c r="AU306" s="49">
        <v>0.47156821799999998</v>
      </c>
      <c r="AV306" s="49">
        <v>9.6100000000000005E-2</v>
      </c>
      <c r="AW306" s="49">
        <v>2933.26</v>
      </c>
      <c r="AX306" s="49">
        <v>168.95</v>
      </c>
      <c r="AY306" s="49">
        <v>136.11000000000001</v>
      </c>
      <c r="AZ306" s="49" t="s">
        <v>1574</v>
      </c>
      <c r="BA306" s="49">
        <v>326.32905966201997</v>
      </c>
      <c r="BB306" s="49">
        <v>211.66</v>
      </c>
      <c r="BC306" s="49">
        <v>1.6013999999999999</v>
      </c>
      <c r="BD306" s="49" t="s">
        <v>1574</v>
      </c>
      <c r="BE306" s="49">
        <v>0.80510000000000004</v>
      </c>
      <c r="BF306" s="49">
        <v>36</v>
      </c>
      <c r="BG306" s="49">
        <v>160.5</v>
      </c>
      <c r="BH306" s="49">
        <v>127.5</v>
      </c>
      <c r="BI306" s="49">
        <v>166</v>
      </c>
      <c r="BJ306" s="49">
        <v>86.5</v>
      </c>
      <c r="BK306" s="49">
        <v>1151.8</v>
      </c>
      <c r="BL306" s="49">
        <v>26.15</v>
      </c>
      <c r="BM306" s="49">
        <v>1345.1</v>
      </c>
      <c r="BN306" s="49">
        <v>440.5</v>
      </c>
      <c r="BO306" s="49">
        <v>11991.2</v>
      </c>
      <c r="BP306" s="49">
        <v>4748.3</v>
      </c>
      <c r="BQ306" s="49">
        <v>855.1</v>
      </c>
      <c r="BR306" s="49">
        <v>342</v>
      </c>
      <c r="BS306" s="49">
        <v>328.49</v>
      </c>
      <c r="BT306" s="49">
        <v>7.4896000000000003</v>
      </c>
      <c r="BU306" s="41"/>
      <c r="BV306" s="41"/>
      <c r="BW306" s="41"/>
      <c r="BX306" s="41"/>
      <c r="BY306" s="41"/>
      <c r="BZ306" s="41"/>
      <c r="CA306" s="41"/>
      <c r="CB306" s="41"/>
      <c r="CC306" s="41"/>
      <c r="CD306" s="41"/>
      <c r="CE306" s="41"/>
      <c r="CF306" s="41"/>
      <c r="CG306" s="41"/>
      <c r="CH306" s="41"/>
      <c r="CI306" s="41"/>
      <c r="CJ306" s="41"/>
      <c r="CK306" s="41"/>
    </row>
    <row r="307" spans="1:89">
      <c r="A307" s="41" t="s">
        <v>436</v>
      </c>
      <c r="B307" s="51">
        <v>26.813333511349999</v>
      </c>
      <c r="C307" s="51">
        <v>26.979999542240002</v>
      </c>
      <c r="D307" s="51">
        <v>26.760000228879999</v>
      </c>
      <c r="E307" s="51">
        <v>26.70000076294</v>
      </c>
      <c r="F307" s="51">
        <v>33.75</v>
      </c>
      <c r="G307" s="51">
        <v>34.935000000000002</v>
      </c>
      <c r="H307" s="51">
        <v>2.57</v>
      </c>
      <c r="I307" s="51">
        <v>3.76</v>
      </c>
      <c r="J307" s="51">
        <v>5.23768078193</v>
      </c>
      <c r="K307" s="51">
        <v>52.631902497509998</v>
      </c>
      <c r="L307" s="51">
        <v>2.14</v>
      </c>
      <c r="M307" s="51">
        <v>3.1040999999999999</v>
      </c>
      <c r="N307" s="51">
        <v>2.7991999999999999</v>
      </c>
      <c r="O307" s="51">
        <v>2.5585</v>
      </c>
      <c r="P307" s="51">
        <v>2.4506700000000001</v>
      </c>
      <c r="Q307" s="51">
        <v>2.6315789999999999</v>
      </c>
      <c r="R307" s="51">
        <v>2.593127</v>
      </c>
      <c r="S307" s="51">
        <v>920</v>
      </c>
      <c r="T307" s="51">
        <v>696</v>
      </c>
      <c r="U307" s="51">
        <v>314</v>
      </c>
      <c r="V307" s="51">
        <v>912</v>
      </c>
      <c r="W307" s="51">
        <v>592</v>
      </c>
      <c r="X307" s="51" t="s">
        <v>1574</v>
      </c>
      <c r="Y307" s="51">
        <v>241</v>
      </c>
      <c r="Z307" s="51">
        <v>630</v>
      </c>
      <c r="AA307" s="51">
        <v>165</v>
      </c>
      <c r="AB307" s="51" t="s">
        <v>1574</v>
      </c>
      <c r="AC307" s="51" t="s">
        <v>1574</v>
      </c>
      <c r="AD307" s="51">
        <v>61.55</v>
      </c>
      <c r="AE307" s="51">
        <v>113.95</v>
      </c>
      <c r="AF307" s="51">
        <v>111.11</v>
      </c>
      <c r="AG307" s="51">
        <v>204.62</v>
      </c>
      <c r="AH307" s="51" t="s">
        <v>1574</v>
      </c>
      <c r="AI307" s="51" t="s">
        <v>1574</v>
      </c>
      <c r="AJ307" s="51" t="s">
        <v>1574</v>
      </c>
      <c r="AK307" s="51">
        <v>141.38999999999999</v>
      </c>
      <c r="AL307" s="51">
        <v>149.55000000000001</v>
      </c>
      <c r="AM307" s="51" t="s">
        <v>1574</v>
      </c>
      <c r="AN307" s="51">
        <v>0.29921999999999999</v>
      </c>
      <c r="AO307" s="51">
        <v>0.31730000000000003</v>
      </c>
      <c r="AP307" s="51">
        <v>2.2193999999999998</v>
      </c>
      <c r="AQ307" s="51">
        <v>0.82276418399999995</v>
      </c>
      <c r="AR307" s="51">
        <v>1.7690999999999999</v>
      </c>
      <c r="AS307" s="51">
        <v>12.13</v>
      </c>
      <c r="AT307" s="51">
        <v>0.32099267199999998</v>
      </c>
      <c r="AU307" s="51">
        <v>0.46517481999999999</v>
      </c>
      <c r="AV307" s="51">
        <v>7.8299999999999995E-2</v>
      </c>
      <c r="AW307" s="51">
        <v>2854.79</v>
      </c>
      <c r="AX307" s="51">
        <v>163.21</v>
      </c>
      <c r="AY307" s="51">
        <v>130.58000000000001</v>
      </c>
      <c r="AZ307" s="51" t="s">
        <v>1574</v>
      </c>
      <c r="BA307" s="51">
        <v>319.10126794818001</v>
      </c>
      <c r="BB307" s="51">
        <v>207.71</v>
      </c>
      <c r="BC307" s="51">
        <v>1.5869</v>
      </c>
      <c r="BD307" s="51" t="s">
        <v>1574</v>
      </c>
      <c r="BE307" s="51">
        <v>0.78900000000000003</v>
      </c>
      <c r="BF307" s="51">
        <v>36</v>
      </c>
      <c r="BG307" s="51">
        <v>156.5</v>
      </c>
      <c r="BH307" s="51">
        <v>124</v>
      </c>
      <c r="BI307" s="51">
        <v>166</v>
      </c>
      <c r="BJ307" s="51">
        <v>86.5</v>
      </c>
      <c r="BK307" s="51">
        <v>1095.2</v>
      </c>
      <c r="BL307" s="51">
        <v>26.15</v>
      </c>
      <c r="BM307" s="51">
        <v>1321.1</v>
      </c>
      <c r="BN307" s="51">
        <v>415.6</v>
      </c>
      <c r="BO307" s="51">
        <v>11722.2</v>
      </c>
      <c r="BP307" s="51">
        <v>4859</v>
      </c>
      <c r="BQ307" s="51">
        <v>859.7</v>
      </c>
      <c r="BR307" s="51">
        <v>319.54000000000002</v>
      </c>
      <c r="BS307" s="51">
        <v>304.13</v>
      </c>
      <c r="BT307" s="51">
        <v>6.6355000000000004</v>
      </c>
      <c r="BU307" s="41"/>
      <c r="BV307" s="41"/>
      <c r="BW307" s="41"/>
      <c r="BX307" s="41"/>
      <c r="BY307" s="41"/>
      <c r="BZ307" s="41"/>
      <c r="CA307" s="41"/>
      <c r="CB307" s="41"/>
      <c r="CC307" s="41"/>
      <c r="CD307" s="41"/>
      <c r="CE307" s="41"/>
      <c r="CF307" s="41"/>
      <c r="CG307" s="41"/>
      <c r="CH307" s="41"/>
      <c r="CI307" s="41"/>
      <c r="CJ307" s="41"/>
      <c r="CK307" s="41"/>
    </row>
    <row r="308" spans="1:89">
      <c r="A308" s="48" t="s">
        <v>437</v>
      </c>
      <c r="B308" s="49">
        <v>26.63333333333</v>
      </c>
      <c r="C308" s="49">
        <v>26.95</v>
      </c>
      <c r="D308" s="49">
        <v>27.3</v>
      </c>
      <c r="E308" s="49">
        <v>25.65</v>
      </c>
      <c r="F308" s="49">
        <v>33.75</v>
      </c>
      <c r="G308" s="49">
        <v>35.06</v>
      </c>
      <c r="H308" s="49">
        <v>2.64</v>
      </c>
      <c r="I308" s="49">
        <v>3.65</v>
      </c>
      <c r="J308" s="49">
        <v>5.23</v>
      </c>
      <c r="K308" s="49">
        <v>52.953797958439999</v>
      </c>
      <c r="L308" s="49">
        <v>2.2198000000000002</v>
      </c>
      <c r="M308" s="49">
        <v>3.2052999999999998</v>
      </c>
      <c r="N308" s="49">
        <v>2.7675000000000001</v>
      </c>
      <c r="O308" s="49">
        <v>2.1032000000000002</v>
      </c>
      <c r="P308" s="49">
        <v>2.313555</v>
      </c>
      <c r="Q308" s="49">
        <v>2.3612869999999999</v>
      </c>
      <c r="R308" s="49">
        <v>1.6348450000000001</v>
      </c>
      <c r="S308" s="49">
        <v>856</v>
      </c>
      <c r="T308" s="49">
        <v>682</v>
      </c>
      <c r="U308" s="49">
        <v>307</v>
      </c>
      <c r="V308" s="49">
        <v>890</v>
      </c>
      <c r="W308" s="49">
        <v>583</v>
      </c>
      <c r="X308" s="49" t="s">
        <v>1574</v>
      </c>
      <c r="Y308" s="49">
        <v>243</v>
      </c>
      <c r="Z308" s="49">
        <v>630</v>
      </c>
      <c r="AA308" s="49">
        <v>166</v>
      </c>
      <c r="AB308" s="49" t="s">
        <v>1574</v>
      </c>
      <c r="AC308" s="49" t="s">
        <v>1574</v>
      </c>
      <c r="AD308" s="49">
        <v>66.58</v>
      </c>
      <c r="AE308" s="49">
        <v>119.01</v>
      </c>
      <c r="AF308" s="49">
        <v>114.7</v>
      </c>
      <c r="AG308" s="49">
        <v>206.83</v>
      </c>
      <c r="AH308" s="49" t="s">
        <v>1574</v>
      </c>
      <c r="AI308" s="49" t="s">
        <v>1574</v>
      </c>
      <c r="AJ308" s="49" t="s">
        <v>1574</v>
      </c>
      <c r="AK308" s="49">
        <v>147.57</v>
      </c>
      <c r="AL308" s="49">
        <v>149.18</v>
      </c>
      <c r="AM308" s="49" t="s">
        <v>1574</v>
      </c>
      <c r="AN308" s="49">
        <v>0.37626999999999999</v>
      </c>
      <c r="AO308" s="49">
        <v>0.23716000000000001</v>
      </c>
      <c r="AP308" s="49">
        <v>2.2692000000000001</v>
      </c>
      <c r="AQ308" s="49">
        <v>0.83797606199999997</v>
      </c>
      <c r="AR308" s="49">
        <v>1.726</v>
      </c>
      <c r="AS308" s="49">
        <v>11.07</v>
      </c>
      <c r="AT308" s="49">
        <v>0.30511940799999998</v>
      </c>
      <c r="AU308" s="49">
        <v>0.45679726399999998</v>
      </c>
      <c r="AV308" s="49">
        <v>7.9600000000000004E-2</v>
      </c>
      <c r="AW308" s="49">
        <v>2796.84</v>
      </c>
      <c r="AX308" s="49">
        <v>159.82</v>
      </c>
      <c r="AY308" s="49">
        <v>120.44</v>
      </c>
      <c r="AZ308" s="49">
        <v>307</v>
      </c>
      <c r="BA308" s="49">
        <v>305.47194802338998</v>
      </c>
      <c r="BB308" s="49">
        <v>202.61</v>
      </c>
      <c r="BC308" s="49">
        <v>1.5679000000000001</v>
      </c>
      <c r="BD308" s="49" t="s">
        <v>1574</v>
      </c>
      <c r="BE308" s="49">
        <v>0.76390000000000002</v>
      </c>
      <c r="BF308" s="49">
        <v>36</v>
      </c>
      <c r="BG308" s="49">
        <v>158.5</v>
      </c>
      <c r="BH308" s="49">
        <v>117.5</v>
      </c>
      <c r="BI308" s="49">
        <v>168.5</v>
      </c>
      <c r="BJ308" s="49">
        <v>86.5</v>
      </c>
      <c r="BK308" s="49">
        <v>1075.4000000000001</v>
      </c>
      <c r="BL308" s="49">
        <v>26.56</v>
      </c>
      <c r="BM308" s="49">
        <v>1359.1</v>
      </c>
      <c r="BN308" s="49">
        <v>420.5</v>
      </c>
      <c r="BO308" s="49">
        <v>11073.4</v>
      </c>
      <c r="BP308" s="49">
        <v>4947.2</v>
      </c>
      <c r="BQ308" s="49">
        <v>867.1</v>
      </c>
      <c r="BR308" s="49">
        <v>302.79000000000002</v>
      </c>
      <c r="BS308" s="49">
        <v>274.39</v>
      </c>
      <c r="BT308" s="49">
        <v>6.0991999999999997</v>
      </c>
      <c r="BU308" s="41"/>
      <c r="BV308" s="41"/>
      <c r="BW308" s="41"/>
      <c r="BX308" s="41"/>
      <c r="BY308" s="41"/>
      <c r="BZ308" s="41"/>
      <c r="CA308" s="41"/>
      <c r="CB308" s="41"/>
      <c r="CC308" s="41"/>
      <c r="CD308" s="41"/>
      <c r="CE308" s="41"/>
      <c r="CF308" s="41"/>
      <c r="CG308" s="41"/>
      <c r="CH308" s="41"/>
      <c r="CI308" s="41"/>
      <c r="CJ308" s="41"/>
      <c r="CK308" s="41"/>
    </row>
    <row r="309" spans="1:89">
      <c r="A309" s="41" t="s">
        <v>438</v>
      </c>
      <c r="B309" s="51">
        <v>27.6</v>
      </c>
      <c r="C309" s="51">
        <v>28.2</v>
      </c>
      <c r="D309" s="51">
        <v>27.25</v>
      </c>
      <c r="E309" s="51">
        <v>27.35</v>
      </c>
      <c r="F309" s="51">
        <v>33.75</v>
      </c>
      <c r="G309" s="51">
        <v>35.06</v>
      </c>
      <c r="H309" s="51">
        <v>2.71</v>
      </c>
      <c r="I309" s="51">
        <v>3.65</v>
      </c>
      <c r="J309" s="51">
        <v>5.23</v>
      </c>
      <c r="K309" s="51">
        <v>53.803834066599997</v>
      </c>
      <c r="L309" s="51">
        <v>2.2740999999999998</v>
      </c>
      <c r="M309" s="51">
        <v>3.1764000000000001</v>
      </c>
      <c r="N309" s="51">
        <v>2.7010999999999998</v>
      </c>
      <c r="O309" s="51">
        <v>1.9359999999999999</v>
      </c>
      <c r="P309" s="51">
        <v>2.1254909999999998</v>
      </c>
      <c r="Q309" s="51">
        <v>2.086103</v>
      </c>
      <c r="R309" s="51">
        <v>1.596549</v>
      </c>
      <c r="S309" s="51">
        <v>756</v>
      </c>
      <c r="T309" s="51">
        <v>665</v>
      </c>
      <c r="U309" s="51">
        <v>292</v>
      </c>
      <c r="V309" s="51">
        <v>873</v>
      </c>
      <c r="W309" s="51">
        <v>595</v>
      </c>
      <c r="X309" s="51" t="s">
        <v>1574</v>
      </c>
      <c r="Y309" s="51">
        <v>239</v>
      </c>
      <c r="Z309" s="51">
        <v>664</v>
      </c>
      <c r="AA309" s="51">
        <v>151</v>
      </c>
      <c r="AB309" s="51" t="s">
        <v>1574</v>
      </c>
      <c r="AC309" s="51" t="s">
        <v>1574</v>
      </c>
      <c r="AD309" s="51">
        <v>68.239999999999995</v>
      </c>
      <c r="AE309" s="51">
        <v>119.78</v>
      </c>
      <c r="AF309" s="51">
        <v>112.55</v>
      </c>
      <c r="AG309" s="51">
        <v>200.94</v>
      </c>
      <c r="AH309" s="51" t="s">
        <v>1574</v>
      </c>
      <c r="AI309" s="51" t="s">
        <v>1574</v>
      </c>
      <c r="AJ309" s="51" t="s">
        <v>1574</v>
      </c>
      <c r="AK309" s="51">
        <v>140.5</v>
      </c>
      <c r="AL309" s="51">
        <v>147.34</v>
      </c>
      <c r="AM309" s="51" t="s">
        <v>1574</v>
      </c>
      <c r="AN309" s="51">
        <v>0.44235999999999998</v>
      </c>
      <c r="AO309" s="51">
        <v>0.28010000000000002</v>
      </c>
      <c r="AP309" s="51">
        <v>2.3149000000000002</v>
      </c>
      <c r="AQ309" s="51">
        <v>0.84679454200000004</v>
      </c>
      <c r="AR309" s="51">
        <v>1.6909000000000001</v>
      </c>
      <c r="AS309" s="51">
        <v>11.16</v>
      </c>
      <c r="AT309" s="51">
        <v>0.29563954199999998</v>
      </c>
      <c r="AU309" s="51">
        <v>0.45150617599999998</v>
      </c>
      <c r="AV309" s="51">
        <v>8.1600000000000006E-2</v>
      </c>
      <c r="AW309" s="51">
        <v>2730.48</v>
      </c>
      <c r="AX309" s="51">
        <v>153.91</v>
      </c>
      <c r="AY309" s="51">
        <v>116.49</v>
      </c>
      <c r="AZ309" s="51">
        <v>307</v>
      </c>
      <c r="BA309" s="51">
        <v>300.02054774157</v>
      </c>
      <c r="BB309" s="51">
        <v>196.9</v>
      </c>
      <c r="BC309" s="51">
        <v>1.5141</v>
      </c>
      <c r="BD309" s="51" t="s">
        <v>1574</v>
      </c>
      <c r="BE309" s="51">
        <v>0.73570000000000002</v>
      </c>
      <c r="BF309" s="51">
        <v>36</v>
      </c>
      <c r="BG309" s="51">
        <v>156</v>
      </c>
      <c r="BH309" s="51">
        <v>113.5</v>
      </c>
      <c r="BI309" s="51">
        <v>168.5</v>
      </c>
      <c r="BJ309" s="51">
        <v>87</v>
      </c>
      <c r="BK309" s="51">
        <v>1098.2</v>
      </c>
      <c r="BL309" s="51">
        <v>26.56</v>
      </c>
      <c r="BM309" s="51">
        <v>1388.5</v>
      </c>
      <c r="BN309" s="51">
        <v>368.2</v>
      </c>
      <c r="BO309" s="51">
        <v>10946</v>
      </c>
      <c r="BP309" s="51">
        <v>5050.8</v>
      </c>
      <c r="BQ309" s="51">
        <v>886.6</v>
      </c>
      <c r="BR309" s="51">
        <v>299.10000000000002</v>
      </c>
      <c r="BS309" s="51">
        <v>269.39999999999998</v>
      </c>
      <c r="BT309" s="51">
        <v>6.0628000000000002</v>
      </c>
      <c r="BU309" s="41"/>
      <c r="BV309" s="41"/>
      <c r="BW309" s="41"/>
      <c r="BX309" s="41"/>
      <c r="BY309" s="41"/>
      <c r="BZ309" s="41"/>
      <c r="CA309" s="41"/>
      <c r="CB309" s="41"/>
      <c r="CC309" s="41"/>
      <c r="CD309" s="41"/>
      <c r="CE309" s="41"/>
      <c r="CF309" s="41"/>
      <c r="CG309" s="41"/>
      <c r="CH309" s="41"/>
      <c r="CI309" s="41"/>
      <c r="CJ309" s="41"/>
      <c r="CK309" s="41"/>
    </row>
    <row r="310" spans="1:89">
      <c r="A310" s="48" t="s">
        <v>439</v>
      </c>
      <c r="B310" s="49">
        <v>27.85</v>
      </c>
      <c r="C310" s="49">
        <v>28.1</v>
      </c>
      <c r="D310" s="49">
        <v>27.15</v>
      </c>
      <c r="E310" s="49">
        <v>28.3</v>
      </c>
      <c r="F310" s="49">
        <v>33.75</v>
      </c>
      <c r="G310" s="49">
        <v>35.06</v>
      </c>
      <c r="H310" s="49">
        <v>2.62</v>
      </c>
      <c r="I310" s="49">
        <v>3.65</v>
      </c>
      <c r="J310" s="49">
        <v>5.23</v>
      </c>
      <c r="K310" s="49">
        <v>52.710930498970001</v>
      </c>
      <c r="L310" s="49">
        <v>2.2320000000000002</v>
      </c>
      <c r="M310" s="49">
        <v>3.2602000000000002</v>
      </c>
      <c r="N310" s="49">
        <v>2.7079</v>
      </c>
      <c r="O310" s="49">
        <v>1.7219</v>
      </c>
      <c r="P310" s="49">
        <v>1.728791</v>
      </c>
      <c r="Q310" s="49">
        <v>1.8543099999999999</v>
      </c>
      <c r="R310" s="49">
        <v>1.5826610000000001</v>
      </c>
      <c r="S310" s="49">
        <v>843</v>
      </c>
      <c r="T310" s="49">
        <v>680</v>
      </c>
      <c r="U310" s="49">
        <v>280</v>
      </c>
      <c r="V310" s="49">
        <v>944</v>
      </c>
      <c r="W310" s="49">
        <v>651</v>
      </c>
      <c r="X310" s="49" t="s">
        <v>1574</v>
      </c>
      <c r="Y310" s="49">
        <v>241</v>
      </c>
      <c r="Z310" s="49">
        <v>667</v>
      </c>
      <c r="AA310" s="49">
        <v>154</v>
      </c>
      <c r="AB310" s="49" t="s">
        <v>1574</v>
      </c>
      <c r="AC310" s="49" t="s">
        <v>1574</v>
      </c>
      <c r="AD310" s="49">
        <v>64.930000000000007</v>
      </c>
      <c r="AE310" s="49">
        <v>120.19</v>
      </c>
      <c r="AF310" s="49">
        <v>117.34</v>
      </c>
      <c r="AG310" s="49">
        <v>199.96</v>
      </c>
      <c r="AH310" s="49" t="s">
        <v>1574</v>
      </c>
      <c r="AI310" s="49" t="s">
        <v>1574</v>
      </c>
      <c r="AJ310" s="49" t="s">
        <v>1574</v>
      </c>
      <c r="AK310" s="49">
        <v>140.88</v>
      </c>
      <c r="AL310" s="49">
        <v>145.13999999999999</v>
      </c>
      <c r="AM310" s="49" t="s">
        <v>1574</v>
      </c>
      <c r="AN310" s="49">
        <v>0.45369999999999999</v>
      </c>
      <c r="AO310" s="49">
        <v>0.3644</v>
      </c>
      <c r="AP310" s="49">
        <v>2.25</v>
      </c>
      <c r="AQ310" s="49">
        <v>0.84370807400000003</v>
      </c>
      <c r="AR310" s="49">
        <v>1.7071000000000001</v>
      </c>
      <c r="AS310" s="49">
        <v>10.69</v>
      </c>
      <c r="AT310" s="49">
        <v>0.30291478799999999</v>
      </c>
      <c r="AU310" s="49">
        <v>0.46120650400000002</v>
      </c>
      <c r="AV310" s="49">
        <v>8.4400000000000003E-2</v>
      </c>
      <c r="AW310" s="49">
        <v>2689.7</v>
      </c>
      <c r="AX310" s="49">
        <v>153.29</v>
      </c>
      <c r="AY310" s="49">
        <v>116.83</v>
      </c>
      <c r="AZ310" s="49">
        <v>307</v>
      </c>
      <c r="BA310" s="49">
        <v>300.49309342906002</v>
      </c>
      <c r="BB310" s="49">
        <v>197.19</v>
      </c>
      <c r="BC310" s="49">
        <v>1.482</v>
      </c>
      <c r="BD310" s="49" t="s">
        <v>1574</v>
      </c>
      <c r="BE310" s="49">
        <v>0.74160000000000004</v>
      </c>
      <c r="BF310" s="49">
        <v>36</v>
      </c>
      <c r="BG310" s="49">
        <v>179.5</v>
      </c>
      <c r="BH310" s="49">
        <v>114</v>
      </c>
      <c r="BI310" s="49">
        <v>105</v>
      </c>
      <c r="BJ310" s="49">
        <v>75.5</v>
      </c>
      <c r="BK310" s="49">
        <v>1095.3</v>
      </c>
      <c r="BL310" s="49">
        <v>26.56</v>
      </c>
      <c r="BM310" s="49">
        <v>1389.9</v>
      </c>
      <c r="BN310" s="49">
        <v>352</v>
      </c>
      <c r="BO310" s="49">
        <v>11210.6</v>
      </c>
      <c r="BP310" s="49">
        <v>5211.7</v>
      </c>
      <c r="BQ310" s="49">
        <v>920.9</v>
      </c>
      <c r="BR310" s="49">
        <v>313.5</v>
      </c>
      <c r="BS310" s="49">
        <v>260.76</v>
      </c>
      <c r="BT310" s="49">
        <v>5.9939999999999998</v>
      </c>
      <c r="BU310" s="41"/>
      <c r="BV310" s="41"/>
      <c r="BW310" s="41"/>
      <c r="BX310" s="41"/>
      <c r="BY310" s="41"/>
      <c r="BZ310" s="41"/>
      <c r="CA310" s="41"/>
      <c r="CB310" s="41"/>
      <c r="CC310" s="41"/>
      <c r="CD310" s="41"/>
      <c r="CE310" s="41"/>
      <c r="CF310" s="41"/>
      <c r="CG310" s="41"/>
      <c r="CH310" s="41"/>
      <c r="CI310" s="41"/>
      <c r="CJ310" s="41"/>
      <c r="CK310" s="41"/>
    </row>
    <row r="311" spans="1:89">
      <c r="A311" s="41" t="s">
        <v>440</v>
      </c>
      <c r="B311" s="51">
        <v>27.8</v>
      </c>
      <c r="C311" s="51">
        <v>27.9</v>
      </c>
      <c r="D311" s="51">
        <v>26.65</v>
      </c>
      <c r="E311" s="51">
        <v>28.85</v>
      </c>
      <c r="F311" s="51">
        <v>33.75</v>
      </c>
      <c r="G311" s="51">
        <v>35.06</v>
      </c>
      <c r="H311" s="51">
        <v>2.64</v>
      </c>
      <c r="I311" s="51">
        <v>3.65</v>
      </c>
      <c r="J311" s="51">
        <v>5.23</v>
      </c>
      <c r="K311" s="51">
        <v>52.953797958439999</v>
      </c>
      <c r="L311" s="51">
        <v>2.2395</v>
      </c>
      <c r="M311" s="51">
        <v>3.1189</v>
      </c>
      <c r="N311" s="51">
        <v>2.702</v>
      </c>
      <c r="O311" s="51">
        <v>1.8212999999999999</v>
      </c>
      <c r="P311" s="51">
        <v>1.606155</v>
      </c>
      <c r="Q311" s="51">
        <v>2.2338809999999998</v>
      </c>
      <c r="R311" s="51">
        <v>1.6237440000000001</v>
      </c>
      <c r="S311" s="51">
        <v>769</v>
      </c>
      <c r="T311" s="51">
        <v>739</v>
      </c>
      <c r="U311" s="51">
        <v>271</v>
      </c>
      <c r="V311" s="51">
        <v>1020</v>
      </c>
      <c r="W311" s="51">
        <v>653</v>
      </c>
      <c r="X311" s="51" t="s">
        <v>1574</v>
      </c>
      <c r="Y311" s="51">
        <v>243</v>
      </c>
      <c r="Z311" s="51">
        <v>693</v>
      </c>
      <c r="AA311" s="51">
        <v>151</v>
      </c>
      <c r="AB311" s="51" t="s">
        <v>1574</v>
      </c>
      <c r="AC311" s="51" t="s">
        <v>1574</v>
      </c>
      <c r="AD311" s="51">
        <v>68.239999999999995</v>
      </c>
      <c r="AE311" s="51">
        <v>120.05</v>
      </c>
      <c r="AF311" s="51">
        <v>118.39</v>
      </c>
      <c r="AG311" s="51">
        <v>202.9</v>
      </c>
      <c r="AH311" s="51" t="s">
        <v>1574</v>
      </c>
      <c r="AI311" s="51" t="s">
        <v>1574</v>
      </c>
      <c r="AJ311" s="51" t="s">
        <v>1574</v>
      </c>
      <c r="AK311" s="51">
        <v>139.13999999999999</v>
      </c>
      <c r="AL311" s="51">
        <v>143.66999999999999</v>
      </c>
      <c r="AM311" s="51" t="s">
        <v>1574</v>
      </c>
      <c r="AN311" s="51">
        <v>0.48441000000000001</v>
      </c>
      <c r="AO311" s="51">
        <v>0.43369999999999997</v>
      </c>
      <c r="AP311" s="51">
        <v>2.1318999999999999</v>
      </c>
      <c r="AQ311" s="51">
        <v>0.84040114399999999</v>
      </c>
      <c r="AR311" s="51">
        <v>1.8574999999999999</v>
      </c>
      <c r="AS311" s="51">
        <v>10.210000000000001</v>
      </c>
      <c r="AT311" s="51">
        <v>0.33576362599999998</v>
      </c>
      <c r="AU311" s="51">
        <v>0.46230881400000001</v>
      </c>
      <c r="AV311" s="51">
        <v>7.5399999999999995E-2</v>
      </c>
      <c r="AW311" s="51">
        <v>2675.23</v>
      </c>
      <c r="AX311" s="51">
        <v>164.7</v>
      </c>
      <c r="AY311" s="51">
        <v>121.11</v>
      </c>
      <c r="AZ311" s="51">
        <v>307</v>
      </c>
      <c r="BA311" s="51">
        <v>306.38841037007001</v>
      </c>
      <c r="BB311" s="51">
        <v>202.65</v>
      </c>
      <c r="BC311" s="51">
        <v>1.4581</v>
      </c>
      <c r="BD311" s="51" t="s">
        <v>1574</v>
      </c>
      <c r="BE311" s="51">
        <v>0.78700000000000003</v>
      </c>
      <c r="BF311" s="51">
        <v>36</v>
      </c>
      <c r="BG311" s="51">
        <v>179.5</v>
      </c>
      <c r="BH311" s="51">
        <v>116</v>
      </c>
      <c r="BI311" s="51">
        <v>107.5</v>
      </c>
      <c r="BJ311" s="51">
        <v>75.5</v>
      </c>
      <c r="BK311" s="51">
        <v>1106.3</v>
      </c>
      <c r="BL311" s="51">
        <v>26.56</v>
      </c>
      <c r="BM311" s="51">
        <v>1501.8</v>
      </c>
      <c r="BN311" s="51">
        <v>389.6</v>
      </c>
      <c r="BO311" s="51">
        <v>11806.4</v>
      </c>
      <c r="BP311" s="51">
        <v>5489.5</v>
      </c>
      <c r="BQ311" s="51">
        <v>931.3</v>
      </c>
      <c r="BR311" s="51">
        <v>326.8</v>
      </c>
      <c r="BS311" s="51">
        <v>282.72000000000003</v>
      </c>
      <c r="BT311" s="51">
        <v>6.4446000000000003</v>
      </c>
      <c r="BU311" s="41"/>
      <c r="BV311" s="41"/>
      <c r="BW311" s="41"/>
      <c r="BX311" s="41"/>
      <c r="BY311" s="41"/>
      <c r="BZ311" s="41"/>
      <c r="CA311" s="41"/>
      <c r="CB311" s="41"/>
      <c r="CC311" s="41"/>
      <c r="CD311" s="41"/>
      <c r="CE311" s="41"/>
      <c r="CF311" s="41"/>
      <c r="CG311" s="41"/>
      <c r="CH311" s="41"/>
      <c r="CI311" s="41"/>
      <c r="CJ311" s="41"/>
      <c r="CK311" s="41"/>
    </row>
    <row r="312" spans="1:89">
      <c r="A312" s="48" t="s">
        <v>441</v>
      </c>
      <c r="B312" s="49">
        <v>26.65</v>
      </c>
      <c r="C312" s="49">
        <v>26.65</v>
      </c>
      <c r="D312" s="49">
        <v>25.65</v>
      </c>
      <c r="E312" s="49">
        <v>27.65</v>
      </c>
      <c r="F312" s="49">
        <v>33.75</v>
      </c>
      <c r="G312" s="49">
        <v>35.06</v>
      </c>
      <c r="H312" s="49">
        <v>2.5299999999999998</v>
      </c>
      <c r="I312" s="49">
        <v>3.65</v>
      </c>
      <c r="J312" s="49">
        <v>5.23</v>
      </c>
      <c r="K312" s="49">
        <v>51.618026931339998</v>
      </c>
      <c r="L312" s="49">
        <v>2.129</v>
      </c>
      <c r="M312" s="49">
        <v>3.1457999999999999</v>
      </c>
      <c r="N312" s="49">
        <v>2.6684999999999999</v>
      </c>
      <c r="O312" s="49">
        <v>1.7715000000000001</v>
      </c>
      <c r="P312" s="49">
        <v>1.3986419999999999</v>
      </c>
      <c r="Q312" s="49">
        <v>2.3027259999999998</v>
      </c>
      <c r="R312" s="49">
        <v>1.6130530000000001</v>
      </c>
      <c r="S312" s="49">
        <v>662</v>
      </c>
      <c r="T312" s="49">
        <v>768</v>
      </c>
      <c r="U312" s="49">
        <v>276</v>
      </c>
      <c r="V312" s="49">
        <v>1026</v>
      </c>
      <c r="W312" s="49">
        <v>610</v>
      </c>
      <c r="X312" s="49" t="s">
        <v>1574</v>
      </c>
      <c r="Y312" s="49">
        <v>231</v>
      </c>
      <c r="Z312" s="49">
        <v>652</v>
      </c>
      <c r="AA312" s="49">
        <v>144</v>
      </c>
      <c r="AB312" s="49" t="s">
        <v>1574</v>
      </c>
      <c r="AC312" s="49" t="s">
        <v>1574</v>
      </c>
      <c r="AD312" s="49">
        <v>68.239999999999995</v>
      </c>
      <c r="AE312" s="49">
        <v>116.73</v>
      </c>
      <c r="AF312" s="49">
        <v>115.24</v>
      </c>
      <c r="AG312" s="49">
        <v>202.9</v>
      </c>
      <c r="AH312" s="49" t="s">
        <v>1574</v>
      </c>
      <c r="AI312" s="49" t="s">
        <v>1574</v>
      </c>
      <c r="AJ312" s="49" t="s">
        <v>1574</v>
      </c>
      <c r="AK312" s="49">
        <v>122.65</v>
      </c>
      <c r="AL312" s="49">
        <v>136.32</v>
      </c>
      <c r="AM312" s="49" t="s">
        <v>1574</v>
      </c>
      <c r="AN312" s="49">
        <v>0.45750999999999997</v>
      </c>
      <c r="AO312" s="49">
        <v>0.43540000000000001</v>
      </c>
      <c r="AP312" s="49">
        <v>2.0916999999999999</v>
      </c>
      <c r="AQ312" s="49">
        <v>0.81791402000000002</v>
      </c>
      <c r="AR312" s="49">
        <v>1.8371</v>
      </c>
      <c r="AS312" s="49">
        <v>10.210000000000001</v>
      </c>
      <c r="AT312" s="49">
        <v>0.33752732200000002</v>
      </c>
      <c r="AU312" s="49">
        <v>0.46495435800000001</v>
      </c>
      <c r="AV312" s="49">
        <v>6.2199999999999998E-2</v>
      </c>
      <c r="AW312" s="49">
        <v>2634.51</v>
      </c>
      <c r="AX312" s="49">
        <v>163.66</v>
      </c>
      <c r="AY312" s="49">
        <v>120.49</v>
      </c>
      <c r="AZ312" s="49">
        <v>307</v>
      </c>
      <c r="BA312" s="49">
        <v>305.54042158062998</v>
      </c>
      <c r="BB312" s="49">
        <v>200.4</v>
      </c>
      <c r="BC312" s="49">
        <v>1.4345000000000001</v>
      </c>
      <c r="BD312" s="49" t="s">
        <v>1574</v>
      </c>
      <c r="BE312" s="49">
        <v>0.77470000000000006</v>
      </c>
      <c r="BF312" s="49">
        <v>36</v>
      </c>
      <c r="BG312" s="49">
        <v>154</v>
      </c>
      <c r="BH312" s="49">
        <v>116</v>
      </c>
      <c r="BI312" s="49">
        <v>127.5</v>
      </c>
      <c r="BJ312" s="49">
        <v>87</v>
      </c>
      <c r="BK312" s="49">
        <v>1105.2</v>
      </c>
      <c r="BL312" s="49">
        <v>26.56</v>
      </c>
      <c r="BM312" s="49">
        <v>1530.6</v>
      </c>
      <c r="BN312" s="49">
        <v>376</v>
      </c>
      <c r="BO312" s="49">
        <v>11909.8</v>
      </c>
      <c r="BP312" s="49">
        <v>5604.1</v>
      </c>
      <c r="BQ312" s="49">
        <v>881.3</v>
      </c>
      <c r="BR312" s="49">
        <v>316</v>
      </c>
      <c r="BS312" s="49">
        <v>272.38</v>
      </c>
      <c r="BT312" s="49">
        <v>6.2687999999999997</v>
      </c>
      <c r="BU312" s="41"/>
      <c r="BV312" s="41"/>
      <c r="BW312" s="41"/>
      <c r="BX312" s="41"/>
      <c r="BY312" s="41"/>
      <c r="BZ312" s="41"/>
      <c r="CA312" s="41"/>
      <c r="CB312" s="41"/>
      <c r="CC312" s="41"/>
      <c r="CD312" s="41"/>
      <c r="CE312" s="41"/>
      <c r="CF312" s="41"/>
      <c r="CG312" s="41"/>
      <c r="CH312" s="41"/>
      <c r="CI312" s="41"/>
      <c r="CJ312" s="41"/>
      <c r="CK312" s="41"/>
    </row>
    <row r="313" spans="1:89">
      <c r="A313" s="41" t="s">
        <v>442</v>
      </c>
      <c r="B313" s="51">
        <v>26.36666666667</v>
      </c>
      <c r="C313" s="51">
        <v>26.45</v>
      </c>
      <c r="D313" s="51">
        <v>25.45</v>
      </c>
      <c r="E313" s="51">
        <v>27.2</v>
      </c>
      <c r="F313" s="51">
        <v>33.75</v>
      </c>
      <c r="G313" s="51">
        <v>35.06</v>
      </c>
      <c r="H313" s="51">
        <v>2.58</v>
      </c>
      <c r="I313" s="51">
        <v>3.65</v>
      </c>
      <c r="J313" s="51">
        <v>5.23</v>
      </c>
      <c r="K313" s="51">
        <v>52.225195580019999</v>
      </c>
      <c r="L313" s="51">
        <v>2.0922000000000001</v>
      </c>
      <c r="M313" s="51">
        <v>3.1280999999999999</v>
      </c>
      <c r="N313" s="51">
        <v>2.6497000000000002</v>
      </c>
      <c r="O313" s="51">
        <v>1.7112000000000001</v>
      </c>
      <c r="P313" s="51">
        <v>1.1560900000000001</v>
      </c>
      <c r="Q313" s="51">
        <v>2.3607770000000001</v>
      </c>
      <c r="R313" s="51">
        <v>1.616601</v>
      </c>
      <c r="S313" s="51">
        <v>575</v>
      </c>
      <c r="T313" s="51">
        <v>760</v>
      </c>
      <c r="U313" s="51">
        <v>256</v>
      </c>
      <c r="V313" s="51">
        <v>974</v>
      </c>
      <c r="W313" s="51">
        <v>556</v>
      </c>
      <c r="X313" s="51" t="s">
        <v>1574</v>
      </c>
      <c r="Y313" s="51">
        <v>227</v>
      </c>
      <c r="Z313" s="51">
        <v>630</v>
      </c>
      <c r="AA313" s="51">
        <v>141</v>
      </c>
      <c r="AB313" s="51" t="s">
        <v>1574</v>
      </c>
      <c r="AC313" s="51" t="s">
        <v>1574</v>
      </c>
      <c r="AD313" s="51">
        <v>64.930000000000007</v>
      </c>
      <c r="AE313" s="51">
        <v>116.04</v>
      </c>
      <c r="AF313" s="51">
        <v>105.3</v>
      </c>
      <c r="AG313" s="51">
        <v>202.9</v>
      </c>
      <c r="AH313" s="51" t="s">
        <v>1574</v>
      </c>
      <c r="AI313" s="51" t="s">
        <v>1574</v>
      </c>
      <c r="AJ313" s="51" t="s">
        <v>1574</v>
      </c>
      <c r="AK313" s="51">
        <v>123.15</v>
      </c>
      <c r="AL313" s="51">
        <v>134.11000000000001</v>
      </c>
      <c r="AM313" s="51" t="s">
        <v>1574</v>
      </c>
      <c r="AN313" s="51">
        <v>0.3805</v>
      </c>
      <c r="AO313" s="51">
        <v>0.43630000000000002</v>
      </c>
      <c r="AP313" s="51">
        <v>2.0939000000000001</v>
      </c>
      <c r="AQ313" s="51">
        <v>0.83555098000000005</v>
      </c>
      <c r="AR313" s="51">
        <v>1.8638999999999999</v>
      </c>
      <c r="AS313" s="51">
        <v>10.210000000000001</v>
      </c>
      <c r="AT313" s="51">
        <v>0.34634580199999998</v>
      </c>
      <c r="AU313" s="51">
        <v>0.46892267399999998</v>
      </c>
      <c r="AV313" s="51">
        <v>6.13E-2</v>
      </c>
      <c r="AW313" s="51">
        <v>2611.25</v>
      </c>
      <c r="AX313" s="51">
        <v>165.96</v>
      </c>
      <c r="AY313" s="51">
        <v>117.96</v>
      </c>
      <c r="AZ313" s="51">
        <v>307</v>
      </c>
      <c r="BA313" s="51">
        <v>302.05908580879998</v>
      </c>
      <c r="BB313" s="51">
        <v>196.8</v>
      </c>
      <c r="BC313" s="51">
        <v>1.3855999999999999</v>
      </c>
      <c r="BD313" s="51" t="s">
        <v>1574</v>
      </c>
      <c r="BE313" s="51">
        <v>0.81020000000000003</v>
      </c>
      <c r="BF313" s="51">
        <v>36</v>
      </c>
      <c r="BG313" s="51">
        <v>151.5</v>
      </c>
      <c r="BH313" s="51">
        <v>112</v>
      </c>
      <c r="BI313" s="51">
        <v>112.5</v>
      </c>
      <c r="BJ313" s="51">
        <v>87</v>
      </c>
      <c r="BK313" s="51">
        <v>1032.2</v>
      </c>
      <c r="BL313" s="51">
        <v>26.56</v>
      </c>
      <c r="BM313" s="51">
        <v>1432.4</v>
      </c>
      <c r="BN313" s="51">
        <v>389.4</v>
      </c>
      <c r="BO313" s="51">
        <v>12385.8</v>
      </c>
      <c r="BP313" s="51">
        <v>5553.4</v>
      </c>
      <c r="BQ313" s="51">
        <v>808</v>
      </c>
      <c r="BR313" s="51">
        <v>316.5</v>
      </c>
      <c r="BS313" s="51">
        <v>267.8</v>
      </c>
      <c r="BT313" s="51">
        <v>6.1771000000000003</v>
      </c>
      <c r="BU313" s="41"/>
      <c r="BV313" s="41"/>
      <c r="BW313" s="41"/>
      <c r="BX313" s="41"/>
      <c r="BY313" s="41"/>
      <c r="BZ313" s="41"/>
      <c r="CA313" s="41"/>
      <c r="CB313" s="41"/>
      <c r="CC313" s="41"/>
      <c r="CD313" s="41"/>
      <c r="CE313" s="41"/>
      <c r="CF313" s="41"/>
      <c r="CG313" s="41"/>
      <c r="CH313" s="41"/>
      <c r="CI313" s="41"/>
      <c r="CJ313" s="41"/>
      <c r="CK313" s="41"/>
    </row>
    <row r="314" spans="1:89">
      <c r="A314" s="48" t="s">
        <v>443</v>
      </c>
      <c r="B314" s="49">
        <v>26.38333333333</v>
      </c>
      <c r="C314" s="49">
        <v>26.6</v>
      </c>
      <c r="D314" s="49">
        <v>25.7</v>
      </c>
      <c r="E314" s="49">
        <v>26.85</v>
      </c>
      <c r="F314" s="49">
        <v>33.75</v>
      </c>
      <c r="G314" s="49">
        <v>35.06</v>
      </c>
      <c r="H314" s="49">
        <v>2.5099999999999998</v>
      </c>
      <c r="I314" s="49">
        <v>3.65</v>
      </c>
      <c r="J314" s="49">
        <v>5.23</v>
      </c>
      <c r="K314" s="49">
        <v>51.375159471869999</v>
      </c>
      <c r="L314" s="49">
        <v>2.2111000000000001</v>
      </c>
      <c r="M314" s="49">
        <v>2.9777999999999998</v>
      </c>
      <c r="N314" s="49">
        <v>2.3433000000000002</v>
      </c>
      <c r="O314" s="49">
        <v>1.8069999999999999</v>
      </c>
      <c r="P314" s="49">
        <v>1.2473920000000001</v>
      </c>
      <c r="Q314" s="49">
        <v>2.5735420000000002</v>
      </c>
      <c r="R314" s="49">
        <v>1.599966</v>
      </c>
      <c r="S314" s="49">
        <v>520</v>
      </c>
      <c r="T314" s="49">
        <v>665</v>
      </c>
      <c r="U314" s="49">
        <v>254</v>
      </c>
      <c r="V314" s="49">
        <v>880</v>
      </c>
      <c r="W314" s="49">
        <v>487</v>
      </c>
      <c r="X314" s="49" t="s">
        <v>1574</v>
      </c>
      <c r="Y314" s="49">
        <v>223</v>
      </c>
      <c r="Z314" s="49">
        <v>568</v>
      </c>
      <c r="AA314" s="49">
        <v>144</v>
      </c>
      <c r="AB314" s="49" t="s">
        <v>1574</v>
      </c>
      <c r="AC314" s="49" t="s">
        <v>1574</v>
      </c>
      <c r="AD314" s="49">
        <v>59.89</v>
      </c>
      <c r="AE314" s="49">
        <v>114.91</v>
      </c>
      <c r="AF314" s="49">
        <v>99.01</v>
      </c>
      <c r="AG314" s="49">
        <v>191.12</v>
      </c>
      <c r="AH314" s="49" t="s">
        <v>1574</v>
      </c>
      <c r="AI314" s="49" t="s">
        <v>1574</v>
      </c>
      <c r="AJ314" s="49" t="s">
        <v>1574</v>
      </c>
      <c r="AK314" s="49">
        <v>117.77</v>
      </c>
      <c r="AL314" s="49">
        <v>128.6</v>
      </c>
      <c r="AM314" s="49" t="s">
        <v>1574</v>
      </c>
      <c r="AN314" s="49">
        <v>0.32050000000000001</v>
      </c>
      <c r="AO314" s="49">
        <v>0.44919999999999999</v>
      </c>
      <c r="AP314" s="49">
        <v>2.0514000000000001</v>
      </c>
      <c r="AQ314" s="49">
        <v>0.82827573399999999</v>
      </c>
      <c r="AR314" s="49">
        <v>1.9825999999999999</v>
      </c>
      <c r="AS314" s="49">
        <v>10.119999999999999</v>
      </c>
      <c r="AT314" s="49">
        <v>0.37324216599999999</v>
      </c>
      <c r="AU314" s="49">
        <v>0.46804082600000002</v>
      </c>
      <c r="AV314" s="49">
        <v>7.0800000000000002E-2</v>
      </c>
      <c r="AW314" s="49">
        <v>2582.5100000000002</v>
      </c>
      <c r="AX314" s="49">
        <v>174.6</v>
      </c>
      <c r="AY314" s="49">
        <v>120.79</v>
      </c>
      <c r="AZ314" s="49">
        <v>307</v>
      </c>
      <c r="BA314" s="49">
        <v>305.95098874175</v>
      </c>
      <c r="BB314" s="49">
        <v>208.1</v>
      </c>
      <c r="BC314" s="49">
        <v>1.3445</v>
      </c>
      <c r="BD314" s="49" t="s">
        <v>1574</v>
      </c>
      <c r="BE314" s="49">
        <v>0.78039999999999998</v>
      </c>
      <c r="BF314" s="49">
        <v>36</v>
      </c>
      <c r="BG314" s="49">
        <v>151</v>
      </c>
      <c r="BH314" s="49">
        <v>114.5</v>
      </c>
      <c r="BI314" s="49">
        <v>109.5</v>
      </c>
      <c r="BJ314" s="49">
        <v>87</v>
      </c>
      <c r="BK314" s="49">
        <v>1011.6</v>
      </c>
      <c r="BL314" s="49">
        <v>26.56</v>
      </c>
      <c r="BM314" s="49">
        <v>1474.6</v>
      </c>
      <c r="BN314" s="49">
        <v>403.1</v>
      </c>
      <c r="BO314" s="49">
        <v>12755.8</v>
      </c>
      <c r="BP314" s="49">
        <v>5090.5</v>
      </c>
      <c r="BQ314" s="49">
        <v>766.8</v>
      </c>
      <c r="BR314" s="49">
        <v>317.2</v>
      </c>
      <c r="BS314" s="49">
        <v>268.91000000000003</v>
      </c>
      <c r="BT314" s="49">
        <v>5.9996999999999998</v>
      </c>
      <c r="BU314" s="41"/>
      <c r="BV314" s="41"/>
      <c r="BW314" s="41"/>
      <c r="BX314" s="41"/>
      <c r="BY314" s="41"/>
      <c r="BZ314" s="41"/>
      <c r="CA314" s="41"/>
      <c r="CB314" s="41"/>
      <c r="CC314" s="41"/>
      <c r="CD314" s="41"/>
      <c r="CE314" s="41"/>
      <c r="CF314" s="41"/>
      <c r="CG314" s="41"/>
      <c r="CH314" s="41"/>
      <c r="CI314" s="41"/>
      <c r="CJ314" s="41"/>
      <c r="CK314" s="41"/>
    </row>
    <row r="315" spans="1:89">
      <c r="A315" s="41" t="s">
        <v>444</v>
      </c>
      <c r="B315" s="51">
        <v>27.016666666670002</v>
      </c>
      <c r="C315" s="51">
        <v>27.15</v>
      </c>
      <c r="D315" s="51">
        <v>26.3</v>
      </c>
      <c r="E315" s="51">
        <v>27.6</v>
      </c>
      <c r="F315" s="51">
        <v>33.75</v>
      </c>
      <c r="G315" s="51">
        <v>35.06</v>
      </c>
      <c r="H315" s="51">
        <v>2.4700000000000002</v>
      </c>
      <c r="I315" s="51">
        <v>3.65</v>
      </c>
      <c r="J315" s="51">
        <v>5.23</v>
      </c>
      <c r="K315" s="51">
        <v>50.889424552919998</v>
      </c>
      <c r="L315" s="51">
        <v>2.2721</v>
      </c>
      <c r="M315" s="51">
        <v>2.9426999999999999</v>
      </c>
      <c r="N315" s="51">
        <v>2.3466</v>
      </c>
      <c r="O315" s="51">
        <v>1.7330000000000001</v>
      </c>
      <c r="P315" s="51">
        <v>1.2706010000000001</v>
      </c>
      <c r="Q315" s="51">
        <v>2.3921239999999999</v>
      </c>
      <c r="R315" s="51">
        <v>1.536405</v>
      </c>
      <c r="S315" s="51">
        <v>456</v>
      </c>
      <c r="T315" s="51">
        <v>615</v>
      </c>
      <c r="U315" s="51">
        <v>259</v>
      </c>
      <c r="V315" s="51">
        <v>896</v>
      </c>
      <c r="W315" s="51">
        <v>404</v>
      </c>
      <c r="X315" s="51" t="s">
        <v>1574</v>
      </c>
      <c r="Y315" s="51">
        <v>211</v>
      </c>
      <c r="Z315" s="51">
        <v>518</v>
      </c>
      <c r="AA315" s="51">
        <v>150</v>
      </c>
      <c r="AB315" s="51" t="s">
        <v>1574</v>
      </c>
      <c r="AC315" s="51" t="s">
        <v>1574</v>
      </c>
      <c r="AD315" s="51">
        <v>48.3</v>
      </c>
      <c r="AE315" s="51">
        <v>105.53</v>
      </c>
      <c r="AF315" s="51">
        <v>89.13</v>
      </c>
      <c r="AG315" s="51">
        <v>191.12</v>
      </c>
      <c r="AH315" s="51" t="s">
        <v>1574</v>
      </c>
      <c r="AI315" s="51" t="s">
        <v>1574</v>
      </c>
      <c r="AJ315" s="51" t="s">
        <v>1574</v>
      </c>
      <c r="AK315" s="51">
        <v>111.81</v>
      </c>
      <c r="AL315" s="51">
        <v>123.09</v>
      </c>
      <c r="AM315" s="51" t="s">
        <v>1574</v>
      </c>
      <c r="AN315" s="51">
        <v>0.4219</v>
      </c>
      <c r="AO315" s="51">
        <v>0.50870000000000004</v>
      </c>
      <c r="AP315" s="51">
        <v>2.0661999999999998</v>
      </c>
      <c r="AQ315" s="51">
        <v>0.83246451200000005</v>
      </c>
      <c r="AR315" s="51">
        <v>1.9619</v>
      </c>
      <c r="AS315" s="51">
        <v>10.210000000000001</v>
      </c>
      <c r="AT315" s="51">
        <v>0.374124014</v>
      </c>
      <c r="AU315" s="51">
        <v>0.453931258</v>
      </c>
      <c r="AV315" s="51">
        <v>9.6799999999999997E-2</v>
      </c>
      <c r="AW315" s="51">
        <v>2568.5700000000002</v>
      </c>
      <c r="AX315" s="51">
        <v>181.84</v>
      </c>
      <c r="AY315" s="51">
        <v>118.28</v>
      </c>
      <c r="AZ315" s="51">
        <v>307</v>
      </c>
      <c r="BA315" s="51">
        <v>302.50129745581</v>
      </c>
      <c r="BB315" s="51">
        <v>212.89</v>
      </c>
      <c r="BC315" s="51">
        <v>1.256</v>
      </c>
      <c r="BD315" s="51" t="s">
        <v>1574</v>
      </c>
      <c r="BE315" s="51">
        <v>0.75729999999999997</v>
      </c>
      <c r="BF315" s="51">
        <v>36</v>
      </c>
      <c r="BG315" s="51">
        <v>155.5</v>
      </c>
      <c r="BH315" s="51">
        <v>122.5</v>
      </c>
      <c r="BI315" s="51">
        <v>97.5</v>
      </c>
      <c r="BJ315" s="51">
        <v>87</v>
      </c>
      <c r="BK315" s="51">
        <v>1019.3</v>
      </c>
      <c r="BL315" s="51">
        <v>26.56</v>
      </c>
      <c r="BM315" s="51">
        <v>1420.2</v>
      </c>
      <c r="BN315" s="51">
        <v>413.6</v>
      </c>
      <c r="BO315" s="51">
        <v>12647.2</v>
      </c>
      <c r="BP315" s="51">
        <v>4907.5</v>
      </c>
      <c r="BQ315" s="51">
        <v>735.1</v>
      </c>
      <c r="BR315" s="51">
        <v>330.4</v>
      </c>
      <c r="BS315" s="51">
        <v>307.8</v>
      </c>
      <c r="BT315" s="51">
        <v>6.1510999999999996</v>
      </c>
      <c r="BU315" s="41"/>
      <c r="BV315" s="41"/>
      <c r="BW315" s="41"/>
      <c r="BX315" s="41"/>
      <c r="BY315" s="41"/>
      <c r="BZ315" s="41"/>
      <c r="CA315" s="41"/>
      <c r="CB315" s="41"/>
      <c r="CC315" s="41"/>
      <c r="CD315" s="41"/>
      <c r="CE315" s="41"/>
      <c r="CF315" s="41"/>
      <c r="CG315" s="41"/>
      <c r="CH315" s="41"/>
      <c r="CI315" s="41"/>
      <c r="CJ315" s="41"/>
      <c r="CK315" s="41"/>
    </row>
    <row r="316" spans="1:89">
      <c r="A316" s="48" t="s">
        <v>445</v>
      </c>
      <c r="B316" s="49">
        <v>26.983333333329998</v>
      </c>
      <c r="C316" s="49">
        <v>27.15</v>
      </c>
      <c r="D316" s="49">
        <v>26.15</v>
      </c>
      <c r="E316" s="49">
        <v>27.65</v>
      </c>
      <c r="F316" s="49">
        <v>33.75</v>
      </c>
      <c r="G316" s="49">
        <v>35.06</v>
      </c>
      <c r="H316" s="49">
        <v>2.42</v>
      </c>
      <c r="I316" s="49">
        <v>3.65</v>
      </c>
      <c r="J316" s="49">
        <v>5.23</v>
      </c>
      <c r="K316" s="49">
        <v>50.282255904240003</v>
      </c>
      <c r="L316" s="49">
        <v>2.3468</v>
      </c>
      <c r="M316" s="49">
        <v>2.9426999999999999</v>
      </c>
      <c r="N316" s="49">
        <v>2.2940999999999998</v>
      </c>
      <c r="O316" s="49">
        <v>1.6376999999999999</v>
      </c>
      <c r="P316" s="49">
        <v>1.243525</v>
      </c>
      <c r="Q316" s="49">
        <v>2.158344</v>
      </c>
      <c r="R316" s="49">
        <v>1.5113510000000001</v>
      </c>
      <c r="S316" s="49">
        <v>427</v>
      </c>
      <c r="T316" s="49">
        <v>585</v>
      </c>
      <c r="U316" s="49">
        <v>265</v>
      </c>
      <c r="V316" s="49">
        <v>810</v>
      </c>
      <c r="W316" s="49">
        <v>360</v>
      </c>
      <c r="X316" s="49" t="s">
        <v>1574</v>
      </c>
      <c r="Y316" s="49">
        <v>207</v>
      </c>
      <c r="Z316" s="49">
        <v>469</v>
      </c>
      <c r="AA316" s="49">
        <v>160</v>
      </c>
      <c r="AB316" s="49" t="s">
        <v>1574</v>
      </c>
      <c r="AC316" s="49" t="s">
        <v>1574</v>
      </c>
      <c r="AD316" s="49">
        <v>46.58</v>
      </c>
      <c r="AE316" s="49">
        <v>101.91</v>
      </c>
      <c r="AF316" s="49">
        <v>81.62</v>
      </c>
      <c r="AG316" s="49">
        <v>191.12</v>
      </c>
      <c r="AH316" s="49" t="s">
        <v>1574</v>
      </c>
      <c r="AI316" s="49" t="s">
        <v>1574</v>
      </c>
      <c r="AJ316" s="49" t="s">
        <v>1574</v>
      </c>
      <c r="AK316" s="49">
        <v>111.19</v>
      </c>
      <c r="AL316" s="49">
        <v>125.3</v>
      </c>
      <c r="AM316" s="49" t="s">
        <v>1574</v>
      </c>
      <c r="AN316" s="49">
        <v>0.36149999999999999</v>
      </c>
      <c r="AO316" s="49">
        <v>0.50863999999999998</v>
      </c>
      <c r="AP316" s="49">
        <v>2.0790000000000002</v>
      </c>
      <c r="AQ316" s="49">
        <v>0.83797606199999997</v>
      </c>
      <c r="AR316" s="49">
        <v>1.8083</v>
      </c>
      <c r="AS316" s="49">
        <v>10.25</v>
      </c>
      <c r="AT316" s="49">
        <v>0.36883292600000001</v>
      </c>
      <c r="AU316" s="49">
        <v>0.43012136200000001</v>
      </c>
      <c r="AV316" s="49">
        <v>0.1129</v>
      </c>
      <c r="AW316" s="49">
        <v>2532.65</v>
      </c>
      <c r="AX316" s="49">
        <v>179.01</v>
      </c>
      <c r="AY316" s="49">
        <v>115.69</v>
      </c>
      <c r="AZ316" s="49">
        <v>307</v>
      </c>
      <c r="BA316" s="49">
        <v>298.90616637431998</v>
      </c>
      <c r="BB316" s="49">
        <v>210.17</v>
      </c>
      <c r="BC316" s="49">
        <v>1.1778</v>
      </c>
      <c r="BD316" s="49" t="s">
        <v>1574</v>
      </c>
      <c r="BE316" s="49">
        <v>0.73280000000000001</v>
      </c>
      <c r="BF316" s="49">
        <v>36</v>
      </c>
      <c r="BG316" s="49">
        <v>154</v>
      </c>
      <c r="BH316" s="49">
        <v>126</v>
      </c>
      <c r="BI316" s="49">
        <v>87.5</v>
      </c>
      <c r="BJ316" s="49">
        <v>81.5</v>
      </c>
      <c r="BK316" s="49">
        <v>985.1</v>
      </c>
      <c r="BL316" s="49">
        <v>26.56</v>
      </c>
      <c r="BM316" s="49">
        <v>1366.4</v>
      </c>
      <c r="BN316" s="49">
        <v>400.4</v>
      </c>
      <c r="BO316" s="49">
        <v>12325.2</v>
      </c>
      <c r="BP316" s="49">
        <v>4570.2</v>
      </c>
      <c r="BQ316" s="49">
        <v>689.5</v>
      </c>
      <c r="BR316" s="49">
        <v>323.35000000000002</v>
      </c>
      <c r="BS316" s="49">
        <v>311.14999999999998</v>
      </c>
      <c r="BT316" s="49">
        <v>6.0548999999999999</v>
      </c>
      <c r="BU316" s="41"/>
      <c r="BV316" s="41"/>
      <c r="BW316" s="41"/>
      <c r="BX316" s="41"/>
      <c r="BY316" s="41"/>
      <c r="BZ316" s="41"/>
      <c r="CA316" s="41"/>
      <c r="CB316" s="41"/>
      <c r="CC316" s="41"/>
      <c r="CD316" s="41"/>
      <c r="CE316" s="41"/>
      <c r="CF316" s="41"/>
      <c r="CG316" s="41"/>
      <c r="CH316" s="41"/>
      <c r="CI316" s="41"/>
      <c r="CJ316" s="41"/>
      <c r="CK316" s="41"/>
    </row>
    <row r="317" spans="1:89">
      <c r="A317" s="41" t="s">
        <v>446</v>
      </c>
      <c r="B317" s="51">
        <v>27.816666666669999</v>
      </c>
      <c r="C317" s="51">
        <v>27.9</v>
      </c>
      <c r="D317" s="51">
        <v>26.7</v>
      </c>
      <c r="E317" s="51">
        <v>28.85</v>
      </c>
      <c r="F317" s="51">
        <v>33.75</v>
      </c>
      <c r="G317" s="51">
        <v>34.49</v>
      </c>
      <c r="H317" s="51">
        <v>2.37</v>
      </c>
      <c r="I317" s="51">
        <v>3.65</v>
      </c>
      <c r="J317" s="51">
        <v>5.23</v>
      </c>
      <c r="K317" s="51">
        <v>49.675087255549997</v>
      </c>
      <c r="L317" s="51">
        <v>2.3635999999999999</v>
      </c>
      <c r="M317" s="51">
        <v>3.0979000000000001</v>
      </c>
      <c r="N317" s="51">
        <v>2.4544000000000001</v>
      </c>
      <c r="O317" s="51">
        <v>1.5639000000000001</v>
      </c>
      <c r="P317" s="51">
        <v>1.1525129999999999</v>
      </c>
      <c r="Q317" s="51">
        <v>1.9728969999999999</v>
      </c>
      <c r="R317" s="51">
        <v>1.566252</v>
      </c>
      <c r="S317" s="51">
        <v>430</v>
      </c>
      <c r="T317" s="51">
        <v>622</v>
      </c>
      <c r="U317" s="51">
        <v>287</v>
      </c>
      <c r="V317" s="51">
        <v>808</v>
      </c>
      <c r="W317" s="51">
        <v>356</v>
      </c>
      <c r="X317" s="51" t="s">
        <v>1574</v>
      </c>
      <c r="Y317" s="51">
        <v>205</v>
      </c>
      <c r="Z317" s="51">
        <v>448</v>
      </c>
      <c r="AA317" s="51">
        <v>170</v>
      </c>
      <c r="AB317" s="51" t="s">
        <v>1574</v>
      </c>
      <c r="AC317" s="51" t="s">
        <v>1574</v>
      </c>
      <c r="AD317" s="51">
        <v>48.3</v>
      </c>
      <c r="AE317" s="51">
        <v>98.58</v>
      </c>
      <c r="AF317" s="51">
        <v>87.57</v>
      </c>
      <c r="AG317" s="51">
        <v>191.12</v>
      </c>
      <c r="AH317" s="51" t="s">
        <v>1574</v>
      </c>
      <c r="AI317" s="51" t="s">
        <v>1574</v>
      </c>
      <c r="AJ317" s="51" t="s">
        <v>1574</v>
      </c>
      <c r="AK317" s="51">
        <v>121.03</v>
      </c>
      <c r="AL317" s="51">
        <v>127.5</v>
      </c>
      <c r="AM317" s="51" t="s">
        <v>1574</v>
      </c>
      <c r="AN317" s="51">
        <v>0.27829999999999999</v>
      </c>
      <c r="AO317" s="51">
        <v>0.4516</v>
      </c>
      <c r="AP317" s="51">
        <v>2.1362999999999999</v>
      </c>
      <c r="AQ317" s="51">
        <v>0.82276418399999995</v>
      </c>
      <c r="AR317" s="51">
        <v>1.8728</v>
      </c>
      <c r="AS317" s="51">
        <v>10.36</v>
      </c>
      <c r="AT317" s="51">
        <v>0.38470619</v>
      </c>
      <c r="AU317" s="51">
        <v>0.41182301599999999</v>
      </c>
      <c r="AV317" s="51">
        <v>0.1105</v>
      </c>
      <c r="AW317" s="51">
        <v>2502.7399999999998</v>
      </c>
      <c r="AX317" s="51">
        <v>192.13</v>
      </c>
      <c r="AY317" s="51">
        <v>122.19</v>
      </c>
      <c r="AZ317" s="51">
        <v>307</v>
      </c>
      <c r="BA317" s="51">
        <v>307.86079756646001</v>
      </c>
      <c r="BB317" s="51">
        <v>225.87</v>
      </c>
      <c r="BC317" s="51">
        <v>1.0767</v>
      </c>
      <c r="BD317" s="51" t="s">
        <v>1574</v>
      </c>
      <c r="BE317" s="51">
        <v>0.74980000000000002</v>
      </c>
      <c r="BF317" s="51">
        <v>36</v>
      </c>
      <c r="BG317" s="51">
        <v>151</v>
      </c>
      <c r="BH317" s="51">
        <v>132.5</v>
      </c>
      <c r="BI317" s="51">
        <v>80.5</v>
      </c>
      <c r="BJ317" s="51">
        <v>81.5</v>
      </c>
      <c r="BK317" s="51">
        <v>970.5</v>
      </c>
      <c r="BL317" s="51">
        <v>26.56</v>
      </c>
      <c r="BM317" s="51">
        <v>1384.7</v>
      </c>
      <c r="BN317" s="51">
        <v>393.4</v>
      </c>
      <c r="BO317" s="51">
        <v>12391.1</v>
      </c>
      <c r="BP317" s="51">
        <v>4239.5</v>
      </c>
      <c r="BQ317" s="51">
        <v>631.9</v>
      </c>
      <c r="BR317" s="51">
        <v>325.85000000000002</v>
      </c>
      <c r="BS317" s="51">
        <v>323.45999999999998</v>
      </c>
      <c r="BT317" s="51">
        <v>6.1765999999999996</v>
      </c>
      <c r="BU317" s="41"/>
      <c r="BV317" s="41"/>
      <c r="BW317" s="41"/>
      <c r="BX317" s="41"/>
      <c r="BY317" s="41"/>
      <c r="BZ317" s="41"/>
      <c r="CA317" s="41"/>
      <c r="CB317" s="41"/>
      <c r="CC317" s="41"/>
      <c r="CD317" s="41"/>
      <c r="CE317" s="41"/>
      <c r="CF317" s="41"/>
      <c r="CG317" s="41"/>
      <c r="CH317" s="41"/>
      <c r="CI317" s="41"/>
      <c r="CJ317" s="41"/>
      <c r="CK317" s="41"/>
    </row>
    <row r="318" spans="1:89">
      <c r="A318" s="48" t="s">
        <v>447</v>
      </c>
      <c r="B318" s="49">
        <v>28.6</v>
      </c>
      <c r="C318" s="49">
        <v>29.05</v>
      </c>
      <c r="D318" s="49">
        <v>26.9</v>
      </c>
      <c r="E318" s="49">
        <v>29.85</v>
      </c>
      <c r="F318" s="49">
        <v>33.75</v>
      </c>
      <c r="G318" s="49">
        <v>34.49</v>
      </c>
      <c r="H318" s="49">
        <v>2.36</v>
      </c>
      <c r="I318" s="49">
        <v>3.65</v>
      </c>
      <c r="J318" s="49">
        <v>5.23</v>
      </c>
      <c r="K318" s="49">
        <v>49.553653525820003</v>
      </c>
      <c r="L318" s="49">
        <v>2.2978999999999998</v>
      </c>
      <c r="M318" s="49">
        <v>3.4315000000000002</v>
      </c>
      <c r="N318" s="49">
        <v>2.7816000000000001</v>
      </c>
      <c r="O318" s="49">
        <v>1.5671999999999999</v>
      </c>
      <c r="P318" s="49">
        <v>1.0997699999999999</v>
      </c>
      <c r="Q318" s="49">
        <v>2.0147279999999999</v>
      </c>
      <c r="R318" s="49">
        <v>1.587215</v>
      </c>
      <c r="S318" s="49">
        <v>393</v>
      </c>
      <c r="T318" s="49">
        <v>644</v>
      </c>
      <c r="U318" s="49">
        <v>308</v>
      </c>
      <c r="V318" s="49">
        <v>911</v>
      </c>
      <c r="W318" s="49">
        <v>362</v>
      </c>
      <c r="X318" s="49" t="s">
        <v>1574</v>
      </c>
      <c r="Y318" s="49">
        <v>210</v>
      </c>
      <c r="Z318" s="49">
        <v>455</v>
      </c>
      <c r="AA318" s="49">
        <v>177</v>
      </c>
      <c r="AB318" s="49" t="s">
        <v>1574</v>
      </c>
      <c r="AC318" s="49" t="s">
        <v>1574</v>
      </c>
      <c r="AD318" s="49">
        <v>48.3</v>
      </c>
      <c r="AE318" s="49">
        <v>106.2</v>
      </c>
      <c r="AF318" s="49">
        <v>95.68</v>
      </c>
      <c r="AG318" s="49">
        <v>191.12</v>
      </c>
      <c r="AH318" s="49" t="s">
        <v>1574</v>
      </c>
      <c r="AI318" s="49" t="s">
        <v>1574</v>
      </c>
      <c r="AJ318" s="49" t="s">
        <v>1574</v>
      </c>
      <c r="AK318" s="49">
        <v>131.65</v>
      </c>
      <c r="AL318" s="49">
        <v>132.63999999999999</v>
      </c>
      <c r="AM318" s="49" t="s">
        <v>1574</v>
      </c>
      <c r="AN318" s="49">
        <v>0.27500000000000002</v>
      </c>
      <c r="AO318" s="49">
        <v>0.35770000000000002</v>
      </c>
      <c r="AP318" s="49">
        <v>2.1385000000000001</v>
      </c>
      <c r="AQ318" s="49">
        <v>0.84679454200000004</v>
      </c>
      <c r="AR318" s="49">
        <v>1.9067000000000001</v>
      </c>
      <c r="AS318" s="49">
        <v>10.54</v>
      </c>
      <c r="AT318" s="49">
        <v>0.38933589200000002</v>
      </c>
      <c r="AU318" s="49">
        <v>0.416452718</v>
      </c>
      <c r="AV318" s="49">
        <v>0.1208</v>
      </c>
      <c r="AW318" s="49">
        <v>2465.83</v>
      </c>
      <c r="AX318" s="49">
        <v>196.34</v>
      </c>
      <c r="AY318" s="49">
        <v>130.9</v>
      </c>
      <c r="AZ318" s="49">
        <v>307</v>
      </c>
      <c r="BA318" s="49">
        <v>319.52330544746002</v>
      </c>
      <c r="BB318" s="49">
        <v>237.83</v>
      </c>
      <c r="BC318" s="49">
        <v>1.0585</v>
      </c>
      <c r="BD318" s="49" t="s">
        <v>1574</v>
      </c>
      <c r="BE318" s="49">
        <v>0.73629999999999995</v>
      </c>
      <c r="BF318" s="49">
        <v>36</v>
      </c>
      <c r="BG318" s="49">
        <v>149</v>
      </c>
      <c r="BH318" s="49">
        <v>135</v>
      </c>
      <c r="BI318" s="49">
        <v>87.5</v>
      </c>
      <c r="BJ318" s="49">
        <v>81.5</v>
      </c>
      <c r="BK318" s="49">
        <v>950.4</v>
      </c>
      <c r="BL318" s="49">
        <v>26.56</v>
      </c>
      <c r="BM318" s="49">
        <v>1369.5</v>
      </c>
      <c r="BN318" s="49">
        <v>394.2</v>
      </c>
      <c r="BO318" s="49">
        <v>9903.2000000000007</v>
      </c>
      <c r="BP318" s="49">
        <v>4034.5</v>
      </c>
      <c r="BQ318" s="49">
        <v>597.5</v>
      </c>
      <c r="BR318" s="49">
        <v>321.5</v>
      </c>
      <c r="BS318" s="49">
        <v>334.4</v>
      </c>
      <c r="BT318" s="49">
        <v>6.1017999999999999</v>
      </c>
      <c r="BU318" s="41"/>
      <c r="BV318" s="41"/>
      <c r="BW318" s="41"/>
      <c r="BX318" s="41"/>
      <c r="BY318" s="41"/>
      <c r="BZ318" s="41"/>
      <c r="CA318" s="41"/>
      <c r="CB318" s="41"/>
      <c r="CC318" s="41"/>
      <c r="CD318" s="41"/>
      <c r="CE318" s="41"/>
      <c r="CF318" s="41"/>
      <c r="CG318" s="41"/>
      <c r="CH318" s="41"/>
      <c r="CI318" s="41"/>
      <c r="CJ318" s="41"/>
      <c r="CK318" s="41"/>
    </row>
    <row r="319" spans="1:89">
      <c r="A319" s="41" t="s">
        <v>448</v>
      </c>
      <c r="B319" s="51">
        <v>26.5</v>
      </c>
      <c r="C319" s="51">
        <v>25.85</v>
      </c>
      <c r="D319" s="51">
        <v>26.3</v>
      </c>
      <c r="E319" s="51">
        <v>27.35</v>
      </c>
      <c r="F319" s="51">
        <v>33.75</v>
      </c>
      <c r="G319" s="51">
        <v>34.49</v>
      </c>
      <c r="H319" s="51">
        <v>2.2799999999999998</v>
      </c>
      <c r="I319" s="51">
        <v>3.65</v>
      </c>
      <c r="J319" s="51">
        <v>5.23</v>
      </c>
      <c r="K319" s="51">
        <v>48.582183687920001</v>
      </c>
      <c r="L319" s="51">
        <v>2.3753000000000002</v>
      </c>
      <c r="M319" s="51">
        <v>4.3422000000000001</v>
      </c>
      <c r="N319" s="51">
        <v>3.3668999999999998</v>
      </c>
      <c r="O319" s="51">
        <v>1.6197999999999999</v>
      </c>
      <c r="P319" s="51">
        <v>1.137707</v>
      </c>
      <c r="Q319" s="51">
        <v>2.1282890000000001</v>
      </c>
      <c r="R319" s="51">
        <v>1.5934090000000001</v>
      </c>
      <c r="S319" s="51">
        <v>395</v>
      </c>
      <c r="T319" s="51">
        <v>684</v>
      </c>
      <c r="U319" s="51">
        <v>306</v>
      </c>
      <c r="V319" s="51">
        <v>827</v>
      </c>
      <c r="W319" s="51">
        <v>390</v>
      </c>
      <c r="X319" s="51" t="s">
        <v>1574</v>
      </c>
      <c r="Y319" s="51">
        <v>213</v>
      </c>
      <c r="Z319" s="51">
        <v>470</v>
      </c>
      <c r="AA319" s="51">
        <v>178</v>
      </c>
      <c r="AB319" s="51" t="s">
        <v>1574</v>
      </c>
      <c r="AC319" s="51" t="s">
        <v>1574</v>
      </c>
      <c r="AD319" s="51">
        <v>53.27</v>
      </c>
      <c r="AE319" s="51">
        <v>107.87</v>
      </c>
      <c r="AF319" s="51">
        <v>99.58</v>
      </c>
      <c r="AG319" s="51">
        <v>191.12</v>
      </c>
      <c r="AH319" s="51" t="s">
        <v>1574</v>
      </c>
      <c r="AI319" s="51" t="s">
        <v>1574</v>
      </c>
      <c r="AJ319" s="51" t="s">
        <v>1574</v>
      </c>
      <c r="AK319" s="51">
        <v>136.58000000000001</v>
      </c>
      <c r="AL319" s="51">
        <v>137.05000000000001</v>
      </c>
      <c r="AM319" s="51" t="s">
        <v>1574</v>
      </c>
      <c r="AN319" s="51">
        <v>0.28489999999999999</v>
      </c>
      <c r="AO319" s="51">
        <v>0.318</v>
      </c>
      <c r="AP319" s="51">
        <v>2.2267000000000001</v>
      </c>
      <c r="AQ319" s="51">
        <v>0.86531334999999998</v>
      </c>
      <c r="AR319" s="51">
        <v>1.9215</v>
      </c>
      <c r="AS319" s="51">
        <v>10.87</v>
      </c>
      <c r="AT319" s="51">
        <v>0.391099588</v>
      </c>
      <c r="AU319" s="51">
        <v>0.43849891800000002</v>
      </c>
      <c r="AV319" s="51">
        <v>0.1173</v>
      </c>
      <c r="AW319" s="51">
        <v>2551.4899999999998</v>
      </c>
      <c r="AX319" s="51">
        <v>201.34</v>
      </c>
      <c r="AY319" s="51">
        <v>139.63999999999999</v>
      </c>
      <c r="AZ319" s="51">
        <v>307</v>
      </c>
      <c r="BA319" s="51">
        <v>330.87232625655997</v>
      </c>
      <c r="BB319" s="51">
        <v>239.13</v>
      </c>
      <c r="BC319" s="51">
        <v>1.0637000000000001</v>
      </c>
      <c r="BD319" s="51" t="s">
        <v>1574</v>
      </c>
      <c r="BE319" s="51">
        <v>0.73480000000000001</v>
      </c>
      <c r="BF319" s="51">
        <v>36</v>
      </c>
      <c r="BG319" s="51">
        <v>146.5</v>
      </c>
      <c r="BH319" s="51">
        <v>137</v>
      </c>
      <c r="BI319" s="51">
        <v>87.5</v>
      </c>
      <c r="BJ319" s="51">
        <v>81.5</v>
      </c>
      <c r="BK319" s="51">
        <v>1039.2</v>
      </c>
      <c r="BL319" s="51">
        <v>26.56</v>
      </c>
      <c r="BM319" s="51">
        <v>1390.9</v>
      </c>
      <c r="BN319" s="51">
        <v>389.9</v>
      </c>
      <c r="BO319" s="51">
        <v>9114</v>
      </c>
      <c r="BP319" s="51">
        <v>4089.6</v>
      </c>
      <c r="BQ319" s="51">
        <v>685.3</v>
      </c>
      <c r="BR319" s="51">
        <v>321.89999999999998</v>
      </c>
      <c r="BS319" s="51">
        <v>336.82</v>
      </c>
      <c r="BT319" s="51">
        <v>5.8521999999999998</v>
      </c>
      <c r="BU319" s="41"/>
      <c r="BV319" s="41"/>
      <c r="BW319" s="41"/>
      <c r="BX319" s="41"/>
      <c r="BY319" s="41"/>
      <c r="BZ319" s="41"/>
      <c r="CA319" s="41"/>
      <c r="CB319" s="41"/>
      <c r="CC319" s="41"/>
      <c r="CD319" s="41"/>
      <c r="CE319" s="41"/>
      <c r="CF319" s="41"/>
      <c r="CG319" s="41"/>
      <c r="CH319" s="41"/>
      <c r="CI319" s="41"/>
      <c r="CJ319" s="41"/>
      <c r="CK319" s="41"/>
    </row>
    <row r="320" spans="1:89">
      <c r="A320" s="48" t="s">
        <v>449</v>
      </c>
      <c r="B320" s="49">
        <v>24.683333333330001</v>
      </c>
      <c r="C320" s="49">
        <v>25.75</v>
      </c>
      <c r="D320" s="49">
        <v>25.4</v>
      </c>
      <c r="E320" s="49">
        <v>22.9</v>
      </c>
      <c r="F320" s="49">
        <v>33.75</v>
      </c>
      <c r="G320" s="49">
        <v>33.83</v>
      </c>
      <c r="H320" s="49">
        <v>2.2799999999999998</v>
      </c>
      <c r="I320" s="49">
        <v>3.65</v>
      </c>
      <c r="J320" s="49">
        <v>4.0999999999999996</v>
      </c>
      <c r="K320" s="49">
        <v>47.816615367319997</v>
      </c>
      <c r="L320" s="49">
        <v>2.3237000000000001</v>
      </c>
      <c r="M320" s="49">
        <v>5.2441000000000004</v>
      </c>
      <c r="N320" s="49">
        <v>3.7515999999999998</v>
      </c>
      <c r="O320" s="49">
        <v>1.5328999999999999</v>
      </c>
      <c r="P320" s="49">
        <v>1.0961639999999999</v>
      </c>
      <c r="Q320" s="49">
        <v>1.8061100000000001</v>
      </c>
      <c r="R320" s="49">
        <v>1.696566</v>
      </c>
      <c r="S320" s="49">
        <v>380</v>
      </c>
      <c r="T320" s="49">
        <v>702</v>
      </c>
      <c r="U320" s="49">
        <v>292</v>
      </c>
      <c r="V320" s="49">
        <v>701</v>
      </c>
      <c r="W320" s="49">
        <v>342</v>
      </c>
      <c r="X320" s="49" t="s">
        <v>1574</v>
      </c>
      <c r="Y320" s="49">
        <v>221</v>
      </c>
      <c r="Z320" s="49">
        <v>457</v>
      </c>
      <c r="AA320" s="49">
        <v>186</v>
      </c>
      <c r="AB320" s="49" t="s">
        <v>1574</v>
      </c>
      <c r="AC320" s="49" t="s">
        <v>1574</v>
      </c>
      <c r="AD320" s="49">
        <v>53.27</v>
      </c>
      <c r="AE320" s="49">
        <v>107.79</v>
      </c>
      <c r="AF320" s="49">
        <v>98.33</v>
      </c>
      <c r="AG320" s="49">
        <v>220.58</v>
      </c>
      <c r="AH320" s="49">
        <v>83.26352</v>
      </c>
      <c r="AI320" s="49">
        <v>98</v>
      </c>
      <c r="AJ320" s="49" t="s">
        <v>1574</v>
      </c>
      <c r="AK320" s="49">
        <v>135.4</v>
      </c>
      <c r="AL320" s="49">
        <v>132.28</v>
      </c>
      <c r="AM320" s="49" t="s">
        <v>1574</v>
      </c>
      <c r="AN320" s="49">
        <v>0.32900000000000001</v>
      </c>
      <c r="AO320" s="49">
        <v>0.31874999999999998</v>
      </c>
      <c r="AP320" s="49">
        <v>2.1825999999999999</v>
      </c>
      <c r="AQ320" s="49">
        <v>0.84194437799999999</v>
      </c>
      <c r="AR320" s="49">
        <v>1.8766</v>
      </c>
      <c r="AS320" s="49">
        <v>11.22</v>
      </c>
      <c r="AT320" s="49">
        <v>0.395288366</v>
      </c>
      <c r="AU320" s="49">
        <v>0.45282894800000001</v>
      </c>
      <c r="AV320" s="49">
        <v>0.1067</v>
      </c>
      <c r="AW320" s="49">
        <v>2646.02</v>
      </c>
      <c r="AX320" s="49">
        <v>206.72</v>
      </c>
      <c r="AY320" s="49">
        <v>144.99</v>
      </c>
      <c r="AZ320" s="49" t="s">
        <v>1574</v>
      </c>
      <c r="BA320" s="49">
        <v>337.65849318711003</v>
      </c>
      <c r="BB320" s="49">
        <v>242.42</v>
      </c>
      <c r="BC320" s="49">
        <v>1.1424000000000001</v>
      </c>
      <c r="BD320" s="49" t="s">
        <v>1574</v>
      </c>
      <c r="BE320" s="49">
        <v>0.74319999999999997</v>
      </c>
      <c r="BF320" s="49">
        <v>36</v>
      </c>
      <c r="BG320" s="49">
        <v>145.5</v>
      </c>
      <c r="BH320" s="49">
        <v>133</v>
      </c>
      <c r="BI320" s="49">
        <v>82.5</v>
      </c>
      <c r="BJ320" s="49">
        <v>81.5</v>
      </c>
      <c r="BK320" s="49">
        <v>1119.24</v>
      </c>
      <c r="BL320" s="49">
        <v>26.26</v>
      </c>
      <c r="BM320" s="49">
        <v>1418.3</v>
      </c>
      <c r="BN320" s="49">
        <v>368.4</v>
      </c>
      <c r="BO320" s="49">
        <v>7910</v>
      </c>
      <c r="BP320" s="49">
        <v>4034.5</v>
      </c>
      <c r="BQ320" s="49">
        <v>644</v>
      </c>
      <c r="BR320" s="49">
        <v>347.48</v>
      </c>
      <c r="BS320" s="49">
        <v>363.76</v>
      </c>
      <c r="BT320" s="49">
        <v>6.0164</v>
      </c>
      <c r="BU320" s="41"/>
      <c r="BV320" s="41"/>
      <c r="BW320" s="41"/>
      <c r="BX320" s="41"/>
      <c r="BY320" s="41"/>
      <c r="BZ320" s="41"/>
      <c r="CA320" s="41"/>
      <c r="CB320" s="41"/>
      <c r="CC320" s="41"/>
      <c r="CD320" s="41"/>
      <c r="CE320" s="41"/>
      <c r="CF320" s="41"/>
      <c r="CG320" s="41"/>
      <c r="CH320" s="41"/>
      <c r="CI320" s="41"/>
      <c r="CJ320" s="41"/>
      <c r="CK320" s="41"/>
    </row>
    <row r="321" spans="1:89">
      <c r="A321" s="41" t="s">
        <v>450</v>
      </c>
      <c r="B321" s="51">
        <v>15.91666666667</v>
      </c>
      <c r="C321" s="51">
        <v>17.55</v>
      </c>
      <c r="D321" s="51">
        <v>14.8</v>
      </c>
      <c r="E321" s="51">
        <v>15.4</v>
      </c>
      <c r="F321" s="51">
        <v>33.75</v>
      </c>
      <c r="G321" s="51">
        <v>33.83</v>
      </c>
      <c r="H321" s="51">
        <v>2.2599999999999998</v>
      </c>
      <c r="I321" s="51">
        <v>3.65</v>
      </c>
      <c r="J321" s="51">
        <v>4.0999999999999996</v>
      </c>
      <c r="K321" s="51">
        <v>47.573747907849999</v>
      </c>
      <c r="L321" s="51">
        <v>2.2290999999999999</v>
      </c>
      <c r="M321" s="51">
        <v>5.0307000000000004</v>
      </c>
      <c r="N321" s="51">
        <v>3.5720999999999998</v>
      </c>
      <c r="O321" s="51">
        <v>1.5207999999999999</v>
      </c>
      <c r="P321" s="51">
        <v>1.1362479999999999</v>
      </c>
      <c r="Q321" s="51">
        <v>1.710037</v>
      </c>
      <c r="R321" s="51">
        <v>1.71618</v>
      </c>
      <c r="S321" s="51">
        <v>318</v>
      </c>
      <c r="T321" s="51">
        <v>693</v>
      </c>
      <c r="U321" s="51">
        <v>292</v>
      </c>
      <c r="V321" s="51">
        <v>580</v>
      </c>
      <c r="W321" s="51">
        <v>283</v>
      </c>
      <c r="X321" s="51" t="s">
        <v>1574</v>
      </c>
      <c r="Y321" s="51">
        <v>216</v>
      </c>
      <c r="Z321" s="51">
        <v>394</v>
      </c>
      <c r="AA321" s="51">
        <v>185</v>
      </c>
      <c r="AB321" s="51" t="s">
        <v>1574</v>
      </c>
      <c r="AC321" s="51" t="s">
        <v>1574</v>
      </c>
      <c r="AD321" s="51">
        <v>53.27</v>
      </c>
      <c r="AE321" s="51">
        <v>103.19</v>
      </c>
      <c r="AF321" s="51">
        <v>95.18</v>
      </c>
      <c r="AG321" s="51">
        <v>211.99</v>
      </c>
      <c r="AH321" s="51">
        <v>115.1003</v>
      </c>
      <c r="AI321" s="51">
        <v>97</v>
      </c>
      <c r="AJ321" s="51" t="s">
        <v>1574</v>
      </c>
      <c r="AK321" s="51">
        <v>136.06</v>
      </c>
      <c r="AL321" s="51">
        <v>129.71</v>
      </c>
      <c r="AM321" s="51" t="s">
        <v>1574</v>
      </c>
      <c r="AN321" s="51">
        <v>0.38640000000000002</v>
      </c>
      <c r="AO321" s="51">
        <v>0.32222000000000001</v>
      </c>
      <c r="AP321" s="51">
        <v>2.1604999999999999</v>
      </c>
      <c r="AQ321" s="51">
        <v>0.84679454200000004</v>
      </c>
      <c r="AR321" s="51">
        <v>1.8794999999999999</v>
      </c>
      <c r="AS321" s="51">
        <v>11.9</v>
      </c>
      <c r="AT321" s="51">
        <v>0.396390676</v>
      </c>
      <c r="AU321" s="51">
        <v>0.45679726399999998</v>
      </c>
      <c r="AV321" s="51">
        <v>0.1235</v>
      </c>
      <c r="AW321" s="51">
        <v>2680.73</v>
      </c>
      <c r="AX321" s="51">
        <v>216.42</v>
      </c>
      <c r="AY321" s="51">
        <v>148.69999999999999</v>
      </c>
      <c r="AZ321" s="51" t="s">
        <v>1574</v>
      </c>
      <c r="BA321" s="51">
        <v>342.29696950002</v>
      </c>
      <c r="BB321" s="51">
        <v>258.61</v>
      </c>
      <c r="BC321" s="51">
        <v>1.2018</v>
      </c>
      <c r="BD321" s="51" t="s">
        <v>1574</v>
      </c>
      <c r="BE321" s="51">
        <v>0.79169999999999996</v>
      </c>
      <c r="BF321" s="51">
        <v>36</v>
      </c>
      <c r="BG321" s="51">
        <v>143</v>
      </c>
      <c r="BH321" s="51">
        <v>134.5</v>
      </c>
      <c r="BI321" s="51">
        <v>77</v>
      </c>
      <c r="BJ321" s="51">
        <v>80</v>
      </c>
      <c r="BK321" s="51">
        <v>1114.8499999999999</v>
      </c>
      <c r="BL321" s="51">
        <v>26.26</v>
      </c>
      <c r="BM321" s="51">
        <v>1405.5</v>
      </c>
      <c r="BN321" s="51">
        <v>367.3</v>
      </c>
      <c r="BO321" s="51">
        <v>7922.9</v>
      </c>
      <c r="BP321" s="51">
        <v>3988.2</v>
      </c>
      <c r="BQ321" s="51">
        <v>608.70000000000005</v>
      </c>
      <c r="BR321" s="51">
        <v>338.89</v>
      </c>
      <c r="BS321" s="51">
        <v>376.04</v>
      </c>
      <c r="BT321" s="51">
        <v>5.8587999999999996</v>
      </c>
      <c r="BU321" s="41"/>
      <c r="BV321" s="41"/>
      <c r="BW321" s="41"/>
      <c r="BX321" s="41"/>
      <c r="BY321" s="41"/>
      <c r="BZ321" s="41"/>
      <c r="CA321" s="41"/>
      <c r="CB321" s="41"/>
      <c r="CC321" s="41"/>
      <c r="CD321" s="41"/>
      <c r="CE321" s="41"/>
      <c r="CF321" s="41"/>
      <c r="CG321" s="41"/>
      <c r="CH321" s="41"/>
      <c r="CI321" s="41"/>
      <c r="CJ321" s="41"/>
      <c r="CK321" s="41"/>
    </row>
    <row r="322" spans="1:89">
      <c r="A322" s="48" t="s">
        <v>451</v>
      </c>
      <c r="B322" s="49">
        <v>12.65</v>
      </c>
      <c r="C322" s="49">
        <v>13.85</v>
      </c>
      <c r="D322" s="49">
        <v>11.45</v>
      </c>
      <c r="E322" s="49">
        <v>12.65</v>
      </c>
      <c r="F322" s="49">
        <v>30.75</v>
      </c>
      <c r="G322" s="49">
        <v>31.64</v>
      </c>
      <c r="H322" s="49">
        <v>2.16</v>
      </c>
      <c r="I322" s="49">
        <v>3.65</v>
      </c>
      <c r="J322" s="49">
        <v>4.0999999999999996</v>
      </c>
      <c r="K322" s="49">
        <v>46.359410610479998</v>
      </c>
      <c r="L322" s="49">
        <v>2.1065</v>
      </c>
      <c r="M322" s="49">
        <v>5.2823000000000002</v>
      </c>
      <c r="N322" s="49">
        <v>3.7229000000000001</v>
      </c>
      <c r="O322" s="49">
        <v>1.4829000000000001</v>
      </c>
      <c r="P322" s="49">
        <v>1.1412949999999999</v>
      </c>
      <c r="Q322" s="49">
        <v>1.595866</v>
      </c>
      <c r="R322" s="49">
        <v>1.7115560000000001</v>
      </c>
      <c r="S322" s="49">
        <v>293</v>
      </c>
      <c r="T322" s="49">
        <v>700</v>
      </c>
      <c r="U322" s="49">
        <v>321</v>
      </c>
      <c r="V322" s="49">
        <v>541</v>
      </c>
      <c r="W322" s="49">
        <v>243</v>
      </c>
      <c r="X322" s="49" t="s">
        <v>1574</v>
      </c>
      <c r="Y322" s="49">
        <v>217</v>
      </c>
      <c r="Z322" s="49">
        <v>369</v>
      </c>
      <c r="AA322" s="49">
        <v>194</v>
      </c>
      <c r="AB322" s="49" t="s">
        <v>1574</v>
      </c>
      <c r="AC322" s="49" t="s">
        <v>1574</v>
      </c>
      <c r="AD322" s="49">
        <v>54.35</v>
      </c>
      <c r="AE322" s="49">
        <v>100.88</v>
      </c>
      <c r="AF322" s="49">
        <v>94.47</v>
      </c>
      <c r="AG322" s="49">
        <v>197.26</v>
      </c>
      <c r="AH322" s="49">
        <v>101.41840000000001</v>
      </c>
      <c r="AI322" s="49">
        <v>100</v>
      </c>
      <c r="AJ322" s="49" t="s">
        <v>1574</v>
      </c>
      <c r="AK322" s="49">
        <v>139.47999999999999</v>
      </c>
      <c r="AL322" s="49">
        <v>134.47999999999999</v>
      </c>
      <c r="AM322" s="49" t="s">
        <v>1574</v>
      </c>
      <c r="AN322" s="49">
        <v>0.49990000000000001</v>
      </c>
      <c r="AO322" s="49">
        <v>0.33809</v>
      </c>
      <c r="AP322" s="49">
        <v>2.1913999999999998</v>
      </c>
      <c r="AQ322" s="49">
        <v>0.85010147199999997</v>
      </c>
      <c r="AR322" s="49">
        <v>2.1113</v>
      </c>
      <c r="AS322" s="49">
        <v>12.41</v>
      </c>
      <c r="AT322" s="49">
        <v>0.40675239000000002</v>
      </c>
      <c r="AU322" s="49">
        <v>0.45701772600000001</v>
      </c>
      <c r="AV322" s="49">
        <v>0.15329999999999999</v>
      </c>
      <c r="AW322" s="49">
        <v>2695.37</v>
      </c>
      <c r="AX322" s="49">
        <v>192.13</v>
      </c>
      <c r="AY322" s="49">
        <v>142.12</v>
      </c>
      <c r="AZ322" s="49" t="s">
        <v>1574</v>
      </c>
      <c r="BA322" s="49">
        <v>334.03266503573002</v>
      </c>
      <c r="BB322" s="49">
        <v>257.64</v>
      </c>
      <c r="BC322" s="49">
        <v>1.1540999999999999</v>
      </c>
      <c r="BD322" s="49" t="s">
        <v>1574</v>
      </c>
      <c r="BE322" s="49">
        <v>0.7762</v>
      </c>
      <c r="BF322" s="49">
        <v>36</v>
      </c>
      <c r="BG322" s="49">
        <v>148</v>
      </c>
      <c r="BH322" s="49">
        <v>139</v>
      </c>
      <c r="BI322" s="49">
        <v>77</v>
      </c>
      <c r="BJ322" s="49">
        <v>80</v>
      </c>
      <c r="BK322" s="49">
        <v>1168.01</v>
      </c>
      <c r="BL322" s="49">
        <v>26.26</v>
      </c>
      <c r="BM322" s="49">
        <v>1445.1</v>
      </c>
      <c r="BN322" s="49">
        <v>367.2</v>
      </c>
      <c r="BO322" s="49">
        <v>7313.6</v>
      </c>
      <c r="BP322" s="49">
        <v>4122.6000000000004</v>
      </c>
      <c r="BQ322" s="49">
        <v>625.70000000000005</v>
      </c>
      <c r="BR322" s="49">
        <v>345.7</v>
      </c>
      <c r="BS322" s="49">
        <v>413.64</v>
      </c>
      <c r="BT322" s="49">
        <v>5.6226000000000003</v>
      </c>
      <c r="BU322" s="41"/>
      <c r="BV322" s="41"/>
      <c r="BW322" s="41"/>
      <c r="BX322" s="41"/>
      <c r="BY322" s="41"/>
      <c r="BZ322" s="41"/>
      <c r="CA322" s="41"/>
      <c r="CB322" s="41"/>
      <c r="CC322" s="41"/>
      <c r="CD322" s="41"/>
      <c r="CE322" s="41"/>
      <c r="CF322" s="41"/>
      <c r="CG322" s="41"/>
      <c r="CH322" s="41"/>
      <c r="CI322" s="41"/>
      <c r="CJ322" s="41"/>
      <c r="CK322" s="41"/>
    </row>
    <row r="323" spans="1:89">
      <c r="A323" s="41" t="s">
        <v>452</v>
      </c>
      <c r="B323" s="51">
        <v>11.9</v>
      </c>
      <c r="C323" s="51">
        <v>12.5</v>
      </c>
      <c r="D323" s="51">
        <v>10.3</v>
      </c>
      <c r="E323" s="51">
        <v>12.9</v>
      </c>
      <c r="F323" s="51">
        <v>30.75</v>
      </c>
      <c r="G323" s="51">
        <v>31.64</v>
      </c>
      <c r="H323" s="51">
        <v>2.1</v>
      </c>
      <c r="I323" s="51">
        <v>3.65</v>
      </c>
      <c r="J323" s="51">
        <v>4.0999999999999996</v>
      </c>
      <c r="K323" s="51">
        <v>45.630808232059998</v>
      </c>
      <c r="L323" s="51">
        <v>1.9897</v>
      </c>
      <c r="M323" s="51">
        <v>4.9832999999999998</v>
      </c>
      <c r="N323" s="51">
        <v>3.4702999999999999</v>
      </c>
      <c r="O323" s="51">
        <v>1.5139</v>
      </c>
      <c r="P323" s="51">
        <v>1.0503009999999999</v>
      </c>
      <c r="Q323" s="51">
        <v>1.7939210000000001</v>
      </c>
      <c r="R323" s="51">
        <v>1.6975640000000001</v>
      </c>
      <c r="S323" s="51">
        <v>266</v>
      </c>
      <c r="T323" s="51">
        <v>726</v>
      </c>
      <c r="U323" s="51">
        <v>333</v>
      </c>
      <c r="V323" s="51">
        <v>578</v>
      </c>
      <c r="W323" s="51">
        <v>242</v>
      </c>
      <c r="X323" s="51" t="s">
        <v>1574</v>
      </c>
      <c r="Y323" s="51">
        <v>213</v>
      </c>
      <c r="Z323" s="51">
        <v>349</v>
      </c>
      <c r="AA323" s="51">
        <v>187</v>
      </c>
      <c r="AB323" s="51" t="s">
        <v>1574</v>
      </c>
      <c r="AC323" s="51" t="s">
        <v>1574</v>
      </c>
      <c r="AD323" s="51">
        <v>49.64</v>
      </c>
      <c r="AE323" s="51">
        <v>101.33</v>
      </c>
      <c r="AF323" s="51">
        <v>98.71</v>
      </c>
      <c r="AG323" s="51">
        <v>186.21</v>
      </c>
      <c r="AH323" s="51">
        <v>91.135059999999996</v>
      </c>
      <c r="AI323" s="51">
        <v>97</v>
      </c>
      <c r="AJ323" s="51" t="s">
        <v>1574</v>
      </c>
      <c r="AK323" s="51">
        <v>139.66999999999999</v>
      </c>
      <c r="AL323" s="51">
        <v>132.63999999999999</v>
      </c>
      <c r="AM323" s="51" t="s">
        <v>1574</v>
      </c>
      <c r="AN323" s="51">
        <v>0.5776</v>
      </c>
      <c r="AO323" s="51">
        <v>0.36429</v>
      </c>
      <c r="AP323" s="51">
        <v>2.0640000000000001</v>
      </c>
      <c r="AQ323" s="51">
        <v>0.83312589800000003</v>
      </c>
      <c r="AR323" s="51">
        <v>2.3226</v>
      </c>
      <c r="AS323" s="51">
        <v>12.85</v>
      </c>
      <c r="AT323" s="51">
        <v>0.41579133200000001</v>
      </c>
      <c r="AU323" s="51">
        <v>0.45282894800000001</v>
      </c>
      <c r="AV323" s="51">
        <v>0.1837</v>
      </c>
      <c r="AW323" s="51">
        <v>2655.77</v>
      </c>
      <c r="AX323" s="51">
        <v>215.39</v>
      </c>
      <c r="AY323" s="51">
        <v>136.47</v>
      </c>
      <c r="AZ323" s="51" t="s">
        <v>1574</v>
      </c>
      <c r="BA323" s="51">
        <v>326.79485811351998</v>
      </c>
      <c r="BB323" s="51">
        <v>256.95</v>
      </c>
      <c r="BC323" s="51">
        <v>1.0691999999999999</v>
      </c>
      <c r="BD323" s="51" t="s">
        <v>1574</v>
      </c>
      <c r="BE323" s="51">
        <v>0.74519999999999997</v>
      </c>
      <c r="BF323" s="51">
        <v>36</v>
      </c>
      <c r="BG323" s="51">
        <v>149</v>
      </c>
      <c r="BH323" s="51">
        <v>140</v>
      </c>
      <c r="BI323" s="51">
        <v>72.5</v>
      </c>
      <c r="BJ323" s="51">
        <v>75</v>
      </c>
      <c r="BK323" s="51">
        <v>1164.44</v>
      </c>
      <c r="BL323" s="51">
        <v>26.26</v>
      </c>
      <c r="BM323" s="51">
        <v>1434.6</v>
      </c>
      <c r="BN323" s="51">
        <v>369.5</v>
      </c>
      <c r="BO323" s="51">
        <v>5686.1</v>
      </c>
      <c r="BP323" s="51">
        <v>3999.2</v>
      </c>
      <c r="BQ323" s="51">
        <v>659.9</v>
      </c>
      <c r="BR323" s="51">
        <v>340.44</v>
      </c>
      <c r="BS323" s="51">
        <v>418.39</v>
      </c>
      <c r="BT323" s="51">
        <v>5.1879999999999997</v>
      </c>
      <c r="BU323" s="41"/>
      <c r="BV323" s="41"/>
      <c r="BW323" s="41"/>
      <c r="BX323" s="41"/>
      <c r="BY323" s="41"/>
      <c r="BZ323" s="41"/>
      <c r="CA323" s="41"/>
      <c r="CB323" s="41"/>
      <c r="CC323" s="41"/>
      <c r="CD323" s="41"/>
      <c r="CE323" s="41"/>
      <c r="CF323" s="41"/>
      <c r="CG323" s="41"/>
      <c r="CH323" s="41"/>
      <c r="CI323" s="41"/>
      <c r="CJ323" s="41"/>
      <c r="CK323" s="41"/>
    </row>
    <row r="324" spans="1:89">
      <c r="A324" s="48" t="s">
        <v>453</v>
      </c>
      <c r="B324" s="49">
        <v>13.716666666669999</v>
      </c>
      <c r="C324" s="49">
        <v>14.2</v>
      </c>
      <c r="D324" s="49">
        <v>11.5</v>
      </c>
      <c r="E324" s="49">
        <v>15.45</v>
      </c>
      <c r="F324" s="49">
        <v>30.75</v>
      </c>
      <c r="G324" s="49">
        <v>29.46</v>
      </c>
      <c r="H324" s="49">
        <v>1.96</v>
      </c>
      <c r="I324" s="49">
        <v>3.65</v>
      </c>
      <c r="J324" s="49">
        <v>4.0999999999999996</v>
      </c>
      <c r="K324" s="49">
        <v>43.93073601575</v>
      </c>
      <c r="L324" s="49">
        <v>1.9058999999999999</v>
      </c>
      <c r="M324" s="49">
        <v>4.6592000000000002</v>
      </c>
      <c r="N324" s="49">
        <v>3.1415999999999999</v>
      </c>
      <c r="O324" s="49">
        <v>1.6707000000000001</v>
      </c>
      <c r="P324" s="49">
        <v>0.97811680000000001</v>
      </c>
      <c r="Q324" s="49">
        <v>2.3333870000000001</v>
      </c>
      <c r="R324" s="49">
        <v>1.7007330000000001</v>
      </c>
      <c r="S324" s="49">
        <v>233</v>
      </c>
      <c r="T324" s="49">
        <v>898</v>
      </c>
      <c r="U324" s="49">
        <v>317</v>
      </c>
      <c r="V324" s="49">
        <v>578</v>
      </c>
      <c r="W324" s="49">
        <v>238</v>
      </c>
      <c r="X324" s="49" t="s">
        <v>1574</v>
      </c>
      <c r="Y324" s="49">
        <v>215</v>
      </c>
      <c r="Z324" s="49">
        <v>345</v>
      </c>
      <c r="AA324" s="49">
        <v>184</v>
      </c>
      <c r="AB324" s="49" t="s">
        <v>1574</v>
      </c>
      <c r="AC324" s="49" t="s">
        <v>1574</v>
      </c>
      <c r="AD324" s="49">
        <v>49.95</v>
      </c>
      <c r="AE324" s="49">
        <v>105.55</v>
      </c>
      <c r="AF324" s="49">
        <v>105.95</v>
      </c>
      <c r="AG324" s="49">
        <v>181.3</v>
      </c>
      <c r="AH324" s="49">
        <v>94.819159999999997</v>
      </c>
      <c r="AI324" s="49">
        <v>98</v>
      </c>
      <c r="AJ324" s="49" t="s">
        <v>1574</v>
      </c>
      <c r="AK324" s="49">
        <v>119.2</v>
      </c>
      <c r="AL324" s="49">
        <v>119.42</v>
      </c>
      <c r="AM324" s="49" t="s">
        <v>1574</v>
      </c>
      <c r="AN324" s="49">
        <v>0.38750000000000001</v>
      </c>
      <c r="AO324" s="49">
        <v>0.37354999999999999</v>
      </c>
      <c r="AP324" s="49">
        <v>2.0653000000000001</v>
      </c>
      <c r="AQ324" s="49">
        <v>0.85076285799999996</v>
      </c>
      <c r="AR324" s="49">
        <v>2.5590000000000002</v>
      </c>
      <c r="AS324" s="49">
        <v>13.89</v>
      </c>
      <c r="AT324" s="49">
        <v>0.42306657800000003</v>
      </c>
      <c r="AU324" s="49">
        <v>0.46054511799999998</v>
      </c>
      <c r="AV324" s="49">
        <v>0.1691</v>
      </c>
      <c r="AW324" s="49">
        <v>2638.78</v>
      </c>
      <c r="AX324" s="49">
        <v>217.86</v>
      </c>
      <c r="AY324" s="49">
        <v>145.21</v>
      </c>
      <c r="AZ324" s="49" t="s">
        <v>1574</v>
      </c>
      <c r="BA324" s="49">
        <v>337.93506288164002</v>
      </c>
      <c r="BB324" s="49">
        <v>269.74</v>
      </c>
      <c r="BC324" s="49">
        <v>1.0013000000000001</v>
      </c>
      <c r="BD324" s="49" t="s">
        <v>1574</v>
      </c>
      <c r="BE324" s="49">
        <v>0.76739999999999997</v>
      </c>
      <c r="BF324" s="49">
        <v>36</v>
      </c>
      <c r="BG324" s="49">
        <v>148</v>
      </c>
      <c r="BH324" s="49">
        <v>127</v>
      </c>
      <c r="BI324" s="49">
        <v>72.5</v>
      </c>
      <c r="BJ324" s="49">
        <v>75</v>
      </c>
      <c r="BK324" s="49">
        <v>1164.3</v>
      </c>
      <c r="BL324" s="49">
        <v>26.26</v>
      </c>
      <c r="BM324" s="49">
        <v>1418.74</v>
      </c>
      <c r="BN324" s="49">
        <v>376.5</v>
      </c>
      <c r="BO324" s="49">
        <v>5474.2</v>
      </c>
      <c r="BP324" s="49">
        <v>4043.3</v>
      </c>
      <c r="BQ324" s="49">
        <v>707.3</v>
      </c>
      <c r="BR324" s="49">
        <v>342.4</v>
      </c>
      <c r="BS324" s="49">
        <v>413.62</v>
      </c>
      <c r="BT324" s="49">
        <v>5.0728</v>
      </c>
      <c r="BU324" s="41"/>
      <c r="BV324" s="41"/>
      <c r="BW324" s="41"/>
      <c r="BX324" s="41"/>
      <c r="BY324" s="41"/>
      <c r="BZ324" s="41"/>
      <c r="CA324" s="41"/>
      <c r="CB324" s="41"/>
      <c r="CC324" s="41"/>
      <c r="CD324" s="41"/>
      <c r="CE324" s="41"/>
      <c r="CF324" s="41"/>
      <c r="CG324" s="41"/>
      <c r="CH324" s="41"/>
      <c r="CI324" s="41"/>
      <c r="CJ324" s="41"/>
      <c r="CK324" s="41"/>
    </row>
    <row r="325" spans="1:89">
      <c r="A325" s="41" t="s">
        <v>454</v>
      </c>
      <c r="B325" s="51">
        <v>11.85</v>
      </c>
      <c r="C325" s="51">
        <v>11.85</v>
      </c>
      <c r="D325" s="51">
        <v>10.199999999999999</v>
      </c>
      <c r="E325" s="51">
        <v>13.5</v>
      </c>
      <c r="F325" s="51">
        <v>30.75</v>
      </c>
      <c r="G325" s="51">
        <v>29.46</v>
      </c>
      <c r="H325" s="51">
        <v>1.85</v>
      </c>
      <c r="I325" s="51">
        <v>3.65</v>
      </c>
      <c r="J325" s="51">
        <v>4.0999999999999996</v>
      </c>
      <c r="K325" s="51">
        <v>42.594964988640001</v>
      </c>
      <c r="L325" s="51">
        <v>1.9058999999999999</v>
      </c>
      <c r="M325" s="51">
        <v>3.9039000000000001</v>
      </c>
      <c r="N325" s="51">
        <v>2.7602000000000002</v>
      </c>
      <c r="O325" s="51">
        <v>1.6254</v>
      </c>
      <c r="P325" s="51">
        <v>0.89510040000000002</v>
      </c>
      <c r="Q325" s="51">
        <v>2.2962259999999999</v>
      </c>
      <c r="R325" s="51">
        <v>1.684884</v>
      </c>
      <c r="S325" s="51">
        <v>254</v>
      </c>
      <c r="T325" s="51">
        <v>898</v>
      </c>
      <c r="U325" s="51">
        <v>317</v>
      </c>
      <c r="V325" s="51">
        <v>560</v>
      </c>
      <c r="W325" s="51">
        <v>243</v>
      </c>
      <c r="X325" s="51" t="s">
        <v>1574</v>
      </c>
      <c r="Y325" s="51">
        <v>213</v>
      </c>
      <c r="Z325" s="51">
        <v>351</v>
      </c>
      <c r="AA325" s="51">
        <v>180</v>
      </c>
      <c r="AB325" s="51" t="s">
        <v>1574</v>
      </c>
      <c r="AC325" s="51" t="s">
        <v>1574</v>
      </c>
      <c r="AD325" s="51">
        <v>43.26</v>
      </c>
      <c r="AE325" s="51">
        <v>103.54</v>
      </c>
      <c r="AF325" s="51">
        <v>85.76</v>
      </c>
      <c r="AG325" s="51">
        <v>181.3</v>
      </c>
      <c r="AH325" s="51">
        <v>86.363849999999999</v>
      </c>
      <c r="AI325" s="51">
        <v>101</v>
      </c>
      <c r="AJ325" s="51" t="s">
        <v>1574</v>
      </c>
      <c r="AK325" s="51">
        <v>99.61</v>
      </c>
      <c r="AL325" s="51">
        <v>105.82</v>
      </c>
      <c r="AM325" s="51" t="s">
        <v>1574</v>
      </c>
      <c r="AN325" s="51">
        <v>0.34499999999999997</v>
      </c>
      <c r="AO325" s="51">
        <v>0.39937</v>
      </c>
      <c r="AP325" s="51">
        <v>2.0171999999999999</v>
      </c>
      <c r="AQ325" s="51">
        <v>0.88052522799999999</v>
      </c>
      <c r="AR325" s="51">
        <v>2.5733000000000001</v>
      </c>
      <c r="AS325" s="51">
        <v>14.2</v>
      </c>
      <c r="AT325" s="51">
        <v>0.41865733799999999</v>
      </c>
      <c r="AU325" s="51">
        <v>0.46208835199999998</v>
      </c>
      <c r="AV325" s="51">
        <v>0.1401</v>
      </c>
      <c r="AW325" s="51">
        <v>2604.64</v>
      </c>
      <c r="AX325" s="51">
        <v>217.42</v>
      </c>
      <c r="AY325" s="51">
        <v>136.69</v>
      </c>
      <c r="AZ325" s="51" t="s">
        <v>1574</v>
      </c>
      <c r="BA325" s="51">
        <v>327.07923450136002</v>
      </c>
      <c r="BB325" s="51">
        <v>267.94</v>
      </c>
      <c r="BC325" s="51">
        <v>0.90469999999999995</v>
      </c>
      <c r="BD325" s="51" t="s">
        <v>1574</v>
      </c>
      <c r="BE325" s="51">
        <v>0.7833</v>
      </c>
      <c r="BF325" s="51">
        <v>36</v>
      </c>
      <c r="BG325" s="51">
        <v>140.5</v>
      </c>
      <c r="BH325" s="51">
        <v>118.5</v>
      </c>
      <c r="BI325" s="51">
        <v>72.5</v>
      </c>
      <c r="BJ325" s="51">
        <v>75</v>
      </c>
      <c r="BK325" s="51">
        <v>1183.04</v>
      </c>
      <c r="BL325" s="51">
        <v>26.26</v>
      </c>
      <c r="BM325" s="51">
        <v>1413.14</v>
      </c>
      <c r="BN325" s="51">
        <v>418.4</v>
      </c>
      <c r="BO325" s="51">
        <v>5378.3</v>
      </c>
      <c r="BP325" s="51">
        <v>4087.4</v>
      </c>
      <c r="BQ325" s="51">
        <v>804.2</v>
      </c>
      <c r="BR325" s="51">
        <v>342.7</v>
      </c>
      <c r="BS325" s="51">
        <v>432.49</v>
      </c>
      <c r="BT325" s="51">
        <v>5.1321000000000003</v>
      </c>
      <c r="BU325" s="41"/>
      <c r="BV325" s="41"/>
      <c r="BW325" s="41"/>
      <c r="BX325" s="41"/>
      <c r="BY325" s="41"/>
      <c r="BZ325" s="41"/>
      <c r="CA325" s="41"/>
      <c r="CB325" s="41"/>
      <c r="CC325" s="41"/>
      <c r="CD325" s="41"/>
      <c r="CE325" s="41"/>
      <c r="CF325" s="41"/>
      <c r="CG325" s="41"/>
      <c r="CH325" s="41"/>
      <c r="CI325" s="41"/>
      <c r="CJ325" s="41"/>
      <c r="CK325" s="41"/>
    </row>
    <row r="326" spans="1:89">
      <c r="A326" s="48" t="s">
        <v>455</v>
      </c>
      <c r="B326" s="49">
        <v>9.6166666666699996</v>
      </c>
      <c r="C326" s="49">
        <v>9.4499999999999993</v>
      </c>
      <c r="D326" s="49">
        <v>7.85</v>
      </c>
      <c r="E326" s="49">
        <v>11.55</v>
      </c>
      <c r="F326" s="49">
        <v>30.75</v>
      </c>
      <c r="G326" s="49">
        <v>29.46</v>
      </c>
      <c r="H326" s="49">
        <v>1.8</v>
      </c>
      <c r="I326" s="49">
        <v>3.65</v>
      </c>
      <c r="J326" s="49">
        <v>4.0999999999999996</v>
      </c>
      <c r="K326" s="49">
        <v>41.987796339959999</v>
      </c>
      <c r="L326" s="49">
        <v>2.0223</v>
      </c>
      <c r="M326" s="49">
        <v>3.7988</v>
      </c>
      <c r="N326" s="49">
        <v>2.7761</v>
      </c>
      <c r="O326" s="49">
        <v>1.7057</v>
      </c>
      <c r="P326" s="49">
        <v>0.91408199999999995</v>
      </c>
      <c r="Q326" s="49">
        <v>2.4854150000000002</v>
      </c>
      <c r="R326" s="49">
        <v>1.7175309999999999</v>
      </c>
      <c r="S326" s="49">
        <v>229</v>
      </c>
      <c r="T326" s="49">
        <v>898</v>
      </c>
      <c r="U326" s="49">
        <v>319</v>
      </c>
      <c r="V326" s="49">
        <v>548</v>
      </c>
      <c r="W326" s="49">
        <v>221</v>
      </c>
      <c r="X326" s="49" t="s">
        <v>1574</v>
      </c>
      <c r="Y326" s="49">
        <v>209</v>
      </c>
      <c r="Z326" s="49">
        <v>336</v>
      </c>
      <c r="AA326" s="49">
        <v>184</v>
      </c>
      <c r="AB326" s="49" t="s">
        <v>1574</v>
      </c>
      <c r="AC326" s="49" t="s">
        <v>1574</v>
      </c>
      <c r="AD326" s="49">
        <v>39.950000000000003</v>
      </c>
      <c r="AE326" s="49">
        <v>83.03</v>
      </c>
      <c r="AF326" s="49">
        <v>73.41</v>
      </c>
      <c r="AG326" s="49">
        <v>181.25</v>
      </c>
      <c r="AH326" s="49">
        <v>88.320920000000001</v>
      </c>
      <c r="AI326" s="49">
        <v>107</v>
      </c>
      <c r="AJ326" s="49" t="s">
        <v>1574</v>
      </c>
      <c r="AK326" s="49">
        <v>100.09</v>
      </c>
      <c r="AL326" s="49">
        <v>101.78</v>
      </c>
      <c r="AM326" s="49" t="s">
        <v>1574</v>
      </c>
      <c r="AN326" s="49">
        <v>0.33069999999999999</v>
      </c>
      <c r="AO326" s="49">
        <v>0.42608000000000001</v>
      </c>
      <c r="AP326" s="49">
        <v>1.9277</v>
      </c>
      <c r="AQ326" s="49">
        <v>0.97752850800000002</v>
      </c>
      <c r="AR326" s="49">
        <v>2.3734000000000002</v>
      </c>
      <c r="AS326" s="49">
        <v>13.71</v>
      </c>
      <c r="AT326" s="49">
        <v>0.42505073599999998</v>
      </c>
      <c r="AU326" s="49">
        <v>0.46230881400000001</v>
      </c>
      <c r="AV326" s="49">
        <v>0.12239999999999999</v>
      </c>
      <c r="AW326" s="49">
        <v>2599.2600000000002</v>
      </c>
      <c r="AX326" s="49">
        <v>223.77</v>
      </c>
      <c r="AY326" s="49">
        <v>135.96</v>
      </c>
      <c r="AZ326" s="49" t="s">
        <v>1574</v>
      </c>
      <c r="BA326" s="49">
        <v>326.13480973658</v>
      </c>
      <c r="BB326" s="49">
        <v>280.58</v>
      </c>
      <c r="BC326" s="49">
        <v>0.82540000000000002</v>
      </c>
      <c r="BD326" s="49" t="s">
        <v>1574</v>
      </c>
      <c r="BE326" s="49">
        <v>0.80710000000000004</v>
      </c>
      <c r="BF326" s="49">
        <v>36</v>
      </c>
      <c r="BG326" s="49">
        <v>135.5</v>
      </c>
      <c r="BH326" s="49">
        <v>110.5</v>
      </c>
      <c r="BI326" s="49">
        <v>67.5</v>
      </c>
      <c r="BJ326" s="49">
        <v>72.5</v>
      </c>
      <c r="BK326" s="49">
        <v>1123.06</v>
      </c>
      <c r="BL326" s="49">
        <v>26.26</v>
      </c>
      <c r="BM326" s="49">
        <v>1344.3</v>
      </c>
      <c r="BN326" s="49">
        <v>379.8</v>
      </c>
      <c r="BO326" s="49">
        <v>5386.6</v>
      </c>
      <c r="BP326" s="49">
        <v>3911</v>
      </c>
      <c r="BQ326" s="49">
        <v>807.1</v>
      </c>
      <c r="BR326" s="49">
        <v>348.34</v>
      </c>
      <c r="BS326" s="49">
        <v>438.8</v>
      </c>
      <c r="BT326" s="49">
        <v>5.0259</v>
      </c>
      <c r="BU326" s="41"/>
      <c r="BV326" s="41"/>
      <c r="BW326" s="41"/>
      <c r="BX326" s="41"/>
      <c r="BY326" s="41"/>
      <c r="BZ326" s="41"/>
      <c r="CA326" s="41"/>
      <c r="CB326" s="41"/>
      <c r="CC326" s="41"/>
      <c r="CD326" s="41"/>
      <c r="CE326" s="41"/>
      <c r="CF326" s="41"/>
      <c r="CG326" s="41"/>
      <c r="CH326" s="41"/>
      <c r="CI326" s="41"/>
      <c r="CJ326" s="41"/>
      <c r="CK326" s="41"/>
    </row>
    <row r="327" spans="1:89">
      <c r="A327" s="41" t="s">
        <v>456</v>
      </c>
      <c r="B327" s="51">
        <v>13.7</v>
      </c>
      <c r="C327" s="51">
        <v>13.65</v>
      </c>
      <c r="D327" s="51">
        <v>12.15</v>
      </c>
      <c r="E327" s="51">
        <v>15.3</v>
      </c>
      <c r="F327" s="51">
        <v>30.75</v>
      </c>
      <c r="G327" s="51">
        <v>29.46</v>
      </c>
      <c r="H327" s="51">
        <v>1.77</v>
      </c>
      <c r="I327" s="51">
        <v>3.65</v>
      </c>
      <c r="J327" s="51">
        <v>4.0999999999999996</v>
      </c>
      <c r="K327" s="51">
        <v>41.623495150750003</v>
      </c>
      <c r="L327" s="51">
        <v>2.0722999999999998</v>
      </c>
      <c r="M327" s="51">
        <v>3.8344999999999998</v>
      </c>
      <c r="N327" s="51">
        <v>2.9750999999999999</v>
      </c>
      <c r="O327" s="51">
        <v>1.7150000000000001</v>
      </c>
      <c r="P327" s="51">
        <v>1.055938</v>
      </c>
      <c r="Q327" s="51">
        <v>2.3630439999999999</v>
      </c>
      <c r="R327" s="51">
        <v>1.726126</v>
      </c>
      <c r="S327" s="51">
        <v>211</v>
      </c>
      <c r="T327" s="51">
        <v>1326</v>
      </c>
      <c r="U327" s="51">
        <v>326</v>
      </c>
      <c r="V327" s="51">
        <v>561</v>
      </c>
      <c r="W327" s="51">
        <v>197</v>
      </c>
      <c r="X327" s="51" t="s">
        <v>1574</v>
      </c>
      <c r="Y327" s="51">
        <v>202</v>
      </c>
      <c r="Z327" s="51">
        <v>271</v>
      </c>
      <c r="AA327" s="51">
        <v>187</v>
      </c>
      <c r="AB327" s="51" t="s">
        <v>1574</v>
      </c>
      <c r="AC327" s="51" t="s">
        <v>1574</v>
      </c>
      <c r="AD327" s="51">
        <v>36.64</v>
      </c>
      <c r="AE327" s="51">
        <v>72.31</v>
      </c>
      <c r="AF327" s="51">
        <v>62.53</v>
      </c>
      <c r="AG327" s="51">
        <v>185.75</v>
      </c>
      <c r="AH327" s="51">
        <v>99.404319999999998</v>
      </c>
      <c r="AI327" s="51">
        <v>122</v>
      </c>
      <c r="AJ327" s="51" t="s">
        <v>1574</v>
      </c>
      <c r="AK327" s="51">
        <v>100.26</v>
      </c>
      <c r="AL327" s="51">
        <v>102.15</v>
      </c>
      <c r="AM327" s="51" t="s">
        <v>1574</v>
      </c>
      <c r="AN327" s="51">
        <v>0.32079999999999997</v>
      </c>
      <c r="AO327" s="51">
        <v>0.49719000000000002</v>
      </c>
      <c r="AP327" s="51">
        <v>1.9983</v>
      </c>
      <c r="AQ327" s="51">
        <v>1.060863144</v>
      </c>
      <c r="AR327" s="51">
        <v>2.1160000000000001</v>
      </c>
      <c r="AS327" s="51">
        <v>13.45</v>
      </c>
      <c r="AT327" s="51">
        <v>0.41865733799999999</v>
      </c>
      <c r="AU327" s="51">
        <v>0.46208835199999998</v>
      </c>
      <c r="AV327" s="51">
        <v>0.12280000000000001</v>
      </c>
      <c r="AW327" s="51">
        <v>2568.8200000000002</v>
      </c>
      <c r="AX327" s="51">
        <v>230.44</v>
      </c>
      <c r="AY327" s="51">
        <v>132.55000000000001</v>
      </c>
      <c r="AZ327" s="51" t="s">
        <v>1574</v>
      </c>
      <c r="BA327" s="51">
        <v>321.69194496197002</v>
      </c>
      <c r="BB327" s="51">
        <v>280.02999999999997</v>
      </c>
      <c r="BC327" s="51">
        <v>0.81930000000000003</v>
      </c>
      <c r="BD327" s="51" t="s">
        <v>1574</v>
      </c>
      <c r="BE327" s="51">
        <v>0.84350000000000003</v>
      </c>
      <c r="BF327" s="51">
        <v>36</v>
      </c>
      <c r="BG327" s="51">
        <v>135.5</v>
      </c>
      <c r="BH327" s="51">
        <v>108</v>
      </c>
      <c r="BI327" s="51">
        <v>71</v>
      </c>
      <c r="BJ327" s="51">
        <v>72.5</v>
      </c>
      <c r="BK327" s="51">
        <v>1129.23</v>
      </c>
      <c r="BL327" s="51">
        <v>26.26</v>
      </c>
      <c r="BM327" s="51">
        <v>1303.0999999999999</v>
      </c>
      <c r="BN327" s="51">
        <v>392.2</v>
      </c>
      <c r="BO327" s="51">
        <v>5404.3</v>
      </c>
      <c r="BP327" s="51">
        <v>3807.4</v>
      </c>
      <c r="BQ327" s="51">
        <v>816</v>
      </c>
      <c r="BR327" s="51">
        <v>376.66</v>
      </c>
      <c r="BS327" s="51">
        <v>540.33000000000004</v>
      </c>
      <c r="BT327" s="51">
        <v>5.1822999999999997</v>
      </c>
      <c r="BU327" s="41"/>
      <c r="BV327" s="41"/>
      <c r="BW327" s="41"/>
      <c r="BX327" s="41"/>
      <c r="BY327" s="41"/>
      <c r="BZ327" s="41"/>
      <c r="CA327" s="41"/>
      <c r="CB327" s="41"/>
      <c r="CC327" s="41"/>
      <c r="CD327" s="41"/>
      <c r="CE327" s="41"/>
      <c r="CF327" s="41"/>
      <c r="CG327" s="41"/>
      <c r="CH327" s="41"/>
      <c r="CI327" s="41"/>
      <c r="CJ327" s="41"/>
      <c r="CK327" s="41"/>
    </row>
    <row r="328" spans="1:89">
      <c r="A328" s="48" t="s">
        <v>457</v>
      </c>
      <c r="B328" s="49">
        <v>14.08333333333</v>
      </c>
      <c r="C328" s="49">
        <v>14.2</v>
      </c>
      <c r="D328" s="49">
        <v>13.1</v>
      </c>
      <c r="E328" s="49">
        <v>14.95</v>
      </c>
      <c r="F328" s="49">
        <v>30.75</v>
      </c>
      <c r="G328" s="49">
        <v>29.46</v>
      </c>
      <c r="H328" s="49">
        <v>1.78</v>
      </c>
      <c r="I328" s="49">
        <v>3.65</v>
      </c>
      <c r="J328" s="49">
        <v>4.0999999999999996</v>
      </c>
      <c r="K328" s="49">
        <v>41.744928880480003</v>
      </c>
      <c r="L328" s="49">
        <v>2.2063999999999999</v>
      </c>
      <c r="M328" s="49">
        <v>4.4010999999999996</v>
      </c>
      <c r="N328" s="49">
        <v>3.6061999999999999</v>
      </c>
      <c r="O328" s="49">
        <v>1.7013</v>
      </c>
      <c r="P328" s="49">
        <v>1.028959</v>
      </c>
      <c r="Q328" s="49">
        <v>2.3559549999999998</v>
      </c>
      <c r="R328" s="49">
        <v>1.718885</v>
      </c>
      <c r="S328" s="49">
        <v>240</v>
      </c>
      <c r="T328" s="49">
        <v>1326</v>
      </c>
      <c r="U328" s="49">
        <v>339</v>
      </c>
      <c r="V328" s="49">
        <v>534</v>
      </c>
      <c r="W328" s="49">
        <v>207</v>
      </c>
      <c r="X328" s="49" t="s">
        <v>1574</v>
      </c>
      <c r="Y328" s="49">
        <v>195</v>
      </c>
      <c r="Z328" s="49">
        <v>276</v>
      </c>
      <c r="AA328" s="49">
        <v>189</v>
      </c>
      <c r="AB328" s="49" t="s">
        <v>1574</v>
      </c>
      <c r="AC328" s="49" t="s">
        <v>1574</v>
      </c>
      <c r="AD328" s="49">
        <v>39.950000000000003</v>
      </c>
      <c r="AE328" s="49">
        <v>65.7</v>
      </c>
      <c r="AF328" s="49">
        <v>64.459999999999994</v>
      </c>
      <c r="AG328" s="49">
        <v>173.5</v>
      </c>
      <c r="AH328" s="49">
        <v>106.1545</v>
      </c>
      <c r="AI328" s="49">
        <v>113</v>
      </c>
      <c r="AJ328" s="49" t="s">
        <v>1574</v>
      </c>
      <c r="AK328" s="49">
        <v>102.29</v>
      </c>
      <c r="AL328" s="49">
        <v>103.62</v>
      </c>
      <c r="AM328" s="49" t="s">
        <v>1574</v>
      </c>
      <c r="AN328" s="49">
        <v>0.42380000000000001</v>
      </c>
      <c r="AO328" s="49">
        <v>0.49719000000000002</v>
      </c>
      <c r="AP328" s="49">
        <v>2.0922000000000001</v>
      </c>
      <c r="AQ328" s="49">
        <v>1.0064090299999999</v>
      </c>
      <c r="AR328" s="49">
        <v>2.0651000000000002</v>
      </c>
      <c r="AS328" s="49">
        <v>12.99</v>
      </c>
      <c r="AT328" s="49">
        <v>0.41468902200000002</v>
      </c>
      <c r="AU328" s="49">
        <v>0.46010419400000002</v>
      </c>
      <c r="AV328" s="49">
        <v>0.1032</v>
      </c>
      <c r="AW328" s="49">
        <v>2607.02</v>
      </c>
      <c r="AX328" s="49">
        <v>232.04</v>
      </c>
      <c r="AY328" s="49">
        <v>126.18</v>
      </c>
      <c r="AZ328" s="49" t="s">
        <v>1574</v>
      </c>
      <c r="BA328" s="49">
        <v>313.24923107656002</v>
      </c>
      <c r="BB328" s="49">
        <v>274.69</v>
      </c>
      <c r="BC328" s="49">
        <v>0.95899999999999996</v>
      </c>
      <c r="BD328" s="49" t="s">
        <v>1574</v>
      </c>
      <c r="BE328" s="49">
        <v>0.85960000000000003</v>
      </c>
      <c r="BF328" s="49">
        <v>36</v>
      </c>
      <c r="BG328" s="49">
        <v>129.5</v>
      </c>
      <c r="BH328" s="49">
        <v>111</v>
      </c>
      <c r="BI328" s="49">
        <v>65</v>
      </c>
      <c r="BJ328" s="49">
        <v>66.5</v>
      </c>
      <c r="BK328" s="49">
        <v>1205.82</v>
      </c>
      <c r="BL328" s="49">
        <v>26.26</v>
      </c>
      <c r="BM328" s="49">
        <v>1347</v>
      </c>
      <c r="BN328" s="49">
        <v>407.2</v>
      </c>
      <c r="BO328" s="49">
        <v>5397.2</v>
      </c>
      <c r="BP328" s="49">
        <v>3723.6</v>
      </c>
      <c r="BQ328" s="49">
        <v>871.1</v>
      </c>
      <c r="BR328" s="49">
        <v>417.73</v>
      </c>
      <c r="BS328" s="49">
        <v>604.48</v>
      </c>
      <c r="BT328" s="49">
        <v>5.6299000000000001</v>
      </c>
      <c r="BU328" s="41"/>
      <c r="BV328" s="41"/>
      <c r="BW328" s="41"/>
      <c r="BX328" s="41"/>
      <c r="BY328" s="41"/>
      <c r="BZ328" s="41"/>
      <c r="CA328" s="41"/>
      <c r="CB328" s="41"/>
      <c r="CC328" s="41"/>
      <c r="CD328" s="41"/>
      <c r="CE328" s="41"/>
      <c r="CF328" s="41"/>
      <c r="CG328" s="41"/>
      <c r="CH328" s="41"/>
      <c r="CI328" s="41"/>
      <c r="CJ328" s="41"/>
      <c r="CK328" s="41"/>
    </row>
    <row r="329" spans="1:89">
      <c r="A329" s="41" t="s">
        <v>458</v>
      </c>
      <c r="B329" s="51">
        <v>13.95</v>
      </c>
      <c r="C329" s="51">
        <v>13.8</v>
      </c>
      <c r="D329" s="51">
        <v>13.15</v>
      </c>
      <c r="E329" s="51">
        <v>14.9</v>
      </c>
      <c r="F329" s="51">
        <v>30.75</v>
      </c>
      <c r="G329" s="51">
        <v>29.46</v>
      </c>
      <c r="H329" s="51">
        <v>1.73</v>
      </c>
      <c r="I329" s="51">
        <v>3.65</v>
      </c>
      <c r="J329" s="51">
        <v>4.0999999999999996</v>
      </c>
      <c r="K329" s="51">
        <v>41.137760231800002</v>
      </c>
      <c r="L329" s="51">
        <v>2.073</v>
      </c>
      <c r="M329" s="51">
        <v>3.9152</v>
      </c>
      <c r="N329" s="51">
        <v>3.2808000000000002</v>
      </c>
      <c r="O329" s="51">
        <v>1.7616000000000001</v>
      </c>
      <c r="P329" s="51">
        <v>1.0914280000000001</v>
      </c>
      <c r="Q329" s="51">
        <v>2.4778280000000001</v>
      </c>
      <c r="R329" s="51">
        <v>1.715457</v>
      </c>
      <c r="S329" s="51">
        <v>341</v>
      </c>
      <c r="T329" s="51">
        <v>1625</v>
      </c>
      <c r="U329" s="51">
        <v>353</v>
      </c>
      <c r="V329" s="51">
        <v>572</v>
      </c>
      <c r="W329" s="51">
        <v>272</v>
      </c>
      <c r="X329" s="51" t="s">
        <v>1574</v>
      </c>
      <c r="Y329" s="51">
        <v>197</v>
      </c>
      <c r="Z329" s="51">
        <v>319</v>
      </c>
      <c r="AA329" s="51">
        <v>185</v>
      </c>
      <c r="AB329" s="51" t="s">
        <v>1574</v>
      </c>
      <c r="AC329" s="51" t="s">
        <v>1574</v>
      </c>
      <c r="AD329" s="51">
        <v>48.3</v>
      </c>
      <c r="AE329" s="51">
        <v>65.31</v>
      </c>
      <c r="AF329" s="51">
        <v>69</v>
      </c>
      <c r="AG329" s="51">
        <v>174.8</v>
      </c>
      <c r="AH329" s="51">
        <v>96.470550000000003</v>
      </c>
      <c r="AI329" s="51">
        <v>113</v>
      </c>
      <c r="AJ329" s="51" t="s">
        <v>1574</v>
      </c>
      <c r="AK329" s="51">
        <v>114.79</v>
      </c>
      <c r="AL329" s="51">
        <v>104.72</v>
      </c>
      <c r="AM329" s="51" t="s">
        <v>1574</v>
      </c>
      <c r="AN329" s="51">
        <v>0.37480000000000002</v>
      </c>
      <c r="AO329" s="51">
        <v>0.44305</v>
      </c>
      <c r="AP329" s="51">
        <v>2.1076000000000001</v>
      </c>
      <c r="AQ329" s="51">
        <v>1.0015588660000001</v>
      </c>
      <c r="AR329" s="51">
        <v>1.9849000000000001</v>
      </c>
      <c r="AS329" s="51">
        <v>12.28</v>
      </c>
      <c r="AT329" s="51">
        <v>0.40212268800000001</v>
      </c>
      <c r="AU329" s="51">
        <v>0.46473389599999998</v>
      </c>
      <c r="AV329" s="51">
        <v>0.1188</v>
      </c>
      <c r="AW329" s="51">
        <v>2654.09</v>
      </c>
      <c r="AX329" s="51">
        <v>236.67</v>
      </c>
      <c r="AY329" s="51">
        <v>123.94</v>
      </c>
      <c r="AZ329" s="51" t="s">
        <v>1574</v>
      </c>
      <c r="BA329" s="51">
        <v>310.23396019922001</v>
      </c>
      <c r="BB329" s="51">
        <v>278.13</v>
      </c>
      <c r="BC329" s="51">
        <v>1.1294</v>
      </c>
      <c r="BD329" s="51" t="s">
        <v>1574</v>
      </c>
      <c r="BE329" s="51">
        <v>0.88139999999999996</v>
      </c>
      <c r="BF329" s="51">
        <v>36</v>
      </c>
      <c r="BG329" s="51">
        <v>134.5</v>
      </c>
      <c r="BH329" s="51">
        <v>116</v>
      </c>
      <c r="BI329" s="51">
        <v>62.5</v>
      </c>
      <c r="BJ329" s="51">
        <v>66.5</v>
      </c>
      <c r="BK329" s="51">
        <v>1161.94</v>
      </c>
      <c r="BL329" s="51">
        <v>26.26</v>
      </c>
      <c r="BM329" s="51">
        <v>1316.8</v>
      </c>
      <c r="BN329" s="51">
        <v>434.6</v>
      </c>
      <c r="BO329" s="51">
        <v>5542.8</v>
      </c>
      <c r="BP329" s="51">
        <v>3644.2</v>
      </c>
      <c r="BQ329" s="51">
        <v>886.2</v>
      </c>
      <c r="BR329" s="51">
        <v>423.51</v>
      </c>
      <c r="BS329" s="51">
        <v>581.25</v>
      </c>
      <c r="BT329" s="51">
        <v>5.6398000000000001</v>
      </c>
      <c r="BU329" s="41"/>
      <c r="BV329" s="41"/>
      <c r="BW329" s="41"/>
      <c r="BX329" s="41"/>
      <c r="BY329" s="41"/>
      <c r="BZ329" s="41"/>
      <c r="CA329" s="41"/>
      <c r="CB329" s="41"/>
      <c r="CC329" s="41"/>
      <c r="CD329" s="41"/>
      <c r="CE329" s="41"/>
      <c r="CF329" s="41"/>
      <c r="CG329" s="41"/>
      <c r="CH329" s="41"/>
      <c r="CI329" s="41"/>
      <c r="CJ329" s="41"/>
      <c r="CK329" s="41"/>
    </row>
    <row r="330" spans="1:89">
      <c r="A330" s="48" t="s">
        <v>459</v>
      </c>
      <c r="B330" s="49">
        <v>14.45</v>
      </c>
      <c r="C330" s="49">
        <v>14.55</v>
      </c>
      <c r="D330" s="49">
        <v>13.55</v>
      </c>
      <c r="E330" s="49">
        <v>15.25</v>
      </c>
      <c r="F330" s="49">
        <v>30.75</v>
      </c>
      <c r="G330" s="49">
        <v>29.46</v>
      </c>
      <c r="H330" s="49">
        <v>1.77</v>
      </c>
      <c r="I330" s="49">
        <v>3.65</v>
      </c>
      <c r="J330" s="49">
        <v>4.0999999999999996</v>
      </c>
      <c r="K330" s="49">
        <v>41.623495150750003</v>
      </c>
      <c r="L330" s="49">
        <v>2.0245000000000002</v>
      </c>
      <c r="M330" s="49">
        <v>3.4544999999999999</v>
      </c>
      <c r="N330" s="49">
        <v>3.1337000000000002</v>
      </c>
      <c r="O330" s="49">
        <v>1.843</v>
      </c>
      <c r="P330" s="49">
        <v>1.405932</v>
      </c>
      <c r="Q330" s="49">
        <v>2.4289640000000001</v>
      </c>
      <c r="R330" s="49">
        <v>1.694221</v>
      </c>
      <c r="S330" s="49">
        <v>388</v>
      </c>
      <c r="T330" s="49">
        <v>1225</v>
      </c>
      <c r="U330" s="49">
        <v>328</v>
      </c>
      <c r="V330" s="49">
        <v>551</v>
      </c>
      <c r="W330" s="49">
        <v>303</v>
      </c>
      <c r="X330" s="49" t="s">
        <v>1574</v>
      </c>
      <c r="Y330" s="49">
        <v>204</v>
      </c>
      <c r="Z330" s="49">
        <v>322</v>
      </c>
      <c r="AA330" s="49">
        <v>182</v>
      </c>
      <c r="AB330" s="49" t="s">
        <v>1574</v>
      </c>
      <c r="AC330" s="49" t="s">
        <v>1574</v>
      </c>
      <c r="AD330" s="49">
        <v>55.56</v>
      </c>
      <c r="AE330" s="49">
        <v>72.430000000000007</v>
      </c>
      <c r="AF330" s="49">
        <v>72.42</v>
      </c>
      <c r="AG330" s="49">
        <v>174</v>
      </c>
      <c r="AH330" s="49">
        <v>146</v>
      </c>
      <c r="AI330" s="49">
        <v>105</v>
      </c>
      <c r="AJ330" s="49" t="s">
        <v>1574</v>
      </c>
      <c r="AK330" s="49">
        <v>118.13</v>
      </c>
      <c r="AL330" s="49">
        <v>105.09</v>
      </c>
      <c r="AM330" s="49" t="s">
        <v>1574</v>
      </c>
      <c r="AN330" s="49">
        <v>0.29380000000000001</v>
      </c>
      <c r="AO330" s="49">
        <v>0.38092999999999999</v>
      </c>
      <c r="AP330" s="49">
        <v>2.1164000000000001</v>
      </c>
      <c r="AQ330" s="49">
        <v>0.98634698799999998</v>
      </c>
      <c r="AR330" s="49">
        <v>1.9726999999999999</v>
      </c>
      <c r="AS330" s="49">
        <v>12.81</v>
      </c>
      <c r="AT330" s="49">
        <v>0.40102037800000001</v>
      </c>
      <c r="AU330" s="49">
        <v>0.46693851600000003</v>
      </c>
      <c r="AV330" s="49">
        <v>0.13100000000000001</v>
      </c>
      <c r="AW330" s="49">
        <v>2753.28</v>
      </c>
      <c r="AX330" s="49">
        <v>233.97</v>
      </c>
      <c r="AY330" s="49">
        <v>134.11000000000001</v>
      </c>
      <c r="AZ330" s="49" t="s">
        <v>1574</v>
      </c>
      <c r="BA330" s="49">
        <v>323.73090319076999</v>
      </c>
      <c r="BB330" s="49">
        <v>285.14</v>
      </c>
      <c r="BC330" s="49">
        <v>1.1642999999999999</v>
      </c>
      <c r="BD330" s="49" t="s">
        <v>1574</v>
      </c>
      <c r="BE330" s="49">
        <v>0.8417</v>
      </c>
      <c r="BF330" s="49">
        <v>36</v>
      </c>
      <c r="BG330" s="49">
        <v>127</v>
      </c>
      <c r="BH330" s="49">
        <v>108</v>
      </c>
      <c r="BI330" s="49">
        <v>64.5</v>
      </c>
      <c r="BJ330" s="49">
        <v>65.5</v>
      </c>
      <c r="BK330" s="49">
        <v>1131.81</v>
      </c>
      <c r="BL330" s="49">
        <v>26.26</v>
      </c>
      <c r="BM330" s="49">
        <v>1303.2</v>
      </c>
      <c r="BN330" s="49">
        <v>473.4</v>
      </c>
      <c r="BO330" s="49">
        <v>6092.3</v>
      </c>
      <c r="BP330" s="49">
        <v>3642</v>
      </c>
      <c r="BQ330" s="49">
        <v>820</v>
      </c>
      <c r="BR330" s="49">
        <v>397.56</v>
      </c>
      <c r="BS330" s="49">
        <v>517.07000000000005</v>
      </c>
      <c r="BT330" s="49">
        <v>5.5513000000000003</v>
      </c>
      <c r="BU330" s="41"/>
      <c r="BV330" s="41"/>
      <c r="BW330" s="41"/>
      <c r="BX330" s="41"/>
      <c r="BY330" s="41"/>
      <c r="BZ330" s="41"/>
      <c r="CA330" s="41"/>
      <c r="CB330" s="41"/>
      <c r="CC330" s="41"/>
      <c r="CD330" s="41"/>
      <c r="CE330" s="41"/>
      <c r="CF330" s="41"/>
      <c r="CG330" s="41"/>
      <c r="CH330" s="41"/>
      <c r="CI330" s="41"/>
      <c r="CJ330" s="41"/>
      <c r="CK330" s="41"/>
    </row>
    <row r="331" spans="1:89">
      <c r="A331" s="41" t="s">
        <v>460</v>
      </c>
      <c r="B331" s="51">
        <v>15.683333333329999</v>
      </c>
      <c r="C331" s="51">
        <v>15.9</v>
      </c>
      <c r="D331" s="51">
        <v>14.9</v>
      </c>
      <c r="E331" s="51">
        <v>16.25</v>
      </c>
      <c r="F331" s="51">
        <v>29.25</v>
      </c>
      <c r="G331" s="51">
        <v>27.28</v>
      </c>
      <c r="H331" s="51">
        <v>1.76</v>
      </c>
      <c r="I331" s="51">
        <v>3.65</v>
      </c>
      <c r="J331" s="51">
        <v>4.0999999999999996</v>
      </c>
      <c r="K331" s="51">
        <v>41.502061421009998</v>
      </c>
      <c r="L331" s="51">
        <v>1.9761</v>
      </c>
      <c r="M331" s="51">
        <v>3.0034000000000001</v>
      </c>
      <c r="N331" s="51">
        <v>2.7465000000000002</v>
      </c>
      <c r="O331" s="51">
        <v>1.8415999999999999</v>
      </c>
      <c r="P331" s="51">
        <v>1.5087660000000001</v>
      </c>
      <c r="Q331" s="51">
        <v>2.3088600000000001</v>
      </c>
      <c r="R331" s="51">
        <v>1.707252</v>
      </c>
      <c r="S331" s="51">
        <v>405</v>
      </c>
      <c r="T331" s="51">
        <v>906</v>
      </c>
      <c r="U331" s="51">
        <v>310</v>
      </c>
      <c r="V331" s="51">
        <v>529</v>
      </c>
      <c r="W331" s="51">
        <v>293</v>
      </c>
      <c r="X331" s="51" t="s">
        <v>1574</v>
      </c>
      <c r="Y331" s="51">
        <v>199</v>
      </c>
      <c r="Z331" s="51">
        <v>320</v>
      </c>
      <c r="AA331" s="51">
        <v>174</v>
      </c>
      <c r="AB331" s="51" t="s">
        <v>1574</v>
      </c>
      <c r="AC331" s="51" t="s">
        <v>1574</v>
      </c>
      <c r="AD331" s="51">
        <v>46.58</v>
      </c>
      <c r="AE331" s="51">
        <v>69.64</v>
      </c>
      <c r="AF331" s="51">
        <v>68.739999999999995</v>
      </c>
      <c r="AG331" s="51">
        <v>167</v>
      </c>
      <c r="AH331" s="51">
        <v>141</v>
      </c>
      <c r="AI331" s="51">
        <v>100</v>
      </c>
      <c r="AJ331" s="51" t="s">
        <v>1574</v>
      </c>
      <c r="AK331" s="51">
        <v>115.69</v>
      </c>
      <c r="AL331" s="51">
        <v>107.29</v>
      </c>
      <c r="AM331" s="51" t="s">
        <v>1574</v>
      </c>
      <c r="AN331" s="51">
        <v>0.31140000000000001</v>
      </c>
      <c r="AO331" s="51">
        <v>0.36405999999999999</v>
      </c>
      <c r="AP331" s="51">
        <v>2.1825999999999999</v>
      </c>
      <c r="AQ331" s="51">
        <v>0.97025326199999995</v>
      </c>
      <c r="AR331" s="51">
        <v>2.0049999999999999</v>
      </c>
      <c r="AS331" s="51">
        <v>12.92</v>
      </c>
      <c r="AT331" s="51">
        <v>0.40454776999999997</v>
      </c>
      <c r="AU331" s="51">
        <v>0.46539528200000002</v>
      </c>
      <c r="AV331" s="51">
        <v>0.12590000000000001</v>
      </c>
      <c r="AW331" s="51">
        <v>2806.36</v>
      </c>
      <c r="AX331" s="51">
        <v>236.9</v>
      </c>
      <c r="AY331" s="51">
        <v>156</v>
      </c>
      <c r="AZ331" s="51" t="s">
        <v>1574</v>
      </c>
      <c r="BA331" s="51">
        <v>351.27109479308001</v>
      </c>
      <c r="BB331" s="51">
        <v>332.74</v>
      </c>
      <c r="BC331" s="51">
        <v>1.3044</v>
      </c>
      <c r="BD331" s="51" t="s">
        <v>1574</v>
      </c>
      <c r="BE331" s="51">
        <v>0.83819999999999995</v>
      </c>
      <c r="BF331" s="51">
        <v>36</v>
      </c>
      <c r="BG331" s="51">
        <v>122</v>
      </c>
      <c r="BH331" s="51">
        <v>108.5</v>
      </c>
      <c r="BI331" s="51">
        <v>64.5</v>
      </c>
      <c r="BJ331" s="51">
        <v>65.5</v>
      </c>
      <c r="BK331" s="51">
        <v>1133.48</v>
      </c>
      <c r="BL331" s="51">
        <v>26.26</v>
      </c>
      <c r="BM331" s="51">
        <v>1335.6</v>
      </c>
      <c r="BN331" s="51">
        <v>518.4</v>
      </c>
      <c r="BO331" s="51">
        <v>6428.1</v>
      </c>
      <c r="BP331" s="51">
        <v>3571.5</v>
      </c>
      <c r="BQ331" s="51">
        <v>798.2</v>
      </c>
      <c r="BR331" s="51">
        <v>390.92</v>
      </c>
      <c r="BS331" s="51">
        <v>480.61</v>
      </c>
      <c r="BT331" s="51">
        <v>5.3503999999999996</v>
      </c>
      <c r="BU331" s="41"/>
      <c r="BV331" s="41"/>
      <c r="BW331" s="41"/>
      <c r="BX331" s="41"/>
      <c r="BY331" s="41"/>
      <c r="BZ331" s="41"/>
      <c r="CA331" s="41"/>
      <c r="CB331" s="41"/>
      <c r="CC331" s="41"/>
      <c r="CD331" s="41"/>
      <c r="CE331" s="41"/>
      <c r="CF331" s="41"/>
      <c r="CG331" s="41"/>
      <c r="CH331" s="41"/>
      <c r="CI331" s="41"/>
      <c r="CJ331" s="41"/>
      <c r="CK331" s="41"/>
    </row>
    <row r="332" spans="1:89">
      <c r="A332" s="48" t="s">
        <v>461</v>
      </c>
      <c r="B332" s="49">
        <v>18.066666666669999</v>
      </c>
      <c r="C332" s="49">
        <v>18.399999999999999</v>
      </c>
      <c r="D332" s="49">
        <v>17.2</v>
      </c>
      <c r="E332" s="49">
        <v>18.600000000000001</v>
      </c>
      <c r="F332" s="49">
        <v>29.25</v>
      </c>
      <c r="G332" s="49">
        <v>27.28</v>
      </c>
      <c r="H332" s="49">
        <v>1.74</v>
      </c>
      <c r="I332" s="49">
        <v>2.59</v>
      </c>
      <c r="J332" s="49">
        <v>3.35</v>
      </c>
      <c r="K332" s="49">
        <v>35.711862661710001</v>
      </c>
      <c r="L332" s="49">
        <v>1.9651000000000001</v>
      </c>
      <c r="M332" s="49">
        <v>2.7233999999999998</v>
      </c>
      <c r="N332" s="49">
        <v>2.4996</v>
      </c>
      <c r="O332" s="49">
        <v>1.6722999999999999</v>
      </c>
      <c r="P332" s="49">
        <v>1.5015400000000001</v>
      </c>
      <c r="Q332" s="49">
        <v>2.1710120000000002</v>
      </c>
      <c r="R332" s="49">
        <v>1.344455</v>
      </c>
      <c r="S332" s="49">
        <v>425</v>
      </c>
      <c r="T332" s="49">
        <v>836</v>
      </c>
      <c r="U332" s="49">
        <v>317</v>
      </c>
      <c r="V332" s="49">
        <v>520</v>
      </c>
      <c r="W332" s="49">
        <v>350</v>
      </c>
      <c r="X332" s="49" t="s">
        <v>1574</v>
      </c>
      <c r="Y332" s="49">
        <v>200</v>
      </c>
      <c r="Z332" s="49">
        <v>315</v>
      </c>
      <c r="AA332" s="49">
        <v>182</v>
      </c>
      <c r="AB332" s="49" t="s">
        <v>1574</v>
      </c>
      <c r="AC332" s="49" t="s">
        <v>1574</v>
      </c>
      <c r="AD332" s="49">
        <v>46.45</v>
      </c>
      <c r="AE332" s="49">
        <v>67.91</v>
      </c>
      <c r="AF332" s="49">
        <v>68.2</v>
      </c>
      <c r="AG332" s="49">
        <v>172</v>
      </c>
      <c r="AH332" s="49">
        <v>148</v>
      </c>
      <c r="AI332" s="49">
        <v>107</v>
      </c>
      <c r="AJ332" s="49" t="s">
        <v>1574</v>
      </c>
      <c r="AK332" s="49">
        <v>117.44</v>
      </c>
      <c r="AL332" s="49">
        <v>109.13</v>
      </c>
      <c r="AM332" s="49" t="s">
        <v>1574</v>
      </c>
      <c r="AN332" s="49">
        <v>0.42159999999999997</v>
      </c>
      <c r="AO332" s="49">
        <v>0.36501</v>
      </c>
      <c r="AP332" s="49">
        <v>2.1825999999999999</v>
      </c>
      <c r="AQ332" s="49">
        <v>0.95834831399999998</v>
      </c>
      <c r="AR332" s="49">
        <v>2.1061999999999999</v>
      </c>
      <c r="AS332" s="49">
        <v>12.9</v>
      </c>
      <c r="AT332" s="49">
        <v>0.42425134259000002</v>
      </c>
      <c r="AU332" s="49">
        <v>0.47399330000000001</v>
      </c>
      <c r="AV332" s="49">
        <v>0.1431</v>
      </c>
      <c r="AW332" s="49">
        <v>2777.67</v>
      </c>
      <c r="AX332" s="49">
        <v>250.23</v>
      </c>
      <c r="AY332" s="49">
        <v>169.99</v>
      </c>
      <c r="AZ332" s="49" t="s">
        <v>1574</v>
      </c>
      <c r="BA332" s="49">
        <v>367.94571792388001</v>
      </c>
      <c r="BB332" s="49">
        <v>373.83</v>
      </c>
      <c r="BC332" s="49">
        <v>1.4479</v>
      </c>
      <c r="BD332" s="49" t="s">
        <v>1574</v>
      </c>
      <c r="BE332" s="49">
        <v>0.88249999999999995</v>
      </c>
      <c r="BF332" s="49">
        <v>36</v>
      </c>
      <c r="BG332" s="49">
        <v>140</v>
      </c>
      <c r="BH332" s="49">
        <v>113.5</v>
      </c>
      <c r="BI332" s="49">
        <v>64</v>
      </c>
      <c r="BJ332" s="49">
        <v>63</v>
      </c>
      <c r="BK332" s="49">
        <v>1171.4000000000001</v>
      </c>
      <c r="BL332" s="49">
        <v>25.3</v>
      </c>
      <c r="BM332" s="49">
        <v>1346</v>
      </c>
      <c r="BN332" s="49">
        <v>464.1</v>
      </c>
      <c r="BO332" s="49">
        <v>6712.7</v>
      </c>
      <c r="BP332" s="49">
        <v>3525.2</v>
      </c>
      <c r="BQ332" s="49">
        <v>759.7</v>
      </c>
      <c r="BR332" s="49">
        <v>408.26</v>
      </c>
      <c r="BS332" s="49">
        <v>515.97</v>
      </c>
      <c r="BT332" s="49">
        <v>5.5069999999999997</v>
      </c>
      <c r="BU332" s="41"/>
      <c r="BV332" s="41"/>
      <c r="BW332" s="41"/>
      <c r="BX332" s="41"/>
      <c r="BY332" s="41"/>
      <c r="BZ332" s="41"/>
      <c r="CA332" s="41"/>
      <c r="CB332" s="41"/>
      <c r="CC332" s="41"/>
      <c r="CD332" s="41"/>
      <c r="CE332" s="41"/>
      <c r="CF332" s="41"/>
      <c r="CG332" s="41"/>
      <c r="CH332" s="41"/>
      <c r="CI332" s="41"/>
      <c r="CJ332" s="41"/>
      <c r="CK332" s="41"/>
    </row>
    <row r="333" spans="1:89">
      <c r="A333" s="41" t="s">
        <v>462</v>
      </c>
      <c r="B333" s="51">
        <v>17.25</v>
      </c>
      <c r="C333" s="51">
        <v>17.3</v>
      </c>
      <c r="D333" s="51">
        <v>16.7</v>
      </c>
      <c r="E333" s="51">
        <v>17.75</v>
      </c>
      <c r="F333" s="51">
        <v>29.25</v>
      </c>
      <c r="G333" s="51">
        <v>27.28</v>
      </c>
      <c r="H333" s="51">
        <v>1.73</v>
      </c>
      <c r="I333" s="51">
        <v>2.59</v>
      </c>
      <c r="J333" s="51">
        <v>3.35</v>
      </c>
      <c r="K333" s="51">
        <v>35.590428931970003</v>
      </c>
      <c r="L333" s="51">
        <v>1.9585999999999999</v>
      </c>
      <c r="M333" s="51">
        <v>2.6644999999999999</v>
      </c>
      <c r="N333" s="51">
        <v>2.4268999999999998</v>
      </c>
      <c r="O333" s="51">
        <v>1.5857000000000001</v>
      </c>
      <c r="P333" s="51">
        <v>1.348832</v>
      </c>
      <c r="Q333" s="51">
        <v>2.0821860000000001</v>
      </c>
      <c r="R333" s="51">
        <v>1.325942</v>
      </c>
      <c r="S333" s="51">
        <v>403</v>
      </c>
      <c r="T333" s="51">
        <v>775</v>
      </c>
      <c r="U333" s="51">
        <v>322</v>
      </c>
      <c r="V333" s="51">
        <v>500</v>
      </c>
      <c r="W333" s="51">
        <v>330</v>
      </c>
      <c r="X333" s="51" t="s">
        <v>1574</v>
      </c>
      <c r="Y333" s="51">
        <v>198</v>
      </c>
      <c r="Z333" s="51">
        <v>307</v>
      </c>
      <c r="AA333" s="51">
        <v>183</v>
      </c>
      <c r="AB333" s="51" t="s">
        <v>1574</v>
      </c>
      <c r="AC333" s="51" t="s">
        <v>1574</v>
      </c>
      <c r="AD333" s="51">
        <v>46.32</v>
      </c>
      <c r="AE333" s="51">
        <v>66.14</v>
      </c>
      <c r="AF333" s="51">
        <v>67.680000000000007</v>
      </c>
      <c r="AG333" s="51">
        <v>186</v>
      </c>
      <c r="AH333" s="51">
        <v>164</v>
      </c>
      <c r="AI333" s="51">
        <v>120</v>
      </c>
      <c r="AJ333" s="51" t="s">
        <v>1574</v>
      </c>
      <c r="AK333" s="51">
        <v>115.67</v>
      </c>
      <c r="AL333" s="51">
        <v>112.07</v>
      </c>
      <c r="AM333" s="51" t="s">
        <v>1574</v>
      </c>
      <c r="AN333" s="51">
        <v>0.46189999999999998</v>
      </c>
      <c r="AO333" s="51">
        <v>0.36133999999999999</v>
      </c>
      <c r="AP333" s="51">
        <v>2.2772999999999999</v>
      </c>
      <c r="AQ333" s="51">
        <v>0.95195491600000004</v>
      </c>
      <c r="AR333" s="51">
        <v>2.0922000000000001</v>
      </c>
      <c r="AS333" s="51">
        <v>12.35</v>
      </c>
      <c r="AT333" s="51">
        <v>0.42992087364999998</v>
      </c>
      <c r="AU333" s="51">
        <v>0.47972527500000001</v>
      </c>
      <c r="AV333" s="51">
        <v>0.16259999999999999</v>
      </c>
      <c r="AW333" s="51">
        <v>2769.11</v>
      </c>
      <c r="AX333" s="51">
        <v>254.75</v>
      </c>
      <c r="AY333" s="51">
        <v>167.42</v>
      </c>
      <c r="AZ333" s="51" t="s">
        <v>1574</v>
      </c>
      <c r="BA333" s="51">
        <v>364.93128256233001</v>
      </c>
      <c r="BB333" s="51">
        <v>376.27</v>
      </c>
      <c r="BC333" s="51">
        <v>1.4517</v>
      </c>
      <c r="BD333" s="51" t="s">
        <v>1574</v>
      </c>
      <c r="BE333" s="51">
        <v>0.90059999999999996</v>
      </c>
      <c r="BF333" s="51">
        <v>36</v>
      </c>
      <c r="BG333" s="51">
        <v>161</v>
      </c>
      <c r="BH333" s="51">
        <v>126.5</v>
      </c>
      <c r="BI333" s="51">
        <v>68</v>
      </c>
      <c r="BJ333" s="51">
        <v>61.5</v>
      </c>
      <c r="BK333" s="51">
        <v>1283.44</v>
      </c>
      <c r="BL333" s="51">
        <v>25.3</v>
      </c>
      <c r="BM333" s="51">
        <v>1379.83</v>
      </c>
      <c r="BN333" s="51">
        <v>460.4</v>
      </c>
      <c r="BO333" s="51">
        <v>6688.4</v>
      </c>
      <c r="BP333" s="51">
        <v>3717</v>
      </c>
      <c r="BQ333" s="51">
        <v>740.4</v>
      </c>
      <c r="BR333" s="51">
        <v>401.12</v>
      </c>
      <c r="BS333" s="51">
        <v>517.86</v>
      </c>
      <c r="BT333" s="51">
        <v>5.4842000000000004</v>
      </c>
      <c r="BU333" s="41"/>
      <c r="BV333" s="41"/>
      <c r="BW333" s="41"/>
      <c r="BX333" s="41"/>
      <c r="BY333" s="41"/>
      <c r="BZ333" s="41"/>
      <c r="CA333" s="41"/>
      <c r="CB333" s="41"/>
      <c r="CC333" s="41"/>
      <c r="CD333" s="41"/>
      <c r="CE333" s="41"/>
      <c r="CF333" s="41"/>
      <c r="CG333" s="41"/>
      <c r="CH333" s="41"/>
      <c r="CI333" s="41"/>
      <c r="CJ333" s="41"/>
      <c r="CK333" s="41"/>
    </row>
    <row r="334" spans="1:89">
      <c r="A334" s="48" t="s">
        <v>463</v>
      </c>
      <c r="B334" s="49">
        <v>17.75</v>
      </c>
      <c r="C334" s="49">
        <v>17.899999999999999</v>
      </c>
      <c r="D334" s="49">
        <v>16.899999999999999</v>
      </c>
      <c r="E334" s="49">
        <v>18.45</v>
      </c>
      <c r="F334" s="49">
        <v>29.25</v>
      </c>
      <c r="G334" s="49">
        <v>27.28</v>
      </c>
      <c r="H334" s="49">
        <v>1.73</v>
      </c>
      <c r="I334" s="49">
        <v>2.59</v>
      </c>
      <c r="J334" s="49">
        <v>3.35</v>
      </c>
      <c r="K334" s="49">
        <v>35.590428931970003</v>
      </c>
      <c r="L334" s="49">
        <v>2.0097</v>
      </c>
      <c r="M334" s="49">
        <v>2.2877000000000001</v>
      </c>
      <c r="N334" s="49">
        <v>2.157</v>
      </c>
      <c r="O334" s="49">
        <v>1.6232</v>
      </c>
      <c r="P334" s="49">
        <v>1.425492</v>
      </c>
      <c r="Q334" s="49">
        <v>2.1117720000000002</v>
      </c>
      <c r="R334" s="49">
        <v>1.332319</v>
      </c>
      <c r="S334" s="49">
        <v>344</v>
      </c>
      <c r="T334" s="49">
        <v>711</v>
      </c>
      <c r="U334" s="49">
        <v>332</v>
      </c>
      <c r="V334" s="49">
        <v>484</v>
      </c>
      <c r="W334" s="49">
        <v>313</v>
      </c>
      <c r="X334" s="49" t="s">
        <v>1574</v>
      </c>
      <c r="Y334" s="49">
        <v>199</v>
      </c>
      <c r="Z334" s="49">
        <v>305</v>
      </c>
      <c r="AA334" s="49">
        <v>175</v>
      </c>
      <c r="AB334" s="49" t="s">
        <v>1574</v>
      </c>
      <c r="AC334" s="49" t="s">
        <v>1574</v>
      </c>
      <c r="AD334" s="49">
        <v>46.45</v>
      </c>
      <c r="AE334" s="49">
        <v>71.599999999999994</v>
      </c>
      <c r="AF334" s="49">
        <v>73.8</v>
      </c>
      <c r="AG334" s="49">
        <v>198.25</v>
      </c>
      <c r="AH334" s="49">
        <v>178</v>
      </c>
      <c r="AI334" s="49">
        <v>131</v>
      </c>
      <c r="AJ334" s="49" t="s">
        <v>1574</v>
      </c>
      <c r="AK334" s="49">
        <v>116.53</v>
      </c>
      <c r="AL334" s="49">
        <v>115.38</v>
      </c>
      <c r="AM334" s="49" t="s">
        <v>1574</v>
      </c>
      <c r="AN334" s="49">
        <v>0.44919999999999999</v>
      </c>
      <c r="AO334" s="49">
        <v>0.34965000000000002</v>
      </c>
      <c r="AP334" s="49">
        <v>2.3271999999999999</v>
      </c>
      <c r="AQ334" s="49">
        <v>0.92373578000000001</v>
      </c>
      <c r="AR334" s="49">
        <v>2.2199</v>
      </c>
      <c r="AS334" s="49">
        <v>11.9</v>
      </c>
      <c r="AT334" s="49">
        <v>0.44845314095</v>
      </c>
      <c r="AU334" s="49">
        <v>0.47972527500000001</v>
      </c>
      <c r="AV334" s="49">
        <v>0.16650000000000001</v>
      </c>
      <c r="AW334" s="49">
        <v>2775.51</v>
      </c>
      <c r="AX334" s="49">
        <v>253.91</v>
      </c>
      <c r="AY334" s="49">
        <v>171.29</v>
      </c>
      <c r="AZ334" s="49" t="s">
        <v>1574</v>
      </c>
      <c r="BA334" s="49">
        <v>369.46254391270998</v>
      </c>
      <c r="BB334" s="49">
        <v>339.84</v>
      </c>
      <c r="BC334" s="49">
        <v>1.3908</v>
      </c>
      <c r="BD334" s="49" t="s">
        <v>1574</v>
      </c>
      <c r="BE334" s="49">
        <v>0.8962</v>
      </c>
      <c r="BF334" s="49">
        <v>36</v>
      </c>
      <c r="BG334" s="49">
        <v>165</v>
      </c>
      <c r="BH334" s="49">
        <v>131</v>
      </c>
      <c r="BI334" s="49">
        <v>70.5</v>
      </c>
      <c r="BJ334" s="49">
        <v>61.5</v>
      </c>
      <c r="BK334" s="49">
        <v>1367.26</v>
      </c>
      <c r="BL334" s="49">
        <v>25.3</v>
      </c>
      <c r="BM334" s="49">
        <v>1465.72</v>
      </c>
      <c r="BN334" s="49">
        <v>487</v>
      </c>
      <c r="BO334" s="49">
        <v>6631.5</v>
      </c>
      <c r="BP334" s="49">
        <v>3772.1</v>
      </c>
      <c r="BQ334" s="49">
        <v>731.6</v>
      </c>
      <c r="BR334" s="49">
        <v>408.91</v>
      </c>
      <c r="BS334" s="49">
        <v>532.63</v>
      </c>
      <c r="BT334" s="49">
        <v>5.6643999999999997</v>
      </c>
      <c r="BU334" s="41"/>
      <c r="BV334" s="41"/>
      <c r="BW334" s="41"/>
      <c r="BX334" s="41"/>
      <c r="BY334" s="41"/>
      <c r="BZ334" s="41"/>
      <c r="CA334" s="41"/>
      <c r="CB334" s="41"/>
      <c r="CC334" s="41"/>
      <c r="CD334" s="41"/>
      <c r="CE334" s="41"/>
      <c r="CF334" s="41"/>
      <c r="CG334" s="41"/>
      <c r="CH334" s="41"/>
      <c r="CI334" s="41"/>
      <c r="CJ334" s="41"/>
      <c r="CK334" s="41"/>
    </row>
    <row r="335" spans="1:89">
      <c r="A335" s="41" t="s">
        <v>464</v>
      </c>
      <c r="B335" s="51">
        <v>17.899999999999999</v>
      </c>
      <c r="C335" s="51">
        <v>18.100000000000001</v>
      </c>
      <c r="D335" s="51">
        <v>16.95</v>
      </c>
      <c r="E335" s="51">
        <v>18.649999999999999</v>
      </c>
      <c r="F335" s="51">
        <v>24.75</v>
      </c>
      <c r="G335" s="51">
        <v>26.18</v>
      </c>
      <c r="H335" s="51">
        <v>1.69</v>
      </c>
      <c r="I335" s="51">
        <v>2.59</v>
      </c>
      <c r="J335" s="51">
        <v>3.35</v>
      </c>
      <c r="K335" s="51">
        <v>35.104694013020001</v>
      </c>
      <c r="L335" s="51">
        <v>2.0697000000000001</v>
      </c>
      <c r="M335" s="51">
        <v>2.3712</v>
      </c>
      <c r="N335" s="51">
        <v>2.2290000000000001</v>
      </c>
      <c r="O335" s="51">
        <v>1.7302</v>
      </c>
      <c r="P335" s="51">
        <v>1.373472</v>
      </c>
      <c r="Q335" s="51">
        <v>2.4767779999999999</v>
      </c>
      <c r="R335" s="51">
        <v>1.3403659999999999</v>
      </c>
      <c r="S335" s="51">
        <v>389</v>
      </c>
      <c r="T335" s="51">
        <v>690</v>
      </c>
      <c r="U335" s="51">
        <v>341</v>
      </c>
      <c r="V335" s="51">
        <v>507</v>
      </c>
      <c r="W335" s="51">
        <v>339</v>
      </c>
      <c r="X335" s="51" t="s">
        <v>1574</v>
      </c>
      <c r="Y335" s="51">
        <v>207</v>
      </c>
      <c r="Z335" s="51">
        <v>333</v>
      </c>
      <c r="AA335" s="51">
        <v>185</v>
      </c>
      <c r="AB335" s="51" t="s">
        <v>1574</v>
      </c>
      <c r="AC335" s="51" t="s">
        <v>1574</v>
      </c>
      <c r="AD335" s="51">
        <v>58.94</v>
      </c>
      <c r="AE335" s="51">
        <v>74.88</v>
      </c>
      <c r="AF335" s="51">
        <v>72.069999999999993</v>
      </c>
      <c r="AG335" s="51">
        <v>199.4</v>
      </c>
      <c r="AH335" s="51">
        <v>176</v>
      </c>
      <c r="AI335" s="51">
        <v>133</v>
      </c>
      <c r="AJ335" s="51" t="s">
        <v>1574</v>
      </c>
      <c r="AK335" s="51">
        <v>113.1</v>
      </c>
      <c r="AL335" s="51">
        <v>113.17</v>
      </c>
      <c r="AM335" s="51" t="s">
        <v>1574</v>
      </c>
      <c r="AN335" s="51">
        <v>0.35049999999999998</v>
      </c>
      <c r="AO335" s="51">
        <v>0.39767999999999998</v>
      </c>
      <c r="AP335" s="51">
        <v>2.3963999999999999</v>
      </c>
      <c r="AQ335" s="51">
        <v>0.90698066799999999</v>
      </c>
      <c r="AR335" s="51">
        <v>2.1709999999999998</v>
      </c>
      <c r="AS335" s="51">
        <v>11.75</v>
      </c>
      <c r="AT335" s="51">
        <v>0.45920640745000002</v>
      </c>
      <c r="AU335" s="51">
        <v>0.48192994546000001</v>
      </c>
      <c r="AV335" s="51">
        <v>0.1472</v>
      </c>
      <c r="AW335" s="51">
        <v>2797.14</v>
      </c>
      <c r="AX335" s="51">
        <v>256.98</v>
      </c>
      <c r="AY335" s="51">
        <v>174.26</v>
      </c>
      <c r="AZ335" s="51" t="s">
        <v>1574</v>
      </c>
      <c r="BA335" s="51">
        <v>372.90816658795001</v>
      </c>
      <c r="BB335" s="51">
        <v>323.47000000000003</v>
      </c>
      <c r="BC335" s="51">
        <v>1.4597</v>
      </c>
      <c r="BD335" s="51" t="s">
        <v>1574</v>
      </c>
      <c r="BE335" s="51">
        <v>0.92589999999999995</v>
      </c>
      <c r="BF335" s="51">
        <v>34.5</v>
      </c>
      <c r="BG335" s="51">
        <v>157.5</v>
      </c>
      <c r="BH335" s="51">
        <v>132.5</v>
      </c>
      <c r="BI335" s="51">
        <v>77.5</v>
      </c>
      <c r="BJ335" s="51">
        <v>61.5</v>
      </c>
      <c r="BK335" s="51">
        <v>1400.97</v>
      </c>
      <c r="BL335" s="51">
        <v>25.3</v>
      </c>
      <c r="BM335" s="51">
        <v>1484.24</v>
      </c>
      <c r="BN335" s="51">
        <v>555.6</v>
      </c>
      <c r="BO335" s="51">
        <v>6699.8</v>
      </c>
      <c r="BP335" s="51">
        <v>3897.8</v>
      </c>
      <c r="BQ335" s="51">
        <v>761.9</v>
      </c>
      <c r="BR335" s="51">
        <v>438.35</v>
      </c>
      <c r="BS335" s="51">
        <v>585.65</v>
      </c>
      <c r="BT335" s="51">
        <v>7.3494999999999999</v>
      </c>
      <c r="BU335" s="41"/>
      <c r="BV335" s="41"/>
      <c r="BW335" s="41"/>
      <c r="BX335" s="41"/>
      <c r="BY335" s="41"/>
      <c r="BZ335" s="41"/>
      <c r="CA335" s="41"/>
      <c r="CB335" s="41"/>
      <c r="CC335" s="41"/>
      <c r="CD335" s="41"/>
      <c r="CE335" s="41"/>
      <c r="CF335" s="41"/>
      <c r="CG335" s="41"/>
      <c r="CH335" s="41"/>
      <c r="CI335" s="41"/>
      <c r="CJ335" s="41"/>
      <c r="CK335" s="41"/>
    </row>
    <row r="336" spans="1:89">
      <c r="A336" s="48" t="s">
        <v>465</v>
      </c>
      <c r="B336" s="49">
        <v>18.399999999999999</v>
      </c>
      <c r="C336" s="49">
        <v>18.75</v>
      </c>
      <c r="D336" s="49">
        <v>17.05</v>
      </c>
      <c r="E336" s="49">
        <v>19.399999999999999</v>
      </c>
      <c r="F336" s="49">
        <v>24.75</v>
      </c>
      <c r="G336" s="49">
        <v>26.18</v>
      </c>
      <c r="H336" s="49">
        <v>1.65</v>
      </c>
      <c r="I336" s="49">
        <v>2.59</v>
      </c>
      <c r="J336" s="49">
        <v>3.35</v>
      </c>
      <c r="K336" s="49">
        <v>34.61895909407</v>
      </c>
      <c r="L336" s="49">
        <v>2.0684</v>
      </c>
      <c r="M336" s="49">
        <v>2.5859999999999999</v>
      </c>
      <c r="N336" s="49">
        <v>2.3281000000000001</v>
      </c>
      <c r="O336" s="49">
        <v>1.6697</v>
      </c>
      <c r="P336" s="49">
        <v>1.145697</v>
      </c>
      <c r="Q336" s="49">
        <v>2.5258020000000001</v>
      </c>
      <c r="R336" s="49">
        <v>1.3376619999999999</v>
      </c>
      <c r="S336" s="49">
        <v>405</v>
      </c>
      <c r="T336" s="49">
        <v>690</v>
      </c>
      <c r="U336" s="49">
        <v>355</v>
      </c>
      <c r="V336" s="49">
        <v>525</v>
      </c>
      <c r="W336" s="49">
        <v>341</v>
      </c>
      <c r="X336" s="49" t="s">
        <v>1574</v>
      </c>
      <c r="Y336" s="49">
        <v>221</v>
      </c>
      <c r="Z336" s="49">
        <v>351</v>
      </c>
      <c r="AA336" s="49">
        <v>201</v>
      </c>
      <c r="AB336" s="49" t="s">
        <v>1574</v>
      </c>
      <c r="AC336" s="49" t="s">
        <v>1574</v>
      </c>
      <c r="AD336" s="49">
        <v>63.91</v>
      </c>
      <c r="AE336" s="49">
        <v>81.84</v>
      </c>
      <c r="AF336" s="49">
        <v>77.69</v>
      </c>
      <c r="AG336" s="49">
        <v>197.5</v>
      </c>
      <c r="AH336" s="49">
        <v>175</v>
      </c>
      <c r="AI336" s="49">
        <v>136</v>
      </c>
      <c r="AJ336" s="49" t="s">
        <v>1574</v>
      </c>
      <c r="AK336" s="49">
        <v>115.83</v>
      </c>
      <c r="AL336" s="49">
        <v>119.05</v>
      </c>
      <c r="AM336" s="49" t="s">
        <v>1574</v>
      </c>
      <c r="AN336" s="49">
        <v>0.45469999999999999</v>
      </c>
      <c r="AO336" s="49">
        <v>0.50046000000000002</v>
      </c>
      <c r="AP336" s="49">
        <v>2.403</v>
      </c>
      <c r="AQ336" s="49">
        <v>0.90543743399999999</v>
      </c>
      <c r="AR336" s="49">
        <v>2.2240000000000002</v>
      </c>
      <c r="AS336" s="49">
        <v>12.08</v>
      </c>
      <c r="AT336" s="49">
        <v>0.46963008769999998</v>
      </c>
      <c r="AU336" s="49">
        <v>0.48523682499999998</v>
      </c>
      <c r="AV336" s="49">
        <v>0.1484</v>
      </c>
      <c r="AW336" s="49">
        <v>2737</v>
      </c>
      <c r="AX336" s="49">
        <v>259.64999999999998</v>
      </c>
      <c r="AY336" s="49">
        <v>159.56</v>
      </c>
      <c r="AZ336" s="49" t="s">
        <v>1574</v>
      </c>
      <c r="BA336" s="49">
        <v>355.57736402126</v>
      </c>
      <c r="BB336" s="49">
        <v>329.09</v>
      </c>
      <c r="BC336" s="49">
        <v>1.6887000000000001</v>
      </c>
      <c r="BD336" s="49" t="s">
        <v>1574</v>
      </c>
      <c r="BE336" s="49">
        <v>0.94669999999999999</v>
      </c>
      <c r="BF336" s="49">
        <v>34.5</v>
      </c>
      <c r="BG336" s="49">
        <v>151.5</v>
      </c>
      <c r="BH336" s="49">
        <v>132.5</v>
      </c>
      <c r="BI336" s="49">
        <v>87.5</v>
      </c>
      <c r="BJ336" s="49">
        <v>61.5</v>
      </c>
      <c r="BK336" s="49">
        <v>1411.6</v>
      </c>
      <c r="BL336" s="49">
        <v>25.3</v>
      </c>
      <c r="BM336" s="49">
        <v>1520.44</v>
      </c>
      <c r="BN336" s="49">
        <v>693.3</v>
      </c>
      <c r="BO336" s="49">
        <v>6747.4</v>
      </c>
      <c r="BP336" s="49">
        <v>4435.7</v>
      </c>
      <c r="BQ336" s="49">
        <v>838.7</v>
      </c>
      <c r="BR336" s="49">
        <v>460.23</v>
      </c>
      <c r="BS336" s="49">
        <v>606.73</v>
      </c>
      <c r="BT336" s="49">
        <v>8.4602000000000004</v>
      </c>
      <c r="BU336" s="41"/>
      <c r="BV336" s="41"/>
      <c r="BW336" s="41"/>
      <c r="BX336" s="41"/>
      <c r="BY336" s="41"/>
      <c r="BZ336" s="41"/>
      <c r="CA336" s="41"/>
      <c r="CB336" s="41"/>
      <c r="CC336" s="41"/>
      <c r="CD336" s="41"/>
      <c r="CE336" s="41"/>
      <c r="CF336" s="41"/>
      <c r="CG336" s="41"/>
      <c r="CH336" s="41"/>
      <c r="CI336" s="41"/>
      <c r="CJ336" s="41"/>
      <c r="CK336" s="41"/>
    </row>
    <row r="337" spans="1:89">
      <c r="A337" s="41" t="s">
        <v>466</v>
      </c>
      <c r="B337" s="51">
        <v>18.716666666670001</v>
      </c>
      <c r="C337" s="51">
        <v>18.850000000000001</v>
      </c>
      <c r="D337" s="51">
        <v>17.25</v>
      </c>
      <c r="E337" s="51">
        <v>20.05</v>
      </c>
      <c r="F337" s="51">
        <v>24.75</v>
      </c>
      <c r="G337" s="51">
        <v>26.18</v>
      </c>
      <c r="H337" s="51">
        <v>1.65</v>
      </c>
      <c r="I337" s="51">
        <v>2.59</v>
      </c>
      <c r="J337" s="51">
        <v>3.35</v>
      </c>
      <c r="K337" s="51">
        <v>34.61895909407</v>
      </c>
      <c r="L337" s="51">
        <v>1.9952000000000001</v>
      </c>
      <c r="M337" s="51">
        <v>2.3176000000000001</v>
      </c>
      <c r="N337" s="51">
        <v>2.1615000000000002</v>
      </c>
      <c r="O337" s="51">
        <v>1.6526000000000001</v>
      </c>
      <c r="P337" s="51">
        <v>1.1920280000000001</v>
      </c>
      <c r="Q337" s="51">
        <v>2.447041</v>
      </c>
      <c r="R337" s="51">
        <v>1.3187850000000001</v>
      </c>
      <c r="S337" s="51">
        <v>451</v>
      </c>
      <c r="T337" s="51">
        <v>670</v>
      </c>
      <c r="U337" s="51">
        <v>393</v>
      </c>
      <c r="V337" s="51">
        <v>513</v>
      </c>
      <c r="W337" s="51">
        <v>342</v>
      </c>
      <c r="X337" s="51" t="s">
        <v>1574</v>
      </c>
      <c r="Y337" s="51">
        <v>228</v>
      </c>
      <c r="Z337" s="51">
        <v>351</v>
      </c>
      <c r="AA337" s="51">
        <v>214</v>
      </c>
      <c r="AB337" s="51" t="s">
        <v>1574</v>
      </c>
      <c r="AC337" s="51" t="s">
        <v>1574</v>
      </c>
      <c r="AD337" s="51">
        <v>56.58</v>
      </c>
      <c r="AE337" s="51">
        <v>80.7</v>
      </c>
      <c r="AF337" s="51">
        <v>76.42</v>
      </c>
      <c r="AG337" s="51">
        <v>192.75</v>
      </c>
      <c r="AH337" s="51">
        <v>174</v>
      </c>
      <c r="AI337" s="51">
        <v>142</v>
      </c>
      <c r="AJ337" s="51" t="s">
        <v>1574</v>
      </c>
      <c r="AK337" s="51">
        <v>102.15</v>
      </c>
      <c r="AL337" s="51">
        <v>108.76</v>
      </c>
      <c r="AM337" s="51" t="s">
        <v>1574</v>
      </c>
      <c r="AN337" s="51">
        <v>0.38250000000000001</v>
      </c>
      <c r="AO337" s="51">
        <v>0.57093000000000005</v>
      </c>
      <c r="AP337" s="51">
        <v>2.3170999999999999</v>
      </c>
      <c r="AQ337" s="51">
        <v>0.89485525799999999</v>
      </c>
      <c r="AR337" s="51">
        <v>2.1591</v>
      </c>
      <c r="AS337" s="51">
        <v>11.75</v>
      </c>
      <c r="AT337" s="51">
        <v>0.45916133006999998</v>
      </c>
      <c r="AU337" s="51">
        <v>0.48633920227999999</v>
      </c>
      <c r="AV337" s="51">
        <v>0.14199999999999999</v>
      </c>
      <c r="AW337" s="51">
        <v>2766.86</v>
      </c>
      <c r="AX337" s="51">
        <v>255.14</v>
      </c>
      <c r="AY337" s="51">
        <v>160.43</v>
      </c>
      <c r="AZ337" s="51" t="s">
        <v>1574</v>
      </c>
      <c r="BA337" s="51">
        <v>356.62299767844002</v>
      </c>
      <c r="BB337" s="51">
        <v>352.3</v>
      </c>
      <c r="BC337" s="51">
        <v>1.7483</v>
      </c>
      <c r="BD337" s="51" t="s">
        <v>1574</v>
      </c>
      <c r="BE337" s="51">
        <v>0.98060000000000003</v>
      </c>
      <c r="BF337" s="51">
        <v>34.5</v>
      </c>
      <c r="BG337" s="51">
        <v>149</v>
      </c>
      <c r="BH337" s="51">
        <v>139.5</v>
      </c>
      <c r="BI337" s="51">
        <v>87.5</v>
      </c>
      <c r="BJ337" s="51">
        <v>61.5</v>
      </c>
      <c r="BK337" s="51">
        <v>1472.33</v>
      </c>
      <c r="BL337" s="51">
        <v>25.3</v>
      </c>
      <c r="BM337" s="51">
        <v>1571.87</v>
      </c>
      <c r="BN337" s="51">
        <v>629.29999999999995</v>
      </c>
      <c r="BO337" s="51">
        <v>6610.4</v>
      </c>
      <c r="BP337" s="51">
        <v>4435.7</v>
      </c>
      <c r="BQ337" s="51">
        <v>878.4</v>
      </c>
      <c r="BR337" s="51">
        <v>449.59</v>
      </c>
      <c r="BS337" s="51">
        <v>569</v>
      </c>
      <c r="BT337" s="51">
        <v>7.4164000000000003</v>
      </c>
      <c r="BU337" s="41"/>
      <c r="BV337" s="41"/>
      <c r="BW337" s="41"/>
      <c r="BX337" s="41"/>
      <c r="BY337" s="41"/>
      <c r="BZ337" s="41"/>
      <c r="CA337" s="41"/>
      <c r="CB337" s="41"/>
      <c r="CC337" s="41"/>
      <c r="CD337" s="41"/>
      <c r="CE337" s="41"/>
      <c r="CF337" s="41"/>
      <c r="CG337" s="41"/>
      <c r="CH337" s="41"/>
      <c r="CI337" s="41"/>
      <c r="CJ337" s="41"/>
      <c r="CK337" s="41"/>
    </row>
    <row r="338" spans="1:89">
      <c r="A338" s="48" t="s">
        <v>467</v>
      </c>
      <c r="B338" s="49">
        <v>19.61666666667</v>
      </c>
      <c r="C338" s="49">
        <v>19.8</v>
      </c>
      <c r="D338" s="49">
        <v>17.75</v>
      </c>
      <c r="E338" s="49">
        <v>21.3</v>
      </c>
      <c r="F338" s="49">
        <v>27</v>
      </c>
      <c r="G338" s="49">
        <v>26.18</v>
      </c>
      <c r="H338" s="49">
        <v>1.66</v>
      </c>
      <c r="I338" s="49">
        <v>2.59</v>
      </c>
      <c r="J338" s="49">
        <v>3.35</v>
      </c>
      <c r="K338" s="49">
        <v>34.740392823809998</v>
      </c>
      <c r="L338" s="49">
        <v>2.1177999999999999</v>
      </c>
      <c r="M338" s="49">
        <v>2.2023000000000001</v>
      </c>
      <c r="N338" s="49">
        <v>2.0388000000000002</v>
      </c>
      <c r="O338" s="49">
        <v>1.7172000000000001</v>
      </c>
      <c r="P338" s="49">
        <v>1.3170170000000001</v>
      </c>
      <c r="Q338" s="49">
        <v>2.5331999999999999</v>
      </c>
      <c r="R338" s="49">
        <v>1.301399</v>
      </c>
      <c r="S338" s="49">
        <v>443</v>
      </c>
      <c r="T338" s="49">
        <v>642</v>
      </c>
      <c r="U338" s="49">
        <v>403</v>
      </c>
      <c r="V338" s="49">
        <v>499</v>
      </c>
      <c r="W338" s="49">
        <v>300</v>
      </c>
      <c r="X338" s="49" t="s">
        <v>1574</v>
      </c>
      <c r="Y338" s="49">
        <v>222</v>
      </c>
      <c r="Z338" s="49">
        <v>318</v>
      </c>
      <c r="AA338" s="49">
        <v>204</v>
      </c>
      <c r="AB338" s="49" t="s">
        <v>1574</v>
      </c>
      <c r="AC338" s="49" t="s">
        <v>1574</v>
      </c>
      <c r="AD338" s="49">
        <v>54.92</v>
      </c>
      <c r="AE338" s="49">
        <v>76.37</v>
      </c>
      <c r="AF338" s="49">
        <v>72.2</v>
      </c>
      <c r="AG338" s="49">
        <v>190.8</v>
      </c>
      <c r="AH338" s="49">
        <v>170</v>
      </c>
      <c r="AI338" s="49">
        <v>148</v>
      </c>
      <c r="AJ338" s="49" t="s">
        <v>1574</v>
      </c>
      <c r="AK338" s="49">
        <v>100.6</v>
      </c>
      <c r="AL338" s="49">
        <v>104.72</v>
      </c>
      <c r="AM338" s="49" t="s">
        <v>1574</v>
      </c>
      <c r="AN338" s="49">
        <v>0.43540000000000001</v>
      </c>
      <c r="AO338" s="49">
        <v>0.51480999999999999</v>
      </c>
      <c r="AP338" s="49">
        <v>2.3315999999999999</v>
      </c>
      <c r="AQ338" s="49">
        <v>0.88118661399999998</v>
      </c>
      <c r="AR338" s="49">
        <v>2.0981000000000001</v>
      </c>
      <c r="AS338" s="49">
        <v>10.98</v>
      </c>
      <c r="AT338" s="49">
        <v>0.47451639938000001</v>
      </c>
      <c r="AU338" s="49">
        <v>0.48655962727000002</v>
      </c>
      <c r="AV338" s="49">
        <v>0.13450000000000001</v>
      </c>
      <c r="AW338" s="49">
        <v>2744.43</v>
      </c>
      <c r="AX338" s="49">
        <v>252.79</v>
      </c>
      <c r="AY338" s="49">
        <v>166.81</v>
      </c>
      <c r="AZ338" s="49" t="s">
        <v>1574</v>
      </c>
      <c r="BA338" s="49">
        <v>364.21267499110002</v>
      </c>
      <c r="BB338" s="49">
        <v>384.46</v>
      </c>
      <c r="BC338" s="49">
        <v>1.8351</v>
      </c>
      <c r="BD338" s="49" t="s">
        <v>1574</v>
      </c>
      <c r="BE338" s="49">
        <v>1.0206999999999999</v>
      </c>
      <c r="BF338" s="49">
        <v>34.5</v>
      </c>
      <c r="BG338" s="49">
        <v>159.5</v>
      </c>
      <c r="BH338" s="49">
        <v>146.5</v>
      </c>
      <c r="BI338" s="49">
        <v>87.5</v>
      </c>
      <c r="BJ338" s="49">
        <v>70</v>
      </c>
      <c r="BK338" s="49">
        <v>1653.09</v>
      </c>
      <c r="BL338" s="49">
        <v>25.3</v>
      </c>
      <c r="BM338" s="49">
        <v>1694.62</v>
      </c>
      <c r="BN338" s="49">
        <v>663.6</v>
      </c>
      <c r="BO338" s="49">
        <v>6404.9</v>
      </c>
      <c r="BP338" s="49">
        <v>4753.2</v>
      </c>
      <c r="BQ338" s="49">
        <v>829.8</v>
      </c>
      <c r="BR338" s="49">
        <v>450.52</v>
      </c>
      <c r="BS338" s="49">
        <v>572.35</v>
      </c>
      <c r="BT338" s="49">
        <v>7.6086999999999998</v>
      </c>
      <c r="BU338" s="41"/>
      <c r="BV338" s="41"/>
      <c r="BW338" s="41"/>
      <c r="BX338" s="41"/>
      <c r="BY338" s="41"/>
      <c r="BZ338" s="41"/>
      <c r="CA338" s="41"/>
      <c r="CB338" s="41"/>
      <c r="CC338" s="41"/>
      <c r="CD338" s="41"/>
      <c r="CE338" s="41"/>
      <c r="CF338" s="41"/>
      <c r="CG338" s="41"/>
      <c r="CH338" s="41"/>
      <c r="CI338" s="41"/>
      <c r="CJ338" s="41"/>
      <c r="CK338" s="41"/>
    </row>
    <row r="339" spans="1:89">
      <c r="A339" s="41" t="s">
        <v>468</v>
      </c>
      <c r="B339" s="51">
        <v>18.816666666669999</v>
      </c>
      <c r="C339" s="51">
        <v>18.95</v>
      </c>
      <c r="D339" s="51">
        <v>17.3</v>
      </c>
      <c r="E339" s="51">
        <v>20.2</v>
      </c>
      <c r="F339" s="51">
        <v>27</v>
      </c>
      <c r="G339" s="51">
        <v>26.18</v>
      </c>
      <c r="H339" s="51">
        <v>1.63</v>
      </c>
      <c r="I339" s="51">
        <v>2.59</v>
      </c>
      <c r="J339" s="51">
        <v>3.35</v>
      </c>
      <c r="K339" s="51">
        <v>34.376091634600002</v>
      </c>
      <c r="L339" s="51">
        <v>2.0213999999999999</v>
      </c>
      <c r="M339" s="51">
        <v>2.2530999999999999</v>
      </c>
      <c r="N339" s="51">
        <v>2.0844999999999998</v>
      </c>
      <c r="O339" s="51">
        <v>1.6950000000000001</v>
      </c>
      <c r="P339" s="51">
        <v>1.444868</v>
      </c>
      <c r="Q339" s="51">
        <v>2.3419850000000002</v>
      </c>
      <c r="R339" s="51">
        <v>1.298138</v>
      </c>
      <c r="S339" s="51">
        <v>479</v>
      </c>
      <c r="T339" s="51">
        <v>630</v>
      </c>
      <c r="U339" s="51">
        <v>413</v>
      </c>
      <c r="V339" s="51">
        <v>467</v>
      </c>
      <c r="W339" s="51">
        <v>308</v>
      </c>
      <c r="X339" s="51" t="s">
        <v>1574</v>
      </c>
      <c r="Y339" s="51">
        <v>215</v>
      </c>
      <c r="Z339" s="51">
        <v>322</v>
      </c>
      <c r="AA339" s="51">
        <v>194</v>
      </c>
      <c r="AB339" s="51" t="s">
        <v>1574</v>
      </c>
      <c r="AC339" s="51" t="s">
        <v>1574</v>
      </c>
      <c r="AD339" s="51">
        <v>50.59</v>
      </c>
      <c r="AE339" s="51">
        <v>71.650000000000006</v>
      </c>
      <c r="AF339" s="51">
        <v>67.19</v>
      </c>
      <c r="AG339" s="51">
        <v>204</v>
      </c>
      <c r="AH339" s="51">
        <v>186</v>
      </c>
      <c r="AI339" s="51">
        <v>168</v>
      </c>
      <c r="AJ339" s="51" t="s">
        <v>1574</v>
      </c>
      <c r="AK339" s="51">
        <v>101.74</v>
      </c>
      <c r="AL339" s="51">
        <v>106.92</v>
      </c>
      <c r="AM339" s="51" t="s">
        <v>1574</v>
      </c>
      <c r="AN339" s="51">
        <v>0.33839999999999998</v>
      </c>
      <c r="AO339" s="51">
        <v>0.52098</v>
      </c>
      <c r="AP339" s="51">
        <v>2.3052000000000001</v>
      </c>
      <c r="AQ339" s="51">
        <v>0.91337406600000004</v>
      </c>
      <c r="AR339" s="51">
        <v>2.0625</v>
      </c>
      <c r="AS339" s="51">
        <v>10.76</v>
      </c>
      <c r="AT339" s="51">
        <v>0.47019254568000002</v>
      </c>
      <c r="AU339" s="51">
        <v>0.48237087955000002</v>
      </c>
      <c r="AV339" s="51">
        <v>0.12379999999999999</v>
      </c>
      <c r="AW339" s="51">
        <v>2765.26</v>
      </c>
      <c r="AX339" s="51">
        <v>251.53</v>
      </c>
      <c r="AY339" s="51">
        <v>199.64</v>
      </c>
      <c r="AZ339" s="51" t="s">
        <v>1574</v>
      </c>
      <c r="BA339" s="51">
        <v>401.31816168076</v>
      </c>
      <c r="BB339" s="51">
        <v>454.05</v>
      </c>
      <c r="BC339" s="51">
        <v>1.9092</v>
      </c>
      <c r="BD339" s="51" t="s">
        <v>1574</v>
      </c>
      <c r="BE339" s="51">
        <v>1.0293000000000001</v>
      </c>
      <c r="BF339" s="51">
        <v>34.5</v>
      </c>
      <c r="BG339" s="51">
        <v>167</v>
      </c>
      <c r="BH339" s="51">
        <v>152.5</v>
      </c>
      <c r="BI339" s="51">
        <v>85</v>
      </c>
      <c r="BJ339" s="51">
        <v>70</v>
      </c>
      <c r="BK339" s="51">
        <v>1810.37</v>
      </c>
      <c r="BL339" s="51">
        <v>25.3</v>
      </c>
      <c r="BM339" s="51">
        <v>1756.31</v>
      </c>
      <c r="BN339" s="51">
        <v>659.3</v>
      </c>
      <c r="BO339" s="51">
        <v>6556.1</v>
      </c>
      <c r="BP339" s="51">
        <v>5306.5</v>
      </c>
      <c r="BQ339" s="51">
        <v>804.1</v>
      </c>
      <c r="BR339" s="51">
        <v>461.15</v>
      </c>
      <c r="BS339" s="51">
        <v>609.91999999999996</v>
      </c>
      <c r="BT339" s="51">
        <v>7.8423999999999996</v>
      </c>
      <c r="BU339" s="41"/>
      <c r="BV339" s="41"/>
      <c r="BW339" s="41"/>
      <c r="BX339" s="41"/>
      <c r="BY339" s="41"/>
      <c r="BZ339" s="41"/>
      <c r="CA339" s="41"/>
      <c r="CB339" s="41"/>
      <c r="CC339" s="41"/>
      <c r="CD339" s="41"/>
      <c r="CE339" s="41"/>
      <c r="CF339" s="41"/>
      <c r="CG339" s="41"/>
      <c r="CH339" s="41"/>
      <c r="CI339" s="41"/>
      <c r="CJ339" s="41"/>
      <c r="CK339" s="41"/>
    </row>
    <row r="340" spans="1:89">
      <c r="A340" s="48" t="s">
        <v>469</v>
      </c>
      <c r="B340" s="49">
        <v>18.283333333329999</v>
      </c>
      <c r="C340" s="49">
        <v>18.350000000000001</v>
      </c>
      <c r="D340" s="49">
        <v>17</v>
      </c>
      <c r="E340" s="49">
        <v>19.5</v>
      </c>
      <c r="F340" s="49">
        <v>27</v>
      </c>
      <c r="G340" s="49">
        <v>26.18</v>
      </c>
      <c r="H340" s="49">
        <v>1.56</v>
      </c>
      <c r="I340" s="49">
        <v>2.59</v>
      </c>
      <c r="J340" s="49">
        <v>3.35</v>
      </c>
      <c r="K340" s="49">
        <v>33.526055526439997</v>
      </c>
      <c r="L340" s="49">
        <v>1.9870000000000001</v>
      </c>
      <c r="M340" s="49">
        <v>2.4365000000000001</v>
      </c>
      <c r="N340" s="49">
        <v>2.1898</v>
      </c>
      <c r="O340" s="49">
        <v>1.6412</v>
      </c>
      <c r="P340" s="49">
        <v>1.3586480000000001</v>
      </c>
      <c r="Q340" s="49">
        <v>2.2694109999999998</v>
      </c>
      <c r="R340" s="49">
        <v>1.2955319999999999</v>
      </c>
      <c r="S340" s="49">
        <v>480</v>
      </c>
      <c r="T340" s="49">
        <v>645</v>
      </c>
      <c r="U340" s="49">
        <v>400</v>
      </c>
      <c r="V340" s="49">
        <v>469</v>
      </c>
      <c r="W340" s="49">
        <v>335</v>
      </c>
      <c r="X340" s="49" t="s">
        <v>1574</v>
      </c>
      <c r="Y340" s="49">
        <v>214</v>
      </c>
      <c r="Z340" s="49">
        <v>330</v>
      </c>
      <c r="AA340" s="49">
        <v>207</v>
      </c>
      <c r="AB340" s="49" t="s">
        <v>1574</v>
      </c>
      <c r="AC340" s="49" t="s">
        <v>1574</v>
      </c>
      <c r="AD340" s="49">
        <v>57.6</v>
      </c>
      <c r="AE340" s="49">
        <v>73.569999999999993</v>
      </c>
      <c r="AF340" s="49">
        <v>68.7</v>
      </c>
      <c r="AG340" s="49">
        <v>258</v>
      </c>
      <c r="AH340" s="49">
        <v>231</v>
      </c>
      <c r="AI340" s="49">
        <v>195</v>
      </c>
      <c r="AJ340" s="49" t="s">
        <v>1574</v>
      </c>
      <c r="AK340" s="49">
        <v>110.1</v>
      </c>
      <c r="AL340" s="49">
        <v>112.07</v>
      </c>
      <c r="AM340" s="49" t="s">
        <v>1574</v>
      </c>
      <c r="AN340" s="49">
        <v>0.35439999999999999</v>
      </c>
      <c r="AO340" s="49">
        <v>0.50992999999999999</v>
      </c>
      <c r="AP340" s="49">
        <v>2.5066999999999999</v>
      </c>
      <c r="AQ340" s="49">
        <v>0.91888561599999996</v>
      </c>
      <c r="AR340" s="49">
        <v>2.1034999999999999</v>
      </c>
      <c r="AS340" s="49">
        <v>10.69</v>
      </c>
      <c r="AT340" s="49">
        <v>0.48468790703999998</v>
      </c>
      <c r="AU340" s="49">
        <v>0.48237087955000002</v>
      </c>
      <c r="AV340" s="49">
        <v>0.1283</v>
      </c>
      <c r="AW340" s="49">
        <v>2743.91</v>
      </c>
      <c r="AX340" s="49">
        <v>257.75</v>
      </c>
      <c r="AY340" s="49">
        <v>254.45</v>
      </c>
      <c r="AZ340" s="49" t="s">
        <v>1574</v>
      </c>
      <c r="BA340" s="49">
        <v>457.48879010796003</v>
      </c>
      <c r="BB340" s="49">
        <v>479.02</v>
      </c>
      <c r="BC340" s="49">
        <v>1.8432999999999999</v>
      </c>
      <c r="BD340" s="49" t="s">
        <v>1574</v>
      </c>
      <c r="BE340" s="49">
        <v>1.056</v>
      </c>
      <c r="BF340" s="49">
        <v>33.25</v>
      </c>
      <c r="BG340" s="49">
        <v>167.5</v>
      </c>
      <c r="BH340" s="49">
        <v>149.5</v>
      </c>
      <c r="BI340" s="49">
        <v>85</v>
      </c>
      <c r="BJ340" s="49">
        <v>70</v>
      </c>
      <c r="BK340" s="49">
        <v>1746.28</v>
      </c>
      <c r="BL340" s="49">
        <v>25.3</v>
      </c>
      <c r="BM340" s="49">
        <v>1811.01</v>
      </c>
      <c r="BN340" s="49">
        <v>646.79999999999995</v>
      </c>
      <c r="BO340" s="49">
        <v>6406.3</v>
      </c>
      <c r="BP340" s="49">
        <v>5333</v>
      </c>
      <c r="BQ340" s="49">
        <v>756.7</v>
      </c>
      <c r="BR340" s="49">
        <v>460.38</v>
      </c>
      <c r="BS340" s="49">
        <v>590</v>
      </c>
      <c r="BT340" s="49">
        <v>7.6063999999999998</v>
      </c>
      <c r="BU340" s="41"/>
      <c r="BV340" s="41"/>
      <c r="BW340" s="41"/>
      <c r="BX340" s="41"/>
      <c r="BY340" s="41"/>
      <c r="BZ340" s="41"/>
      <c r="CA340" s="41"/>
      <c r="CB340" s="41"/>
      <c r="CC340" s="41"/>
      <c r="CD340" s="41"/>
      <c r="CE340" s="41"/>
      <c r="CF340" s="41"/>
      <c r="CG340" s="41"/>
      <c r="CH340" s="41"/>
      <c r="CI340" s="41"/>
      <c r="CJ340" s="41"/>
      <c r="CK340" s="41"/>
    </row>
    <row r="341" spans="1:89">
      <c r="A341" s="41" t="s">
        <v>470</v>
      </c>
      <c r="B341" s="51">
        <v>18.566666666669999</v>
      </c>
      <c r="C341" s="51">
        <v>18.8</v>
      </c>
      <c r="D341" s="51">
        <v>17.05</v>
      </c>
      <c r="E341" s="51">
        <v>19.850000000000001</v>
      </c>
      <c r="F341" s="51">
        <v>27</v>
      </c>
      <c r="G341" s="51">
        <v>26.18</v>
      </c>
      <c r="H341" s="51">
        <v>1.57</v>
      </c>
      <c r="I341" s="51">
        <v>2.59</v>
      </c>
      <c r="J341" s="51">
        <v>3.35</v>
      </c>
      <c r="K341" s="51">
        <v>33.647489256180002</v>
      </c>
      <c r="L341" s="51">
        <v>1.9107000000000001</v>
      </c>
      <c r="M341" s="51">
        <v>2.6318999999999999</v>
      </c>
      <c r="N341" s="51">
        <v>2.2822</v>
      </c>
      <c r="O341" s="51">
        <v>1.6428</v>
      </c>
      <c r="P341" s="51">
        <v>1.386792</v>
      </c>
      <c r="Q341" s="51">
        <v>2.2712310000000002</v>
      </c>
      <c r="R341" s="51">
        <v>1.2702549999999999</v>
      </c>
      <c r="S341" s="51">
        <v>482</v>
      </c>
      <c r="T341" s="51">
        <v>845</v>
      </c>
      <c r="U341" s="51">
        <v>406</v>
      </c>
      <c r="V341" s="51">
        <v>502</v>
      </c>
      <c r="W341" s="51">
        <v>353</v>
      </c>
      <c r="X341" s="51" t="s">
        <v>1574</v>
      </c>
      <c r="Y341" s="51">
        <v>217</v>
      </c>
      <c r="Z341" s="51">
        <v>348</v>
      </c>
      <c r="AA341" s="51">
        <v>214</v>
      </c>
      <c r="AB341" s="51" t="s">
        <v>1574</v>
      </c>
      <c r="AC341" s="51" t="s">
        <v>1574</v>
      </c>
      <c r="AD341" s="51">
        <v>60.6</v>
      </c>
      <c r="AE341" s="51">
        <v>78.849999999999994</v>
      </c>
      <c r="AF341" s="51">
        <v>74.099999999999994</v>
      </c>
      <c r="AG341" s="51">
        <v>266.75</v>
      </c>
      <c r="AH341" s="51">
        <v>232</v>
      </c>
      <c r="AI341" s="51">
        <v>210</v>
      </c>
      <c r="AJ341" s="51" t="s">
        <v>1574</v>
      </c>
      <c r="AK341" s="51">
        <v>113.46</v>
      </c>
      <c r="AL341" s="51">
        <v>113.91</v>
      </c>
      <c r="AM341" s="51" t="s">
        <v>1574</v>
      </c>
      <c r="AN341" s="51">
        <v>0.27010000000000001</v>
      </c>
      <c r="AO341" s="51">
        <v>0.47294000000000003</v>
      </c>
      <c r="AP341" s="51">
        <v>2.5133000000000001</v>
      </c>
      <c r="AQ341" s="51">
        <v>0.90609881999999997</v>
      </c>
      <c r="AR341" s="51">
        <v>2.0868000000000002</v>
      </c>
      <c r="AS341" s="51">
        <v>10.56</v>
      </c>
      <c r="AT341" s="51">
        <v>0.48956589287000002</v>
      </c>
      <c r="AU341" s="51">
        <v>0.47818204772</v>
      </c>
      <c r="AV341" s="51">
        <v>0.14660000000000001</v>
      </c>
      <c r="AW341" s="51">
        <v>2726.68</v>
      </c>
      <c r="AX341" s="51">
        <v>259.14</v>
      </c>
      <c r="AY341" s="51">
        <v>259.75</v>
      </c>
      <c r="AZ341" s="51" t="s">
        <v>1574</v>
      </c>
      <c r="BA341" s="51">
        <v>462.61012257213002</v>
      </c>
      <c r="BB341" s="51">
        <v>472.87</v>
      </c>
      <c r="BC341" s="51">
        <v>1.6797</v>
      </c>
      <c r="BD341" s="51" t="s">
        <v>1574</v>
      </c>
      <c r="BE341" s="51">
        <v>1.0474000000000001</v>
      </c>
      <c r="BF341" s="51">
        <v>32</v>
      </c>
      <c r="BG341" s="51">
        <v>163</v>
      </c>
      <c r="BH341" s="51">
        <v>145.5</v>
      </c>
      <c r="BI341" s="51">
        <v>92.5</v>
      </c>
      <c r="BJ341" s="51">
        <v>73</v>
      </c>
      <c r="BK341" s="51">
        <v>1962.66</v>
      </c>
      <c r="BL341" s="51">
        <v>25.3</v>
      </c>
      <c r="BM341" s="51">
        <v>1967.2</v>
      </c>
      <c r="BN341" s="51">
        <v>601.4</v>
      </c>
      <c r="BO341" s="51">
        <v>6763.8</v>
      </c>
      <c r="BP341" s="51">
        <v>5692.3</v>
      </c>
      <c r="BQ341" s="51">
        <v>769.9</v>
      </c>
      <c r="BR341" s="51">
        <v>465.35</v>
      </c>
      <c r="BS341" s="51">
        <v>568.04999999999995</v>
      </c>
      <c r="BT341" s="51">
        <v>7.6074000000000002</v>
      </c>
      <c r="BU341" s="41"/>
      <c r="BV341" s="41"/>
      <c r="BW341" s="41"/>
      <c r="BX341" s="41"/>
      <c r="BY341" s="41"/>
      <c r="BZ341" s="41"/>
      <c r="CA341" s="41"/>
      <c r="CB341" s="41"/>
      <c r="CC341" s="41"/>
      <c r="CD341" s="41"/>
      <c r="CE341" s="41"/>
      <c r="CF341" s="41"/>
      <c r="CG341" s="41"/>
      <c r="CH341" s="41"/>
      <c r="CI341" s="41"/>
      <c r="CJ341" s="41"/>
      <c r="CK341" s="41"/>
    </row>
    <row r="342" spans="1:89">
      <c r="A342" s="48" t="s">
        <v>471</v>
      </c>
      <c r="B342" s="49">
        <v>17.75</v>
      </c>
      <c r="C342" s="49">
        <v>17.8</v>
      </c>
      <c r="D342" s="49">
        <v>16.600000000000001</v>
      </c>
      <c r="E342" s="49">
        <v>18.850000000000001</v>
      </c>
      <c r="F342" s="49">
        <v>29</v>
      </c>
      <c r="G342" s="49">
        <v>26.34</v>
      </c>
      <c r="H342" s="49">
        <v>1.64</v>
      </c>
      <c r="I342" s="49">
        <v>2.59</v>
      </c>
      <c r="J342" s="49">
        <v>3.35</v>
      </c>
      <c r="K342" s="49">
        <v>34.497525364339999</v>
      </c>
      <c r="L342" s="49">
        <v>1.9297</v>
      </c>
      <c r="M342" s="49">
        <v>2.7884000000000002</v>
      </c>
      <c r="N342" s="49">
        <v>2.3111000000000002</v>
      </c>
      <c r="O342" s="49">
        <v>1.6161000000000001</v>
      </c>
      <c r="P342" s="49">
        <v>1.3402400000000001</v>
      </c>
      <c r="Q342" s="49">
        <v>2.2389899999999998</v>
      </c>
      <c r="R342" s="49">
        <v>1.269088</v>
      </c>
      <c r="S342" s="49">
        <v>477</v>
      </c>
      <c r="T342" s="49">
        <v>925</v>
      </c>
      <c r="U342" s="49">
        <v>445</v>
      </c>
      <c r="V342" s="49">
        <v>481</v>
      </c>
      <c r="W342" s="49">
        <v>368</v>
      </c>
      <c r="X342" s="49" t="s">
        <v>1574</v>
      </c>
      <c r="Y342" s="49">
        <v>228</v>
      </c>
      <c r="Z342" s="49">
        <v>338</v>
      </c>
      <c r="AA342" s="49">
        <v>239</v>
      </c>
      <c r="AB342" s="49" t="s">
        <v>1574</v>
      </c>
      <c r="AC342" s="49" t="s">
        <v>1574</v>
      </c>
      <c r="AD342" s="49">
        <v>59.42</v>
      </c>
      <c r="AE342" s="49">
        <v>81.69</v>
      </c>
      <c r="AF342" s="49">
        <v>78.12</v>
      </c>
      <c r="AG342" s="49">
        <v>254.25</v>
      </c>
      <c r="AH342" s="49">
        <v>231</v>
      </c>
      <c r="AI342" s="49">
        <v>189</v>
      </c>
      <c r="AJ342" s="49" t="s">
        <v>1574</v>
      </c>
      <c r="AK342" s="49">
        <v>113.72</v>
      </c>
      <c r="AL342" s="49">
        <v>115.01</v>
      </c>
      <c r="AM342" s="49" t="s">
        <v>1574</v>
      </c>
      <c r="AN342" s="49">
        <v>0.41010000000000002</v>
      </c>
      <c r="AO342" s="49">
        <v>0.46450999999999998</v>
      </c>
      <c r="AP342" s="49">
        <v>2.5583</v>
      </c>
      <c r="AQ342" s="49">
        <v>0.87567506399999995</v>
      </c>
      <c r="AR342" s="49">
        <v>2.2307000000000001</v>
      </c>
      <c r="AS342" s="49">
        <v>10.58</v>
      </c>
      <c r="AT342" s="49">
        <v>0.52322540371000004</v>
      </c>
      <c r="AU342" s="49">
        <v>0.47950484999999998</v>
      </c>
      <c r="AV342" s="49">
        <v>0.16159999999999999</v>
      </c>
      <c r="AW342" s="49">
        <v>2711.86</v>
      </c>
      <c r="AX342" s="49">
        <v>273.37</v>
      </c>
      <c r="AY342" s="49">
        <v>275.67</v>
      </c>
      <c r="AZ342" s="49" t="s">
        <v>1574</v>
      </c>
      <c r="BA342" s="49">
        <v>477.71124514357001</v>
      </c>
      <c r="BB342" s="49">
        <v>470.24</v>
      </c>
      <c r="BC342" s="49">
        <v>1.6717</v>
      </c>
      <c r="BD342" s="49" t="s">
        <v>1574</v>
      </c>
      <c r="BE342" s="49">
        <v>1.0429999999999999</v>
      </c>
      <c r="BF342" s="49">
        <v>32</v>
      </c>
      <c r="BG342" s="49">
        <v>165</v>
      </c>
      <c r="BH342" s="49">
        <v>144</v>
      </c>
      <c r="BI342" s="49">
        <v>92.5</v>
      </c>
      <c r="BJ342" s="49">
        <v>73</v>
      </c>
      <c r="BK342" s="49">
        <v>1681</v>
      </c>
      <c r="BL342" s="49">
        <v>25.3</v>
      </c>
      <c r="BM342" s="49">
        <v>2523.9</v>
      </c>
      <c r="BN342" s="49">
        <v>642.20000000000005</v>
      </c>
      <c r="BO342" s="49">
        <v>6927.3</v>
      </c>
      <c r="BP342" s="49">
        <v>5937</v>
      </c>
      <c r="BQ342" s="49">
        <v>848</v>
      </c>
      <c r="BR342" s="49">
        <v>467.57</v>
      </c>
      <c r="BS342" s="49">
        <v>500.3</v>
      </c>
      <c r="BT342" s="49">
        <v>6.7619999999999996</v>
      </c>
      <c r="BU342" s="41"/>
      <c r="BV342" s="41"/>
      <c r="BW342" s="41"/>
      <c r="BX342" s="41"/>
      <c r="BY342" s="41"/>
      <c r="BZ342" s="41"/>
      <c r="CA342" s="41"/>
      <c r="CB342" s="41"/>
      <c r="CC342" s="41"/>
      <c r="CD342" s="41"/>
      <c r="CE342" s="41"/>
      <c r="CF342" s="41"/>
      <c r="CG342" s="41"/>
      <c r="CH342" s="41"/>
      <c r="CI342" s="41"/>
      <c r="CJ342" s="41"/>
      <c r="CK342" s="41"/>
    </row>
    <row r="343" spans="1:89">
      <c r="A343" s="41" t="s">
        <v>472</v>
      </c>
      <c r="B343" s="51">
        <v>16.63333333333</v>
      </c>
      <c r="C343" s="51">
        <v>17.100000000000001</v>
      </c>
      <c r="D343" s="51">
        <v>15.5</v>
      </c>
      <c r="E343" s="51">
        <v>17.3</v>
      </c>
      <c r="F343" s="51">
        <v>31</v>
      </c>
      <c r="G343" s="51">
        <v>26.5</v>
      </c>
      <c r="H343" s="51">
        <v>1.7</v>
      </c>
      <c r="I343" s="51">
        <v>2.59</v>
      </c>
      <c r="J343" s="51">
        <v>3.35</v>
      </c>
      <c r="K343" s="51">
        <v>35.226127742759999</v>
      </c>
      <c r="L343" s="51">
        <v>1.8973</v>
      </c>
      <c r="M343" s="51">
        <v>2.7972000000000001</v>
      </c>
      <c r="N343" s="51">
        <v>2.2715999999999998</v>
      </c>
      <c r="O343" s="51">
        <v>1.5687</v>
      </c>
      <c r="P343" s="51">
        <v>1.3528610000000001</v>
      </c>
      <c r="Q343" s="51">
        <v>2.0649989999999998</v>
      </c>
      <c r="R343" s="51">
        <v>1.2881590000000001</v>
      </c>
      <c r="S343" s="51">
        <v>529</v>
      </c>
      <c r="T343" s="51">
        <v>1043</v>
      </c>
      <c r="U343" s="51">
        <v>474</v>
      </c>
      <c r="V343" s="51">
        <v>530</v>
      </c>
      <c r="W343" s="51">
        <v>432</v>
      </c>
      <c r="X343" s="51" t="s">
        <v>1574</v>
      </c>
      <c r="Y343" s="51">
        <v>240</v>
      </c>
      <c r="Z343" s="51">
        <v>393</v>
      </c>
      <c r="AA343" s="51">
        <v>241</v>
      </c>
      <c r="AB343" s="51" t="s">
        <v>1574</v>
      </c>
      <c r="AC343" s="51" t="s">
        <v>1574</v>
      </c>
      <c r="AD343" s="51">
        <v>58.24</v>
      </c>
      <c r="AE343" s="51">
        <v>83.16</v>
      </c>
      <c r="AF343" s="51">
        <v>76.989999999999995</v>
      </c>
      <c r="AG343" s="51">
        <v>255.6</v>
      </c>
      <c r="AH343" s="51">
        <v>227</v>
      </c>
      <c r="AI343" s="51">
        <v>168</v>
      </c>
      <c r="AJ343" s="51" t="s">
        <v>1574</v>
      </c>
      <c r="AK343" s="51">
        <v>124.88</v>
      </c>
      <c r="AL343" s="51">
        <v>124.56</v>
      </c>
      <c r="AM343" s="51" t="s">
        <v>1574</v>
      </c>
      <c r="AN343" s="51">
        <v>0.38800000000000001</v>
      </c>
      <c r="AO343" s="51">
        <v>0.44357000000000002</v>
      </c>
      <c r="AP343" s="51">
        <v>2.5125999999999999</v>
      </c>
      <c r="AQ343" s="51">
        <v>0.86354965400000006</v>
      </c>
      <c r="AR343" s="51">
        <v>2.3955000000000002</v>
      </c>
      <c r="AS343" s="51">
        <v>10.98</v>
      </c>
      <c r="AT343" s="51">
        <v>0.53871406519999998</v>
      </c>
      <c r="AU343" s="51">
        <v>0.47972527500000001</v>
      </c>
      <c r="AV343" s="51">
        <v>0.18290000000000001</v>
      </c>
      <c r="AW343" s="51">
        <v>2631.12</v>
      </c>
      <c r="AX343" s="51">
        <v>281.75</v>
      </c>
      <c r="AY343" s="51">
        <v>262</v>
      </c>
      <c r="AZ343" s="51" t="s">
        <v>1574</v>
      </c>
      <c r="BA343" s="51">
        <v>464.76972287934001</v>
      </c>
      <c r="BB343" s="51">
        <v>437.44</v>
      </c>
      <c r="BC343" s="51">
        <v>1.6551</v>
      </c>
      <c r="BD343" s="51" t="s">
        <v>1574</v>
      </c>
      <c r="BE343" s="51">
        <v>1.0869</v>
      </c>
      <c r="BF343" s="51">
        <v>32</v>
      </c>
      <c r="BG343" s="51">
        <v>174</v>
      </c>
      <c r="BH343" s="51">
        <v>142.5</v>
      </c>
      <c r="BI343" s="51">
        <v>92.5</v>
      </c>
      <c r="BJ343" s="51">
        <v>81</v>
      </c>
      <c r="BK343" s="51">
        <v>1823.93</v>
      </c>
      <c r="BL343" s="51">
        <v>25.3</v>
      </c>
      <c r="BM343" s="51">
        <v>2868.9</v>
      </c>
      <c r="BN343" s="51">
        <v>659.1</v>
      </c>
      <c r="BO343" s="51">
        <v>6829.4</v>
      </c>
      <c r="BP343" s="51">
        <v>7661.1</v>
      </c>
      <c r="BQ343" s="51">
        <v>866.3</v>
      </c>
      <c r="BR343" s="51">
        <v>486.24</v>
      </c>
      <c r="BS343" s="51">
        <v>500.22</v>
      </c>
      <c r="BT343" s="51">
        <v>6.8125</v>
      </c>
      <c r="BU343" s="41"/>
      <c r="BV343" s="41"/>
      <c r="BW343" s="41"/>
      <c r="BX343" s="41"/>
      <c r="BY343" s="41"/>
      <c r="BZ343" s="41"/>
      <c r="CA343" s="41"/>
      <c r="CB343" s="41"/>
      <c r="CC343" s="41"/>
      <c r="CD343" s="41"/>
      <c r="CE343" s="41"/>
      <c r="CF343" s="41"/>
      <c r="CG343" s="41"/>
      <c r="CH343" s="41"/>
      <c r="CI343" s="41"/>
      <c r="CJ343" s="41"/>
      <c r="CK343" s="41"/>
    </row>
    <row r="344" spans="1:89">
      <c r="A344" s="48" t="s">
        <v>473</v>
      </c>
      <c r="B344" s="49">
        <v>16.466666666670001</v>
      </c>
      <c r="C344" s="49">
        <v>16.850000000000001</v>
      </c>
      <c r="D344" s="49">
        <v>15.4</v>
      </c>
      <c r="E344" s="49">
        <v>17.149999999999999</v>
      </c>
      <c r="F344" s="49">
        <v>31</v>
      </c>
      <c r="G344" s="49">
        <v>26.5</v>
      </c>
      <c r="H344" s="49">
        <v>1.96</v>
      </c>
      <c r="I344" s="49">
        <v>2.36</v>
      </c>
      <c r="J344" s="49">
        <v>3.34</v>
      </c>
      <c r="K344" s="49">
        <v>37.283216125400003</v>
      </c>
      <c r="L344" s="49">
        <v>1.9734</v>
      </c>
      <c r="M344" s="49">
        <v>2.8222999999999998</v>
      </c>
      <c r="N344" s="49">
        <v>2.2511000000000001</v>
      </c>
      <c r="O344" s="49">
        <v>1.5863</v>
      </c>
      <c r="P344" s="49">
        <v>1.4873730000000001</v>
      </c>
      <c r="Q344" s="49">
        <v>1.8458950000000001</v>
      </c>
      <c r="R344" s="49">
        <v>1.425529</v>
      </c>
      <c r="S344" s="49">
        <v>566</v>
      </c>
      <c r="T344" s="49">
        <v>1006</v>
      </c>
      <c r="U344" s="49">
        <v>473</v>
      </c>
      <c r="V344" s="49">
        <v>540</v>
      </c>
      <c r="W344" s="49">
        <v>486</v>
      </c>
      <c r="X344" s="49" t="s">
        <v>1574</v>
      </c>
      <c r="Y344" s="49">
        <v>254</v>
      </c>
      <c r="Z344" s="49">
        <v>433</v>
      </c>
      <c r="AA344" s="49">
        <v>225</v>
      </c>
      <c r="AB344" s="49" t="s">
        <v>1574</v>
      </c>
      <c r="AC344" s="49" t="s">
        <v>1574</v>
      </c>
      <c r="AD344" s="49">
        <v>56.9</v>
      </c>
      <c r="AE344" s="49">
        <v>85.92</v>
      </c>
      <c r="AF344" s="49">
        <v>80.47</v>
      </c>
      <c r="AG344" s="49">
        <v>291.5</v>
      </c>
      <c r="AH344" s="49">
        <v>265</v>
      </c>
      <c r="AI344" s="49">
        <v>207</v>
      </c>
      <c r="AJ344" s="49" t="s">
        <v>1574</v>
      </c>
      <c r="AK344" s="49">
        <v>126.17</v>
      </c>
      <c r="AL344" s="49">
        <v>128.6</v>
      </c>
      <c r="AM344" s="49" t="s">
        <v>1574</v>
      </c>
      <c r="AN344" s="49">
        <v>0.4481</v>
      </c>
      <c r="AO344" s="49">
        <v>0.39269999999999999</v>
      </c>
      <c r="AP344" s="49">
        <v>2.4912000000000001</v>
      </c>
      <c r="AQ344" s="49">
        <v>0.86531334999999998</v>
      </c>
      <c r="AR344" s="49">
        <v>2.4710000000000001</v>
      </c>
      <c r="AS344" s="49">
        <v>11.42</v>
      </c>
      <c r="AT344" s="49">
        <v>0.53147225046000002</v>
      </c>
      <c r="AU344" s="49">
        <v>0.48126858636999997</v>
      </c>
      <c r="AV344" s="49">
        <v>0.21310000000000001</v>
      </c>
      <c r="AW344" s="49">
        <v>2608.79</v>
      </c>
      <c r="AX344" s="49">
        <v>279.81</v>
      </c>
      <c r="AY344" s="49">
        <v>238.71</v>
      </c>
      <c r="AZ344" s="49" t="s">
        <v>1574</v>
      </c>
      <c r="BA344" s="49">
        <v>441.98269129788002</v>
      </c>
      <c r="BB344" s="49">
        <v>414.51</v>
      </c>
      <c r="BC344" s="49">
        <v>1.5914999999999999</v>
      </c>
      <c r="BD344" s="49" t="s">
        <v>1574</v>
      </c>
      <c r="BE344" s="49">
        <v>1.1012</v>
      </c>
      <c r="BF344" s="49">
        <v>32</v>
      </c>
      <c r="BG344" s="49">
        <v>189</v>
      </c>
      <c r="BH344" s="49">
        <v>154.5</v>
      </c>
      <c r="BI344" s="49">
        <v>92.5</v>
      </c>
      <c r="BJ344" s="49">
        <v>82</v>
      </c>
      <c r="BK344" s="49">
        <v>2002.46</v>
      </c>
      <c r="BL344" s="49">
        <v>24.3</v>
      </c>
      <c r="BM344" s="49">
        <v>2663.2</v>
      </c>
      <c r="BN344" s="49">
        <v>666.8</v>
      </c>
      <c r="BO344" s="49">
        <v>6808.1</v>
      </c>
      <c r="BP344" s="49">
        <v>8073.3</v>
      </c>
      <c r="BQ344" s="49">
        <v>878.5</v>
      </c>
      <c r="BR344" s="49">
        <v>476.58</v>
      </c>
      <c r="BS344" s="49">
        <v>494.07</v>
      </c>
      <c r="BT344" s="49">
        <v>6.7446000000000002</v>
      </c>
      <c r="BU344" s="41"/>
      <c r="BV344" s="41"/>
      <c r="BW344" s="41"/>
      <c r="BX344" s="41"/>
      <c r="BY344" s="41"/>
      <c r="BZ344" s="41"/>
      <c r="CA344" s="41"/>
      <c r="CB344" s="41"/>
      <c r="CC344" s="41"/>
      <c r="CD344" s="41"/>
      <c r="CE344" s="41"/>
      <c r="CF344" s="41"/>
      <c r="CG344" s="41"/>
      <c r="CH344" s="41"/>
      <c r="CI344" s="41"/>
      <c r="CJ344" s="41"/>
      <c r="CK344" s="41"/>
    </row>
    <row r="345" spans="1:89">
      <c r="A345" s="41" t="s">
        <v>474</v>
      </c>
      <c r="B345" s="51">
        <v>15.85</v>
      </c>
      <c r="C345" s="51">
        <v>15.75</v>
      </c>
      <c r="D345" s="51">
        <v>15.05</v>
      </c>
      <c r="E345" s="51">
        <v>16.75</v>
      </c>
      <c r="F345" s="51">
        <v>31</v>
      </c>
      <c r="G345" s="51">
        <v>26</v>
      </c>
      <c r="H345" s="51">
        <v>1.84</v>
      </c>
      <c r="I345" s="51">
        <v>2.36</v>
      </c>
      <c r="J345" s="51">
        <v>3.34</v>
      </c>
      <c r="K345" s="51">
        <v>35.826011368560003</v>
      </c>
      <c r="L345" s="51">
        <v>1.7991999999999999</v>
      </c>
      <c r="M345" s="51">
        <v>3.0543999999999998</v>
      </c>
      <c r="N345" s="51">
        <v>2.2702</v>
      </c>
      <c r="O345" s="51">
        <v>1.5969</v>
      </c>
      <c r="P345" s="51">
        <v>1.574425</v>
      </c>
      <c r="Q345" s="51">
        <v>1.816721</v>
      </c>
      <c r="R345" s="51">
        <v>1.3995029999999999</v>
      </c>
      <c r="S345" s="51">
        <v>530</v>
      </c>
      <c r="T345" s="51">
        <v>1044</v>
      </c>
      <c r="U345" s="51">
        <v>473</v>
      </c>
      <c r="V345" s="51">
        <v>503</v>
      </c>
      <c r="W345" s="51">
        <v>403</v>
      </c>
      <c r="X345" s="51" t="s">
        <v>1574</v>
      </c>
      <c r="Y345" s="51">
        <v>254</v>
      </c>
      <c r="Z345" s="51">
        <v>406</v>
      </c>
      <c r="AA345" s="51">
        <v>216</v>
      </c>
      <c r="AB345" s="51" t="s">
        <v>1574</v>
      </c>
      <c r="AC345" s="51" t="s">
        <v>1574</v>
      </c>
      <c r="AD345" s="51">
        <v>56.9</v>
      </c>
      <c r="AE345" s="51">
        <v>87.99</v>
      </c>
      <c r="AF345" s="51">
        <v>84.08</v>
      </c>
      <c r="AG345" s="51">
        <v>306.25</v>
      </c>
      <c r="AH345" s="51">
        <v>278</v>
      </c>
      <c r="AI345" s="51">
        <v>214</v>
      </c>
      <c r="AJ345" s="51" t="s">
        <v>1574</v>
      </c>
      <c r="AK345" s="51">
        <v>125.25</v>
      </c>
      <c r="AL345" s="51">
        <v>131.54</v>
      </c>
      <c r="AM345" s="51" t="s">
        <v>1574</v>
      </c>
      <c r="AN345" s="51">
        <v>0.48559999999999998</v>
      </c>
      <c r="AO345" s="51">
        <v>0.38527</v>
      </c>
      <c r="AP345" s="51">
        <v>2.6139999999999999</v>
      </c>
      <c r="AQ345" s="51">
        <v>0.87810014599999997</v>
      </c>
      <c r="AR345" s="51">
        <v>2.4504000000000001</v>
      </c>
      <c r="AS345" s="51">
        <v>11.86</v>
      </c>
      <c r="AT345" s="51">
        <v>0.51768425066000001</v>
      </c>
      <c r="AU345" s="51">
        <v>0.48722098636</v>
      </c>
      <c r="AV345" s="51">
        <v>0.18579999999999999</v>
      </c>
      <c r="AW345" s="51">
        <v>2536.19</v>
      </c>
      <c r="AX345" s="51">
        <v>271.92</v>
      </c>
      <c r="AY345" s="51">
        <v>196.79</v>
      </c>
      <c r="AZ345" s="51" t="s">
        <v>1574</v>
      </c>
      <c r="BA345" s="51">
        <v>398.21422062198002</v>
      </c>
      <c r="BB345" s="51">
        <v>353.82</v>
      </c>
      <c r="BC345" s="51">
        <v>1.4878</v>
      </c>
      <c r="BD345" s="51" t="s">
        <v>1574</v>
      </c>
      <c r="BE345" s="51">
        <v>1.0889</v>
      </c>
      <c r="BF345" s="51">
        <v>32</v>
      </c>
      <c r="BG345" s="51">
        <v>194.5</v>
      </c>
      <c r="BH345" s="51">
        <v>153.5</v>
      </c>
      <c r="BI345" s="51">
        <v>97.5</v>
      </c>
      <c r="BJ345" s="51">
        <v>83</v>
      </c>
      <c r="BK345" s="51">
        <v>2138.02</v>
      </c>
      <c r="BL345" s="51">
        <v>24.3</v>
      </c>
      <c r="BM345" s="51">
        <v>2330.1999999999998</v>
      </c>
      <c r="BN345" s="51">
        <v>655.7</v>
      </c>
      <c r="BO345" s="51">
        <v>6690.1</v>
      </c>
      <c r="BP345" s="51">
        <v>8666.9</v>
      </c>
      <c r="BQ345" s="51">
        <v>876.4</v>
      </c>
      <c r="BR345" s="51">
        <v>442.07</v>
      </c>
      <c r="BS345" s="51">
        <v>458.51</v>
      </c>
      <c r="BT345" s="51">
        <v>6.3414000000000001</v>
      </c>
      <c r="BU345" s="41"/>
      <c r="BV345" s="41"/>
      <c r="BW345" s="41"/>
      <c r="BX345" s="41"/>
      <c r="BY345" s="41"/>
      <c r="BZ345" s="41"/>
      <c r="CA345" s="41"/>
      <c r="CB345" s="41"/>
      <c r="CC345" s="41"/>
      <c r="CD345" s="41"/>
      <c r="CE345" s="41"/>
      <c r="CF345" s="41"/>
      <c r="CG345" s="41"/>
      <c r="CH345" s="41"/>
      <c r="CI345" s="41"/>
      <c r="CJ345" s="41"/>
      <c r="CK345" s="41"/>
    </row>
    <row r="346" spans="1:89">
      <c r="A346" s="48" t="s">
        <v>475</v>
      </c>
      <c r="B346" s="49">
        <v>14.783333333330001</v>
      </c>
      <c r="C346" s="49">
        <v>14.75</v>
      </c>
      <c r="D346" s="49">
        <v>13.4</v>
      </c>
      <c r="E346" s="49">
        <v>16.2</v>
      </c>
      <c r="F346" s="49">
        <v>33</v>
      </c>
      <c r="G346" s="49">
        <v>26.5</v>
      </c>
      <c r="H346" s="49">
        <v>1.7</v>
      </c>
      <c r="I346" s="49">
        <v>2.36</v>
      </c>
      <c r="J346" s="49">
        <v>3.34</v>
      </c>
      <c r="K346" s="49">
        <v>34.125939152240001</v>
      </c>
      <c r="L346" s="49">
        <v>1.6852</v>
      </c>
      <c r="M346" s="49">
        <v>3.0104000000000002</v>
      </c>
      <c r="N346" s="49">
        <v>2.1817000000000002</v>
      </c>
      <c r="O346" s="49">
        <v>1.5548999999999999</v>
      </c>
      <c r="P346" s="49">
        <v>1.504356</v>
      </c>
      <c r="Q346" s="49">
        <v>1.749231</v>
      </c>
      <c r="R346" s="49">
        <v>1.4111309999999999</v>
      </c>
      <c r="S346" s="49">
        <v>516</v>
      </c>
      <c r="T346" s="49">
        <v>1058</v>
      </c>
      <c r="U346" s="49">
        <v>487</v>
      </c>
      <c r="V346" s="49">
        <v>501</v>
      </c>
      <c r="W346" s="49">
        <v>381</v>
      </c>
      <c r="X346" s="49" t="s">
        <v>1574</v>
      </c>
      <c r="Y346" s="49">
        <v>257</v>
      </c>
      <c r="Z346" s="49">
        <v>396</v>
      </c>
      <c r="AA346" s="49">
        <v>227</v>
      </c>
      <c r="AB346" s="49" t="s">
        <v>1574</v>
      </c>
      <c r="AC346" s="49" t="s">
        <v>1574</v>
      </c>
      <c r="AD346" s="49">
        <v>62.25</v>
      </c>
      <c r="AE346" s="49">
        <v>90.23</v>
      </c>
      <c r="AF346" s="49">
        <v>84.75</v>
      </c>
      <c r="AG346" s="49">
        <v>294</v>
      </c>
      <c r="AH346" s="49">
        <v>270</v>
      </c>
      <c r="AI346" s="49">
        <v>213</v>
      </c>
      <c r="AJ346" s="49" t="s">
        <v>1574</v>
      </c>
      <c r="AK346" s="49">
        <v>118.2</v>
      </c>
      <c r="AL346" s="49">
        <v>124.93</v>
      </c>
      <c r="AM346" s="49" t="s">
        <v>1574</v>
      </c>
      <c r="AN346" s="49">
        <v>0.52580000000000005</v>
      </c>
      <c r="AO346" s="49">
        <v>0.41403000000000001</v>
      </c>
      <c r="AP346" s="49">
        <v>2.5903999999999998</v>
      </c>
      <c r="AQ346" s="49">
        <v>0.88449354400000002</v>
      </c>
      <c r="AR346" s="49">
        <v>2.5367000000000002</v>
      </c>
      <c r="AS346" s="49">
        <v>12.83</v>
      </c>
      <c r="AT346" s="49">
        <v>0.53953050391000001</v>
      </c>
      <c r="AU346" s="49">
        <v>0.48854378863999998</v>
      </c>
      <c r="AV346" s="49">
        <v>0.18779999999999999</v>
      </c>
      <c r="AW346" s="49">
        <v>2453.13</v>
      </c>
      <c r="AX346" s="49">
        <v>273.95999999999998</v>
      </c>
      <c r="AY346" s="49">
        <v>199.48</v>
      </c>
      <c r="AZ346" s="49" t="s">
        <v>1574</v>
      </c>
      <c r="BA346" s="49">
        <v>401.14444757955999</v>
      </c>
      <c r="BB346" s="49">
        <v>373.19</v>
      </c>
      <c r="BC346" s="49">
        <v>1.4624999999999999</v>
      </c>
      <c r="BD346" s="49" t="s">
        <v>1574</v>
      </c>
      <c r="BE346" s="49">
        <v>1.1166</v>
      </c>
      <c r="BF346" s="49">
        <v>32</v>
      </c>
      <c r="BG346" s="49">
        <v>189</v>
      </c>
      <c r="BH346" s="49">
        <v>154</v>
      </c>
      <c r="BI346" s="49">
        <v>105</v>
      </c>
      <c r="BJ346" s="49">
        <v>83</v>
      </c>
      <c r="BK346" s="49">
        <v>2526.41</v>
      </c>
      <c r="BL346" s="49">
        <v>24.3</v>
      </c>
      <c r="BM346" s="49">
        <v>2359.3000000000002</v>
      </c>
      <c r="BN346" s="49">
        <v>648.70000000000005</v>
      </c>
      <c r="BO346" s="49">
        <v>6772.9</v>
      </c>
      <c r="BP346" s="49">
        <v>15496.8</v>
      </c>
      <c r="BQ346" s="49">
        <v>981.9</v>
      </c>
      <c r="BR346" s="49">
        <v>443.61</v>
      </c>
      <c r="BS346" s="49">
        <v>496.38</v>
      </c>
      <c r="BT346" s="49">
        <v>6.4104999999999999</v>
      </c>
      <c r="BU346" s="41"/>
      <c r="BV346" s="41"/>
      <c r="BW346" s="41"/>
      <c r="BX346" s="41"/>
      <c r="BY346" s="41"/>
      <c r="BZ346" s="41"/>
      <c r="CA346" s="41"/>
      <c r="CB346" s="41"/>
      <c r="CC346" s="41"/>
      <c r="CD346" s="41"/>
      <c r="CE346" s="41"/>
      <c r="CF346" s="41"/>
      <c r="CG346" s="41"/>
      <c r="CH346" s="41"/>
      <c r="CI346" s="41"/>
      <c r="CJ346" s="41"/>
      <c r="CK346" s="41"/>
    </row>
    <row r="347" spans="1:89">
      <c r="A347" s="41" t="s">
        <v>476</v>
      </c>
      <c r="B347" s="51">
        <v>16.466666666670001</v>
      </c>
      <c r="C347" s="51">
        <v>16.600000000000001</v>
      </c>
      <c r="D347" s="51">
        <v>14.95</v>
      </c>
      <c r="E347" s="51">
        <v>17.850000000000001</v>
      </c>
      <c r="F347" s="51">
        <v>33</v>
      </c>
      <c r="G347" s="51">
        <v>27</v>
      </c>
      <c r="H347" s="51">
        <v>1.59</v>
      </c>
      <c r="I347" s="51">
        <v>2.36</v>
      </c>
      <c r="J347" s="51">
        <v>3.34</v>
      </c>
      <c r="K347" s="51">
        <v>32.790168125139999</v>
      </c>
      <c r="L347" s="51">
        <v>1.6491</v>
      </c>
      <c r="M347" s="51">
        <v>3.0074999999999998</v>
      </c>
      <c r="N347" s="51">
        <v>2.1204000000000001</v>
      </c>
      <c r="O347" s="51">
        <v>1.5568</v>
      </c>
      <c r="P347" s="51">
        <v>1.479805</v>
      </c>
      <c r="Q347" s="51">
        <v>1.7798989999999999</v>
      </c>
      <c r="R347" s="51">
        <v>1.410569</v>
      </c>
      <c r="S347" s="51">
        <v>509</v>
      </c>
      <c r="T347" s="51">
        <v>1070</v>
      </c>
      <c r="U347" s="51">
        <v>520</v>
      </c>
      <c r="V347" s="51">
        <v>515</v>
      </c>
      <c r="W347" s="51">
        <v>403</v>
      </c>
      <c r="X347" s="51" t="s">
        <v>1574</v>
      </c>
      <c r="Y347" s="51">
        <v>270</v>
      </c>
      <c r="Z347" s="51">
        <v>409</v>
      </c>
      <c r="AA347" s="51">
        <v>237</v>
      </c>
      <c r="AB347" s="51" t="s">
        <v>1574</v>
      </c>
      <c r="AC347" s="51" t="s">
        <v>1574</v>
      </c>
      <c r="AD347" s="51">
        <v>67.92</v>
      </c>
      <c r="AE347" s="51">
        <v>89.52</v>
      </c>
      <c r="AF347" s="51">
        <v>81.739999999999995</v>
      </c>
      <c r="AG347" s="51">
        <v>288</v>
      </c>
      <c r="AH347" s="51">
        <v>267</v>
      </c>
      <c r="AI347" s="51">
        <v>220</v>
      </c>
      <c r="AJ347" s="51" t="s">
        <v>1574</v>
      </c>
      <c r="AK347" s="51">
        <v>122.91</v>
      </c>
      <c r="AL347" s="51">
        <v>126.77</v>
      </c>
      <c r="AM347" s="51" t="s">
        <v>1574</v>
      </c>
      <c r="AN347" s="51">
        <v>0.48230000000000001</v>
      </c>
      <c r="AO347" s="51">
        <v>0.46826000000000001</v>
      </c>
      <c r="AP347" s="51">
        <v>2.4912000000000001</v>
      </c>
      <c r="AQ347" s="51">
        <v>0.89485525799999999</v>
      </c>
      <c r="AR347" s="51">
        <v>2.5838000000000001</v>
      </c>
      <c r="AS347" s="51">
        <v>13.56</v>
      </c>
      <c r="AT347" s="51">
        <v>0.55288526473999999</v>
      </c>
      <c r="AU347" s="51">
        <v>0.48854378863999998</v>
      </c>
      <c r="AV347" s="51">
        <v>0.1883</v>
      </c>
      <c r="AW347" s="51">
        <v>2359.59</v>
      </c>
      <c r="AX347" s="51">
        <v>274.64</v>
      </c>
      <c r="AY347" s="51">
        <v>212.62</v>
      </c>
      <c r="AZ347" s="51" t="s">
        <v>1574</v>
      </c>
      <c r="BA347" s="51">
        <v>415.20383158843998</v>
      </c>
      <c r="BB347" s="51">
        <v>376.21</v>
      </c>
      <c r="BC347" s="51">
        <v>1.4495</v>
      </c>
      <c r="BD347" s="51" t="s">
        <v>1574</v>
      </c>
      <c r="BE347" s="51">
        <v>1.1884999999999999</v>
      </c>
      <c r="BF347" s="51">
        <v>32</v>
      </c>
      <c r="BG347" s="51">
        <v>194.5</v>
      </c>
      <c r="BH347" s="51">
        <v>154</v>
      </c>
      <c r="BI347" s="51">
        <v>97.5</v>
      </c>
      <c r="BJ347" s="51">
        <v>83</v>
      </c>
      <c r="BK347" s="51">
        <v>2508.35</v>
      </c>
      <c r="BL347" s="51">
        <v>24.3</v>
      </c>
      <c r="BM347" s="51">
        <v>2286.3000000000002</v>
      </c>
      <c r="BN347" s="51">
        <v>649.4</v>
      </c>
      <c r="BO347" s="51">
        <v>6752.6</v>
      </c>
      <c r="BP347" s="51">
        <v>18011.8</v>
      </c>
      <c r="BQ347" s="51">
        <v>1069.2</v>
      </c>
      <c r="BR347" s="51">
        <v>451.55</v>
      </c>
      <c r="BS347" s="51">
        <v>526.98</v>
      </c>
      <c r="BT347" s="51">
        <v>6.4802999999999997</v>
      </c>
      <c r="BU347" s="41"/>
      <c r="BV347" s="41"/>
      <c r="BW347" s="41"/>
      <c r="BX347" s="41"/>
      <c r="BY347" s="41"/>
      <c r="BZ347" s="41"/>
      <c r="CA347" s="41"/>
      <c r="CB347" s="41"/>
      <c r="CC347" s="41"/>
      <c r="CD347" s="41"/>
      <c r="CE347" s="41"/>
      <c r="CF347" s="41"/>
      <c r="CG347" s="41"/>
      <c r="CH347" s="41"/>
      <c r="CI347" s="41"/>
      <c r="CJ347" s="41"/>
      <c r="CK347" s="41"/>
    </row>
    <row r="348" spans="1:89">
      <c r="A348" s="48" t="s">
        <v>477</v>
      </c>
      <c r="B348" s="49">
        <v>16.216666666670001</v>
      </c>
      <c r="C348" s="49">
        <v>16.399999999999999</v>
      </c>
      <c r="D348" s="49">
        <v>14.85</v>
      </c>
      <c r="E348" s="49">
        <v>17.399999999999999</v>
      </c>
      <c r="F348" s="49">
        <v>33</v>
      </c>
      <c r="G348" s="49">
        <v>27.5</v>
      </c>
      <c r="H348" s="49">
        <v>1.52</v>
      </c>
      <c r="I348" s="49">
        <v>2.36</v>
      </c>
      <c r="J348" s="49">
        <v>3.34</v>
      </c>
      <c r="K348" s="49">
        <v>31.940132016980002</v>
      </c>
      <c r="L348" s="49">
        <v>1.7073</v>
      </c>
      <c r="M348" s="49">
        <v>3.0567000000000002</v>
      </c>
      <c r="N348" s="49">
        <v>2.0737000000000001</v>
      </c>
      <c r="O348" s="49">
        <v>1.6766000000000001</v>
      </c>
      <c r="P348" s="49">
        <v>1.343664</v>
      </c>
      <c r="Q348" s="49">
        <v>2.2848130000000002</v>
      </c>
      <c r="R348" s="49">
        <v>1.4014720000000001</v>
      </c>
      <c r="S348" s="49">
        <v>533</v>
      </c>
      <c r="T348" s="49">
        <v>1094</v>
      </c>
      <c r="U348" s="49">
        <v>541</v>
      </c>
      <c r="V348" s="49">
        <v>541</v>
      </c>
      <c r="W348" s="49">
        <v>422</v>
      </c>
      <c r="X348" s="49" t="s">
        <v>1574</v>
      </c>
      <c r="Y348" s="49">
        <v>285</v>
      </c>
      <c r="Z348" s="49">
        <v>437</v>
      </c>
      <c r="AA348" s="49">
        <v>255</v>
      </c>
      <c r="AB348" s="49" t="s">
        <v>1574</v>
      </c>
      <c r="AC348" s="49" t="s">
        <v>1574</v>
      </c>
      <c r="AD348" s="49">
        <v>65.25</v>
      </c>
      <c r="AE348" s="49">
        <v>89.32</v>
      </c>
      <c r="AF348" s="49">
        <v>81.41</v>
      </c>
      <c r="AG348" s="49">
        <v>257</v>
      </c>
      <c r="AH348" s="49">
        <v>241</v>
      </c>
      <c r="AI348" s="49">
        <v>211</v>
      </c>
      <c r="AJ348" s="49" t="s">
        <v>1574</v>
      </c>
      <c r="AK348" s="49">
        <v>124.42</v>
      </c>
      <c r="AL348" s="49">
        <v>128.97</v>
      </c>
      <c r="AM348" s="49" t="s">
        <v>1574</v>
      </c>
      <c r="AN348" s="49">
        <v>0.55830000000000002</v>
      </c>
      <c r="AO348" s="49">
        <v>0.44890000000000002</v>
      </c>
      <c r="AP348" s="49">
        <v>2.4251</v>
      </c>
      <c r="AQ348" s="49">
        <v>0.94137274000000004</v>
      </c>
      <c r="AR348" s="49">
        <v>2.5488</v>
      </c>
      <c r="AS348" s="49">
        <v>13.34</v>
      </c>
      <c r="AT348" s="49">
        <v>0.55142626318999999</v>
      </c>
      <c r="AU348" s="49">
        <v>0.48788242955</v>
      </c>
      <c r="AV348" s="49">
        <v>0.19620000000000001</v>
      </c>
      <c r="AW348" s="49">
        <v>2379.98</v>
      </c>
      <c r="AX348" s="49">
        <v>272.07</v>
      </c>
      <c r="AY348" s="49">
        <v>210.65</v>
      </c>
      <c r="AZ348" s="49" t="s">
        <v>1574</v>
      </c>
      <c r="BA348" s="49">
        <v>413.12199841976002</v>
      </c>
      <c r="BB348" s="49">
        <v>372.69</v>
      </c>
      <c r="BC348" s="49">
        <v>1.4457</v>
      </c>
      <c r="BD348" s="49" t="s">
        <v>1574</v>
      </c>
      <c r="BE348" s="49">
        <v>1.3007</v>
      </c>
      <c r="BF348" s="49">
        <v>32</v>
      </c>
      <c r="BG348" s="49">
        <v>175.5</v>
      </c>
      <c r="BH348" s="49">
        <v>154</v>
      </c>
      <c r="BI348" s="49">
        <v>110</v>
      </c>
      <c r="BJ348" s="49">
        <v>84.5</v>
      </c>
      <c r="BK348" s="49">
        <v>2988.16</v>
      </c>
      <c r="BL348" s="49">
        <v>24.3</v>
      </c>
      <c r="BM348" s="49">
        <v>2447.9899999999998</v>
      </c>
      <c r="BN348" s="49">
        <v>668.3</v>
      </c>
      <c r="BO348" s="49">
        <v>6777.6</v>
      </c>
      <c r="BP348" s="49">
        <v>17025</v>
      </c>
      <c r="BQ348" s="49">
        <v>1176.7</v>
      </c>
      <c r="BR348" s="49">
        <v>451.07</v>
      </c>
      <c r="BS348" s="49">
        <v>548.84</v>
      </c>
      <c r="BT348" s="49">
        <v>6.5404</v>
      </c>
      <c r="BU348" s="41"/>
      <c r="BV348" s="41"/>
      <c r="BW348" s="41"/>
      <c r="BX348" s="41"/>
      <c r="BY348" s="41"/>
      <c r="BZ348" s="41"/>
      <c r="CA348" s="41"/>
      <c r="CB348" s="41"/>
      <c r="CC348" s="41"/>
      <c r="CD348" s="41"/>
      <c r="CE348" s="41"/>
      <c r="CF348" s="41"/>
      <c r="CG348" s="41"/>
      <c r="CH348" s="41"/>
      <c r="CI348" s="41"/>
      <c r="CJ348" s="41"/>
      <c r="CK348" s="41"/>
    </row>
    <row r="349" spans="1:89">
      <c r="A349" s="41" t="s">
        <v>478</v>
      </c>
      <c r="B349" s="51">
        <v>15.33333333333</v>
      </c>
      <c r="C349" s="51">
        <v>15.55</v>
      </c>
      <c r="D349" s="51">
        <v>13.8</v>
      </c>
      <c r="E349" s="51">
        <v>16.649999999999999</v>
      </c>
      <c r="F349" s="51">
        <v>36</v>
      </c>
      <c r="G349" s="51">
        <v>27.5</v>
      </c>
      <c r="H349" s="51">
        <v>1.53</v>
      </c>
      <c r="I349" s="51">
        <v>2.36</v>
      </c>
      <c r="J349" s="51">
        <v>3.34</v>
      </c>
      <c r="K349" s="51">
        <v>32.061565746719999</v>
      </c>
      <c r="L349" s="51">
        <v>1.6241000000000001</v>
      </c>
      <c r="M349" s="51">
        <v>3.1718000000000002</v>
      </c>
      <c r="N349" s="51">
        <v>2.0608</v>
      </c>
      <c r="O349" s="51">
        <v>1.6653</v>
      </c>
      <c r="P349" s="51">
        <v>1.335542</v>
      </c>
      <c r="Q349" s="51">
        <v>2.2892000000000001</v>
      </c>
      <c r="R349" s="51">
        <v>1.37104</v>
      </c>
      <c r="S349" s="51">
        <v>614</v>
      </c>
      <c r="T349" s="51">
        <v>1150</v>
      </c>
      <c r="U349" s="51">
        <v>606</v>
      </c>
      <c r="V349" s="51">
        <v>637</v>
      </c>
      <c r="W349" s="51">
        <v>496</v>
      </c>
      <c r="X349" s="51" t="s">
        <v>1574</v>
      </c>
      <c r="Y349" s="51">
        <v>353</v>
      </c>
      <c r="Z349" s="51">
        <v>544</v>
      </c>
      <c r="AA349" s="51">
        <v>317</v>
      </c>
      <c r="AB349" s="51" t="s">
        <v>1574</v>
      </c>
      <c r="AC349" s="51" t="s">
        <v>1574</v>
      </c>
      <c r="AD349" s="51">
        <v>79.900000000000006</v>
      </c>
      <c r="AE349" s="51">
        <v>120.27</v>
      </c>
      <c r="AF349" s="51">
        <v>114.6</v>
      </c>
      <c r="AG349" s="51">
        <v>271.5</v>
      </c>
      <c r="AH349" s="51">
        <v>253</v>
      </c>
      <c r="AI349" s="51">
        <v>226</v>
      </c>
      <c r="AJ349" s="51" t="s">
        <v>1574</v>
      </c>
      <c r="AK349" s="51">
        <v>139.63</v>
      </c>
      <c r="AL349" s="51">
        <v>149.91</v>
      </c>
      <c r="AM349" s="51" t="s">
        <v>1574</v>
      </c>
      <c r="AN349" s="51">
        <v>0.59519999999999995</v>
      </c>
      <c r="AO349" s="51">
        <v>0.43955</v>
      </c>
      <c r="AP349" s="51">
        <v>2.4228999999999998</v>
      </c>
      <c r="AQ349" s="51">
        <v>1.0094954979999999</v>
      </c>
      <c r="AR349" s="51">
        <v>2.4245000000000001</v>
      </c>
      <c r="AS349" s="51">
        <v>13.37</v>
      </c>
      <c r="AT349" s="51">
        <v>0.52520018797000001</v>
      </c>
      <c r="AU349" s="51">
        <v>0.49692136817999999</v>
      </c>
      <c r="AV349" s="51">
        <v>0.23300000000000001</v>
      </c>
      <c r="AW349" s="51">
        <v>2340.16</v>
      </c>
      <c r="AX349" s="51">
        <v>263.43</v>
      </c>
      <c r="AY349" s="51">
        <v>198.44</v>
      </c>
      <c r="AZ349" s="51" t="s">
        <v>1574</v>
      </c>
      <c r="BA349" s="51">
        <v>400.01373999039998</v>
      </c>
      <c r="BB349" s="51">
        <v>350.01</v>
      </c>
      <c r="BC349" s="51">
        <v>1.5163</v>
      </c>
      <c r="BD349" s="51" t="s">
        <v>1574</v>
      </c>
      <c r="BE349" s="51">
        <v>1.4621</v>
      </c>
      <c r="BF349" s="51">
        <v>32</v>
      </c>
      <c r="BG349" s="51">
        <v>166.5</v>
      </c>
      <c r="BH349" s="51">
        <v>157.5</v>
      </c>
      <c r="BI349" s="51">
        <v>110</v>
      </c>
      <c r="BJ349" s="51">
        <v>84.5</v>
      </c>
      <c r="BK349" s="51">
        <v>3577.86</v>
      </c>
      <c r="BL349" s="51">
        <v>24.3</v>
      </c>
      <c r="BM349" s="51">
        <v>2540.27</v>
      </c>
      <c r="BN349" s="51">
        <v>677.5</v>
      </c>
      <c r="BO349" s="51">
        <v>7035.8</v>
      </c>
      <c r="BP349" s="51">
        <v>15589.8</v>
      </c>
      <c r="BQ349" s="51">
        <v>1365.3</v>
      </c>
      <c r="BR349" s="51">
        <v>451.33</v>
      </c>
      <c r="BS349" s="51">
        <v>579.63</v>
      </c>
      <c r="BT349" s="51">
        <v>7.0155000000000003</v>
      </c>
      <c r="BU349" s="41"/>
      <c r="BV349" s="41"/>
      <c r="BW349" s="41"/>
      <c r="BX349" s="41"/>
      <c r="BY349" s="41"/>
      <c r="BZ349" s="41"/>
      <c r="CA349" s="41"/>
      <c r="CB349" s="41"/>
      <c r="CC349" s="41"/>
      <c r="CD349" s="41"/>
      <c r="CE349" s="41"/>
      <c r="CF349" s="41"/>
      <c r="CG349" s="41"/>
      <c r="CH349" s="41"/>
      <c r="CI349" s="41"/>
      <c r="CJ349" s="41"/>
      <c r="CK349" s="41"/>
    </row>
    <row r="350" spans="1:89">
      <c r="A350" s="48" t="s">
        <v>479</v>
      </c>
      <c r="B350" s="49">
        <v>14.48333333333</v>
      </c>
      <c r="C350" s="49">
        <v>14.9</v>
      </c>
      <c r="D350" s="49">
        <v>13.05</v>
      </c>
      <c r="E350" s="49">
        <v>15.5</v>
      </c>
      <c r="F350" s="49">
        <v>36</v>
      </c>
      <c r="G350" s="49">
        <v>27.5</v>
      </c>
      <c r="H350" s="49">
        <v>1.56</v>
      </c>
      <c r="I350" s="49">
        <v>2.36</v>
      </c>
      <c r="J350" s="49">
        <v>3.34</v>
      </c>
      <c r="K350" s="49">
        <v>32.425866935930003</v>
      </c>
      <c r="L350" s="49">
        <v>1.6095999999999999</v>
      </c>
      <c r="M350" s="49">
        <v>3.1299000000000001</v>
      </c>
      <c r="N350" s="49">
        <v>1.881</v>
      </c>
      <c r="O350" s="49">
        <v>1.6453</v>
      </c>
      <c r="P350" s="49">
        <v>1.2353289999999999</v>
      </c>
      <c r="Q350" s="49">
        <v>2.372436</v>
      </c>
      <c r="R350" s="49">
        <v>1.328036</v>
      </c>
      <c r="S350" s="49">
        <v>666</v>
      </c>
      <c r="T350" s="49">
        <v>799</v>
      </c>
      <c r="U350" s="49">
        <v>609</v>
      </c>
      <c r="V350" s="49">
        <v>769</v>
      </c>
      <c r="W350" s="49">
        <v>517</v>
      </c>
      <c r="X350" s="49" t="s">
        <v>1574</v>
      </c>
      <c r="Y350" s="49">
        <v>351</v>
      </c>
      <c r="Z350" s="49">
        <v>600</v>
      </c>
      <c r="AA350" s="49">
        <v>293</v>
      </c>
      <c r="AB350" s="49" t="s">
        <v>1574</v>
      </c>
      <c r="AC350" s="49" t="s">
        <v>1574</v>
      </c>
      <c r="AD350" s="49">
        <v>78.239999999999995</v>
      </c>
      <c r="AE350" s="49">
        <v>125.49</v>
      </c>
      <c r="AF350" s="49">
        <v>116.9</v>
      </c>
      <c r="AG350" s="49">
        <v>271.75</v>
      </c>
      <c r="AH350" s="49">
        <v>260</v>
      </c>
      <c r="AI350" s="49">
        <v>232</v>
      </c>
      <c r="AJ350" s="49" t="s">
        <v>1574</v>
      </c>
      <c r="AK350" s="49">
        <v>138.94</v>
      </c>
      <c r="AL350" s="49">
        <v>149.55000000000001</v>
      </c>
      <c r="AM350" s="49" t="s">
        <v>1574</v>
      </c>
      <c r="AN350" s="49">
        <v>0.41670000000000001</v>
      </c>
      <c r="AO350" s="49">
        <v>0.39562999999999998</v>
      </c>
      <c r="AP350" s="49">
        <v>2.4426999999999999</v>
      </c>
      <c r="AQ350" s="49">
        <v>1.1018690760000001</v>
      </c>
      <c r="AR350" s="49">
        <v>2.3047</v>
      </c>
      <c r="AS350" s="49">
        <v>12.51</v>
      </c>
      <c r="AT350" s="49">
        <v>0.50262588467000002</v>
      </c>
      <c r="AU350" s="49">
        <v>0.51654247272999998</v>
      </c>
      <c r="AV350" s="49">
        <v>0.30919999999999997</v>
      </c>
      <c r="AW350" s="49">
        <v>2374</v>
      </c>
      <c r="AX350" s="49">
        <v>264.87</v>
      </c>
      <c r="AY350" s="49">
        <v>188.28</v>
      </c>
      <c r="AZ350" s="49" t="s">
        <v>1574</v>
      </c>
      <c r="BA350" s="49">
        <v>388.82071411353002</v>
      </c>
      <c r="BB350" s="49">
        <v>312.81</v>
      </c>
      <c r="BC350" s="49">
        <v>1.3983000000000001</v>
      </c>
      <c r="BD350" s="49" t="s">
        <v>1574</v>
      </c>
      <c r="BE350" s="49">
        <v>1.3231999999999999</v>
      </c>
      <c r="BF350" s="49">
        <v>32</v>
      </c>
      <c r="BG350" s="49">
        <v>177</v>
      </c>
      <c r="BH350" s="49">
        <v>157.5</v>
      </c>
      <c r="BI350" s="49">
        <v>110</v>
      </c>
      <c r="BJ350" s="49">
        <v>84.5</v>
      </c>
      <c r="BK350" s="49">
        <v>2582.0500000000002</v>
      </c>
      <c r="BL350" s="49">
        <v>24.3</v>
      </c>
      <c r="BM350" s="49">
        <v>2213.5100000000002</v>
      </c>
      <c r="BN350" s="49">
        <v>619.29999999999995</v>
      </c>
      <c r="BO350" s="49">
        <v>7148.8</v>
      </c>
      <c r="BP350" s="49">
        <v>14591.3</v>
      </c>
      <c r="BQ350" s="49">
        <v>1237.4000000000001</v>
      </c>
      <c r="BR350" s="49">
        <v>437.63</v>
      </c>
      <c r="BS350" s="49">
        <v>548.64</v>
      </c>
      <c r="BT350" s="49">
        <v>7.0411999999999999</v>
      </c>
      <c r="BU350" s="41"/>
      <c r="BV350" s="41"/>
      <c r="BW350" s="41"/>
      <c r="BX350" s="41"/>
      <c r="BY350" s="41"/>
      <c r="BZ350" s="41"/>
      <c r="CA350" s="41"/>
      <c r="CB350" s="41"/>
      <c r="CC350" s="41"/>
      <c r="CD350" s="41"/>
      <c r="CE350" s="41"/>
      <c r="CF350" s="41"/>
      <c r="CG350" s="41"/>
      <c r="CH350" s="41"/>
      <c r="CI350" s="41"/>
      <c r="CJ350" s="41"/>
      <c r="CK350" s="41"/>
    </row>
    <row r="351" spans="1:89">
      <c r="A351" s="41" t="s">
        <v>480</v>
      </c>
      <c r="B351" s="51">
        <v>14.55</v>
      </c>
      <c r="C351" s="51">
        <v>14.95</v>
      </c>
      <c r="D351" s="51">
        <v>13.15</v>
      </c>
      <c r="E351" s="51">
        <v>15.55</v>
      </c>
      <c r="F351" s="51">
        <v>36</v>
      </c>
      <c r="G351" s="51">
        <v>28.5</v>
      </c>
      <c r="H351" s="51">
        <v>1.62</v>
      </c>
      <c r="I351" s="51">
        <v>2.36</v>
      </c>
      <c r="J351" s="51">
        <v>3.34</v>
      </c>
      <c r="K351" s="51">
        <v>33.154469314350003</v>
      </c>
      <c r="L351" s="51">
        <v>1.4478</v>
      </c>
      <c r="M351" s="51">
        <v>2.9228000000000001</v>
      </c>
      <c r="N351" s="51">
        <v>1.8001</v>
      </c>
      <c r="O351" s="51">
        <v>1.5627</v>
      </c>
      <c r="P351" s="51">
        <v>1.2298640000000001</v>
      </c>
      <c r="Q351" s="51">
        <v>2.147821</v>
      </c>
      <c r="R351" s="51">
        <v>1.310352</v>
      </c>
      <c r="S351" s="51">
        <v>576</v>
      </c>
      <c r="T351" s="51">
        <v>802</v>
      </c>
      <c r="U351" s="51">
        <v>577</v>
      </c>
      <c r="V351" s="51">
        <v>696</v>
      </c>
      <c r="W351" s="51">
        <v>450</v>
      </c>
      <c r="X351" s="51" t="s">
        <v>1574</v>
      </c>
      <c r="Y351" s="51">
        <v>342</v>
      </c>
      <c r="Z351" s="51">
        <v>534</v>
      </c>
      <c r="AA351" s="51">
        <v>283</v>
      </c>
      <c r="AB351" s="51" t="s">
        <v>1574</v>
      </c>
      <c r="AC351" s="51" t="s">
        <v>1574</v>
      </c>
      <c r="AD351" s="51">
        <v>66.58</v>
      </c>
      <c r="AE351" s="51">
        <v>119.92</v>
      </c>
      <c r="AF351" s="51">
        <v>109.79</v>
      </c>
      <c r="AG351" s="51">
        <v>271.60000000000002</v>
      </c>
      <c r="AH351" s="51" t="s">
        <v>1574</v>
      </c>
      <c r="AI351" s="51">
        <v>217</v>
      </c>
      <c r="AJ351" s="51" t="s">
        <v>1574</v>
      </c>
      <c r="AK351" s="51">
        <v>145.87</v>
      </c>
      <c r="AL351" s="51">
        <v>149.91</v>
      </c>
      <c r="AM351" s="51" t="s">
        <v>1574</v>
      </c>
      <c r="AN351" s="51">
        <v>0.35830000000000001</v>
      </c>
      <c r="AO351" s="51">
        <v>0.40333999999999998</v>
      </c>
      <c r="AP351" s="51">
        <v>2.5110999999999999</v>
      </c>
      <c r="AQ351" s="51">
        <v>1.1234743519999999</v>
      </c>
      <c r="AR351" s="51">
        <v>2.2656999999999998</v>
      </c>
      <c r="AS351" s="51">
        <v>11.82</v>
      </c>
      <c r="AT351" s="51">
        <v>0.50036520389000005</v>
      </c>
      <c r="AU351" s="51">
        <v>0.48281181363999998</v>
      </c>
      <c r="AV351" s="51">
        <v>0.2457</v>
      </c>
      <c r="AW351" s="51">
        <v>2409.75</v>
      </c>
      <c r="AX351" s="51">
        <v>262.08</v>
      </c>
      <c r="AY351" s="51">
        <v>175.28</v>
      </c>
      <c r="AZ351" s="51" t="s">
        <v>1574</v>
      </c>
      <c r="BA351" s="51">
        <v>374.08527024513</v>
      </c>
      <c r="BB351" s="51">
        <v>310.56</v>
      </c>
      <c r="BC351" s="51">
        <v>1.2728999999999999</v>
      </c>
      <c r="BD351" s="51" t="s">
        <v>1574</v>
      </c>
      <c r="BE351" s="51">
        <v>1.2907999999999999</v>
      </c>
      <c r="BF351" s="51">
        <v>31.2</v>
      </c>
      <c r="BG351" s="51">
        <v>176.5</v>
      </c>
      <c r="BH351" s="51">
        <v>161.5</v>
      </c>
      <c r="BI351" s="51">
        <v>130</v>
      </c>
      <c r="BJ351" s="51">
        <v>93</v>
      </c>
      <c r="BK351" s="51">
        <v>2701.14</v>
      </c>
      <c r="BL351" s="51">
        <v>24.3</v>
      </c>
      <c r="BM351" s="51">
        <v>2200.6799999999998</v>
      </c>
      <c r="BN351" s="51">
        <v>601.6</v>
      </c>
      <c r="BO351" s="51">
        <v>7322.7</v>
      </c>
      <c r="BP351" s="51">
        <v>14187</v>
      </c>
      <c r="BQ351" s="51">
        <v>1309.2</v>
      </c>
      <c r="BR351" s="51">
        <v>431.28</v>
      </c>
      <c r="BS351" s="51">
        <v>532.88</v>
      </c>
      <c r="BT351" s="51">
        <v>6.7130999999999998</v>
      </c>
      <c r="BU351" s="41"/>
      <c r="BV351" s="41"/>
      <c r="BW351" s="41"/>
      <c r="BX351" s="41"/>
      <c r="BY351" s="41"/>
      <c r="BZ351" s="41"/>
      <c r="CA351" s="41"/>
      <c r="CB351" s="41"/>
      <c r="CC351" s="41"/>
      <c r="CD351" s="41"/>
      <c r="CE351" s="41"/>
      <c r="CF351" s="41"/>
      <c r="CG351" s="41"/>
      <c r="CH351" s="41"/>
      <c r="CI351" s="41"/>
      <c r="CJ351" s="41"/>
      <c r="CK351" s="41"/>
    </row>
    <row r="352" spans="1:89">
      <c r="A352" s="48" t="s">
        <v>481</v>
      </c>
      <c r="B352" s="49">
        <v>13.1</v>
      </c>
      <c r="C352" s="49">
        <v>13.3</v>
      </c>
      <c r="D352" s="49">
        <v>11.55</v>
      </c>
      <c r="E352" s="49">
        <v>14.45</v>
      </c>
      <c r="F352" s="49">
        <v>37</v>
      </c>
      <c r="G352" s="49">
        <v>29.25</v>
      </c>
      <c r="H352" s="49">
        <v>1.53</v>
      </c>
      <c r="I352" s="49">
        <v>2.36</v>
      </c>
      <c r="J352" s="49">
        <v>3.34</v>
      </c>
      <c r="K352" s="49">
        <v>32.061565746719999</v>
      </c>
      <c r="L352" s="49">
        <v>1.2392000000000001</v>
      </c>
      <c r="M352" s="49">
        <v>3.0390999999999999</v>
      </c>
      <c r="N352" s="49">
        <v>1.9789000000000001</v>
      </c>
      <c r="O352" s="49">
        <v>1.5006999999999999</v>
      </c>
      <c r="P352" s="49">
        <v>1.206661</v>
      </c>
      <c r="Q352" s="49">
        <v>1.9888209999999999</v>
      </c>
      <c r="R352" s="49">
        <v>1.3066230000000001</v>
      </c>
      <c r="S352" s="49">
        <v>567</v>
      </c>
      <c r="T352" s="49">
        <v>803</v>
      </c>
      <c r="U352" s="49">
        <v>582</v>
      </c>
      <c r="V352" s="49">
        <v>649</v>
      </c>
      <c r="W352" s="49">
        <v>428</v>
      </c>
      <c r="X352" s="49" t="s">
        <v>1574</v>
      </c>
      <c r="Y352" s="49">
        <v>337</v>
      </c>
      <c r="Z352" s="49">
        <v>478</v>
      </c>
      <c r="AA352" s="49">
        <v>297</v>
      </c>
      <c r="AB352" s="49" t="s">
        <v>1574</v>
      </c>
      <c r="AC352" s="49" t="s">
        <v>1574</v>
      </c>
      <c r="AD352" s="49">
        <v>88.38</v>
      </c>
      <c r="AE352" s="49">
        <v>121.37</v>
      </c>
      <c r="AF352" s="49">
        <v>109.79</v>
      </c>
      <c r="AG352" s="49">
        <v>273.25</v>
      </c>
      <c r="AH352" s="49">
        <v>251</v>
      </c>
      <c r="AI352" s="49">
        <v>221</v>
      </c>
      <c r="AJ352" s="49" t="s">
        <v>1574</v>
      </c>
      <c r="AK352" s="49">
        <v>153.26</v>
      </c>
      <c r="AL352" s="49">
        <v>159.47</v>
      </c>
      <c r="AM352" s="49" t="s">
        <v>1574</v>
      </c>
      <c r="AN352" s="49">
        <v>0.53459999999999996</v>
      </c>
      <c r="AO352" s="49">
        <v>0.53297000000000005</v>
      </c>
      <c r="AP352" s="49">
        <v>2.5110999999999999</v>
      </c>
      <c r="AQ352" s="49">
        <v>1.13868623</v>
      </c>
      <c r="AR352" s="49">
        <v>2.2565</v>
      </c>
      <c r="AS352" s="49">
        <v>11.64</v>
      </c>
      <c r="AT352" s="49">
        <v>0.49619466371999998</v>
      </c>
      <c r="AU352" s="49">
        <v>0.47994578408999999</v>
      </c>
      <c r="AV352" s="49">
        <v>0.224</v>
      </c>
      <c r="AW352" s="49">
        <v>2437.6799999999998</v>
      </c>
      <c r="AX352" s="49">
        <v>263.77</v>
      </c>
      <c r="AY352" s="49">
        <v>178.1</v>
      </c>
      <c r="AZ352" s="49" t="s">
        <v>1574</v>
      </c>
      <c r="BA352" s="49">
        <v>377.32332052806998</v>
      </c>
      <c r="BB352" s="49">
        <v>319.85000000000002</v>
      </c>
      <c r="BC352" s="49">
        <v>1.2511000000000001</v>
      </c>
      <c r="BD352" s="49" t="s">
        <v>1574</v>
      </c>
      <c r="BE352" s="49">
        <v>1.1874</v>
      </c>
      <c r="BF352" s="49">
        <v>31</v>
      </c>
      <c r="BG352" s="49">
        <v>173.5</v>
      </c>
      <c r="BH352" s="49">
        <v>162</v>
      </c>
      <c r="BI352" s="49">
        <v>130</v>
      </c>
      <c r="BJ352" s="49">
        <v>90</v>
      </c>
      <c r="BK352" s="49">
        <v>2387.12</v>
      </c>
      <c r="BL352" s="49">
        <v>24.3</v>
      </c>
      <c r="BM352" s="49">
        <v>2435.5300000000002</v>
      </c>
      <c r="BN352" s="49">
        <v>609.79999999999995</v>
      </c>
      <c r="BO352" s="49">
        <v>7408.5</v>
      </c>
      <c r="BP352" s="49">
        <v>11878.4</v>
      </c>
      <c r="BQ352" s="49">
        <v>1330.3</v>
      </c>
      <c r="BR352" s="49">
        <v>413.46</v>
      </c>
      <c r="BS352" s="49">
        <v>512.57000000000005</v>
      </c>
      <c r="BT352" s="49">
        <v>6.3780999999999999</v>
      </c>
      <c r="BU352" s="41"/>
      <c r="BV352" s="41"/>
      <c r="BW352" s="41"/>
      <c r="BX352" s="41"/>
      <c r="BY352" s="41"/>
      <c r="BZ352" s="41"/>
      <c r="CA352" s="41"/>
      <c r="CB352" s="41"/>
      <c r="CC352" s="41"/>
      <c r="CD352" s="41"/>
      <c r="CE352" s="41"/>
      <c r="CF352" s="41"/>
      <c r="CG352" s="41"/>
      <c r="CH352" s="41"/>
      <c r="CI352" s="41"/>
      <c r="CJ352" s="41"/>
      <c r="CK352" s="41"/>
    </row>
    <row r="353" spans="1:89">
      <c r="A353" s="41" t="s">
        <v>482</v>
      </c>
      <c r="B353" s="51">
        <v>12.183333333329999</v>
      </c>
      <c r="C353" s="51">
        <v>12.45</v>
      </c>
      <c r="D353" s="51">
        <v>10.3</v>
      </c>
      <c r="E353" s="51">
        <v>13.8</v>
      </c>
      <c r="F353" s="51">
        <v>37</v>
      </c>
      <c r="G353" s="51">
        <v>30</v>
      </c>
      <c r="H353" s="51">
        <v>1.68</v>
      </c>
      <c r="I353" s="51">
        <v>2.36</v>
      </c>
      <c r="J353" s="51">
        <v>3.34</v>
      </c>
      <c r="K353" s="51">
        <v>33.883071692770002</v>
      </c>
      <c r="L353" s="51">
        <v>1.3043</v>
      </c>
      <c r="M353" s="51">
        <v>2.9502000000000002</v>
      </c>
      <c r="N353" s="51">
        <v>2.0743999999999998</v>
      </c>
      <c r="O353" s="51">
        <v>1.5374000000000001</v>
      </c>
      <c r="P353" s="51">
        <v>1.290978</v>
      </c>
      <c r="Q353" s="51">
        <v>2.006786</v>
      </c>
      <c r="R353" s="51">
        <v>1.3143899999999999</v>
      </c>
      <c r="S353" s="51">
        <v>564</v>
      </c>
      <c r="T353" s="51">
        <v>803</v>
      </c>
      <c r="U353" s="51">
        <v>575</v>
      </c>
      <c r="V353" s="51">
        <v>606</v>
      </c>
      <c r="W353" s="51">
        <v>431</v>
      </c>
      <c r="X353" s="51" t="s">
        <v>1574</v>
      </c>
      <c r="Y353" s="51">
        <v>313</v>
      </c>
      <c r="Z353" s="51">
        <v>449</v>
      </c>
      <c r="AA353" s="51">
        <v>290</v>
      </c>
      <c r="AB353" s="51" t="s">
        <v>1574</v>
      </c>
      <c r="AC353" s="51" t="s">
        <v>1574</v>
      </c>
      <c r="AD353" s="51">
        <v>76.59</v>
      </c>
      <c r="AE353" s="51">
        <v>121.35</v>
      </c>
      <c r="AF353" s="51">
        <v>108.69</v>
      </c>
      <c r="AG353" s="51">
        <v>273</v>
      </c>
      <c r="AH353" s="51">
        <v>257</v>
      </c>
      <c r="AI353" s="51">
        <v>226</v>
      </c>
      <c r="AJ353" s="51" t="s">
        <v>1574</v>
      </c>
      <c r="AK353" s="51">
        <v>162.87</v>
      </c>
      <c r="AL353" s="51">
        <v>162.04</v>
      </c>
      <c r="AM353" s="51" t="s">
        <v>1574</v>
      </c>
      <c r="AN353" s="51">
        <v>0.42049999999999998</v>
      </c>
      <c r="AO353" s="51">
        <v>0.58545000000000003</v>
      </c>
      <c r="AP353" s="51">
        <v>2.5684</v>
      </c>
      <c r="AQ353" s="51">
        <v>1.0906255140000001</v>
      </c>
      <c r="AR353" s="51">
        <v>2.3096000000000001</v>
      </c>
      <c r="AS353" s="51">
        <v>11.88</v>
      </c>
      <c r="AT353" s="51">
        <v>0.51156541759999996</v>
      </c>
      <c r="AU353" s="51">
        <v>0.47928442500000001</v>
      </c>
      <c r="AV353" s="51">
        <v>0.2266</v>
      </c>
      <c r="AW353" s="51">
        <v>2510.2600000000002</v>
      </c>
      <c r="AX353" s="51">
        <v>269.39999999999998</v>
      </c>
      <c r="AY353" s="51">
        <v>199.25</v>
      </c>
      <c r="AZ353" s="51" t="s">
        <v>1574</v>
      </c>
      <c r="BA353" s="51">
        <v>400.89462123047002</v>
      </c>
      <c r="BB353" s="51">
        <v>336.38</v>
      </c>
      <c r="BC353" s="51">
        <v>1.2706999999999999</v>
      </c>
      <c r="BD353" s="51" t="s">
        <v>1574</v>
      </c>
      <c r="BE353" s="51">
        <v>1.0604</v>
      </c>
      <c r="BF353" s="51">
        <v>31</v>
      </c>
      <c r="BG353" s="51">
        <v>174.5</v>
      </c>
      <c r="BH353" s="51">
        <v>164</v>
      </c>
      <c r="BI353" s="51">
        <v>130</v>
      </c>
      <c r="BJ353" s="51">
        <v>91.5</v>
      </c>
      <c r="BK353" s="51">
        <v>2309.4899999999998</v>
      </c>
      <c r="BL353" s="51">
        <v>24.3</v>
      </c>
      <c r="BM353" s="51">
        <v>2939.51</v>
      </c>
      <c r="BN353" s="51">
        <v>655.20000000000005</v>
      </c>
      <c r="BO353" s="51">
        <v>7252.7</v>
      </c>
      <c r="BP353" s="51">
        <v>11557.5</v>
      </c>
      <c r="BQ353" s="51">
        <v>1519.9</v>
      </c>
      <c r="BR353" s="51">
        <v>406.78</v>
      </c>
      <c r="BS353" s="51">
        <v>525.73</v>
      </c>
      <c r="BT353" s="51">
        <v>6.2812000000000001</v>
      </c>
      <c r="BU353" s="41"/>
      <c r="BV353" s="41"/>
      <c r="BW353" s="41"/>
      <c r="BX353" s="41"/>
      <c r="BY353" s="41"/>
      <c r="BZ353" s="41"/>
      <c r="CA353" s="41"/>
      <c r="CB353" s="41"/>
      <c r="CC353" s="41"/>
      <c r="CD353" s="41"/>
      <c r="CE353" s="41"/>
      <c r="CF353" s="41"/>
      <c r="CG353" s="41"/>
      <c r="CH353" s="41"/>
      <c r="CI353" s="41"/>
      <c r="CJ353" s="41"/>
      <c r="CK353" s="41"/>
    </row>
    <row r="354" spans="1:89">
      <c r="A354" s="48" t="s">
        <v>483</v>
      </c>
      <c r="B354" s="49">
        <v>12.533333333330001</v>
      </c>
      <c r="C354" s="49">
        <v>13</v>
      </c>
      <c r="D354" s="49">
        <v>10.6</v>
      </c>
      <c r="E354" s="49">
        <v>14</v>
      </c>
      <c r="F354" s="49">
        <v>37.5</v>
      </c>
      <c r="G354" s="49">
        <v>30</v>
      </c>
      <c r="H354" s="49">
        <v>1.76</v>
      </c>
      <c r="I354" s="49">
        <v>2.36</v>
      </c>
      <c r="J354" s="49">
        <v>3.34</v>
      </c>
      <c r="K354" s="49">
        <v>34.854541530660001</v>
      </c>
      <c r="L354" s="49">
        <v>1.4729000000000001</v>
      </c>
      <c r="M354" s="49">
        <v>2.9847999999999999</v>
      </c>
      <c r="N354" s="49">
        <v>2.0428000000000002</v>
      </c>
      <c r="O354" s="49">
        <v>1.5334000000000001</v>
      </c>
      <c r="P354" s="49">
        <v>1.3386709999999999</v>
      </c>
      <c r="Q354" s="49">
        <v>1.9377880000000001</v>
      </c>
      <c r="R354" s="49">
        <v>1.3235939999999999</v>
      </c>
      <c r="S354" s="49">
        <v>570</v>
      </c>
      <c r="T354" s="49">
        <v>800</v>
      </c>
      <c r="U354" s="49">
        <v>556</v>
      </c>
      <c r="V354" s="49">
        <v>564</v>
      </c>
      <c r="W354" s="49">
        <v>418</v>
      </c>
      <c r="X354" s="49" t="s">
        <v>1574</v>
      </c>
      <c r="Y354" s="49">
        <v>313</v>
      </c>
      <c r="Z354" s="49">
        <v>431</v>
      </c>
      <c r="AA354" s="49">
        <v>283</v>
      </c>
      <c r="AB354" s="49" t="s">
        <v>1574</v>
      </c>
      <c r="AC354" s="49" t="s">
        <v>1574</v>
      </c>
      <c r="AD354" s="49">
        <v>74.87</v>
      </c>
      <c r="AE354" s="49">
        <v>114.43</v>
      </c>
      <c r="AF354" s="49">
        <v>101.04</v>
      </c>
      <c r="AG354" s="49">
        <v>271.8</v>
      </c>
      <c r="AH354" s="49">
        <v>255</v>
      </c>
      <c r="AI354" s="49">
        <v>227</v>
      </c>
      <c r="AJ354" s="49" t="s">
        <v>1574</v>
      </c>
      <c r="AK354" s="49">
        <v>162.29</v>
      </c>
      <c r="AL354" s="49">
        <v>163.88</v>
      </c>
      <c r="AM354" s="49" t="s">
        <v>1574</v>
      </c>
      <c r="AN354" s="49">
        <v>0.41060000000000002</v>
      </c>
      <c r="AO354" s="49">
        <v>0.53347</v>
      </c>
      <c r="AP354" s="49">
        <v>2.5684</v>
      </c>
      <c r="AQ354" s="49">
        <v>1.05601298</v>
      </c>
      <c r="AR354" s="49">
        <v>2.3862999999999999</v>
      </c>
      <c r="AS354" s="49">
        <v>12.35</v>
      </c>
      <c r="AT354" s="49">
        <v>0.53286636917999997</v>
      </c>
      <c r="AU354" s="49">
        <v>0.47840255681999999</v>
      </c>
      <c r="AV354" s="49">
        <v>0.23899999999999999</v>
      </c>
      <c r="AW354" s="49">
        <v>2563</v>
      </c>
      <c r="AX354" s="49">
        <v>280.56</v>
      </c>
      <c r="AY354" s="49">
        <v>208.69</v>
      </c>
      <c r="AZ354" s="49" t="s">
        <v>1574</v>
      </c>
      <c r="BA354" s="49">
        <v>411.04182602573002</v>
      </c>
      <c r="BB354" s="49">
        <v>393.7</v>
      </c>
      <c r="BC354" s="49">
        <v>1.2922</v>
      </c>
      <c r="BD354" s="49" t="s">
        <v>1574</v>
      </c>
      <c r="BE354" s="49">
        <v>1.0282</v>
      </c>
      <c r="BF354" s="49">
        <v>31</v>
      </c>
      <c r="BG354" s="49">
        <v>173</v>
      </c>
      <c r="BH354" s="49">
        <v>164</v>
      </c>
      <c r="BI354" s="49">
        <v>130</v>
      </c>
      <c r="BJ354" s="49">
        <v>91.5</v>
      </c>
      <c r="BK354" s="49">
        <v>2381.7600000000002</v>
      </c>
      <c r="BL354" s="49">
        <v>24.3</v>
      </c>
      <c r="BM354" s="49">
        <v>3304.66</v>
      </c>
      <c r="BN354" s="49">
        <v>691.4</v>
      </c>
      <c r="BO354" s="49">
        <v>7312.4</v>
      </c>
      <c r="BP354" s="49">
        <v>13342</v>
      </c>
      <c r="BQ354" s="49">
        <v>1559</v>
      </c>
      <c r="BR354" s="49">
        <v>420.17</v>
      </c>
      <c r="BS354" s="49">
        <v>575.78</v>
      </c>
      <c r="BT354" s="49">
        <v>6.2946999999999997</v>
      </c>
      <c r="BU354" s="41"/>
      <c r="BV354" s="41"/>
      <c r="BW354" s="41"/>
      <c r="BX354" s="41"/>
      <c r="BY354" s="41"/>
      <c r="BZ354" s="41"/>
      <c r="CA354" s="41"/>
      <c r="CB354" s="41"/>
      <c r="CC354" s="41"/>
      <c r="CD354" s="41"/>
      <c r="CE354" s="41"/>
      <c r="CF354" s="41"/>
      <c r="CG354" s="41"/>
      <c r="CH354" s="41"/>
      <c r="CI354" s="41"/>
      <c r="CJ354" s="41"/>
      <c r="CK354" s="41"/>
    </row>
    <row r="355" spans="1:89">
      <c r="A355" s="41" t="s">
        <v>484</v>
      </c>
      <c r="B355" s="51">
        <v>14.65</v>
      </c>
      <c r="C355" s="51">
        <v>15.15</v>
      </c>
      <c r="D355" s="51">
        <v>12.5</v>
      </c>
      <c r="E355" s="51">
        <v>16.3</v>
      </c>
      <c r="F355" s="51">
        <v>38</v>
      </c>
      <c r="G355" s="51">
        <v>31</v>
      </c>
      <c r="H355" s="51">
        <v>1.89</v>
      </c>
      <c r="I355" s="51">
        <v>2.36</v>
      </c>
      <c r="J355" s="51">
        <v>3.34</v>
      </c>
      <c r="K355" s="51">
        <v>36.433180017239998</v>
      </c>
      <c r="L355" s="51">
        <v>1.5031000000000001</v>
      </c>
      <c r="M355" s="51">
        <v>3.2545999999999999</v>
      </c>
      <c r="N355" s="51">
        <v>2.2151000000000001</v>
      </c>
      <c r="O355" s="51">
        <v>1.5199</v>
      </c>
      <c r="P355" s="51">
        <v>1.315231</v>
      </c>
      <c r="Q355" s="51">
        <v>1.932868</v>
      </c>
      <c r="R355" s="51">
        <v>1.31165</v>
      </c>
      <c r="S355" s="51">
        <v>567</v>
      </c>
      <c r="T355" s="51">
        <v>800</v>
      </c>
      <c r="U355" s="51">
        <v>534</v>
      </c>
      <c r="V355" s="51">
        <v>563</v>
      </c>
      <c r="W355" s="51">
        <v>411</v>
      </c>
      <c r="X355" s="51" t="s">
        <v>1574</v>
      </c>
      <c r="Y355" s="51">
        <v>313</v>
      </c>
      <c r="Z355" s="51">
        <v>444</v>
      </c>
      <c r="AA355" s="51">
        <v>287</v>
      </c>
      <c r="AB355" s="51" t="s">
        <v>1574</v>
      </c>
      <c r="AC355" s="51" t="s">
        <v>1574</v>
      </c>
      <c r="AD355" s="51">
        <v>70.22</v>
      </c>
      <c r="AE355" s="51">
        <v>116.88</v>
      </c>
      <c r="AF355" s="51">
        <v>108.25</v>
      </c>
      <c r="AG355" s="51">
        <v>260</v>
      </c>
      <c r="AH355" s="51">
        <v>242</v>
      </c>
      <c r="AI355" s="51">
        <v>223</v>
      </c>
      <c r="AJ355" s="51" t="s">
        <v>1574</v>
      </c>
      <c r="AK355" s="51">
        <v>168.86</v>
      </c>
      <c r="AL355" s="51">
        <v>166.82</v>
      </c>
      <c r="AM355" s="51" t="s">
        <v>1574</v>
      </c>
      <c r="AN355" s="51">
        <v>0.50160000000000005</v>
      </c>
      <c r="AO355" s="51">
        <v>0.44130999999999998</v>
      </c>
      <c r="AP355" s="51">
        <v>2.5684</v>
      </c>
      <c r="AQ355" s="51">
        <v>1.05050143</v>
      </c>
      <c r="AR355" s="51">
        <v>2.3914</v>
      </c>
      <c r="AS355" s="51">
        <v>12.7</v>
      </c>
      <c r="AT355" s="51">
        <v>0.53867870132999995</v>
      </c>
      <c r="AU355" s="51">
        <v>0.48479597499999999</v>
      </c>
      <c r="AV355" s="51">
        <v>0.24729999999999999</v>
      </c>
      <c r="AW355" s="51">
        <v>2642.22</v>
      </c>
      <c r="AX355" s="51">
        <v>279.33</v>
      </c>
      <c r="AY355" s="51">
        <v>204.04</v>
      </c>
      <c r="AZ355" s="51" t="s">
        <v>1574</v>
      </c>
      <c r="BA355" s="51">
        <v>406.07046348717</v>
      </c>
      <c r="BB355" s="51">
        <v>392.3</v>
      </c>
      <c r="BC355" s="51">
        <v>1.3543000000000001</v>
      </c>
      <c r="BD355" s="51" t="s">
        <v>1574</v>
      </c>
      <c r="BE355" s="51">
        <v>1.0713999999999999</v>
      </c>
      <c r="BF355" s="51">
        <v>31</v>
      </c>
      <c r="BG355" s="51">
        <v>178.5</v>
      </c>
      <c r="BH355" s="51">
        <v>164</v>
      </c>
      <c r="BI355" s="51">
        <v>120</v>
      </c>
      <c r="BJ355" s="51">
        <v>91.5</v>
      </c>
      <c r="BK355" s="51">
        <v>2502.65</v>
      </c>
      <c r="BL355" s="51">
        <v>24.3</v>
      </c>
      <c r="BM355" s="51">
        <v>3498.91</v>
      </c>
      <c r="BN355" s="51">
        <v>731</v>
      </c>
      <c r="BO355" s="51">
        <v>7337.4</v>
      </c>
      <c r="BP355" s="51">
        <v>16920</v>
      </c>
      <c r="BQ355" s="51">
        <v>1594.3</v>
      </c>
      <c r="BR355" s="51">
        <v>419.05</v>
      </c>
      <c r="BS355" s="51">
        <v>564.11</v>
      </c>
      <c r="BT355" s="51">
        <v>6.1245000000000003</v>
      </c>
      <c r="BU355" s="41"/>
      <c r="BV355" s="41"/>
      <c r="BW355" s="41"/>
      <c r="BX355" s="41"/>
      <c r="BY355" s="41"/>
      <c r="BZ355" s="41"/>
      <c r="CA355" s="41"/>
      <c r="CB355" s="41"/>
      <c r="CC355" s="41"/>
      <c r="CD355" s="41"/>
      <c r="CE355" s="41"/>
      <c r="CF355" s="41"/>
      <c r="CG355" s="41"/>
      <c r="CH355" s="41"/>
      <c r="CI355" s="41"/>
      <c r="CJ355" s="41"/>
      <c r="CK355" s="41"/>
    </row>
    <row r="356" spans="1:89">
      <c r="A356" s="48" t="s">
        <v>485</v>
      </c>
      <c r="B356" s="49">
        <v>16.483333333329998</v>
      </c>
      <c r="C356" s="49">
        <v>17</v>
      </c>
      <c r="D356" s="49">
        <v>14.45</v>
      </c>
      <c r="E356" s="49">
        <v>18</v>
      </c>
      <c r="F356" s="49">
        <v>38</v>
      </c>
      <c r="G356" s="49">
        <v>31</v>
      </c>
      <c r="H356" s="49">
        <v>1.78</v>
      </c>
      <c r="I356" s="49">
        <v>2.09</v>
      </c>
      <c r="J356" s="49">
        <v>3.28</v>
      </c>
      <c r="K356" s="49">
        <v>33.773186799580003</v>
      </c>
      <c r="L356" s="49">
        <v>1.4348000000000001</v>
      </c>
      <c r="M356" s="49">
        <v>3.3563000000000001</v>
      </c>
      <c r="N356" s="49">
        <v>2.2342</v>
      </c>
      <c r="O356" s="49">
        <v>1.615</v>
      </c>
      <c r="P356" s="49">
        <v>1.264194</v>
      </c>
      <c r="Q356" s="49">
        <v>1.920201</v>
      </c>
      <c r="R356" s="49">
        <v>1.660717</v>
      </c>
      <c r="S356" s="49">
        <v>537</v>
      </c>
      <c r="T356" s="49">
        <v>826</v>
      </c>
      <c r="U356" s="49">
        <v>481</v>
      </c>
      <c r="V356" s="49">
        <v>592</v>
      </c>
      <c r="W356" s="49">
        <v>383</v>
      </c>
      <c r="X356" s="49" t="s">
        <v>1574</v>
      </c>
      <c r="Y356" s="49">
        <v>318</v>
      </c>
      <c r="Z356" s="49">
        <v>423</v>
      </c>
      <c r="AA356" s="49">
        <v>288</v>
      </c>
      <c r="AB356" s="49" t="s">
        <v>1574</v>
      </c>
      <c r="AC356" s="49" t="s">
        <v>1574</v>
      </c>
      <c r="AD356" s="49">
        <v>73.209999999999994</v>
      </c>
      <c r="AE356" s="49">
        <v>118.2</v>
      </c>
      <c r="AF356" s="49">
        <v>110.07</v>
      </c>
      <c r="AG356" s="49">
        <v>264.8</v>
      </c>
      <c r="AH356" s="49">
        <v>248</v>
      </c>
      <c r="AI356" s="49">
        <v>231</v>
      </c>
      <c r="AJ356" s="49" t="s">
        <v>1574</v>
      </c>
      <c r="AK356" s="49">
        <v>172.56</v>
      </c>
      <c r="AL356" s="49">
        <v>173.8</v>
      </c>
      <c r="AM356" s="49" t="s">
        <v>1574</v>
      </c>
      <c r="AN356" s="49">
        <v>0.42709999999999998</v>
      </c>
      <c r="AO356" s="49">
        <v>0.42338999999999999</v>
      </c>
      <c r="AP356" s="49">
        <v>2.4361000000000002</v>
      </c>
      <c r="AQ356" s="49">
        <v>1.072106706</v>
      </c>
      <c r="AR356" s="49">
        <v>2.2957999999999998</v>
      </c>
      <c r="AS356" s="49">
        <v>12.64</v>
      </c>
      <c r="AT356" s="49">
        <v>0.53856663863999998</v>
      </c>
      <c r="AU356" s="49">
        <v>0.48237087955000002</v>
      </c>
      <c r="AV356" s="49">
        <v>0.2127</v>
      </c>
      <c r="AW356" s="49">
        <v>2724.49</v>
      </c>
      <c r="AX356" s="49">
        <v>270.39</v>
      </c>
      <c r="AY356" s="49">
        <v>199.36</v>
      </c>
      <c r="AZ356" s="49" t="s">
        <v>1574</v>
      </c>
      <c r="BA356" s="49">
        <v>401.01411993867998</v>
      </c>
      <c r="BB356" s="49">
        <v>363.51</v>
      </c>
      <c r="BC356" s="49">
        <v>1.3916999999999999</v>
      </c>
      <c r="BD356" s="49" t="s">
        <v>1574</v>
      </c>
      <c r="BE356" s="49">
        <v>1.1169</v>
      </c>
      <c r="BF356" s="49">
        <v>31</v>
      </c>
      <c r="BG356" s="49">
        <v>181</v>
      </c>
      <c r="BH356" s="49">
        <v>164</v>
      </c>
      <c r="BI356" s="49">
        <v>120</v>
      </c>
      <c r="BJ356" s="49">
        <v>91.5</v>
      </c>
      <c r="BK356" s="49">
        <v>2397.5500000000002</v>
      </c>
      <c r="BL356" s="49">
        <v>27.83</v>
      </c>
      <c r="BM356" s="49">
        <v>3394.06</v>
      </c>
      <c r="BN356" s="49">
        <v>675.7</v>
      </c>
      <c r="BO356" s="49">
        <v>7409.6</v>
      </c>
      <c r="BP356" s="49">
        <v>17725</v>
      </c>
      <c r="BQ356" s="49">
        <v>1734</v>
      </c>
      <c r="BR356" s="49">
        <v>404.01</v>
      </c>
      <c r="BS356" s="49">
        <v>526.92999999999995</v>
      </c>
      <c r="BT356" s="49">
        <v>5.9950000000000001</v>
      </c>
      <c r="BU356" s="41"/>
      <c r="BV356" s="41"/>
      <c r="BW356" s="41"/>
      <c r="BX356" s="41"/>
      <c r="BY356" s="41"/>
      <c r="BZ356" s="41"/>
      <c r="CA356" s="41"/>
      <c r="CB356" s="41"/>
      <c r="CC356" s="41"/>
      <c r="CD356" s="41"/>
      <c r="CE356" s="41"/>
      <c r="CF356" s="41"/>
      <c r="CG356" s="41"/>
      <c r="CH356" s="41"/>
      <c r="CI356" s="41"/>
      <c r="CJ356" s="41"/>
      <c r="CK356" s="41"/>
    </row>
    <row r="357" spans="1:89">
      <c r="A357" s="41" t="s">
        <v>486</v>
      </c>
      <c r="B357" s="51">
        <v>16.350000000000001</v>
      </c>
      <c r="C357" s="51">
        <v>16.649999999999999</v>
      </c>
      <c r="D357" s="51">
        <v>14.6</v>
      </c>
      <c r="E357" s="51">
        <v>17.8</v>
      </c>
      <c r="F357" s="51">
        <v>38</v>
      </c>
      <c r="G357" s="51">
        <v>31</v>
      </c>
      <c r="H357" s="51">
        <v>1.71</v>
      </c>
      <c r="I357" s="51">
        <v>2.09</v>
      </c>
      <c r="J357" s="51">
        <v>3.28</v>
      </c>
      <c r="K357" s="51">
        <v>32.923150691419998</v>
      </c>
      <c r="L357" s="51">
        <v>1.4817</v>
      </c>
      <c r="M357" s="51">
        <v>3.0853999999999999</v>
      </c>
      <c r="N357" s="51">
        <v>2.1191</v>
      </c>
      <c r="O357" s="51">
        <v>1.6500999999999999</v>
      </c>
      <c r="P357" s="51">
        <v>1.3450960000000001</v>
      </c>
      <c r="Q357" s="51">
        <v>1.9558089999999999</v>
      </c>
      <c r="R357" s="51">
        <v>1.6495280000000001</v>
      </c>
      <c r="S357" s="51">
        <v>538</v>
      </c>
      <c r="T357" s="51">
        <v>826</v>
      </c>
      <c r="U357" s="51">
        <v>464</v>
      </c>
      <c r="V357" s="51">
        <v>630</v>
      </c>
      <c r="W357" s="51">
        <v>401</v>
      </c>
      <c r="X357" s="51" t="s">
        <v>1574</v>
      </c>
      <c r="Y357" s="51">
        <v>307</v>
      </c>
      <c r="Z357" s="51">
        <v>412</v>
      </c>
      <c r="AA357" s="51">
        <v>270</v>
      </c>
      <c r="AB357" s="51" t="s">
        <v>1574</v>
      </c>
      <c r="AC357" s="51" t="s">
        <v>1574</v>
      </c>
      <c r="AD357" s="51">
        <v>75.569999999999993</v>
      </c>
      <c r="AE357" s="51">
        <v>117.42</v>
      </c>
      <c r="AF357" s="51">
        <v>110.12</v>
      </c>
      <c r="AG357" s="51">
        <v>269.25</v>
      </c>
      <c r="AH357" s="51">
        <v>256</v>
      </c>
      <c r="AI357" s="51">
        <v>235</v>
      </c>
      <c r="AJ357" s="51" t="s">
        <v>1574</v>
      </c>
      <c r="AK357" s="51">
        <v>164.24</v>
      </c>
      <c r="AL357" s="51">
        <v>171.96</v>
      </c>
      <c r="AM357" s="51" t="s">
        <v>1574</v>
      </c>
      <c r="AN357" s="51">
        <v>0.49270000000000003</v>
      </c>
      <c r="AO357" s="51">
        <v>0.37261</v>
      </c>
      <c r="AP357" s="51">
        <v>2.4889999999999999</v>
      </c>
      <c r="AQ357" s="51">
        <v>1.0681383900000001</v>
      </c>
      <c r="AR357" s="51">
        <v>2.2961999999999998</v>
      </c>
      <c r="AS357" s="51">
        <v>12.68</v>
      </c>
      <c r="AT357" s="51">
        <v>0.53185894033000003</v>
      </c>
      <c r="AU357" s="51">
        <v>0.48655962727000002</v>
      </c>
      <c r="AV357" s="51">
        <v>0.2324</v>
      </c>
      <c r="AW357" s="51">
        <v>2870.53</v>
      </c>
      <c r="AX357" s="51">
        <v>277.45999999999998</v>
      </c>
      <c r="AY357" s="51">
        <v>195.97</v>
      </c>
      <c r="AZ357" s="51" t="s">
        <v>1574</v>
      </c>
      <c r="BA357" s="51">
        <v>404.54926424101001</v>
      </c>
      <c r="BB357" s="51">
        <v>352.2</v>
      </c>
      <c r="BC357" s="51">
        <v>1.3880999999999999</v>
      </c>
      <c r="BD357" s="51" t="s">
        <v>1574</v>
      </c>
      <c r="BE357" s="51">
        <v>1.1246</v>
      </c>
      <c r="BF357" s="51">
        <v>31</v>
      </c>
      <c r="BG357" s="51">
        <v>178.5</v>
      </c>
      <c r="BH357" s="51">
        <v>164</v>
      </c>
      <c r="BI357" s="51">
        <v>120</v>
      </c>
      <c r="BJ357" s="51">
        <v>101.5</v>
      </c>
      <c r="BK357" s="51">
        <v>2183.0500000000002</v>
      </c>
      <c r="BL357" s="51">
        <v>27.83</v>
      </c>
      <c r="BM357" s="51">
        <v>3096.92</v>
      </c>
      <c r="BN357" s="51">
        <v>621.6</v>
      </c>
      <c r="BO357" s="51">
        <v>7873.7</v>
      </c>
      <c r="BP357" s="51">
        <v>18523.8</v>
      </c>
      <c r="BQ357" s="51">
        <v>1932.4</v>
      </c>
      <c r="BR357" s="51">
        <v>387.51</v>
      </c>
      <c r="BS357" s="51">
        <v>531.94000000000005</v>
      </c>
      <c r="BT357" s="51">
        <v>5.8846999999999996</v>
      </c>
      <c r="BU357" s="41"/>
      <c r="BV357" s="41"/>
      <c r="BW357" s="41"/>
      <c r="BX357" s="41"/>
      <c r="BY357" s="41"/>
      <c r="BZ357" s="41"/>
      <c r="CA357" s="41"/>
      <c r="CB357" s="41"/>
      <c r="CC357" s="41"/>
      <c r="CD357" s="41"/>
      <c r="CE357" s="41"/>
      <c r="CF357" s="41"/>
      <c r="CG357" s="41"/>
      <c r="CH357" s="41"/>
      <c r="CI357" s="41"/>
      <c r="CJ357" s="41"/>
      <c r="CK357" s="41"/>
    </row>
    <row r="358" spans="1:89">
      <c r="A358" s="48" t="s">
        <v>487</v>
      </c>
      <c r="B358" s="49">
        <v>18.033333333329999</v>
      </c>
      <c r="C358" s="49">
        <v>18.7</v>
      </c>
      <c r="D358" s="49">
        <v>15.95</v>
      </c>
      <c r="E358" s="49">
        <v>19.45</v>
      </c>
      <c r="F358" s="49">
        <v>38</v>
      </c>
      <c r="G358" s="49">
        <v>31</v>
      </c>
      <c r="H358" s="49">
        <v>1.49</v>
      </c>
      <c r="I358" s="49">
        <v>2.09</v>
      </c>
      <c r="J358" s="49">
        <v>3.28</v>
      </c>
      <c r="K358" s="49">
        <v>30.251608637219999</v>
      </c>
      <c r="L358" s="49">
        <v>1.4088000000000001</v>
      </c>
      <c r="M358" s="49">
        <v>3.0966</v>
      </c>
      <c r="N358" s="49">
        <v>2.081</v>
      </c>
      <c r="O358" s="49">
        <v>1.6819</v>
      </c>
      <c r="P358" s="49">
        <v>1.4457180000000001</v>
      </c>
      <c r="Q358" s="49">
        <v>1.9794560000000001</v>
      </c>
      <c r="R358" s="49">
        <v>1.6206309999999999</v>
      </c>
      <c r="S358" s="49">
        <v>545</v>
      </c>
      <c r="T358" s="49">
        <v>820</v>
      </c>
      <c r="U358" s="49">
        <v>437</v>
      </c>
      <c r="V358" s="49">
        <v>746</v>
      </c>
      <c r="W358" s="49">
        <v>399</v>
      </c>
      <c r="X358" s="49" t="s">
        <v>1574</v>
      </c>
      <c r="Y358" s="49">
        <v>313</v>
      </c>
      <c r="Z358" s="49">
        <v>437</v>
      </c>
      <c r="AA358" s="49">
        <v>277</v>
      </c>
      <c r="AB358" s="49" t="s">
        <v>1574</v>
      </c>
      <c r="AC358" s="49" t="s">
        <v>1574</v>
      </c>
      <c r="AD358" s="49">
        <v>82.9</v>
      </c>
      <c r="AE358" s="49">
        <v>118.38</v>
      </c>
      <c r="AF358" s="49">
        <v>110.05</v>
      </c>
      <c r="AG358" s="49">
        <v>278.5</v>
      </c>
      <c r="AH358" s="49">
        <v>259</v>
      </c>
      <c r="AI358" s="49">
        <v>233</v>
      </c>
      <c r="AJ358" s="49" t="s">
        <v>1574</v>
      </c>
      <c r="AK358" s="49">
        <v>168.58</v>
      </c>
      <c r="AL358" s="49">
        <v>178.21</v>
      </c>
      <c r="AM358" s="49" t="s">
        <v>1574</v>
      </c>
      <c r="AN358" s="49">
        <v>0.7</v>
      </c>
      <c r="AO358" s="49">
        <v>0.41698000000000002</v>
      </c>
      <c r="AP358" s="49">
        <v>2.4396</v>
      </c>
      <c r="AQ358" s="49">
        <v>1.0873185839999999</v>
      </c>
      <c r="AR358" s="49">
        <v>2.2574999999999998</v>
      </c>
      <c r="AS358" s="49">
        <v>12.76</v>
      </c>
      <c r="AT358" s="49">
        <v>0.52009012935999999</v>
      </c>
      <c r="AU358" s="49">
        <v>0.48766192045000001</v>
      </c>
      <c r="AV358" s="49">
        <v>0.25440000000000002</v>
      </c>
      <c r="AW358" s="49">
        <v>3033.02</v>
      </c>
      <c r="AX358" s="49">
        <v>276.69</v>
      </c>
      <c r="AY358" s="49">
        <v>187.5</v>
      </c>
      <c r="AZ358" s="49" t="s">
        <v>1574</v>
      </c>
      <c r="BA358" s="49">
        <v>402.44044918615998</v>
      </c>
      <c r="BB358" s="49">
        <v>345.2</v>
      </c>
      <c r="BC358" s="49">
        <v>1.4555</v>
      </c>
      <c r="BD358" s="49" t="s">
        <v>1574</v>
      </c>
      <c r="BE358" s="49">
        <v>1.0891</v>
      </c>
      <c r="BF358" s="49">
        <v>31</v>
      </c>
      <c r="BG358" s="49">
        <v>176.5</v>
      </c>
      <c r="BH358" s="49">
        <v>158</v>
      </c>
      <c r="BI358" s="49">
        <v>120</v>
      </c>
      <c r="BJ358" s="49">
        <v>100.5</v>
      </c>
      <c r="BK358" s="49">
        <v>2073.71</v>
      </c>
      <c r="BL358" s="49">
        <v>27.83</v>
      </c>
      <c r="BM358" s="49">
        <v>3264.14</v>
      </c>
      <c r="BN358" s="49">
        <v>589.20000000000005</v>
      </c>
      <c r="BO358" s="49">
        <v>8760.5</v>
      </c>
      <c r="BP358" s="49">
        <v>17157.099999999999</v>
      </c>
      <c r="BQ358" s="49">
        <v>1961.6</v>
      </c>
      <c r="BR358" s="49">
        <v>390.15</v>
      </c>
      <c r="BS358" s="49">
        <v>538.03</v>
      </c>
      <c r="BT358" s="49">
        <v>5.9592000000000001</v>
      </c>
      <c r="BU358" s="41"/>
      <c r="BV358" s="41"/>
      <c r="BW358" s="41"/>
      <c r="BX358" s="41"/>
      <c r="BY358" s="41"/>
      <c r="BZ358" s="41"/>
      <c r="CA358" s="41"/>
      <c r="CB358" s="41"/>
      <c r="CC358" s="41"/>
      <c r="CD358" s="41"/>
      <c r="CE358" s="41"/>
      <c r="CF358" s="41"/>
      <c r="CG358" s="41"/>
      <c r="CH358" s="41"/>
      <c r="CI358" s="41"/>
      <c r="CJ358" s="41"/>
      <c r="CK358" s="41"/>
    </row>
    <row r="359" spans="1:89">
      <c r="A359" s="41" t="s">
        <v>488</v>
      </c>
      <c r="B359" s="51">
        <v>19.2</v>
      </c>
      <c r="C359" s="51">
        <v>19.75</v>
      </c>
      <c r="D359" s="51">
        <v>16.899999999999999</v>
      </c>
      <c r="E359" s="51">
        <v>20.95</v>
      </c>
      <c r="F359" s="51">
        <v>38</v>
      </c>
      <c r="G359" s="51">
        <v>31</v>
      </c>
      <c r="H359" s="51">
        <v>1.53</v>
      </c>
      <c r="I359" s="51">
        <v>2.09</v>
      </c>
      <c r="J359" s="51">
        <v>3.28</v>
      </c>
      <c r="K359" s="51">
        <v>30.737343556159999</v>
      </c>
      <c r="L359" s="51">
        <v>1.2907999999999999</v>
      </c>
      <c r="M359" s="51">
        <v>3.1720000000000002</v>
      </c>
      <c r="N359" s="51">
        <v>2.0110000000000001</v>
      </c>
      <c r="O359" s="51">
        <v>1.7757000000000001</v>
      </c>
      <c r="P359" s="51">
        <v>1.4747060000000001</v>
      </c>
      <c r="Q359" s="51">
        <v>2.2476479999999999</v>
      </c>
      <c r="R359" s="51">
        <v>1.604711</v>
      </c>
      <c r="S359" s="51">
        <v>549</v>
      </c>
      <c r="T359" s="51">
        <v>823</v>
      </c>
      <c r="U359" s="51">
        <v>400</v>
      </c>
      <c r="V359" s="51">
        <v>753</v>
      </c>
      <c r="W359" s="51">
        <v>391</v>
      </c>
      <c r="X359" s="51" t="s">
        <v>1574</v>
      </c>
      <c r="Y359" s="51">
        <v>297</v>
      </c>
      <c r="Z359" s="51">
        <v>440</v>
      </c>
      <c r="AA359" s="51">
        <v>264</v>
      </c>
      <c r="AB359" s="51" t="s">
        <v>1574</v>
      </c>
      <c r="AC359" s="51" t="s">
        <v>1574</v>
      </c>
      <c r="AD359" s="51">
        <v>84.23</v>
      </c>
      <c r="AE359" s="51">
        <v>115.74</v>
      </c>
      <c r="AF359" s="51">
        <v>108.19</v>
      </c>
      <c r="AG359" s="51">
        <v>293</v>
      </c>
      <c r="AH359" s="51">
        <v>274</v>
      </c>
      <c r="AI359" s="51">
        <v>239</v>
      </c>
      <c r="AJ359" s="51" t="s">
        <v>1574</v>
      </c>
      <c r="AK359" s="51">
        <v>161.35</v>
      </c>
      <c r="AL359" s="51">
        <v>174.53</v>
      </c>
      <c r="AM359" s="51" t="s">
        <v>1574</v>
      </c>
      <c r="AN359" s="51">
        <v>0.72089999999999999</v>
      </c>
      <c r="AO359" s="51">
        <v>0.44822000000000001</v>
      </c>
      <c r="AP359" s="51">
        <v>2.4458000000000002</v>
      </c>
      <c r="AQ359" s="51">
        <v>1.1067192400000001</v>
      </c>
      <c r="AR359" s="51">
        <v>2.3915999999999999</v>
      </c>
      <c r="AS359" s="51">
        <v>12.71</v>
      </c>
      <c r="AT359" s="51">
        <v>0.51559908570000001</v>
      </c>
      <c r="AU359" s="51">
        <v>0.49163024317999998</v>
      </c>
      <c r="AV359" s="51">
        <v>0.2681</v>
      </c>
      <c r="AW359" s="51">
        <v>3161.72</v>
      </c>
      <c r="AX359" s="51">
        <v>276.69</v>
      </c>
      <c r="AY359" s="51">
        <v>184.82</v>
      </c>
      <c r="AZ359" s="51" t="s">
        <v>1574</v>
      </c>
      <c r="BA359" s="51">
        <v>393.64704925515002</v>
      </c>
      <c r="BB359" s="51">
        <v>342.6</v>
      </c>
      <c r="BC359" s="51">
        <v>1.6258999999999999</v>
      </c>
      <c r="BD359" s="51" t="s">
        <v>1574</v>
      </c>
      <c r="BE359" s="51">
        <v>1.0996999999999999</v>
      </c>
      <c r="BF359" s="51">
        <v>31</v>
      </c>
      <c r="BG359" s="51">
        <v>167.5</v>
      </c>
      <c r="BH359" s="51">
        <v>156.5</v>
      </c>
      <c r="BI359" s="51">
        <v>113.5</v>
      </c>
      <c r="BJ359" s="51">
        <v>98.5</v>
      </c>
      <c r="BK359" s="51">
        <v>2125.75</v>
      </c>
      <c r="BL359" s="51">
        <v>27.83</v>
      </c>
      <c r="BM359" s="51">
        <v>3117.91</v>
      </c>
      <c r="BN359" s="51">
        <v>608.1</v>
      </c>
      <c r="BO359" s="51">
        <v>10195.9</v>
      </c>
      <c r="BP359" s="51">
        <v>15261.3</v>
      </c>
      <c r="BQ359" s="51">
        <v>1656.4</v>
      </c>
      <c r="BR359" s="51">
        <v>384.4</v>
      </c>
      <c r="BS359" s="51">
        <v>537.66999999999996</v>
      </c>
      <c r="BT359" s="51">
        <v>5.7926000000000002</v>
      </c>
      <c r="BU359" s="41"/>
      <c r="BV359" s="41"/>
      <c r="BW359" s="41"/>
      <c r="BX359" s="41"/>
      <c r="BY359" s="41"/>
      <c r="BZ359" s="41"/>
      <c r="CA359" s="41"/>
      <c r="CB359" s="41"/>
      <c r="CC359" s="41"/>
      <c r="CD359" s="41"/>
      <c r="CE359" s="41"/>
      <c r="CF359" s="41"/>
      <c r="CG359" s="41"/>
      <c r="CH359" s="41"/>
      <c r="CI359" s="41"/>
      <c r="CJ359" s="41"/>
      <c r="CK359" s="41"/>
    </row>
    <row r="360" spans="1:89">
      <c r="A360" s="48" t="s">
        <v>489</v>
      </c>
      <c r="B360" s="49">
        <v>18.016666666670002</v>
      </c>
      <c r="C360" s="49">
        <v>18.350000000000001</v>
      </c>
      <c r="D360" s="49">
        <v>15.65</v>
      </c>
      <c r="E360" s="49">
        <v>20.05</v>
      </c>
      <c r="F360" s="49">
        <v>38</v>
      </c>
      <c r="G360" s="49">
        <v>31</v>
      </c>
      <c r="H360" s="49">
        <v>1.66</v>
      </c>
      <c r="I360" s="49">
        <v>2.09</v>
      </c>
      <c r="J360" s="49">
        <v>3.28</v>
      </c>
      <c r="K360" s="49">
        <v>32.315982042740004</v>
      </c>
      <c r="L360" s="49">
        <v>1.2072000000000001</v>
      </c>
      <c r="M360" s="49">
        <v>3.0992999999999999</v>
      </c>
      <c r="N360" s="49">
        <v>2.0133000000000001</v>
      </c>
      <c r="O360" s="49">
        <v>1.8622000000000001</v>
      </c>
      <c r="P360" s="49">
        <v>1.5293570000000001</v>
      </c>
      <c r="Q360" s="49">
        <v>2.5200019999999999</v>
      </c>
      <c r="R360" s="49">
        <v>1.5372079999999999</v>
      </c>
      <c r="S360" s="49">
        <v>589</v>
      </c>
      <c r="T360" s="49">
        <v>842</v>
      </c>
      <c r="U360" s="49">
        <v>399</v>
      </c>
      <c r="V360" s="49">
        <v>792</v>
      </c>
      <c r="W360" s="49">
        <v>406</v>
      </c>
      <c r="X360" s="49" t="s">
        <v>1574</v>
      </c>
      <c r="Y360" s="49">
        <v>297</v>
      </c>
      <c r="Z360" s="49">
        <v>460</v>
      </c>
      <c r="AA360" s="49">
        <v>256</v>
      </c>
      <c r="AB360" s="49" t="s">
        <v>1574</v>
      </c>
      <c r="AC360" s="49" t="s">
        <v>1574</v>
      </c>
      <c r="AD360" s="49">
        <v>83.21</v>
      </c>
      <c r="AE360" s="49">
        <v>117.64</v>
      </c>
      <c r="AF360" s="49">
        <v>111.55</v>
      </c>
      <c r="AG360" s="49">
        <v>310.25</v>
      </c>
      <c r="AH360" s="49">
        <v>288</v>
      </c>
      <c r="AI360" s="49">
        <v>246</v>
      </c>
      <c r="AJ360" s="49" t="s">
        <v>1574</v>
      </c>
      <c r="AK360" s="49">
        <v>162.63999999999999</v>
      </c>
      <c r="AL360" s="49">
        <v>176.37</v>
      </c>
      <c r="AM360" s="49" t="s">
        <v>1574</v>
      </c>
      <c r="AN360" s="49">
        <v>0.65859999999999996</v>
      </c>
      <c r="AO360" s="49">
        <v>0.45427000000000001</v>
      </c>
      <c r="AP360" s="49">
        <v>2.4298999999999999</v>
      </c>
      <c r="AQ360" s="49">
        <v>1.1459614760000001</v>
      </c>
      <c r="AR360" s="49">
        <v>2.339</v>
      </c>
      <c r="AS360" s="49">
        <v>11.68</v>
      </c>
      <c r="AT360" s="49">
        <v>0.49462687936999999</v>
      </c>
      <c r="AU360" s="49">
        <v>0.49493720681999998</v>
      </c>
      <c r="AV360" s="49">
        <v>0.2641</v>
      </c>
      <c r="AW360" s="49">
        <v>3181.6</v>
      </c>
      <c r="AX360" s="49">
        <v>264.49</v>
      </c>
      <c r="AY360" s="49">
        <v>180.18</v>
      </c>
      <c r="AZ360" s="49" t="s">
        <v>1574</v>
      </c>
      <c r="BA360" s="49">
        <v>414.83430561653</v>
      </c>
      <c r="BB360" s="49">
        <v>346.22</v>
      </c>
      <c r="BC360" s="49">
        <v>1.7050000000000001</v>
      </c>
      <c r="BD360" s="49" t="s">
        <v>1574</v>
      </c>
      <c r="BE360" s="49">
        <v>1.0199</v>
      </c>
      <c r="BF360" s="49">
        <v>31</v>
      </c>
      <c r="BG360" s="49">
        <v>152.5</v>
      </c>
      <c r="BH360" s="49">
        <v>149</v>
      </c>
      <c r="BI360" s="49">
        <v>113.5</v>
      </c>
      <c r="BJ360" s="49">
        <v>98.5</v>
      </c>
      <c r="BK360" s="49">
        <v>2259.31</v>
      </c>
      <c r="BL360" s="49">
        <v>27.83</v>
      </c>
      <c r="BM360" s="49">
        <v>2738.98</v>
      </c>
      <c r="BN360" s="49">
        <v>643.4</v>
      </c>
      <c r="BO360" s="49">
        <v>10143.700000000001</v>
      </c>
      <c r="BP360" s="49">
        <v>13454.2</v>
      </c>
      <c r="BQ360" s="49">
        <v>1628.4</v>
      </c>
      <c r="BR360" s="49">
        <v>371.05</v>
      </c>
      <c r="BS360" s="49">
        <v>516.75</v>
      </c>
      <c r="BT360" s="49">
        <v>5.4531000000000001</v>
      </c>
      <c r="BU360" s="41"/>
      <c r="BV360" s="41"/>
      <c r="BW360" s="41"/>
      <c r="BX360" s="41"/>
      <c r="BY360" s="41"/>
      <c r="BZ360" s="41"/>
      <c r="CA360" s="41"/>
      <c r="CB360" s="41"/>
      <c r="CC360" s="41"/>
      <c r="CD360" s="41"/>
      <c r="CE360" s="41"/>
      <c r="CF360" s="41"/>
      <c r="CG360" s="41"/>
      <c r="CH360" s="41"/>
      <c r="CI360" s="41"/>
      <c r="CJ360" s="41"/>
      <c r="CK360" s="41"/>
    </row>
    <row r="361" spans="1:89">
      <c r="A361" s="41" t="s">
        <v>490</v>
      </c>
      <c r="B361" s="51">
        <v>17.63333333333</v>
      </c>
      <c r="C361" s="51">
        <v>17.5</v>
      </c>
      <c r="D361" s="51">
        <v>15.4</v>
      </c>
      <c r="E361" s="51">
        <v>20</v>
      </c>
      <c r="F361" s="51">
        <v>38</v>
      </c>
      <c r="G361" s="51">
        <v>31</v>
      </c>
      <c r="H361" s="51">
        <v>1.7</v>
      </c>
      <c r="I361" s="51">
        <v>2.09</v>
      </c>
      <c r="J361" s="51">
        <v>3.28</v>
      </c>
      <c r="K361" s="51">
        <v>32.801716961689998</v>
      </c>
      <c r="L361" s="51">
        <v>1.2522</v>
      </c>
      <c r="M361" s="51">
        <v>2.7627999999999999</v>
      </c>
      <c r="N361" s="51">
        <v>1.8464</v>
      </c>
      <c r="O361" s="51">
        <v>1.7176</v>
      </c>
      <c r="P361" s="51">
        <v>1.4089069999999999</v>
      </c>
      <c r="Q361" s="51">
        <v>2.2662369999999998</v>
      </c>
      <c r="R361" s="51">
        <v>1.4775069999999999</v>
      </c>
      <c r="S361" s="51">
        <v>559</v>
      </c>
      <c r="T361" s="51">
        <v>870</v>
      </c>
      <c r="U361" s="51">
        <v>371</v>
      </c>
      <c r="V361" s="51">
        <v>802</v>
      </c>
      <c r="W361" s="51">
        <v>373</v>
      </c>
      <c r="X361" s="51" t="s">
        <v>1574</v>
      </c>
      <c r="Y361" s="51">
        <v>291</v>
      </c>
      <c r="Z361" s="51">
        <v>464</v>
      </c>
      <c r="AA361" s="51">
        <v>256</v>
      </c>
      <c r="AB361" s="51" t="s">
        <v>1574</v>
      </c>
      <c r="AC361" s="51" t="s">
        <v>1574</v>
      </c>
      <c r="AD361" s="51">
        <v>67.92</v>
      </c>
      <c r="AE361" s="51">
        <v>112.99</v>
      </c>
      <c r="AF361" s="51">
        <v>104.63</v>
      </c>
      <c r="AG361" s="51">
        <v>327.2</v>
      </c>
      <c r="AH361" s="51" t="s">
        <v>1574</v>
      </c>
      <c r="AI361" s="51">
        <v>244</v>
      </c>
      <c r="AJ361" s="51" t="s">
        <v>1574</v>
      </c>
      <c r="AK361" s="51">
        <v>151.9</v>
      </c>
      <c r="AL361" s="51">
        <v>168.65</v>
      </c>
      <c r="AM361" s="51" t="s">
        <v>1574</v>
      </c>
      <c r="AN361" s="51">
        <v>0.52690000000000003</v>
      </c>
      <c r="AO361" s="51">
        <v>0.4541</v>
      </c>
      <c r="AP361" s="51">
        <v>2.4361000000000002</v>
      </c>
      <c r="AQ361" s="51">
        <v>1.1602915060000001</v>
      </c>
      <c r="AR361" s="51">
        <v>2.2332999999999998</v>
      </c>
      <c r="AS361" s="51">
        <v>11.13</v>
      </c>
      <c r="AT361" s="51">
        <v>0.47090125283000001</v>
      </c>
      <c r="AU361" s="51">
        <v>0.50684217499999995</v>
      </c>
      <c r="AV361" s="51">
        <v>0.2787</v>
      </c>
      <c r="AW361" s="51">
        <v>3237.67</v>
      </c>
      <c r="AX361" s="51">
        <v>260.38</v>
      </c>
      <c r="AY361" s="51">
        <v>198.12</v>
      </c>
      <c r="AZ361" s="51" t="s">
        <v>1574</v>
      </c>
      <c r="BA361" s="51">
        <v>526.39612509275003</v>
      </c>
      <c r="BB361" s="51">
        <v>342.51</v>
      </c>
      <c r="BC361" s="51">
        <v>1.7377</v>
      </c>
      <c r="BD361" s="51" t="s">
        <v>1574</v>
      </c>
      <c r="BE361" s="51">
        <v>0.94579999999999997</v>
      </c>
      <c r="BF361" s="51">
        <v>31</v>
      </c>
      <c r="BG361" s="51">
        <v>142.5</v>
      </c>
      <c r="BH361" s="51">
        <v>140.5</v>
      </c>
      <c r="BI361" s="51">
        <v>113.5</v>
      </c>
      <c r="BJ361" s="51">
        <v>98.5</v>
      </c>
      <c r="BK361" s="51">
        <v>1914.16</v>
      </c>
      <c r="BL361" s="51">
        <v>27.83</v>
      </c>
      <c r="BM361" s="51">
        <v>2546.0100000000002</v>
      </c>
      <c r="BN361" s="51">
        <v>666.1</v>
      </c>
      <c r="BO361" s="51">
        <v>9935.5</v>
      </c>
      <c r="BP361" s="51">
        <v>12142.6</v>
      </c>
      <c r="BQ361" s="51">
        <v>1539</v>
      </c>
      <c r="BR361" s="51">
        <v>367.6</v>
      </c>
      <c r="BS361" s="51">
        <v>497.35</v>
      </c>
      <c r="BT361" s="51">
        <v>5.2706999999999997</v>
      </c>
      <c r="BU361" s="41"/>
      <c r="BV361" s="41"/>
      <c r="BW361" s="41"/>
      <c r="BX361" s="41"/>
      <c r="BY361" s="41"/>
      <c r="BZ361" s="41"/>
      <c r="CA361" s="41"/>
      <c r="CB361" s="41"/>
      <c r="CC361" s="41"/>
      <c r="CD361" s="41"/>
      <c r="CE361" s="41"/>
      <c r="CF361" s="41"/>
      <c r="CG361" s="41"/>
      <c r="CH361" s="41"/>
      <c r="CI361" s="41"/>
      <c r="CJ361" s="41"/>
      <c r="CK361" s="41"/>
    </row>
    <row r="362" spans="1:89">
      <c r="A362" s="48" t="s">
        <v>491</v>
      </c>
      <c r="B362" s="49">
        <v>17.66666666667</v>
      </c>
      <c r="C362" s="49">
        <v>17.75</v>
      </c>
      <c r="D362" s="49">
        <v>15.5</v>
      </c>
      <c r="E362" s="49">
        <v>19.75</v>
      </c>
      <c r="F362" s="49">
        <v>38</v>
      </c>
      <c r="G362" s="49">
        <v>31</v>
      </c>
      <c r="H362" s="49">
        <v>1.64</v>
      </c>
      <c r="I362" s="49">
        <v>2.09</v>
      </c>
      <c r="J362" s="49">
        <v>3.28</v>
      </c>
      <c r="K362" s="49">
        <v>32.073114583269998</v>
      </c>
      <c r="L362" s="49">
        <v>1.3459000000000001</v>
      </c>
      <c r="M362" s="49">
        <v>1.9419999999999999</v>
      </c>
      <c r="N362" s="49">
        <v>1.4382999999999999</v>
      </c>
      <c r="O362" s="49">
        <v>1.7748999999999999</v>
      </c>
      <c r="P362" s="49">
        <v>1.3438680000000001</v>
      </c>
      <c r="Q362" s="49">
        <v>2.4911810000000001</v>
      </c>
      <c r="R362" s="49">
        <v>1.489687</v>
      </c>
      <c r="S362" s="49">
        <v>540</v>
      </c>
      <c r="T362" s="49">
        <v>810</v>
      </c>
      <c r="U362" s="49">
        <v>380</v>
      </c>
      <c r="V362" s="49">
        <v>806</v>
      </c>
      <c r="W362" s="49">
        <v>331</v>
      </c>
      <c r="X362" s="49" t="s">
        <v>1574</v>
      </c>
      <c r="Y362" s="49">
        <v>272</v>
      </c>
      <c r="Z362" s="49">
        <v>447</v>
      </c>
      <c r="AA362" s="49">
        <v>256</v>
      </c>
      <c r="AB362" s="49" t="s">
        <v>1574</v>
      </c>
      <c r="AC362" s="49" t="s">
        <v>1574</v>
      </c>
      <c r="AD362" s="49">
        <v>74.87</v>
      </c>
      <c r="AE362" s="49">
        <v>108.7</v>
      </c>
      <c r="AF362" s="49">
        <v>102.96</v>
      </c>
      <c r="AG362" s="49">
        <v>350.5</v>
      </c>
      <c r="AH362" s="49">
        <v>297</v>
      </c>
      <c r="AI362" s="49">
        <v>246</v>
      </c>
      <c r="AJ362" s="49" t="s">
        <v>1574</v>
      </c>
      <c r="AK362" s="49">
        <v>152.38999999999999</v>
      </c>
      <c r="AL362" s="49">
        <v>166.82</v>
      </c>
      <c r="AM362" s="49" t="s">
        <v>1574</v>
      </c>
      <c r="AN362" s="49">
        <v>0.4481</v>
      </c>
      <c r="AO362" s="49">
        <v>0.43030000000000002</v>
      </c>
      <c r="AP362" s="49">
        <v>2.4927999999999999</v>
      </c>
      <c r="AQ362" s="49">
        <v>1.136261148</v>
      </c>
      <c r="AR362" s="49">
        <v>2.3494999999999999</v>
      </c>
      <c r="AS362" s="49">
        <v>10.89</v>
      </c>
      <c r="AT362" s="49">
        <v>0.50085537828000004</v>
      </c>
      <c r="AU362" s="49">
        <v>0.51940850228000002</v>
      </c>
      <c r="AV362" s="49">
        <v>0.309</v>
      </c>
      <c r="AW362" s="49">
        <v>3257.04</v>
      </c>
      <c r="AX362" s="49">
        <v>272.43</v>
      </c>
      <c r="AY362" s="49">
        <v>204.59</v>
      </c>
      <c r="AZ362" s="49" t="s">
        <v>1574</v>
      </c>
      <c r="BA362" s="49">
        <v>532.01049360950003</v>
      </c>
      <c r="BB362" s="49">
        <v>371.66</v>
      </c>
      <c r="BC362" s="49">
        <v>1.8301000000000001</v>
      </c>
      <c r="BD362" s="49" t="s">
        <v>1574</v>
      </c>
      <c r="BE362" s="49">
        <v>0.94510000000000005</v>
      </c>
      <c r="BF362" s="49">
        <v>31</v>
      </c>
      <c r="BG362" s="49">
        <v>137.5</v>
      </c>
      <c r="BH362" s="49">
        <v>140.5</v>
      </c>
      <c r="BI362" s="49">
        <v>113.5</v>
      </c>
      <c r="BJ362" s="49">
        <v>98.5</v>
      </c>
      <c r="BK362" s="49">
        <v>1755.93</v>
      </c>
      <c r="BL362" s="49">
        <v>27.83</v>
      </c>
      <c r="BM362" s="49">
        <v>2505</v>
      </c>
      <c r="BN362" s="49">
        <v>691.6</v>
      </c>
      <c r="BO362" s="49">
        <v>9605.2000000000007</v>
      </c>
      <c r="BP362" s="49">
        <v>12275</v>
      </c>
      <c r="BQ362" s="49">
        <v>1616.9</v>
      </c>
      <c r="BR362" s="49">
        <v>375.04</v>
      </c>
      <c r="BS362" s="49">
        <v>501.91</v>
      </c>
      <c r="BT362" s="49">
        <v>5.2167000000000003</v>
      </c>
      <c r="BU362" s="41"/>
      <c r="BV362" s="41"/>
      <c r="BW362" s="41"/>
      <c r="BX362" s="41"/>
      <c r="BY362" s="41"/>
      <c r="BZ362" s="41"/>
      <c r="CA362" s="41"/>
      <c r="CB362" s="41"/>
      <c r="CC362" s="41"/>
      <c r="CD362" s="41"/>
      <c r="CE362" s="41"/>
      <c r="CF362" s="41"/>
      <c r="CG362" s="41"/>
      <c r="CH362" s="41"/>
      <c r="CI362" s="41"/>
      <c r="CJ362" s="41"/>
      <c r="CK362" s="41"/>
    </row>
    <row r="363" spans="1:89">
      <c r="A363" s="41" t="s">
        <v>492</v>
      </c>
      <c r="B363" s="51">
        <v>16.88333333333</v>
      </c>
      <c r="C363" s="51">
        <v>17.100000000000001</v>
      </c>
      <c r="D363" s="51">
        <v>15</v>
      </c>
      <c r="E363" s="51">
        <v>18.55</v>
      </c>
      <c r="F363" s="51">
        <v>38</v>
      </c>
      <c r="G363" s="51">
        <v>31</v>
      </c>
      <c r="H363" s="51">
        <v>1.58</v>
      </c>
      <c r="I363" s="51">
        <v>2.09</v>
      </c>
      <c r="J363" s="51">
        <v>3.28</v>
      </c>
      <c r="K363" s="51">
        <v>31.344512204849998</v>
      </c>
      <c r="L363" s="51">
        <v>1.2855000000000001</v>
      </c>
      <c r="M363" s="51">
        <v>1.7307999999999999</v>
      </c>
      <c r="N363" s="51">
        <v>1.3140000000000001</v>
      </c>
      <c r="O363" s="51">
        <v>1.7765</v>
      </c>
      <c r="P363" s="51">
        <v>1.4004080000000001</v>
      </c>
      <c r="Q363" s="51">
        <v>2.4631219999999998</v>
      </c>
      <c r="R363" s="51">
        <v>1.4659329999999999</v>
      </c>
      <c r="S363" s="51">
        <v>481</v>
      </c>
      <c r="T363" s="51">
        <v>763</v>
      </c>
      <c r="U363" s="51">
        <v>359</v>
      </c>
      <c r="V363" s="51">
        <v>820</v>
      </c>
      <c r="W363" s="51">
        <v>309</v>
      </c>
      <c r="X363" s="51" t="s">
        <v>1574</v>
      </c>
      <c r="Y363" s="51">
        <v>236</v>
      </c>
      <c r="Z363" s="51">
        <v>404</v>
      </c>
      <c r="AA363" s="51">
        <v>214</v>
      </c>
      <c r="AB363" s="51" t="s">
        <v>1574</v>
      </c>
      <c r="AC363" s="51" t="s">
        <v>1574</v>
      </c>
      <c r="AD363" s="51">
        <v>73.209999999999994</v>
      </c>
      <c r="AE363" s="51">
        <v>100.92</v>
      </c>
      <c r="AF363" s="51">
        <v>100.09</v>
      </c>
      <c r="AG363" s="51">
        <v>332.2</v>
      </c>
      <c r="AH363" s="51">
        <v>298</v>
      </c>
      <c r="AI363" s="51">
        <v>221</v>
      </c>
      <c r="AJ363" s="51" t="s">
        <v>1574</v>
      </c>
      <c r="AK363" s="51">
        <v>153.37</v>
      </c>
      <c r="AL363" s="51">
        <v>164.24</v>
      </c>
      <c r="AM363" s="51" t="s">
        <v>1574</v>
      </c>
      <c r="AN363" s="51">
        <v>0.51039999999999996</v>
      </c>
      <c r="AO363" s="51">
        <v>0.49109999999999998</v>
      </c>
      <c r="AP363" s="51">
        <v>2.5480999999999998</v>
      </c>
      <c r="AQ363" s="51">
        <v>1.1289859019999999</v>
      </c>
      <c r="AR363" s="51">
        <v>2.3090000000000002</v>
      </c>
      <c r="AS363" s="51">
        <v>10.41</v>
      </c>
      <c r="AT363" s="51">
        <v>0.49337438434999997</v>
      </c>
      <c r="AU363" s="51">
        <v>0.51962892726999999</v>
      </c>
      <c r="AV363" s="51">
        <v>0.30859999999999999</v>
      </c>
      <c r="AW363" s="51">
        <v>3229.12</v>
      </c>
      <c r="AX363" s="51">
        <v>269.14999999999998</v>
      </c>
      <c r="AY363" s="51">
        <v>197.75</v>
      </c>
      <c r="AZ363" s="51" t="s">
        <v>1574</v>
      </c>
      <c r="BA363" s="51">
        <v>537.16618585567005</v>
      </c>
      <c r="BB363" s="51">
        <v>370.28</v>
      </c>
      <c r="BC363" s="51">
        <v>1.8291999999999999</v>
      </c>
      <c r="BD363" s="51" t="s">
        <v>1574</v>
      </c>
      <c r="BE363" s="51">
        <v>0.90390000000000004</v>
      </c>
      <c r="BF363" s="51">
        <v>31</v>
      </c>
      <c r="BG363" s="51">
        <v>144</v>
      </c>
      <c r="BH363" s="51">
        <v>136.5</v>
      </c>
      <c r="BI363" s="51">
        <v>82.5</v>
      </c>
      <c r="BJ363" s="51">
        <v>98.5</v>
      </c>
      <c r="BK363" s="51">
        <v>1798.32</v>
      </c>
      <c r="BL363" s="51">
        <v>27.83</v>
      </c>
      <c r="BM363" s="51">
        <v>2762.2</v>
      </c>
      <c r="BN363" s="51">
        <v>702.3</v>
      </c>
      <c r="BO363" s="51">
        <v>8715.6</v>
      </c>
      <c r="BP363" s="51">
        <v>12909.7</v>
      </c>
      <c r="BQ363" s="51">
        <v>1730.4</v>
      </c>
      <c r="BR363" s="51">
        <v>365.14</v>
      </c>
      <c r="BS363" s="51">
        <v>484.64</v>
      </c>
      <c r="BT363" s="51">
        <v>5.1822999999999997</v>
      </c>
      <c r="BU363" s="41"/>
      <c r="BV363" s="41"/>
      <c r="BW363" s="41"/>
      <c r="BX363" s="41"/>
      <c r="BY363" s="41"/>
      <c r="BZ363" s="41"/>
      <c r="CA363" s="41"/>
      <c r="CB363" s="41"/>
      <c r="CC363" s="41"/>
      <c r="CD363" s="41"/>
      <c r="CE363" s="41"/>
      <c r="CF363" s="41"/>
      <c r="CG363" s="41"/>
      <c r="CH363" s="41"/>
      <c r="CI363" s="41"/>
      <c r="CJ363" s="41"/>
      <c r="CK363" s="41"/>
    </row>
    <row r="364" spans="1:89">
      <c r="A364" s="48" t="s">
        <v>493</v>
      </c>
      <c r="B364" s="49">
        <v>17.66666666667</v>
      </c>
      <c r="C364" s="49">
        <v>17.8</v>
      </c>
      <c r="D364" s="49">
        <v>15.6</v>
      </c>
      <c r="E364" s="49">
        <v>19.600000000000001</v>
      </c>
      <c r="F364" s="49">
        <v>38</v>
      </c>
      <c r="G364" s="49">
        <v>31</v>
      </c>
      <c r="H364" s="49">
        <v>1.53</v>
      </c>
      <c r="I364" s="49">
        <v>2.09</v>
      </c>
      <c r="J364" s="49">
        <v>3.28</v>
      </c>
      <c r="K364" s="49">
        <v>30.737343556159999</v>
      </c>
      <c r="L364" s="49">
        <v>1.1409</v>
      </c>
      <c r="M364" s="49">
        <v>1.7289000000000001</v>
      </c>
      <c r="N364" s="49">
        <v>1.3233999999999999</v>
      </c>
      <c r="O364" s="49">
        <v>2.1547999999999998</v>
      </c>
      <c r="P364" s="49">
        <v>1.7927729999999999</v>
      </c>
      <c r="Q364" s="49">
        <v>3.2396799999999999</v>
      </c>
      <c r="R364" s="49">
        <v>1.4319109999999999</v>
      </c>
      <c r="S364" s="49">
        <v>503</v>
      </c>
      <c r="T364" s="49">
        <v>754</v>
      </c>
      <c r="U364" s="49">
        <v>360</v>
      </c>
      <c r="V364" s="49">
        <v>798</v>
      </c>
      <c r="W364" s="49">
        <v>323</v>
      </c>
      <c r="X364" s="49" t="s">
        <v>1574</v>
      </c>
      <c r="Y364" s="49">
        <v>237</v>
      </c>
      <c r="Z364" s="49">
        <v>410</v>
      </c>
      <c r="AA364" s="49">
        <v>216</v>
      </c>
      <c r="AB364" s="49" t="s">
        <v>1574</v>
      </c>
      <c r="AC364" s="49" t="s">
        <v>1574</v>
      </c>
      <c r="AD364" s="49">
        <v>71.55</v>
      </c>
      <c r="AE364" s="49">
        <v>103.37</v>
      </c>
      <c r="AF364" s="49">
        <v>102.85</v>
      </c>
      <c r="AG364" s="49">
        <v>319.75</v>
      </c>
      <c r="AH364" s="49">
        <v>268</v>
      </c>
      <c r="AI364" s="49">
        <v>205</v>
      </c>
      <c r="AJ364" s="49" t="s">
        <v>1574</v>
      </c>
      <c r="AK364" s="49">
        <v>157.26</v>
      </c>
      <c r="AL364" s="49">
        <v>163.51</v>
      </c>
      <c r="AM364" s="49" t="s">
        <v>1574</v>
      </c>
      <c r="AN364" s="49">
        <v>0.51700000000000002</v>
      </c>
      <c r="AO364" s="49">
        <v>0.50231000000000003</v>
      </c>
      <c r="AP364" s="49">
        <v>2.6476999999999999</v>
      </c>
      <c r="AQ364" s="49">
        <v>1.1155377200000001</v>
      </c>
      <c r="AR364" s="49">
        <v>2.2985000000000002</v>
      </c>
      <c r="AS364" s="49">
        <v>9.81</v>
      </c>
      <c r="AT364" s="49">
        <v>0.48492700215000001</v>
      </c>
      <c r="AU364" s="49">
        <v>0.51808569999999998</v>
      </c>
      <c r="AV364" s="49">
        <v>0.3115</v>
      </c>
      <c r="AW364" s="49">
        <v>3304.64</v>
      </c>
      <c r="AX364" s="49">
        <v>265.44</v>
      </c>
      <c r="AY364" s="49">
        <v>188.68</v>
      </c>
      <c r="AZ364" s="49" t="s">
        <v>1574</v>
      </c>
      <c r="BA364" s="49">
        <v>538.88500883282995</v>
      </c>
      <c r="BB364" s="49">
        <v>353.32</v>
      </c>
      <c r="BC364" s="49">
        <v>1.7957000000000001</v>
      </c>
      <c r="BD364" s="49" t="s">
        <v>1574</v>
      </c>
      <c r="BE364" s="49">
        <v>0.87080000000000002</v>
      </c>
      <c r="BF364" s="49">
        <v>31</v>
      </c>
      <c r="BG364" s="49">
        <v>156</v>
      </c>
      <c r="BH364" s="49">
        <v>136.5</v>
      </c>
      <c r="BI364" s="49">
        <v>82.5</v>
      </c>
      <c r="BJ364" s="49">
        <v>98.5</v>
      </c>
      <c r="BK364" s="49">
        <v>1717.93</v>
      </c>
      <c r="BL364" s="49">
        <v>27.83</v>
      </c>
      <c r="BM364" s="49">
        <v>2884.4</v>
      </c>
      <c r="BN364" s="49">
        <v>728.1</v>
      </c>
      <c r="BO364" s="49">
        <v>8269.7000000000007</v>
      </c>
      <c r="BP364" s="49">
        <v>11222.1</v>
      </c>
      <c r="BQ364" s="49">
        <v>1628.9</v>
      </c>
      <c r="BR364" s="49">
        <v>361.75</v>
      </c>
      <c r="BS364" s="49">
        <v>477.67</v>
      </c>
      <c r="BT364" s="49">
        <v>5.1337999999999999</v>
      </c>
      <c r="BU364" s="41"/>
      <c r="BV364" s="41"/>
      <c r="BW364" s="41"/>
      <c r="BX364" s="41"/>
      <c r="BY364" s="41"/>
      <c r="BZ364" s="41"/>
      <c r="CA364" s="41"/>
      <c r="CB364" s="41"/>
      <c r="CC364" s="41"/>
      <c r="CD364" s="41"/>
      <c r="CE364" s="41"/>
      <c r="CF364" s="41"/>
      <c r="CG364" s="41"/>
      <c r="CH364" s="41"/>
      <c r="CI364" s="41"/>
      <c r="CJ364" s="41"/>
      <c r="CK364" s="41"/>
    </row>
    <row r="365" spans="1:89">
      <c r="A365" s="41" t="s">
        <v>494</v>
      </c>
      <c r="B365" s="51">
        <v>18.41666666667</v>
      </c>
      <c r="C365" s="51">
        <v>19</v>
      </c>
      <c r="D365" s="51">
        <v>16.149999999999999</v>
      </c>
      <c r="E365" s="51">
        <v>20.100000000000001</v>
      </c>
      <c r="F365" s="51">
        <v>38</v>
      </c>
      <c r="G365" s="51">
        <v>31</v>
      </c>
      <c r="H365" s="51">
        <v>1.6</v>
      </c>
      <c r="I365" s="51">
        <v>2.09</v>
      </c>
      <c r="J365" s="51">
        <v>3.28</v>
      </c>
      <c r="K365" s="51">
        <v>31.58737966432</v>
      </c>
      <c r="L365" s="51">
        <v>1.0634999999999999</v>
      </c>
      <c r="M365" s="51">
        <v>1.5135000000000001</v>
      </c>
      <c r="N365" s="51">
        <v>1.1806000000000001</v>
      </c>
      <c r="O365" s="51">
        <v>2.0733999999999999</v>
      </c>
      <c r="P365" s="51">
        <v>1.8325</v>
      </c>
      <c r="Q365" s="51">
        <v>2.9663029999999999</v>
      </c>
      <c r="R365" s="51">
        <v>1.4215169999999999</v>
      </c>
      <c r="S365" s="51">
        <v>480</v>
      </c>
      <c r="T365" s="51">
        <v>790</v>
      </c>
      <c r="U365" s="51">
        <v>393</v>
      </c>
      <c r="V365" s="51">
        <v>813</v>
      </c>
      <c r="W365" s="51">
        <v>321</v>
      </c>
      <c r="X365" s="51" t="s">
        <v>1574</v>
      </c>
      <c r="Y365" s="51">
        <v>238</v>
      </c>
      <c r="Z365" s="51">
        <v>419</v>
      </c>
      <c r="AA365" s="51">
        <v>222</v>
      </c>
      <c r="AB365" s="51" t="s">
        <v>1574</v>
      </c>
      <c r="AC365" s="51" t="s">
        <v>1574</v>
      </c>
      <c r="AD365" s="51">
        <v>71.87</v>
      </c>
      <c r="AE365" s="51">
        <v>107.28</v>
      </c>
      <c r="AF365" s="51">
        <v>102.68</v>
      </c>
      <c r="AG365" s="51">
        <v>304</v>
      </c>
      <c r="AH365" s="51">
        <v>244</v>
      </c>
      <c r="AI365" s="51">
        <v>183</v>
      </c>
      <c r="AJ365" s="51" t="s">
        <v>1574</v>
      </c>
      <c r="AK365" s="51">
        <v>160.47999999999999</v>
      </c>
      <c r="AL365" s="51">
        <v>164.61</v>
      </c>
      <c r="AM365" s="51" t="s">
        <v>1574</v>
      </c>
      <c r="AN365" s="51">
        <v>0.55120000000000002</v>
      </c>
      <c r="AO365" s="51">
        <v>0.47399999999999998</v>
      </c>
      <c r="AP365" s="51">
        <v>2.7448000000000001</v>
      </c>
      <c r="AQ365" s="51">
        <v>1.0818070339999999</v>
      </c>
      <c r="AR365" s="51">
        <v>2.3540000000000001</v>
      </c>
      <c r="AS365" s="51">
        <v>9.7799999999999994</v>
      </c>
      <c r="AT365" s="51">
        <v>0.49027762759999999</v>
      </c>
      <c r="AU365" s="51">
        <v>0.51014905454000004</v>
      </c>
      <c r="AV365" s="51">
        <v>0.31840000000000002</v>
      </c>
      <c r="AW365" s="51">
        <v>3339.52</v>
      </c>
      <c r="AX365" s="51">
        <v>276.33</v>
      </c>
      <c r="AY365" s="51">
        <v>187.17</v>
      </c>
      <c r="AZ365" s="51" t="s">
        <v>1574</v>
      </c>
      <c r="BA365" s="51">
        <v>555.10843565532002</v>
      </c>
      <c r="BB365" s="51">
        <v>352.99</v>
      </c>
      <c r="BC365" s="51">
        <v>1.81</v>
      </c>
      <c r="BD365" s="51" t="s">
        <v>1574</v>
      </c>
      <c r="BE365" s="51">
        <v>0.85209999999999997</v>
      </c>
      <c r="BF365" s="51">
        <v>31</v>
      </c>
      <c r="BG365" s="51">
        <v>148</v>
      </c>
      <c r="BH365" s="51">
        <v>130.5</v>
      </c>
      <c r="BI365" s="51">
        <v>72.5</v>
      </c>
      <c r="BJ365" s="51">
        <v>98.5</v>
      </c>
      <c r="BK365" s="51">
        <v>1820.02</v>
      </c>
      <c r="BL365" s="51">
        <v>27.83</v>
      </c>
      <c r="BM365" s="51">
        <v>2861.4</v>
      </c>
      <c r="BN365" s="51">
        <v>751.8</v>
      </c>
      <c r="BO365" s="51">
        <v>7922.4</v>
      </c>
      <c r="BP365" s="51">
        <v>10424.9</v>
      </c>
      <c r="BQ365" s="51">
        <v>1584.6</v>
      </c>
      <c r="BR365" s="51">
        <v>366.88</v>
      </c>
      <c r="BS365" s="51">
        <v>485.82</v>
      </c>
      <c r="BT365" s="51">
        <v>5.1448999999999998</v>
      </c>
      <c r="BU365" s="41"/>
      <c r="BV365" s="41"/>
      <c r="BW365" s="41"/>
      <c r="BX365" s="41"/>
      <c r="BY365" s="41"/>
      <c r="BZ365" s="41"/>
      <c r="CA365" s="41"/>
      <c r="CB365" s="41"/>
      <c r="CC365" s="41"/>
      <c r="CD365" s="41"/>
      <c r="CE365" s="41"/>
      <c r="CF365" s="41"/>
      <c r="CG365" s="41"/>
      <c r="CH365" s="41"/>
      <c r="CI365" s="41"/>
      <c r="CJ365" s="41"/>
      <c r="CK365" s="41"/>
    </row>
    <row r="366" spans="1:89">
      <c r="A366" s="48" t="s">
        <v>495</v>
      </c>
      <c r="B366" s="49">
        <v>18.36666666667</v>
      </c>
      <c r="C366" s="49">
        <v>19.149999999999999</v>
      </c>
      <c r="D366" s="49">
        <v>16.149999999999999</v>
      </c>
      <c r="E366" s="49">
        <v>19.8</v>
      </c>
      <c r="F366" s="49">
        <v>38</v>
      </c>
      <c r="G366" s="49">
        <v>31</v>
      </c>
      <c r="H366" s="49">
        <v>1.9</v>
      </c>
      <c r="I366" s="49">
        <v>2.09</v>
      </c>
      <c r="J366" s="49">
        <v>3.28</v>
      </c>
      <c r="K366" s="49">
        <v>35.230391556420003</v>
      </c>
      <c r="L366" s="49">
        <v>1.0107999999999999</v>
      </c>
      <c r="M366" s="49">
        <v>1.5624</v>
      </c>
      <c r="N366" s="49">
        <v>1.1744000000000001</v>
      </c>
      <c r="O366" s="49">
        <v>1.913</v>
      </c>
      <c r="P366" s="49">
        <v>1.73075</v>
      </c>
      <c r="Q366" s="49">
        <v>2.5851790000000001</v>
      </c>
      <c r="R366" s="49">
        <v>1.4230449999999999</v>
      </c>
      <c r="S366" s="49">
        <v>456</v>
      </c>
      <c r="T366" s="49">
        <v>826</v>
      </c>
      <c r="U366" s="49">
        <v>419</v>
      </c>
      <c r="V366" s="49">
        <v>868</v>
      </c>
      <c r="W366" s="49">
        <v>301</v>
      </c>
      <c r="X366" s="49" t="s">
        <v>1574</v>
      </c>
      <c r="Y366" s="49">
        <v>246</v>
      </c>
      <c r="Z366" s="49">
        <v>433</v>
      </c>
      <c r="AA366" s="49">
        <v>226</v>
      </c>
      <c r="AB366" s="49" t="s">
        <v>1574</v>
      </c>
      <c r="AC366" s="49" t="s">
        <v>1574</v>
      </c>
      <c r="AD366" s="49">
        <v>69.900000000000006</v>
      </c>
      <c r="AE366" s="49">
        <v>108.48</v>
      </c>
      <c r="AF366" s="49">
        <v>103.84</v>
      </c>
      <c r="AG366" s="49">
        <v>268.5</v>
      </c>
      <c r="AH366" s="49">
        <v>216</v>
      </c>
      <c r="AI366" s="49">
        <v>166</v>
      </c>
      <c r="AJ366" s="49" t="s">
        <v>1574</v>
      </c>
      <c r="AK366" s="49">
        <v>163.92</v>
      </c>
      <c r="AL366" s="49">
        <v>163.51</v>
      </c>
      <c r="AM366" s="49" t="s">
        <v>1574</v>
      </c>
      <c r="AN366" s="49">
        <v>0.51259999999999994</v>
      </c>
      <c r="AO366" s="49">
        <v>0.43634000000000001</v>
      </c>
      <c r="AP366" s="49">
        <v>2.8418000000000001</v>
      </c>
      <c r="AQ366" s="49">
        <v>1.0456512659999999</v>
      </c>
      <c r="AR366" s="49">
        <v>2.339</v>
      </c>
      <c r="AS366" s="49">
        <v>9.85</v>
      </c>
      <c r="AT366" s="49">
        <v>0.48564020863000001</v>
      </c>
      <c r="AU366" s="49">
        <v>0.51235372499999998</v>
      </c>
      <c r="AV366" s="49">
        <v>0.33119999999999999</v>
      </c>
      <c r="AW366" s="49">
        <v>3333.87</v>
      </c>
      <c r="AX366" s="49">
        <v>281.35000000000002</v>
      </c>
      <c r="AY366" s="49">
        <v>184.26</v>
      </c>
      <c r="AZ366" s="49" t="s">
        <v>1574</v>
      </c>
      <c r="BA366" s="49">
        <v>545.76772590708003</v>
      </c>
      <c r="BB366" s="49">
        <v>336.19</v>
      </c>
      <c r="BC366" s="49">
        <v>1.8107</v>
      </c>
      <c r="BD366" s="49" t="s">
        <v>1574</v>
      </c>
      <c r="BE366" s="49">
        <v>0.83560000000000001</v>
      </c>
      <c r="BF366" s="49">
        <v>31</v>
      </c>
      <c r="BG366" s="49">
        <v>142</v>
      </c>
      <c r="BH366" s="49">
        <v>126</v>
      </c>
      <c r="BI366" s="49">
        <v>86</v>
      </c>
      <c r="BJ366" s="49">
        <v>98.5</v>
      </c>
      <c r="BK366" s="49">
        <v>1736.09</v>
      </c>
      <c r="BL366" s="49">
        <v>27.83</v>
      </c>
      <c r="BM366" s="49">
        <v>2591.3000000000002</v>
      </c>
      <c r="BN366" s="49">
        <v>692.8</v>
      </c>
      <c r="BO366" s="49">
        <v>6837.3</v>
      </c>
      <c r="BP366" s="49">
        <v>9793.2000000000007</v>
      </c>
      <c r="BQ366" s="49">
        <v>1437.6</v>
      </c>
      <c r="BR366" s="49">
        <v>394.26</v>
      </c>
      <c r="BS366" s="49">
        <v>510.19</v>
      </c>
      <c r="BT366" s="49">
        <v>5.4832999999999998</v>
      </c>
      <c r="BU366" s="41"/>
      <c r="BV366" s="41"/>
      <c r="BW366" s="41"/>
      <c r="BX366" s="41"/>
      <c r="BY366" s="41"/>
      <c r="BZ366" s="41"/>
      <c r="CA366" s="41"/>
      <c r="CB366" s="41"/>
      <c r="CC366" s="41"/>
      <c r="CD366" s="41"/>
      <c r="CE366" s="41"/>
      <c r="CF366" s="41"/>
      <c r="CG366" s="41"/>
      <c r="CH366" s="41"/>
      <c r="CI366" s="41"/>
      <c r="CJ366" s="41"/>
      <c r="CK366" s="41"/>
    </row>
    <row r="367" spans="1:89">
      <c r="A367" s="41" t="s">
        <v>496</v>
      </c>
      <c r="B367" s="51">
        <v>19.350000000000001</v>
      </c>
      <c r="C367" s="51">
        <v>19.850000000000001</v>
      </c>
      <c r="D367" s="51">
        <v>17.100000000000001</v>
      </c>
      <c r="E367" s="51">
        <v>21.1</v>
      </c>
      <c r="F367" s="51">
        <v>38</v>
      </c>
      <c r="G367" s="51">
        <v>31</v>
      </c>
      <c r="H367" s="51">
        <v>2.2400000000000002</v>
      </c>
      <c r="I367" s="51">
        <v>2.09</v>
      </c>
      <c r="J367" s="51">
        <v>3.28</v>
      </c>
      <c r="K367" s="51">
        <v>39.359138367470003</v>
      </c>
      <c r="L367" s="51">
        <v>0.97030000000000005</v>
      </c>
      <c r="M367" s="51">
        <v>1.5976999999999999</v>
      </c>
      <c r="N367" s="51">
        <v>1.1316999999999999</v>
      </c>
      <c r="O367" s="51">
        <v>1.903</v>
      </c>
      <c r="P367" s="51">
        <v>1.78325</v>
      </c>
      <c r="Q367" s="51">
        <v>2.494983</v>
      </c>
      <c r="R367" s="51">
        <v>1.430844</v>
      </c>
      <c r="S367" s="51">
        <v>425</v>
      </c>
      <c r="T367" s="51">
        <v>860</v>
      </c>
      <c r="U367" s="51">
        <v>438</v>
      </c>
      <c r="V367" s="51">
        <v>877</v>
      </c>
      <c r="W367" s="51">
        <v>267</v>
      </c>
      <c r="X367" s="51" t="s">
        <v>1574</v>
      </c>
      <c r="Y367" s="51">
        <v>248</v>
      </c>
      <c r="Z367" s="51">
        <v>429</v>
      </c>
      <c r="AA367" s="51">
        <v>226</v>
      </c>
      <c r="AB367" s="51" t="s">
        <v>1574</v>
      </c>
      <c r="AC367" s="51" t="s">
        <v>1574</v>
      </c>
      <c r="AD367" s="51">
        <v>73.209999999999994</v>
      </c>
      <c r="AE367" s="51">
        <v>109.17</v>
      </c>
      <c r="AF367" s="51">
        <v>104.22</v>
      </c>
      <c r="AG367" s="51">
        <v>272</v>
      </c>
      <c r="AH367" s="51">
        <v>227</v>
      </c>
      <c r="AI367" s="51">
        <v>174</v>
      </c>
      <c r="AJ367" s="51" t="s">
        <v>1574</v>
      </c>
      <c r="AK367" s="51">
        <v>166.45</v>
      </c>
      <c r="AL367" s="51">
        <v>164.61</v>
      </c>
      <c r="AM367" s="51" t="s">
        <v>1574</v>
      </c>
      <c r="AN367" s="51">
        <v>0.496</v>
      </c>
      <c r="AO367" s="51">
        <v>0.44148999999999999</v>
      </c>
      <c r="AP367" s="51">
        <v>2.8769999999999998</v>
      </c>
      <c r="AQ367" s="51">
        <v>1.0456512659999999</v>
      </c>
      <c r="AR367" s="51">
        <v>2.3889</v>
      </c>
      <c r="AS367" s="51">
        <v>9.52</v>
      </c>
      <c r="AT367" s="51">
        <v>0.49257779314</v>
      </c>
      <c r="AU367" s="51">
        <v>0.50353521136000001</v>
      </c>
      <c r="AV367" s="51">
        <v>0.29559999999999997</v>
      </c>
      <c r="AW367" s="51">
        <v>3337.65</v>
      </c>
      <c r="AX367" s="51">
        <v>294.33999999999997</v>
      </c>
      <c r="AY367" s="51">
        <v>178.66</v>
      </c>
      <c r="AZ367" s="51" t="s">
        <v>1574</v>
      </c>
      <c r="BA367" s="51">
        <v>571.52779735649005</v>
      </c>
      <c r="BB367" s="51">
        <v>327.16000000000003</v>
      </c>
      <c r="BC367" s="51">
        <v>1.7111000000000001</v>
      </c>
      <c r="BD367" s="51" t="s">
        <v>1574</v>
      </c>
      <c r="BE367" s="51">
        <v>0.83530000000000004</v>
      </c>
      <c r="BF367" s="51">
        <v>31</v>
      </c>
      <c r="BG367" s="51">
        <v>137.5</v>
      </c>
      <c r="BH367" s="51">
        <v>126</v>
      </c>
      <c r="BI367" s="51">
        <v>98</v>
      </c>
      <c r="BJ367" s="51">
        <v>98.5</v>
      </c>
      <c r="BK367" s="51">
        <v>1633.26</v>
      </c>
      <c r="BL367" s="51">
        <v>27.83</v>
      </c>
      <c r="BM367" s="51">
        <v>2418.6</v>
      </c>
      <c r="BN367" s="51">
        <v>711</v>
      </c>
      <c r="BO367" s="51">
        <v>6744.1</v>
      </c>
      <c r="BP367" s="51">
        <v>8809.2000000000007</v>
      </c>
      <c r="BQ367" s="51">
        <v>1455</v>
      </c>
      <c r="BR367" s="51">
        <v>409.39</v>
      </c>
      <c r="BS367" s="51">
        <v>506.81</v>
      </c>
      <c r="BT367" s="51">
        <v>5.5688000000000004</v>
      </c>
      <c r="BU367" s="41"/>
      <c r="BV367" s="41"/>
      <c r="BW367" s="41"/>
      <c r="BX367" s="41"/>
      <c r="BY367" s="41"/>
      <c r="BZ367" s="41"/>
      <c r="CA367" s="41"/>
      <c r="CB367" s="41"/>
      <c r="CC367" s="41"/>
      <c r="CD367" s="41"/>
      <c r="CE367" s="41"/>
      <c r="CF367" s="41"/>
      <c r="CG367" s="41"/>
      <c r="CH367" s="41"/>
      <c r="CI367" s="41"/>
      <c r="CJ367" s="41"/>
      <c r="CK367" s="41"/>
    </row>
    <row r="368" spans="1:89">
      <c r="A368" s="48" t="s">
        <v>497</v>
      </c>
      <c r="B368" s="49">
        <v>20.350000000000001</v>
      </c>
      <c r="C368" s="49">
        <v>20.95</v>
      </c>
      <c r="D368" s="49">
        <v>17.45</v>
      </c>
      <c r="E368" s="49">
        <v>22.65</v>
      </c>
      <c r="F368" s="49">
        <v>38</v>
      </c>
      <c r="G368" s="49">
        <v>31</v>
      </c>
      <c r="H368" s="49">
        <v>2.39</v>
      </c>
      <c r="I368" s="49">
        <v>2.82</v>
      </c>
      <c r="J368" s="49">
        <v>3.64</v>
      </c>
      <c r="K368" s="49">
        <v>44.894942030039999</v>
      </c>
      <c r="L368" s="49">
        <v>0.99450000000000005</v>
      </c>
      <c r="M368" s="49">
        <v>1.6760999999999999</v>
      </c>
      <c r="N368" s="49">
        <v>1.0907</v>
      </c>
      <c r="O368" s="49">
        <v>2.09</v>
      </c>
      <c r="P368" s="49">
        <v>1.891</v>
      </c>
      <c r="Q368" s="49">
        <v>2.6424989999999999</v>
      </c>
      <c r="R368" s="49">
        <v>1.7364919999999999</v>
      </c>
      <c r="S368" s="49">
        <v>433</v>
      </c>
      <c r="T368" s="49">
        <v>923</v>
      </c>
      <c r="U368" s="49">
        <v>430</v>
      </c>
      <c r="V368" s="49">
        <v>903</v>
      </c>
      <c r="W368" s="49">
        <v>279</v>
      </c>
      <c r="X368" s="49" t="s">
        <v>1574</v>
      </c>
      <c r="Y368" s="49">
        <v>242</v>
      </c>
      <c r="Z368" s="49">
        <v>417</v>
      </c>
      <c r="AA368" s="49">
        <v>221</v>
      </c>
      <c r="AB368" s="49" t="s">
        <v>1574</v>
      </c>
      <c r="AC368" s="49" t="s">
        <v>1574</v>
      </c>
      <c r="AD368" s="49">
        <v>75.569999999999993</v>
      </c>
      <c r="AE368" s="49">
        <v>105.6</v>
      </c>
      <c r="AF368" s="49">
        <v>101.91</v>
      </c>
      <c r="AG368" s="49">
        <v>276.2</v>
      </c>
      <c r="AH368" s="49">
        <v>248</v>
      </c>
      <c r="AI368" s="49">
        <v>170</v>
      </c>
      <c r="AJ368" s="49" t="s">
        <v>1574</v>
      </c>
      <c r="AK368" s="49">
        <v>163</v>
      </c>
      <c r="AL368" s="49">
        <v>167.92</v>
      </c>
      <c r="AM368" s="49" t="s">
        <v>1574</v>
      </c>
      <c r="AN368" s="49">
        <v>0.5897</v>
      </c>
      <c r="AO368" s="49">
        <v>0.45654</v>
      </c>
      <c r="AP368" s="49">
        <v>2.7847</v>
      </c>
      <c r="AQ368" s="49">
        <v>1.0544697460000001</v>
      </c>
      <c r="AR368" s="49">
        <v>2.4586000000000001</v>
      </c>
      <c r="AS368" s="49">
        <v>9.76</v>
      </c>
      <c r="AT368" s="49">
        <v>0.50989553635999996</v>
      </c>
      <c r="AU368" s="49">
        <v>0.50816489318000002</v>
      </c>
      <c r="AV368" s="49">
        <v>0.313</v>
      </c>
      <c r="AW368" s="49">
        <v>3342.65</v>
      </c>
      <c r="AX368" s="49">
        <v>303.83</v>
      </c>
      <c r="AY368" s="49">
        <v>176.16</v>
      </c>
      <c r="AZ368" s="49">
        <v>533</v>
      </c>
      <c r="BA368" s="49">
        <v>571.44326745487001</v>
      </c>
      <c r="BB368" s="49">
        <v>317.04000000000002</v>
      </c>
      <c r="BC368" s="49">
        <v>1.6551</v>
      </c>
      <c r="BD368" s="49" t="s">
        <v>1574</v>
      </c>
      <c r="BE368" s="49">
        <v>0.83179999999999998</v>
      </c>
      <c r="BF368" s="49">
        <v>31</v>
      </c>
      <c r="BG368" s="49">
        <v>138.5</v>
      </c>
      <c r="BH368" s="49">
        <v>109.5</v>
      </c>
      <c r="BI368" s="49">
        <v>104.5</v>
      </c>
      <c r="BJ368" s="49">
        <v>98.5</v>
      </c>
      <c r="BK368" s="49">
        <v>1528.25</v>
      </c>
      <c r="BL368" s="49">
        <v>32.5</v>
      </c>
      <c r="BM368" s="49">
        <v>2366.64</v>
      </c>
      <c r="BN368" s="49">
        <v>707.8</v>
      </c>
      <c r="BO368" s="49">
        <v>6592</v>
      </c>
      <c r="BP368" s="49">
        <v>7055.9</v>
      </c>
      <c r="BQ368" s="49">
        <v>1297</v>
      </c>
      <c r="BR368" s="49">
        <v>410.11</v>
      </c>
      <c r="BS368" s="49">
        <v>497.66</v>
      </c>
      <c r="BT368" s="49">
        <v>5.2462</v>
      </c>
      <c r="BU368" s="41"/>
      <c r="BV368" s="41"/>
      <c r="BW368" s="41"/>
      <c r="BX368" s="41"/>
      <c r="BY368" s="41"/>
      <c r="BZ368" s="41"/>
      <c r="CA368" s="41"/>
      <c r="CB368" s="41"/>
      <c r="CC368" s="41"/>
      <c r="CD368" s="41"/>
      <c r="CE368" s="41"/>
      <c r="CF368" s="41"/>
      <c r="CG368" s="41"/>
      <c r="CH368" s="41"/>
      <c r="CI368" s="41"/>
      <c r="CJ368" s="41"/>
      <c r="CK368" s="41"/>
    </row>
    <row r="369" spans="1:89">
      <c r="A369" s="41" t="s">
        <v>498</v>
      </c>
      <c r="B369" s="51">
        <v>19.600000000000001</v>
      </c>
      <c r="C369" s="51">
        <v>19.899999999999999</v>
      </c>
      <c r="D369" s="51">
        <v>16.8</v>
      </c>
      <c r="E369" s="51">
        <v>22.1</v>
      </c>
      <c r="F369" s="51">
        <v>38</v>
      </c>
      <c r="G369" s="51">
        <v>31</v>
      </c>
      <c r="H369" s="51">
        <v>1.9</v>
      </c>
      <c r="I369" s="51">
        <v>2.82</v>
      </c>
      <c r="J369" s="51">
        <v>3.64</v>
      </c>
      <c r="K369" s="51">
        <v>38.944689272940003</v>
      </c>
      <c r="L369" s="51">
        <v>1.0265</v>
      </c>
      <c r="M369" s="51">
        <v>1.8508</v>
      </c>
      <c r="N369" s="51">
        <v>1.1035999999999999</v>
      </c>
      <c r="O369" s="51">
        <v>2.133</v>
      </c>
      <c r="P369" s="51">
        <v>2.0129999999999999</v>
      </c>
      <c r="Q369" s="51">
        <v>2.7673209999999999</v>
      </c>
      <c r="R369" s="51">
        <v>1.618635</v>
      </c>
      <c r="S369" s="51">
        <v>393</v>
      </c>
      <c r="T369" s="51">
        <v>900</v>
      </c>
      <c r="U369" s="51">
        <v>426</v>
      </c>
      <c r="V369" s="51">
        <v>933</v>
      </c>
      <c r="W369" s="51">
        <v>271</v>
      </c>
      <c r="X369" s="51" t="s">
        <v>1574</v>
      </c>
      <c r="Y369" s="51">
        <v>240</v>
      </c>
      <c r="Z369" s="51">
        <v>428</v>
      </c>
      <c r="AA369" s="51">
        <v>209</v>
      </c>
      <c r="AB369" s="51" t="s">
        <v>1574</v>
      </c>
      <c r="AC369" s="51" t="s">
        <v>1574</v>
      </c>
      <c r="AD369" s="51">
        <v>73.86</v>
      </c>
      <c r="AE369" s="51">
        <v>106.07</v>
      </c>
      <c r="AF369" s="51">
        <v>100.81</v>
      </c>
      <c r="AG369" s="51">
        <v>300</v>
      </c>
      <c r="AH369" s="51">
        <v>256</v>
      </c>
      <c r="AI369" s="51">
        <v>176</v>
      </c>
      <c r="AJ369" s="51" t="s">
        <v>1574</v>
      </c>
      <c r="AK369" s="51">
        <v>155.52000000000001</v>
      </c>
      <c r="AL369" s="51">
        <v>160.94</v>
      </c>
      <c r="AM369" s="51" t="s">
        <v>1574</v>
      </c>
      <c r="AN369" s="51">
        <v>0.64490000000000003</v>
      </c>
      <c r="AO369" s="51">
        <v>0.40971000000000002</v>
      </c>
      <c r="AP369" s="51">
        <v>2.4573</v>
      </c>
      <c r="AQ369" s="51">
        <v>1.07144532</v>
      </c>
      <c r="AR369" s="51">
        <v>2.5566</v>
      </c>
      <c r="AS369" s="51">
        <v>9.98</v>
      </c>
      <c r="AT369" s="51">
        <v>0.52362252192000003</v>
      </c>
      <c r="AU369" s="51">
        <v>0.50441707955000004</v>
      </c>
      <c r="AV369" s="51">
        <v>0.32290000000000002</v>
      </c>
      <c r="AW369" s="51">
        <v>3384.92</v>
      </c>
      <c r="AX369" s="51">
        <v>324.97000000000003</v>
      </c>
      <c r="AY369" s="51">
        <v>174.83</v>
      </c>
      <c r="AZ369" s="51">
        <v>533</v>
      </c>
      <c r="BA369" s="51">
        <v>584.67450829282996</v>
      </c>
      <c r="BB369" s="51">
        <v>314.37</v>
      </c>
      <c r="BC369" s="51">
        <v>1.6801999999999999</v>
      </c>
      <c r="BD369" s="51" t="s">
        <v>1574</v>
      </c>
      <c r="BE369" s="51">
        <v>0.85270000000000001</v>
      </c>
      <c r="BF369" s="51">
        <v>31</v>
      </c>
      <c r="BG369" s="51">
        <v>139.75</v>
      </c>
      <c r="BH369" s="51">
        <v>112</v>
      </c>
      <c r="BI369" s="51">
        <v>106.25</v>
      </c>
      <c r="BJ369" s="51">
        <v>98.5</v>
      </c>
      <c r="BK369" s="51">
        <v>1454.28</v>
      </c>
      <c r="BL369" s="51">
        <v>32.5</v>
      </c>
      <c r="BM369" s="51">
        <v>2360.16</v>
      </c>
      <c r="BN369" s="51">
        <v>779.8</v>
      </c>
      <c r="BO369" s="51">
        <v>6156.1</v>
      </c>
      <c r="BP369" s="51">
        <v>6976.9</v>
      </c>
      <c r="BQ369" s="51">
        <v>1396.8</v>
      </c>
      <c r="BR369" s="51">
        <v>416.81</v>
      </c>
      <c r="BS369" s="51">
        <v>516.1</v>
      </c>
      <c r="BT369" s="51">
        <v>5.2892999999999999</v>
      </c>
      <c r="BU369" s="41"/>
      <c r="BV369" s="41"/>
      <c r="BW369" s="41"/>
      <c r="BX369" s="41"/>
      <c r="BY369" s="41"/>
      <c r="BZ369" s="41"/>
      <c r="CA369" s="41"/>
      <c r="CB369" s="41"/>
      <c r="CC369" s="41"/>
      <c r="CD369" s="41"/>
      <c r="CE369" s="41"/>
      <c r="CF369" s="41"/>
      <c r="CG369" s="41"/>
      <c r="CH369" s="41"/>
      <c r="CI369" s="41"/>
      <c r="CJ369" s="41"/>
      <c r="CK369" s="41"/>
    </row>
    <row r="370" spans="1:89">
      <c r="A370" s="48" t="s">
        <v>499</v>
      </c>
      <c r="B370" s="49">
        <v>18.216666666670001</v>
      </c>
      <c r="C370" s="49">
        <v>18.45</v>
      </c>
      <c r="D370" s="49">
        <v>15.8</v>
      </c>
      <c r="E370" s="49">
        <v>20.399999999999999</v>
      </c>
      <c r="F370" s="49">
        <v>38</v>
      </c>
      <c r="G370" s="49">
        <v>31</v>
      </c>
      <c r="H370" s="49">
        <v>1.55</v>
      </c>
      <c r="I370" s="49">
        <v>2.82</v>
      </c>
      <c r="J370" s="49">
        <v>3.64</v>
      </c>
      <c r="K370" s="49">
        <v>34.694508732149998</v>
      </c>
      <c r="L370" s="49">
        <v>1.1314</v>
      </c>
      <c r="M370" s="49">
        <v>2.0884999999999998</v>
      </c>
      <c r="N370" s="49">
        <v>1.2292000000000001</v>
      </c>
      <c r="O370" s="49">
        <v>2.4239000000000002</v>
      </c>
      <c r="P370" s="49">
        <v>3.01675</v>
      </c>
      <c r="Q370" s="49">
        <v>2.6068920000000002</v>
      </c>
      <c r="R370" s="49">
        <v>1.648115</v>
      </c>
      <c r="S370" s="49">
        <v>372</v>
      </c>
      <c r="T370" s="49">
        <v>880</v>
      </c>
      <c r="U370" s="49">
        <v>385</v>
      </c>
      <c r="V370" s="49">
        <v>971</v>
      </c>
      <c r="W370" s="49">
        <v>286</v>
      </c>
      <c r="X370" s="49" t="s">
        <v>1574</v>
      </c>
      <c r="Y370" s="49">
        <v>242</v>
      </c>
      <c r="Z370" s="49">
        <v>442</v>
      </c>
      <c r="AA370" s="49">
        <v>197</v>
      </c>
      <c r="AB370" s="49" t="s">
        <v>1574</v>
      </c>
      <c r="AC370" s="49" t="s">
        <v>1574</v>
      </c>
      <c r="AD370" s="49">
        <v>70.040000000000006</v>
      </c>
      <c r="AE370" s="49">
        <v>109.7</v>
      </c>
      <c r="AF370" s="49">
        <v>103.44</v>
      </c>
      <c r="AG370" s="49">
        <v>289.25</v>
      </c>
      <c r="AH370" s="49">
        <v>259</v>
      </c>
      <c r="AI370" s="49">
        <v>169</v>
      </c>
      <c r="AJ370" s="49" t="s">
        <v>1574</v>
      </c>
      <c r="AK370" s="49">
        <v>153.26</v>
      </c>
      <c r="AL370" s="49">
        <v>156.53</v>
      </c>
      <c r="AM370" s="49" t="s">
        <v>1574</v>
      </c>
      <c r="AN370" s="49">
        <v>0.53849999999999998</v>
      </c>
      <c r="AO370" s="49">
        <v>0.44369999999999998</v>
      </c>
      <c r="AP370" s="49">
        <v>2.4839000000000002</v>
      </c>
      <c r="AQ370" s="49">
        <v>1.1098057079999999</v>
      </c>
      <c r="AR370" s="49">
        <v>2.5066000000000002</v>
      </c>
      <c r="AS370" s="49">
        <v>10.67</v>
      </c>
      <c r="AT370" s="49">
        <v>0.50174145145000004</v>
      </c>
      <c r="AU370" s="49">
        <v>0.51984943637000003</v>
      </c>
      <c r="AV370" s="49">
        <v>0.33860000000000001</v>
      </c>
      <c r="AW370" s="49">
        <v>3361.05</v>
      </c>
      <c r="AX370" s="49">
        <v>321.47000000000003</v>
      </c>
      <c r="AY370" s="49">
        <v>160.26</v>
      </c>
      <c r="AZ370" s="49">
        <v>533</v>
      </c>
      <c r="BA370" s="49">
        <v>581.70476033948</v>
      </c>
      <c r="BB370" s="49">
        <v>314.38</v>
      </c>
      <c r="BC370" s="49">
        <v>1.7392000000000001</v>
      </c>
      <c r="BD370" s="49" t="s">
        <v>1574</v>
      </c>
      <c r="BE370" s="49">
        <v>0.82850000000000001</v>
      </c>
      <c r="BF370" s="49">
        <v>31</v>
      </c>
      <c r="BG370" s="49">
        <v>146</v>
      </c>
      <c r="BH370" s="49">
        <v>112</v>
      </c>
      <c r="BI370" s="49">
        <v>111</v>
      </c>
      <c r="BJ370" s="49">
        <v>97.375</v>
      </c>
      <c r="BK370" s="49">
        <v>1567.39</v>
      </c>
      <c r="BL370" s="49">
        <v>32.5</v>
      </c>
      <c r="BM370" s="49">
        <v>2625.61</v>
      </c>
      <c r="BN370" s="49">
        <v>1062.3</v>
      </c>
      <c r="BO370" s="49">
        <v>6270.5</v>
      </c>
      <c r="BP370" s="49">
        <v>9266.7999999999993</v>
      </c>
      <c r="BQ370" s="49">
        <v>1607.4</v>
      </c>
      <c r="BR370" s="49">
        <v>393.06</v>
      </c>
      <c r="BS370" s="49">
        <v>497.06</v>
      </c>
      <c r="BT370" s="49">
        <v>5.0766</v>
      </c>
      <c r="BU370" s="41"/>
      <c r="BV370" s="41"/>
      <c r="BW370" s="41"/>
      <c r="BX370" s="41"/>
      <c r="BY370" s="41"/>
      <c r="BZ370" s="41"/>
      <c r="CA370" s="41"/>
      <c r="CB370" s="41"/>
      <c r="CC370" s="41"/>
      <c r="CD370" s="41"/>
      <c r="CE370" s="41"/>
      <c r="CF370" s="41"/>
      <c r="CG370" s="41"/>
      <c r="CH370" s="41"/>
      <c r="CI370" s="41"/>
      <c r="CJ370" s="41"/>
      <c r="CK370" s="41"/>
    </row>
    <row r="371" spans="1:89">
      <c r="A371" s="41" t="s">
        <v>500</v>
      </c>
      <c r="B371" s="51">
        <v>16.55</v>
      </c>
      <c r="C371" s="51">
        <v>16.75</v>
      </c>
      <c r="D371" s="51">
        <v>14.3</v>
      </c>
      <c r="E371" s="51">
        <v>18.600000000000001</v>
      </c>
      <c r="F371" s="51">
        <v>38</v>
      </c>
      <c r="G371" s="51">
        <v>31</v>
      </c>
      <c r="H371" s="51">
        <v>1.49</v>
      </c>
      <c r="I371" s="51">
        <v>2.82</v>
      </c>
      <c r="J371" s="51">
        <v>3.64</v>
      </c>
      <c r="K371" s="51">
        <v>33.965906353729999</v>
      </c>
      <c r="L371" s="51">
        <v>1.3338000000000001</v>
      </c>
      <c r="M371" s="51">
        <v>2.0880000000000001</v>
      </c>
      <c r="N371" s="51">
        <v>1.2335</v>
      </c>
      <c r="O371" s="51">
        <v>2.1149</v>
      </c>
      <c r="P371" s="51">
        <v>1.889</v>
      </c>
      <c r="Q371" s="51">
        <v>2.8657409999999999</v>
      </c>
      <c r="R371" s="51">
        <v>1.589882</v>
      </c>
      <c r="S371" s="51">
        <v>343</v>
      </c>
      <c r="T371" s="51">
        <v>875</v>
      </c>
      <c r="U371" s="51">
        <v>381</v>
      </c>
      <c r="V371" s="51">
        <v>938</v>
      </c>
      <c r="W371" s="51">
        <v>267</v>
      </c>
      <c r="X371" s="51" t="s">
        <v>1574</v>
      </c>
      <c r="Y371" s="51">
        <v>247</v>
      </c>
      <c r="Z371" s="51">
        <v>440</v>
      </c>
      <c r="AA371" s="51">
        <v>198</v>
      </c>
      <c r="AB371" s="51" t="s">
        <v>1574</v>
      </c>
      <c r="AC371" s="51" t="s">
        <v>1574</v>
      </c>
      <c r="AD371" s="51">
        <v>68.77</v>
      </c>
      <c r="AE371" s="51">
        <v>118.82</v>
      </c>
      <c r="AF371" s="51">
        <v>109.9</v>
      </c>
      <c r="AG371" s="51">
        <v>275.75</v>
      </c>
      <c r="AH371" s="51">
        <v>274</v>
      </c>
      <c r="AI371" s="51">
        <v>164</v>
      </c>
      <c r="AJ371" s="51" t="s">
        <v>1574</v>
      </c>
      <c r="AK371" s="51">
        <v>150.69</v>
      </c>
      <c r="AL371" s="51">
        <v>159.47</v>
      </c>
      <c r="AM371" s="51" t="s">
        <v>1574</v>
      </c>
      <c r="AN371" s="51">
        <v>0.58420000000000005</v>
      </c>
      <c r="AO371" s="51">
        <v>0.49504999999999999</v>
      </c>
      <c r="AP371" s="51">
        <v>2.472</v>
      </c>
      <c r="AQ371" s="51">
        <v>1.0818070339999999</v>
      </c>
      <c r="AR371" s="51">
        <v>2.6333000000000002</v>
      </c>
      <c r="AS371" s="51">
        <v>10.8</v>
      </c>
      <c r="AT371" s="51">
        <v>0.50531366515999998</v>
      </c>
      <c r="AU371" s="51">
        <v>0.52447911818000004</v>
      </c>
      <c r="AV371" s="51">
        <v>0.33600000000000002</v>
      </c>
      <c r="AW371" s="51">
        <v>3354.45</v>
      </c>
      <c r="AX371" s="51">
        <v>326.31</v>
      </c>
      <c r="AY371" s="51">
        <v>161.19999999999999</v>
      </c>
      <c r="AZ371" s="51">
        <v>533</v>
      </c>
      <c r="BA371" s="51">
        <v>565.30108962796999</v>
      </c>
      <c r="BB371" s="51">
        <v>312.36</v>
      </c>
      <c r="BC371" s="51">
        <v>1.8263</v>
      </c>
      <c r="BD371" s="51" t="s">
        <v>1574</v>
      </c>
      <c r="BE371" s="51">
        <v>0.83799999999999997</v>
      </c>
      <c r="BF371" s="51">
        <v>31</v>
      </c>
      <c r="BG371" s="51">
        <v>155.19999999999999</v>
      </c>
      <c r="BH371" s="51">
        <v>127.5</v>
      </c>
      <c r="BI371" s="51">
        <v>111</v>
      </c>
      <c r="BJ371" s="51">
        <v>93.2</v>
      </c>
      <c r="BK371" s="51">
        <v>1525.55</v>
      </c>
      <c r="BL371" s="51">
        <v>32.5</v>
      </c>
      <c r="BM371" s="51">
        <v>2686.15</v>
      </c>
      <c r="BN371" s="51">
        <v>836.1</v>
      </c>
      <c r="BO371" s="51">
        <v>6390.9</v>
      </c>
      <c r="BP371" s="51">
        <v>8939.5</v>
      </c>
      <c r="BQ371" s="51">
        <v>1685.6</v>
      </c>
      <c r="BR371" s="51">
        <v>374.24</v>
      </c>
      <c r="BS371" s="51">
        <v>478.15</v>
      </c>
      <c r="BT371" s="51">
        <v>5.0655000000000001</v>
      </c>
      <c r="BU371" s="41"/>
      <c r="BV371" s="41"/>
      <c r="BW371" s="41"/>
      <c r="BX371" s="41"/>
      <c r="BY371" s="41"/>
      <c r="BZ371" s="41"/>
      <c r="CA371" s="41"/>
      <c r="CB371" s="41"/>
      <c r="CC371" s="41"/>
      <c r="CD371" s="41"/>
      <c r="CE371" s="41"/>
      <c r="CF371" s="41"/>
      <c r="CG371" s="41"/>
      <c r="CH371" s="41"/>
      <c r="CI371" s="41"/>
      <c r="CJ371" s="41"/>
      <c r="CK371" s="41"/>
    </row>
    <row r="372" spans="1:89">
      <c r="A372" s="48" t="s">
        <v>501</v>
      </c>
      <c r="B372" s="49">
        <v>16.58333333333</v>
      </c>
      <c r="C372" s="49">
        <v>16.7</v>
      </c>
      <c r="D372" s="49">
        <v>14.6</v>
      </c>
      <c r="E372" s="49">
        <v>18.45</v>
      </c>
      <c r="F372" s="49">
        <v>40.5</v>
      </c>
      <c r="G372" s="49">
        <v>32.5</v>
      </c>
      <c r="H372" s="49">
        <v>1.47</v>
      </c>
      <c r="I372" s="49">
        <v>2.82</v>
      </c>
      <c r="J372" s="49">
        <v>3.64</v>
      </c>
      <c r="K372" s="49">
        <v>33.72303889426</v>
      </c>
      <c r="L372" s="49">
        <v>1.4404999999999999</v>
      </c>
      <c r="M372" s="49">
        <v>2.0495999999999999</v>
      </c>
      <c r="N372" s="49">
        <v>1.1820999999999999</v>
      </c>
      <c r="O372" s="49">
        <v>2.1515</v>
      </c>
      <c r="P372" s="49">
        <v>1.79</v>
      </c>
      <c r="Q372" s="49">
        <v>3.3036949999999998</v>
      </c>
      <c r="R372" s="49">
        <v>1.3609020000000001</v>
      </c>
      <c r="S372" s="49">
        <v>353</v>
      </c>
      <c r="T372" s="49">
        <v>883</v>
      </c>
      <c r="U372" s="49">
        <v>374</v>
      </c>
      <c r="V372" s="49">
        <v>919</v>
      </c>
      <c r="W372" s="49">
        <v>281</v>
      </c>
      <c r="X372" s="49" t="s">
        <v>1574</v>
      </c>
      <c r="Y372" s="49">
        <v>259</v>
      </c>
      <c r="Z372" s="49">
        <v>449</v>
      </c>
      <c r="AA372" s="49">
        <v>198</v>
      </c>
      <c r="AB372" s="49" t="s">
        <v>1574</v>
      </c>
      <c r="AC372" s="49" t="s">
        <v>1574</v>
      </c>
      <c r="AD372" s="49">
        <v>71.03</v>
      </c>
      <c r="AE372" s="49">
        <v>121.04</v>
      </c>
      <c r="AF372" s="49">
        <v>111.03</v>
      </c>
      <c r="AG372" s="49">
        <v>260</v>
      </c>
      <c r="AH372" s="49">
        <v>288</v>
      </c>
      <c r="AI372" s="49">
        <v>151</v>
      </c>
      <c r="AJ372" s="49" t="s">
        <v>1574</v>
      </c>
      <c r="AK372" s="49">
        <v>133.49</v>
      </c>
      <c r="AL372" s="49">
        <v>149.18</v>
      </c>
      <c r="AM372" s="49" t="s">
        <v>1574</v>
      </c>
      <c r="AN372" s="49">
        <v>0.49440000000000001</v>
      </c>
      <c r="AO372" s="49">
        <v>0.58475999999999995</v>
      </c>
      <c r="AP372" s="49">
        <v>2.48</v>
      </c>
      <c r="AQ372" s="49">
        <v>1.080925186</v>
      </c>
      <c r="AR372" s="49">
        <v>2.7077</v>
      </c>
      <c r="AS372" s="49">
        <v>11.02</v>
      </c>
      <c r="AT372" s="49">
        <v>0.51820087436999995</v>
      </c>
      <c r="AU372" s="49">
        <v>0.52006986136</v>
      </c>
      <c r="AV372" s="49">
        <v>0.32250000000000001</v>
      </c>
      <c r="AW372" s="49">
        <v>3406.65</v>
      </c>
      <c r="AX372" s="49">
        <v>337.58</v>
      </c>
      <c r="AY372" s="49">
        <v>172.86</v>
      </c>
      <c r="AZ372" s="49">
        <v>533</v>
      </c>
      <c r="BA372" s="49">
        <v>507.41951138694998</v>
      </c>
      <c r="BB372" s="49">
        <v>350.12</v>
      </c>
      <c r="BC372" s="49">
        <v>1.8866000000000001</v>
      </c>
      <c r="BD372" s="49" t="s">
        <v>1574</v>
      </c>
      <c r="BE372" s="49">
        <v>0.85429999999999995</v>
      </c>
      <c r="BF372" s="49">
        <v>31</v>
      </c>
      <c r="BG372" s="49">
        <v>149.125</v>
      </c>
      <c r="BH372" s="49">
        <v>127.5</v>
      </c>
      <c r="BI372" s="49">
        <v>107</v>
      </c>
      <c r="BJ372" s="49">
        <v>93.5</v>
      </c>
      <c r="BK372" s="49">
        <v>1526.93</v>
      </c>
      <c r="BL372" s="49">
        <v>32.5</v>
      </c>
      <c r="BM372" s="49">
        <v>2741.95</v>
      </c>
      <c r="BN372" s="49">
        <v>825.6</v>
      </c>
      <c r="BO372" s="49">
        <v>6324.6</v>
      </c>
      <c r="BP372" s="49">
        <v>8698</v>
      </c>
      <c r="BQ372" s="49">
        <v>1774.6</v>
      </c>
      <c r="BR372" s="49">
        <v>369.05</v>
      </c>
      <c r="BS372" s="49">
        <v>488.55</v>
      </c>
      <c r="BT372" s="49">
        <v>5.0791000000000004</v>
      </c>
      <c r="BU372" s="41"/>
      <c r="BV372" s="41"/>
      <c r="BW372" s="41"/>
      <c r="BX372" s="41"/>
      <c r="BY372" s="41"/>
      <c r="BZ372" s="41"/>
      <c r="CA372" s="41"/>
      <c r="CB372" s="41"/>
      <c r="CC372" s="41"/>
      <c r="CD372" s="41"/>
      <c r="CE372" s="41"/>
      <c r="CF372" s="41"/>
      <c r="CG372" s="41"/>
      <c r="CH372" s="41"/>
      <c r="CI372" s="41"/>
      <c r="CJ372" s="41"/>
      <c r="CK372" s="41"/>
    </row>
    <row r="373" spans="1:89">
      <c r="A373" s="41" t="s">
        <v>502</v>
      </c>
      <c r="B373" s="51">
        <v>15.26666666667</v>
      </c>
      <c r="C373" s="51">
        <v>15.7</v>
      </c>
      <c r="D373" s="51">
        <v>13.25</v>
      </c>
      <c r="E373" s="51">
        <v>16.850000000000001</v>
      </c>
      <c r="F373" s="51">
        <v>40.5</v>
      </c>
      <c r="G373" s="51">
        <v>34</v>
      </c>
      <c r="H373" s="51">
        <v>1.47</v>
      </c>
      <c r="I373" s="51">
        <v>2.82</v>
      </c>
      <c r="J373" s="51">
        <v>3.64</v>
      </c>
      <c r="K373" s="51">
        <v>33.72303889426</v>
      </c>
      <c r="L373" s="51">
        <v>1.3201000000000001</v>
      </c>
      <c r="M373" s="51">
        <v>1.9654</v>
      </c>
      <c r="N373" s="51">
        <v>1.1171</v>
      </c>
      <c r="O373" s="51">
        <v>1.9382999999999999</v>
      </c>
      <c r="P373" s="51">
        <v>1.6005</v>
      </c>
      <c r="Q373" s="51">
        <v>3.0921919999999998</v>
      </c>
      <c r="R373" s="51">
        <v>1.1223069999999999</v>
      </c>
      <c r="S373" s="51">
        <v>317</v>
      </c>
      <c r="T373" s="51">
        <v>905</v>
      </c>
      <c r="U373" s="51">
        <v>354</v>
      </c>
      <c r="V373" s="51">
        <v>931</v>
      </c>
      <c r="W373" s="51">
        <v>272</v>
      </c>
      <c r="X373" s="51" t="s">
        <v>1574</v>
      </c>
      <c r="Y373" s="51">
        <v>249</v>
      </c>
      <c r="Z373" s="51">
        <v>435</v>
      </c>
      <c r="AA373" s="51">
        <v>184</v>
      </c>
      <c r="AB373" s="51" t="s">
        <v>1574</v>
      </c>
      <c r="AC373" s="51" t="s">
        <v>1574</v>
      </c>
      <c r="AD373" s="51">
        <v>80.23</v>
      </c>
      <c r="AE373" s="51">
        <v>120.86</v>
      </c>
      <c r="AF373" s="51">
        <v>110.95</v>
      </c>
      <c r="AG373" s="51">
        <v>255</v>
      </c>
      <c r="AH373" s="51" t="s">
        <v>1574</v>
      </c>
      <c r="AI373" s="51">
        <v>140</v>
      </c>
      <c r="AJ373" s="51" t="s">
        <v>1574</v>
      </c>
      <c r="AK373" s="51">
        <v>130.49</v>
      </c>
      <c r="AL373" s="51">
        <v>135.58000000000001</v>
      </c>
      <c r="AM373" s="51" t="s">
        <v>1574</v>
      </c>
      <c r="AN373" s="51">
        <v>0.52910000000000001</v>
      </c>
      <c r="AO373" s="51">
        <v>0.59985999999999995</v>
      </c>
      <c r="AP373" s="51">
        <v>2.504</v>
      </c>
      <c r="AQ373" s="51">
        <v>1.108262474</v>
      </c>
      <c r="AR373" s="51">
        <v>2.7225000000000001</v>
      </c>
      <c r="AS373" s="51">
        <v>11.35</v>
      </c>
      <c r="AT373" s="51">
        <v>0.52735835136999998</v>
      </c>
      <c r="AU373" s="51">
        <v>0.51389695227999999</v>
      </c>
      <c r="AV373" s="51">
        <v>0.28599999999999998</v>
      </c>
      <c r="AW373" s="51">
        <v>3420.22</v>
      </c>
      <c r="AX373" s="51">
        <v>335.4</v>
      </c>
      <c r="AY373" s="51">
        <v>181.67</v>
      </c>
      <c r="AZ373" s="51">
        <v>533</v>
      </c>
      <c r="BA373" s="51">
        <v>510.87618447119002</v>
      </c>
      <c r="BB373" s="51">
        <v>373.94</v>
      </c>
      <c r="BC373" s="51">
        <v>1.9861</v>
      </c>
      <c r="BD373" s="51" t="s">
        <v>1574</v>
      </c>
      <c r="BE373" s="51">
        <v>0.85250000000000004</v>
      </c>
      <c r="BF373" s="51">
        <v>31.5</v>
      </c>
      <c r="BG373" s="51">
        <v>152.75</v>
      </c>
      <c r="BH373" s="51">
        <v>130</v>
      </c>
      <c r="BI373" s="51">
        <v>107</v>
      </c>
      <c r="BJ373" s="51">
        <v>93.5</v>
      </c>
      <c r="BK373" s="51">
        <v>1565.79</v>
      </c>
      <c r="BL373" s="51">
        <v>32.5</v>
      </c>
      <c r="BM373" s="51">
        <v>2584.56</v>
      </c>
      <c r="BN373" s="51">
        <v>838</v>
      </c>
      <c r="BO373" s="51">
        <v>6096</v>
      </c>
      <c r="BP373" s="51">
        <v>8422.1</v>
      </c>
      <c r="BQ373" s="51">
        <v>1714.8</v>
      </c>
      <c r="BR373" s="51">
        <v>352.33</v>
      </c>
      <c r="BS373" s="51">
        <v>481.11</v>
      </c>
      <c r="BT373" s="51">
        <v>4.9181999999999997</v>
      </c>
      <c r="BU373" s="41"/>
      <c r="BV373" s="41"/>
      <c r="BW373" s="41"/>
      <c r="BX373" s="41"/>
      <c r="BY373" s="41"/>
      <c r="BZ373" s="41"/>
      <c r="CA373" s="41"/>
      <c r="CB373" s="41"/>
      <c r="CC373" s="41"/>
      <c r="CD373" s="41"/>
      <c r="CE373" s="41"/>
      <c r="CF373" s="41"/>
      <c r="CG373" s="41"/>
      <c r="CH373" s="41"/>
      <c r="CI373" s="41"/>
      <c r="CJ373" s="41"/>
      <c r="CK373" s="41"/>
    </row>
    <row r="374" spans="1:89">
      <c r="A374" s="48" t="s">
        <v>503</v>
      </c>
      <c r="B374" s="49">
        <v>17.16666666667</v>
      </c>
      <c r="C374" s="49">
        <v>17.55</v>
      </c>
      <c r="D374" s="49">
        <v>15.3</v>
      </c>
      <c r="E374" s="49">
        <v>18.649999999999999</v>
      </c>
      <c r="F374" s="49">
        <v>40.5</v>
      </c>
      <c r="G374" s="49">
        <v>34</v>
      </c>
      <c r="H374" s="49">
        <v>1.41</v>
      </c>
      <c r="I374" s="49">
        <v>2.82</v>
      </c>
      <c r="J374" s="49">
        <v>3.64</v>
      </c>
      <c r="K374" s="49">
        <v>32.99443651584</v>
      </c>
      <c r="L374" s="49">
        <v>1.3456999999999999</v>
      </c>
      <c r="M374" s="49">
        <v>1.9103000000000001</v>
      </c>
      <c r="N374" s="49">
        <v>1.1039000000000001</v>
      </c>
      <c r="O374" s="49">
        <v>1.9932000000000001</v>
      </c>
      <c r="P374" s="49">
        <v>1.5945</v>
      </c>
      <c r="Q374" s="49">
        <v>3.0684429999999998</v>
      </c>
      <c r="R374" s="49">
        <v>1.3165610000000001</v>
      </c>
      <c r="S374" s="49">
        <v>297</v>
      </c>
      <c r="T374" s="49">
        <v>860</v>
      </c>
      <c r="U374" s="49">
        <v>383</v>
      </c>
      <c r="V374" s="49">
        <v>925</v>
      </c>
      <c r="W374" s="49">
        <v>279</v>
      </c>
      <c r="X374" s="49" t="s">
        <v>1574</v>
      </c>
      <c r="Y374" s="49">
        <v>252</v>
      </c>
      <c r="Z374" s="49">
        <v>437</v>
      </c>
      <c r="AA374" s="49">
        <v>186</v>
      </c>
      <c r="AB374" s="49" t="s">
        <v>1574</v>
      </c>
      <c r="AC374" s="49" t="s">
        <v>1574</v>
      </c>
      <c r="AD374" s="49">
        <v>77.989999999999995</v>
      </c>
      <c r="AE374" s="49">
        <v>114.91</v>
      </c>
      <c r="AF374" s="49">
        <v>109.24</v>
      </c>
      <c r="AG374" s="49">
        <v>256.39999999999998</v>
      </c>
      <c r="AH374" s="49">
        <v>297</v>
      </c>
      <c r="AI374" s="49">
        <v>142</v>
      </c>
      <c r="AJ374" s="49" t="s">
        <v>1574</v>
      </c>
      <c r="AK374" s="49">
        <v>119.55</v>
      </c>
      <c r="AL374" s="49">
        <v>124.93</v>
      </c>
      <c r="AM374" s="49" t="s">
        <v>1574</v>
      </c>
      <c r="AN374" s="49">
        <v>0.62560000000000004</v>
      </c>
      <c r="AO374" s="49">
        <v>0.56727000000000005</v>
      </c>
      <c r="AP374" s="49">
        <v>2.5589</v>
      </c>
      <c r="AQ374" s="49">
        <v>1.10341231</v>
      </c>
      <c r="AR374" s="49">
        <v>2.7740999999999998</v>
      </c>
      <c r="AS374" s="49">
        <v>10.95</v>
      </c>
      <c r="AT374" s="49">
        <v>0.61888640397000005</v>
      </c>
      <c r="AU374" s="49">
        <v>0.51632196363000005</v>
      </c>
      <c r="AV374" s="49">
        <v>0.26429999999999998</v>
      </c>
      <c r="AW374" s="49">
        <v>3446.4</v>
      </c>
      <c r="AX374" s="49">
        <v>345.42</v>
      </c>
      <c r="AY374" s="49">
        <v>187.96</v>
      </c>
      <c r="AZ374" s="49">
        <v>533</v>
      </c>
      <c r="BA374" s="49">
        <v>501.36939485737003</v>
      </c>
      <c r="BB374" s="49">
        <v>378.48</v>
      </c>
      <c r="BC374" s="49">
        <v>2.0125000000000002</v>
      </c>
      <c r="BD374" s="49" t="s">
        <v>1574</v>
      </c>
      <c r="BE374" s="49">
        <v>0.86</v>
      </c>
      <c r="BF374" s="49">
        <v>31.5</v>
      </c>
      <c r="BG374" s="49">
        <v>160.69999999999999</v>
      </c>
      <c r="BH374" s="49">
        <v>131</v>
      </c>
      <c r="BI374" s="49">
        <v>107</v>
      </c>
      <c r="BJ374" s="49">
        <v>93.5</v>
      </c>
      <c r="BK374" s="49">
        <v>1570.96</v>
      </c>
      <c r="BL374" s="49">
        <v>32.5</v>
      </c>
      <c r="BM374" s="49">
        <v>2769.49</v>
      </c>
      <c r="BN374" s="49">
        <v>875.4</v>
      </c>
      <c r="BO374" s="49">
        <v>5924.4</v>
      </c>
      <c r="BP374" s="49">
        <v>9318.2000000000007</v>
      </c>
      <c r="BQ374" s="49">
        <v>1637</v>
      </c>
      <c r="BR374" s="49">
        <v>362.53</v>
      </c>
      <c r="BS374" s="49">
        <v>478.79</v>
      </c>
      <c r="BT374" s="49">
        <v>4.8749000000000002</v>
      </c>
      <c r="BU374" s="41"/>
      <c r="BV374" s="41"/>
      <c r="BW374" s="41"/>
      <c r="BX374" s="41"/>
      <c r="BY374" s="41"/>
      <c r="BZ374" s="41"/>
      <c r="CA374" s="41"/>
      <c r="CB374" s="41"/>
      <c r="CC374" s="41"/>
      <c r="CD374" s="41"/>
      <c r="CE374" s="41"/>
      <c r="CF374" s="41"/>
      <c r="CG374" s="41"/>
      <c r="CH374" s="41"/>
      <c r="CI374" s="41"/>
      <c r="CJ374" s="41"/>
      <c r="CK374" s="41"/>
    </row>
    <row r="375" spans="1:89">
      <c r="A375" s="41" t="s">
        <v>504</v>
      </c>
      <c r="B375" s="51">
        <v>26.4</v>
      </c>
      <c r="C375" s="51">
        <v>27.05</v>
      </c>
      <c r="D375" s="51">
        <v>25</v>
      </c>
      <c r="E375" s="51">
        <v>27.15</v>
      </c>
      <c r="F375" s="51">
        <v>40.5</v>
      </c>
      <c r="G375" s="51">
        <v>34</v>
      </c>
      <c r="H375" s="51">
        <v>1.36</v>
      </c>
      <c r="I375" s="51">
        <v>2.82</v>
      </c>
      <c r="J375" s="51">
        <v>3.64</v>
      </c>
      <c r="K375" s="51">
        <v>32.387267867159999</v>
      </c>
      <c r="L375" s="51">
        <v>1.2857000000000001</v>
      </c>
      <c r="M375" s="51">
        <v>2.0817999999999999</v>
      </c>
      <c r="N375" s="51">
        <v>1.1856</v>
      </c>
      <c r="O375" s="51">
        <v>1.9603999999999999</v>
      </c>
      <c r="P375" s="51">
        <v>1.738076</v>
      </c>
      <c r="Q375" s="51">
        <v>2.8802439999999998</v>
      </c>
      <c r="R375" s="51">
        <v>1.2627820000000001</v>
      </c>
      <c r="S375" s="51">
        <v>294</v>
      </c>
      <c r="T375" s="51">
        <v>1400</v>
      </c>
      <c r="U375" s="51">
        <v>407</v>
      </c>
      <c r="V375" s="51">
        <v>963</v>
      </c>
      <c r="W375" s="51">
        <v>291</v>
      </c>
      <c r="X375" s="51" t="s">
        <v>1574</v>
      </c>
      <c r="Y375" s="51">
        <v>250</v>
      </c>
      <c r="Z375" s="51">
        <v>460</v>
      </c>
      <c r="AA375" s="51">
        <v>189</v>
      </c>
      <c r="AB375" s="51" t="s">
        <v>1574</v>
      </c>
      <c r="AC375" s="51" t="s">
        <v>1574</v>
      </c>
      <c r="AD375" s="51">
        <v>83.78</v>
      </c>
      <c r="AE375" s="51">
        <v>110.05</v>
      </c>
      <c r="AF375" s="51">
        <v>104.76</v>
      </c>
      <c r="AG375" s="51">
        <v>259.5</v>
      </c>
      <c r="AH375" s="51">
        <v>298</v>
      </c>
      <c r="AI375" s="51">
        <v>149</v>
      </c>
      <c r="AJ375" s="51" t="s">
        <v>1574</v>
      </c>
      <c r="AK375" s="51">
        <v>115.12</v>
      </c>
      <c r="AL375" s="51">
        <v>116.84</v>
      </c>
      <c r="AM375" s="51" t="s">
        <v>1574</v>
      </c>
      <c r="AN375" s="51">
        <v>0.5464</v>
      </c>
      <c r="AO375" s="51">
        <v>0.59141999999999995</v>
      </c>
      <c r="AP375" s="51">
        <v>2.6541000000000001</v>
      </c>
      <c r="AQ375" s="51">
        <v>1.0961370640000001</v>
      </c>
      <c r="AR375" s="51">
        <v>2.6564000000000001</v>
      </c>
      <c r="AS375" s="51">
        <v>10.01</v>
      </c>
      <c r="AT375" s="51">
        <v>0.65019070610999996</v>
      </c>
      <c r="AU375" s="51">
        <v>0.51279457500000003</v>
      </c>
      <c r="AV375" s="51">
        <v>0.24099999999999999</v>
      </c>
      <c r="AW375" s="51">
        <v>3483.54</v>
      </c>
      <c r="AX375" s="51">
        <v>360.32</v>
      </c>
      <c r="AY375" s="51">
        <v>186.13</v>
      </c>
      <c r="AZ375" s="51">
        <v>533</v>
      </c>
      <c r="BA375" s="51">
        <v>503.07985520991002</v>
      </c>
      <c r="BB375" s="51">
        <v>364.6</v>
      </c>
      <c r="BC375" s="51">
        <v>1.7919</v>
      </c>
      <c r="BD375" s="51" t="s">
        <v>1574</v>
      </c>
      <c r="BE375" s="51">
        <v>0.88360000000000005</v>
      </c>
      <c r="BF375" s="51">
        <v>31.5</v>
      </c>
      <c r="BG375" s="51">
        <v>160.5</v>
      </c>
      <c r="BH375" s="51">
        <v>135.6</v>
      </c>
      <c r="BI375" s="51">
        <v>114.875</v>
      </c>
      <c r="BJ375" s="51">
        <v>93.5</v>
      </c>
      <c r="BK375" s="51">
        <v>1782.02</v>
      </c>
      <c r="BL375" s="51">
        <v>32.5</v>
      </c>
      <c r="BM375" s="51">
        <v>2957.03</v>
      </c>
      <c r="BN375" s="51">
        <v>876.1</v>
      </c>
      <c r="BO375" s="51">
        <v>5905.2</v>
      </c>
      <c r="BP375" s="51">
        <v>10957.4</v>
      </c>
      <c r="BQ375" s="51">
        <v>1615.1</v>
      </c>
      <c r="BR375" s="51">
        <v>394.73</v>
      </c>
      <c r="BS375" s="51">
        <v>492.73</v>
      </c>
      <c r="BT375" s="51">
        <v>5.008</v>
      </c>
      <c r="BU375" s="41"/>
      <c r="BV375" s="41"/>
      <c r="BW375" s="41"/>
      <c r="BX375" s="41"/>
      <c r="BY375" s="41"/>
      <c r="BZ375" s="41"/>
      <c r="CA375" s="41"/>
      <c r="CB375" s="41"/>
      <c r="CC375" s="41"/>
      <c r="CD375" s="41"/>
      <c r="CE375" s="41"/>
      <c r="CF375" s="41"/>
      <c r="CG375" s="41"/>
      <c r="CH375" s="41"/>
      <c r="CI375" s="41"/>
      <c r="CJ375" s="41"/>
      <c r="CK375" s="41"/>
    </row>
    <row r="376" spans="1:89">
      <c r="A376" s="48" t="s">
        <v>505</v>
      </c>
      <c r="B376" s="49">
        <v>32.700000000000003</v>
      </c>
      <c r="C376" s="49">
        <v>34.1</v>
      </c>
      <c r="D376" s="49">
        <v>30.3</v>
      </c>
      <c r="E376" s="49">
        <v>33.700000000000003</v>
      </c>
      <c r="F376" s="49">
        <v>40.5</v>
      </c>
      <c r="G376" s="49">
        <v>34</v>
      </c>
      <c r="H376" s="49">
        <v>1.44</v>
      </c>
      <c r="I376" s="49">
        <v>2.82</v>
      </c>
      <c r="J376" s="49">
        <v>3.64</v>
      </c>
      <c r="K376" s="49">
        <v>33.358737705049997</v>
      </c>
      <c r="L376" s="49">
        <v>1.3714999999999999</v>
      </c>
      <c r="M376" s="49">
        <v>2.1030000000000002</v>
      </c>
      <c r="N376" s="49">
        <v>1.228</v>
      </c>
      <c r="O376" s="49">
        <v>2.0253000000000001</v>
      </c>
      <c r="P376" s="49">
        <v>1.7942100000000001</v>
      </c>
      <c r="Q376" s="49">
        <v>2.802619</v>
      </c>
      <c r="R376" s="49">
        <v>1.4789870000000001</v>
      </c>
      <c r="S376" s="49">
        <v>284</v>
      </c>
      <c r="T376" s="49">
        <v>2050</v>
      </c>
      <c r="U376" s="49">
        <v>417</v>
      </c>
      <c r="V376" s="49">
        <v>991</v>
      </c>
      <c r="W376" s="49">
        <v>284</v>
      </c>
      <c r="X376" s="49" t="s">
        <v>1574</v>
      </c>
      <c r="Y376" s="49">
        <v>250</v>
      </c>
      <c r="Z376" s="49">
        <v>461</v>
      </c>
      <c r="AA376" s="49">
        <v>197</v>
      </c>
      <c r="AB376" s="49" t="s">
        <v>1574</v>
      </c>
      <c r="AC376" s="49" t="s">
        <v>1574</v>
      </c>
      <c r="AD376" s="49">
        <v>88.39</v>
      </c>
      <c r="AE376" s="49">
        <v>101.52</v>
      </c>
      <c r="AF376" s="49">
        <v>98.27</v>
      </c>
      <c r="AG376" s="49">
        <v>260.75</v>
      </c>
      <c r="AH376" s="49">
        <v>268</v>
      </c>
      <c r="AI376" s="49">
        <v>150</v>
      </c>
      <c r="AJ376" s="49" t="s">
        <v>1574</v>
      </c>
      <c r="AK376" s="49">
        <v>108.46</v>
      </c>
      <c r="AL376" s="49">
        <v>114.27</v>
      </c>
      <c r="AM376" s="49" t="s">
        <v>1574</v>
      </c>
      <c r="AN376" s="49">
        <v>0.52359999999999995</v>
      </c>
      <c r="AO376" s="49">
        <v>0.62622999999999995</v>
      </c>
      <c r="AP376" s="49">
        <v>2.6968999999999999</v>
      </c>
      <c r="AQ376" s="49">
        <v>1.0930505960000001</v>
      </c>
      <c r="AR376" s="49">
        <v>2.7021999999999999</v>
      </c>
      <c r="AS376" s="49">
        <v>10.28</v>
      </c>
      <c r="AT376" s="49">
        <v>0.64389488548999996</v>
      </c>
      <c r="AU376" s="49">
        <v>0.51213321591000005</v>
      </c>
      <c r="AV376" s="49">
        <v>0.24299999999999999</v>
      </c>
      <c r="AW376" s="49">
        <v>3430.39</v>
      </c>
      <c r="AX376" s="49">
        <v>361.39</v>
      </c>
      <c r="AY376" s="49">
        <v>185.33</v>
      </c>
      <c r="AZ376" s="49">
        <v>533</v>
      </c>
      <c r="BA376" s="49">
        <v>503.32249222548</v>
      </c>
      <c r="BB376" s="49">
        <v>384.92</v>
      </c>
      <c r="BC376" s="49">
        <v>1.7918000000000001</v>
      </c>
      <c r="BD376" s="49" t="s">
        <v>1574</v>
      </c>
      <c r="BE376" s="49">
        <v>0.89549999999999996</v>
      </c>
      <c r="BF376" s="49">
        <v>31.5</v>
      </c>
      <c r="BG376" s="49">
        <v>165.875</v>
      </c>
      <c r="BH376" s="49">
        <v>144.25</v>
      </c>
      <c r="BI376" s="49">
        <v>90.625</v>
      </c>
      <c r="BJ376" s="49">
        <v>93.5</v>
      </c>
      <c r="BK376" s="49">
        <v>2066.5300000000002</v>
      </c>
      <c r="BL376" s="49">
        <v>32.5</v>
      </c>
      <c r="BM376" s="49">
        <v>3031.37</v>
      </c>
      <c r="BN376" s="49">
        <v>838.5</v>
      </c>
      <c r="BO376" s="49">
        <v>5707</v>
      </c>
      <c r="BP376" s="49">
        <v>10844</v>
      </c>
      <c r="BQ376" s="49">
        <v>1537.5</v>
      </c>
      <c r="BR376" s="49">
        <v>389.32</v>
      </c>
      <c r="BS376" s="49">
        <v>461.66</v>
      </c>
      <c r="BT376" s="49">
        <v>4.8037999999999998</v>
      </c>
      <c r="BU376" s="41"/>
      <c r="BV376" s="41"/>
      <c r="BW376" s="41"/>
      <c r="BX376" s="41"/>
      <c r="BY376" s="41"/>
      <c r="BZ376" s="41"/>
      <c r="CA376" s="41"/>
      <c r="CB376" s="41"/>
      <c r="CC376" s="41"/>
      <c r="CD376" s="41"/>
      <c r="CE376" s="41"/>
      <c r="CF376" s="41"/>
      <c r="CG376" s="41"/>
      <c r="CH376" s="41"/>
      <c r="CI376" s="41"/>
      <c r="CJ376" s="41"/>
      <c r="CK376" s="41"/>
    </row>
    <row r="377" spans="1:89">
      <c r="A377" s="41" t="s">
        <v>506</v>
      </c>
      <c r="B377" s="51">
        <v>34.5</v>
      </c>
      <c r="C377" s="51">
        <v>36.049999999999997</v>
      </c>
      <c r="D377" s="51">
        <v>31.55</v>
      </c>
      <c r="E377" s="51">
        <v>35.9</v>
      </c>
      <c r="F377" s="51">
        <v>40.5</v>
      </c>
      <c r="G377" s="51">
        <v>34</v>
      </c>
      <c r="H377" s="51">
        <v>1.69</v>
      </c>
      <c r="I377" s="51">
        <v>2.82</v>
      </c>
      <c r="J377" s="51">
        <v>3.64</v>
      </c>
      <c r="K377" s="51">
        <v>36.394580948470001</v>
      </c>
      <c r="L377" s="51">
        <v>1.3069</v>
      </c>
      <c r="M377" s="51">
        <v>2.0190000000000001</v>
      </c>
      <c r="N377" s="51">
        <v>1.2392000000000001</v>
      </c>
      <c r="O377" s="51">
        <v>2.0796999999999999</v>
      </c>
      <c r="P377" s="51">
        <v>1.8211839999999999</v>
      </c>
      <c r="Q377" s="51">
        <v>2.8136939999999999</v>
      </c>
      <c r="R377" s="51">
        <v>1.604366</v>
      </c>
      <c r="S377" s="51">
        <v>284</v>
      </c>
      <c r="T377" s="51">
        <v>2120</v>
      </c>
      <c r="U377" s="51">
        <v>435</v>
      </c>
      <c r="V377" s="51">
        <v>1012</v>
      </c>
      <c r="W377" s="51">
        <v>290</v>
      </c>
      <c r="X377" s="51" t="s">
        <v>1574</v>
      </c>
      <c r="Y377" s="51">
        <v>247</v>
      </c>
      <c r="Z377" s="51">
        <v>468</v>
      </c>
      <c r="AA377" s="51">
        <v>211</v>
      </c>
      <c r="AB377" s="51" t="s">
        <v>1574</v>
      </c>
      <c r="AC377" s="51" t="s">
        <v>1574</v>
      </c>
      <c r="AD377" s="51">
        <v>88.16</v>
      </c>
      <c r="AE377" s="51">
        <v>100.34</v>
      </c>
      <c r="AF377" s="51">
        <v>97.83</v>
      </c>
      <c r="AG377" s="51">
        <v>281.39999999999998</v>
      </c>
      <c r="AH377" s="51">
        <v>244</v>
      </c>
      <c r="AI377" s="51">
        <v>163</v>
      </c>
      <c r="AJ377" s="51" t="s">
        <v>1574</v>
      </c>
      <c r="AK377" s="51">
        <v>104.77</v>
      </c>
      <c r="AL377" s="51">
        <v>114.64</v>
      </c>
      <c r="AM377" s="51" t="s">
        <v>1574</v>
      </c>
      <c r="AN377" s="51">
        <v>0.49070000000000003</v>
      </c>
      <c r="AO377" s="51">
        <v>0.64407000000000003</v>
      </c>
      <c r="AP377" s="51">
        <v>2.5851000000000002</v>
      </c>
      <c r="AQ377" s="51">
        <v>1.0729885539999999</v>
      </c>
      <c r="AR377" s="51">
        <v>2.7730000000000001</v>
      </c>
      <c r="AS377" s="51">
        <v>11.19</v>
      </c>
      <c r="AT377" s="51">
        <v>0.66624880585000001</v>
      </c>
      <c r="AU377" s="51">
        <v>0.51345601817999997</v>
      </c>
      <c r="AV377" s="51">
        <v>0.21640000000000001</v>
      </c>
      <c r="AW377" s="51">
        <v>3287.27</v>
      </c>
      <c r="AX377" s="51">
        <v>369.74</v>
      </c>
      <c r="AY377" s="51">
        <v>189.76</v>
      </c>
      <c r="AZ377" s="51">
        <v>533</v>
      </c>
      <c r="BA377" s="51">
        <v>520.84593718941005</v>
      </c>
      <c r="BB377" s="51">
        <v>409.31</v>
      </c>
      <c r="BC377" s="51">
        <v>1.7937000000000001</v>
      </c>
      <c r="BD377" s="51" t="s">
        <v>1574</v>
      </c>
      <c r="BE377" s="51">
        <v>0.8962</v>
      </c>
      <c r="BF377" s="51">
        <v>31.5</v>
      </c>
      <c r="BG377" s="51">
        <v>165.7</v>
      </c>
      <c r="BH377" s="51">
        <v>149.5</v>
      </c>
      <c r="BI377" s="51">
        <v>136.5</v>
      </c>
      <c r="BJ377" s="51">
        <v>93.5</v>
      </c>
      <c r="BK377" s="51">
        <v>1945.7</v>
      </c>
      <c r="BL377" s="51">
        <v>32.5</v>
      </c>
      <c r="BM377" s="51">
        <v>2743.56</v>
      </c>
      <c r="BN377" s="51">
        <v>760.9</v>
      </c>
      <c r="BO377" s="51">
        <v>6061.4</v>
      </c>
      <c r="BP377" s="51">
        <v>9145.4</v>
      </c>
      <c r="BQ377" s="51">
        <v>1352.6</v>
      </c>
      <c r="BR377" s="51">
        <v>380.74</v>
      </c>
      <c r="BS377" s="51">
        <v>424.95</v>
      </c>
      <c r="BT377" s="51">
        <v>4.3891</v>
      </c>
      <c r="BU377" s="41"/>
      <c r="BV377" s="41"/>
      <c r="BW377" s="41"/>
      <c r="BX377" s="41"/>
      <c r="BY377" s="41"/>
      <c r="BZ377" s="41"/>
      <c r="CA377" s="41"/>
      <c r="CB377" s="41"/>
      <c r="CC377" s="41"/>
      <c r="CD377" s="41"/>
      <c r="CE377" s="41"/>
      <c r="CF377" s="41"/>
      <c r="CG377" s="41"/>
      <c r="CH377" s="41"/>
      <c r="CI377" s="41"/>
      <c r="CJ377" s="41"/>
      <c r="CK377" s="41"/>
    </row>
    <row r="378" spans="1:89">
      <c r="A378" s="48" t="s">
        <v>507</v>
      </c>
      <c r="B378" s="49">
        <v>31.08333333333</v>
      </c>
      <c r="C378" s="49">
        <v>33</v>
      </c>
      <c r="D378" s="49">
        <v>27.95</v>
      </c>
      <c r="E378" s="49">
        <v>32.299999999999997</v>
      </c>
      <c r="F378" s="49">
        <v>40.5</v>
      </c>
      <c r="G378" s="49">
        <v>34</v>
      </c>
      <c r="H378" s="49">
        <v>2.1</v>
      </c>
      <c r="I378" s="49">
        <v>2.82</v>
      </c>
      <c r="J378" s="49">
        <v>3.64</v>
      </c>
      <c r="K378" s="49">
        <v>41.373363867670001</v>
      </c>
      <c r="L378" s="49">
        <v>1.347</v>
      </c>
      <c r="M378" s="49">
        <v>1.8677999999999999</v>
      </c>
      <c r="N378" s="49">
        <v>1.2231000000000001</v>
      </c>
      <c r="O378" s="49">
        <v>1.8418000000000001</v>
      </c>
      <c r="P378" s="49">
        <v>1.69526</v>
      </c>
      <c r="Q378" s="49">
        <v>2.2546580000000001</v>
      </c>
      <c r="R378" s="49">
        <v>1.5755170000000001</v>
      </c>
      <c r="S378" s="49">
        <v>343</v>
      </c>
      <c r="T378" s="49">
        <v>2110</v>
      </c>
      <c r="U378" s="49">
        <v>473</v>
      </c>
      <c r="V378" s="49">
        <v>1040</v>
      </c>
      <c r="W378" s="49">
        <v>331</v>
      </c>
      <c r="X378" s="49" t="s">
        <v>1574</v>
      </c>
      <c r="Y378" s="49">
        <v>239</v>
      </c>
      <c r="Z378" s="49">
        <v>455</v>
      </c>
      <c r="AA378" s="49">
        <v>204</v>
      </c>
      <c r="AB378" s="49" t="s">
        <v>1574</v>
      </c>
      <c r="AC378" s="49" t="s">
        <v>1574</v>
      </c>
      <c r="AD378" s="49">
        <v>91.47</v>
      </c>
      <c r="AE378" s="49">
        <v>100.39</v>
      </c>
      <c r="AF378" s="49">
        <v>98.16</v>
      </c>
      <c r="AG378" s="49">
        <v>272.25</v>
      </c>
      <c r="AH378" s="49">
        <v>216</v>
      </c>
      <c r="AI378" s="49">
        <v>153</v>
      </c>
      <c r="AJ378" s="49" t="s">
        <v>1574</v>
      </c>
      <c r="AK378" s="49">
        <v>106.37</v>
      </c>
      <c r="AL378" s="49">
        <v>112.8</v>
      </c>
      <c r="AM378" s="49" t="s">
        <v>1574</v>
      </c>
      <c r="AN378" s="49">
        <v>0.42709999999999998</v>
      </c>
      <c r="AO378" s="49">
        <v>0.52000999999999997</v>
      </c>
      <c r="AP378" s="49">
        <v>2.5341999999999998</v>
      </c>
      <c r="AQ378" s="49">
        <v>1.0657133080000001</v>
      </c>
      <c r="AR378" s="49">
        <v>2.7366999999999999</v>
      </c>
      <c r="AS378" s="49">
        <v>11.75</v>
      </c>
      <c r="AT378" s="49">
        <v>0.67271930130000002</v>
      </c>
      <c r="AU378" s="49">
        <v>0.51036956363999997</v>
      </c>
      <c r="AV378" s="49">
        <v>0.22170000000000001</v>
      </c>
      <c r="AW378" s="49">
        <v>3400.25</v>
      </c>
      <c r="AX378" s="49">
        <v>369.96</v>
      </c>
      <c r="AY378" s="49">
        <v>179.02</v>
      </c>
      <c r="AZ378" s="49">
        <v>533</v>
      </c>
      <c r="BA378" s="49">
        <v>529.42408469303996</v>
      </c>
      <c r="BB378" s="49">
        <v>375.74</v>
      </c>
      <c r="BC378" s="49">
        <v>1.8199000000000001</v>
      </c>
      <c r="BD378" s="49" t="s">
        <v>1574</v>
      </c>
      <c r="BE378" s="49">
        <v>0.8982</v>
      </c>
      <c r="BF378" s="49">
        <v>31.5</v>
      </c>
      <c r="BG378" s="49">
        <v>163.375</v>
      </c>
      <c r="BH378" s="49">
        <v>152.5</v>
      </c>
      <c r="BI378" s="49">
        <v>144.5</v>
      </c>
      <c r="BJ378" s="49">
        <v>93.5</v>
      </c>
      <c r="BK378" s="49">
        <v>1617.5</v>
      </c>
      <c r="BL378" s="49">
        <v>32.5</v>
      </c>
      <c r="BM378" s="49">
        <v>2585.89</v>
      </c>
      <c r="BN378" s="49">
        <v>701.2</v>
      </c>
      <c r="BO378" s="49">
        <v>5981.3</v>
      </c>
      <c r="BP378" s="49">
        <v>8587.4</v>
      </c>
      <c r="BQ378" s="49">
        <v>1277.7</v>
      </c>
      <c r="BR378" s="49">
        <v>381.73</v>
      </c>
      <c r="BS378" s="49">
        <v>422.24</v>
      </c>
      <c r="BT378" s="49">
        <v>4.1729000000000003</v>
      </c>
      <c r="BU378" s="41"/>
      <c r="BV378" s="41"/>
      <c r="BW378" s="41"/>
      <c r="BX378" s="41"/>
      <c r="BY378" s="41"/>
      <c r="BZ378" s="41"/>
      <c r="CA378" s="41"/>
      <c r="CB378" s="41"/>
      <c r="CC378" s="41"/>
      <c r="CD378" s="41"/>
      <c r="CE378" s="41"/>
      <c r="CF378" s="41"/>
      <c r="CG378" s="41"/>
      <c r="CH378" s="41"/>
      <c r="CI378" s="41"/>
      <c r="CJ378" s="41"/>
      <c r="CK378" s="41"/>
    </row>
    <row r="379" spans="1:89">
      <c r="A379" s="41" t="s">
        <v>508</v>
      </c>
      <c r="B379" s="51">
        <v>26.13333333333</v>
      </c>
      <c r="C379" s="51">
        <v>28</v>
      </c>
      <c r="D379" s="51">
        <v>23.25</v>
      </c>
      <c r="E379" s="51">
        <v>27.15</v>
      </c>
      <c r="F379" s="51">
        <v>40.5</v>
      </c>
      <c r="G379" s="51">
        <v>34</v>
      </c>
      <c r="H379" s="51">
        <v>2.11</v>
      </c>
      <c r="I379" s="51">
        <v>2.82</v>
      </c>
      <c r="J379" s="51">
        <v>3.64</v>
      </c>
      <c r="K379" s="51">
        <v>41.494797597409999</v>
      </c>
      <c r="L379" s="51">
        <v>1.2964</v>
      </c>
      <c r="M379" s="51">
        <v>1.9661</v>
      </c>
      <c r="N379" s="51">
        <v>1.2446999999999999</v>
      </c>
      <c r="O379" s="51">
        <v>1.9380999999999999</v>
      </c>
      <c r="P379" s="51">
        <v>1.683902</v>
      </c>
      <c r="Q379" s="51">
        <v>2.6086960000000001</v>
      </c>
      <c r="R379" s="51">
        <v>1.5216670000000001</v>
      </c>
      <c r="S379" s="51">
        <v>325</v>
      </c>
      <c r="T379" s="51">
        <v>2000</v>
      </c>
      <c r="U379" s="51">
        <v>481</v>
      </c>
      <c r="V379" s="51">
        <v>1038</v>
      </c>
      <c r="W379" s="51">
        <v>346</v>
      </c>
      <c r="X379" s="51" t="s">
        <v>1574</v>
      </c>
      <c r="Y379" s="51">
        <v>244</v>
      </c>
      <c r="Z379" s="51">
        <v>476</v>
      </c>
      <c r="AA379" s="51">
        <v>208</v>
      </c>
      <c r="AB379" s="51" t="s">
        <v>1574</v>
      </c>
      <c r="AC379" s="51" t="s">
        <v>1574</v>
      </c>
      <c r="AD379" s="51">
        <v>89.81</v>
      </c>
      <c r="AE379" s="51">
        <v>102.01</v>
      </c>
      <c r="AF379" s="51">
        <v>100.97</v>
      </c>
      <c r="AG379" s="51">
        <v>263.75</v>
      </c>
      <c r="AH379" s="51">
        <v>227</v>
      </c>
      <c r="AI379" s="51">
        <v>147</v>
      </c>
      <c r="AJ379" s="51" t="s">
        <v>1574</v>
      </c>
      <c r="AK379" s="51">
        <v>108.35</v>
      </c>
      <c r="AL379" s="51">
        <v>113.17</v>
      </c>
      <c r="AM379" s="51" t="s">
        <v>1574</v>
      </c>
      <c r="AN379" s="51">
        <v>0.496</v>
      </c>
      <c r="AO379" s="51">
        <v>0.43411</v>
      </c>
      <c r="AP379" s="51">
        <v>2.5476999999999999</v>
      </c>
      <c r="AQ379" s="51">
        <v>1.0471945</v>
      </c>
      <c r="AR379" s="51">
        <v>2.6516999999999999</v>
      </c>
      <c r="AS379" s="51">
        <v>11.75</v>
      </c>
      <c r="AT379" s="51">
        <v>0.66014136828000003</v>
      </c>
      <c r="AU379" s="51">
        <v>0.49559856591000001</v>
      </c>
      <c r="AV379" s="51">
        <v>0.2147</v>
      </c>
      <c r="AW379" s="51">
        <v>3388.44</v>
      </c>
      <c r="AX379" s="51">
        <v>365.15</v>
      </c>
      <c r="AY379" s="51">
        <v>171.13</v>
      </c>
      <c r="AZ379" s="51">
        <v>533</v>
      </c>
      <c r="BA379" s="51">
        <v>517.52594315860995</v>
      </c>
      <c r="BB379" s="51">
        <v>363.16</v>
      </c>
      <c r="BC379" s="51">
        <v>1.8464</v>
      </c>
      <c r="BD379" s="51" t="s">
        <v>1574</v>
      </c>
      <c r="BE379" s="51">
        <v>0.88490000000000002</v>
      </c>
      <c r="BF379" s="51">
        <v>31.5</v>
      </c>
      <c r="BG379" s="51">
        <v>158.625</v>
      </c>
      <c r="BH379" s="51">
        <v>150.5</v>
      </c>
      <c r="BI379" s="51">
        <v>147.5</v>
      </c>
      <c r="BJ379" s="51">
        <v>93.5</v>
      </c>
      <c r="BK379" s="51">
        <v>1522.44</v>
      </c>
      <c r="BL379" s="51">
        <v>32.5</v>
      </c>
      <c r="BM379" s="51">
        <v>2485.38</v>
      </c>
      <c r="BN379" s="51">
        <v>624.79999999999995</v>
      </c>
      <c r="BO379" s="51">
        <v>5615.2</v>
      </c>
      <c r="BP379" s="51">
        <v>8157.6</v>
      </c>
      <c r="BQ379" s="51">
        <v>1265.4000000000001</v>
      </c>
      <c r="BR379" s="51">
        <v>376.95</v>
      </c>
      <c r="BS379" s="51">
        <v>420.07</v>
      </c>
      <c r="BT379" s="51">
        <v>4.0750999999999999</v>
      </c>
      <c r="BU379" s="41"/>
      <c r="BV379" s="41"/>
      <c r="BW379" s="41"/>
      <c r="BX379" s="41"/>
      <c r="BY379" s="41"/>
      <c r="BZ379" s="41"/>
      <c r="CA379" s="41"/>
      <c r="CB379" s="41"/>
      <c r="CC379" s="41"/>
      <c r="CD379" s="41"/>
      <c r="CE379" s="41"/>
      <c r="CF379" s="41"/>
      <c r="CG379" s="41"/>
      <c r="CH379" s="41"/>
      <c r="CI379" s="41"/>
      <c r="CJ379" s="41"/>
      <c r="CK379" s="41"/>
    </row>
    <row r="380" spans="1:89">
      <c r="A380" s="48" t="s">
        <v>509</v>
      </c>
      <c r="B380" s="49">
        <v>22.58333333333</v>
      </c>
      <c r="C380" s="49">
        <v>23.65</v>
      </c>
      <c r="D380" s="49">
        <v>19.399999999999999</v>
      </c>
      <c r="E380" s="49">
        <v>24.7</v>
      </c>
      <c r="F380" s="49">
        <v>40.5</v>
      </c>
      <c r="G380" s="49">
        <v>34</v>
      </c>
      <c r="H380" s="49">
        <v>1.67</v>
      </c>
      <c r="I380" s="49">
        <v>3.44</v>
      </c>
      <c r="J380" s="49">
        <v>3.99</v>
      </c>
      <c r="K380" s="49">
        <v>39.336299301750003</v>
      </c>
      <c r="L380" s="49">
        <v>1.2417</v>
      </c>
      <c r="M380" s="49">
        <v>1.8945000000000001</v>
      </c>
      <c r="N380" s="49">
        <v>1.1647000000000001</v>
      </c>
      <c r="O380" s="49">
        <v>1.9187000000000001</v>
      </c>
      <c r="P380" s="49">
        <v>1.6788339999999999</v>
      </c>
      <c r="Q380" s="49">
        <v>2.5227780000000002</v>
      </c>
      <c r="R380" s="49">
        <v>1.5544150000000001</v>
      </c>
      <c r="S380" s="49">
        <v>340</v>
      </c>
      <c r="T380" s="49">
        <v>1850</v>
      </c>
      <c r="U380" s="49">
        <v>480</v>
      </c>
      <c r="V380" s="49">
        <v>1013</v>
      </c>
      <c r="W380" s="49">
        <v>349</v>
      </c>
      <c r="X380" s="49" t="s">
        <v>1574</v>
      </c>
      <c r="Y380" s="49">
        <v>239</v>
      </c>
      <c r="Z380" s="49">
        <v>455</v>
      </c>
      <c r="AA380" s="49">
        <v>198</v>
      </c>
      <c r="AB380" s="49" t="s">
        <v>1574</v>
      </c>
      <c r="AC380" s="49" t="s">
        <v>1574</v>
      </c>
      <c r="AD380" s="49">
        <v>93.88</v>
      </c>
      <c r="AE380" s="49">
        <v>105.67</v>
      </c>
      <c r="AF380" s="49">
        <v>105.07</v>
      </c>
      <c r="AG380" s="49">
        <v>303.39999999999998</v>
      </c>
      <c r="AH380" s="49">
        <v>239</v>
      </c>
      <c r="AI380" s="49">
        <v>165</v>
      </c>
      <c r="AJ380" s="49" t="s">
        <v>1574</v>
      </c>
      <c r="AK380" s="49">
        <v>107.07</v>
      </c>
      <c r="AL380" s="49">
        <v>111.33</v>
      </c>
      <c r="AM380" s="49" t="s">
        <v>1574</v>
      </c>
      <c r="AN380" s="49">
        <v>0.59669000000000005</v>
      </c>
      <c r="AO380" s="49">
        <v>0.51121000000000005</v>
      </c>
      <c r="AP380" s="49">
        <v>2.5931000000000002</v>
      </c>
      <c r="AQ380" s="49">
        <v>1.0513832780000001</v>
      </c>
      <c r="AR380" s="49">
        <v>2.6341000000000001</v>
      </c>
      <c r="AS380" s="49">
        <v>12.015000000000001</v>
      </c>
      <c r="AT380" s="49">
        <v>0.66236786258000002</v>
      </c>
      <c r="AU380" s="49">
        <v>0.48060714317999997</v>
      </c>
      <c r="AV380" s="49">
        <v>0.19409999999999999</v>
      </c>
      <c r="AW380" s="49">
        <v>3429.54</v>
      </c>
      <c r="AX380" s="49">
        <v>360.57</v>
      </c>
      <c r="AY380" s="49">
        <v>169.19</v>
      </c>
      <c r="AZ380" s="49" t="s">
        <v>1574</v>
      </c>
      <c r="BA380" s="49">
        <v>515.08631141536</v>
      </c>
      <c r="BB380" s="49">
        <v>362.26</v>
      </c>
      <c r="BC380" s="49">
        <v>1.8466</v>
      </c>
      <c r="BD380" s="49" t="s">
        <v>1574</v>
      </c>
      <c r="BE380" s="49">
        <v>0.86819999999999997</v>
      </c>
      <c r="BF380" s="49">
        <v>31.5</v>
      </c>
      <c r="BG380" s="49">
        <v>157.375</v>
      </c>
      <c r="BH380" s="49">
        <v>152.5</v>
      </c>
      <c r="BI380" s="49">
        <v>151</v>
      </c>
      <c r="BJ380" s="49">
        <v>93.5</v>
      </c>
      <c r="BK380" s="49">
        <v>1515.18</v>
      </c>
      <c r="BL380" s="49">
        <v>34.76</v>
      </c>
      <c r="BM380" s="49">
        <v>2448.52</v>
      </c>
      <c r="BN380" s="49">
        <v>600.4</v>
      </c>
      <c r="BO380" s="49">
        <v>5623.2</v>
      </c>
      <c r="BP380" s="49">
        <v>8568.7999999999993</v>
      </c>
      <c r="BQ380" s="49">
        <v>1206.2</v>
      </c>
      <c r="BR380" s="49">
        <v>383.64</v>
      </c>
      <c r="BS380" s="49">
        <v>407.84</v>
      </c>
      <c r="BT380" s="49">
        <v>4.0517000000000003</v>
      </c>
      <c r="BU380" s="41"/>
      <c r="BV380" s="41"/>
      <c r="BW380" s="41"/>
      <c r="BX380" s="41"/>
      <c r="BY380" s="41"/>
      <c r="BZ380" s="41"/>
      <c r="CA380" s="41"/>
      <c r="CB380" s="41"/>
      <c r="CC380" s="41"/>
      <c r="CD380" s="41"/>
      <c r="CE380" s="41"/>
      <c r="CF380" s="41"/>
      <c r="CG380" s="41"/>
      <c r="CH380" s="41"/>
      <c r="CI380" s="41"/>
      <c r="CJ380" s="41"/>
      <c r="CK380" s="41"/>
    </row>
    <row r="381" spans="1:89">
      <c r="A381" s="41" t="s">
        <v>510</v>
      </c>
      <c r="B381" s="51">
        <v>18.13333333333</v>
      </c>
      <c r="C381" s="51">
        <v>19.399999999999999</v>
      </c>
      <c r="D381" s="51">
        <v>14.45</v>
      </c>
      <c r="E381" s="51">
        <v>20.55</v>
      </c>
      <c r="F381" s="51">
        <v>40.5</v>
      </c>
      <c r="G381" s="51">
        <v>34</v>
      </c>
      <c r="H381" s="51">
        <v>1.36</v>
      </c>
      <c r="I381" s="51">
        <v>3.41</v>
      </c>
      <c r="J381" s="51">
        <v>3.99</v>
      </c>
      <c r="K381" s="51">
        <v>35.429234508230003</v>
      </c>
      <c r="L381" s="51">
        <v>1.2146999999999999</v>
      </c>
      <c r="M381" s="51">
        <v>1.9666999999999999</v>
      </c>
      <c r="N381" s="51">
        <v>1.1435</v>
      </c>
      <c r="O381" s="51">
        <v>1.7684</v>
      </c>
      <c r="P381" s="51">
        <v>1.6423430000000001</v>
      </c>
      <c r="Q381" s="51">
        <v>2.1815000000000002</v>
      </c>
      <c r="R381" s="51">
        <v>1.481395</v>
      </c>
      <c r="S381" s="51">
        <v>330</v>
      </c>
      <c r="T381" s="51">
        <v>1788</v>
      </c>
      <c r="U381" s="51">
        <v>476</v>
      </c>
      <c r="V381" s="51">
        <v>1027</v>
      </c>
      <c r="W381" s="51">
        <v>338</v>
      </c>
      <c r="X381" s="51" t="s">
        <v>1574</v>
      </c>
      <c r="Y381" s="51">
        <v>241</v>
      </c>
      <c r="Z381" s="51">
        <v>445</v>
      </c>
      <c r="AA381" s="51">
        <v>192</v>
      </c>
      <c r="AB381" s="51" t="s">
        <v>1574</v>
      </c>
      <c r="AC381" s="51" t="s">
        <v>1574</v>
      </c>
      <c r="AD381" s="51">
        <v>92.04</v>
      </c>
      <c r="AE381" s="51">
        <v>106.1</v>
      </c>
      <c r="AF381" s="51">
        <v>106.37</v>
      </c>
      <c r="AG381" s="51">
        <v>327.25</v>
      </c>
      <c r="AH381" s="51">
        <v>265</v>
      </c>
      <c r="AI381" s="51">
        <v>187</v>
      </c>
      <c r="AJ381" s="51" t="s">
        <v>1574</v>
      </c>
      <c r="AK381" s="51">
        <v>106.37</v>
      </c>
      <c r="AL381" s="51">
        <v>113.91</v>
      </c>
      <c r="AM381" s="51" t="s">
        <v>1574</v>
      </c>
      <c r="AN381" s="51">
        <v>0.69377</v>
      </c>
      <c r="AO381" s="51">
        <v>0.50148000000000004</v>
      </c>
      <c r="AP381" s="51">
        <v>2.7269000000000001</v>
      </c>
      <c r="AQ381" s="51">
        <v>1.075413636</v>
      </c>
      <c r="AR381" s="51">
        <v>2.6595</v>
      </c>
      <c r="AS381" s="51">
        <v>12.648999999999999</v>
      </c>
      <c r="AT381" s="51">
        <v>0.67333238723</v>
      </c>
      <c r="AU381" s="51">
        <v>0.47222956363000002</v>
      </c>
      <c r="AV381" s="51">
        <v>0.18759999999999999</v>
      </c>
      <c r="AW381" s="51">
        <v>3375.34</v>
      </c>
      <c r="AX381" s="51">
        <v>367.11</v>
      </c>
      <c r="AY381" s="51">
        <v>176.93</v>
      </c>
      <c r="AZ381" s="51" t="s">
        <v>1574</v>
      </c>
      <c r="BA381" s="51">
        <v>513.30036061993997</v>
      </c>
      <c r="BB381" s="51">
        <v>371.7</v>
      </c>
      <c r="BC381" s="51">
        <v>1.8712</v>
      </c>
      <c r="BD381" s="51" t="s">
        <v>1574</v>
      </c>
      <c r="BE381" s="51">
        <v>0.84860000000000002</v>
      </c>
      <c r="BF381" s="51">
        <v>31.5</v>
      </c>
      <c r="BG381" s="51">
        <v>160.625</v>
      </c>
      <c r="BH381" s="51">
        <v>152.5</v>
      </c>
      <c r="BI381" s="51">
        <v>151</v>
      </c>
      <c r="BJ381" s="51">
        <v>95.625</v>
      </c>
      <c r="BK381" s="51">
        <v>1504.6</v>
      </c>
      <c r="BL381" s="51">
        <v>34.76</v>
      </c>
      <c r="BM381" s="51">
        <v>2449.38</v>
      </c>
      <c r="BN381" s="51">
        <v>593.79999999999995</v>
      </c>
      <c r="BO381" s="51">
        <v>5583.7</v>
      </c>
      <c r="BP381" s="51">
        <v>8672.2999999999993</v>
      </c>
      <c r="BQ381" s="51">
        <v>1188.0999999999999</v>
      </c>
      <c r="BR381" s="51">
        <v>363.83</v>
      </c>
      <c r="BS381" s="51">
        <v>386.79</v>
      </c>
      <c r="BT381" s="51">
        <v>3.7376</v>
      </c>
      <c r="BU381" s="41"/>
      <c r="BV381" s="41"/>
      <c r="BW381" s="41"/>
      <c r="BX381" s="41"/>
      <c r="BY381" s="41"/>
      <c r="BZ381" s="41"/>
      <c r="CA381" s="41"/>
      <c r="CB381" s="41"/>
      <c r="CC381" s="41"/>
      <c r="CD381" s="41"/>
      <c r="CE381" s="41"/>
      <c r="CF381" s="41"/>
      <c r="CG381" s="41"/>
      <c r="CH381" s="41"/>
      <c r="CI381" s="41"/>
      <c r="CJ381" s="41"/>
      <c r="CK381" s="41"/>
    </row>
    <row r="382" spans="1:89">
      <c r="A382" s="48" t="s">
        <v>511</v>
      </c>
      <c r="B382" s="49">
        <v>18.066666666669999</v>
      </c>
      <c r="C382" s="49">
        <v>19.45</v>
      </c>
      <c r="D382" s="49">
        <v>14.85</v>
      </c>
      <c r="E382" s="49">
        <v>19.899999999999999</v>
      </c>
      <c r="F382" s="49">
        <v>39.5</v>
      </c>
      <c r="G382" s="49">
        <v>31</v>
      </c>
      <c r="H382" s="49">
        <v>1.34</v>
      </c>
      <c r="I382" s="49">
        <v>3.33</v>
      </c>
      <c r="J382" s="49">
        <v>3.99</v>
      </c>
      <c r="K382" s="49">
        <v>34.80604925758</v>
      </c>
      <c r="L382" s="49">
        <v>1.2102999999999999</v>
      </c>
      <c r="M382" s="49">
        <v>2.0628000000000002</v>
      </c>
      <c r="N382" s="49">
        <v>1.1324000000000001</v>
      </c>
      <c r="O382" s="49">
        <v>1.7615000000000001</v>
      </c>
      <c r="P382" s="49">
        <v>1.740283</v>
      </c>
      <c r="Q382" s="49">
        <v>2.06454</v>
      </c>
      <c r="R382" s="49">
        <v>1.4797750000000001</v>
      </c>
      <c r="S382" s="49">
        <v>343</v>
      </c>
      <c r="T382" s="49">
        <v>1700</v>
      </c>
      <c r="U382" s="49">
        <v>455</v>
      </c>
      <c r="V382" s="49">
        <v>1022</v>
      </c>
      <c r="W382" s="49">
        <v>348</v>
      </c>
      <c r="X382" s="49" t="s">
        <v>1574</v>
      </c>
      <c r="Y382" s="49">
        <v>244</v>
      </c>
      <c r="Z382" s="49">
        <v>453</v>
      </c>
      <c r="AA382" s="49">
        <v>187</v>
      </c>
      <c r="AB382" s="49" t="s">
        <v>1574</v>
      </c>
      <c r="AC382" s="49" t="s">
        <v>1574</v>
      </c>
      <c r="AD382" s="49">
        <v>88.09</v>
      </c>
      <c r="AE382" s="49">
        <v>109.54</v>
      </c>
      <c r="AF382" s="49">
        <v>109.9</v>
      </c>
      <c r="AG382" s="49">
        <v>311.5</v>
      </c>
      <c r="AH382" s="49">
        <v>248</v>
      </c>
      <c r="AI382" s="49">
        <v>175</v>
      </c>
      <c r="AJ382" s="49" t="s">
        <v>1574</v>
      </c>
      <c r="AK382" s="49">
        <v>116.16</v>
      </c>
      <c r="AL382" s="49">
        <v>119.42</v>
      </c>
      <c r="AM382" s="49" t="s">
        <v>1574</v>
      </c>
      <c r="AN382" s="49">
        <v>0.83723000000000003</v>
      </c>
      <c r="AO382" s="49">
        <v>0.52210000000000001</v>
      </c>
      <c r="AP382" s="49">
        <v>2.5918000000000001</v>
      </c>
      <c r="AQ382" s="49">
        <v>1.069681624</v>
      </c>
      <c r="AR382" s="49">
        <v>2.4537</v>
      </c>
      <c r="AS382" s="49">
        <v>13.14</v>
      </c>
      <c r="AT382" s="49">
        <v>0.62716890894999999</v>
      </c>
      <c r="AU382" s="49">
        <v>0.47245007273</v>
      </c>
      <c r="AV382" s="49">
        <v>0.20150000000000001</v>
      </c>
      <c r="AW382" s="49">
        <v>3400.39</v>
      </c>
      <c r="AX382" s="49">
        <v>338.84</v>
      </c>
      <c r="AY382" s="49">
        <v>162.57</v>
      </c>
      <c r="AZ382" s="49" t="s">
        <v>1574</v>
      </c>
      <c r="BA382" s="49">
        <v>523.01320974856003</v>
      </c>
      <c r="BB382" s="49">
        <v>364.43</v>
      </c>
      <c r="BC382" s="49">
        <v>1.857</v>
      </c>
      <c r="BD382" s="49" t="s">
        <v>1574</v>
      </c>
      <c r="BE382" s="49">
        <v>0.83250000000000002</v>
      </c>
      <c r="BF382" s="49">
        <v>31.5</v>
      </c>
      <c r="BG382" s="49">
        <v>163.625</v>
      </c>
      <c r="BH382" s="49">
        <v>147.5</v>
      </c>
      <c r="BI382" s="49">
        <v>145</v>
      </c>
      <c r="BJ382" s="49">
        <v>95.625</v>
      </c>
      <c r="BK382" s="49">
        <v>1496</v>
      </c>
      <c r="BL382" s="49">
        <v>34.76</v>
      </c>
      <c r="BM382" s="49">
        <v>2409.63</v>
      </c>
      <c r="BN382" s="49">
        <v>603</v>
      </c>
      <c r="BO382" s="49">
        <v>5517.4</v>
      </c>
      <c r="BP382" s="49">
        <v>8700.7999999999993</v>
      </c>
      <c r="BQ382" s="49">
        <v>1198.5999999999999</v>
      </c>
      <c r="BR382" s="49">
        <v>363.34</v>
      </c>
      <c r="BS382" s="49">
        <v>399.99</v>
      </c>
      <c r="BT382" s="49">
        <v>3.9428000000000001</v>
      </c>
      <c r="BU382" s="41"/>
      <c r="BV382" s="41"/>
      <c r="BW382" s="41"/>
      <c r="BX382" s="41"/>
      <c r="BY382" s="41"/>
      <c r="BZ382" s="41"/>
      <c r="CA382" s="41"/>
      <c r="CB382" s="41"/>
      <c r="CC382" s="41"/>
      <c r="CD382" s="41"/>
      <c r="CE382" s="41"/>
      <c r="CF382" s="41"/>
      <c r="CG382" s="41"/>
      <c r="CH382" s="41"/>
      <c r="CI382" s="41"/>
      <c r="CJ382" s="41"/>
      <c r="CK382" s="41"/>
    </row>
    <row r="383" spans="1:89">
      <c r="A383" s="41" t="s">
        <v>512</v>
      </c>
      <c r="B383" s="51">
        <v>18.466666666670001</v>
      </c>
      <c r="C383" s="51">
        <v>19.25</v>
      </c>
      <c r="D383" s="51">
        <v>15.35</v>
      </c>
      <c r="E383" s="51">
        <v>20.8</v>
      </c>
      <c r="F383" s="51">
        <v>39.5</v>
      </c>
      <c r="G383" s="51">
        <v>31</v>
      </c>
      <c r="H383" s="51">
        <v>1.33</v>
      </c>
      <c r="I383" s="51">
        <v>3.47</v>
      </c>
      <c r="J383" s="51">
        <v>3.99</v>
      </c>
      <c r="K383" s="51">
        <v>35.350171662400001</v>
      </c>
      <c r="L383" s="51">
        <v>1.1457999999999999</v>
      </c>
      <c r="M383" s="51">
        <v>2.0272999999999999</v>
      </c>
      <c r="N383" s="51">
        <v>1.1229</v>
      </c>
      <c r="O383" s="51">
        <v>1.7611000000000001</v>
      </c>
      <c r="P383" s="51">
        <v>1.6344829999999999</v>
      </c>
      <c r="Q383" s="51">
        <v>2.173848</v>
      </c>
      <c r="R383" s="51">
        <v>1.4749399999999999</v>
      </c>
      <c r="S383" s="51">
        <v>323</v>
      </c>
      <c r="T383" s="51">
        <v>1500</v>
      </c>
      <c r="U383" s="51">
        <v>459</v>
      </c>
      <c r="V383" s="51">
        <v>986</v>
      </c>
      <c r="W383" s="51">
        <v>319</v>
      </c>
      <c r="X383" s="51" t="s">
        <v>1574</v>
      </c>
      <c r="Y383" s="51">
        <v>245</v>
      </c>
      <c r="Z383" s="51">
        <v>460</v>
      </c>
      <c r="AA383" s="51">
        <v>188</v>
      </c>
      <c r="AB383" s="51" t="s">
        <v>1574</v>
      </c>
      <c r="AC383" s="51" t="s">
        <v>1574</v>
      </c>
      <c r="AD383" s="51">
        <v>85.15</v>
      </c>
      <c r="AE383" s="51">
        <v>110.33</v>
      </c>
      <c r="AF383" s="51">
        <v>109.02</v>
      </c>
      <c r="AG383" s="51">
        <v>285.8</v>
      </c>
      <c r="AH383" s="51">
        <v>234</v>
      </c>
      <c r="AI383" s="51">
        <v>176</v>
      </c>
      <c r="AJ383" s="51" t="s">
        <v>1574</v>
      </c>
      <c r="AK383" s="51">
        <v>117.05</v>
      </c>
      <c r="AL383" s="51">
        <v>120.89</v>
      </c>
      <c r="AM383" s="51" t="s">
        <v>1574</v>
      </c>
      <c r="AN383" s="51">
        <v>0.77912999999999999</v>
      </c>
      <c r="AO383" s="51">
        <v>0.50087000000000004</v>
      </c>
      <c r="AP383" s="51">
        <v>2.6112000000000002</v>
      </c>
      <c r="AQ383" s="51">
        <v>1.05601298</v>
      </c>
      <c r="AR383" s="51">
        <v>2.2949999999999999</v>
      </c>
      <c r="AS383" s="51">
        <v>13.337999999999999</v>
      </c>
      <c r="AT383" s="51">
        <v>0.59940297044000002</v>
      </c>
      <c r="AU383" s="51">
        <v>0.46782039090999999</v>
      </c>
      <c r="AV383" s="51">
        <v>0.1875</v>
      </c>
      <c r="AW383" s="51">
        <v>3396.7</v>
      </c>
      <c r="AX383" s="51">
        <v>303.85000000000002</v>
      </c>
      <c r="AY383" s="51">
        <v>175.59</v>
      </c>
      <c r="AZ383" s="51" t="s">
        <v>1574</v>
      </c>
      <c r="BA383" s="51">
        <v>551.3355760805</v>
      </c>
      <c r="BB383" s="51">
        <v>368.34</v>
      </c>
      <c r="BC383" s="51">
        <v>1.8262</v>
      </c>
      <c r="BD383" s="51" t="s">
        <v>1574</v>
      </c>
      <c r="BE383" s="51">
        <v>0.82299999999999995</v>
      </c>
      <c r="BF383" s="51">
        <v>31.5</v>
      </c>
      <c r="BG383" s="51">
        <v>166</v>
      </c>
      <c r="BH383" s="51">
        <v>143.25</v>
      </c>
      <c r="BI383" s="51">
        <v>143.5</v>
      </c>
      <c r="BJ383" s="51">
        <v>108</v>
      </c>
      <c r="BK383" s="51">
        <v>1391.86</v>
      </c>
      <c r="BL383" s="51">
        <v>34.76</v>
      </c>
      <c r="BM383" s="51">
        <v>2472.04</v>
      </c>
      <c r="BN383" s="51">
        <v>600.9</v>
      </c>
      <c r="BO383" s="51">
        <v>5560</v>
      </c>
      <c r="BP383" s="51">
        <v>9021</v>
      </c>
      <c r="BQ383" s="51">
        <v>1252.9000000000001</v>
      </c>
      <c r="BR383" s="51">
        <v>358.38</v>
      </c>
      <c r="BS383" s="51">
        <v>396.88</v>
      </c>
      <c r="BT383" s="51">
        <v>3.9754999999999998</v>
      </c>
      <c r="BU383" s="41"/>
      <c r="BV383" s="41"/>
      <c r="BW383" s="41"/>
      <c r="BX383" s="41"/>
      <c r="BY383" s="41"/>
      <c r="BZ383" s="41"/>
      <c r="CA383" s="41"/>
      <c r="CB383" s="41"/>
      <c r="CC383" s="41"/>
      <c r="CD383" s="41"/>
      <c r="CE383" s="41"/>
      <c r="CF383" s="41"/>
      <c r="CG383" s="41"/>
      <c r="CH383" s="41"/>
      <c r="CI383" s="41"/>
      <c r="CJ383" s="41"/>
      <c r="CK383" s="41"/>
    </row>
    <row r="384" spans="1:89">
      <c r="A384" s="48" t="s">
        <v>513</v>
      </c>
      <c r="B384" s="49">
        <v>18.816666666669999</v>
      </c>
      <c r="C384" s="49">
        <v>19.3</v>
      </c>
      <c r="D384" s="49">
        <v>15.9</v>
      </c>
      <c r="E384" s="49">
        <v>21.25</v>
      </c>
      <c r="F384" s="49">
        <v>39.5</v>
      </c>
      <c r="G384" s="49">
        <v>31</v>
      </c>
      <c r="H384" s="49">
        <v>1.31</v>
      </c>
      <c r="I384" s="49">
        <v>3.37</v>
      </c>
      <c r="J384" s="49">
        <v>3.99</v>
      </c>
      <c r="K384" s="49">
        <v>34.631906963959999</v>
      </c>
      <c r="L384" s="49">
        <v>1.0622</v>
      </c>
      <c r="M384" s="49">
        <v>1.9375</v>
      </c>
      <c r="N384" s="49">
        <v>1.0375000000000001</v>
      </c>
      <c r="O384" s="49">
        <v>1.9039999999999999</v>
      </c>
      <c r="P384" s="49">
        <v>1.5862560000000001</v>
      </c>
      <c r="Q384" s="49">
        <v>2.6475909999999998</v>
      </c>
      <c r="R384" s="49">
        <v>1.4781500000000001</v>
      </c>
      <c r="S384" s="49">
        <v>335</v>
      </c>
      <c r="T384" s="49">
        <v>1256</v>
      </c>
      <c r="U384" s="49">
        <v>471</v>
      </c>
      <c r="V384" s="49">
        <v>937</v>
      </c>
      <c r="W384" s="49">
        <v>318</v>
      </c>
      <c r="X384" s="49" t="s">
        <v>1574</v>
      </c>
      <c r="Y384" s="49">
        <v>241</v>
      </c>
      <c r="Z384" s="49">
        <v>444</v>
      </c>
      <c r="AA384" s="49">
        <v>200</v>
      </c>
      <c r="AB384" s="49" t="s">
        <v>1574</v>
      </c>
      <c r="AC384" s="49" t="s">
        <v>1574</v>
      </c>
      <c r="AD384" s="49">
        <v>85.3</v>
      </c>
      <c r="AE384" s="49">
        <v>105.7</v>
      </c>
      <c r="AF384" s="49">
        <v>101.99</v>
      </c>
      <c r="AG384" s="49">
        <v>288.25</v>
      </c>
      <c r="AH384" s="49">
        <v>234</v>
      </c>
      <c r="AI384" s="49">
        <v>173</v>
      </c>
      <c r="AJ384" s="49" t="s">
        <v>1574</v>
      </c>
      <c r="AK384" s="49">
        <v>115.63</v>
      </c>
      <c r="AL384" s="49">
        <v>121.99</v>
      </c>
      <c r="AM384" s="49" t="s">
        <v>1574</v>
      </c>
      <c r="AN384" s="49">
        <v>0.63263000000000003</v>
      </c>
      <c r="AO384" s="49">
        <v>0.48845</v>
      </c>
      <c r="AP384" s="49">
        <v>2.6259000000000001</v>
      </c>
      <c r="AQ384" s="49">
        <v>1.06483146</v>
      </c>
      <c r="AR384" s="49">
        <v>2.3052999999999999</v>
      </c>
      <c r="AS384" s="49">
        <v>13.2</v>
      </c>
      <c r="AT384" s="49">
        <v>0.59131915071999996</v>
      </c>
      <c r="AU384" s="49">
        <v>0.46914310909000001</v>
      </c>
      <c r="AV384" s="49">
        <v>0.1671</v>
      </c>
      <c r="AW384" s="49">
        <v>3439.41</v>
      </c>
      <c r="AX384" s="49">
        <v>300.79000000000002</v>
      </c>
      <c r="AY384" s="49">
        <v>174.04</v>
      </c>
      <c r="AZ384" s="49" t="s">
        <v>1574</v>
      </c>
      <c r="BA384" s="49">
        <v>540.19139855524998</v>
      </c>
      <c r="BB384" s="49">
        <v>365.84</v>
      </c>
      <c r="BC384" s="49">
        <v>1.8152999999999999</v>
      </c>
      <c r="BD384" s="49" t="s">
        <v>1574</v>
      </c>
      <c r="BE384" s="49">
        <v>0.82079999999999997</v>
      </c>
      <c r="BF384" s="49">
        <v>31.5</v>
      </c>
      <c r="BG384" s="49">
        <v>165.25</v>
      </c>
      <c r="BH384" s="49">
        <v>130.6</v>
      </c>
      <c r="BI384" s="49">
        <v>138.5</v>
      </c>
      <c r="BJ384" s="49">
        <v>112</v>
      </c>
      <c r="BK384" s="49">
        <v>1296.05</v>
      </c>
      <c r="BL384" s="49">
        <v>34.76</v>
      </c>
      <c r="BM384" s="49">
        <v>2305.88</v>
      </c>
      <c r="BN384" s="49">
        <v>555.20000000000005</v>
      </c>
      <c r="BO384" s="49">
        <v>5701.7</v>
      </c>
      <c r="BP384" s="49">
        <v>8452.4</v>
      </c>
      <c r="BQ384" s="49">
        <v>1090.9000000000001</v>
      </c>
      <c r="BR384" s="49">
        <v>356.95</v>
      </c>
      <c r="BS384" s="49">
        <v>389.64</v>
      </c>
      <c r="BT384" s="49">
        <v>4.0461999999999998</v>
      </c>
      <c r="BU384" s="41"/>
      <c r="BV384" s="41"/>
      <c r="BW384" s="41"/>
      <c r="BX384" s="41"/>
      <c r="BY384" s="41"/>
      <c r="BZ384" s="41"/>
      <c r="CA384" s="41"/>
      <c r="CB384" s="41"/>
      <c r="CC384" s="41"/>
      <c r="CD384" s="41"/>
      <c r="CE384" s="41"/>
      <c r="CF384" s="41"/>
      <c r="CG384" s="41"/>
      <c r="CH384" s="41"/>
      <c r="CI384" s="41"/>
      <c r="CJ384" s="41"/>
      <c r="CK384" s="41"/>
    </row>
    <row r="385" spans="1:89">
      <c r="A385" s="41" t="s">
        <v>514</v>
      </c>
      <c r="B385" s="51">
        <v>17.933333333330001</v>
      </c>
      <c r="C385" s="51">
        <v>18.2</v>
      </c>
      <c r="D385" s="51">
        <v>15.4</v>
      </c>
      <c r="E385" s="51">
        <v>20.2</v>
      </c>
      <c r="F385" s="51">
        <v>39.5</v>
      </c>
      <c r="G385" s="51">
        <v>31</v>
      </c>
      <c r="H385" s="51">
        <v>1.2</v>
      </c>
      <c r="I385" s="51">
        <v>3.29</v>
      </c>
      <c r="J385" s="51">
        <v>3.99</v>
      </c>
      <c r="K385" s="51">
        <v>32.915818145679999</v>
      </c>
      <c r="L385" s="51">
        <v>1.0407999999999999</v>
      </c>
      <c r="M385" s="51">
        <v>1.891</v>
      </c>
      <c r="N385" s="51">
        <v>1.0004999999999999</v>
      </c>
      <c r="O385" s="51">
        <v>1.7916000000000001</v>
      </c>
      <c r="P385" s="51">
        <v>1.515269</v>
      </c>
      <c r="Q385" s="51">
        <v>2.4824350000000002</v>
      </c>
      <c r="R385" s="51">
        <v>1.376949</v>
      </c>
      <c r="S385" s="51">
        <v>369</v>
      </c>
      <c r="T385" s="51">
        <v>1103</v>
      </c>
      <c r="U385" s="51">
        <v>482</v>
      </c>
      <c r="V385" s="51">
        <v>919</v>
      </c>
      <c r="W385" s="51">
        <v>311</v>
      </c>
      <c r="X385" s="51" t="s">
        <v>1574</v>
      </c>
      <c r="Y385" s="51">
        <v>241</v>
      </c>
      <c r="Z385" s="51">
        <v>440</v>
      </c>
      <c r="AA385" s="51">
        <v>201</v>
      </c>
      <c r="AB385" s="51" t="s">
        <v>1574</v>
      </c>
      <c r="AC385" s="51" t="s">
        <v>1574</v>
      </c>
      <c r="AD385" s="51">
        <v>71.28</v>
      </c>
      <c r="AE385" s="51">
        <v>104.21</v>
      </c>
      <c r="AF385" s="51">
        <v>98</v>
      </c>
      <c r="AG385" s="51">
        <v>293.25</v>
      </c>
      <c r="AH385" s="51">
        <v>230</v>
      </c>
      <c r="AI385" s="51">
        <v>163</v>
      </c>
      <c r="AJ385" s="51" t="s">
        <v>1574</v>
      </c>
      <c r="AK385" s="51">
        <v>118.18</v>
      </c>
      <c r="AL385" s="51">
        <v>120.15</v>
      </c>
      <c r="AM385" s="51" t="s">
        <v>1574</v>
      </c>
      <c r="AN385" s="51">
        <v>0.63383</v>
      </c>
      <c r="AO385" s="51">
        <v>0.39648</v>
      </c>
      <c r="AP385" s="51">
        <v>2.7029000000000001</v>
      </c>
      <c r="AQ385" s="51">
        <v>1.0471945</v>
      </c>
      <c r="AR385" s="51">
        <v>2.1964999999999999</v>
      </c>
      <c r="AS385" s="51">
        <v>13.117000000000001</v>
      </c>
      <c r="AT385" s="51">
        <v>0.56439244191000004</v>
      </c>
      <c r="AU385" s="51">
        <v>0.47178871364000002</v>
      </c>
      <c r="AV385" s="51">
        <v>0.20280000000000001</v>
      </c>
      <c r="AW385" s="51">
        <v>3466.27</v>
      </c>
      <c r="AX385" s="51">
        <v>288.87</v>
      </c>
      <c r="AY385" s="51">
        <v>200.15</v>
      </c>
      <c r="AZ385" s="51" t="s">
        <v>1574</v>
      </c>
      <c r="BA385" s="51">
        <v>558.25861632515</v>
      </c>
      <c r="BB385" s="51">
        <v>361.26</v>
      </c>
      <c r="BC385" s="51">
        <v>1.7848999999999999</v>
      </c>
      <c r="BD385" s="51" t="s">
        <v>1574</v>
      </c>
      <c r="BE385" s="51">
        <v>0.83640000000000003</v>
      </c>
      <c r="BF385" s="51">
        <v>31.5</v>
      </c>
      <c r="BG385" s="51">
        <v>159.25</v>
      </c>
      <c r="BH385" s="51">
        <v>129.5</v>
      </c>
      <c r="BI385" s="51">
        <v>135.5</v>
      </c>
      <c r="BJ385" s="51">
        <v>112</v>
      </c>
      <c r="BK385" s="51">
        <v>1275.1500000000001</v>
      </c>
      <c r="BL385" s="51">
        <v>34.76</v>
      </c>
      <c r="BM385" s="51">
        <v>2219.2800000000002</v>
      </c>
      <c r="BN385" s="51">
        <v>549.4</v>
      </c>
      <c r="BO385" s="51">
        <v>5710.6</v>
      </c>
      <c r="BP385" s="51">
        <v>8280</v>
      </c>
      <c r="BQ385" s="51">
        <v>1061.5999999999999</v>
      </c>
      <c r="BR385" s="51">
        <v>366.72</v>
      </c>
      <c r="BS385" s="51">
        <v>376.05</v>
      </c>
      <c r="BT385" s="51">
        <v>4.3898000000000001</v>
      </c>
      <c r="BU385" s="41"/>
      <c r="BV385" s="41"/>
      <c r="BW385" s="41"/>
      <c r="BX385" s="41"/>
      <c r="BY385" s="41"/>
      <c r="BZ385" s="41"/>
      <c r="CA385" s="41"/>
      <c r="CB385" s="41"/>
      <c r="CC385" s="41"/>
      <c r="CD385" s="41"/>
      <c r="CE385" s="41"/>
      <c r="CF385" s="41"/>
      <c r="CG385" s="41"/>
      <c r="CH385" s="41"/>
      <c r="CI385" s="41"/>
      <c r="CJ385" s="41"/>
      <c r="CK385" s="41"/>
    </row>
    <row r="386" spans="1:89">
      <c r="A386" s="48" t="s">
        <v>515</v>
      </c>
      <c r="B386" s="49">
        <v>19.05</v>
      </c>
      <c r="C386" s="49">
        <v>19.45</v>
      </c>
      <c r="D386" s="49">
        <v>16.25</v>
      </c>
      <c r="E386" s="49">
        <v>21.45</v>
      </c>
      <c r="F386" s="49">
        <v>39.5</v>
      </c>
      <c r="G386" s="49">
        <v>31</v>
      </c>
      <c r="H386" s="49">
        <v>1.19</v>
      </c>
      <c r="I386" s="49">
        <v>3</v>
      </c>
      <c r="J386" s="49">
        <v>3.99</v>
      </c>
      <c r="K386" s="49">
        <v>31.415732422929999</v>
      </c>
      <c r="L386" s="49">
        <v>1.0322</v>
      </c>
      <c r="M386" s="49">
        <v>1.8351</v>
      </c>
      <c r="N386" s="49">
        <v>1.0004999999999999</v>
      </c>
      <c r="O386" s="49">
        <v>1.5989</v>
      </c>
      <c r="P386" s="49">
        <v>1.2301420000000001</v>
      </c>
      <c r="Q386" s="49">
        <v>2.2097980000000002</v>
      </c>
      <c r="R386" s="49">
        <v>1.356797</v>
      </c>
      <c r="S386" s="49">
        <v>465</v>
      </c>
      <c r="T386" s="49">
        <v>1180</v>
      </c>
      <c r="U386" s="49">
        <v>471</v>
      </c>
      <c r="V386" s="49">
        <v>930</v>
      </c>
      <c r="W386" s="49">
        <v>341</v>
      </c>
      <c r="X386" s="49" t="s">
        <v>1574</v>
      </c>
      <c r="Y386" s="49">
        <v>229</v>
      </c>
      <c r="Z386" s="49">
        <v>431</v>
      </c>
      <c r="AA386" s="49">
        <v>187</v>
      </c>
      <c r="AB386" s="49" t="s">
        <v>1574</v>
      </c>
      <c r="AC386" s="49" t="s">
        <v>1574</v>
      </c>
      <c r="AD386" s="49">
        <v>72.27</v>
      </c>
      <c r="AE386" s="49">
        <v>105.11</v>
      </c>
      <c r="AF386" s="49">
        <v>99.43</v>
      </c>
      <c r="AG386" s="49">
        <v>303.39999999999998</v>
      </c>
      <c r="AH386" s="49">
        <v>240</v>
      </c>
      <c r="AI386" s="49">
        <v>174</v>
      </c>
      <c r="AJ386" s="49" t="s">
        <v>1574</v>
      </c>
      <c r="AK386" s="49">
        <v>116.23</v>
      </c>
      <c r="AL386" s="49">
        <v>118.31</v>
      </c>
      <c r="AM386" s="49" t="s">
        <v>1574</v>
      </c>
      <c r="AN386" s="49">
        <v>0.40189999999999998</v>
      </c>
      <c r="AO386" s="49">
        <v>0.51736000000000004</v>
      </c>
      <c r="AP386" s="49">
        <v>2.6873999999999998</v>
      </c>
      <c r="AQ386" s="49">
        <v>1.07144532</v>
      </c>
      <c r="AR386" s="49">
        <v>2.1488999999999998</v>
      </c>
      <c r="AS386" s="49">
        <v>10.619</v>
      </c>
      <c r="AT386" s="49">
        <v>0.57598006033000004</v>
      </c>
      <c r="AU386" s="49">
        <v>0.46840530347999998</v>
      </c>
      <c r="AV386" s="49">
        <v>0.2273</v>
      </c>
      <c r="AW386" s="49">
        <v>3489.62</v>
      </c>
      <c r="AX386" s="49">
        <v>288.20999999999998</v>
      </c>
      <c r="AY386" s="49">
        <v>207.82</v>
      </c>
      <c r="AZ386" s="49" t="s">
        <v>1574</v>
      </c>
      <c r="BA386" s="49">
        <v>556.99676597969994</v>
      </c>
      <c r="BB386" s="49">
        <v>365.92</v>
      </c>
      <c r="BC386" s="49">
        <v>1.6992</v>
      </c>
      <c r="BD386" s="49" t="s">
        <v>1574</v>
      </c>
      <c r="BE386" s="49">
        <v>0.82250000000000001</v>
      </c>
      <c r="BF386" s="49">
        <v>31.5</v>
      </c>
      <c r="BG386" s="49">
        <v>163.5</v>
      </c>
      <c r="BH386" s="49">
        <v>131</v>
      </c>
      <c r="BI386" s="49">
        <v>132.5</v>
      </c>
      <c r="BJ386" s="49">
        <v>110.4</v>
      </c>
      <c r="BK386" s="49">
        <v>1296.78</v>
      </c>
      <c r="BL386" s="49">
        <v>34.76</v>
      </c>
      <c r="BM386" s="49">
        <v>2236.2800000000002</v>
      </c>
      <c r="BN386" s="49">
        <v>548.1</v>
      </c>
      <c r="BO386" s="49">
        <v>5669.6</v>
      </c>
      <c r="BP386" s="49">
        <v>8541.2999999999993</v>
      </c>
      <c r="BQ386" s="49">
        <v>1063.0999999999999</v>
      </c>
      <c r="BR386" s="49">
        <v>367.69</v>
      </c>
      <c r="BS386" s="49">
        <v>376.03</v>
      </c>
      <c r="BT386" s="49">
        <v>4.3475000000000001</v>
      </c>
      <c r="BU386" s="41"/>
      <c r="BV386" s="41"/>
      <c r="BW386" s="41"/>
      <c r="BX386" s="41"/>
      <c r="BY386" s="41"/>
      <c r="BZ386" s="41"/>
      <c r="CA386" s="41"/>
      <c r="CB386" s="41"/>
      <c r="CC386" s="41"/>
      <c r="CD386" s="41"/>
      <c r="CE386" s="41"/>
      <c r="CF386" s="41"/>
      <c r="CG386" s="41"/>
      <c r="CH386" s="41"/>
      <c r="CI386" s="41"/>
      <c r="CJ386" s="41"/>
      <c r="CK386" s="41"/>
    </row>
    <row r="387" spans="1:89">
      <c r="A387" s="41" t="s">
        <v>516</v>
      </c>
      <c r="B387" s="51">
        <v>19.36666666667</v>
      </c>
      <c r="C387" s="51">
        <v>19.75</v>
      </c>
      <c r="D387" s="51">
        <v>16.649999999999999</v>
      </c>
      <c r="E387" s="51">
        <v>21.7</v>
      </c>
      <c r="F387" s="51">
        <v>39.5</v>
      </c>
      <c r="G387" s="51">
        <v>31</v>
      </c>
      <c r="H387" s="51">
        <v>1.31</v>
      </c>
      <c r="I387" s="51">
        <v>2.98</v>
      </c>
      <c r="J387" s="51">
        <v>3.99</v>
      </c>
      <c r="K387" s="51">
        <v>32.777857731979999</v>
      </c>
      <c r="L387" s="51">
        <v>1.1389</v>
      </c>
      <c r="M387" s="51">
        <v>1.8027</v>
      </c>
      <c r="N387" s="51">
        <v>0.99</v>
      </c>
      <c r="O387" s="51">
        <v>1.5308999999999999</v>
      </c>
      <c r="P387" s="51">
        <v>1.232421</v>
      </c>
      <c r="Q387" s="51">
        <v>2.0113120000000002</v>
      </c>
      <c r="R387" s="51">
        <v>1.3490869999999999</v>
      </c>
      <c r="S387" s="51">
        <v>459</v>
      </c>
      <c r="T387" s="51">
        <v>928</v>
      </c>
      <c r="U387" s="51">
        <v>452</v>
      </c>
      <c r="V387" s="51">
        <v>929</v>
      </c>
      <c r="W387" s="51">
        <v>338</v>
      </c>
      <c r="X387" s="51" t="s">
        <v>1574</v>
      </c>
      <c r="Y387" s="51">
        <v>241</v>
      </c>
      <c r="Z387" s="51">
        <v>457</v>
      </c>
      <c r="AA387" s="51">
        <v>195</v>
      </c>
      <c r="AB387" s="51" t="s">
        <v>1574</v>
      </c>
      <c r="AC387" s="51" t="s">
        <v>1574</v>
      </c>
      <c r="AD387" s="51">
        <v>67.06</v>
      </c>
      <c r="AE387" s="51">
        <v>110.43</v>
      </c>
      <c r="AF387" s="51">
        <v>105.47</v>
      </c>
      <c r="AG387" s="51">
        <v>298.25</v>
      </c>
      <c r="AH387" s="51">
        <v>245</v>
      </c>
      <c r="AI387" s="51">
        <v>184</v>
      </c>
      <c r="AJ387" s="51" t="s">
        <v>1574</v>
      </c>
      <c r="AK387" s="51">
        <v>127.06</v>
      </c>
      <c r="AL387" s="51">
        <v>125.3</v>
      </c>
      <c r="AM387" s="51" t="s">
        <v>1574</v>
      </c>
      <c r="AN387" s="51">
        <v>0.47849999999999998</v>
      </c>
      <c r="AO387" s="51">
        <v>0.57201999999999997</v>
      </c>
      <c r="AP387" s="51">
        <v>2.6410999999999998</v>
      </c>
      <c r="AQ387" s="51">
        <v>1.0471945</v>
      </c>
      <c r="AR387" s="51">
        <v>2.1778</v>
      </c>
      <c r="AS387" s="51">
        <v>9.9429999999999996</v>
      </c>
      <c r="AT387" s="51">
        <v>0.58836317667000004</v>
      </c>
      <c r="AU387" s="51">
        <v>0.47993695364</v>
      </c>
      <c r="AV387" s="51">
        <v>0.20860000000000001</v>
      </c>
      <c r="AW387" s="51">
        <v>3531.14</v>
      </c>
      <c r="AX387" s="51">
        <v>295.08999999999997</v>
      </c>
      <c r="AY387" s="51">
        <v>210.57</v>
      </c>
      <c r="AZ387" s="51" t="s">
        <v>1574</v>
      </c>
      <c r="BA387" s="51">
        <v>568.58312827972998</v>
      </c>
      <c r="BB387" s="51">
        <v>363.6</v>
      </c>
      <c r="BC387" s="51">
        <v>1.6196999999999999</v>
      </c>
      <c r="BD387" s="51" t="s">
        <v>1574</v>
      </c>
      <c r="BE387" s="51">
        <v>0.81679999999999997</v>
      </c>
      <c r="BF387" s="51">
        <v>31.5</v>
      </c>
      <c r="BG387" s="51">
        <v>161.875</v>
      </c>
      <c r="BH387" s="51">
        <v>127</v>
      </c>
      <c r="BI387" s="51">
        <v>132.5</v>
      </c>
      <c r="BJ387" s="51">
        <v>110</v>
      </c>
      <c r="BK387" s="51">
        <v>1256.45</v>
      </c>
      <c r="BL387" s="51">
        <v>34.76</v>
      </c>
      <c r="BM387" s="51">
        <v>2233.19</v>
      </c>
      <c r="BN387" s="51">
        <v>540.20000000000005</v>
      </c>
      <c r="BO387" s="51">
        <v>5638.8</v>
      </c>
      <c r="BP387" s="51">
        <v>8144.7</v>
      </c>
      <c r="BQ387" s="51">
        <v>1046.3</v>
      </c>
      <c r="BR387" s="51">
        <v>356.31</v>
      </c>
      <c r="BS387" s="51">
        <v>346.35</v>
      </c>
      <c r="BT387" s="51">
        <v>3.9573</v>
      </c>
      <c r="BU387" s="41"/>
      <c r="BV387" s="41"/>
      <c r="BW387" s="41"/>
      <c r="BX387" s="41"/>
      <c r="BY387" s="41"/>
      <c r="BZ387" s="41"/>
      <c r="CA387" s="41"/>
      <c r="CB387" s="41"/>
      <c r="CC387" s="41"/>
      <c r="CD387" s="41"/>
      <c r="CE387" s="41"/>
      <c r="CF387" s="41"/>
      <c r="CG387" s="41"/>
      <c r="CH387" s="41"/>
      <c r="CI387" s="41"/>
      <c r="CJ387" s="41"/>
      <c r="CK387" s="41"/>
    </row>
    <row r="388" spans="1:89">
      <c r="A388" s="48" t="s">
        <v>517</v>
      </c>
      <c r="B388" s="49">
        <v>20.05</v>
      </c>
      <c r="C388" s="49">
        <v>20.5</v>
      </c>
      <c r="D388" s="49">
        <v>17.8</v>
      </c>
      <c r="E388" s="49">
        <v>21.85</v>
      </c>
      <c r="F388" s="49">
        <v>39.5</v>
      </c>
      <c r="G388" s="49">
        <v>31</v>
      </c>
      <c r="H388" s="49">
        <v>1.63</v>
      </c>
      <c r="I388" s="49">
        <v>2.97</v>
      </c>
      <c r="J388" s="49">
        <v>3.99</v>
      </c>
      <c r="K388" s="49">
        <v>36.616197359659999</v>
      </c>
      <c r="L388" s="49">
        <v>1.2728999999999999</v>
      </c>
      <c r="M388" s="49">
        <v>1.9193</v>
      </c>
      <c r="N388" s="49">
        <v>1.0286999999999999</v>
      </c>
      <c r="O388" s="49">
        <v>1.5487</v>
      </c>
      <c r="P388" s="49">
        <v>1.236162</v>
      </c>
      <c r="Q388" s="49">
        <v>2.0285929999999999</v>
      </c>
      <c r="R388" s="49">
        <v>1.381346</v>
      </c>
      <c r="S388" s="49">
        <v>455</v>
      </c>
      <c r="T388" s="49">
        <v>930</v>
      </c>
      <c r="U388" s="49">
        <v>478</v>
      </c>
      <c r="V388" s="49">
        <v>844</v>
      </c>
      <c r="W388" s="49">
        <v>323</v>
      </c>
      <c r="X388" s="49" t="s">
        <v>1574</v>
      </c>
      <c r="Y388" s="49">
        <v>246</v>
      </c>
      <c r="Z388" s="49">
        <v>468</v>
      </c>
      <c r="AA388" s="49">
        <v>209</v>
      </c>
      <c r="AB388" s="49" t="s">
        <v>1574</v>
      </c>
      <c r="AC388" s="49" t="s">
        <v>1574</v>
      </c>
      <c r="AD388" s="49">
        <v>67.430000000000007</v>
      </c>
      <c r="AE388" s="49">
        <v>108.85</v>
      </c>
      <c r="AF388" s="49">
        <v>106.21</v>
      </c>
      <c r="AG388" s="49">
        <v>291.5</v>
      </c>
      <c r="AH388" s="49">
        <v>241</v>
      </c>
      <c r="AI388" s="49">
        <v>193</v>
      </c>
      <c r="AJ388" s="49" t="s">
        <v>1574</v>
      </c>
      <c r="AK388" s="49">
        <v>137.56</v>
      </c>
      <c r="AL388" s="49">
        <v>135.22</v>
      </c>
      <c r="AM388" s="49" t="s">
        <v>1574</v>
      </c>
      <c r="AN388" s="49">
        <v>0.36686000000000002</v>
      </c>
      <c r="AO388" s="49">
        <v>0.55920999999999998</v>
      </c>
      <c r="AP388" s="49">
        <v>2.7448000000000001</v>
      </c>
      <c r="AQ388" s="49">
        <v>1.0471945</v>
      </c>
      <c r="AR388" s="49">
        <v>2.2334999999999998</v>
      </c>
      <c r="AS388" s="49">
        <v>10.307</v>
      </c>
      <c r="AT388" s="49">
        <v>0.60243787193999998</v>
      </c>
      <c r="AU388" s="49">
        <v>0.48620270865999998</v>
      </c>
      <c r="AV388" s="49">
        <v>0.20480000000000001</v>
      </c>
      <c r="AW388" s="49">
        <v>3541.1</v>
      </c>
      <c r="AX388" s="49">
        <v>302.77</v>
      </c>
      <c r="AY388" s="49">
        <v>210.68</v>
      </c>
      <c r="AZ388" s="49" t="s">
        <v>1574</v>
      </c>
      <c r="BA388" s="49">
        <v>589.13276826632</v>
      </c>
      <c r="BB388" s="49">
        <v>375.24</v>
      </c>
      <c r="BC388" s="49">
        <v>1.5487</v>
      </c>
      <c r="BD388" s="49" t="s">
        <v>1574</v>
      </c>
      <c r="BE388" s="49">
        <v>0.81110000000000004</v>
      </c>
      <c r="BF388" s="49">
        <v>31.5</v>
      </c>
      <c r="BG388" s="49">
        <v>159.5</v>
      </c>
      <c r="BH388" s="49">
        <v>122.5</v>
      </c>
      <c r="BI388" s="49">
        <v>132.5</v>
      </c>
      <c r="BJ388" s="49">
        <v>110</v>
      </c>
      <c r="BK388" s="49">
        <v>1211.81</v>
      </c>
      <c r="BL388" s="49">
        <v>34.76</v>
      </c>
      <c r="BM388" s="49">
        <v>2324.5700000000002</v>
      </c>
      <c r="BN388" s="49">
        <v>539.79999999999995</v>
      </c>
      <c r="BO388" s="49">
        <v>5570.3</v>
      </c>
      <c r="BP388" s="49">
        <v>7680.7</v>
      </c>
      <c r="BQ388" s="49">
        <v>1023.2</v>
      </c>
      <c r="BR388" s="49">
        <v>348.74</v>
      </c>
      <c r="BS388" s="49">
        <v>349.34</v>
      </c>
      <c r="BT388" s="49">
        <v>4.0374999999999996</v>
      </c>
      <c r="BU388" s="41"/>
      <c r="BV388" s="41"/>
      <c r="BW388" s="41"/>
      <c r="BX388" s="41"/>
      <c r="BY388" s="41"/>
      <c r="BZ388" s="41"/>
      <c r="CA388" s="41"/>
      <c r="CB388" s="41"/>
      <c r="CC388" s="41"/>
      <c r="CD388" s="41"/>
      <c r="CE388" s="41"/>
      <c r="CF388" s="41"/>
      <c r="CG388" s="41"/>
      <c r="CH388" s="41"/>
      <c r="CI388" s="41"/>
      <c r="CJ388" s="41"/>
      <c r="CK388" s="41"/>
    </row>
    <row r="389" spans="1:89">
      <c r="A389" s="41" t="s">
        <v>518</v>
      </c>
      <c r="B389" s="51">
        <v>21.466666666670001</v>
      </c>
      <c r="C389" s="51">
        <v>22.2</v>
      </c>
      <c r="D389" s="51">
        <v>18.95</v>
      </c>
      <c r="E389" s="51">
        <v>23.25</v>
      </c>
      <c r="F389" s="51">
        <v>39.5</v>
      </c>
      <c r="G389" s="51">
        <v>31</v>
      </c>
      <c r="H389" s="51">
        <v>1.77</v>
      </c>
      <c r="I389" s="51">
        <v>2.71</v>
      </c>
      <c r="J389" s="51">
        <v>3.99</v>
      </c>
      <c r="K389" s="51">
        <v>37.08023675466</v>
      </c>
      <c r="L389" s="51">
        <v>1.3008</v>
      </c>
      <c r="M389" s="51">
        <v>1.7585999999999999</v>
      </c>
      <c r="N389" s="51">
        <v>1.0115000000000001</v>
      </c>
      <c r="O389" s="51">
        <v>1.5281</v>
      </c>
      <c r="P389" s="51">
        <v>1.249466</v>
      </c>
      <c r="Q389" s="51">
        <v>1.924474</v>
      </c>
      <c r="R389" s="51">
        <v>1.4104030000000001</v>
      </c>
      <c r="S389" s="51">
        <v>546</v>
      </c>
      <c r="T389" s="51">
        <v>965</v>
      </c>
      <c r="U389" s="51">
        <v>498</v>
      </c>
      <c r="V389" s="51">
        <v>799</v>
      </c>
      <c r="W389" s="51">
        <v>345</v>
      </c>
      <c r="X389" s="51" t="s">
        <v>1574</v>
      </c>
      <c r="Y389" s="51">
        <v>237</v>
      </c>
      <c r="Z389" s="51">
        <v>485</v>
      </c>
      <c r="AA389" s="51">
        <v>207</v>
      </c>
      <c r="AB389" s="51" t="s">
        <v>1574</v>
      </c>
      <c r="AC389" s="51" t="s">
        <v>1574</v>
      </c>
      <c r="AD389" s="51">
        <v>68.209999999999994</v>
      </c>
      <c r="AE389" s="51">
        <v>109.7</v>
      </c>
      <c r="AF389" s="51">
        <v>107.01</v>
      </c>
      <c r="AG389" s="51">
        <v>276.60000000000002</v>
      </c>
      <c r="AH389" s="51">
        <v>236</v>
      </c>
      <c r="AI389" s="51">
        <v>191</v>
      </c>
      <c r="AJ389" s="51" t="s">
        <v>1574</v>
      </c>
      <c r="AK389" s="51">
        <v>147.19999999999999</v>
      </c>
      <c r="AL389" s="51">
        <v>146.97</v>
      </c>
      <c r="AM389" s="51" t="s">
        <v>1574</v>
      </c>
      <c r="AN389" s="51">
        <v>0.44811000000000001</v>
      </c>
      <c r="AO389" s="51">
        <v>0.49304999999999999</v>
      </c>
      <c r="AP389" s="51">
        <v>2.7198000000000002</v>
      </c>
      <c r="AQ389" s="51">
        <v>1.0617449919999999</v>
      </c>
      <c r="AR389" s="51">
        <v>2.2151000000000001</v>
      </c>
      <c r="AS389" s="51">
        <v>10.169</v>
      </c>
      <c r="AT389" s="51">
        <v>0.60201846733999997</v>
      </c>
      <c r="AU389" s="51">
        <v>0.48011616984</v>
      </c>
      <c r="AV389" s="51">
        <v>0.2011</v>
      </c>
      <c r="AW389" s="51">
        <v>3681.13</v>
      </c>
      <c r="AX389" s="51">
        <v>303.66000000000003</v>
      </c>
      <c r="AY389" s="51">
        <v>214.44</v>
      </c>
      <c r="AZ389" s="51" t="s">
        <v>1574</v>
      </c>
      <c r="BA389" s="51">
        <v>573.05626764009003</v>
      </c>
      <c r="BB389" s="51">
        <v>386.32</v>
      </c>
      <c r="BC389" s="51">
        <v>1.4978</v>
      </c>
      <c r="BD389" s="51" t="s">
        <v>1574</v>
      </c>
      <c r="BE389" s="51">
        <v>0.82699999999999996</v>
      </c>
      <c r="BF389" s="51">
        <v>31.5</v>
      </c>
      <c r="BG389" s="51">
        <v>155</v>
      </c>
      <c r="BH389" s="51">
        <v>121.1</v>
      </c>
      <c r="BI389" s="51">
        <v>132.5</v>
      </c>
      <c r="BJ389" s="51">
        <v>110</v>
      </c>
      <c r="BK389" s="51">
        <v>1150.03</v>
      </c>
      <c r="BL389" s="51">
        <v>34.76</v>
      </c>
      <c r="BM389" s="51">
        <v>2363.64</v>
      </c>
      <c r="BN389" s="51">
        <v>522.29999999999995</v>
      </c>
      <c r="BO389" s="51">
        <v>5549.6</v>
      </c>
      <c r="BP389" s="51">
        <v>7443</v>
      </c>
      <c r="BQ389" s="51">
        <v>991.7</v>
      </c>
      <c r="BR389" s="51">
        <v>358.69</v>
      </c>
      <c r="BS389" s="51">
        <v>362.48</v>
      </c>
      <c r="BT389" s="51">
        <v>4.1154000000000002</v>
      </c>
      <c r="BU389" s="41"/>
      <c r="BV389" s="41"/>
      <c r="BW389" s="41"/>
      <c r="BX389" s="41"/>
      <c r="BY389" s="41"/>
      <c r="BZ389" s="41"/>
      <c r="CA389" s="41"/>
      <c r="CB389" s="41"/>
      <c r="CC389" s="41"/>
      <c r="CD389" s="41"/>
      <c r="CE389" s="41"/>
      <c r="CF389" s="41"/>
      <c r="CG389" s="41"/>
      <c r="CH389" s="41"/>
      <c r="CI389" s="41"/>
      <c r="CJ389" s="41"/>
      <c r="CK389" s="41"/>
    </row>
    <row r="390" spans="1:89">
      <c r="A390" s="48" t="s">
        <v>519</v>
      </c>
      <c r="B390" s="49">
        <v>20.766666666670002</v>
      </c>
      <c r="C390" s="49">
        <v>21.25</v>
      </c>
      <c r="D390" s="49">
        <v>18.45</v>
      </c>
      <c r="E390" s="49">
        <v>22.6</v>
      </c>
      <c r="F390" s="49">
        <v>39.5</v>
      </c>
      <c r="G390" s="49">
        <v>31</v>
      </c>
      <c r="H390" s="49">
        <v>1.81</v>
      </c>
      <c r="I390" s="49">
        <v>2.7</v>
      </c>
      <c r="J390" s="49">
        <v>3.99</v>
      </c>
      <c r="K390" s="49">
        <v>37.518431949709999</v>
      </c>
      <c r="L390" s="49">
        <v>1.3140000000000001</v>
      </c>
      <c r="M390" s="49">
        <v>1.724</v>
      </c>
      <c r="N390" s="49">
        <v>1.1112</v>
      </c>
      <c r="O390" s="49">
        <v>1.5005999999999999</v>
      </c>
      <c r="P390" s="49">
        <v>1.2092529999999999</v>
      </c>
      <c r="Q390" s="49">
        <v>1.9079809999999999</v>
      </c>
      <c r="R390" s="49">
        <v>1.384587</v>
      </c>
      <c r="S390" s="49">
        <v>595</v>
      </c>
      <c r="T390" s="49">
        <v>854</v>
      </c>
      <c r="U390" s="49">
        <v>512</v>
      </c>
      <c r="V390" s="49">
        <v>718</v>
      </c>
      <c r="W390" s="49">
        <v>362</v>
      </c>
      <c r="X390" s="49" t="s">
        <v>1574</v>
      </c>
      <c r="Y390" s="49">
        <v>237</v>
      </c>
      <c r="Z390" s="49">
        <v>466</v>
      </c>
      <c r="AA390" s="49">
        <v>202</v>
      </c>
      <c r="AB390" s="49" t="s">
        <v>1574</v>
      </c>
      <c r="AC390" s="49" t="s">
        <v>1574</v>
      </c>
      <c r="AD390" s="49">
        <v>73.3</v>
      </c>
      <c r="AE390" s="49">
        <v>106.49</v>
      </c>
      <c r="AF390" s="49">
        <v>105.45</v>
      </c>
      <c r="AG390" s="49">
        <v>271.75</v>
      </c>
      <c r="AH390" s="49">
        <v>232</v>
      </c>
      <c r="AI390" s="49">
        <v>185</v>
      </c>
      <c r="AJ390" s="49" t="s">
        <v>1574</v>
      </c>
      <c r="AK390" s="49">
        <v>147.04</v>
      </c>
      <c r="AL390" s="49">
        <v>149.55000000000001</v>
      </c>
      <c r="AM390" s="49" t="s">
        <v>1574</v>
      </c>
      <c r="AN390" s="49">
        <v>0.44091999999999998</v>
      </c>
      <c r="AO390" s="49">
        <v>0.59972000000000003</v>
      </c>
      <c r="AP390" s="49">
        <v>2.7073</v>
      </c>
      <c r="AQ390" s="49">
        <v>1.039257868</v>
      </c>
      <c r="AR390" s="49">
        <v>2.2824</v>
      </c>
      <c r="AS390" s="49">
        <v>10.119</v>
      </c>
      <c r="AT390" s="49">
        <v>0.62123446421999995</v>
      </c>
      <c r="AU390" s="49">
        <v>0.47962090742000002</v>
      </c>
      <c r="AV390" s="49">
        <v>0.1903</v>
      </c>
      <c r="AW390" s="49">
        <v>3585.13</v>
      </c>
      <c r="AX390" s="49">
        <v>316.06</v>
      </c>
      <c r="AY390" s="49">
        <v>195.5</v>
      </c>
      <c r="AZ390" s="49" t="s">
        <v>1574</v>
      </c>
      <c r="BA390" s="49">
        <v>573.89232740978002</v>
      </c>
      <c r="BB390" s="49">
        <v>389.42</v>
      </c>
      <c r="BC390" s="49">
        <v>1.3991</v>
      </c>
      <c r="BD390" s="49" t="s">
        <v>1574</v>
      </c>
      <c r="BE390" s="49">
        <v>0.81479999999999997</v>
      </c>
      <c r="BF390" s="49">
        <v>31.5</v>
      </c>
      <c r="BG390" s="49">
        <v>143.5</v>
      </c>
      <c r="BH390" s="49">
        <v>120</v>
      </c>
      <c r="BI390" s="49">
        <v>134.375</v>
      </c>
      <c r="BJ390" s="49">
        <v>110</v>
      </c>
      <c r="BK390" s="49">
        <v>1134.8</v>
      </c>
      <c r="BL390" s="49">
        <v>34.76</v>
      </c>
      <c r="BM390" s="49">
        <v>2379.84</v>
      </c>
      <c r="BN390" s="49">
        <v>506.2</v>
      </c>
      <c r="BO390" s="49">
        <v>5505.5</v>
      </c>
      <c r="BP390" s="49">
        <v>7244.6</v>
      </c>
      <c r="BQ390" s="49">
        <v>1093.3</v>
      </c>
      <c r="BR390" s="49">
        <v>360.17</v>
      </c>
      <c r="BS390" s="49">
        <v>365.11</v>
      </c>
      <c r="BT390" s="49">
        <v>4.0723000000000003</v>
      </c>
      <c r="BU390" s="41"/>
      <c r="BV390" s="41"/>
      <c r="BW390" s="41"/>
      <c r="BX390" s="41"/>
      <c r="BY390" s="41"/>
      <c r="BZ390" s="41"/>
      <c r="CA390" s="41"/>
      <c r="CB390" s="41"/>
      <c r="CC390" s="41"/>
      <c r="CD390" s="41"/>
      <c r="CE390" s="41"/>
      <c r="CF390" s="41"/>
      <c r="CG390" s="41"/>
      <c r="CH390" s="41"/>
      <c r="CI390" s="41"/>
      <c r="CJ390" s="41"/>
      <c r="CK390" s="41"/>
    </row>
    <row r="391" spans="1:89">
      <c r="A391" s="41" t="s">
        <v>520</v>
      </c>
      <c r="B391" s="51">
        <v>17.75</v>
      </c>
      <c r="C391" s="51">
        <v>18.399999999999999</v>
      </c>
      <c r="D391" s="51">
        <v>15.3</v>
      </c>
      <c r="E391" s="51">
        <v>19.55</v>
      </c>
      <c r="F391" s="51">
        <v>39.5</v>
      </c>
      <c r="G391" s="51">
        <v>31</v>
      </c>
      <c r="H391" s="51">
        <v>1.92</v>
      </c>
      <c r="I391" s="51">
        <v>2.7</v>
      </c>
      <c r="J391" s="51">
        <v>3.99</v>
      </c>
      <c r="K391" s="51">
        <v>38.854202976810001</v>
      </c>
      <c r="L391" s="51">
        <v>1.3664000000000001</v>
      </c>
      <c r="M391" s="51">
        <v>1.6612</v>
      </c>
      <c r="N391" s="51">
        <v>1.1196999999999999</v>
      </c>
      <c r="O391" s="51">
        <v>1.4756</v>
      </c>
      <c r="P391" s="51">
        <v>1.2029259999999999</v>
      </c>
      <c r="Q391" s="51">
        <v>1.802899</v>
      </c>
      <c r="R391" s="51">
        <v>1.4209830000000001</v>
      </c>
      <c r="S391" s="51">
        <v>636</v>
      </c>
      <c r="T391" s="51">
        <v>800</v>
      </c>
      <c r="U391" s="51">
        <v>500</v>
      </c>
      <c r="V391" s="51">
        <v>614</v>
      </c>
      <c r="W391" s="51">
        <v>376</v>
      </c>
      <c r="X391" s="51" t="s">
        <v>1574</v>
      </c>
      <c r="Y391" s="51">
        <v>234</v>
      </c>
      <c r="Z391" s="51">
        <v>442</v>
      </c>
      <c r="AA391" s="51">
        <v>199</v>
      </c>
      <c r="AB391" s="51" t="s">
        <v>1574</v>
      </c>
      <c r="AC391" s="51" t="s">
        <v>1574</v>
      </c>
      <c r="AD391" s="51">
        <v>75.430000000000007</v>
      </c>
      <c r="AE391" s="51">
        <v>106.91</v>
      </c>
      <c r="AF391" s="51">
        <v>107.42</v>
      </c>
      <c r="AG391" s="51">
        <v>268.39999999999998</v>
      </c>
      <c r="AH391" s="51">
        <v>230</v>
      </c>
      <c r="AI391" s="51">
        <v>184</v>
      </c>
      <c r="AJ391" s="51" t="s">
        <v>1574</v>
      </c>
      <c r="AK391" s="51">
        <v>157.81</v>
      </c>
      <c r="AL391" s="51">
        <v>160.94</v>
      </c>
      <c r="AM391" s="51" t="s">
        <v>1574</v>
      </c>
      <c r="AN391" s="51">
        <v>0.40397</v>
      </c>
      <c r="AO391" s="51">
        <v>0.58945999999999998</v>
      </c>
      <c r="AP391" s="51">
        <v>2.6080999999999999</v>
      </c>
      <c r="AQ391" s="51">
        <v>1.04168295</v>
      </c>
      <c r="AR391" s="51">
        <v>2.3723000000000001</v>
      </c>
      <c r="AS391" s="51">
        <v>9.9209999999999994</v>
      </c>
      <c r="AT391" s="51">
        <v>0.63720703467999995</v>
      </c>
      <c r="AU391" s="51">
        <v>0.47348937532000002</v>
      </c>
      <c r="AV391" s="51">
        <v>0.19839999999999999</v>
      </c>
      <c r="AW391" s="51">
        <v>3665.05</v>
      </c>
      <c r="AX391" s="51">
        <v>326.73</v>
      </c>
      <c r="AY391" s="51">
        <v>200.33</v>
      </c>
      <c r="AZ391" s="51" t="s">
        <v>1574</v>
      </c>
      <c r="BA391" s="51">
        <v>567.39157670279997</v>
      </c>
      <c r="BB391" s="51">
        <v>394.19</v>
      </c>
      <c r="BC391" s="51">
        <v>1.3632</v>
      </c>
      <c r="BD391" s="51" t="s">
        <v>1574</v>
      </c>
      <c r="BE391" s="51">
        <v>0.78749999999999998</v>
      </c>
      <c r="BF391" s="51">
        <v>31.5</v>
      </c>
      <c r="BG391" s="51">
        <v>143.5</v>
      </c>
      <c r="BH391" s="51">
        <v>120</v>
      </c>
      <c r="BI391" s="51">
        <v>131.875</v>
      </c>
      <c r="BJ391" s="51">
        <v>110</v>
      </c>
      <c r="BK391" s="51">
        <v>1097.55</v>
      </c>
      <c r="BL391" s="51">
        <v>34.76</v>
      </c>
      <c r="BM391" s="51">
        <v>2223.14</v>
      </c>
      <c r="BN391" s="51">
        <v>532.1</v>
      </c>
      <c r="BO391" s="51">
        <v>5510.1</v>
      </c>
      <c r="BP391" s="51">
        <v>7117.8</v>
      </c>
      <c r="BQ391" s="51">
        <v>1188</v>
      </c>
      <c r="BR391" s="51">
        <v>361.73</v>
      </c>
      <c r="BS391" s="51">
        <v>353.3</v>
      </c>
      <c r="BT391" s="51">
        <v>3.9426999999999999</v>
      </c>
      <c r="BU391" s="41"/>
      <c r="BV391" s="41"/>
      <c r="BW391" s="41"/>
      <c r="BX391" s="41"/>
      <c r="BY391" s="41"/>
      <c r="BZ391" s="41"/>
      <c r="CA391" s="41"/>
      <c r="CB391" s="41"/>
      <c r="CC391" s="41"/>
      <c r="CD391" s="41"/>
      <c r="CE391" s="41"/>
      <c r="CF391" s="41"/>
      <c r="CG391" s="41"/>
      <c r="CH391" s="41"/>
      <c r="CI391" s="41"/>
      <c r="CJ391" s="41"/>
      <c r="CK391" s="41"/>
    </row>
    <row r="392" spans="1:89">
      <c r="A392" s="48" t="s">
        <v>521</v>
      </c>
      <c r="B392" s="49">
        <v>17.38333333333</v>
      </c>
      <c r="C392" s="49">
        <v>18.149999999999999</v>
      </c>
      <c r="D392" s="49">
        <v>15.2</v>
      </c>
      <c r="E392" s="49">
        <v>18.8</v>
      </c>
      <c r="F392" s="49">
        <v>39.5</v>
      </c>
      <c r="G392" s="49">
        <v>31</v>
      </c>
      <c r="H392" s="49">
        <v>1.28</v>
      </c>
      <c r="I392" s="49">
        <v>2.57</v>
      </c>
      <c r="J392" s="49">
        <v>3.595243</v>
      </c>
      <c r="K392" s="49">
        <v>30.196982328899999</v>
      </c>
      <c r="L392" s="49">
        <v>1.2815000000000001</v>
      </c>
      <c r="M392" s="49">
        <v>1.6184000000000001</v>
      </c>
      <c r="N392" s="49">
        <v>1.0765</v>
      </c>
      <c r="O392" s="49">
        <v>1.4138999999999999</v>
      </c>
      <c r="P392" s="49">
        <v>1.2670870000000001</v>
      </c>
      <c r="Q392" s="49">
        <v>1.519852</v>
      </c>
      <c r="R392" s="49">
        <v>1.4547079999999999</v>
      </c>
      <c r="S392" s="49">
        <v>738</v>
      </c>
      <c r="T392" s="49">
        <v>812</v>
      </c>
      <c r="U392" s="49">
        <v>500</v>
      </c>
      <c r="V392" s="49">
        <v>619</v>
      </c>
      <c r="W392" s="49">
        <v>383</v>
      </c>
      <c r="X392" s="49" t="s">
        <v>1574</v>
      </c>
      <c r="Y392" s="49">
        <v>236</v>
      </c>
      <c r="Z392" s="49">
        <v>429</v>
      </c>
      <c r="AA392" s="49">
        <v>210</v>
      </c>
      <c r="AB392" s="49" t="s">
        <v>1574</v>
      </c>
      <c r="AC392" s="49" t="s">
        <v>1574</v>
      </c>
      <c r="AD392" s="49">
        <v>73.42</v>
      </c>
      <c r="AE392" s="49">
        <v>109.31</v>
      </c>
      <c r="AF392" s="49">
        <v>111.64</v>
      </c>
      <c r="AG392" s="49">
        <v>277.25</v>
      </c>
      <c r="AH392" s="49">
        <v>238</v>
      </c>
      <c r="AI392" s="49">
        <v>188</v>
      </c>
      <c r="AJ392" s="49" t="s">
        <v>1574</v>
      </c>
      <c r="AK392" s="49">
        <v>167.26</v>
      </c>
      <c r="AL392" s="49">
        <v>170.12</v>
      </c>
      <c r="AM392" s="49" t="s">
        <v>1574</v>
      </c>
      <c r="AN392" s="49">
        <v>0.56972999999999996</v>
      </c>
      <c r="AO392" s="49">
        <v>0.50473999999999997</v>
      </c>
      <c r="AP392" s="49">
        <v>2.5714999999999999</v>
      </c>
      <c r="AQ392" s="49">
        <v>1.0538083600000001</v>
      </c>
      <c r="AR392" s="49">
        <v>2.4377</v>
      </c>
      <c r="AS392" s="49">
        <v>10.031000000000001</v>
      </c>
      <c r="AT392" s="49">
        <v>0.63332045674000004</v>
      </c>
      <c r="AU392" s="49">
        <v>0.47124753284999998</v>
      </c>
      <c r="AV392" s="49">
        <v>0.18329999999999999</v>
      </c>
      <c r="AW392" s="49">
        <v>3632.64</v>
      </c>
      <c r="AX392" s="49">
        <v>325.27</v>
      </c>
      <c r="AY392" s="49">
        <v>202.85</v>
      </c>
      <c r="AZ392" s="49" t="s">
        <v>1574</v>
      </c>
      <c r="BA392" s="49">
        <v>577.77865606835996</v>
      </c>
      <c r="BB392" s="49">
        <v>403.71</v>
      </c>
      <c r="BC392" s="49">
        <v>1.3144</v>
      </c>
      <c r="BD392" s="49" t="s">
        <v>1574</v>
      </c>
      <c r="BE392" s="49">
        <v>0.8014</v>
      </c>
      <c r="BF392" s="49">
        <v>31.5</v>
      </c>
      <c r="BG392" s="49">
        <v>145.25</v>
      </c>
      <c r="BH392" s="49">
        <v>120</v>
      </c>
      <c r="BI392" s="49">
        <v>122.5</v>
      </c>
      <c r="BJ392" s="49">
        <v>110</v>
      </c>
      <c r="BK392" s="49">
        <v>1177.07</v>
      </c>
      <c r="BL392" s="49">
        <v>33.1</v>
      </c>
      <c r="BM392" s="49">
        <v>2139.23</v>
      </c>
      <c r="BN392" s="49">
        <v>514.9</v>
      </c>
      <c r="BO392" s="49">
        <v>5476.9</v>
      </c>
      <c r="BP392" s="49">
        <v>7517.3</v>
      </c>
      <c r="BQ392" s="49">
        <v>1153.7</v>
      </c>
      <c r="BR392" s="49">
        <v>354.45</v>
      </c>
      <c r="BS392" s="49">
        <v>341.19</v>
      </c>
      <c r="BT392" s="49">
        <v>4.1100000000000003</v>
      </c>
      <c r="BU392" s="41"/>
      <c r="BV392" s="41"/>
      <c r="BW392" s="41"/>
      <c r="BX392" s="41"/>
      <c r="BY392" s="41"/>
      <c r="BZ392" s="41"/>
      <c r="CA392" s="41"/>
      <c r="CB392" s="41"/>
      <c r="CC392" s="41"/>
      <c r="CD392" s="41"/>
      <c r="CE392" s="41"/>
      <c r="CF392" s="41"/>
      <c r="CG392" s="41"/>
      <c r="CH392" s="41"/>
      <c r="CI392" s="41"/>
      <c r="CJ392" s="41"/>
      <c r="CK392" s="41"/>
    </row>
    <row r="393" spans="1:89">
      <c r="A393" s="41" t="s">
        <v>522</v>
      </c>
      <c r="B393" s="51">
        <v>17.61666666667</v>
      </c>
      <c r="C393" s="51">
        <v>18.100000000000001</v>
      </c>
      <c r="D393" s="51">
        <v>15.75</v>
      </c>
      <c r="E393" s="51">
        <v>19</v>
      </c>
      <c r="F393" s="51">
        <v>39.5</v>
      </c>
      <c r="G393" s="51">
        <v>31</v>
      </c>
      <c r="H393" s="51">
        <v>1.21</v>
      </c>
      <c r="I393" s="51">
        <v>2.5</v>
      </c>
      <c r="J393" s="51">
        <v>3.5089700000000001</v>
      </c>
      <c r="K393" s="51">
        <v>28.955718705919999</v>
      </c>
      <c r="L393" s="51">
        <v>1.1929000000000001</v>
      </c>
      <c r="M393" s="51">
        <v>1.5091000000000001</v>
      </c>
      <c r="N393" s="51">
        <v>0.9385</v>
      </c>
      <c r="O393" s="51">
        <v>1.3448</v>
      </c>
      <c r="P393" s="51">
        <v>1.2299469999999999</v>
      </c>
      <c r="Q393" s="51">
        <v>1.416288</v>
      </c>
      <c r="R393" s="51">
        <v>1.388091</v>
      </c>
      <c r="S393" s="51">
        <v>702</v>
      </c>
      <c r="T393" s="51">
        <v>779</v>
      </c>
      <c r="U393" s="51">
        <v>494</v>
      </c>
      <c r="V393" s="51">
        <v>605</v>
      </c>
      <c r="W393" s="51">
        <v>382</v>
      </c>
      <c r="X393" s="51" t="s">
        <v>1574</v>
      </c>
      <c r="Y393" s="51">
        <v>237</v>
      </c>
      <c r="Z393" s="51">
        <v>414</v>
      </c>
      <c r="AA393" s="51">
        <v>204</v>
      </c>
      <c r="AB393" s="51" t="s">
        <v>1574</v>
      </c>
      <c r="AC393" s="51" t="s">
        <v>1574</v>
      </c>
      <c r="AD393" s="51">
        <v>71.28</v>
      </c>
      <c r="AE393" s="51">
        <v>113.62</v>
      </c>
      <c r="AF393" s="51">
        <v>116.73</v>
      </c>
      <c r="AG393" s="51">
        <v>278.25</v>
      </c>
      <c r="AH393" s="51">
        <v>238</v>
      </c>
      <c r="AI393" s="51">
        <v>189</v>
      </c>
      <c r="AJ393" s="51" t="s">
        <v>1574</v>
      </c>
      <c r="AK393" s="51">
        <v>170.12</v>
      </c>
      <c r="AL393" s="51">
        <v>177.1</v>
      </c>
      <c r="AM393" s="51" t="s">
        <v>1574</v>
      </c>
      <c r="AN393" s="51">
        <v>0.60626999999999998</v>
      </c>
      <c r="AO393" s="51">
        <v>0.43912000000000001</v>
      </c>
      <c r="AP393" s="51">
        <v>2.5240999999999998</v>
      </c>
      <c r="AQ393" s="51">
        <v>1.025589224</v>
      </c>
      <c r="AR393" s="51">
        <v>2.5188000000000001</v>
      </c>
      <c r="AS393" s="51">
        <v>10.169</v>
      </c>
      <c r="AT393" s="51">
        <v>0.62103876449999995</v>
      </c>
      <c r="AU393" s="51">
        <v>0.47576805341</v>
      </c>
      <c r="AV393" s="51">
        <v>0.17280000000000001</v>
      </c>
      <c r="AW393" s="51">
        <v>3634.89</v>
      </c>
      <c r="AX393" s="51">
        <v>317.54000000000002</v>
      </c>
      <c r="AY393" s="51">
        <v>214.04</v>
      </c>
      <c r="AZ393" s="51" t="s">
        <v>1574</v>
      </c>
      <c r="BA393" s="51">
        <v>599.19098418717999</v>
      </c>
      <c r="BB393" s="51">
        <v>396</v>
      </c>
      <c r="BC393" s="51">
        <v>1.2412000000000001</v>
      </c>
      <c r="BD393" s="51" t="s">
        <v>1574</v>
      </c>
      <c r="BE393" s="51">
        <v>0.81130000000000002</v>
      </c>
      <c r="BF393" s="51">
        <v>31.5</v>
      </c>
      <c r="BG393" s="51">
        <v>147.875</v>
      </c>
      <c r="BH393" s="51">
        <v>120</v>
      </c>
      <c r="BI393" s="51">
        <v>120.625</v>
      </c>
      <c r="BJ393" s="51">
        <v>110</v>
      </c>
      <c r="BK393" s="51">
        <v>1266.83</v>
      </c>
      <c r="BL393" s="51">
        <v>33.1</v>
      </c>
      <c r="BM393" s="51">
        <v>2205.9699999999998</v>
      </c>
      <c r="BN393" s="51">
        <v>505</v>
      </c>
      <c r="BO393" s="51">
        <v>5615.7</v>
      </c>
      <c r="BP393" s="51">
        <v>7861.9</v>
      </c>
      <c r="BQ393" s="51">
        <v>1130.7</v>
      </c>
      <c r="BR393" s="51">
        <v>353.91</v>
      </c>
      <c r="BS393" s="51">
        <v>362.12</v>
      </c>
      <c r="BT393" s="51">
        <v>4.1456999999999997</v>
      </c>
      <c r="BU393" s="41"/>
      <c r="BV393" s="41"/>
      <c r="BW393" s="41"/>
      <c r="BX393" s="41"/>
      <c r="BY393" s="41"/>
      <c r="BZ393" s="41"/>
      <c r="CA393" s="41"/>
      <c r="CB393" s="41"/>
      <c r="CC393" s="41"/>
      <c r="CD393" s="41"/>
      <c r="CE393" s="41"/>
      <c r="CF393" s="41"/>
      <c r="CG393" s="41"/>
      <c r="CH393" s="41"/>
      <c r="CI393" s="41"/>
      <c r="CJ393" s="41"/>
      <c r="CK393" s="41"/>
    </row>
    <row r="394" spans="1:89">
      <c r="A394" s="48" t="s">
        <v>523</v>
      </c>
      <c r="B394" s="49">
        <v>17.45</v>
      </c>
      <c r="C394" s="49">
        <v>17.600000000000001</v>
      </c>
      <c r="D394" s="49">
        <v>15.8</v>
      </c>
      <c r="E394" s="49">
        <v>18.95</v>
      </c>
      <c r="F394" s="49">
        <v>39.5</v>
      </c>
      <c r="G394" s="49">
        <v>31</v>
      </c>
      <c r="H394" s="49">
        <v>1.28</v>
      </c>
      <c r="I394" s="49">
        <v>2.58</v>
      </c>
      <c r="J394" s="49">
        <v>3.5922489999999998</v>
      </c>
      <c r="K394" s="49">
        <v>30.24249363549</v>
      </c>
      <c r="L394" s="49">
        <v>1.1282000000000001</v>
      </c>
      <c r="M394" s="49">
        <v>1.5513999999999999</v>
      </c>
      <c r="N394" s="49">
        <v>0.93889999999999996</v>
      </c>
      <c r="O394" s="49">
        <v>1.3789</v>
      </c>
      <c r="P394" s="49">
        <v>1.3411580000000001</v>
      </c>
      <c r="Q394" s="49">
        <v>1.4016999999999999</v>
      </c>
      <c r="R394" s="49">
        <v>1.393904</v>
      </c>
      <c r="S394" s="49">
        <v>644</v>
      </c>
      <c r="T394" s="49">
        <v>766</v>
      </c>
      <c r="U394" s="49">
        <v>488</v>
      </c>
      <c r="V394" s="49">
        <v>595</v>
      </c>
      <c r="W394" s="49">
        <v>396</v>
      </c>
      <c r="X394" s="49" t="s">
        <v>1574</v>
      </c>
      <c r="Y394" s="49">
        <v>240</v>
      </c>
      <c r="Z394" s="49">
        <v>434</v>
      </c>
      <c r="AA394" s="49">
        <v>200</v>
      </c>
      <c r="AB394" s="49" t="s">
        <v>1574</v>
      </c>
      <c r="AC394" s="49" t="s">
        <v>1574</v>
      </c>
      <c r="AD394" s="49">
        <v>72.64</v>
      </c>
      <c r="AE394" s="49">
        <v>117</v>
      </c>
      <c r="AF394" s="49">
        <v>120.15</v>
      </c>
      <c r="AG394" s="49">
        <v>277.2</v>
      </c>
      <c r="AH394" s="49">
        <v>236</v>
      </c>
      <c r="AI394" s="49">
        <v>186</v>
      </c>
      <c r="AJ394" s="49" t="s">
        <v>1574</v>
      </c>
      <c r="AK394" s="49">
        <v>161.44</v>
      </c>
      <c r="AL394" s="49">
        <v>169.39</v>
      </c>
      <c r="AM394" s="49" t="s">
        <v>1574</v>
      </c>
      <c r="AN394" s="49">
        <v>0.60629999999999995</v>
      </c>
      <c r="AO394" s="49">
        <v>0.43258999999999997</v>
      </c>
      <c r="AP394" s="49">
        <v>2.4493</v>
      </c>
      <c r="AQ394" s="49">
        <v>1.039257868</v>
      </c>
      <c r="AR394" s="49">
        <v>2.4780000000000002</v>
      </c>
      <c r="AS394" s="49">
        <v>10.472</v>
      </c>
      <c r="AT394" s="49">
        <v>0.60272099317000005</v>
      </c>
      <c r="AU394" s="49">
        <v>0.47083670641000003</v>
      </c>
      <c r="AV394" s="49">
        <v>0.1812</v>
      </c>
      <c r="AW394" s="49">
        <v>3611.67</v>
      </c>
      <c r="AX394" s="49">
        <v>310.3</v>
      </c>
      <c r="AY394" s="49">
        <v>201.96</v>
      </c>
      <c r="AZ394" s="49" t="s">
        <v>1574</v>
      </c>
      <c r="BA394" s="49">
        <v>602.24275977136006</v>
      </c>
      <c r="BB394" s="49">
        <v>380.56</v>
      </c>
      <c r="BC394" s="49">
        <v>1.2197</v>
      </c>
      <c r="BD394" s="49" t="s">
        <v>1574</v>
      </c>
      <c r="BE394" s="49">
        <v>0.82699999999999996</v>
      </c>
      <c r="BF394" s="49">
        <v>31.5</v>
      </c>
      <c r="BG394" s="49">
        <v>144.80000000000001</v>
      </c>
      <c r="BH394" s="49">
        <v>120</v>
      </c>
      <c r="BI394" s="49">
        <v>120</v>
      </c>
      <c r="BJ394" s="49">
        <v>110</v>
      </c>
      <c r="BK394" s="49">
        <v>1280.47</v>
      </c>
      <c r="BL394" s="49">
        <v>33.1</v>
      </c>
      <c r="BM394" s="49">
        <v>2227.33</v>
      </c>
      <c r="BN394" s="49">
        <v>521.20000000000005</v>
      </c>
      <c r="BO394" s="49">
        <v>5632</v>
      </c>
      <c r="BP394" s="49">
        <v>7417.7</v>
      </c>
      <c r="BQ394" s="49">
        <v>1214.5999999999999</v>
      </c>
      <c r="BR394" s="49">
        <v>344.34</v>
      </c>
      <c r="BS394" s="49">
        <v>356.94</v>
      </c>
      <c r="BT394" s="49">
        <v>4.1101000000000001</v>
      </c>
      <c r="BU394" s="41"/>
      <c r="BV394" s="41"/>
      <c r="BW394" s="41"/>
      <c r="BX394" s="41"/>
      <c r="BY394" s="41"/>
      <c r="BZ394" s="41"/>
      <c r="CA394" s="41"/>
      <c r="CB394" s="41"/>
      <c r="CC394" s="41"/>
      <c r="CD394" s="41"/>
      <c r="CE394" s="41"/>
      <c r="CF394" s="41"/>
      <c r="CG394" s="41"/>
      <c r="CH394" s="41"/>
      <c r="CI394" s="41"/>
      <c r="CJ394" s="41"/>
      <c r="CK394" s="41"/>
    </row>
    <row r="395" spans="1:89">
      <c r="A395" s="41" t="s">
        <v>524</v>
      </c>
      <c r="B395" s="51">
        <v>18.63333333333</v>
      </c>
      <c r="C395" s="51">
        <v>18.95</v>
      </c>
      <c r="D395" s="51">
        <v>16.7</v>
      </c>
      <c r="E395" s="51">
        <v>20.25</v>
      </c>
      <c r="F395" s="51">
        <v>39.5</v>
      </c>
      <c r="G395" s="51">
        <v>31</v>
      </c>
      <c r="H395" s="51">
        <v>1.47</v>
      </c>
      <c r="I395" s="51">
        <v>2.4700000000000002</v>
      </c>
      <c r="J395" s="51">
        <v>3.5298240000000001</v>
      </c>
      <c r="K395" s="51">
        <v>31.98450496912</v>
      </c>
      <c r="L395" s="51">
        <v>1.0443</v>
      </c>
      <c r="M395" s="51">
        <v>1.4533</v>
      </c>
      <c r="N395" s="51">
        <v>0.91180000000000005</v>
      </c>
      <c r="O395" s="51">
        <v>1.5203</v>
      </c>
      <c r="P395" s="51">
        <v>1.5437799999999999</v>
      </c>
      <c r="Q395" s="51">
        <v>1.4843569999999999</v>
      </c>
      <c r="R395" s="51">
        <v>1.5326200000000001</v>
      </c>
      <c r="S395" s="51">
        <v>647</v>
      </c>
      <c r="T395" s="51">
        <v>788</v>
      </c>
      <c r="U395" s="51">
        <v>489</v>
      </c>
      <c r="V395" s="51">
        <v>616</v>
      </c>
      <c r="W395" s="51">
        <v>402</v>
      </c>
      <c r="X395" s="51" t="s">
        <v>1574</v>
      </c>
      <c r="Y395" s="51">
        <v>235</v>
      </c>
      <c r="Z395" s="51">
        <v>425</v>
      </c>
      <c r="AA395" s="51">
        <v>192</v>
      </c>
      <c r="AB395" s="51" t="s">
        <v>1574</v>
      </c>
      <c r="AC395" s="51" t="s">
        <v>1574</v>
      </c>
      <c r="AD395" s="51">
        <v>75.23</v>
      </c>
      <c r="AE395" s="51">
        <v>108.52</v>
      </c>
      <c r="AF395" s="51">
        <v>109.35</v>
      </c>
      <c r="AG395" s="51">
        <v>278</v>
      </c>
      <c r="AH395" s="51">
        <v>238</v>
      </c>
      <c r="AI395" s="51">
        <v>186</v>
      </c>
      <c r="AJ395" s="51" t="s">
        <v>1574</v>
      </c>
      <c r="AK395" s="51">
        <v>153.07</v>
      </c>
      <c r="AL395" s="51">
        <v>159.83000000000001</v>
      </c>
      <c r="AM395" s="51" t="s">
        <v>1574</v>
      </c>
      <c r="AN395" s="51">
        <v>0.41898999999999997</v>
      </c>
      <c r="AO395" s="51">
        <v>0.50985999999999998</v>
      </c>
      <c r="AP395" s="51">
        <v>2.3847</v>
      </c>
      <c r="AQ395" s="51">
        <v>1.036832786</v>
      </c>
      <c r="AR395" s="51">
        <v>2.548</v>
      </c>
      <c r="AS395" s="51">
        <v>10.637</v>
      </c>
      <c r="AT395" s="51">
        <v>0.61396817650000002</v>
      </c>
      <c r="AU395" s="51">
        <v>0.47099086093999998</v>
      </c>
      <c r="AV395" s="51">
        <v>0.20860000000000001</v>
      </c>
      <c r="AW395" s="51">
        <v>3631.04</v>
      </c>
      <c r="AX395" s="51">
        <v>313.95999999999998</v>
      </c>
      <c r="AY395" s="51">
        <v>199.67</v>
      </c>
      <c r="AZ395" s="51" t="s">
        <v>1574</v>
      </c>
      <c r="BA395" s="51">
        <v>616.38288637890003</v>
      </c>
      <c r="BB395" s="51">
        <v>361.72</v>
      </c>
      <c r="BC395" s="51">
        <v>1.2838000000000001</v>
      </c>
      <c r="BD395" s="51" t="s">
        <v>1574</v>
      </c>
      <c r="BE395" s="51">
        <v>0.85829999999999995</v>
      </c>
      <c r="BF395" s="51">
        <v>31.5</v>
      </c>
      <c r="BG395" s="51">
        <v>142.75</v>
      </c>
      <c r="BH395" s="51">
        <v>120.2</v>
      </c>
      <c r="BI395" s="51">
        <v>120</v>
      </c>
      <c r="BJ395" s="51">
        <v>110</v>
      </c>
      <c r="BK395" s="51">
        <v>1317.05</v>
      </c>
      <c r="BL395" s="51">
        <v>33.1</v>
      </c>
      <c r="BM395" s="51">
        <v>2215.33</v>
      </c>
      <c r="BN395" s="51">
        <v>532.79999999999995</v>
      </c>
      <c r="BO395" s="51">
        <v>5838.9</v>
      </c>
      <c r="BP395" s="51">
        <v>7420.6</v>
      </c>
      <c r="BQ395" s="51">
        <v>1304.3</v>
      </c>
      <c r="BR395" s="51">
        <v>338.62</v>
      </c>
      <c r="BS395" s="51">
        <v>347.3</v>
      </c>
      <c r="BT395" s="51">
        <v>4.0505000000000004</v>
      </c>
      <c r="BU395" s="41"/>
      <c r="BV395" s="41"/>
      <c r="BW395" s="41"/>
      <c r="BX395" s="41"/>
      <c r="BY395" s="41"/>
      <c r="BZ395" s="41"/>
      <c r="CA395" s="41"/>
      <c r="CB395" s="41"/>
      <c r="CC395" s="41"/>
      <c r="CD395" s="41"/>
      <c r="CE395" s="41"/>
      <c r="CF395" s="41"/>
      <c r="CG395" s="41"/>
      <c r="CH395" s="41"/>
      <c r="CI395" s="41"/>
      <c r="CJ395" s="41"/>
      <c r="CK395" s="41"/>
    </row>
    <row r="396" spans="1:89">
      <c r="A396" s="48" t="s">
        <v>525</v>
      </c>
      <c r="B396" s="49">
        <v>19.5</v>
      </c>
      <c r="C396" s="49">
        <v>19.899999999999999</v>
      </c>
      <c r="D396" s="49">
        <v>17.600000000000001</v>
      </c>
      <c r="E396" s="49">
        <v>21</v>
      </c>
      <c r="F396" s="49">
        <v>39.5</v>
      </c>
      <c r="G396" s="49">
        <v>31</v>
      </c>
      <c r="H396" s="49">
        <v>1.59</v>
      </c>
      <c r="I396" s="49">
        <v>2.4900000000000002</v>
      </c>
      <c r="J396" s="49">
        <v>3.4715530000000001</v>
      </c>
      <c r="K396" s="49">
        <v>33.497310915690001</v>
      </c>
      <c r="L396" s="49">
        <v>0.99229999999999996</v>
      </c>
      <c r="M396" s="49">
        <v>1.3416999999999999</v>
      </c>
      <c r="N396" s="49">
        <v>0.83069999999999999</v>
      </c>
      <c r="O396" s="49">
        <v>1.7287999999999999</v>
      </c>
      <c r="P396" s="49">
        <v>1.572503</v>
      </c>
      <c r="Q396" s="49">
        <v>1.98146</v>
      </c>
      <c r="R396" s="49">
        <v>1.632439</v>
      </c>
      <c r="S396" s="49">
        <v>638</v>
      </c>
      <c r="T396" s="49">
        <v>788</v>
      </c>
      <c r="U396" s="49">
        <v>495</v>
      </c>
      <c r="V396" s="49">
        <v>651</v>
      </c>
      <c r="W396" s="49">
        <v>390</v>
      </c>
      <c r="X396" s="49" t="s">
        <v>1574</v>
      </c>
      <c r="Y396" s="49">
        <v>247</v>
      </c>
      <c r="Z396" s="49">
        <v>439</v>
      </c>
      <c r="AA396" s="49">
        <v>196</v>
      </c>
      <c r="AB396" s="49" t="s">
        <v>1574</v>
      </c>
      <c r="AC396" s="49" t="s">
        <v>1574</v>
      </c>
      <c r="AD396" s="49">
        <v>84.78</v>
      </c>
      <c r="AE396" s="49">
        <v>109.64</v>
      </c>
      <c r="AF396" s="49">
        <v>108.03</v>
      </c>
      <c r="AG396" s="49">
        <v>274</v>
      </c>
      <c r="AH396" s="49">
        <v>228</v>
      </c>
      <c r="AI396" s="49">
        <v>178</v>
      </c>
      <c r="AJ396" s="49" t="s">
        <v>1574</v>
      </c>
      <c r="AK396" s="49">
        <v>139.72</v>
      </c>
      <c r="AL396" s="49">
        <v>149.55000000000001</v>
      </c>
      <c r="AM396" s="49" t="s">
        <v>1574</v>
      </c>
      <c r="AN396" s="49">
        <v>0.42582999999999999</v>
      </c>
      <c r="AO396" s="49">
        <v>0.48647000000000001</v>
      </c>
      <c r="AP396" s="49">
        <v>2.3765999999999998</v>
      </c>
      <c r="AQ396" s="49">
        <v>1.0377146340000001</v>
      </c>
      <c r="AR396" s="49">
        <v>2.7835999999999999</v>
      </c>
      <c r="AS396" s="49">
        <v>10.714</v>
      </c>
      <c r="AT396" s="49">
        <v>0.63283116538999995</v>
      </c>
      <c r="AU396" s="49">
        <v>0.46355814016000002</v>
      </c>
      <c r="AV396" s="49">
        <v>0.2114</v>
      </c>
      <c r="AW396" s="49">
        <v>3597.63</v>
      </c>
      <c r="AX396" s="49">
        <v>321.14</v>
      </c>
      <c r="AY396" s="49">
        <v>200.75</v>
      </c>
      <c r="AZ396" s="49" t="s">
        <v>1574</v>
      </c>
      <c r="BA396" s="49">
        <v>628.68385452407006</v>
      </c>
      <c r="BB396" s="49">
        <v>338.52</v>
      </c>
      <c r="BC396" s="49">
        <v>1.3357000000000001</v>
      </c>
      <c r="BD396" s="49" t="s">
        <v>1574</v>
      </c>
      <c r="BE396" s="49">
        <v>0.86639999999999995</v>
      </c>
      <c r="BF396" s="49">
        <v>31.5</v>
      </c>
      <c r="BG396" s="49">
        <v>140.5</v>
      </c>
      <c r="BH396" s="49">
        <v>120.5</v>
      </c>
      <c r="BI396" s="49">
        <v>120</v>
      </c>
      <c r="BJ396" s="49">
        <v>110</v>
      </c>
      <c r="BK396" s="49">
        <v>1306.79</v>
      </c>
      <c r="BL396" s="49">
        <v>33.1</v>
      </c>
      <c r="BM396" s="49">
        <v>2216.52</v>
      </c>
      <c r="BN396" s="49">
        <v>520.29999999999995</v>
      </c>
      <c r="BO396" s="49">
        <v>6121.1</v>
      </c>
      <c r="BP396" s="49">
        <v>7326.8</v>
      </c>
      <c r="BQ396" s="49">
        <v>1372.9</v>
      </c>
      <c r="BR396" s="49">
        <v>337.24</v>
      </c>
      <c r="BS396" s="49">
        <v>358.59</v>
      </c>
      <c r="BT396" s="49">
        <v>4.0715000000000003</v>
      </c>
      <c r="BU396" s="41"/>
      <c r="BV396" s="41"/>
      <c r="BW396" s="41"/>
      <c r="BX396" s="41"/>
      <c r="BY396" s="41"/>
      <c r="BZ396" s="41"/>
      <c r="CA396" s="41"/>
      <c r="CB396" s="41"/>
      <c r="CC396" s="41"/>
      <c r="CD396" s="41"/>
      <c r="CE396" s="41"/>
      <c r="CF396" s="41"/>
      <c r="CG396" s="41"/>
      <c r="CH396" s="41"/>
      <c r="CI396" s="41"/>
      <c r="CJ396" s="41"/>
      <c r="CK396" s="41"/>
    </row>
    <row r="397" spans="1:89">
      <c r="A397" s="41" t="s">
        <v>526</v>
      </c>
      <c r="B397" s="51">
        <v>20.83333333333</v>
      </c>
      <c r="C397" s="51">
        <v>21.15</v>
      </c>
      <c r="D397" s="51">
        <v>19</v>
      </c>
      <c r="E397" s="51">
        <v>22.35</v>
      </c>
      <c r="F397" s="51">
        <v>39.5</v>
      </c>
      <c r="G397" s="51">
        <v>29</v>
      </c>
      <c r="H397" s="51">
        <v>1.56</v>
      </c>
      <c r="I397" s="51">
        <v>2.5</v>
      </c>
      <c r="J397" s="51">
        <v>3.488016</v>
      </c>
      <c r="K397" s="51">
        <v>33.191703035560003</v>
      </c>
      <c r="L397" s="51">
        <v>0.97060000000000002</v>
      </c>
      <c r="M397" s="51">
        <v>1.3027</v>
      </c>
      <c r="N397" s="51">
        <v>0.81950000000000001</v>
      </c>
      <c r="O397" s="51">
        <v>1.6859</v>
      </c>
      <c r="P397" s="51">
        <v>1.4022950000000001</v>
      </c>
      <c r="Q397" s="51">
        <v>1.9718039999999999</v>
      </c>
      <c r="R397" s="51">
        <v>1.683557</v>
      </c>
      <c r="S397" s="51">
        <v>589</v>
      </c>
      <c r="T397" s="51">
        <v>828</v>
      </c>
      <c r="U397" s="51">
        <v>491</v>
      </c>
      <c r="V397" s="51">
        <v>665</v>
      </c>
      <c r="W397" s="51">
        <v>404</v>
      </c>
      <c r="X397" s="51" t="s">
        <v>1574</v>
      </c>
      <c r="Y397" s="51">
        <v>253</v>
      </c>
      <c r="Z397" s="51">
        <v>456</v>
      </c>
      <c r="AA397" s="51">
        <v>204</v>
      </c>
      <c r="AB397" s="51" t="s">
        <v>1574</v>
      </c>
      <c r="AC397" s="51" t="s">
        <v>1574</v>
      </c>
      <c r="AD397" s="51">
        <v>84.89</v>
      </c>
      <c r="AE397" s="51">
        <v>110.9</v>
      </c>
      <c r="AF397" s="51">
        <v>104.66</v>
      </c>
      <c r="AG397" s="51">
        <v>268.8</v>
      </c>
      <c r="AH397" s="51">
        <v>225</v>
      </c>
      <c r="AI397" s="51">
        <v>171</v>
      </c>
      <c r="AJ397" s="51" t="s">
        <v>1574</v>
      </c>
      <c r="AK397" s="51">
        <v>140.36000000000001</v>
      </c>
      <c r="AL397" s="51">
        <v>148.81</v>
      </c>
      <c r="AM397" s="51" t="s">
        <v>1574</v>
      </c>
      <c r="AN397" s="51">
        <v>0.40444999999999998</v>
      </c>
      <c r="AO397" s="51">
        <v>0.47223999999999999</v>
      </c>
      <c r="AP397" s="51">
        <v>2.3347000000000002</v>
      </c>
      <c r="AQ397" s="51">
        <v>1.0480763479999999</v>
      </c>
      <c r="AR397" s="51">
        <v>2.7261000000000002</v>
      </c>
      <c r="AS397" s="51">
        <v>10.775</v>
      </c>
      <c r="AT397" s="51">
        <v>0.64767133502999996</v>
      </c>
      <c r="AU397" s="51">
        <v>0.46048497334999999</v>
      </c>
      <c r="AV397" s="51">
        <v>0.22839999999999999</v>
      </c>
      <c r="AW397" s="51">
        <v>3565.88</v>
      </c>
      <c r="AX397" s="51">
        <v>330.28</v>
      </c>
      <c r="AY397" s="51">
        <v>205.11</v>
      </c>
      <c r="AZ397" s="51" t="s">
        <v>1574</v>
      </c>
      <c r="BA397" s="51">
        <v>610.79690627471996</v>
      </c>
      <c r="BB397" s="51">
        <v>346.98</v>
      </c>
      <c r="BC397" s="51">
        <v>1.4085000000000001</v>
      </c>
      <c r="BD397" s="51" t="s">
        <v>1574</v>
      </c>
      <c r="BE397" s="51">
        <v>0.879</v>
      </c>
      <c r="BF397" s="51">
        <v>31.5</v>
      </c>
      <c r="BG397" s="51">
        <v>143.5</v>
      </c>
      <c r="BH397" s="51">
        <v>120.5</v>
      </c>
      <c r="BI397" s="51">
        <v>120</v>
      </c>
      <c r="BJ397" s="51">
        <v>110</v>
      </c>
      <c r="BK397" s="51">
        <v>1275.55</v>
      </c>
      <c r="BL397" s="51">
        <v>33.1</v>
      </c>
      <c r="BM397" s="51">
        <v>2299.1999999999998</v>
      </c>
      <c r="BN397" s="51">
        <v>548.1</v>
      </c>
      <c r="BO397" s="51">
        <v>6618.8</v>
      </c>
      <c r="BP397" s="51">
        <v>7192.8</v>
      </c>
      <c r="BQ397" s="51">
        <v>1385.2</v>
      </c>
      <c r="BR397" s="51">
        <v>340.81</v>
      </c>
      <c r="BS397" s="51">
        <v>369.13</v>
      </c>
      <c r="BT397" s="51">
        <v>4.0639000000000003</v>
      </c>
      <c r="BU397" s="41"/>
      <c r="BV397" s="41"/>
      <c r="BW397" s="41"/>
      <c r="BX397" s="41"/>
      <c r="BY397" s="41"/>
      <c r="BZ397" s="41"/>
      <c r="CA397" s="41"/>
      <c r="CB397" s="41"/>
      <c r="CC397" s="41"/>
      <c r="CD397" s="41"/>
      <c r="CE397" s="41"/>
      <c r="CF397" s="41"/>
      <c r="CG397" s="41"/>
      <c r="CH397" s="41"/>
      <c r="CI397" s="41"/>
      <c r="CJ397" s="41"/>
      <c r="CK397" s="41"/>
    </row>
    <row r="398" spans="1:89">
      <c r="A398" s="48" t="s">
        <v>527</v>
      </c>
      <c r="B398" s="49">
        <v>20.16666666667</v>
      </c>
      <c r="C398" s="49">
        <v>20.25</v>
      </c>
      <c r="D398" s="49">
        <v>18.5</v>
      </c>
      <c r="E398" s="49">
        <v>21.75</v>
      </c>
      <c r="F398" s="49">
        <v>39.5</v>
      </c>
      <c r="G398" s="49">
        <v>27</v>
      </c>
      <c r="H398" s="49">
        <v>1.75</v>
      </c>
      <c r="I398" s="49">
        <v>2.5499999999999998</v>
      </c>
      <c r="J398" s="49">
        <v>3.60554</v>
      </c>
      <c r="K398" s="49">
        <v>35.816264335370001</v>
      </c>
      <c r="L398" s="49">
        <v>1.1021000000000001</v>
      </c>
      <c r="M398" s="49">
        <v>1.2830999999999999</v>
      </c>
      <c r="N398" s="49">
        <v>0.86399999999999999</v>
      </c>
      <c r="O398" s="49">
        <v>1.6996</v>
      </c>
      <c r="P398" s="49">
        <v>1.307172</v>
      </c>
      <c r="Q398" s="49">
        <v>2.0293549999999998</v>
      </c>
      <c r="R398" s="49">
        <v>1.762384</v>
      </c>
      <c r="S398" s="49">
        <v>528</v>
      </c>
      <c r="T398" s="49">
        <v>830</v>
      </c>
      <c r="U398" s="49">
        <v>485</v>
      </c>
      <c r="V398" s="49">
        <v>644</v>
      </c>
      <c r="W398" s="49">
        <v>382</v>
      </c>
      <c r="X398" s="49" t="s">
        <v>1574</v>
      </c>
      <c r="Y398" s="49">
        <v>237</v>
      </c>
      <c r="Z398" s="49">
        <v>429</v>
      </c>
      <c r="AA398" s="49">
        <v>205</v>
      </c>
      <c r="AB398" s="49" t="s">
        <v>1574</v>
      </c>
      <c r="AC398" s="49" t="s">
        <v>1574</v>
      </c>
      <c r="AD398" s="49">
        <v>77.37</v>
      </c>
      <c r="AE398" s="49">
        <v>102.75</v>
      </c>
      <c r="AF398" s="49">
        <v>95.86</v>
      </c>
      <c r="AG398" s="49">
        <v>278.5</v>
      </c>
      <c r="AH398" s="49">
        <v>236</v>
      </c>
      <c r="AI398" s="49">
        <v>173</v>
      </c>
      <c r="AJ398" s="49" t="s">
        <v>1574</v>
      </c>
      <c r="AK398" s="49">
        <v>129.93</v>
      </c>
      <c r="AL398" s="49">
        <v>136.32</v>
      </c>
      <c r="AM398" s="49" t="s">
        <v>1574</v>
      </c>
      <c r="AN398" s="49">
        <v>0.43253999999999998</v>
      </c>
      <c r="AO398" s="49">
        <v>0.55215999999999998</v>
      </c>
      <c r="AP398" s="49">
        <v>2.3456999999999999</v>
      </c>
      <c r="AQ398" s="49">
        <v>1.06483146</v>
      </c>
      <c r="AR398" s="49">
        <v>2.8344</v>
      </c>
      <c r="AS398" s="49">
        <v>11.000999999999999</v>
      </c>
      <c r="AT398" s="49">
        <v>0.67070742912000003</v>
      </c>
      <c r="AU398" s="49">
        <v>0.46492686080000001</v>
      </c>
      <c r="AV398" s="49">
        <v>0.2273</v>
      </c>
      <c r="AW398" s="49">
        <v>3512.73</v>
      </c>
      <c r="AX398" s="49">
        <v>347.83</v>
      </c>
      <c r="AY398" s="49">
        <v>201.08</v>
      </c>
      <c r="AZ398" s="49" t="s">
        <v>1574</v>
      </c>
      <c r="BA398" s="49">
        <v>609.62494857875004</v>
      </c>
      <c r="BB398" s="49">
        <v>350.18</v>
      </c>
      <c r="BC398" s="49">
        <v>1.4394</v>
      </c>
      <c r="BD398" s="49" t="s">
        <v>1574</v>
      </c>
      <c r="BE398" s="49">
        <v>0.88449999999999995</v>
      </c>
      <c r="BF398" s="49">
        <v>31.5</v>
      </c>
      <c r="BG398" s="49">
        <v>146</v>
      </c>
      <c r="BH398" s="49">
        <v>120.5</v>
      </c>
      <c r="BI398" s="49">
        <v>120</v>
      </c>
      <c r="BJ398" s="49">
        <v>110</v>
      </c>
      <c r="BK398" s="49">
        <v>1313.05</v>
      </c>
      <c r="BL398" s="49">
        <v>33.1</v>
      </c>
      <c r="BM398" s="49">
        <v>2520.3200000000002</v>
      </c>
      <c r="BN398" s="49">
        <v>626.1</v>
      </c>
      <c r="BO398" s="49">
        <v>6989.4</v>
      </c>
      <c r="BP398" s="49">
        <v>7497.9</v>
      </c>
      <c r="BQ398" s="49">
        <v>1320.2</v>
      </c>
      <c r="BR398" s="49">
        <v>352.72</v>
      </c>
      <c r="BS398" s="49">
        <v>383.12</v>
      </c>
      <c r="BT398" s="49">
        <v>3.9674999999999998</v>
      </c>
      <c r="BU398" s="41"/>
      <c r="BV398" s="41"/>
      <c r="BW398" s="41"/>
      <c r="BX398" s="41"/>
      <c r="BY398" s="41"/>
      <c r="BZ398" s="41"/>
      <c r="CA398" s="41"/>
      <c r="CB398" s="41"/>
      <c r="CC398" s="41"/>
      <c r="CD398" s="41"/>
      <c r="CE398" s="41"/>
      <c r="CF398" s="41"/>
      <c r="CG398" s="41"/>
      <c r="CH398" s="41"/>
      <c r="CI398" s="41"/>
      <c r="CJ398" s="41"/>
      <c r="CK398" s="41"/>
    </row>
    <row r="399" spans="1:89">
      <c r="A399" s="41" t="s">
        <v>528</v>
      </c>
      <c r="B399" s="51">
        <v>19.61666666667</v>
      </c>
      <c r="C399" s="51">
        <v>19.75</v>
      </c>
      <c r="D399" s="51">
        <v>17.8</v>
      </c>
      <c r="E399" s="51">
        <v>21.3</v>
      </c>
      <c r="F399" s="51">
        <v>39.5</v>
      </c>
      <c r="G399" s="51">
        <v>27</v>
      </c>
      <c r="H399" s="51">
        <v>1.97</v>
      </c>
      <c r="I399" s="51">
        <v>2.56</v>
      </c>
      <c r="J399" s="51">
        <v>3.6497280000000001</v>
      </c>
      <c r="K399" s="51">
        <v>38.565283222280001</v>
      </c>
      <c r="L399" s="51">
        <v>1.1761999999999999</v>
      </c>
      <c r="M399" s="51">
        <v>1.1669</v>
      </c>
      <c r="N399" s="51">
        <v>0.85650000000000004</v>
      </c>
      <c r="O399" s="51">
        <v>1.7295</v>
      </c>
      <c r="P399" s="51">
        <v>1.5878300000000001</v>
      </c>
      <c r="Q399" s="51">
        <v>1.8049440000000001</v>
      </c>
      <c r="R399" s="51">
        <v>1.795825</v>
      </c>
      <c r="S399" s="51">
        <v>494</v>
      </c>
      <c r="T399" s="51">
        <v>796.25</v>
      </c>
      <c r="U399" s="51">
        <v>493</v>
      </c>
      <c r="V399" s="51">
        <v>600</v>
      </c>
      <c r="W399" s="51">
        <v>382</v>
      </c>
      <c r="X399" s="51" t="s">
        <v>1574</v>
      </c>
      <c r="Y399" s="51">
        <v>229</v>
      </c>
      <c r="Z399" s="51">
        <v>409</v>
      </c>
      <c r="AA399" s="51">
        <v>205</v>
      </c>
      <c r="AB399" s="51" t="s">
        <v>1574</v>
      </c>
      <c r="AC399" s="51" t="s">
        <v>1574</v>
      </c>
      <c r="AD399" s="51">
        <v>77.040000000000006</v>
      </c>
      <c r="AE399" s="51">
        <v>96.96</v>
      </c>
      <c r="AF399" s="51">
        <v>93.7</v>
      </c>
      <c r="AG399" s="51">
        <v>270.8</v>
      </c>
      <c r="AH399" s="51">
        <v>231</v>
      </c>
      <c r="AI399" s="51">
        <v>182</v>
      </c>
      <c r="AJ399" s="51" t="s">
        <v>1574</v>
      </c>
      <c r="AK399" s="51">
        <v>118.8</v>
      </c>
      <c r="AL399" s="51">
        <v>128.24</v>
      </c>
      <c r="AM399" s="51" t="s">
        <v>1574</v>
      </c>
      <c r="AN399" s="51">
        <v>0.62070999999999998</v>
      </c>
      <c r="AO399" s="51">
        <v>0.57260999999999995</v>
      </c>
      <c r="AP399" s="51">
        <v>2.4453999999999998</v>
      </c>
      <c r="AQ399" s="51">
        <v>1.0769568700000001</v>
      </c>
      <c r="AR399" s="51">
        <v>2.9062999999999999</v>
      </c>
      <c r="AS399" s="51">
        <v>11.74</v>
      </c>
      <c r="AT399" s="51">
        <v>0.67770813035999999</v>
      </c>
      <c r="AU399" s="51">
        <v>0.46925866190999999</v>
      </c>
      <c r="AV399" s="51">
        <v>0.2162</v>
      </c>
      <c r="AW399" s="51">
        <v>3426.62</v>
      </c>
      <c r="AX399" s="51">
        <v>355.34</v>
      </c>
      <c r="AY399" s="51">
        <v>197.25</v>
      </c>
      <c r="AZ399" s="51" t="s">
        <v>1574</v>
      </c>
      <c r="BA399" s="51">
        <v>607.43576959568998</v>
      </c>
      <c r="BB399" s="51">
        <v>348.35</v>
      </c>
      <c r="BC399" s="51">
        <v>1.3172999999999999</v>
      </c>
      <c r="BD399" s="51" t="s">
        <v>1574</v>
      </c>
      <c r="BE399" s="51">
        <v>0.87849999999999995</v>
      </c>
      <c r="BF399" s="51">
        <v>31.5</v>
      </c>
      <c r="BG399" s="51">
        <v>131.4</v>
      </c>
      <c r="BH399" s="51">
        <v>120.75</v>
      </c>
      <c r="BI399" s="51">
        <v>120</v>
      </c>
      <c r="BJ399" s="51">
        <v>113.6</v>
      </c>
      <c r="BK399" s="51">
        <v>1305.05</v>
      </c>
      <c r="BL399" s="51">
        <v>33.1</v>
      </c>
      <c r="BM399" s="51">
        <v>2521.64</v>
      </c>
      <c r="BN399" s="51">
        <v>654.5</v>
      </c>
      <c r="BO399" s="51">
        <v>6780.4</v>
      </c>
      <c r="BP399" s="51">
        <v>7268</v>
      </c>
      <c r="BQ399" s="51">
        <v>1360.4</v>
      </c>
      <c r="BR399" s="51">
        <v>343.06</v>
      </c>
      <c r="BS399" s="51">
        <v>359.55</v>
      </c>
      <c r="BT399" s="51">
        <v>3.8123</v>
      </c>
      <c r="BU399" s="41"/>
      <c r="BV399" s="41"/>
      <c r="BW399" s="41"/>
      <c r="BX399" s="41"/>
      <c r="BY399" s="41"/>
      <c r="BZ399" s="41"/>
      <c r="CA399" s="41"/>
      <c r="CB399" s="41"/>
      <c r="CC399" s="41"/>
      <c r="CD399" s="41"/>
      <c r="CE399" s="41"/>
      <c r="CF399" s="41"/>
      <c r="CG399" s="41"/>
      <c r="CH399" s="41"/>
      <c r="CI399" s="41"/>
      <c r="CJ399" s="41"/>
      <c r="CK399" s="41"/>
    </row>
    <row r="400" spans="1:89">
      <c r="A400" s="48" t="s">
        <v>529</v>
      </c>
      <c r="B400" s="49">
        <v>20.149999999999999</v>
      </c>
      <c r="C400" s="49">
        <v>20.25</v>
      </c>
      <c r="D400" s="49">
        <v>18.3</v>
      </c>
      <c r="E400" s="49">
        <v>21.9</v>
      </c>
      <c r="F400" s="49">
        <v>39.5</v>
      </c>
      <c r="G400" s="49">
        <v>27</v>
      </c>
      <c r="H400" s="49">
        <v>2.33</v>
      </c>
      <c r="I400" s="49">
        <v>2.57</v>
      </c>
      <c r="J400" s="49">
        <v>3.6339510000000002</v>
      </c>
      <c r="K400" s="49">
        <v>42.973748392449998</v>
      </c>
      <c r="L400" s="49">
        <v>1.125</v>
      </c>
      <c r="M400" s="49">
        <v>1.1735</v>
      </c>
      <c r="N400" s="49">
        <v>0.90339999999999998</v>
      </c>
      <c r="O400" s="49">
        <v>1.7042999999999999</v>
      </c>
      <c r="P400" s="49">
        <v>1.541156</v>
      </c>
      <c r="Q400" s="49">
        <v>1.6527620000000001</v>
      </c>
      <c r="R400" s="49">
        <v>1.918955</v>
      </c>
      <c r="S400" s="49">
        <v>501</v>
      </c>
      <c r="T400" s="49">
        <v>758.75</v>
      </c>
      <c r="U400" s="49">
        <v>481</v>
      </c>
      <c r="V400" s="49">
        <v>562</v>
      </c>
      <c r="W400" s="49">
        <v>391</v>
      </c>
      <c r="X400" s="49" t="s">
        <v>1574</v>
      </c>
      <c r="Y400" s="49">
        <v>227</v>
      </c>
      <c r="Z400" s="49">
        <v>421</v>
      </c>
      <c r="AA400" s="49">
        <v>209</v>
      </c>
      <c r="AB400" s="49" t="s">
        <v>1574</v>
      </c>
      <c r="AC400" s="49" t="s">
        <v>1574</v>
      </c>
      <c r="AD400" s="49">
        <v>83.57</v>
      </c>
      <c r="AE400" s="49">
        <v>98.05</v>
      </c>
      <c r="AF400" s="49">
        <v>93.75</v>
      </c>
      <c r="AG400" s="49">
        <v>257</v>
      </c>
      <c r="AH400" s="49">
        <v>222</v>
      </c>
      <c r="AI400" s="49">
        <v>176</v>
      </c>
      <c r="AJ400" s="49" t="s">
        <v>1574</v>
      </c>
      <c r="AK400" s="49">
        <v>131.47</v>
      </c>
      <c r="AL400" s="49">
        <v>138.88999999999999</v>
      </c>
      <c r="AM400" s="49" t="s">
        <v>1574</v>
      </c>
      <c r="AN400" s="49">
        <v>0.51170000000000004</v>
      </c>
      <c r="AO400" s="49">
        <v>0.56025999999999998</v>
      </c>
      <c r="AP400" s="49">
        <v>2.4403000000000001</v>
      </c>
      <c r="AQ400" s="49">
        <v>1.077838718</v>
      </c>
      <c r="AR400" s="49">
        <v>2.7978000000000001</v>
      </c>
      <c r="AS400" s="49">
        <v>12.208</v>
      </c>
      <c r="AT400" s="49">
        <v>0.65429695215000006</v>
      </c>
      <c r="AU400" s="49">
        <v>0.47511661807</v>
      </c>
      <c r="AV400" s="49">
        <v>0.20530000000000001</v>
      </c>
      <c r="AW400" s="49">
        <v>3368.12</v>
      </c>
      <c r="AX400" s="49">
        <v>355.41</v>
      </c>
      <c r="AY400" s="49">
        <v>205.53</v>
      </c>
      <c r="AZ400" s="49" t="s">
        <v>1574</v>
      </c>
      <c r="BA400" s="49">
        <v>606.17401917551001</v>
      </c>
      <c r="BB400" s="49">
        <v>358.54</v>
      </c>
      <c r="BC400" s="49">
        <v>1.2488999999999999</v>
      </c>
      <c r="BD400" s="49" t="s">
        <v>1574</v>
      </c>
      <c r="BE400" s="49">
        <v>0.87409999999999999</v>
      </c>
      <c r="BF400" s="49">
        <v>31.5</v>
      </c>
      <c r="BG400" s="49">
        <v>131.25</v>
      </c>
      <c r="BH400" s="49">
        <v>121.5</v>
      </c>
      <c r="BI400" s="49">
        <v>120</v>
      </c>
      <c r="BJ400" s="49">
        <v>114.5</v>
      </c>
      <c r="BK400" s="49">
        <v>1269.6099999999999</v>
      </c>
      <c r="BL400" s="49">
        <v>33.1</v>
      </c>
      <c r="BM400" s="49">
        <v>2414.06</v>
      </c>
      <c r="BN400" s="49">
        <v>621.1</v>
      </c>
      <c r="BO400" s="49">
        <v>6643.2</v>
      </c>
      <c r="BP400" s="49">
        <v>6917.5</v>
      </c>
      <c r="BQ400" s="49">
        <v>1366.9</v>
      </c>
      <c r="BR400" s="49">
        <v>345.43</v>
      </c>
      <c r="BS400" s="49">
        <v>362.14</v>
      </c>
      <c r="BT400" s="49">
        <v>3.7719</v>
      </c>
      <c r="BU400" s="41"/>
      <c r="BV400" s="41"/>
      <c r="BW400" s="41"/>
      <c r="BX400" s="41"/>
      <c r="BY400" s="41"/>
      <c r="BZ400" s="41"/>
      <c r="CA400" s="41"/>
      <c r="CB400" s="41"/>
      <c r="CC400" s="41"/>
      <c r="CD400" s="41"/>
      <c r="CE400" s="41"/>
      <c r="CF400" s="41"/>
      <c r="CG400" s="41"/>
      <c r="CH400" s="41"/>
      <c r="CI400" s="41"/>
      <c r="CJ400" s="41"/>
      <c r="CK400" s="41"/>
    </row>
    <row r="401" spans="1:89">
      <c r="A401" s="41" t="s">
        <v>530</v>
      </c>
      <c r="B401" s="51">
        <v>20.08333333333</v>
      </c>
      <c r="C401" s="51">
        <v>20.3</v>
      </c>
      <c r="D401" s="51">
        <v>18.25</v>
      </c>
      <c r="E401" s="51">
        <v>21.7</v>
      </c>
      <c r="F401" s="51">
        <v>37.25</v>
      </c>
      <c r="G401" s="51">
        <v>27</v>
      </c>
      <c r="H401" s="51">
        <v>2.42</v>
      </c>
      <c r="I401" s="51">
        <v>2.63</v>
      </c>
      <c r="J401" s="51">
        <v>3.7041529999999998</v>
      </c>
      <c r="K401" s="51">
        <v>44.399451743500002</v>
      </c>
      <c r="L401" s="51">
        <v>1.071</v>
      </c>
      <c r="M401" s="51">
        <v>1.3573999999999999</v>
      </c>
      <c r="N401" s="51">
        <v>0.97419999999999995</v>
      </c>
      <c r="O401" s="51">
        <v>1.7186999999999999</v>
      </c>
      <c r="P401" s="51">
        <v>1.600387</v>
      </c>
      <c r="Q401" s="51">
        <v>1.662418</v>
      </c>
      <c r="R401" s="51">
        <v>1.8934139999999999</v>
      </c>
      <c r="S401" s="51">
        <v>493</v>
      </c>
      <c r="T401" s="51">
        <v>799</v>
      </c>
      <c r="U401" s="51">
        <v>469</v>
      </c>
      <c r="V401" s="51">
        <v>565</v>
      </c>
      <c r="W401" s="51">
        <v>396</v>
      </c>
      <c r="X401" s="51" t="s">
        <v>1574</v>
      </c>
      <c r="Y401" s="51">
        <v>221</v>
      </c>
      <c r="Z401" s="51">
        <v>418</v>
      </c>
      <c r="AA401" s="51">
        <v>207</v>
      </c>
      <c r="AB401" s="51" t="s">
        <v>1574</v>
      </c>
      <c r="AC401" s="51" t="s">
        <v>1574</v>
      </c>
      <c r="AD401" s="51">
        <v>82.21</v>
      </c>
      <c r="AE401" s="51">
        <v>95.11</v>
      </c>
      <c r="AF401" s="51">
        <v>91.01</v>
      </c>
      <c r="AG401" s="51">
        <v>250</v>
      </c>
      <c r="AH401" s="51">
        <v>214</v>
      </c>
      <c r="AI401" s="51">
        <v>172</v>
      </c>
      <c r="AJ401" s="51" t="s">
        <v>1574</v>
      </c>
      <c r="AK401" s="51">
        <v>137.41999999999999</v>
      </c>
      <c r="AL401" s="51">
        <v>140.72999999999999</v>
      </c>
      <c r="AM401" s="51" t="s">
        <v>1574</v>
      </c>
      <c r="AN401" s="51">
        <v>0.3896</v>
      </c>
      <c r="AO401" s="51">
        <v>0.49775999999999998</v>
      </c>
      <c r="AP401" s="51">
        <v>2.5003000000000002</v>
      </c>
      <c r="AQ401" s="51">
        <v>1.05601298</v>
      </c>
      <c r="AR401" s="51">
        <v>2.5158</v>
      </c>
      <c r="AS401" s="51">
        <v>11.728999999999999</v>
      </c>
      <c r="AT401" s="51">
        <v>0.59695331790999995</v>
      </c>
      <c r="AU401" s="51">
        <v>0.47679919835000001</v>
      </c>
      <c r="AV401" s="51">
        <v>0.192</v>
      </c>
      <c r="AW401" s="51">
        <v>3244.52</v>
      </c>
      <c r="AX401" s="51">
        <v>347.86</v>
      </c>
      <c r="AY401" s="51">
        <v>220.2</v>
      </c>
      <c r="AZ401" s="51" t="s">
        <v>1574</v>
      </c>
      <c r="BA401" s="51">
        <v>600.25147755912997</v>
      </c>
      <c r="BB401" s="51">
        <v>421.35</v>
      </c>
      <c r="BC401" s="51">
        <v>1.1739999999999999</v>
      </c>
      <c r="BD401" s="51" t="s">
        <v>1574</v>
      </c>
      <c r="BE401" s="51">
        <v>0.89</v>
      </c>
      <c r="BF401" s="51">
        <v>31.5</v>
      </c>
      <c r="BG401" s="51">
        <v>130.125</v>
      </c>
      <c r="BH401" s="51">
        <v>121.5</v>
      </c>
      <c r="BI401" s="51">
        <v>116.875</v>
      </c>
      <c r="BJ401" s="51">
        <v>114.5</v>
      </c>
      <c r="BK401" s="51">
        <v>1173.78</v>
      </c>
      <c r="BL401" s="51">
        <v>33.1</v>
      </c>
      <c r="BM401" s="51">
        <v>2249.15</v>
      </c>
      <c r="BN401" s="51">
        <v>537.4</v>
      </c>
      <c r="BO401" s="51">
        <v>6016.7</v>
      </c>
      <c r="BP401" s="51">
        <v>6305.3</v>
      </c>
      <c r="BQ401" s="51">
        <v>1163.5999999999999</v>
      </c>
      <c r="BR401" s="51">
        <v>344.38</v>
      </c>
      <c r="BS401" s="51">
        <v>358.07</v>
      </c>
      <c r="BT401" s="51">
        <v>3.7524999999999999</v>
      </c>
      <c r="BU401" s="41"/>
      <c r="BV401" s="41"/>
      <c r="BW401" s="41"/>
      <c r="BX401" s="41"/>
      <c r="BY401" s="41"/>
      <c r="BZ401" s="41"/>
      <c r="CA401" s="41"/>
      <c r="CB401" s="41"/>
      <c r="CC401" s="41"/>
      <c r="CD401" s="41"/>
      <c r="CE401" s="41"/>
      <c r="CF401" s="41"/>
      <c r="CG401" s="41"/>
      <c r="CH401" s="41"/>
      <c r="CI401" s="41"/>
      <c r="CJ401" s="41"/>
      <c r="CK401" s="41"/>
    </row>
    <row r="402" spans="1:89">
      <c r="A402" s="48" t="s">
        <v>531</v>
      </c>
      <c r="B402" s="49">
        <v>18.88333333333</v>
      </c>
      <c r="C402" s="49">
        <v>19.2</v>
      </c>
      <c r="D402" s="49">
        <v>17.100000000000001</v>
      </c>
      <c r="E402" s="49">
        <v>20.350000000000001</v>
      </c>
      <c r="F402" s="49">
        <v>35</v>
      </c>
      <c r="G402" s="49">
        <v>27</v>
      </c>
      <c r="H402" s="49">
        <v>2.2400000000000002</v>
      </c>
      <c r="I402" s="49">
        <v>2.64</v>
      </c>
      <c r="J402" s="49">
        <v>3.6527029999999998</v>
      </c>
      <c r="K402" s="49">
        <v>42.226327261260003</v>
      </c>
      <c r="L402" s="49">
        <v>1.0763</v>
      </c>
      <c r="M402" s="49">
        <v>1.4839</v>
      </c>
      <c r="N402" s="49">
        <v>1.0508999999999999</v>
      </c>
      <c r="O402" s="49">
        <v>1.6616</v>
      </c>
      <c r="P402" s="49">
        <v>1.536286</v>
      </c>
      <c r="Q402" s="49">
        <v>1.6307450000000001</v>
      </c>
      <c r="R402" s="49">
        <v>1.8177749999999999</v>
      </c>
      <c r="S402" s="49">
        <v>496</v>
      </c>
      <c r="T402" s="49">
        <v>816.25</v>
      </c>
      <c r="U402" s="49">
        <v>455</v>
      </c>
      <c r="V402" s="49">
        <v>575</v>
      </c>
      <c r="W402" s="49">
        <v>413</v>
      </c>
      <c r="X402" s="49" t="s">
        <v>1574</v>
      </c>
      <c r="Y402" s="49">
        <v>229</v>
      </c>
      <c r="Z402" s="49">
        <v>437</v>
      </c>
      <c r="AA402" s="49">
        <v>206</v>
      </c>
      <c r="AB402" s="49" t="s">
        <v>1574</v>
      </c>
      <c r="AC402" s="49" t="s">
        <v>1574</v>
      </c>
      <c r="AD402" s="49">
        <v>82.12</v>
      </c>
      <c r="AE402" s="49">
        <v>94.48</v>
      </c>
      <c r="AF402" s="49">
        <v>92.37</v>
      </c>
      <c r="AG402" s="49">
        <v>252.6</v>
      </c>
      <c r="AH402" s="49">
        <v>216</v>
      </c>
      <c r="AI402" s="49">
        <v>172</v>
      </c>
      <c r="AJ402" s="49" t="s">
        <v>1574</v>
      </c>
      <c r="AK402" s="49">
        <v>145.84</v>
      </c>
      <c r="AL402" s="49">
        <v>147.71</v>
      </c>
      <c r="AM402" s="49" t="s">
        <v>1574</v>
      </c>
      <c r="AN402" s="49">
        <v>0.38002999999999998</v>
      </c>
      <c r="AO402" s="49">
        <v>0.41869000000000001</v>
      </c>
      <c r="AP402" s="49">
        <v>2.5406</v>
      </c>
      <c r="AQ402" s="49">
        <v>1.0866571979999999</v>
      </c>
      <c r="AR402" s="49">
        <v>2.5535000000000001</v>
      </c>
      <c r="AS402" s="49">
        <v>11.051</v>
      </c>
      <c r="AT402" s="49">
        <v>0.56998203632</v>
      </c>
      <c r="AU402" s="49">
        <v>0.47137099103000002</v>
      </c>
      <c r="AV402" s="49">
        <v>0.18890000000000001</v>
      </c>
      <c r="AW402" s="49">
        <v>3097.86</v>
      </c>
      <c r="AX402" s="49">
        <v>325.92</v>
      </c>
      <c r="AY402" s="49">
        <v>220.08</v>
      </c>
      <c r="AZ402" s="49" t="s">
        <v>1574</v>
      </c>
      <c r="BA402" s="49">
        <v>623.68820122856005</v>
      </c>
      <c r="BB402" s="49">
        <v>419.79</v>
      </c>
      <c r="BC402" s="49">
        <v>1.1616</v>
      </c>
      <c r="BD402" s="49" t="s">
        <v>1574</v>
      </c>
      <c r="BE402" s="49">
        <v>0.88490000000000002</v>
      </c>
      <c r="BF402" s="49">
        <v>31.5</v>
      </c>
      <c r="BG402" s="49">
        <v>126.4</v>
      </c>
      <c r="BH402" s="49">
        <v>121.5</v>
      </c>
      <c r="BI402" s="49">
        <v>107.5</v>
      </c>
      <c r="BJ402" s="49">
        <v>114.5</v>
      </c>
      <c r="BK402" s="49">
        <v>1159.05</v>
      </c>
      <c r="BL402" s="49">
        <v>33.1</v>
      </c>
      <c r="BM402" s="49">
        <v>2158.3200000000002</v>
      </c>
      <c r="BN402" s="49">
        <v>460.4</v>
      </c>
      <c r="BO402" s="49">
        <v>5723</v>
      </c>
      <c r="BP402" s="49">
        <v>5564.88</v>
      </c>
      <c r="BQ402" s="49">
        <v>1046.9000000000001</v>
      </c>
      <c r="BR402" s="49">
        <v>335.02</v>
      </c>
      <c r="BS402" s="49">
        <v>356.11</v>
      </c>
      <c r="BT402" s="49">
        <v>3.7709999999999999</v>
      </c>
      <c r="BU402" s="41"/>
      <c r="BV402" s="41"/>
      <c r="BW402" s="41"/>
      <c r="BX402" s="41"/>
      <c r="BY402" s="41"/>
      <c r="BZ402" s="41"/>
      <c r="CA402" s="41"/>
      <c r="CB402" s="41"/>
      <c r="CC402" s="41"/>
      <c r="CD402" s="41"/>
      <c r="CE402" s="41"/>
      <c r="CF402" s="41"/>
      <c r="CG402" s="41"/>
      <c r="CH402" s="41"/>
      <c r="CI402" s="41"/>
      <c r="CJ402" s="41"/>
      <c r="CK402" s="41"/>
    </row>
    <row r="403" spans="1:89">
      <c r="A403" s="41" t="s">
        <v>532</v>
      </c>
      <c r="B403" s="51">
        <v>17.933333333330001</v>
      </c>
      <c r="C403" s="51">
        <v>18.149999999999999</v>
      </c>
      <c r="D403" s="51">
        <v>16.25</v>
      </c>
      <c r="E403" s="51">
        <v>19.399999999999999</v>
      </c>
      <c r="F403" s="51">
        <v>35</v>
      </c>
      <c r="G403" s="51">
        <v>27</v>
      </c>
      <c r="H403" s="51">
        <v>2.16</v>
      </c>
      <c r="I403" s="51">
        <v>2.64</v>
      </c>
      <c r="J403" s="51">
        <v>3.7094209999999999</v>
      </c>
      <c r="K403" s="51">
        <v>41.293283533100002</v>
      </c>
      <c r="L403" s="51">
        <v>1.0344</v>
      </c>
      <c r="M403" s="51">
        <v>1.7016</v>
      </c>
      <c r="N403" s="51">
        <v>1.1202000000000001</v>
      </c>
      <c r="O403" s="51">
        <v>1.6645000000000001</v>
      </c>
      <c r="P403" s="51">
        <v>1.402072</v>
      </c>
      <c r="Q403" s="51">
        <v>1.728475</v>
      </c>
      <c r="R403" s="51">
        <v>1.8628659999999999</v>
      </c>
      <c r="S403" s="51">
        <v>461</v>
      </c>
      <c r="T403" s="51">
        <v>828.33</v>
      </c>
      <c r="U403" s="51">
        <v>438</v>
      </c>
      <c r="V403" s="51">
        <v>622</v>
      </c>
      <c r="W403" s="51">
        <v>401</v>
      </c>
      <c r="X403" s="51" t="s">
        <v>1574</v>
      </c>
      <c r="Y403" s="51">
        <v>235</v>
      </c>
      <c r="Z403" s="51">
        <v>436</v>
      </c>
      <c r="AA403" s="51">
        <v>215</v>
      </c>
      <c r="AB403" s="51" t="s">
        <v>1574</v>
      </c>
      <c r="AC403" s="51" t="s">
        <v>1574</v>
      </c>
      <c r="AD403" s="51">
        <v>79.55</v>
      </c>
      <c r="AE403" s="51">
        <v>94.61</v>
      </c>
      <c r="AF403" s="51">
        <v>95.75</v>
      </c>
      <c r="AG403" s="51">
        <v>256.25</v>
      </c>
      <c r="AH403" s="51">
        <v>218</v>
      </c>
      <c r="AI403" s="51">
        <v>162</v>
      </c>
      <c r="AJ403" s="51" t="s">
        <v>1574</v>
      </c>
      <c r="AK403" s="51">
        <v>146.27000000000001</v>
      </c>
      <c r="AL403" s="51">
        <v>147.71</v>
      </c>
      <c r="AM403" s="51" t="s">
        <v>1574</v>
      </c>
      <c r="AN403" s="51">
        <v>0.31085000000000002</v>
      </c>
      <c r="AO403" s="51">
        <v>0.42438999999999999</v>
      </c>
      <c r="AP403" s="51">
        <v>2.5417000000000001</v>
      </c>
      <c r="AQ403" s="51">
        <v>1.08577535</v>
      </c>
      <c r="AR403" s="51">
        <v>2.7168999999999999</v>
      </c>
      <c r="AS403" s="51">
        <v>10.913</v>
      </c>
      <c r="AT403" s="51">
        <v>0.61196534503</v>
      </c>
      <c r="AU403" s="51">
        <v>0.46471383656999998</v>
      </c>
      <c r="AV403" s="51">
        <v>0.1797</v>
      </c>
      <c r="AW403" s="51">
        <v>2950.87</v>
      </c>
      <c r="AX403" s="51">
        <v>324.49</v>
      </c>
      <c r="AY403" s="51">
        <v>245.58</v>
      </c>
      <c r="AZ403" s="51" t="s">
        <v>1574</v>
      </c>
      <c r="BA403" s="51">
        <v>604.35276632615</v>
      </c>
      <c r="BB403" s="51">
        <v>443.44</v>
      </c>
      <c r="BC403" s="51">
        <v>1.1951000000000001</v>
      </c>
      <c r="BD403" s="51" t="s">
        <v>1574</v>
      </c>
      <c r="BE403" s="51">
        <v>0.88360000000000005</v>
      </c>
      <c r="BF403" s="51">
        <v>31.5</v>
      </c>
      <c r="BG403" s="51">
        <v>124.625</v>
      </c>
      <c r="BH403" s="51">
        <v>121.88</v>
      </c>
      <c r="BI403" s="51">
        <v>103.75</v>
      </c>
      <c r="BJ403" s="51">
        <v>114</v>
      </c>
      <c r="BK403" s="51">
        <v>1207.0999999999999</v>
      </c>
      <c r="BL403" s="51">
        <v>33.1</v>
      </c>
      <c r="BM403" s="51">
        <v>2206.8200000000002</v>
      </c>
      <c r="BN403" s="51">
        <v>454.6</v>
      </c>
      <c r="BO403" s="51">
        <v>5756.2</v>
      </c>
      <c r="BP403" s="51">
        <v>5724.07</v>
      </c>
      <c r="BQ403" s="51">
        <v>1057.9000000000001</v>
      </c>
      <c r="BR403" s="51">
        <v>334.82</v>
      </c>
      <c r="BS403" s="51">
        <v>361.97</v>
      </c>
      <c r="BT403" s="51">
        <v>3.7252000000000001</v>
      </c>
      <c r="BU403" s="41"/>
      <c r="BV403" s="41"/>
      <c r="BW403" s="41"/>
      <c r="BX403" s="41"/>
      <c r="BY403" s="41"/>
      <c r="BZ403" s="41"/>
      <c r="CA403" s="41"/>
      <c r="CB403" s="41"/>
      <c r="CC403" s="41"/>
      <c r="CD403" s="41"/>
      <c r="CE403" s="41"/>
      <c r="CF403" s="41"/>
      <c r="CG403" s="41"/>
      <c r="CH403" s="41"/>
      <c r="CI403" s="41"/>
      <c r="CJ403" s="41"/>
      <c r="CK403" s="41"/>
    </row>
    <row r="404" spans="1:89">
      <c r="A404" s="48" t="s">
        <v>533</v>
      </c>
      <c r="B404" s="49">
        <v>17.216666666670001</v>
      </c>
      <c r="C404" s="49">
        <v>17.399999999999999</v>
      </c>
      <c r="D404" s="49">
        <v>15.2</v>
      </c>
      <c r="E404" s="49">
        <v>19.05</v>
      </c>
      <c r="F404" s="49">
        <v>35</v>
      </c>
      <c r="G404" s="49">
        <v>27</v>
      </c>
      <c r="H404" s="49">
        <v>1.88</v>
      </c>
      <c r="I404" s="49">
        <v>2.76</v>
      </c>
      <c r="J404" s="49">
        <v>3.6421939999999999</v>
      </c>
      <c r="K404" s="49">
        <v>38.418069892109997</v>
      </c>
      <c r="L404" s="49">
        <v>1.0355000000000001</v>
      </c>
      <c r="M404" s="49">
        <v>1.5298</v>
      </c>
      <c r="N404" s="49">
        <v>1.034</v>
      </c>
      <c r="O404" s="49">
        <v>1.7614000000000001</v>
      </c>
      <c r="P404" s="49">
        <v>1.5036449999999999</v>
      </c>
      <c r="Q404" s="49">
        <v>1.870611</v>
      </c>
      <c r="R404" s="49">
        <v>1.91</v>
      </c>
      <c r="S404" s="49">
        <v>444</v>
      </c>
      <c r="T404" s="49">
        <v>846.25</v>
      </c>
      <c r="U404" s="49">
        <v>418</v>
      </c>
      <c r="V404" s="49">
        <v>621</v>
      </c>
      <c r="W404" s="49">
        <v>410</v>
      </c>
      <c r="X404" s="49" t="s">
        <v>1574</v>
      </c>
      <c r="Y404" s="49">
        <v>239</v>
      </c>
      <c r="Z404" s="49">
        <v>444</v>
      </c>
      <c r="AA404" s="49">
        <v>216</v>
      </c>
      <c r="AB404" s="49" t="s">
        <v>1574</v>
      </c>
      <c r="AC404" s="49" t="s">
        <v>1574</v>
      </c>
      <c r="AD404" s="49">
        <v>75.08</v>
      </c>
      <c r="AE404" s="49">
        <v>94.21</v>
      </c>
      <c r="AF404" s="49">
        <v>95.18</v>
      </c>
      <c r="AG404" s="49">
        <v>259.75</v>
      </c>
      <c r="AH404" s="49">
        <v>219</v>
      </c>
      <c r="AI404" s="49">
        <v>166</v>
      </c>
      <c r="AJ404" s="49" t="s">
        <v>1574</v>
      </c>
      <c r="AK404" s="49">
        <v>156.91999999999999</v>
      </c>
      <c r="AL404" s="49">
        <v>155.79</v>
      </c>
      <c r="AM404" s="49" t="s">
        <v>1574</v>
      </c>
      <c r="AN404" s="49">
        <v>0.52492000000000005</v>
      </c>
      <c r="AO404" s="49">
        <v>0.42605999999999999</v>
      </c>
      <c r="AP404" s="49">
        <v>2.3544999999999998</v>
      </c>
      <c r="AQ404" s="49">
        <v>1.1128921759999999</v>
      </c>
      <c r="AR404" s="49">
        <v>2.6892999999999998</v>
      </c>
      <c r="AS404" s="49">
        <v>11.243600000000001</v>
      </c>
      <c r="AT404" s="49">
        <v>0.63219999999999998</v>
      </c>
      <c r="AU404" s="49">
        <v>0.45760000000000001</v>
      </c>
      <c r="AV404" s="49">
        <v>0.1817</v>
      </c>
      <c r="AW404" s="49">
        <v>2861.41</v>
      </c>
      <c r="AX404" s="49">
        <v>319.27</v>
      </c>
      <c r="AY404" s="49">
        <v>249.97</v>
      </c>
      <c r="AZ404" s="49" t="s">
        <v>1574</v>
      </c>
      <c r="BA404" s="49">
        <v>605.35572255287002</v>
      </c>
      <c r="BB404" s="49">
        <v>511.96</v>
      </c>
      <c r="BC404" s="49">
        <v>1.2609999999999999</v>
      </c>
      <c r="BD404" s="49" t="s">
        <v>1574</v>
      </c>
      <c r="BE404" s="49">
        <v>0.90590000000000004</v>
      </c>
      <c r="BF404" s="49">
        <v>31.5</v>
      </c>
      <c r="BG404" s="49">
        <v>123.75</v>
      </c>
      <c r="BH404" s="49">
        <v>121.88</v>
      </c>
      <c r="BI404" s="49">
        <v>102.5</v>
      </c>
      <c r="BJ404" s="49">
        <v>113</v>
      </c>
      <c r="BK404" s="49">
        <v>1206.76</v>
      </c>
      <c r="BL404" s="49">
        <v>29.09</v>
      </c>
      <c r="BM404" s="49">
        <v>2256.85</v>
      </c>
      <c r="BN404" s="49">
        <v>436.5</v>
      </c>
      <c r="BO404" s="49">
        <v>5900.9</v>
      </c>
      <c r="BP404" s="49">
        <v>5930.93</v>
      </c>
      <c r="BQ404" s="49">
        <v>1061.0999999999999</v>
      </c>
      <c r="BR404" s="49">
        <v>329.01</v>
      </c>
      <c r="BS404" s="49">
        <v>359.14</v>
      </c>
      <c r="BT404" s="49">
        <v>3.6835</v>
      </c>
      <c r="BU404" s="41"/>
      <c r="BV404" s="41"/>
      <c r="BW404" s="41"/>
      <c r="BX404" s="41"/>
      <c r="BY404" s="41"/>
      <c r="BZ404" s="41"/>
      <c r="CA404" s="41"/>
      <c r="CB404" s="41"/>
      <c r="CC404" s="41"/>
      <c r="CD404" s="41"/>
      <c r="CE404" s="41"/>
      <c r="CF404" s="41"/>
      <c r="CG404" s="41"/>
      <c r="CH404" s="41"/>
      <c r="CI404" s="41"/>
      <c r="CJ404" s="41"/>
      <c r="CK404" s="41"/>
    </row>
    <row r="405" spans="1:89">
      <c r="A405" s="41" t="s">
        <v>534</v>
      </c>
      <c r="B405" s="51">
        <v>18.16666666667</v>
      </c>
      <c r="C405" s="51">
        <v>18.45</v>
      </c>
      <c r="D405" s="51">
        <v>16</v>
      </c>
      <c r="E405" s="51">
        <v>20.05</v>
      </c>
      <c r="F405" s="51">
        <v>31</v>
      </c>
      <c r="G405" s="51">
        <v>27</v>
      </c>
      <c r="H405" s="51">
        <v>1.69</v>
      </c>
      <c r="I405" s="51">
        <v>2.74</v>
      </c>
      <c r="J405" s="51">
        <v>3.6114980000000001</v>
      </c>
      <c r="K405" s="51">
        <v>35.99495322077</v>
      </c>
      <c r="L405" s="51">
        <v>0.99760000000000004</v>
      </c>
      <c r="M405" s="51">
        <v>1.4914000000000001</v>
      </c>
      <c r="N405" s="51">
        <v>1.0361</v>
      </c>
      <c r="O405" s="51">
        <v>1.8460000000000001</v>
      </c>
      <c r="P405" s="51">
        <v>1.590484</v>
      </c>
      <c r="Q405" s="51">
        <v>2.167557</v>
      </c>
      <c r="R405" s="51">
        <v>1.78</v>
      </c>
      <c r="S405" s="51">
        <v>439</v>
      </c>
      <c r="T405" s="51">
        <v>852.5</v>
      </c>
      <c r="U405" s="51">
        <v>391</v>
      </c>
      <c r="V405" s="51">
        <v>611</v>
      </c>
      <c r="W405" s="51">
        <v>425</v>
      </c>
      <c r="X405" s="51" t="s">
        <v>1574</v>
      </c>
      <c r="Y405" s="51">
        <v>236</v>
      </c>
      <c r="Z405" s="51">
        <v>433</v>
      </c>
      <c r="AA405" s="51">
        <v>201</v>
      </c>
      <c r="AB405" s="51" t="s">
        <v>1574</v>
      </c>
      <c r="AC405" s="51" t="s">
        <v>1574</v>
      </c>
      <c r="AD405" s="51">
        <v>74.83</v>
      </c>
      <c r="AE405" s="51">
        <v>94.38</v>
      </c>
      <c r="AF405" s="51">
        <v>94.47</v>
      </c>
      <c r="AG405" s="51">
        <v>254.25</v>
      </c>
      <c r="AH405" s="51">
        <v>216</v>
      </c>
      <c r="AI405" s="51">
        <v>172</v>
      </c>
      <c r="AJ405" s="51" t="s">
        <v>1574</v>
      </c>
      <c r="AK405" s="51">
        <v>149.43</v>
      </c>
      <c r="AL405" s="51">
        <v>148.81</v>
      </c>
      <c r="AM405" s="51" t="s">
        <v>1574</v>
      </c>
      <c r="AN405" s="51">
        <v>0.58560999999999996</v>
      </c>
      <c r="AO405" s="51">
        <v>0.41241</v>
      </c>
      <c r="AP405" s="51">
        <v>2.3875999999999999</v>
      </c>
      <c r="AQ405" s="51">
        <v>1.1254585100000001</v>
      </c>
      <c r="AR405" s="51">
        <v>2.5867</v>
      </c>
      <c r="AS405" s="51">
        <v>11.5467</v>
      </c>
      <c r="AT405" s="51">
        <v>0.61170000000000002</v>
      </c>
      <c r="AU405" s="51">
        <v>0.46410000000000001</v>
      </c>
      <c r="AV405" s="51">
        <v>0.18870000000000001</v>
      </c>
      <c r="AW405" s="51">
        <v>2847.42</v>
      </c>
      <c r="AX405" s="51">
        <v>314.52999999999997</v>
      </c>
      <c r="AY405" s="51">
        <v>286.7</v>
      </c>
      <c r="AZ405" s="51" t="s">
        <v>1574</v>
      </c>
      <c r="BA405" s="51">
        <v>618.11458860302002</v>
      </c>
      <c r="BB405" s="51">
        <v>611.77</v>
      </c>
      <c r="BC405" s="51">
        <v>1.3324</v>
      </c>
      <c r="BD405" s="51" t="s">
        <v>1574</v>
      </c>
      <c r="BE405" s="51">
        <v>0.89439999999999997</v>
      </c>
      <c r="BF405" s="51">
        <v>31.5</v>
      </c>
      <c r="BG405" s="51">
        <v>120.25</v>
      </c>
      <c r="BH405" s="51">
        <v>121.5</v>
      </c>
      <c r="BI405" s="51">
        <v>102.5</v>
      </c>
      <c r="BJ405" s="51">
        <v>112.5</v>
      </c>
      <c r="BK405" s="51">
        <v>1201.8499999999999</v>
      </c>
      <c r="BL405" s="51">
        <v>29.09</v>
      </c>
      <c r="BM405" s="51">
        <v>2212.6</v>
      </c>
      <c r="BN405" s="51">
        <v>414</v>
      </c>
      <c r="BO405" s="51">
        <v>5790.9</v>
      </c>
      <c r="BP405" s="51">
        <v>6038.68</v>
      </c>
      <c r="BQ405" s="51">
        <v>1072.0999999999999</v>
      </c>
      <c r="BR405" s="51">
        <v>329.31</v>
      </c>
      <c r="BS405" s="51">
        <v>359.02</v>
      </c>
      <c r="BT405" s="51">
        <v>3.6555</v>
      </c>
      <c r="BU405" s="41"/>
      <c r="BV405" s="41"/>
      <c r="BW405" s="41"/>
      <c r="BX405" s="41"/>
      <c r="BY405" s="41"/>
      <c r="BZ405" s="41"/>
      <c r="CA405" s="41"/>
      <c r="CB405" s="41"/>
      <c r="CC405" s="41"/>
      <c r="CD405" s="41"/>
      <c r="CE405" s="41"/>
      <c r="CF405" s="41"/>
      <c r="CG405" s="41"/>
      <c r="CH405" s="41"/>
      <c r="CI405" s="41"/>
      <c r="CJ405" s="41"/>
      <c r="CK405" s="41"/>
    </row>
    <row r="406" spans="1:89">
      <c r="A406" s="48" t="s">
        <v>535</v>
      </c>
      <c r="B406" s="49">
        <v>18.466666666670001</v>
      </c>
      <c r="C406" s="49">
        <v>18.75</v>
      </c>
      <c r="D406" s="49">
        <v>16.3</v>
      </c>
      <c r="E406" s="49">
        <v>20.350000000000001</v>
      </c>
      <c r="F406" s="49">
        <v>31</v>
      </c>
      <c r="G406" s="49">
        <v>27</v>
      </c>
      <c r="H406" s="49">
        <v>2.1800000000000002</v>
      </c>
      <c r="I406" s="49">
        <v>2.75</v>
      </c>
      <c r="J406" s="49">
        <v>3.5899909999999999</v>
      </c>
      <c r="K406" s="49">
        <v>41.978174836389996</v>
      </c>
      <c r="L406" s="49">
        <v>0.97509999999999997</v>
      </c>
      <c r="M406" s="49">
        <v>1.4026000000000001</v>
      </c>
      <c r="N406" s="49">
        <v>1.0119</v>
      </c>
      <c r="O406" s="49">
        <v>1.6074999999999999</v>
      </c>
      <c r="P406" s="49">
        <v>1.5457540000000001</v>
      </c>
      <c r="Q406" s="49">
        <v>1.6967369999999999</v>
      </c>
      <c r="R406" s="49">
        <v>1.58</v>
      </c>
      <c r="S406" s="49">
        <v>427</v>
      </c>
      <c r="T406" s="49">
        <v>860</v>
      </c>
      <c r="U406" s="49">
        <v>377</v>
      </c>
      <c r="V406" s="49">
        <v>602</v>
      </c>
      <c r="W406" s="49">
        <v>408</v>
      </c>
      <c r="X406" s="49" t="s">
        <v>1574</v>
      </c>
      <c r="Y406" s="49">
        <v>238</v>
      </c>
      <c r="Z406" s="49">
        <v>438</v>
      </c>
      <c r="AA406" s="49">
        <v>193</v>
      </c>
      <c r="AB406" s="49" t="s">
        <v>1574</v>
      </c>
      <c r="AC406" s="49" t="s">
        <v>1574</v>
      </c>
      <c r="AD406" s="49">
        <v>75.16</v>
      </c>
      <c r="AE406" s="49">
        <v>97.14</v>
      </c>
      <c r="AF406" s="49">
        <v>95.4</v>
      </c>
      <c r="AG406" s="49">
        <v>230.2</v>
      </c>
      <c r="AH406" s="49">
        <v>197</v>
      </c>
      <c r="AI406" s="49">
        <v>161</v>
      </c>
      <c r="AJ406" s="49" t="s">
        <v>1574</v>
      </c>
      <c r="AK406" s="49">
        <v>145.46</v>
      </c>
      <c r="AL406" s="49">
        <v>148.08000000000001</v>
      </c>
      <c r="AM406" s="49" t="s">
        <v>1574</v>
      </c>
      <c r="AN406" s="49">
        <v>0.65900000000000003</v>
      </c>
      <c r="AO406" s="49">
        <v>0.36446000000000001</v>
      </c>
      <c r="AP406" s="49">
        <v>2.5263</v>
      </c>
      <c r="AQ406" s="49">
        <v>1.1503707160000001</v>
      </c>
      <c r="AR406" s="49">
        <v>2.7039</v>
      </c>
      <c r="AS406" s="49">
        <v>11.6569</v>
      </c>
      <c r="AT406" s="49">
        <v>0.62939999999999996</v>
      </c>
      <c r="AU406" s="49">
        <v>0.47549999999999998</v>
      </c>
      <c r="AV406" s="49">
        <v>0.2341</v>
      </c>
      <c r="AW406" s="49">
        <v>2805.46</v>
      </c>
      <c r="AX406" s="49">
        <v>312.77999999999997</v>
      </c>
      <c r="AY406" s="49">
        <v>345.34</v>
      </c>
      <c r="AZ406" s="49" t="s">
        <v>1574</v>
      </c>
      <c r="BA406" s="49">
        <v>616.81467272359998</v>
      </c>
      <c r="BB406" s="49">
        <v>700.44</v>
      </c>
      <c r="BC406" s="49">
        <v>1.3574999999999999</v>
      </c>
      <c r="BD406" s="49" t="s">
        <v>1574</v>
      </c>
      <c r="BE406" s="49">
        <v>0.84809999999999997</v>
      </c>
      <c r="BF406" s="49">
        <v>31.5</v>
      </c>
      <c r="BG406" s="49">
        <v>115.1</v>
      </c>
      <c r="BH406" s="49">
        <v>111</v>
      </c>
      <c r="BI406" s="49">
        <v>86.2</v>
      </c>
      <c r="BJ406" s="49">
        <v>112.5</v>
      </c>
      <c r="BK406" s="49">
        <v>1151.33</v>
      </c>
      <c r="BL406" s="49">
        <v>29.09</v>
      </c>
      <c r="BM406" s="49">
        <v>2152.59</v>
      </c>
      <c r="BN406" s="49">
        <v>405.9</v>
      </c>
      <c r="BO406" s="49">
        <v>5659.4</v>
      </c>
      <c r="BP406" s="49">
        <v>5971.3</v>
      </c>
      <c r="BQ406" s="49">
        <v>996.1</v>
      </c>
      <c r="BR406" s="49">
        <v>330.08</v>
      </c>
      <c r="BS406" s="49">
        <v>350.46</v>
      </c>
      <c r="BT406" s="49">
        <v>3.6469999999999998</v>
      </c>
      <c r="BU406" s="41"/>
      <c r="BV406" s="41"/>
      <c r="BW406" s="41"/>
      <c r="BX406" s="41"/>
      <c r="BY406" s="41"/>
      <c r="BZ406" s="41"/>
      <c r="CA406" s="41"/>
      <c r="CB406" s="41"/>
      <c r="CC406" s="41"/>
      <c r="CD406" s="41"/>
      <c r="CE406" s="41"/>
      <c r="CF406" s="41"/>
      <c r="CG406" s="41"/>
      <c r="CH406" s="41"/>
      <c r="CI406" s="41"/>
      <c r="CJ406" s="41"/>
      <c r="CK406" s="41"/>
    </row>
    <row r="407" spans="1:89">
      <c r="A407" s="41" t="s">
        <v>536</v>
      </c>
      <c r="B407" s="51">
        <v>18.433333333330001</v>
      </c>
      <c r="C407" s="51">
        <v>18.649999999999999</v>
      </c>
      <c r="D407" s="51">
        <v>16.350000000000001</v>
      </c>
      <c r="E407" s="51">
        <v>20.3</v>
      </c>
      <c r="F407" s="51">
        <v>31</v>
      </c>
      <c r="G407" s="51">
        <v>27</v>
      </c>
      <c r="H407" s="51">
        <v>2.35</v>
      </c>
      <c r="I407" s="51">
        <v>2.68</v>
      </c>
      <c r="J407" s="51">
        <v>3.6245319999999999</v>
      </c>
      <c r="K407" s="51">
        <v>43.733171497969998</v>
      </c>
      <c r="L407" s="51">
        <v>1.0117</v>
      </c>
      <c r="M407" s="51">
        <v>1.2758</v>
      </c>
      <c r="N407" s="51">
        <v>0.98939999999999995</v>
      </c>
      <c r="O407" s="51">
        <v>1.5736000000000001</v>
      </c>
      <c r="P407" s="51">
        <v>1.491452</v>
      </c>
      <c r="Q407" s="51">
        <v>1.769253</v>
      </c>
      <c r="R407" s="51">
        <v>1.46</v>
      </c>
      <c r="S407" s="51">
        <v>402</v>
      </c>
      <c r="T407" s="51">
        <v>870</v>
      </c>
      <c r="U407" s="51">
        <v>361</v>
      </c>
      <c r="V407" s="51">
        <v>623</v>
      </c>
      <c r="W407" s="51">
        <v>392</v>
      </c>
      <c r="X407" s="51" t="s">
        <v>1574</v>
      </c>
      <c r="Y407" s="51">
        <v>244</v>
      </c>
      <c r="Z407" s="51">
        <v>448</v>
      </c>
      <c r="AA407" s="51">
        <v>194</v>
      </c>
      <c r="AB407" s="51" t="s">
        <v>1574</v>
      </c>
      <c r="AC407" s="51" t="s">
        <v>1574</v>
      </c>
      <c r="AD407" s="51">
        <v>77.45</v>
      </c>
      <c r="AE407" s="51">
        <v>100.55</v>
      </c>
      <c r="AF407" s="51">
        <v>95.06</v>
      </c>
      <c r="AG407" s="51">
        <v>206.25</v>
      </c>
      <c r="AH407" s="51">
        <v>182</v>
      </c>
      <c r="AI407" s="51">
        <v>153</v>
      </c>
      <c r="AJ407" s="51" t="s">
        <v>1574</v>
      </c>
      <c r="AK407" s="51">
        <v>156.34</v>
      </c>
      <c r="AL407" s="51">
        <v>141.83000000000001</v>
      </c>
      <c r="AM407" s="51" t="s">
        <v>1574</v>
      </c>
      <c r="AN407" s="51">
        <v>0.56369999999999998</v>
      </c>
      <c r="AO407" s="51">
        <v>0.38062000000000001</v>
      </c>
      <c r="AP407" s="51">
        <v>2.5922000000000001</v>
      </c>
      <c r="AQ407" s="51">
        <v>1.179692162</v>
      </c>
      <c r="AR407" s="51">
        <v>2.9127999999999998</v>
      </c>
      <c r="AS407" s="51">
        <v>11.64</v>
      </c>
      <c r="AT407" s="51">
        <v>0.66369999999999996</v>
      </c>
      <c r="AU407" s="51">
        <v>0.4783</v>
      </c>
      <c r="AV407" s="51">
        <v>0.24579999999999999</v>
      </c>
      <c r="AW407" s="51">
        <v>2774.73</v>
      </c>
      <c r="AX407" s="51">
        <v>324.24</v>
      </c>
      <c r="AY407" s="51">
        <v>463.41</v>
      </c>
      <c r="AZ407" s="51" t="s">
        <v>1574</v>
      </c>
      <c r="BA407" s="51">
        <v>645.42230389324004</v>
      </c>
      <c r="BB407" s="51">
        <v>738.14</v>
      </c>
      <c r="BC407" s="51">
        <v>1.3459000000000001</v>
      </c>
      <c r="BD407" s="51" t="s">
        <v>1574</v>
      </c>
      <c r="BE407" s="51">
        <v>0.82430000000000003</v>
      </c>
      <c r="BF407" s="51">
        <v>31.5</v>
      </c>
      <c r="BG407" s="51">
        <v>112.75</v>
      </c>
      <c r="BH407" s="51">
        <v>109.6</v>
      </c>
      <c r="BI407" s="51">
        <v>81</v>
      </c>
      <c r="BJ407" s="51">
        <v>112.5</v>
      </c>
      <c r="BK407" s="51">
        <v>1108.53</v>
      </c>
      <c r="BL407" s="51">
        <v>29.09</v>
      </c>
      <c r="BM407" s="51">
        <v>1949.88</v>
      </c>
      <c r="BN407" s="51">
        <v>420.7</v>
      </c>
      <c r="BO407" s="51">
        <v>5590.9</v>
      </c>
      <c r="BP407" s="51">
        <v>5972.33</v>
      </c>
      <c r="BQ407" s="51">
        <v>1004.6</v>
      </c>
      <c r="BR407" s="51">
        <v>342.15</v>
      </c>
      <c r="BS407" s="51">
        <v>368.01</v>
      </c>
      <c r="BT407" s="51">
        <v>3.9516</v>
      </c>
      <c r="BU407" s="41"/>
      <c r="BV407" s="41"/>
      <c r="BW407" s="41"/>
      <c r="BX407" s="41"/>
      <c r="BY407" s="41"/>
      <c r="BZ407" s="41"/>
      <c r="CA407" s="41"/>
      <c r="CB407" s="41"/>
      <c r="CC407" s="41"/>
      <c r="CD407" s="41"/>
      <c r="CE407" s="41"/>
      <c r="CF407" s="41"/>
      <c r="CG407" s="41"/>
      <c r="CH407" s="41"/>
      <c r="CI407" s="41"/>
      <c r="CJ407" s="41"/>
      <c r="CK407" s="41"/>
    </row>
    <row r="408" spans="1:89">
      <c r="A408" s="48" t="s">
        <v>537</v>
      </c>
      <c r="B408" s="49">
        <v>18.16666666667</v>
      </c>
      <c r="C408" s="49">
        <v>18.5</v>
      </c>
      <c r="D408" s="49">
        <v>16</v>
      </c>
      <c r="E408" s="49">
        <v>20</v>
      </c>
      <c r="F408" s="49">
        <v>31</v>
      </c>
      <c r="G408" s="49">
        <v>27</v>
      </c>
      <c r="H408" s="49">
        <v>2.17</v>
      </c>
      <c r="I408" s="49">
        <v>2.68</v>
      </c>
      <c r="J408" s="49">
        <v>3.566033</v>
      </c>
      <c r="K408" s="49">
        <v>41.507731635989998</v>
      </c>
      <c r="L408" s="49">
        <v>0.99580000000000002</v>
      </c>
      <c r="M408" s="49">
        <v>1.3708</v>
      </c>
      <c r="N408" s="49">
        <v>1.0179</v>
      </c>
      <c r="O408" s="49">
        <v>1.5314000000000001</v>
      </c>
      <c r="P408" s="49">
        <v>1.320317</v>
      </c>
      <c r="Q408" s="49">
        <v>1.853755</v>
      </c>
      <c r="R408" s="49">
        <v>1.42</v>
      </c>
      <c r="S408" s="49">
        <v>418</v>
      </c>
      <c r="T408" s="49">
        <v>1051.25</v>
      </c>
      <c r="U408" s="49">
        <v>348</v>
      </c>
      <c r="V408" s="49">
        <v>685</v>
      </c>
      <c r="W408" s="49">
        <v>371</v>
      </c>
      <c r="X408" s="49" t="s">
        <v>1574</v>
      </c>
      <c r="Y408" s="49">
        <v>246</v>
      </c>
      <c r="Z408" s="49">
        <v>448</v>
      </c>
      <c r="AA408" s="49">
        <v>195</v>
      </c>
      <c r="AB408" s="49" t="s">
        <v>1574</v>
      </c>
      <c r="AC408" s="49" t="s">
        <v>1574</v>
      </c>
      <c r="AD408" s="49">
        <v>77.459999999999994</v>
      </c>
      <c r="AE408" s="49">
        <v>98.59</v>
      </c>
      <c r="AF408" s="49">
        <v>93.15</v>
      </c>
      <c r="AG408" s="49">
        <v>184.75</v>
      </c>
      <c r="AH408" s="49">
        <v>165</v>
      </c>
      <c r="AI408" s="49">
        <v>145</v>
      </c>
      <c r="AJ408" s="49" t="s">
        <v>1574</v>
      </c>
      <c r="AK408" s="49">
        <v>140.09</v>
      </c>
      <c r="AL408" s="49">
        <v>136.69</v>
      </c>
      <c r="AM408" s="49" t="s">
        <v>1574</v>
      </c>
      <c r="AN408" s="49">
        <v>0.46160000000000001</v>
      </c>
      <c r="AO408" s="49">
        <v>0.39362000000000003</v>
      </c>
      <c r="AP408" s="49">
        <v>2.6762000000000001</v>
      </c>
      <c r="AQ408" s="49">
        <v>1.2418624460000001</v>
      </c>
      <c r="AR408" s="49">
        <v>3.0316999999999998</v>
      </c>
      <c r="AS408" s="49">
        <v>11.6029</v>
      </c>
      <c r="AT408" s="49">
        <v>0.65590000000000004</v>
      </c>
      <c r="AU408" s="49">
        <v>0.47089999999999999</v>
      </c>
      <c r="AV408" s="49">
        <v>0.26079999999999998</v>
      </c>
      <c r="AW408" s="49">
        <v>2694.58</v>
      </c>
      <c r="AX408" s="49">
        <v>323.33</v>
      </c>
      <c r="AY408" s="49">
        <v>520.80999999999995</v>
      </c>
      <c r="AZ408" s="49" t="s">
        <v>1574</v>
      </c>
      <c r="BA408" s="49">
        <v>776.64435838019006</v>
      </c>
      <c r="BB408" s="49">
        <v>751.81</v>
      </c>
      <c r="BC408" s="49">
        <v>1.3271999999999999</v>
      </c>
      <c r="BD408" s="49" t="s">
        <v>1574</v>
      </c>
      <c r="BE408" s="49">
        <v>0.81440000000000001</v>
      </c>
      <c r="BF408" s="49">
        <v>31.5</v>
      </c>
      <c r="BG408" s="49">
        <v>115.1</v>
      </c>
      <c r="BH408" s="49">
        <v>107.5</v>
      </c>
      <c r="BI408" s="49">
        <v>81</v>
      </c>
      <c r="BJ408" s="49">
        <v>112.5</v>
      </c>
      <c r="BK408" s="49">
        <v>1123.96</v>
      </c>
      <c r="BL408" s="49">
        <v>29.09</v>
      </c>
      <c r="BM408" s="49">
        <v>1794.5</v>
      </c>
      <c r="BN408" s="49">
        <v>407.2</v>
      </c>
      <c r="BO408" s="49">
        <v>5503.5</v>
      </c>
      <c r="BP408" s="49">
        <v>5762.55</v>
      </c>
      <c r="BQ408" s="49">
        <v>980.4</v>
      </c>
      <c r="BR408" s="49">
        <v>367.18</v>
      </c>
      <c r="BS408" s="49">
        <v>385.16</v>
      </c>
      <c r="BT408" s="49">
        <v>4.4640000000000004</v>
      </c>
      <c r="BU408" s="41"/>
      <c r="BV408" s="41"/>
      <c r="BW408" s="41"/>
      <c r="BX408" s="41"/>
      <c r="BY408" s="41"/>
      <c r="BZ408" s="41"/>
      <c r="CA408" s="41"/>
      <c r="CB408" s="41"/>
      <c r="CC408" s="41"/>
      <c r="CD408" s="41"/>
      <c r="CE408" s="41"/>
      <c r="CF408" s="41"/>
      <c r="CG408" s="41"/>
      <c r="CH408" s="41"/>
      <c r="CI408" s="41"/>
      <c r="CJ408" s="41"/>
      <c r="CK408" s="41"/>
    </row>
    <row r="409" spans="1:89">
      <c r="A409" s="41" t="s">
        <v>538</v>
      </c>
      <c r="B409" s="51">
        <v>17.466666666670001</v>
      </c>
      <c r="C409" s="51">
        <v>17.649999999999999</v>
      </c>
      <c r="D409" s="51">
        <v>15.6</v>
      </c>
      <c r="E409" s="51">
        <v>19.149999999999999</v>
      </c>
      <c r="F409" s="51">
        <v>31</v>
      </c>
      <c r="G409" s="51">
        <v>27</v>
      </c>
      <c r="H409" s="51">
        <v>1.97</v>
      </c>
      <c r="I409" s="51">
        <v>2.68</v>
      </c>
      <c r="J409" s="51">
        <v>3.5350790000000001</v>
      </c>
      <c r="K409" s="51">
        <v>39.058085889220003</v>
      </c>
      <c r="L409" s="51">
        <v>0.98719999999999997</v>
      </c>
      <c r="M409" s="51">
        <v>1.3778999999999999</v>
      </c>
      <c r="N409" s="51">
        <v>1.0266999999999999</v>
      </c>
      <c r="O409" s="51">
        <v>1.6032</v>
      </c>
      <c r="P409" s="51">
        <v>1.348695</v>
      </c>
      <c r="Q409" s="51">
        <v>1.9810209999999999</v>
      </c>
      <c r="R409" s="51">
        <v>1.48</v>
      </c>
      <c r="S409" s="51">
        <v>436</v>
      </c>
      <c r="T409" s="51">
        <v>1026.25</v>
      </c>
      <c r="U409" s="51">
        <v>348</v>
      </c>
      <c r="V409" s="51">
        <v>712</v>
      </c>
      <c r="W409" s="51">
        <v>356</v>
      </c>
      <c r="X409" s="51" t="s">
        <v>1574</v>
      </c>
      <c r="Y409" s="51">
        <v>245</v>
      </c>
      <c r="Z409" s="51">
        <v>461</v>
      </c>
      <c r="AA409" s="51">
        <v>197</v>
      </c>
      <c r="AB409" s="51" t="s">
        <v>1574</v>
      </c>
      <c r="AC409" s="51" t="s">
        <v>1574</v>
      </c>
      <c r="AD409" s="51">
        <v>75.3</v>
      </c>
      <c r="AE409" s="51">
        <v>92.76</v>
      </c>
      <c r="AF409" s="51">
        <v>88.52</v>
      </c>
      <c r="AG409" s="51">
        <v>189</v>
      </c>
      <c r="AH409" s="51">
        <v>169</v>
      </c>
      <c r="AI409" s="51">
        <v>147</v>
      </c>
      <c r="AJ409" s="51" t="s">
        <v>1574</v>
      </c>
      <c r="AK409" s="51">
        <v>112.25</v>
      </c>
      <c r="AL409" s="51">
        <v>121.99</v>
      </c>
      <c r="AM409" s="51" t="s">
        <v>1574</v>
      </c>
      <c r="AN409" s="51">
        <v>0.38956000000000002</v>
      </c>
      <c r="AO409" s="51">
        <v>0.37670999999999999</v>
      </c>
      <c r="AP409" s="51">
        <v>2.7425000000000002</v>
      </c>
      <c r="AQ409" s="51">
        <v>1.2330439660000001</v>
      </c>
      <c r="AR409" s="51">
        <v>3.0165999999999999</v>
      </c>
      <c r="AS409" s="51">
        <v>11.243600000000001</v>
      </c>
      <c r="AT409" s="51">
        <v>0.63719999999999999</v>
      </c>
      <c r="AU409" s="51">
        <v>0.47170000000000001</v>
      </c>
      <c r="AV409" s="51">
        <v>0.2291</v>
      </c>
      <c r="AW409" s="51">
        <v>2665.12</v>
      </c>
      <c r="AX409" s="51">
        <v>314.45</v>
      </c>
      <c r="AY409" s="51">
        <v>493.82</v>
      </c>
      <c r="AZ409" s="51" t="s">
        <v>1574</v>
      </c>
      <c r="BA409" s="51">
        <v>803.58189683099999</v>
      </c>
      <c r="BB409" s="51">
        <v>745.3</v>
      </c>
      <c r="BC409" s="51">
        <v>1.2992999999999999</v>
      </c>
      <c r="BD409" s="51" t="s">
        <v>1574</v>
      </c>
      <c r="BE409" s="51">
        <v>0.81089999999999995</v>
      </c>
      <c r="BF409" s="51">
        <v>31.5</v>
      </c>
      <c r="BG409" s="51">
        <v>113.875</v>
      </c>
      <c r="BH409" s="51">
        <v>105.5</v>
      </c>
      <c r="BI409" s="51">
        <v>81</v>
      </c>
      <c r="BJ409" s="51">
        <v>112.5</v>
      </c>
      <c r="BK409" s="51">
        <v>1165.3</v>
      </c>
      <c r="BL409" s="51">
        <v>29.09</v>
      </c>
      <c r="BM409" s="51">
        <v>1853.42</v>
      </c>
      <c r="BN409" s="51">
        <v>393.9</v>
      </c>
      <c r="BO409" s="51">
        <v>5112.7</v>
      </c>
      <c r="BP409" s="51">
        <v>5532.43</v>
      </c>
      <c r="BQ409" s="51">
        <v>926</v>
      </c>
      <c r="BR409" s="51">
        <v>371.89</v>
      </c>
      <c r="BS409" s="51">
        <v>383.02</v>
      </c>
      <c r="BT409" s="51">
        <v>4.3757000000000001</v>
      </c>
      <c r="BU409" s="41"/>
      <c r="BV409" s="41"/>
      <c r="BW409" s="41"/>
      <c r="BX409" s="41"/>
      <c r="BY409" s="41"/>
      <c r="BZ409" s="41"/>
      <c r="CA409" s="41"/>
      <c r="CB409" s="41"/>
      <c r="CC409" s="41"/>
      <c r="CD409" s="41"/>
      <c r="CE409" s="41"/>
      <c r="CF409" s="41"/>
      <c r="CG409" s="41"/>
      <c r="CH409" s="41"/>
      <c r="CI409" s="41"/>
      <c r="CJ409" s="41"/>
      <c r="CK409" s="41"/>
    </row>
    <row r="410" spans="1:89">
      <c r="A410" s="48" t="s">
        <v>539</v>
      </c>
      <c r="B410" s="49">
        <v>16.316666666669999</v>
      </c>
      <c r="C410" s="49">
        <v>16.8</v>
      </c>
      <c r="D410" s="49">
        <v>14.25</v>
      </c>
      <c r="E410" s="49">
        <v>17.899999999999999</v>
      </c>
      <c r="F410" s="49">
        <v>31</v>
      </c>
      <c r="G410" s="49">
        <v>27</v>
      </c>
      <c r="H410" s="49">
        <v>2.06</v>
      </c>
      <c r="I410" s="49">
        <v>2.66</v>
      </c>
      <c r="J410" s="49">
        <v>3.539228</v>
      </c>
      <c r="K410" s="49">
        <v>40.058720932040004</v>
      </c>
      <c r="L410" s="49">
        <v>1.0604</v>
      </c>
      <c r="M410" s="49">
        <v>1.5831</v>
      </c>
      <c r="N410" s="49">
        <v>1.0891</v>
      </c>
      <c r="O410" s="49">
        <v>1.6238999999999999</v>
      </c>
      <c r="P410" s="49">
        <v>1.3278589999999999</v>
      </c>
      <c r="Q410" s="49">
        <v>1.9537770000000001</v>
      </c>
      <c r="R410" s="49">
        <v>1.59</v>
      </c>
      <c r="S410" s="49">
        <v>460</v>
      </c>
      <c r="T410" s="49">
        <v>1000</v>
      </c>
      <c r="U410" s="49">
        <v>356</v>
      </c>
      <c r="V410" s="49">
        <v>773</v>
      </c>
      <c r="W410" s="49">
        <v>362</v>
      </c>
      <c r="X410" s="49" t="s">
        <v>1574</v>
      </c>
      <c r="Y410" s="49">
        <v>287</v>
      </c>
      <c r="Z410" s="49">
        <v>505</v>
      </c>
      <c r="AA410" s="49">
        <v>227</v>
      </c>
      <c r="AB410" s="49" t="s">
        <v>1574</v>
      </c>
      <c r="AC410" s="49" t="s">
        <v>1574</v>
      </c>
      <c r="AD410" s="49">
        <v>74.03</v>
      </c>
      <c r="AE410" s="49">
        <v>101.25</v>
      </c>
      <c r="AF410" s="49">
        <v>96.17</v>
      </c>
      <c r="AG410" s="49">
        <v>200.75</v>
      </c>
      <c r="AH410" s="49">
        <v>177</v>
      </c>
      <c r="AI410" s="49">
        <v>149</v>
      </c>
      <c r="AJ410" s="49" t="s">
        <v>1574</v>
      </c>
      <c r="AK410" s="49">
        <v>116.77</v>
      </c>
      <c r="AL410" s="49">
        <v>127.5</v>
      </c>
      <c r="AM410" s="49" t="s">
        <v>1574</v>
      </c>
      <c r="AN410" s="49">
        <v>0.35072999999999999</v>
      </c>
      <c r="AO410" s="49">
        <v>0.40436</v>
      </c>
      <c r="AP410" s="49">
        <v>2.8197000000000001</v>
      </c>
      <c r="AQ410" s="49">
        <v>1.25001954</v>
      </c>
      <c r="AR410" s="49">
        <v>3.0259999999999998</v>
      </c>
      <c r="AS410" s="49">
        <v>10.957000000000001</v>
      </c>
      <c r="AT410" s="49">
        <v>0.6129</v>
      </c>
      <c r="AU410" s="49">
        <v>0.48249999999999998</v>
      </c>
      <c r="AV410" s="49">
        <v>0.21340000000000001</v>
      </c>
      <c r="AW410" s="49">
        <v>2648.22</v>
      </c>
      <c r="AX410" s="49">
        <v>299.97000000000003</v>
      </c>
      <c r="AY410" s="49">
        <v>467.02</v>
      </c>
      <c r="AZ410" s="49" t="s">
        <v>1574</v>
      </c>
      <c r="BA410" s="49">
        <v>829.75535445005005</v>
      </c>
      <c r="BB410" s="49">
        <v>696.18</v>
      </c>
      <c r="BC410" s="49">
        <v>1.2748999999999999</v>
      </c>
      <c r="BD410" s="49" t="s">
        <v>1574</v>
      </c>
      <c r="BE410" s="49">
        <v>0.80869999999999997</v>
      </c>
      <c r="BF410" s="49">
        <v>31.5</v>
      </c>
      <c r="BG410" s="49">
        <v>112.875</v>
      </c>
      <c r="BH410" s="49">
        <v>105.1</v>
      </c>
      <c r="BI410" s="49">
        <v>81</v>
      </c>
      <c r="BJ410" s="49">
        <v>112.5</v>
      </c>
      <c r="BK410" s="49">
        <v>1202.1300000000001</v>
      </c>
      <c r="BL410" s="49">
        <v>29.09</v>
      </c>
      <c r="BM410" s="49">
        <v>1927.16</v>
      </c>
      <c r="BN410" s="49">
        <v>388.2</v>
      </c>
      <c r="BO410" s="49">
        <v>4972.6000000000004</v>
      </c>
      <c r="BP410" s="49">
        <v>5036.2</v>
      </c>
      <c r="BQ410" s="49">
        <v>927.6</v>
      </c>
      <c r="BR410" s="49">
        <v>392.19</v>
      </c>
      <c r="BS410" s="49">
        <v>403.65</v>
      </c>
      <c r="BT410" s="49">
        <v>5.0194000000000001</v>
      </c>
      <c r="BU410" s="41"/>
      <c r="BV410" s="41"/>
      <c r="BW410" s="41"/>
      <c r="BX410" s="41"/>
      <c r="BY410" s="41"/>
      <c r="BZ410" s="41"/>
      <c r="CA410" s="41"/>
      <c r="CB410" s="41"/>
      <c r="CC410" s="41"/>
      <c r="CD410" s="41"/>
      <c r="CE410" s="41"/>
      <c r="CF410" s="41"/>
      <c r="CG410" s="41"/>
      <c r="CH410" s="41"/>
      <c r="CI410" s="41"/>
      <c r="CJ410" s="41"/>
      <c r="CK410" s="41"/>
    </row>
    <row r="411" spans="1:89">
      <c r="A411" s="41" t="s">
        <v>540</v>
      </c>
      <c r="B411" s="51">
        <v>16.483333333329998</v>
      </c>
      <c r="C411" s="51">
        <v>16.7</v>
      </c>
      <c r="D411" s="51">
        <v>14.75</v>
      </c>
      <c r="E411" s="51">
        <v>18</v>
      </c>
      <c r="F411" s="51">
        <v>31</v>
      </c>
      <c r="G411" s="51">
        <v>27</v>
      </c>
      <c r="H411" s="51">
        <v>2.2599999999999998</v>
      </c>
      <c r="I411" s="51">
        <v>2.65</v>
      </c>
      <c r="J411" s="51">
        <v>3.4930219999999998</v>
      </c>
      <c r="K411" s="51">
        <v>42.408551510999999</v>
      </c>
      <c r="L411" s="51">
        <v>1.0966</v>
      </c>
      <c r="M411" s="51">
        <v>1.6958</v>
      </c>
      <c r="N411" s="51">
        <v>1.2887999999999999</v>
      </c>
      <c r="O411" s="51">
        <v>1.5792999999999999</v>
      </c>
      <c r="P411" s="51">
        <v>1.386884</v>
      </c>
      <c r="Q411" s="51">
        <v>1.8410740000000001</v>
      </c>
      <c r="R411" s="51">
        <v>1.51</v>
      </c>
      <c r="S411" s="51">
        <v>455</v>
      </c>
      <c r="T411" s="51">
        <v>1061</v>
      </c>
      <c r="U411" s="51">
        <v>361</v>
      </c>
      <c r="V411" s="51">
        <v>858</v>
      </c>
      <c r="W411" s="51">
        <v>356</v>
      </c>
      <c r="X411" s="51" t="s">
        <v>1574</v>
      </c>
      <c r="Y411" s="51">
        <v>274</v>
      </c>
      <c r="Z411" s="51">
        <v>483</v>
      </c>
      <c r="AA411" s="51">
        <v>223</v>
      </c>
      <c r="AB411" s="51" t="s">
        <v>1574</v>
      </c>
      <c r="AC411" s="51" t="s">
        <v>1574</v>
      </c>
      <c r="AD411" s="51">
        <v>69.69</v>
      </c>
      <c r="AE411" s="51">
        <v>100.31</v>
      </c>
      <c r="AF411" s="51">
        <v>98.49</v>
      </c>
      <c r="AG411" s="51">
        <v>209</v>
      </c>
      <c r="AH411" s="51">
        <v>187</v>
      </c>
      <c r="AI411" s="51">
        <v>156</v>
      </c>
      <c r="AJ411" s="51" t="s">
        <v>1574</v>
      </c>
      <c r="AK411" s="51">
        <v>119.55</v>
      </c>
      <c r="AL411" s="51">
        <v>129.71</v>
      </c>
      <c r="AM411" s="51" t="s">
        <v>1574</v>
      </c>
      <c r="AN411" s="51">
        <v>0.31691000000000003</v>
      </c>
      <c r="AO411" s="51">
        <v>0.44342999999999999</v>
      </c>
      <c r="AP411" s="51">
        <v>2.8043</v>
      </c>
      <c r="AQ411" s="51">
        <v>1.2771363659999999</v>
      </c>
      <c r="AR411" s="51">
        <v>2.8797999999999999</v>
      </c>
      <c r="AS411" s="51">
        <v>10.8026</v>
      </c>
      <c r="AT411" s="51">
        <v>0.59570000000000001</v>
      </c>
      <c r="AU411" s="51">
        <v>0.48380000000000001</v>
      </c>
      <c r="AV411" s="51">
        <v>0.2059</v>
      </c>
      <c r="AW411" s="51">
        <v>2625.52</v>
      </c>
      <c r="AX411" s="51">
        <v>295.23</v>
      </c>
      <c r="AY411" s="51">
        <v>450.47</v>
      </c>
      <c r="AZ411" s="51" t="s">
        <v>1574</v>
      </c>
      <c r="BA411" s="51">
        <v>835.60671444226</v>
      </c>
      <c r="BB411" s="51">
        <v>703.88</v>
      </c>
      <c r="BC411" s="51">
        <v>1.2236</v>
      </c>
      <c r="BD411" s="51" t="s">
        <v>1574</v>
      </c>
      <c r="BE411" s="51">
        <v>0.82320000000000004</v>
      </c>
      <c r="BF411" s="51">
        <v>31.5</v>
      </c>
      <c r="BG411" s="51">
        <v>113.1</v>
      </c>
      <c r="BH411" s="51">
        <v>107.5</v>
      </c>
      <c r="BI411" s="51">
        <v>81</v>
      </c>
      <c r="BJ411" s="51">
        <v>112.5</v>
      </c>
      <c r="BK411" s="51">
        <v>1172.1400000000001</v>
      </c>
      <c r="BL411" s="51">
        <v>29.09</v>
      </c>
      <c r="BM411" s="51">
        <v>1947.45</v>
      </c>
      <c r="BN411" s="51">
        <v>388.4</v>
      </c>
      <c r="BO411" s="51">
        <v>4809.3</v>
      </c>
      <c r="BP411" s="51">
        <v>4721.8100000000004</v>
      </c>
      <c r="BQ411" s="51">
        <v>884</v>
      </c>
      <c r="BR411" s="51">
        <v>378.84</v>
      </c>
      <c r="BS411" s="51">
        <v>391.9</v>
      </c>
      <c r="BT411" s="51">
        <v>4.8376999999999999</v>
      </c>
      <c r="BU411" s="41"/>
      <c r="BV411" s="41"/>
      <c r="BW411" s="41"/>
      <c r="BX411" s="41"/>
      <c r="BY411" s="41"/>
      <c r="BZ411" s="41"/>
      <c r="CA411" s="41"/>
      <c r="CB411" s="41"/>
      <c r="CC411" s="41"/>
      <c r="CD411" s="41"/>
      <c r="CE411" s="41"/>
      <c r="CF411" s="41"/>
      <c r="CG411" s="41"/>
      <c r="CH411" s="41"/>
      <c r="CI411" s="41"/>
      <c r="CJ411" s="41"/>
      <c r="CK411" s="41"/>
    </row>
    <row r="412" spans="1:89">
      <c r="A412" s="48" t="s">
        <v>541</v>
      </c>
      <c r="B412" s="49">
        <v>15.9</v>
      </c>
      <c r="C412" s="49">
        <v>16</v>
      </c>
      <c r="D412" s="49">
        <v>14.2</v>
      </c>
      <c r="E412" s="49">
        <v>17.5</v>
      </c>
      <c r="F412" s="49">
        <v>31</v>
      </c>
      <c r="G412" s="49">
        <v>27</v>
      </c>
      <c r="H412" s="49">
        <v>2.27</v>
      </c>
      <c r="I412" s="49">
        <v>2.62</v>
      </c>
      <c r="J412" s="49">
        <v>3.4808539999999999</v>
      </c>
      <c r="K412" s="49">
        <v>42.379122320969998</v>
      </c>
      <c r="L412" s="49">
        <v>1.2677</v>
      </c>
      <c r="M412" s="49">
        <v>1.7806999999999999</v>
      </c>
      <c r="N412" s="49">
        <v>1.3778999999999999</v>
      </c>
      <c r="O412" s="49">
        <v>1.5643</v>
      </c>
      <c r="P412" s="49">
        <v>1.5241640000000001</v>
      </c>
      <c r="Q412" s="49">
        <v>1.718812</v>
      </c>
      <c r="R412" s="49">
        <v>1.45</v>
      </c>
      <c r="S412" s="49">
        <v>424</v>
      </c>
      <c r="T412" s="49">
        <v>1501</v>
      </c>
      <c r="U412" s="49">
        <v>353</v>
      </c>
      <c r="V412" s="49">
        <v>845</v>
      </c>
      <c r="W412" s="49">
        <v>352</v>
      </c>
      <c r="X412" s="49" t="s">
        <v>1574</v>
      </c>
      <c r="Y412" s="49">
        <v>260</v>
      </c>
      <c r="Z412" s="49">
        <v>489</v>
      </c>
      <c r="AA412" s="49">
        <v>214</v>
      </c>
      <c r="AB412" s="49" t="s">
        <v>1574</v>
      </c>
      <c r="AC412" s="49" t="s">
        <v>1574</v>
      </c>
      <c r="AD412" s="49">
        <v>64.41</v>
      </c>
      <c r="AE412" s="49">
        <v>100.9</v>
      </c>
      <c r="AF412" s="49">
        <v>97.22</v>
      </c>
      <c r="AG412" s="49">
        <v>206</v>
      </c>
      <c r="AH412" s="49">
        <v>185</v>
      </c>
      <c r="AI412" s="49">
        <v>158</v>
      </c>
      <c r="AJ412" s="49" t="s">
        <v>1574</v>
      </c>
      <c r="AK412" s="49">
        <v>115.71</v>
      </c>
      <c r="AL412" s="49">
        <v>131.16999999999999</v>
      </c>
      <c r="AM412" s="49" t="s">
        <v>1574</v>
      </c>
      <c r="AN412" s="49">
        <v>0.35076000000000002</v>
      </c>
      <c r="AO412" s="49">
        <v>0.60489000000000004</v>
      </c>
      <c r="AP412" s="49">
        <v>2.7336999999999998</v>
      </c>
      <c r="AQ412" s="49">
        <v>1.269420196</v>
      </c>
      <c r="AR412" s="49">
        <v>3.1061999999999999</v>
      </c>
      <c r="AS412" s="49">
        <v>11.1884</v>
      </c>
      <c r="AT412" s="49">
        <v>0.60860000000000003</v>
      </c>
      <c r="AU412" s="49">
        <v>0.48409999999999997</v>
      </c>
      <c r="AV412" s="49">
        <v>0.21029999999999999</v>
      </c>
      <c r="AW412" s="49">
        <v>2605.88</v>
      </c>
      <c r="AX412" s="49">
        <v>308.36</v>
      </c>
      <c r="AY412" s="49">
        <v>384</v>
      </c>
      <c r="AZ412" s="49" t="s">
        <v>1574</v>
      </c>
      <c r="BA412" s="49">
        <v>851.10576151250996</v>
      </c>
      <c r="BB412" s="49">
        <v>664.86</v>
      </c>
      <c r="BC412" s="49">
        <v>1.2166999999999999</v>
      </c>
      <c r="BD412" s="49" t="s">
        <v>1574</v>
      </c>
      <c r="BE412" s="49">
        <v>0.82299999999999995</v>
      </c>
      <c r="BF412" s="49">
        <v>31.5</v>
      </c>
      <c r="BG412" s="49">
        <v>116.875</v>
      </c>
      <c r="BH412" s="49">
        <v>107.5</v>
      </c>
      <c r="BI412" s="49">
        <v>81</v>
      </c>
      <c r="BJ412" s="49">
        <v>112.5</v>
      </c>
      <c r="BK412" s="49">
        <v>1115.3800000000001</v>
      </c>
      <c r="BL412" s="49">
        <v>29.09</v>
      </c>
      <c r="BM412" s="49">
        <v>1861.86</v>
      </c>
      <c r="BN412" s="49">
        <v>375.7</v>
      </c>
      <c r="BO412" s="49">
        <v>4493.6000000000004</v>
      </c>
      <c r="BP412" s="49">
        <v>4352.8900000000003</v>
      </c>
      <c r="BQ412" s="49">
        <v>874.2</v>
      </c>
      <c r="BR412" s="49">
        <v>355.28</v>
      </c>
      <c r="BS412" s="49">
        <v>362.46</v>
      </c>
      <c r="BT412" s="49">
        <v>4.2184999999999997</v>
      </c>
      <c r="BU412" s="41"/>
      <c r="BV412" s="41"/>
      <c r="BW412" s="41"/>
      <c r="BX412" s="41"/>
      <c r="BY412" s="41"/>
      <c r="BZ412" s="41"/>
      <c r="CA412" s="41"/>
      <c r="CB412" s="41"/>
      <c r="CC412" s="41"/>
      <c r="CD412" s="41"/>
      <c r="CE412" s="41"/>
      <c r="CF412" s="41"/>
      <c r="CG412" s="41"/>
      <c r="CH412" s="41"/>
      <c r="CI412" s="41"/>
      <c r="CJ412" s="41"/>
      <c r="CK412" s="41"/>
    </row>
    <row r="413" spans="1:89">
      <c r="A413" s="41" t="s">
        <v>542</v>
      </c>
      <c r="B413" s="51">
        <v>16.516666666670002</v>
      </c>
      <c r="C413" s="51">
        <v>16.600000000000001</v>
      </c>
      <c r="D413" s="51">
        <v>14.8</v>
      </c>
      <c r="E413" s="51">
        <v>18.149999999999999</v>
      </c>
      <c r="F413" s="51">
        <v>31</v>
      </c>
      <c r="G413" s="51">
        <v>27</v>
      </c>
      <c r="H413" s="51">
        <v>2.02</v>
      </c>
      <c r="I413" s="51">
        <v>2.62</v>
      </c>
      <c r="J413" s="51">
        <v>3.3912589999999998</v>
      </c>
      <c r="K413" s="51">
        <v>39.282578994639998</v>
      </c>
      <c r="L413" s="51">
        <v>1.2923</v>
      </c>
      <c r="M413" s="51">
        <v>1.6896</v>
      </c>
      <c r="N413" s="51">
        <v>1.2989999999999999</v>
      </c>
      <c r="O413" s="51">
        <v>1.5717000000000001</v>
      </c>
      <c r="P413" s="51">
        <v>1.4865619999999999</v>
      </c>
      <c r="Q413" s="51">
        <v>1.6885559999999999</v>
      </c>
      <c r="R413" s="51">
        <v>1.54</v>
      </c>
      <c r="S413" s="51">
        <v>419</v>
      </c>
      <c r="T413" s="51">
        <v>1423.75</v>
      </c>
      <c r="U413" s="51">
        <v>339</v>
      </c>
      <c r="V413" s="51">
        <v>807</v>
      </c>
      <c r="W413" s="51">
        <v>333</v>
      </c>
      <c r="X413" s="51" t="s">
        <v>1574</v>
      </c>
      <c r="Y413" s="51">
        <v>249</v>
      </c>
      <c r="Z413" s="51">
        <v>491</v>
      </c>
      <c r="AA413" s="51">
        <v>207</v>
      </c>
      <c r="AB413" s="51" t="s">
        <v>1574</v>
      </c>
      <c r="AC413" s="51" t="s">
        <v>1574</v>
      </c>
      <c r="AD413" s="51">
        <v>60.95</v>
      </c>
      <c r="AE413" s="51">
        <v>106.53</v>
      </c>
      <c r="AF413" s="51">
        <v>100.92</v>
      </c>
      <c r="AG413" s="51">
        <v>256.75</v>
      </c>
      <c r="AH413" s="51">
        <v>217</v>
      </c>
      <c r="AI413" s="51">
        <v>162</v>
      </c>
      <c r="AJ413" s="51" t="s">
        <v>1574</v>
      </c>
      <c r="AK413" s="51">
        <v>127.87</v>
      </c>
      <c r="AL413" s="51">
        <v>135.94999999999999</v>
      </c>
      <c r="AM413" s="51" t="s">
        <v>1574</v>
      </c>
      <c r="AN413" s="51">
        <v>0.33068999999999998</v>
      </c>
      <c r="AO413" s="51">
        <v>0.62141999999999997</v>
      </c>
      <c r="AP413" s="51">
        <v>2.6698</v>
      </c>
      <c r="AQ413" s="51">
        <v>1.2273119539999999</v>
      </c>
      <c r="AR413" s="51">
        <v>2.9826000000000001</v>
      </c>
      <c r="AS413" s="51">
        <v>11.6844</v>
      </c>
      <c r="AT413" s="51">
        <v>0.60040000000000004</v>
      </c>
      <c r="AU413" s="51">
        <v>0.48220000000000002</v>
      </c>
      <c r="AV413" s="51">
        <v>0.22689999999999999</v>
      </c>
      <c r="AW413" s="51">
        <v>2591.58</v>
      </c>
      <c r="AX413" s="51">
        <v>304.38</v>
      </c>
      <c r="AY413" s="51">
        <v>378.13</v>
      </c>
      <c r="AZ413" s="51" t="s">
        <v>1574</v>
      </c>
      <c r="BA413" s="51">
        <v>851.33972869483</v>
      </c>
      <c r="BB413" s="51">
        <v>617.28</v>
      </c>
      <c r="BC413" s="51">
        <v>1.2081</v>
      </c>
      <c r="BD413" s="51" t="s">
        <v>1574</v>
      </c>
      <c r="BE413" s="51">
        <v>0.79810000000000003</v>
      </c>
      <c r="BF413" s="51">
        <v>31.5</v>
      </c>
      <c r="BG413" s="51">
        <v>129.5</v>
      </c>
      <c r="BH413" s="51">
        <v>111.25</v>
      </c>
      <c r="BI413" s="51">
        <v>81</v>
      </c>
      <c r="BJ413" s="51">
        <v>112.5</v>
      </c>
      <c r="BK413" s="51">
        <v>1087.0999999999999</v>
      </c>
      <c r="BL413" s="51">
        <v>29.09</v>
      </c>
      <c r="BM413" s="51">
        <v>1646.4</v>
      </c>
      <c r="BN413" s="51">
        <v>384.3</v>
      </c>
      <c r="BO413" s="51">
        <v>4681.1000000000004</v>
      </c>
      <c r="BP413" s="51">
        <v>4448.8999999999996</v>
      </c>
      <c r="BQ413" s="51">
        <v>914.9</v>
      </c>
      <c r="BR413" s="51">
        <v>364.18</v>
      </c>
      <c r="BS413" s="51">
        <v>367.91</v>
      </c>
      <c r="BT413" s="51">
        <v>4.343</v>
      </c>
      <c r="BU413" s="41"/>
      <c r="BV413" s="41"/>
      <c r="BW413" s="41"/>
      <c r="BX413" s="41"/>
      <c r="BY413" s="41"/>
      <c r="BZ413" s="41"/>
      <c r="CA413" s="41"/>
      <c r="CB413" s="41"/>
      <c r="CC413" s="41"/>
      <c r="CD413" s="41"/>
      <c r="CE413" s="41"/>
      <c r="CF413" s="41"/>
      <c r="CG413" s="41"/>
      <c r="CH413" s="41"/>
      <c r="CI413" s="41"/>
      <c r="CJ413" s="41"/>
      <c r="CK413" s="41"/>
    </row>
    <row r="414" spans="1:89">
      <c r="A414" s="48" t="s">
        <v>543</v>
      </c>
      <c r="B414" s="49">
        <v>15.2</v>
      </c>
      <c r="C414" s="49">
        <v>15.15</v>
      </c>
      <c r="D414" s="49">
        <v>13.7</v>
      </c>
      <c r="E414" s="49">
        <v>16.75</v>
      </c>
      <c r="F414" s="49">
        <v>31</v>
      </c>
      <c r="G414" s="49">
        <v>27</v>
      </c>
      <c r="H414" s="49">
        <v>2.2599999999999998</v>
      </c>
      <c r="I414" s="49">
        <v>2.62</v>
      </c>
      <c r="J414" s="49">
        <v>3.3554949999999999</v>
      </c>
      <c r="K414" s="49">
        <v>42.172758609719999</v>
      </c>
      <c r="L414" s="49">
        <v>1.321</v>
      </c>
      <c r="M414" s="49">
        <v>1.7327999999999999</v>
      </c>
      <c r="N414" s="49">
        <v>1.355</v>
      </c>
      <c r="O414" s="49">
        <v>1.5436000000000001</v>
      </c>
      <c r="P414" s="49">
        <v>1.40598</v>
      </c>
      <c r="Q414" s="49">
        <v>1.764743</v>
      </c>
      <c r="R414" s="49">
        <v>1.46</v>
      </c>
      <c r="S414" s="49">
        <v>464</v>
      </c>
      <c r="T414" s="49">
        <v>1303.75</v>
      </c>
      <c r="U414" s="49">
        <v>358</v>
      </c>
      <c r="V414" s="49">
        <v>808</v>
      </c>
      <c r="W414" s="49">
        <v>357</v>
      </c>
      <c r="X414" s="49" t="s">
        <v>1574</v>
      </c>
      <c r="Y414" s="49">
        <v>267</v>
      </c>
      <c r="Z414" s="49">
        <v>536</v>
      </c>
      <c r="AA414" s="49">
        <v>216</v>
      </c>
      <c r="AB414" s="49" t="s">
        <v>1574</v>
      </c>
      <c r="AC414" s="49" t="s">
        <v>1574</v>
      </c>
      <c r="AD414" s="49">
        <v>63.85</v>
      </c>
      <c r="AE414" s="49">
        <v>116.67</v>
      </c>
      <c r="AF414" s="49">
        <v>113.81</v>
      </c>
      <c r="AG414" s="49">
        <v>307.75</v>
      </c>
      <c r="AH414" s="49">
        <v>263</v>
      </c>
      <c r="AI414" s="49">
        <v>167</v>
      </c>
      <c r="AJ414" s="49" t="s">
        <v>1574</v>
      </c>
      <c r="AK414" s="49">
        <v>136.41</v>
      </c>
      <c r="AL414" s="49">
        <v>146.61000000000001</v>
      </c>
      <c r="AM414" s="49" t="s">
        <v>1574</v>
      </c>
      <c r="AN414" s="49">
        <v>0.36826999999999999</v>
      </c>
      <c r="AO414" s="49">
        <v>0.44079000000000002</v>
      </c>
      <c r="AP414" s="49">
        <v>2.6410999999999998</v>
      </c>
      <c r="AQ414" s="49">
        <v>1.2143046959999999</v>
      </c>
      <c r="AR414" s="49">
        <v>2.9706000000000001</v>
      </c>
      <c r="AS414" s="49">
        <v>11.5191</v>
      </c>
      <c r="AT414" s="49">
        <v>0.59119999999999995</v>
      </c>
      <c r="AU414" s="49">
        <v>0.48209999999999997</v>
      </c>
      <c r="AV414" s="49">
        <v>0.22309999999999999</v>
      </c>
      <c r="AW414" s="49">
        <v>2629.38</v>
      </c>
      <c r="AX414" s="49">
        <v>299.54000000000002</v>
      </c>
      <c r="AY414" s="49">
        <v>333.36</v>
      </c>
      <c r="AZ414" s="49" t="s">
        <v>1574</v>
      </c>
      <c r="BA414" s="49">
        <v>835.18135273468999</v>
      </c>
      <c r="BB414" s="49">
        <v>602.97</v>
      </c>
      <c r="BC414" s="49">
        <v>1.2105999999999999</v>
      </c>
      <c r="BD414" s="49" t="s">
        <v>1574</v>
      </c>
      <c r="BE414" s="49">
        <v>0.80910000000000004</v>
      </c>
      <c r="BF414" s="49">
        <v>31.5</v>
      </c>
      <c r="BG414" s="49">
        <v>140.4</v>
      </c>
      <c r="BH414" s="49">
        <v>112.5</v>
      </c>
      <c r="BI414" s="49">
        <v>82.8</v>
      </c>
      <c r="BJ414" s="49">
        <v>112.5</v>
      </c>
      <c r="BK414" s="49">
        <v>1039.81</v>
      </c>
      <c r="BL414" s="49">
        <v>29.09</v>
      </c>
      <c r="BM414" s="49">
        <v>1630.02</v>
      </c>
      <c r="BN414" s="49">
        <v>400.3</v>
      </c>
      <c r="BO414" s="49">
        <v>4640.8999999999996</v>
      </c>
      <c r="BP414" s="49">
        <v>4633.8900000000003</v>
      </c>
      <c r="BQ414" s="49">
        <v>928.4</v>
      </c>
      <c r="BR414" s="49">
        <v>373.83</v>
      </c>
      <c r="BS414" s="49">
        <v>374.41</v>
      </c>
      <c r="BT414" s="49">
        <v>4.5331999999999999</v>
      </c>
      <c r="BU414" s="41"/>
      <c r="BV414" s="41"/>
      <c r="BW414" s="41"/>
      <c r="BX414" s="41"/>
      <c r="BY414" s="41"/>
      <c r="BZ414" s="41"/>
      <c r="CA414" s="41"/>
      <c r="CB414" s="41"/>
      <c r="CC414" s="41"/>
      <c r="CD414" s="41"/>
      <c r="CE414" s="41"/>
      <c r="CF414" s="41"/>
      <c r="CG414" s="41"/>
      <c r="CH414" s="41"/>
      <c r="CI414" s="41"/>
      <c r="CJ414" s="41"/>
      <c r="CK414" s="41"/>
    </row>
    <row r="415" spans="1:89">
      <c r="A415" s="41" t="s">
        <v>544</v>
      </c>
      <c r="B415" s="51">
        <v>13.76666666667</v>
      </c>
      <c r="C415" s="51">
        <v>13.6</v>
      </c>
      <c r="D415" s="51">
        <v>12.15</v>
      </c>
      <c r="E415" s="51">
        <v>15.55</v>
      </c>
      <c r="F415" s="51">
        <v>31</v>
      </c>
      <c r="G415" s="51">
        <v>26.5</v>
      </c>
      <c r="H415" s="51">
        <v>2.34</v>
      </c>
      <c r="I415" s="51">
        <v>2.6</v>
      </c>
      <c r="J415" s="51">
        <v>3.25</v>
      </c>
      <c r="K415" s="51">
        <v>42.977676760900003</v>
      </c>
      <c r="L415" s="51">
        <v>1.3622000000000001</v>
      </c>
      <c r="M415" s="51">
        <v>1.7921</v>
      </c>
      <c r="N415" s="51">
        <v>1.3627</v>
      </c>
      <c r="O415" s="51">
        <v>1.5722</v>
      </c>
      <c r="P415" s="51">
        <v>1.376271</v>
      </c>
      <c r="Q415" s="51">
        <v>1.8303879999999999</v>
      </c>
      <c r="R415" s="51">
        <v>1.51</v>
      </c>
      <c r="S415" s="51">
        <v>615</v>
      </c>
      <c r="T415" s="51">
        <v>1310</v>
      </c>
      <c r="U415" s="51">
        <v>367</v>
      </c>
      <c r="V415" s="51">
        <v>924</v>
      </c>
      <c r="W415" s="51">
        <v>411</v>
      </c>
      <c r="X415" s="51" t="s">
        <v>1574</v>
      </c>
      <c r="Y415" s="51">
        <v>276</v>
      </c>
      <c r="Z415" s="51">
        <v>589</v>
      </c>
      <c r="AA415" s="51">
        <v>215</v>
      </c>
      <c r="AB415" s="51" t="s">
        <v>1574</v>
      </c>
      <c r="AC415" s="51" t="s">
        <v>1574</v>
      </c>
      <c r="AD415" s="51">
        <v>68.31</v>
      </c>
      <c r="AE415" s="51">
        <v>121.79</v>
      </c>
      <c r="AF415" s="51">
        <v>119.93</v>
      </c>
      <c r="AG415" s="51">
        <v>320.5</v>
      </c>
      <c r="AH415" s="51">
        <v>252</v>
      </c>
      <c r="AI415" s="51">
        <v>155</v>
      </c>
      <c r="AJ415" s="51" t="s">
        <v>1574</v>
      </c>
      <c r="AK415" s="51">
        <v>140.49</v>
      </c>
      <c r="AL415" s="51">
        <v>158.72999999999999</v>
      </c>
      <c r="AM415" s="51" t="s">
        <v>1574</v>
      </c>
      <c r="AN415" s="51">
        <v>0.41455999999999998</v>
      </c>
      <c r="AO415" s="51">
        <v>0.32116</v>
      </c>
      <c r="AP415" s="51">
        <v>2.4626000000000001</v>
      </c>
      <c r="AQ415" s="51">
        <v>1.1832195539999999</v>
      </c>
      <c r="AR415" s="51">
        <v>2.9807000000000001</v>
      </c>
      <c r="AS415" s="51">
        <v>11.596299999999999</v>
      </c>
      <c r="AT415" s="51">
        <v>0.59489999999999998</v>
      </c>
      <c r="AU415" s="51">
        <v>0.4849</v>
      </c>
      <c r="AV415" s="51">
        <v>0.2319</v>
      </c>
      <c r="AW415" s="51">
        <v>2594.7399999999998</v>
      </c>
      <c r="AX415" s="51">
        <v>307.76</v>
      </c>
      <c r="AY415" s="51">
        <v>304.66000000000003</v>
      </c>
      <c r="AZ415" s="51" t="s">
        <v>1574</v>
      </c>
      <c r="BA415" s="51">
        <v>830.07827928152005</v>
      </c>
      <c r="BB415" s="51">
        <v>592.53</v>
      </c>
      <c r="BC415" s="51">
        <v>1.306</v>
      </c>
      <c r="BD415" s="51" t="s">
        <v>1574</v>
      </c>
      <c r="BE415" s="51">
        <v>0.81530000000000002</v>
      </c>
      <c r="BF415" s="51">
        <v>31.5</v>
      </c>
      <c r="BG415" s="51">
        <v>150.375</v>
      </c>
      <c r="BH415" s="51">
        <v>122.5</v>
      </c>
      <c r="BI415" s="51">
        <v>85.5</v>
      </c>
      <c r="BJ415" s="51">
        <v>112.5</v>
      </c>
      <c r="BK415" s="51">
        <v>1094.3</v>
      </c>
      <c r="BL415" s="51">
        <v>29.09</v>
      </c>
      <c r="BM415" s="51">
        <v>1724.19</v>
      </c>
      <c r="BN415" s="51">
        <v>461.2</v>
      </c>
      <c r="BO415" s="51">
        <v>4777.8999999999996</v>
      </c>
      <c r="BP415" s="51">
        <v>5119.12</v>
      </c>
      <c r="BQ415" s="51">
        <v>974.4</v>
      </c>
      <c r="BR415" s="51">
        <v>383.3</v>
      </c>
      <c r="BS415" s="51">
        <v>383.17</v>
      </c>
      <c r="BT415" s="51">
        <v>4.9717000000000002</v>
      </c>
      <c r="BU415" s="41"/>
      <c r="BV415" s="41"/>
      <c r="BW415" s="41"/>
      <c r="BX415" s="41"/>
      <c r="BY415" s="41"/>
      <c r="BZ415" s="41"/>
      <c r="CA415" s="41"/>
      <c r="CB415" s="41"/>
      <c r="CC415" s="41"/>
      <c r="CD415" s="41"/>
      <c r="CE415" s="41"/>
      <c r="CF415" s="41"/>
      <c r="CG415" s="41"/>
      <c r="CH415" s="41"/>
      <c r="CI415" s="41"/>
      <c r="CJ415" s="41"/>
      <c r="CK415" s="41"/>
    </row>
    <row r="416" spans="1:89">
      <c r="A416" s="48" t="s">
        <v>545</v>
      </c>
      <c r="B416" s="49">
        <v>14.13333333333</v>
      </c>
      <c r="C416" s="49">
        <v>14.25</v>
      </c>
      <c r="D416" s="49">
        <v>13.15</v>
      </c>
      <c r="E416" s="49">
        <v>15</v>
      </c>
      <c r="F416" s="49">
        <v>31</v>
      </c>
      <c r="G416" s="49">
        <v>27</v>
      </c>
      <c r="H416" s="49">
        <v>2.34</v>
      </c>
      <c r="I416" s="49">
        <v>2.4700000000000002</v>
      </c>
      <c r="J416" s="49">
        <v>3.12</v>
      </c>
      <c r="K416" s="49">
        <v>42.271586118670001</v>
      </c>
      <c r="L416" s="49">
        <v>1.2641</v>
      </c>
      <c r="M416" s="49">
        <v>1.7404999999999999</v>
      </c>
      <c r="N416" s="49">
        <v>1.3092999999999999</v>
      </c>
      <c r="O416" s="49">
        <v>1.5414000000000001</v>
      </c>
      <c r="P416" s="49">
        <v>1.3834759999999999</v>
      </c>
      <c r="Q416" s="49">
        <v>1.7408349999999999</v>
      </c>
      <c r="R416" s="49">
        <v>1.5</v>
      </c>
      <c r="S416" s="49">
        <v>595</v>
      </c>
      <c r="T416" s="49">
        <v>1196.25</v>
      </c>
      <c r="U416" s="49">
        <v>366</v>
      </c>
      <c r="V416" s="49">
        <v>993</v>
      </c>
      <c r="W416" s="49">
        <v>404</v>
      </c>
      <c r="X416" s="49" t="s">
        <v>1574</v>
      </c>
      <c r="Y416" s="49">
        <v>282</v>
      </c>
      <c r="Z416" s="49">
        <v>602</v>
      </c>
      <c r="AA416" s="49">
        <v>215</v>
      </c>
      <c r="AB416" s="49" t="s">
        <v>1574</v>
      </c>
      <c r="AC416" s="49" t="s">
        <v>1574</v>
      </c>
      <c r="AD416" s="49">
        <v>74.62</v>
      </c>
      <c r="AE416" s="49">
        <v>127.23</v>
      </c>
      <c r="AF416" s="49">
        <v>121.92</v>
      </c>
      <c r="AG416" s="49">
        <v>356</v>
      </c>
      <c r="AH416" s="49">
        <v>263</v>
      </c>
      <c r="AI416" s="49">
        <v>151</v>
      </c>
      <c r="AJ416" s="49" t="s">
        <v>1574</v>
      </c>
      <c r="AK416" s="49">
        <v>152.71</v>
      </c>
      <c r="AL416" s="49">
        <v>153.22</v>
      </c>
      <c r="AM416" s="49" t="s">
        <v>1574</v>
      </c>
      <c r="AN416" s="49">
        <v>0.53264</v>
      </c>
      <c r="AO416" s="49">
        <v>0.30401</v>
      </c>
      <c r="AP416" s="49">
        <v>2.4216000000000002</v>
      </c>
      <c r="AQ416" s="49">
        <v>1.1640393600000001</v>
      </c>
      <c r="AR416" s="49">
        <v>3.0234000000000001</v>
      </c>
      <c r="AS416" s="49">
        <v>11.712</v>
      </c>
      <c r="AT416" s="49">
        <v>0.59599999999999997</v>
      </c>
      <c r="AU416" s="49">
        <v>0.48509999999999998</v>
      </c>
      <c r="AV416" s="49">
        <v>0.2271</v>
      </c>
      <c r="AW416" s="49">
        <v>2634.14</v>
      </c>
      <c r="AX416" s="49">
        <v>304.02999999999997</v>
      </c>
      <c r="AY416" s="49">
        <v>294.83999999999997</v>
      </c>
      <c r="AZ416" s="49" t="s">
        <v>1574</v>
      </c>
      <c r="BA416" s="49">
        <v>773.48405120348002</v>
      </c>
      <c r="BB416" s="49">
        <v>564.97</v>
      </c>
      <c r="BC416" s="49">
        <v>1.5257000000000001</v>
      </c>
      <c r="BD416" s="49" t="s">
        <v>1574</v>
      </c>
      <c r="BE416" s="49">
        <v>0.80910000000000004</v>
      </c>
      <c r="BF416" s="49">
        <v>31.5</v>
      </c>
      <c r="BG416" s="49">
        <v>150</v>
      </c>
      <c r="BH416" s="49">
        <v>125</v>
      </c>
      <c r="BI416" s="49">
        <v>85.5</v>
      </c>
      <c r="BJ416" s="49">
        <v>112.5</v>
      </c>
      <c r="BK416" s="49">
        <v>1174.5899999999999</v>
      </c>
      <c r="BL416" s="49">
        <v>26.47</v>
      </c>
      <c r="BM416" s="49">
        <v>1805.35</v>
      </c>
      <c r="BN416" s="49">
        <v>490.1</v>
      </c>
      <c r="BO416" s="49">
        <v>4942.8</v>
      </c>
      <c r="BP416" s="49">
        <v>5577.95</v>
      </c>
      <c r="BQ416" s="49">
        <v>996.7</v>
      </c>
      <c r="BR416" s="49">
        <v>386.88</v>
      </c>
      <c r="BS416" s="49">
        <v>387.8</v>
      </c>
      <c r="BT416" s="49">
        <v>5.1458000000000004</v>
      </c>
      <c r="BU416" s="41"/>
      <c r="BV416" s="41"/>
      <c r="BW416" s="41"/>
      <c r="BX416" s="41"/>
      <c r="BY416" s="41"/>
      <c r="BZ416" s="41"/>
      <c r="CA416" s="41"/>
      <c r="CB416" s="41"/>
      <c r="CC416" s="41"/>
      <c r="CD416" s="41"/>
      <c r="CE416" s="41"/>
      <c r="CF416" s="41"/>
      <c r="CG416" s="41"/>
      <c r="CH416" s="41"/>
      <c r="CI416" s="41"/>
      <c r="CJ416" s="41"/>
      <c r="CK416" s="41"/>
    </row>
    <row r="417" spans="1:89">
      <c r="A417" s="41" t="s">
        <v>546</v>
      </c>
      <c r="B417" s="51">
        <v>13.783333333330001</v>
      </c>
      <c r="C417" s="51">
        <v>13.8</v>
      </c>
      <c r="D417" s="51">
        <v>12.8</v>
      </c>
      <c r="E417" s="51">
        <v>14.75</v>
      </c>
      <c r="F417" s="51">
        <v>31</v>
      </c>
      <c r="G417" s="51">
        <v>27</v>
      </c>
      <c r="H417" s="51">
        <v>2.71</v>
      </c>
      <c r="I417" s="51">
        <v>2.36</v>
      </c>
      <c r="J417" s="51">
        <v>3.19</v>
      </c>
      <c r="K417" s="51">
        <v>46.289121742299997</v>
      </c>
      <c r="L417" s="51">
        <v>1.2289000000000001</v>
      </c>
      <c r="M417" s="51">
        <v>1.8503000000000001</v>
      </c>
      <c r="N417" s="51">
        <v>1.3404</v>
      </c>
      <c r="O417" s="51">
        <v>1.4830000000000001</v>
      </c>
      <c r="P417" s="51">
        <v>1.4138999999999999</v>
      </c>
      <c r="Q417" s="51">
        <v>1.4252469999999999</v>
      </c>
      <c r="R417" s="51">
        <v>1.61</v>
      </c>
      <c r="S417" s="51">
        <v>573</v>
      </c>
      <c r="T417" s="51">
        <v>1170</v>
      </c>
      <c r="U417" s="51">
        <v>364</v>
      </c>
      <c r="V417" s="51">
        <v>1011</v>
      </c>
      <c r="W417" s="51">
        <v>387</v>
      </c>
      <c r="X417" s="51" t="s">
        <v>1574</v>
      </c>
      <c r="Y417" s="51">
        <v>273</v>
      </c>
      <c r="Z417" s="51">
        <v>577</v>
      </c>
      <c r="AA417" s="51">
        <v>207</v>
      </c>
      <c r="AB417" s="51" t="s">
        <v>1574</v>
      </c>
      <c r="AC417" s="51" t="s">
        <v>1574</v>
      </c>
      <c r="AD417" s="51">
        <v>72.290000000000006</v>
      </c>
      <c r="AE417" s="51">
        <v>123.22</v>
      </c>
      <c r="AF417" s="51">
        <v>119.21</v>
      </c>
      <c r="AG417" s="51">
        <v>343.75</v>
      </c>
      <c r="AH417" s="51">
        <v>259</v>
      </c>
      <c r="AI417" s="51">
        <v>155</v>
      </c>
      <c r="AJ417" s="51" t="s">
        <v>1574</v>
      </c>
      <c r="AK417" s="51">
        <v>144.19</v>
      </c>
      <c r="AL417" s="51">
        <v>146.97</v>
      </c>
      <c r="AM417" s="51" t="s">
        <v>1574</v>
      </c>
      <c r="AN417" s="51">
        <v>0.66690000000000005</v>
      </c>
      <c r="AO417" s="51">
        <v>0.34010000000000001</v>
      </c>
      <c r="AP417" s="51">
        <v>2.4935999999999998</v>
      </c>
      <c r="AQ417" s="51">
        <v>1.182337706</v>
      </c>
      <c r="AR417" s="51">
        <v>2.9599000000000002</v>
      </c>
      <c r="AS417" s="51">
        <v>11.712</v>
      </c>
      <c r="AT417" s="51">
        <v>0.59040000000000004</v>
      </c>
      <c r="AU417" s="51">
        <v>0.48349999999999999</v>
      </c>
      <c r="AV417" s="51">
        <v>0.23849999999999999</v>
      </c>
      <c r="AW417" s="51">
        <v>2553.7199999999998</v>
      </c>
      <c r="AX417" s="51">
        <v>304.74</v>
      </c>
      <c r="AY417" s="51">
        <v>303.35000000000002</v>
      </c>
      <c r="AZ417" s="51" t="s">
        <v>1574</v>
      </c>
      <c r="BA417" s="51">
        <v>758.98874573249998</v>
      </c>
      <c r="BB417" s="51">
        <v>600.26</v>
      </c>
      <c r="BC417" s="51">
        <v>1.7781</v>
      </c>
      <c r="BD417" s="51" t="s">
        <v>1574</v>
      </c>
      <c r="BE417" s="51">
        <v>0.85360000000000003</v>
      </c>
      <c r="BF417" s="51">
        <v>31.5</v>
      </c>
      <c r="BG417" s="51">
        <v>151.75</v>
      </c>
      <c r="BH417" s="51">
        <v>125.63</v>
      </c>
      <c r="BI417" s="51">
        <v>85.5</v>
      </c>
      <c r="BJ417" s="51">
        <v>112.5</v>
      </c>
      <c r="BK417" s="51">
        <v>1269.93</v>
      </c>
      <c r="BL417" s="51">
        <v>26.47</v>
      </c>
      <c r="BM417" s="51">
        <v>1866.4</v>
      </c>
      <c r="BN417" s="51">
        <v>485.4</v>
      </c>
      <c r="BO417" s="51">
        <v>5443.4</v>
      </c>
      <c r="BP417" s="51">
        <v>5824.95</v>
      </c>
      <c r="BQ417" s="51">
        <v>968.9</v>
      </c>
      <c r="BR417" s="51">
        <v>381.91</v>
      </c>
      <c r="BS417" s="51">
        <v>394.02</v>
      </c>
      <c r="BT417" s="51">
        <v>5.2473000000000001</v>
      </c>
      <c r="BU417" s="41"/>
      <c r="BV417" s="41"/>
      <c r="BW417" s="41"/>
      <c r="BX417" s="41"/>
      <c r="BY417" s="41"/>
      <c r="BZ417" s="41"/>
      <c r="CA417" s="41"/>
      <c r="CB417" s="41"/>
      <c r="CC417" s="41"/>
      <c r="CD417" s="41"/>
      <c r="CE417" s="41"/>
      <c r="CF417" s="41"/>
      <c r="CG417" s="41"/>
      <c r="CH417" s="41"/>
      <c r="CI417" s="41"/>
      <c r="CJ417" s="41"/>
      <c r="CK417" s="41"/>
    </row>
    <row r="418" spans="1:89">
      <c r="A418" s="48" t="s">
        <v>547</v>
      </c>
      <c r="B418" s="49">
        <v>13.61666666667</v>
      </c>
      <c r="C418" s="49">
        <v>13.95</v>
      </c>
      <c r="D418" s="49">
        <v>12.25</v>
      </c>
      <c r="E418" s="49">
        <v>14.65</v>
      </c>
      <c r="F418" s="49">
        <v>29.5</v>
      </c>
      <c r="G418" s="49">
        <v>27</v>
      </c>
      <c r="H418" s="49">
        <v>2.21</v>
      </c>
      <c r="I418" s="49">
        <v>2.36</v>
      </c>
      <c r="J418" s="49">
        <v>3.15</v>
      </c>
      <c r="K418" s="49">
        <v>40.190335491900001</v>
      </c>
      <c r="L418" s="49">
        <v>1.3072999999999999</v>
      </c>
      <c r="M418" s="49">
        <v>1.9180999999999999</v>
      </c>
      <c r="N418" s="49">
        <v>1.4265000000000001</v>
      </c>
      <c r="O418" s="49">
        <v>1.474</v>
      </c>
      <c r="P418" s="49">
        <v>1.3990830000000001</v>
      </c>
      <c r="Q418" s="49">
        <v>1.362973</v>
      </c>
      <c r="R418" s="49">
        <v>1.66</v>
      </c>
      <c r="S418" s="49">
        <v>539</v>
      </c>
      <c r="T418" s="49">
        <v>1180</v>
      </c>
      <c r="U418" s="49">
        <v>352</v>
      </c>
      <c r="V418" s="49">
        <v>1013</v>
      </c>
      <c r="W418" s="49">
        <v>395</v>
      </c>
      <c r="X418" s="49" t="s">
        <v>1574</v>
      </c>
      <c r="Y418" s="49">
        <v>274</v>
      </c>
      <c r="Z418" s="49">
        <v>586</v>
      </c>
      <c r="AA418" s="49">
        <v>200</v>
      </c>
      <c r="AB418" s="49" t="s">
        <v>1574</v>
      </c>
      <c r="AC418" s="49" t="s">
        <v>1574</v>
      </c>
      <c r="AD418" s="49">
        <v>68.290000000000006</v>
      </c>
      <c r="AE418" s="49">
        <v>119.4</v>
      </c>
      <c r="AF418" s="49">
        <v>114.33</v>
      </c>
      <c r="AG418" s="49">
        <v>269.75</v>
      </c>
      <c r="AH418" s="49">
        <v>222</v>
      </c>
      <c r="AI418" s="49">
        <v>155.25</v>
      </c>
      <c r="AJ418" s="49" t="s">
        <v>1574</v>
      </c>
      <c r="AK418" s="49">
        <v>133.49</v>
      </c>
      <c r="AL418" s="49">
        <v>141.1</v>
      </c>
      <c r="AM418" s="49" t="s">
        <v>1574</v>
      </c>
      <c r="AN418" s="49">
        <v>0.50561999999999996</v>
      </c>
      <c r="AO418" s="49">
        <v>0.46444000000000002</v>
      </c>
      <c r="AP418" s="49">
        <v>2.6903000000000001</v>
      </c>
      <c r="AQ418" s="49">
        <v>1.2224617900000001</v>
      </c>
      <c r="AR418" s="49">
        <v>2.9580000000000002</v>
      </c>
      <c r="AS418" s="49">
        <v>12.291</v>
      </c>
      <c r="AT418" s="49">
        <v>0.59530000000000005</v>
      </c>
      <c r="AU418" s="49">
        <v>0.4839</v>
      </c>
      <c r="AV418" s="49">
        <v>0.2586</v>
      </c>
      <c r="AW418" s="49">
        <v>2595.42</v>
      </c>
      <c r="AX418" s="49">
        <v>311.57</v>
      </c>
      <c r="AY418" s="49">
        <v>310.48</v>
      </c>
      <c r="AZ418" s="49" t="s">
        <v>1574</v>
      </c>
      <c r="BA418" s="49">
        <v>771.97556376185003</v>
      </c>
      <c r="BB418" s="49">
        <v>617.1</v>
      </c>
      <c r="BC418" s="49">
        <v>1.8039000000000001</v>
      </c>
      <c r="BD418" s="49" t="s">
        <v>1574</v>
      </c>
      <c r="BE418" s="49">
        <v>0.91269999999999996</v>
      </c>
      <c r="BF418" s="49">
        <v>31.5</v>
      </c>
      <c r="BG418" s="49">
        <v>155.875</v>
      </c>
      <c r="BH418" s="49">
        <v>127.5</v>
      </c>
      <c r="BI418" s="49">
        <v>98.625</v>
      </c>
      <c r="BJ418" s="49">
        <v>112.5</v>
      </c>
      <c r="BK418" s="49">
        <v>1289.03</v>
      </c>
      <c r="BL418" s="49">
        <v>26.47</v>
      </c>
      <c r="BM418" s="49">
        <v>1914.87</v>
      </c>
      <c r="BN418" s="49">
        <v>451.5</v>
      </c>
      <c r="BO418" s="49">
        <v>5405.4</v>
      </c>
      <c r="BP418" s="49">
        <v>5587.54</v>
      </c>
      <c r="BQ418" s="49">
        <v>935.9</v>
      </c>
      <c r="BR418" s="49">
        <v>384.13</v>
      </c>
      <c r="BS418" s="49">
        <v>400.28</v>
      </c>
      <c r="BT418" s="49">
        <v>5.4349999999999996</v>
      </c>
      <c r="BU418" s="41"/>
      <c r="BV418" s="41"/>
      <c r="BW418" s="41"/>
      <c r="BX418" s="41"/>
      <c r="BY418" s="41"/>
      <c r="BZ418" s="41"/>
      <c r="CA418" s="41"/>
      <c r="CB418" s="41"/>
      <c r="CC418" s="41"/>
      <c r="CD418" s="41"/>
      <c r="CE418" s="41"/>
      <c r="CF418" s="41"/>
      <c r="CG418" s="41"/>
      <c r="CH418" s="41"/>
      <c r="CI418" s="41"/>
      <c r="CJ418" s="41"/>
      <c r="CK418" s="41"/>
    </row>
    <row r="419" spans="1:89">
      <c r="A419" s="41" t="s">
        <v>548</v>
      </c>
      <c r="B419" s="51">
        <v>15.08333333333</v>
      </c>
      <c r="C419" s="51">
        <v>15.15</v>
      </c>
      <c r="D419" s="51">
        <v>13.8</v>
      </c>
      <c r="E419" s="51">
        <v>16.3</v>
      </c>
      <c r="F419" s="51">
        <v>29.5</v>
      </c>
      <c r="G419" s="51">
        <v>27</v>
      </c>
      <c r="H419" s="51">
        <v>2.04</v>
      </c>
      <c r="I419" s="51">
        <v>2.36</v>
      </c>
      <c r="J419" s="51">
        <v>3.07</v>
      </c>
      <c r="K419" s="51">
        <v>38.071762559249997</v>
      </c>
      <c r="L419" s="51">
        <v>1.2436</v>
      </c>
      <c r="M419" s="51">
        <v>1.9966999999999999</v>
      </c>
      <c r="N419" s="51">
        <v>1.5832999999999999</v>
      </c>
      <c r="O419" s="51">
        <v>1.3454999999999999</v>
      </c>
      <c r="P419" s="51">
        <v>1.27765</v>
      </c>
      <c r="Q419" s="51">
        <v>1.178814</v>
      </c>
      <c r="R419" s="51">
        <v>1.58</v>
      </c>
      <c r="S419" s="51">
        <v>560</v>
      </c>
      <c r="T419" s="51">
        <v>988</v>
      </c>
      <c r="U419" s="51">
        <v>351</v>
      </c>
      <c r="V419" s="51">
        <v>1030</v>
      </c>
      <c r="W419" s="51">
        <v>434</v>
      </c>
      <c r="X419" s="51" t="s">
        <v>1574</v>
      </c>
      <c r="Y419" s="51">
        <v>261</v>
      </c>
      <c r="Z419" s="51">
        <v>584</v>
      </c>
      <c r="AA419" s="51">
        <v>193</v>
      </c>
      <c r="AB419" s="51" t="s">
        <v>1574</v>
      </c>
      <c r="AC419" s="51" t="s">
        <v>1574</v>
      </c>
      <c r="AD419" s="51">
        <v>66.89</v>
      </c>
      <c r="AE419" s="51">
        <v>113.23</v>
      </c>
      <c r="AF419" s="51">
        <v>107.75</v>
      </c>
      <c r="AG419" s="51">
        <v>269.25</v>
      </c>
      <c r="AH419" s="51">
        <v>221</v>
      </c>
      <c r="AI419" s="51">
        <v>156.75</v>
      </c>
      <c r="AJ419" s="51" t="s">
        <v>1574</v>
      </c>
      <c r="AK419" s="51">
        <v>129.97999999999999</v>
      </c>
      <c r="AL419" s="51">
        <v>140.36000000000001</v>
      </c>
      <c r="AM419" s="51" t="s">
        <v>1574</v>
      </c>
      <c r="AN419" s="51">
        <v>0.49603999999999998</v>
      </c>
      <c r="AO419" s="51">
        <v>0.35815000000000002</v>
      </c>
      <c r="AP419" s="51">
        <v>2.6276999999999999</v>
      </c>
      <c r="AQ419" s="51">
        <v>1.2345872</v>
      </c>
      <c r="AR419" s="51">
        <v>2.9344999999999999</v>
      </c>
      <c r="AS419" s="51">
        <v>12.731999999999999</v>
      </c>
      <c r="AT419" s="51">
        <v>0.59199999999999997</v>
      </c>
      <c r="AU419" s="51">
        <v>0.4859</v>
      </c>
      <c r="AV419" s="51">
        <v>0.2427</v>
      </c>
      <c r="AW419" s="51">
        <v>2651.55</v>
      </c>
      <c r="AX419" s="51">
        <v>309.58999999999997</v>
      </c>
      <c r="AY419" s="51">
        <v>326.24</v>
      </c>
      <c r="AZ419" s="51" t="s">
        <v>1574</v>
      </c>
      <c r="BA419" s="51">
        <v>819.92735490329005</v>
      </c>
      <c r="BB419" s="51">
        <v>647.04999999999995</v>
      </c>
      <c r="BC419" s="51">
        <v>1.8507</v>
      </c>
      <c r="BD419" s="51" t="s">
        <v>1574</v>
      </c>
      <c r="BE419" s="51">
        <v>0.9486</v>
      </c>
      <c r="BF419" s="51">
        <v>31.5</v>
      </c>
      <c r="BG419" s="51">
        <v>162.25</v>
      </c>
      <c r="BH419" s="51">
        <v>130</v>
      </c>
      <c r="BI419" s="51">
        <v>103.5</v>
      </c>
      <c r="BJ419" s="51">
        <v>112.5</v>
      </c>
      <c r="BK419" s="51">
        <v>1278.72</v>
      </c>
      <c r="BL419" s="51">
        <v>26.47</v>
      </c>
      <c r="BM419" s="51">
        <v>1881.82</v>
      </c>
      <c r="BN419" s="51">
        <v>439.9</v>
      </c>
      <c r="BO419" s="51">
        <v>5385.7</v>
      </c>
      <c r="BP419" s="51">
        <v>5407.97</v>
      </c>
      <c r="BQ419" s="51">
        <v>923.6</v>
      </c>
      <c r="BR419" s="51">
        <v>377.27</v>
      </c>
      <c r="BS419" s="51">
        <v>397.9</v>
      </c>
      <c r="BT419" s="51">
        <v>5.3520000000000003</v>
      </c>
      <c r="BU419" s="41"/>
      <c r="BV419" s="41"/>
      <c r="BW419" s="41"/>
      <c r="BX419" s="41"/>
      <c r="BY419" s="41"/>
      <c r="BZ419" s="41"/>
      <c r="CA419" s="41"/>
      <c r="CB419" s="41"/>
      <c r="CC419" s="41"/>
      <c r="CD419" s="41"/>
      <c r="CE419" s="41"/>
      <c r="CF419" s="41"/>
      <c r="CG419" s="41"/>
      <c r="CH419" s="41"/>
      <c r="CI419" s="41"/>
      <c r="CJ419" s="41"/>
      <c r="CK419" s="41"/>
    </row>
    <row r="420" spans="1:89">
      <c r="A420" s="48" t="s">
        <v>549</v>
      </c>
      <c r="B420" s="49">
        <v>16.283333333329999</v>
      </c>
      <c r="C420" s="49">
        <v>16.2</v>
      </c>
      <c r="D420" s="49">
        <v>14.8</v>
      </c>
      <c r="E420" s="49">
        <v>17.850000000000001</v>
      </c>
      <c r="F420" s="49">
        <v>31.4</v>
      </c>
      <c r="G420" s="49">
        <v>27</v>
      </c>
      <c r="H420" s="49">
        <v>1.92</v>
      </c>
      <c r="I420" s="49">
        <v>2.36</v>
      </c>
      <c r="J420" s="49">
        <v>3.06</v>
      </c>
      <c r="K420" s="49">
        <v>36.60778286152</v>
      </c>
      <c r="L420" s="49">
        <v>1.3788</v>
      </c>
      <c r="M420" s="49">
        <v>2.6869999999999998</v>
      </c>
      <c r="N420" s="49">
        <v>2.0933000000000002</v>
      </c>
      <c r="O420" s="49">
        <v>1.5230999999999999</v>
      </c>
      <c r="P420" s="49">
        <v>1.178077</v>
      </c>
      <c r="Q420" s="49">
        <v>1.851132</v>
      </c>
      <c r="R420" s="49">
        <v>1.54</v>
      </c>
      <c r="S420" s="49">
        <v>599</v>
      </c>
      <c r="T420" s="49">
        <v>908</v>
      </c>
      <c r="U420" s="49">
        <v>362</v>
      </c>
      <c r="V420" s="49">
        <v>1020</v>
      </c>
      <c r="W420" s="49">
        <v>488</v>
      </c>
      <c r="X420" s="49" t="s">
        <v>1574</v>
      </c>
      <c r="Y420" s="49">
        <v>256</v>
      </c>
      <c r="Z420" s="49">
        <v>594</v>
      </c>
      <c r="AA420" s="49">
        <v>196</v>
      </c>
      <c r="AB420" s="49" t="s">
        <v>1574</v>
      </c>
      <c r="AC420" s="49" t="s">
        <v>1574</v>
      </c>
      <c r="AD420" s="49">
        <v>68.55</v>
      </c>
      <c r="AE420" s="49">
        <v>109.59</v>
      </c>
      <c r="AF420" s="49">
        <v>106.21</v>
      </c>
      <c r="AG420" s="49">
        <v>233</v>
      </c>
      <c r="AH420" s="49">
        <v>201</v>
      </c>
      <c r="AI420" s="49">
        <v>160.19999999999999</v>
      </c>
      <c r="AJ420" s="49" t="s">
        <v>1574</v>
      </c>
      <c r="AK420" s="49">
        <v>125.25</v>
      </c>
      <c r="AL420" s="49">
        <v>139.99</v>
      </c>
      <c r="AM420" s="49" t="s">
        <v>1574</v>
      </c>
      <c r="AN420" s="49">
        <v>0.37576999999999999</v>
      </c>
      <c r="AO420" s="49">
        <v>0.41578999999999999</v>
      </c>
      <c r="AP420" s="49">
        <v>2.3906999999999998</v>
      </c>
      <c r="AQ420" s="49">
        <v>1.299403028</v>
      </c>
      <c r="AR420" s="49">
        <v>2.9788000000000001</v>
      </c>
      <c r="AS420" s="49">
        <v>12.787000000000001</v>
      </c>
      <c r="AT420" s="49">
        <v>0.60009999999999997</v>
      </c>
      <c r="AU420" s="49">
        <v>0.48899999999999999</v>
      </c>
      <c r="AV420" s="49">
        <v>0.25530000000000003</v>
      </c>
      <c r="AW420" s="49">
        <v>2674.01</v>
      </c>
      <c r="AX420" s="49">
        <v>318.06</v>
      </c>
      <c r="AY420" s="49">
        <v>343.5</v>
      </c>
      <c r="AZ420" s="49" t="s">
        <v>1574</v>
      </c>
      <c r="BA420" s="49">
        <v>851.58009674169</v>
      </c>
      <c r="BB420" s="49">
        <v>637.21</v>
      </c>
      <c r="BC420" s="49">
        <v>1.8980999999999999</v>
      </c>
      <c r="BD420" s="49" t="s">
        <v>1574</v>
      </c>
      <c r="BE420" s="49">
        <v>0.97929999999999995</v>
      </c>
      <c r="BF420" s="49">
        <v>31.5</v>
      </c>
      <c r="BG420" s="49">
        <v>159.19999999999999</v>
      </c>
      <c r="BH420" s="49">
        <v>132.5</v>
      </c>
      <c r="BI420" s="49">
        <v>103.5</v>
      </c>
      <c r="BJ420" s="49">
        <v>112.5</v>
      </c>
      <c r="BK420" s="49">
        <v>1322.59</v>
      </c>
      <c r="BL420" s="49">
        <v>26.47</v>
      </c>
      <c r="BM420" s="49">
        <v>2150.6</v>
      </c>
      <c r="BN420" s="49">
        <v>473.5</v>
      </c>
      <c r="BO420" s="49">
        <v>5504.4</v>
      </c>
      <c r="BP420" s="49">
        <v>6086.65</v>
      </c>
      <c r="BQ420" s="49">
        <v>955.6</v>
      </c>
      <c r="BR420" s="49">
        <v>381.43</v>
      </c>
      <c r="BS420" s="49">
        <v>398.01</v>
      </c>
      <c r="BT420" s="49">
        <v>5.4195000000000002</v>
      </c>
      <c r="BU420" s="41"/>
      <c r="BV420" s="41"/>
      <c r="BW420" s="41"/>
      <c r="BX420" s="41"/>
      <c r="BY420" s="41"/>
      <c r="BZ420" s="41"/>
      <c r="CA420" s="41"/>
      <c r="CB420" s="41"/>
      <c r="CC420" s="41"/>
      <c r="CD420" s="41"/>
      <c r="CE420" s="41"/>
      <c r="CF420" s="41"/>
      <c r="CG420" s="41"/>
      <c r="CH420" s="41"/>
      <c r="CI420" s="41"/>
      <c r="CJ420" s="41"/>
      <c r="CK420" s="41"/>
    </row>
    <row r="421" spans="1:89">
      <c r="A421" s="41" t="s">
        <v>550</v>
      </c>
      <c r="B421" s="51">
        <v>17.16666666667</v>
      </c>
      <c r="C421" s="51">
        <v>16.75</v>
      </c>
      <c r="D421" s="51">
        <v>15.7</v>
      </c>
      <c r="E421" s="51">
        <v>19.05</v>
      </c>
      <c r="F421" s="51">
        <v>33.6</v>
      </c>
      <c r="G421" s="51">
        <v>28.5</v>
      </c>
      <c r="H421" s="51">
        <v>1.9</v>
      </c>
      <c r="I421" s="51">
        <v>2.36</v>
      </c>
      <c r="J421" s="51">
        <v>3.1</v>
      </c>
      <c r="K421" s="51">
        <v>36.392015165609997</v>
      </c>
      <c r="L421" s="51">
        <v>1.4590000000000001</v>
      </c>
      <c r="M421" s="51">
        <v>3.1621000000000001</v>
      </c>
      <c r="N421" s="51">
        <v>2.4775999999999998</v>
      </c>
      <c r="O421" s="51">
        <v>1.4761</v>
      </c>
      <c r="P421" s="51">
        <v>1.2244809999999999</v>
      </c>
      <c r="Q421" s="51">
        <v>1.6337060000000001</v>
      </c>
      <c r="R421" s="51">
        <v>1.57</v>
      </c>
      <c r="S421" s="51">
        <v>608</v>
      </c>
      <c r="T421" s="51">
        <v>919</v>
      </c>
      <c r="U421" s="51">
        <v>365</v>
      </c>
      <c r="V421" s="51">
        <v>1014</v>
      </c>
      <c r="W421" s="51">
        <v>508</v>
      </c>
      <c r="X421" s="51" t="s">
        <v>1574</v>
      </c>
      <c r="Y421" s="51">
        <v>265</v>
      </c>
      <c r="Z421" s="51">
        <v>571</v>
      </c>
      <c r="AA421" s="51">
        <v>203</v>
      </c>
      <c r="AB421" s="51" t="s">
        <v>1574</v>
      </c>
      <c r="AC421" s="51" t="s">
        <v>1574</v>
      </c>
      <c r="AD421" s="51">
        <v>67.78</v>
      </c>
      <c r="AE421" s="51">
        <v>112.16</v>
      </c>
      <c r="AF421" s="51">
        <v>105.73</v>
      </c>
      <c r="AG421" s="51">
        <v>213.75</v>
      </c>
      <c r="AH421" s="51">
        <v>193</v>
      </c>
      <c r="AI421" s="51">
        <v>166.25</v>
      </c>
      <c r="AJ421" s="51" t="s">
        <v>1574</v>
      </c>
      <c r="AK421" s="51">
        <v>120.15</v>
      </c>
      <c r="AL421" s="51">
        <v>139.26</v>
      </c>
      <c r="AM421" s="51" t="s">
        <v>1574</v>
      </c>
      <c r="AN421" s="51">
        <v>0.25051000000000001</v>
      </c>
      <c r="AO421" s="51">
        <v>0.43664999999999998</v>
      </c>
      <c r="AP421" s="51">
        <v>2.2324000000000002</v>
      </c>
      <c r="AQ421" s="51">
        <v>1.3084419700000001</v>
      </c>
      <c r="AR421" s="51">
        <v>2.9579</v>
      </c>
      <c r="AS421" s="51">
        <v>13.282999999999999</v>
      </c>
      <c r="AT421" s="51">
        <v>0.60880000000000001</v>
      </c>
      <c r="AU421" s="51">
        <v>0.495</v>
      </c>
      <c r="AV421" s="51">
        <v>0.26569999999999999</v>
      </c>
      <c r="AW421" s="51">
        <v>2641.3</v>
      </c>
      <c r="AX421" s="51">
        <v>331.2</v>
      </c>
      <c r="AY421" s="51">
        <v>344.6</v>
      </c>
      <c r="AZ421" s="51" t="s">
        <v>1574</v>
      </c>
      <c r="BA421" s="51">
        <v>876.93310365878995</v>
      </c>
      <c r="BB421" s="51">
        <v>629.58000000000004</v>
      </c>
      <c r="BC421" s="51">
        <v>1.8852</v>
      </c>
      <c r="BD421" s="51" t="s">
        <v>1574</v>
      </c>
      <c r="BE421" s="51">
        <v>1.0505</v>
      </c>
      <c r="BF421" s="51">
        <v>31.5</v>
      </c>
      <c r="BG421" s="51">
        <v>157.625</v>
      </c>
      <c r="BH421" s="51">
        <v>132.5</v>
      </c>
      <c r="BI421" s="51">
        <v>103.5</v>
      </c>
      <c r="BJ421" s="51">
        <v>112.5</v>
      </c>
      <c r="BK421" s="51">
        <v>1400.58</v>
      </c>
      <c r="BL421" s="51">
        <v>26.47</v>
      </c>
      <c r="BM421" s="51">
        <v>2364.1999999999998</v>
      </c>
      <c r="BN421" s="51">
        <v>525.1</v>
      </c>
      <c r="BO421" s="51">
        <v>5509.2</v>
      </c>
      <c r="BP421" s="51">
        <v>6281.84</v>
      </c>
      <c r="BQ421" s="51">
        <v>966.2</v>
      </c>
      <c r="BR421" s="51">
        <v>385.64</v>
      </c>
      <c r="BS421" s="51">
        <v>401.09</v>
      </c>
      <c r="BT421" s="51">
        <v>5.3875999999999999</v>
      </c>
      <c r="BU421" s="41"/>
      <c r="BV421" s="41"/>
      <c r="BW421" s="41"/>
      <c r="BX421" s="41"/>
      <c r="BY421" s="41"/>
      <c r="BZ421" s="41"/>
      <c r="CA421" s="41"/>
      <c r="CB421" s="41"/>
      <c r="CC421" s="41"/>
      <c r="CD421" s="41"/>
      <c r="CE421" s="41"/>
      <c r="CF421" s="41"/>
      <c r="CG421" s="41"/>
      <c r="CH421" s="41"/>
      <c r="CI421" s="41"/>
      <c r="CJ421" s="41"/>
      <c r="CK421" s="41"/>
    </row>
    <row r="422" spans="1:89">
      <c r="A422" s="48" t="s">
        <v>551</v>
      </c>
      <c r="B422" s="49">
        <v>17.88333333333</v>
      </c>
      <c r="C422" s="49">
        <v>17.600000000000001</v>
      </c>
      <c r="D422" s="49">
        <v>16.399999999999999</v>
      </c>
      <c r="E422" s="49">
        <v>19.649999999999999</v>
      </c>
      <c r="F422" s="49">
        <v>33.1</v>
      </c>
      <c r="G422" s="49">
        <v>28.5</v>
      </c>
      <c r="H422" s="49">
        <v>1.96</v>
      </c>
      <c r="I422" s="49">
        <v>2.42</v>
      </c>
      <c r="J422" s="49">
        <v>3.14</v>
      </c>
      <c r="K422" s="49">
        <v>37.432955650970001</v>
      </c>
      <c r="L422" s="49">
        <v>1.5523</v>
      </c>
      <c r="M422" s="49">
        <v>4.8255999999999997</v>
      </c>
      <c r="N422" s="49">
        <v>3.6154999999999999</v>
      </c>
      <c r="O422" s="49">
        <v>1.5923</v>
      </c>
      <c r="P422" s="49">
        <v>1.216221</v>
      </c>
      <c r="Q422" s="49">
        <v>1.8507830000000001</v>
      </c>
      <c r="R422" s="49">
        <v>1.71</v>
      </c>
      <c r="S422" s="49">
        <v>579</v>
      </c>
      <c r="T422" s="49">
        <v>920</v>
      </c>
      <c r="U422" s="49">
        <v>376</v>
      </c>
      <c r="V422" s="49">
        <v>1017</v>
      </c>
      <c r="W422" s="49">
        <v>494</v>
      </c>
      <c r="X422" s="49" t="s">
        <v>1574</v>
      </c>
      <c r="Y422" s="49">
        <v>237</v>
      </c>
      <c r="Z422" s="49">
        <v>560</v>
      </c>
      <c r="AA422" s="49">
        <v>193</v>
      </c>
      <c r="AB422" s="49" t="s">
        <v>1574</v>
      </c>
      <c r="AC422" s="49" t="s">
        <v>1574</v>
      </c>
      <c r="AD422" s="49">
        <v>64.319999999999993</v>
      </c>
      <c r="AE422" s="49">
        <v>97.83</v>
      </c>
      <c r="AF422" s="49">
        <v>93.75</v>
      </c>
      <c r="AG422" s="49">
        <v>226.25</v>
      </c>
      <c r="AH422" s="49">
        <v>204</v>
      </c>
      <c r="AI422" s="49">
        <v>177.75</v>
      </c>
      <c r="AJ422" s="49" t="s">
        <v>1574</v>
      </c>
      <c r="AK422" s="49">
        <v>119.51</v>
      </c>
      <c r="AL422" s="49">
        <v>137.41999999999999</v>
      </c>
      <c r="AM422" s="49" t="s">
        <v>1574</v>
      </c>
      <c r="AN422" s="49">
        <v>0.44617000000000001</v>
      </c>
      <c r="AO422" s="49">
        <v>0.53729000000000005</v>
      </c>
      <c r="AP422" s="49">
        <v>2.1911999999999998</v>
      </c>
      <c r="AQ422" s="49">
        <v>1.278238676</v>
      </c>
      <c r="AR422" s="49">
        <v>2.9581</v>
      </c>
      <c r="AS422" s="49">
        <v>13.867000000000001</v>
      </c>
      <c r="AT422" s="49">
        <v>0.62960000000000005</v>
      </c>
      <c r="AU422" s="49">
        <v>0.50070000000000003</v>
      </c>
      <c r="AV422" s="49">
        <v>0.2596</v>
      </c>
      <c r="AW422" s="49">
        <v>2632.1</v>
      </c>
      <c r="AX422" s="49">
        <v>343.77</v>
      </c>
      <c r="AY422" s="49">
        <v>331.98</v>
      </c>
      <c r="AZ422" s="49" t="s">
        <v>1574</v>
      </c>
      <c r="BA422" s="49">
        <v>875.75043339722004</v>
      </c>
      <c r="BB422" s="49">
        <v>649.70000000000005</v>
      </c>
      <c r="BC422" s="49">
        <v>1.8010999999999999</v>
      </c>
      <c r="BD422" s="49" t="s">
        <v>1574</v>
      </c>
      <c r="BE422" s="49">
        <v>1.2511000000000001</v>
      </c>
      <c r="BF422" s="49">
        <v>31.5</v>
      </c>
      <c r="BG422" s="49">
        <v>158.625</v>
      </c>
      <c r="BH422" s="49">
        <v>132.5</v>
      </c>
      <c r="BI422" s="49">
        <v>106.5</v>
      </c>
      <c r="BJ422" s="49">
        <v>112.5</v>
      </c>
      <c r="BK422" s="49">
        <v>1492.42</v>
      </c>
      <c r="BL422" s="49">
        <v>26.47</v>
      </c>
      <c r="BM422" s="49">
        <v>2458.19</v>
      </c>
      <c r="BN422" s="49">
        <v>580.1</v>
      </c>
      <c r="BO422" s="49">
        <v>5311.2</v>
      </c>
      <c r="BP422" s="49">
        <v>6226.76</v>
      </c>
      <c r="BQ422" s="49">
        <v>964</v>
      </c>
      <c r="BR422" s="49">
        <v>385.49</v>
      </c>
      <c r="BS422" s="49">
        <v>411.95</v>
      </c>
      <c r="BT422" s="49">
        <v>5.2823000000000002</v>
      </c>
      <c r="BU422" s="41"/>
      <c r="BV422" s="41"/>
      <c r="BW422" s="41"/>
      <c r="BX422" s="41"/>
      <c r="BY422" s="41"/>
      <c r="BZ422" s="41"/>
      <c r="CA422" s="41"/>
      <c r="CB422" s="41"/>
      <c r="CC422" s="41"/>
      <c r="CD422" s="41"/>
      <c r="CE422" s="41"/>
      <c r="CF422" s="41"/>
      <c r="CG422" s="41"/>
      <c r="CH422" s="41"/>
      <c r="CI422" s="41"/>
      <c r="CJ422" s="41"/>
      <c r="CK422" s="41"/>
    </row>
    <row r="423" spans="1:89">
      <c r="A423" s="41" t="s">
        <v>552</v>
      </c>
      <c r="B423" s="51">
        <v>17</v>
      </c>
      <c r="C423" s="51">
        <v>16.8</v>
      </c>
      <c r="D423" s="51">
        <v>15.85</v>
      </c>
      <c r="E423" s="51">
        <v>18.350000000000001</v>
      </c>
      <c r="F423" s="51">
        <v>33.1</v>
      </c>
      <c r="G423" s="51">
        <v>28.5</v>
      </c>
      <c r="H423" s="51">
        <v>1.66</v>
      </c>
      <c r="I423" s="51">
        <v>2.46</v>
      </c>
      <c r="J423" s="51">
        <v>3.24</v>
      </c>
      <c r="K423" s="51">
        <v>34.047852063359997</v>
      </c>
      <c r="L423" s="51">
        <v>1.5509999999999999</v>
      </c>
      <c r="M423" s="51">
        <v>4.4188999999999998</v>
      </c>
      <c r="N423" s="51">
        <v>3.585</v>
      </c>
      <c r="O423" s="51">
        <v>1.5801000000000001</v>
      </c>
      <c r="P423" s="51">
        <v>1.349189</v>
      </c>
      <c r="Q423" s="51">
        <v>1.731222</v>
      </c>
      <c r="R423" s="51">
        <v>1.66</v>
      </c>
      <c r="S423" s="51">
        <v>596</v>
      </c>
      <c r="T423" s="51">
        <v>903</v>
      </c>
      <c r="U423" s="51">
        <v>378</v>
      </c>
      <c r="V423" s="51">
        <v>1018</v>
      </c>
      <c r="W423" s="51">
        <v>575</v>
      </c>
      <c r="X423" s="51" t="s">
        <v>1574</v>
      </c>
      <c r="Y423" s="51">
        <v>232</v>
      </c>
      <c r="Z423" s="51">
        <v>600</v>
      </c>
      <c r="AA423" s="51">
        <v>189</v>
      </c>
      <c r="AB423" s="51" t="s">
        <v>1574</v>
      </c>
      <c r="AC423" s="51" t="s">
        <v>1574</v>
      </c>
      <c r="AD423" s="51">
        <v>66.16</v>
      </c>
      <c r="AE423" s="51">
        <v>95.99</v>
      </c>
      <c r="AF423" s="51">
        <v>95.02</v>
      </c>
      <c r="AG423" s="51">
        <v>252.6</v>
      </c>
      <c r="AH423" s="51">
        <v>228</v>
      </c>
      <c r="AI423" s="51">
        <v>199.6</v>
      </c>
      <c r="AJ423" s="51" t="s">
        <v>1574</v>
      </c>
      <c r="AK423" s="51">
        <v>128.15</v>
      </c>
      <c r="AL423" s="51">
        <v>145.87</v>
      </c>
      <c r="AM423" s="51" t="s">
        <v>1574</v>
      </c>
      <c r="AN423" s="51">
        <v>0.40738000000000002</v>
      </c>
      <c r="AO423" s="51">
        <v>0.54396999999999995</v>
      </c>
      <c r="AP423" s="51">
        <v>2.1995</v>
      </c>
      <c r="AQ423" s="51">
        <v>1.232162118</v>
      </c>
      <c r="AR423" s="51">
        <v>2.9651000000000001</v>
      </c>
      <c r="AS423" s="51">
        <v>14.137</v>
      </c>
      <c r="AT423" s="51">
        <v>0.63449999999999995</v>
      </c>
      <c r="AU423" s="51">
        <v>0.48280000000000001</v>
      </c>
      <c r="AV423" s="51">
        <v>0.26679999999999998</v>
      </c>
      <c r="AW423" s="51">
        <v>2608.14</v>
      </c>
      <c r="AX423" s="51">
        <v>344.81</v>
      </c>
      <c r="AY423" s="51">
        <v>316.74</v>
      </c>
      <c r="AZ423" s="51" t="s">
        <v>1574</v>
      </c>
      <c r="BA423" s="51">
        <v>885.12969768761002</v>
      </c>
      <c r="BB423" s="51">
        <v>630.99</v>
      </c>
      <c r="BC423" s="51">
        <v>1.6902999999999999</v>
      </c>
      <c r="BD423" s="51" t="s">
        <v>1574</v>
      </c>
      <c r="BE423" s="51">
        <v>1.2609999999999999</v>
      </c>
      <c r="BF423" s="51">
        <v>31.5</v>
      </c>
      <c r="BG423" s="51">
        <v>161.1</v>
      </c>
      <c r="BH423" s="51">
        <v>132.5</v>
      </c>
      <c r="BI423" s="51">
        <v>88</v>
      </c>
      <c r="BJ423" s="51">
        <v>112.5</v>
      </c>
      <c r="BK423" s="51">
        <v>1455.36</v>
      </c>
      <c r="BL423" s="51">
        <v>26.47</v>
      </c>
      <c r="BM423" s="51">
        <v>2406.23</v>
      </c>
      <c r="BN423" s="51">
        <v>570.79999999999995</v>
      </c>
      <c r="BO423" s="51">
        <v>5161.5</v>
      </c>
      <c r="BP423" s="51">
        <v>5859.5</v>
      </c>
      <c r="BQ423" s="51">
        <v>944.9</v>
      </c>
      <c r="BR423" s="51">
        <v>380.36</v>
      </c>
      <c r="BS423" s="51">
        <v>412.19</v>
      </c>
      <c r="BT423" s="51">
        <v>5.1971999999999996</v>
      </c>
      <c r="BU423" s="41"/>
      <c r="BV423" s="41"/>
      <c r="BW423" s="41"/>
      <c r="BX423" s="41"/>
      <c r="BY423" s="41"/>
      <c r="BZ423" s="41"/>
      <c r="CA423" s="41"/>
      <c r="CB423" s="41"/>
      <c r="CC423" s="41"/>
      <c r="CD423" s="41"/>
      <c r="CE423" s="41"/>
      <c r="CF423" s="41"/>
      <c r="CG423" s="41"/>
      <c r="CH423" s="41"/>
      <c r="CI423" s="41"/>
      <c r="CJ423" s="41"/>
      <c r="CK423" s="41"/>
    </row>
    <row r="424" spans="1:89">
      <c r="A424" s="48" t="s">
        <v>553</v>
      </c>
      <c r="B424" s="49">
        <v>16.2</v>
      </c>
      <c r="C424" s="49">
        <v>15.9</v>
      </c>
      <c r="D424" s="49">
        <v>15.25</v>
      </c>
      <c r="E424" s="49">
        <v>17.45</v>
      </c>
      <c r="F424" s="49">
        <v>33.1</v>
      </c>
      <c r="G424" s="49">
        <v>29</v>
      </c>
      <c r="H424" s="49">
        <v>1.49</v>
      </c>
      <c r="I424" s="49">
        <v>2.48</v>
      </c>
      <c r="J424" s="49">
        <v>3.28</v>
      </c>
      <c r="K424" s="49">
        <v>32.105657869189997</v>
      </c>
      <c r="L424" s="49">
        <v>1.4861</v>
      </c>
      <c r="M424" s="49">
        <v>4.8943000000000003</v>
      </c>
      <c r="N424" s="49">
        <v>4.0297000000000001</v>
      </c>
      <c r="O424" s="49">
        <v>1.5378000000000001</v>
      </c>
      <c r="P424" s="49">
        <v>1.4210989999999999</v>
      </c>
      <c r="Q424" s="49">
        <v>1.6222300000000001</v>
      </c>
      <c r="R424" s="49">
        <v>1.57</v>
      </c>
      <c r="S424" s="49">
        <v>622</v>
      </c>
      <c r="T424" s="49">
        <v>825</v>
      </c>
      <c r="U424" s="49">
        <v>392</v>
      </c>
      <c r="V424" s="49">
        <v>1018</v>
      </c>
      <c r="W424" s="49">
        <v>614</v>
      </c>
      <c r="X424" s="49" t="s">
        <v>1574</v>
      </c>
      <c r="Y424" s="49">
        <v>233</v>
      </c>
      <c r="Z424" s="49">
        <v>672</v>
      </c>
      <c r="AA424" s="49">
        <v>184</v>
      </c>
      <c r="AB424" s="49" t="s">
        <v>1574</v>
      </c>
      <c r="AC424" s="49" t="s">
        <v>1574</v>
      </c>
      <c r="AD424" s="49">
        <v>72.27</v>
      </c>
      <c r="AE424" s="49">
        <v>97.51</v>
      </c>
      <c r="AF424" s="49">
        <v>91.78</v>
      </c>
      <c r="AG424" s="49">
        <v>259.75</v>
      </c>
      <c r="AH424" s="49">
        <v>239</v>
      </c>
      <c r="AI424" s="49">
        <v>210</v>
      </c>
      <c r="AJ424" s="49" t="s">
        <v>1574</v>
      </c>
      <c r="AK424" s="49">
        <v>142.12</v>
      </c>
      <c r="AL424" s="49">
        <v>158.72999999999999</v>
      </c>
      <c r="AM424" s="49" t="s">
        <v>1574</v>
      </c>
      <c r="AN424" s="49">
        <v>0.43841000000000002</v>
      </c>
      <c r="AO424" s="49">
        <v>0.53922000000000003</v>
      </c>
      <c r="AP424" s="49">
        <v>2.2081</v>
      </c>
      <c r="AQ424" s="49">
        <v>1.2374532060000001</v>
      </c>
      <c r="AR424" s="49">
        <v>2.9659</v>
      </c>
      <c r="AS424" s="49">
        <v>13.625</v>
      </c>
      <c r="AT424" s="49">
        <v>0.64659999999999995</v>
      </c>
      <c r="AU424" s="49">
        <v>0.48020000000000002</v>
      </c>
      <c r="AV424" s="49">
        <v>0.2777</v>
      </c>
      <c r="AW424" s="49">
        <v>2634.62</v>
      </c>
      <c r="AX424" s="49">
        <v>347.76</v>
      </c>
      <c r="AY424" s="49">
        <v>299.92</v>
      </c>
      <c r="AZ424" s="49" t="s">
        <v>1574</v>
      </c>
      <c r="BA424" s="49">
        <v>861.97839974740998</v>
      </c>
      <c r="BB424" s="49">
        <v>566.5</v>
      </c>
      <c r="BC424" s="49">
        <v>1.6557999999999999</v>
      </c>
      <c r="BD424" s="49" t="s">
        <v>1574</v>
      </c>
      <c r="BE424" s="49">
        <v>1.2665999999999999</v>
      </c>
      <c r="BF424" s="49">
        <v>31.5</v>
      </c>
      <c r="BG424" s="49">
        <v>164</v>
      </c>
      <c r="BH424" s="49">
        <v>132.5</v>
      </c>
      <c r="BI424" s="49">
        <v>88</v>
      </c>
      <c r="BJ424" s="49">
        <v>112.5</v>
      </c>
      <c r="BK424" s="49">
        <v>1569.22</v>
      </c>
      <c r="BL424" s="49">
        <v>26.47</v>
      </c>
      <c r="BM424" s="49">
        <v>2505.9299999999998</v>
      </c>
      <c r="BN424" s="49">
        <v>613.5</v>
      </c>
      <c r="BO424" s="49">
        <v>5321.1</v>
      </c>
      <c r="BP424" s="49">
        <v>6364.75</v>
      </c>
      <c r="BQ424" s="49">
        <v>992.4</v>
      </c>
      <c r="BR424" s="49">
        <v>391.58</v>
      </c>
      <c r="BS424" s="49">
        <v>417.28</v>
      </c>
      <c r="BT424" s="49">
        <v>5.5236999999999998</v>
      </c>
      <c r="BU424" s="41"/>
      <c r="BV424" s="41"/>
      <c r="BW424" s="41"/>
      <c r="BX424" s="41"/>
      <c r="BY424" s="41"/>
      <c r="BZ424" s="41"/>
      <c r="CA424" s="41"/>
      <c r="CB424" s="41"/>
      <c r="CC424" s="41"/>
      <c r="CD424" s="41"/>
      <c r="CE424" s="41"/>
      <c r="CF424" s="41"/>
      <c r="CG424" s="41"/>
      <c r="CH424" s="41"/>
      <c r="CI424" s="41"/>
      <c r="CJ424" s="41"/>
      <c r="CK424" s="41"/>
    </row>
    <row r="425" spans="1:89">
      <c r="A425" s="41" t="s">
        <v>554</v>
      </c>
      <c r="B425" s="51">
        <v>16.466666666670001</v>
      </c>
      <c r="C425" s="51">
        <v>16.399999999999999</v>
      </c>
      <c r="D425" s="51">
        <v>15.35</v>
      </c>
      <c r="E425" s="51">
        <v>17.649999999999999</v>
      </c>
      <c r="F425" s="51">
        <v>33.1</v>
      </c>
      <c r="G425" s="51">
        <v>30.75</v>
      </c>
      <c r="H425" s="51">
        <v>1.51</v>
      </c>
      <c r="I425" s="51">
        <v>2.56</v>
      </c>
      <c r="J425" s="51">
        <v>3.26</v>
      </c>
      <c r="K425" s="51">
        <v>32.715293238059999</v>
      </c>
      <c r="L425" s="51">
        <v>1.4478</v>
      </c>
      <c r="M425" s="51">
        <v>4.45</v>
      </c>
      <c r="N425" s="51">
        <v>3.7351999999999999</v>
      </c>
      <c r="O425" s="51">
        <v>1.5037</v>
      </c>
      <c r="P425" s="51">
        <v>1.430328</v>
      </c>
      <c r="Q425" s="51">
        <v>1.4806900000000001</v>
      </c>
      <c r="R425" s="51">
        <v>1.6</v>
      </c>
      <c r="S425" s="51">
        <v>621</v>
      </c>
      <c r="T425" s="51">
        <v>800</v>
      </c>
      <c r="U425" s="51">
        <v>398</v>
      </c>
      <c r="V425" s="51">
        <v>1029</v>
      </c>
      <c r="W425" s="51">
        <v>616</v>
      </c>
      <c r="X425" s="51" t="s">
        <v>1574</v>
      </c>
      <c r="Y425" s="51">
        <v>227</v>
      </c>
      <c r="Z425" s="51">
        <v>642</v>
      </c>
      <c r="AA425" s="51">
        <v>177</v>
      </c>
      <c r="AB425" s="51" t="s">
        <v>1574</v>
      </c>
      <c r="AC425" s="51" t="s">
        <v>1574</v>
      </c>
      <c r="AD425" s="51">
        <v>80.14</v>
      </c>
      <c r="AE425" s="51">
        <v>96.48</v>
      </c>
      <c r="AF425" s="51">
        <v>92.37</v>
      </c>
      <c r="AG425" s="51">
        <v>262</v>
      </c>
      <c r="AH425" s="51">
        <v>243</v>
      </c>
      <c r="AI425" s="51">
        <v>215.8</v>
      </c>
      <c r="AJ425" s="51" t="s">
        <v>1574</v>
      </c>
      <c r="AK425" s="51">
        <v>157.38</v>
      </c>
      <c r="AL425" s="51">
        <v>167.18</v>
      </c>
      <c r="AM425" s="51" t="s">
        <v>1574</v>
      </c>
      <c r="AN425" s="51">
        <v>0.32379999999999998</v>
      </c>
      <c r="AO425" s="51">
        <v>0.43486999999999998</v>
      </c>
      <c r="AP425" s="51">
        <v>2.1248</v>
      </c>
      <c r="AQ425" s="51">
        <v>1.197770046</v>
      </c>
      <c r="AR425" s="51">
        <v>3.0350000000000001</v>
      </c>
      <c r="AS425" s="51">
        <v>13.917</v>
      </c>
      <c r="AT425" s="51">
        <v>0.66420000000000001</v>
      </c>
      <c r="AU425" s="51">
        <v>0.47449999999999998</v>
      </c>
      <c r="AV425" s="51">
        <v>0.28110000000000002</v>
      </c>
      <c r="AW425" s="51">
        <v>2699.88</v>
      </c>
      <c r="AX425" s="51">
        <v>354.51</v>
      </c>
      <c r="AY425" s="51">
        <v>291.55</v>
      </c>
      <c r="AZ425" s="51" t="s">
        <v>1574</v>
      </c>
      <c r="BA425" s="51">
        <v>805.96790340074995</v>
      </c>
      <c r="BB425" s="51">
        <v>567.91</v>
      </c>
      <c r="BC425" s="51">
        <v>1.6329</v>
      </c>
      <c r="BD425" s="51" t="s">
        <v>1574</v>
      </c>
      <c r="BE425" s="51">
        <v>1.3680000000000001</v>
      </c>
      <c r="BF425" s="51">
        <v>31.5</v>
      </c>
      <c r="BG425" s="51">
        <v>167.125</v>
      </c>
      <c r="BH425" s="51">
        <v>136.63</v>
      </c>
      <c r="BI425" s="51">
        <v>88</v>
      </c>
      <c r="BJ425" s="51">
        <v>112.5</v>
      </c>
      <c r="BK425" s="51">
        <v>1698.05</v>
      </c>
      <c r="BL425" s="51">
        <v>26.47</v>
      </c>
      <c r="BM425" s="51">
        <v>2547.67</v>
      </c>
      <c r="BN425" s="51">
        <v>641.79999999999995</v>
      </c>
      <c r="BO425" s="51">
        <v>5473.6</v>
      </c>
      <c r="BP425" s="51">
        <v>6748.29</v>
      </c>
      <c r="BQ425" s="51">
        <v>1058.5</v>
      </c>
      <c r="BR425" s="51">
        <v>389.77</v>
      </c>
      <c r="BS425" s="51">
        <v>419.4</v>
      </c>
      <c r="BT425" s="51">
        <v>5.4541000000000004</v>
      </c>
      <c r="BU425" s="41"/>
      <c r="BV425" s="41"/>
      <c r="BW425" s="41"/>
      <c r="BX425" s="41"/>
      <c r="BY425" s="41"/>
      <c r="BZ425" s="41"/>
      <c r="CA425" s="41"/>
      <c r="CB425" s="41"/>
      <c r="CC425" s="41"/>
      <c r="CD425" s="41"/>
      <c r="CE425" s="41"/>
      <c r="CF425" s="41"/>
      <c r="CG425" s="41"/>
      <c r="CH425" s="41"/>
      <c r="CI425" s="41"/>
      <c r="CJ425" s="41"/>
      <c r="CK425" s="41"/>
    </row>
    <row r="426" spans="1:89">
      <c r="A426" s="48" t="s">
        <v>555</v>
      </c>
      <c r="B426" s="49">
        <v>17.08333333333</v>
      </c>
      <c r="C426" s="49">
        <v>17.2</v>
      </c>
      <c r="D426" s="49">
        <v>15.95</v>
      </c>
      <c r="E426" s="49">
        <v>18.100000000000001</v>
      </c>
      <c r="F426" s="49">
        <v>33.1</v>
      </c>
      <c r="G426" s="49">
        <v>30.5</v>
      </c>
      <c r="H426" s="49">
        <v>1.58</v>
      </c>
      <c r="I426" s="49">
        <v>2.57</v>
      </c>
      <c r="J426" s="49">
        <v>3.26</v>
      </c>
      <c r="K426" s="49">
        <v>33.612869070110001</v>
      </c>
      <c r="L426" s="49">
        <v>1.4352</v>
      </c>
      <c r="M426" s="49">
        <v>4.0324999999999998</v>
      </c>
      <c r="N426" s="49">
        <v>3.3803000000000001</v>
      </c>
      <c r="O426" s="49">
        <v>1.4266000000000001</v>
      </c>
      <c r="P426" s="49">
        <v>1.3499380000000001</v>
      </c>
      <c r="Q426" s="49">
        <v>1.4698530000000001</v>
      </c>
      <c r="R426" s="49">
        <v>1.46</v>
      </c>
      <c r="S426" s="49">
        <v>706</v>
      </c>
      <c r="T426" s="49">
        <v>815</v>
      </c>
      <c r="U426" s="49">
        <v>394</v>
      </c>
      <c r="V426" s="49">
        <v>1048</v>
      </c>
      <c r="W426" s="49">
        <v>707</v>
      </c>
      <c r="X426" s="49" t="s">
        <v>1574</v>
      </c>
      <c r="Y426" s="49">
        <v>239</v>
      </c>
      <c r="Z426" s="49">
        <v>706</v>
      </c>
      <c r="AA426" s="49">
        <v>174</v>
      </c>
      <c r="AB426" s="49" t="s">
        <v>1574</v>
      </c>
      <c r="AC426" s="49" t="s">
        <v>1574</v>
      </c>
      <c r="AD426" s="49">
        <v>83.98</v>
      </c>
      <c r="AE426" s="49">
        <v>95.47</v>
      </c>
      <c r="AF426" s="49">
        <v>97.74</v>
      </c>
      <c r="AG426" s="49">
        <v>264.5</v>
      </c>
      <c r="AH426" s="49">
        <v>242</v>
      </c>
      <c r="AI426" s="49">
        <v>216.5</v>
      </c>
      <c r="AJ426" s="49" t="s">
        <v>1574</v>
      </c>
      <c r="AK426" s="49">
        <v>152.38999999999999</v>
      </c>
      <c r="AL426" s="49">
        <v>162.04</v>
      </c>
      <c r="AM426" s="49" t="s">
        <v>1574</v>
      </c>
      <c r="AN426" s="49">
        <v>0.29687000000000002</v>
      </c>
      <c r="AO426" s="49">
        <v>0.32921</v>
      </c>
      <c r="AP426" s="49">
        <v>2.1886999999999999</v>
      </c>
      <c r="AQ426" s="49">
        <v>1.1391271540000001</v>
      </c>
      <c r="AR426" s="49">
        <v>3.0259</v>
      </c>
      <c r="AS426" s="49">
        <v>13.614000000000001</v>
      </c>
      <c r="AT426" s="49">
        <v>0.65739999999999998</v>
      </c>
      <c r="AU426" s="49">
        <v>0.47560000000000002</v>
      </c>
      <c r="AV426" s="49">
        <v>0.30730000000000002</v>
      </c>
      <c r="AW426" s="49">
        <v>2693.64</v>
      </c>
      <c r="AX426" s="49">
        <v>351.43</v>
      </c>
      <c r="AY426" s="49">
        <v>279.43</v>
      </c>
      <c r="AZ426" s="49" t="s">
        <v>1574</v>
      </c>
      <c r="BA426" s="49">
        <v>792.71004143764003</v>
      </c>
      <c r="BB426" s="49">
        <v>562.70000000000005</v>
      </c>
      <c r="BC426" s="49">
        <v>1.7097</v>
      </c>
      <c r="BD426" s="49" t="s">
        <v>1574</v>
      </c>
      <c r="BE426" s="49">
        <v>1.3436999999999999</v>
      </c>
      <c r="BF426" s="49">
        <v>33.5</v>
      </c>
      <c r="BG426" s="49">
        <v>165.875</v>
      </c>
      <c r="BH426" s="49">
        <v>139</v>
      </c>
      <c r="BI426" s="49">
        <v>88</v>
      </c>
      <c r="BJ426" s="49">
        <v>112.5</v>
      </c>
      <c r="BK426" s="49">
        <v>1892.59</v>
      </c>
      <c r="BL426" s="49">
        <v>26.47</v>
      </c>
      <c r="BM426" s="49">
        <v>2802.45</v>
      </c>
      <c r="BN426" s="49">
        <v>667.2</v>
      </c>
      <c r="BO426" s="49">
        <v>6161.1</v>
      </c>
      <c r="BP426" s="49">
        <v>7556.14</v>
      </c>
      <c r="BQ426" s="49">
        <v>1151.7</v>
      </c>
      <c r="BR426" s="49">
        <v>384.39</v>
      </c>
      <c r="BS426" s="49">
        <v>412.37</v>
      </c>
      <c r="BT426" s="49">
        <v>5.1924000000000001</v>
      </c>
      <c r="BU426" s="41"/>
      <c r="BV426" s="41"/>
      <c r="BW426" s="41"/>
      <c r="BX426" s="41"/>
      <c r="BY426" s="41"/>
      <c r="BZ426" s="41"/>
      <c r="CA426" s="41"/>
      <c r="CB426" s="41"/>
      <c r="CC426" s="41"/>
      <c r="CD426" s="41"/>
      <c r="CE426" s="41"/>
      <c r="CF426" s="41"/>
      <c r="CG426" s="41"/>
      <c r="CH426" s="41"/>
      <c r="CI426" s="41"/>
      <c r="CJ426" s="41"/>
      <c r="CK426" s="41"/>
    </row>
    <row r="427" spans="1:89">
      <c r="A427" s="41" t="s">
        <v>556</v>
      </c>
      <c r="B427" s="51">
        <v>15.94</v>
      </c>
      <c r="C427" s="51">
        <v>15.96</v>
      </c>
      <c r="D427" s="51">
        <v>14.7</v>
      </c>
      <c r="E427" s="51">
        <v>17.16</v>
      </c>
      <c r="F427" s="51">
        <v>36.1</v>
      </c>
      <c r="G427" s="51">
        <v>32</v>
      </c>
      <c r="H427" s="51">
        <v>1.72</v>
      </c>
      <c r="I427" s="51">
        <v>2.56</v>
      </c>
      <c r="J427" s="51">
        <v>3.29</v>
      </c>
      <c r="K427" s="51">
        <v>35.2857263852</v>
      </c>
      <c r="L427" s="51">
        <v>1.3975</v>
      </c>
      <c r="M427" s="51">
        <v>3.7157</v>
      </c>
      <c r="N427" s="51">
        <v>2.8601000000000001</v>
      </c>
      <c r="O427" s="51">
        <v>1.4227000000000001</v>
      </c>
      <c r="P427" s="51">
        <v>1.3279719999999999</v>
      </c>
      <c r="Q427" s="51">
        <v>1.5502689999999999</v>
      </c>
      <c r="R427" s="51">
        <v>1.39</v>
      </c>
      <c r="S427" s="51">
        <v>692</v>
      </c>
      <c r="T427" s="51">
        <v>833.33</v>
      </c>
      <c r="U427" s="51">
        <v>418</v>
      </c>
      <c r="V427" s="51">
        <v>1062</v>
      </c>
      <c r="W427" s="51">
        <v>719</v>
      </c>
      <c r="X427" s="51" t="s">
        <v>1574</v>
      </c>
      <c r="Y427" s="51">
        <v>243</v>
      </c>
      <c r="Z427" s="51">
        <v>693</v>
      </c>
      <c r="AA427" s="51">
        <v>178</v>
      </c>
      <c r="AB427" s="51" t="s">
        <v>1574</v>
      </c>
      <c r="AC427" s="51" t="s">
        <v>1574</v>
      </c>
      <c r="AD427" s="51">
        <v>86.49</v>
      </c>
      <c r="AE427" s="51">
        <v>102.49</v>
      </c>
      <c r="AF427" s="51">
        <v>100.62</v>
      </c>
      <c r="AG427" s="51">
        <v>260.5</v>
      </c>
      <c r="AH427" s="51">
        <v>244</v>
      </c>
      <c r="AI427" s="51">
        <v>223.5</v>
      </c>
      <c r="AJ427" s="51" t="s">
        <v>1574</v>
      </c>
      <c r="AK427" s="51">
        <v>157.34</v>
      </c>
      <c r="AL427" s="51">
        <v>164.61</v>
      </c>
      <c r="AM427" s="51" t="s">
        <v>1574</v>
      </c>
      <c r="AN427" s="51">
        <v>0.53737999999999997</v>
      </c>
      <c r="AO427" s="51">
        <v>0.23238</v>
      </c>
      <c r="AP427" s="51">
        <v>2.2256</v>
      </c>
      <c r="AQ427" s="51">
        <v>1.1298677500000001</v>
      </c>
      <c r="AR427" s="51">
        <v>2.9398</v>
      </c>
      <c r="AS427" s="51">
        <v>13.228</v>
      </c>
      <c r="AT427" s="51">
        <v>0.64510000000000001</v>
      </c>
      <c r="AU427" s="51">
        <v>0.4919</v>
      </c>
      <c r="AV427" s="51">
        <v>0.32340000000000002</v>
      </c>
      <c r="AW427" s="51">
        <v>2681.41</v>
      </c>
      <c r="AX427" s="51">
        <v>341.65</v>
      </c>
      <c r="AY427" s="51">
        <v>247.96</v>
      </c>
      <c r="AZ427" s="51" t="s">
        <v>1574</v>
      </c>
      <c r="BA427" s="51">
        <v>778.00690827384994</v>
      </c>
      <c r="BB427" s="51">
        <v>539.99</v>
      </c>
      <c r="BC427" s="51">
        <v>1.9218</v>
      </c>
      <c r="BD427" s="51" t="s">
        <v>1574</v>
      </c>
      <c r="BE427" s="51">
        <v>1.4654</v>
      </c>
      <c r="BF427" s="51">
        <v>33.5</v>
      </c>
      <c r="BG427" s="51">
        <v>171.66666666667001</v>
      </c>
      <c r="BH427" s="51">
        <v>139</v>
      </c>
      <c r="BI427" s="51">
        <v>88</v>
      </c>
      <c r="BJ427" s="51">
        <v>112.5</v>
      </c>
      <c r="BK427" s="51">
        <v>1878.31</v>
      </c>
      <c r="BL427" s="51">
        <v>26.47</v>
      </c>
      <c r="BM427" s="51">
        <v>2985.3</v>
      </c>
      <c r="BN427" s="51">
        <v>634.29999999999995</v>
      </c>
      <c r="BO427" s="51">
        <v>5946.8</v>
      </c>
      <c r="BP427" s="51">
        <v>8555.5</v>
      </c>
      <c r="BQ427" s="51">
        <v>1114.3</v>
      </c>
      <c r="BR427" s="51">
        <v>379.29</v>
      </c>
      <c r="BS427" s="51">
        <v>410.85</v>
      </c>
      <c r="BT427" s="51">
        <v>4.7794999999999996</v>
      </c>
      <c r="BU427" s="41"/>
      <c r="BV427" s="41"/>
      <c r="BW427" s="41"/>
      <c r="BX427" s="41"/>
      <c r="BY427" s="41"/>
      <c r="BZ427" s="41"/>
      <c r="CA427" s="41"/>
      <c r="CB427" s="41"/>
      <c r="CC427" s="41"/>
      <c r="CD427" s="41"/>
      <c r="CE427" s="41"/>
      <c r="CF427" s="41"/>
      <c r="CG427" s="41"/>
      <c r="CH427" s="41"/>
      <c r="CI427" s="41"/>
      <c r="CJ427" s="41"/>
      <c r="CK427" s="41"/>
    </row>
    <row r="428" spans="1:89">
      <c r="A428" s="48" t="s">
        <v>557</v>
      </c>
      <c r="B428" s="49">
        <v>16.899999999999999</v>
      </c>
      <c r="C428" s="49">
        <v>16.63</v>
      </c>
      <c r="D428" s="49">
        <v>16.079999999999998</v>
      </c>
      <c r="E428" s="49">
        <v>17.989999999999998</v>
      </c>
      <c r="F428" s="49">
        <v>37.1</v>
      </c>
      <c r="G428" s="49">
        <v>34</v>
      </c>
      <c r="H428" s="49">
        <v>1.51</v>
      </c>
      <c r="I428" s="49">
        <v>2.66</v>
      </c>
      <c r="J428" s="49">
        <v>3.36</v>
      </c>
      <c r="K428" s="49">
        <v>33.258439885930002</v>
      </c>
      <c r="L428" s="49">
        <v>1.4686999999999999</v>
      </c>
      <c r="M428" s="49">
        <v>3.8056000000000001</v>
      </c>
      <c r="N428" s="49">
        <v>2.8999000000000001</v>
      </c>
      <c r="O428" s="49">
        <v>1.4621999999999999</v>
      </c>
      <c r="P428" s="49">
        <v>1.3642620000000001</v>
      </c>
      <c r="Q428" s="49">
        <v>1.642469</v>
      </c>
      <c r="R428" s="49">
        <v>1.38</v>
      </c>
      <c r="S428" s="49">
        <v>622</v>
      </c>
      <c r="T428" s="49">
        <v>878</v>
      </c>
      <c r="U428" s="49">
        <v>435</v>
      </c>
      <c r="V428" s="49">
        <v>1054</v>
      </c>
      <c r="W428" s="49">
        <v>655</v>
      </c>
      <c r="X428" s="49" t="s">
        <v>1574</v>
      </c>
      <c r="Y428" s="49">
        <v>243</v>
      </c>
      <c r="Z428" s="49">
        <v>674</v>
      </c>
      <c r="AA428" s="49">
        <v>183</v>
      </c>
      <c r="AB428" s="49" t="s">
        <v>1574</v>
      </c>
      <c r="AC428" s="49" t="s">
        <v>1574</v>
      </c>
      <c r="AD428" s="49">
        <v>85.45</v>
      </c>
      <c r="AE428" s="49">
        <v>106.96</v>
      </c>
      <c r="AF428" s="49">
        <v>101.74</v>
      </c>
      <c r="AG428" s="49">
        <v>276.8</v>
      </c>
      <c r="AH428" s="49">
        <v>258</v>
      </c>
      <c r="AI428" s="49">
        <v>232.2</v>
      </c>
      <c r="AJ428" s="49" t="s">
        <v>1574</v>
      </c>
      <c r="AK428" s="49">
        <v>152.99</v>
      </c>
      <c r="AL428" s="49">
        <v>156.16</v>
      </c>
      <c r="AM428" s="49" t="s">
        <v>1574</v>
      </c>
      <c r="AN428" s="49">
        <v>0.35825000000000001</v>
      </c>
      <c r="AO428" s="49">
        <v>0.35110000000000002</v>
      </c>
      <c r="AP428" s="49">
        <v>2.1278992240000001</v>
      </c>
      <c r="AQ428" s="49">
        <v>1.1298677500000001</v>
      </c>
      <c r="AR428" s="49">
        <v>2.7543000000000002</v>
      </c>
      <c r="AS428" s="49">
        <v>13.4482</v>
      </c>
      <c r="AT428" s="49">
        <v>0.65129999999999999</v>
      </c>
      <c r="AU428" s="49">
        <v>0.4995</v>
      </c>
      <c r="AV428" s="49">
        <v>0.32540000000000002</v>
      </c>
      <c r="AW428" s="49">
        <v>2595.13</v>
      </c>
      <c r="AX428" s="49">
        <v>341</v>
      </c>
      <c r="AY428" s="49">
        <v>248.42</v>
      </c>
      <c r="AZ428" s="49">
        <v>632.75598284948001</v>
      </c>
      <c r="BA428" s="49">
        <v>793.78967186796001</v>
      </c>
      <c r="BB428" s="49">
        <v>551.01</v>
      </c>
      <c r="BC428" s="49">
        <v>2.1080000000000001</v>
      </c>
      <c r="BD428" s="49" t="s">
        <v>1574</v>
      </c>
      <c r="BE428" s="49">
        <v>1.6442000000000001</v>
      </c>
      <c r="BF428" s="49">
        <v>33.5</v>
      </c>
      <c r="BG428" s="49">
        <v>188.2</v>
      </c>
      <c r="BH428" s="49">
        <v>142.38</v>
      </c>
      <c r="BI428" s="49">
        <v>159.6</v>
      </c>
      <c r="BJ428" s="49">
        <v>112.5</v>
      </c>
      <c r="BK428" s="49">
        <v>2060.5500000000002</v>
      </c>
      <c r="BL428" s="49">
        <v>28.38</v>
      </c>
      <c r="BM428" s="49">
        <v>3008.93</v>
      </c>
      <c r="BN428" s="49">
        <v>666.6</v>
      </c>
      <c r="BO428" s="49">
        <v>6199.3</v>
      </c>
      <c r="BP428" s="49">
        <v>9592.5499999999993</v>
      </c>
      <c r="BQ428" s="49">
        <v>1156.5</v>
      </c>
      <c r="BR428" s="49">
        <v>378.55</v>
      </c>
      <c r="BS428" s="49">
        <v>413.9</v>
      </c>
      <c r="BT428" s="49">
        <v>4.7731000000000003</v>
      </c>
      <c r="BU428" s="41"/>
      <c r="BV428" s="41"/>
      <c r="BW428" s="41"/>
      <c r="BX428" s="41"/>
      <c r="BY428" s="41"/>
      <c r="BZ428" s="41"/>
      <c r="CA428" s="41"/>
      <c r="CB428" s="41"/>
      <c r="CC428" s="41"/>
      <c r="CD428" s="41"/>
      <c r="CE428" s="41"/>
      <c r="CF428" s="41"/>
      <c r="CG428" s="41"/>
      <c r="CH428" s="41"/>
      <c r="CI428" s="41"/>
      <c r="CJ428" s="41"/>
      <c r="CK428" s="41"/>
    </row>
    <row r="429" spans="1:89">
      <c r="A429" s="41" t="s">
        <v>558</v>
      </c>
      <c r="B429" s="51">
        <v>17.41666666667</v>
      </c>
      <c r="C429" s="51">
        <v>17.079999999999998</v>
      </c>
      <c r="D429" s="51">
        <v>16.64</v>
      </c>
      <c r="E429" s="51">
        <v>18.53</v>
      </c>
      <c r="F429" s="51">
        <v>37.6</v>
      </c>
      <c r="G429" s="51">
        <v>34.5</v>
      </c>
      <c r="H429" s="51">
        <v>1.58</v>
      </c>
      <c r="I429" s="51">
        <v>2.66</v>
      </c>
      <c r="J429" s="51">
        <v>3.4</v>
      </c>
      <c r="K429" s="51">
        <v>34.135575757650003</v>
      </c>
      <c r="L429" s="51">
        <v>1.5102</v>
      </c>
      <c r="M429" s="51">
        <v>3.7431000000000001</v>
      </c>
      <c r="N429" s="51">
        <v>2.9693999999999998</v>
      </c>
      <c r="O429" s="51">
        <v>1.4104000000000001</v>
      </c>
      <c r="P429" s="51">
        <v>1.377246</v>
      </c>
      <c r="Q429" s="51">
        <v>1.4965949999999999</v>
      </c>
      <c r="R429" s="51">
        <v>1.3574999999999999</v>
      </c>
      <c r="S429" s="51">
        <v>636</v>
      </c>
      <c r="T429" s="51">
        <v>885</v>
      </c>
      <c r="U429" s="51">
        <v>437</v>
      </c>
      <c r="V429" s="51">
        <v>1025</v>
      </c>
      <c r="W429" s="51">
        <v>661</v>
      </c>
      <c r="X429" s="51" t="s">
        <v>1574</v>
      </c>
      <c r="Y429" s="51">
        <v>238</v>
      </c>
      <c r="Z429" s="51">
        <v>663</v>
      </c>
      <c r="AA429" s="51">
        <v>185</v>
      </c>
      <c r="AB429" s="51" t="s">
        <v>1574</v>
      </c>
      <c r="AC429" s="51" t="s">
        <v>1574</v>
      </c>
      <c r="AD429" s="51">
        <v>85.77</v>
      </c>
      <c r="AE429" s="51">
        <v>106.69</v>
      </c>
      <c r="AF429" s="51">
        <v>102.07</v>
      </c>
      <c r="AG429" s="51">
        <v>280.5</v>
      </c>
      <c r="AH429" s="51">
        <v>262</v>
      </c>
      <c r="AI429" s="51">
        <v>221</v>
      </c>
      <c r="AJ429" s="51" t="s">
        <v>1574</v>
      </c>
      <c r="AK429" s="51">
        <v>149.71</v>
      </c>
      <c r="AL429" s="51">
        <v>154.32</v>
      </c>
      <c r="AM429" s="51" t="s">
        <v>1574</v>
      </c>
      <c r="AN429" s="51">
        <v>0.58008999999999999</v>
      </c>
      <c r="AO429" s="51">
        <v>0.41837999999999997</v>
      </c>
      <c r="AP429" s="51">
        <v>2.1616299099999998</v>
      </c>
      <c r="AQ429" s="51">
        <v>1.1340565279999999</v>
      </c>
      <c r="AR429" s="51">
        <v>2.7069000000000001</v>
      </c>
      <c r="AS429" s="51">
        <v>13.696199999999999</v>
      </c>
      <c r="AT429" s="51">
        <v>0.65039999999999998</v>
      </c>
      <c r="AU429" s="51">
        <v>0.49980000000000002</v>
      </c>
      <c r="AV429" s="51">
        <v>0.31769999999999998</v>
      </c>
      <c r="AW429" s="51">
        <v>2673.19</v>
      </c>
      <c r="AX429" s="51">
        <v>334.12</v>
      </c>
      <c r="AY429" s="51">
        <v>251.8</v>
      </c>
      <c r="AZ429" s="51">
        <v>621.5456405745</v>
      </c>
      <c r="BA429" s="51">
        <v>753.20105401508999</v>
      </c>
      <c r="BB429" s="51">
        <v>599.11</v>
      </c>
      <c r="BC429" s="51">
        <v>2.2254</v>
      </c>
      <c r="BD429" s="51" t="s">
        <v>1574</v>
      </c>
      <c r="BE429" s="51">
        <v>1.7703</v>
      </c>
      <c r="BF429" s="51">
        <v>31.5</v>
      </c>
      <c r="BG429" s="51">
        <v>198.625</v>
      </c>
      <c r="BH429" s="51">
        <v>147.5</v>
      </c>
      <c r="BI429" s="51">
        <v>177.5</v>
      </c>
      <c r="BJ429" s="51">
        <v>112.5</v>
      </c>
      <c r="BK429" s="51">
        <v>1916.15</v>
      </c>
      <c r="BL429" s="51">
        <v>28.38</v>
      </c>
      <c r="BM429" s="51">
        <v>2877.65</v>
      </c>
      <c r="BN429" s="51">
        <v>579.9</v>
      </c>
      <c r="BO429" s="51">
        <v>5478.3</v>
      </c>
      <c r="BP429" s="51">
        <v>8505.4500000000007</v>
      </c>
      <c r="BQ429" s="51">
        <v>1032.2</v>
      </c>
      <c r="BR429" s="51">
        <v>376.64</v>
      </c>
      <c r="BS429" s="51">
        <v>413.97</v>
      </c>
      <c r="BT429" s="51">
        <v>4.7214999999999998</v>
      </c>
      <c r="BU429" s="41"/>
      <c r="BV429" s="41"/>
      <c r="BW429" s="41"/>
      <c r="BX429" s="41"/>
      <c r="BY429" s="41"/>
      <c r="BZ429" s="41"/>
      <c r="CA429" s="41"/>
      <c r="CB429" s="41"/>
      <c r="CC429" s="41"/>
      <c r="CD429" s="41"/>
      <c r="CE429" s="41"/>
      <c r="CF429" s="41"/>
      <c r="CG429" s="41"/>
      <c r="CH429" s="41"/>
      <c r="CI429" s="41"/>
      <c r="CJ429" s="41"/>
      <c r="CK429" s="41"/>
    </row>
    <row r="430" spans="1:89">
      <c r="A430" s="48" t="s">
        <v>559</v>
      </c>
      <c r="B430" s="49">
        <v>17.34666666667</v>
      </c>
      <c r="C430" s="49">
        <v>17.010000000000002</v>
      </c>
      <c r="D430" s="49">
        <v>16.489999999999998</v>
      </c>
      <c r="E430" s="49">
        <v>18.54</v>
      </c>
      <c r="F430" s="49">
        <v>38.35</v>
      </c>
      <c r="G430" s="49">
        <v>34.75</v>
      </c>
      <c r="H430" s="49">
        <v>1.54</v>
      </c>
      <c r="I430" s="49">
        <v>2.65</v>
      </c>
      <c r="J430" s="49">
        <v>3.46</v>
      </c>
      <c r="K430" s="49">
        <v>33.642950760150001</v>
      </c>
      <c r="L430" s="49">
        <v>1.4850000000000001</v>
      </c>
      <c r="M430" s="49">
        <v>3.9558</v>
      </c>
      <c r="N430" s="49">
        <v>3.2193999999999998</v>
      </c>
      <c r="O430" s="49">
        <v>1.3474999999999999</v>
      </c>
      <c r="P430" s="49">
        <v>1.3630960000000001</v>
      </c>
      <c r="Q430" s="49">
        <v>1.344409</v>
      </c>
      <c r="R430" s="49">
        <v>1.335</v>
      </c>
      <c r="S430" s="49">
        <v>632</v>
      </c>
      <c r="T430" s="49">
        <v>855</v>
      </c>
      <c r="U430" s="49">
        <v>447</v>
      </c>
      <c r="V430" s="49">
        <v>990</v>
      </c>
      <c r="W430" s="49">
        <v>687</v>
      </c>
      <c r="X430" s="49" t="s">
        <v>1574</v>
      </c>
      <c r="Y430" s="49">
        <v>246</v>
      </c>
      <c r="Z430" s="49">
        <v>652</v>
      </c>
      <c r="AA430" s="49">
        <v>175</v>
      </c>
      <c r="AB430" s="49" t="s">
        <v>1574</v>
      </c>
      <c r="AC430" s="49" t="s">
        <v>1574</v>
      </c>
      <c r="AD430" s="49">
        <v>90.83</v>
      </c>
      <c r="AE430" s="49">
        <v>109.7</v>
      </c>
      <c r="AF430" s="49">
        <v>102.74</v>
      </c>
      <c r="AG430" s="49">
        <v>286.25</v>
      </c>
      <c r="AH430" s="49">
        <v>259</v>
      </c>
      <c r="AI430" s="49">
        <v>223.5</v>
      </c>
      <c r="AJ430" s="49" t="s">
        <v>1574</v>
      </c>
      <c r="AK430" s="49">
        <v>143.08000000000001</v>
      </c>
      <c r="AL430" s="49">
        <v>150.28</v>
      </c>
      <c r="AM430" s="49" t="s">
        <v>1574</v>
      </c>
      <c r="AN430" s="49">
        <v>0.39778999999999998</v>
      </c>
      <c r="AO430" s="49">
        <v>0.44861000000000001</v>
      </c>
      <c r="AP430" s="49">
        <v>2.0441236639999998</v>
      </c>
      <c r="AQ430" s="49">
        <v>1.14309547</v>
      </c>
      <c r="AR430" s="49">
        <v>2.7298</v>
      </c>
      <c r="AS430" s="49">
        <v>14.0434</v>
      </c>
      <c r="AT430" s="49">
        <v>0.67989999999999995</v>
      </c>
      <c r="AU430" s="49">
        <v>0.49519999999999997</v>
      </c>
      <c r="AV430" s="49">
        <v>0.32169999999999999</v>
      </c>
      <c r="AW430" s="49">
        <v>2586.7600000000002</v>
      </c>
      <c r="AX430" s="49">
        <v>346.84</v>
      </c>
      <c r="AY430" s="49">
        <v>283.10000000000002</v>
      </c>
      <c r="AZ430" s="49">
        <v>642.14476351012001</v>
      </c>
      <c r="BA430" s="49">
        <v>713.57749117421997</v>
      </c>
      <c r="BB430" s="49">
        <v>656.48</v>
      </c>
      <c r="BC430" s="49">
        <v>2.4361999999999999</v>
      </c>
      <c r="BD430" s="49" t="s">
        <v>1574</v>
      </c>
      <c r="BE430" s="49">
        <v>1.8033999999999999</v>
      </c>
      <c r="BF430" s="49">
        <v>31.5</v>
      </c>
      <c r="BG430" s="49">
        <v>205.625</v>
      </c>
      <c r="BH430" s="49">
        <v>147.5</v>
      </c>
      <c r="BI430" s="49">
        <v>191.25</v>
      </c>
      <c r="BJ430" s="49">
        <v>112.5</v>
      </c>
      <c r="BK430" s="49">
        <v>1805.07</v>
      </c>
      <c r="BL430" s="49">
        <v>28.38</v>
      </c>
      <c r="BM430" s="49">
        <v>2924.04</v>
      </c>
      <c r="BN430" s="49">
        <v>585.6</v>
      </c>
      <c r="BO430" s="49">
        <v>5532.4</v>
      </c>
      <c r="BP430" s="49">
        <v>7531.91</v>
      </c>
      <c r="BQ430" s="49">
        <v>1022.2</v>
      </c>
      <c r="BR430" s="49">
        <v>382.12</v>
      </c>
      <c r="BS430" s="49">
        <v>416.89</v>
      </c>
      <c r="BT430" s="49">
        <v>4.6485000000000003</v>
      </c>
      <c r="BU430" s="41"/>
      <c r="BV430" s="41"/>
      <c r="BW430" s="41"/>
      <c r="BX430" s="41"/>
      <c r="BY430" s="41"/>
      <c r="BZ430" s="41"/>
      <c r="CA430" s="41"/>
      <c r="CB430" s="41"/>
      <c r="CC430" s="41"/>
      <c r="CD430" s="41"/>
      <c r="CE430" s="41"/>
      <c r="CF430" s="41"/>
      <c r="CG430" s="41"/>
      <c r="CH430" s="41"/>
      <c r="CI430" s="41"/>
      <c r="CJ430" s="41"/>
      <c r="CK430" s="41"/>
    </row>
    <row r="431" spans="1:89">
      <c r="A431" s="41" t="s">
        <v>560</v>
      </c>
      <c r="B431" s="51">
        <v>18.646666666670001</v>
      </c>
      <c r="C431" s="51">
        <v>18.670000000000002</v>
      </c>
      <c r="D431" s="51">
        <v>17.399999999999999</v>
      </c>
      <c r="E431" s="51">
        <v>19.87</v>
      </c>
      <c r="F431" s="51">
        <v>37.1</v>
      </c>
      <c r="G431" s="51">
        <v>35</v>
      </c>
      <c r="H431" s="51">
        <v>1.62</v>
      </c>
      <c r="I431" s="51">
        <v>2.71</v>
      </c>
      <c r="J431" s="51">
        <v>3.45</v>
      </c>
      <c r="K431" s="51">
        <v>34.892884000530003</v>
      </c>
      <c r="L431" s="51">
        <v>1.4612000000000001</v>
      </c>
      <c r="M431" s="51">
        <v>3.8449</v>
      </c>
      <c r="N431" s="51">
        <v>3.1918000000000002</v>
      </c>
      <c r="O431" s="51">
        <v>1.3688</v>
      </c>
      <c r="P431" s="51">
        <v>1.361928</v>
      </c>
      <c r="Q431" s="51">
        <v>1.3945920000000001</v>
      </c>
      <c r="R431" s="51">
        <v>1.35</v>
      </c>
      <c r="S431" s="51">
        <v>619</v>
      </c>
      <c r="T431" s="51">
        <v>823</v>
      </c>
      <c r="U431" s="51">
        <v>447</v>
      </c>
      <c r="V431" s="51">
        <v>981</v>
      </c>
      <c r="W431" s="51">
        <v>625</v>
      </c>
      <c r="X431" s="51" t="s">
        <v>1574</v>
      </c>
      <c r="Y431" s="51">
        <v>249</v>
      </c>
      <c r="Z431" s="51">
        <v>610</v>
      </c>
      <c r="AA431" s="51">
        <v>181</v>
      </c>
      <c r="AB431" s="51" t="s">
        <v>1574</v>
      </c>
      <c r="AC431" s="51" t="s">
        <v>1574</v>
      </c>
      <c r="AD431" s="51">
        <v>93.4</v>
      </c>
      <c r="AE431" s="51">
        <v>109.3</v>
      </c>
      <c r="AF431" s="51">
        <v>103.29</v>
      </c>
      <c r="AG431" s="51">
        <v>281.5</v>
      </c>
      <c r="AH431" s="51">
        <v>260</v>
      </c>
      <c r="AI431" s="51">
        <v>226.25</v>
      </c>
      <c r="AJ431" s="51" t="s">
        <v>1574</v>
      </c>
      <c r="AK431" s="51">
        <v>140.68</v>
      </c>
      <c r="AL431" s="51">
        <v>148.81</v>
      </c>
      <c r="AM431" s="51" t="s">
        <v>1574</v>
      </c>
      <c r="AN431" s="51">
        <v>0.38580999999999999</v>
      </c>
      <c r="AO431" s="51">
        <v>0.55642000000000003</v>
      </c>
      <c r="AP431" s="51">
        <v>1.923310488</v>
      </c>
      <c r="AQ431" s="51">
        <v>1.1327337559999999</v>
      </c>
      <c r="AR431" s="51">
        <v>2.6324000000000001</v>
      </c>
      <c r="AS431" s="51">
        <v>14.412699999999999</v>
      </c>
      <c r="AT431" s="51">
        <v>0.70079999999999998</v>
      </c>
      <c r="AU431" s="51">
        <v>0.50229999999999997</v>
      </c>
      <c r="AV431" s="51">
        <v>0.30199999999999999</v>
      </c>
      <c r="AW431" s="51">
        <v>2501.1</v>
      </c>
      <c r="AX431" s="51">
        <v>350.64</v>
      </c>
      <c r="AY431" s="51">
        <v>300.91000000000003</v>
      </c>
      <c r="AZ431" s="51">
        <v>639.70284770945</v>
      </c>
      <c r="BA431" s="51">
        <v>730.81622126847003</v>
      </c>
      <c r="BB431" s="51">
        <v>665.11</v>
      </c>
      <c r="BC431" s="51">
        <v>2.5078999999999998</v>
      </c>
      <c r="BD431" s="51" t="s">
        <v>1574</v>
      </c>
      <c r="BE431" s="51">
        <v>1.84</v>
      </c>
      <c r="BF431" s="51">
        <v>31.5</v>
      </c>
      <c r="BG431" s="51">
        <v>204.5</v>
      </c>
      <c r="BH431" s="51">
        <v>147.5</v>
      </c>
      <c r="BI431" s="51">
        <v>205</v>
      </c>
      <c r="BJ431" s="51">
        <v>112.5</v>
      </c>
      <c r="BK431" s="51">
        <v>1849</v>
      </c>
      <c r="BL431" s="51">
        <v>28.38</v>
      </c>
      <c r="BM431" s="51">
        <v>2903.5</v>
      </c>
      <c r="BN431" s="51">
        <v>608.5</v>
      </c>
      <c r="BO431" s="51">
        <v>5872.1</v>
      </c>
      <c r="BP431" s="51">
        <v>7397.83</v>
      </c>
      <c r="BQ431" s="51">
        <v>1061.4000000000001</v>
      </c>
      <c r="BR431" s="51">
        <v>391.03</v>
      </c>
      <c r="BS431" s="51">
        <v>448.29</v>
      </c>
      <c r="BT431" s="51">
        <v>5.4776999999999996</v>
      </c>
      <c r="BU431" s="41"/>
      <c r="BV431" s="41"/>
      <c r="BW431" s="41"/>
      <c r="BX431" s="41"/>
      <c r="BY431" s="41"/>
      <c r="BZ431" s="41"/>
      <c r="CA431" s="41"/>
      <c r="CB431" s="41"/>
      <c r="CC431" s="41"/>
      <c r="CD431" s="41"/>
      <c r="CE431" s="41"/>
      <c r="CF431" s="41"/>
      <c r="CG431" s="41"/>
      <c r="CH431" s="41"/>
      <c r="CI431" s="41"/>
      <c r="CJ431" s="41"/>
      <c r="CK431" s="41"/>
    </row>
    <row r="432" spans="1:89">
      <c r="A432" s="48" t="s">
        <v>561</v>
      </c>
      <c r="B432" s="49">
        <v>18.42333333333</v>
      </c>
      <c r="C432" s="49">
        <v>18.38</v>
      </c>
      <c r="D432" s="49">
        <v>17.25</v>
      </c>
      <c r="E432" s="49">
        <v>19.64</v>
      </c>
      <c r="F432" s="49">
        <v>38.770000000000003</v>
      </c>
      <c r="G432" s="49">
        <v>35</v>
      </c>
      <c r="H432" s="49">
        <v>1.64</v>
      </c>
      <c r="I432" s="49">
        <v>2.71</v>
      </c>
      <c r="J432" s="49">
        <v>3.53</v>
      </c>
      <c r="K432" s="49">
        <v>35.189950987129997</v>
      </c>
      <c r="L432" s="49">
        <v>1.4453</v>
      </c>
      <c r="M432" s="49">
        <v>3.7700999999999998</v>
      </c>
      <c r="N432" s="49">
        <v>3.1063000000000001</v>
      </c>
      <c r="O432" s="49">
        <v>1.4943</v>
      </c>
      <c r="P432" s="49">
        <v>1.3087310000000001</v>
      </c>
      <c r="Q432" s="49">
        <v>1.872288</v>
      </c>
      <c r="R432" s="49">
        <v>1.302</v>
      </c>
      <c r="S432" s="49">
        <v>616</v>
      </c>
      <c r="T432" s="49">
        <v>822</v>
      </c>
      <c r="U432" s="49">
        <v>436</v>
      </c>
      <c r="V432" s="49">
        <v>973</v>
      </c>
      <c r="W432" s="49">
        <v>611</v>
      </c>
      <c r="X432" s="49" t="s">
        <v>1574</v>
      </c>
      <c r="Y432" s="49">
        <v>250</v>
      </c>
      <c r="Z432" s="49">
        <v>595</v>
      </c>
      <c r="AA432" s="49">
        <v>181</v>
      </c>
      <c r="AB432" s="49" t="s">
        <v>1574</v>
      </c>
      <c r="AC432" s="49" t="s">
        <v>1574</v>
      </c>
      <c r="AD432" s="49">
        <v>100.79</v>
      </c>
      <c r="AE432" s="49">
        <v>111.97</v>
      </c>
      <c r="AF432" s="49">
        <v>108.06</v>
      </c>
      <c r="AG432" s="49">
        <v>291</v>
      </c>
      <c r="AH432" s="49">
        <v>268</v>
      </c>
      <c r="AI432" s="49">
        <v>238.6</v>
      </c>
      <c r="AJ432" s="49" t="s">
        <v>1574</v>
      </c>
      <c r="AK432" s="49">
        <v>143.28</v>
      </c>
      <c r="AL432" s="49">
        <v>158.72999999999999</v>
      </c>
      <c r="AM432" s="49" t="s">
        <v>1574</v>
      </c>
      <c r="AN432" s="49">
        <v>0.39300000000000002</v>
      </c>
      <c r="AO432" s="49">
        <v>0.56189999999999996</v>
      </c>
      <c r="AP432" s="49">
        <v>1.7520115140000001</v>
      </c>
      <c r="AQ432" s="49">
        <v>1.153677646</v>
      </c>
      <c r="AR432" s="49">
        <v>2.5337000000000001</v>
      </c>
      <c r="AS432" s="49">
        <v>14.8812</v>
      </c>
      <c r="AT432" s="49">
        <v>0.70660000000000001</v>
      </c>
      <c r="AU432" s="49">
        <v>0.50929999999999997</v>
      </c>
      <c r="AV432" s="49">
        <v>0.29809999999999998</v>
      </c>
      <c r="AW432" s="49">
        <v>2518.9299999999998</v>
      </c>
      <c r="AX432" s="49">
        <v>340.95</v>
      </c>
      <c r="AY432" s="49">
        <v>285.43</v>
      </c>
      <c r="AZ432" s="49">
        <v>635.24590163933999</v>
      </c>
      <c r="BA432" s="49">
        <v>750.76812042567997</v>
      </c>
      <c r="BB432" s="49">
        <v>635.41</v>
      </c>
      <c r="BC432" s="49">
        <v>2.5335000000000001</v>
      </c>
      <c r="BD432" s="49" t="s">
        <v>1574</v>
      </c>
      <c r="BE432" s="49">
        <v>1.7224999999999999</v>
      </c>
      <c r="BF432" s="49">
        <v>31.5</v>
      </c>
      <c r="BG432" s="49">
        <v>197.8</v>
      </c>
      <c r="BH432" s="49">
        <v>147.5</v>
      </c>
      <c r="BI432" s="49">
        <v>159</v>
      </c>
      <c r="BJ432" s="49">
        <v>112.5</v>
      </c>
      <c r="BK432" s="49">
        <v>1762.69</v>
      </c>
      <c r="BL432" s="49">
        <v>28.38</v>
      </c>
      <c r="BM432" s="49">
        <v>2773.31</v>
      </c>
      <c r="BN432" s="49">
        <v>596.5</v>
      </c>
      <c r="BO432" s="49">
        <v>5926.5</v>
      </c>
      <c r="BP432" s="49">
        <v>7232.19</v>
      </c>
      <c r="BQ432" s="49">
        <v>1036.2</v>
      </c>
      <c r="BR432" s="49">
        <v>385.22</v>
      </c>
      <c r="BS432" s="49">
        <v>437.35</v>
      </c>
      <c r="BT432" s="49">
        <v>5.5598000000000001</v>
      </c>
      <c r="BU432" s="41"/>
      <c r="BV432" s="41"/>
      <c r="BW432" s="41"/>
      <c r="BX432" s="41"/>
      <c r="BY432" s="41"/>
      <c r="BZ432" s="41"/>
      <c r="CA432" s="41"/>
      <c r="CB432" s="41"/>
      <c r="CC432" s="41"/>
      <c r="CD432" s="41"/>
      <c r="CE432" s="41"/>
      <c r="CF432" s="41"/>
      <c r="CG432" s="41"/>
      <c r="CH432" s="41"/>
      <c r="CI432" s="41"/>
      <c r="CJ432" s="41"/>
      <c r="CK432" s="41"/>
    </row>
    <row r="433" spans="1:89">
      <c r="A433" s="41" t="s">
        <v>562</v>
      </c>
      <c r="B433" s="51">
        <v>17.363333333330001</v>
      </c>
      <c r="C433" s="51">
        <v>17.350000000000001</v>
      </c>
      <c r="D433" s="51">
        <v>16.239999999999998</v>
      </c>
      <c r="E433" s="51">
        <v>18.5</v>
      </c>
      <c r="F433" s="51">
        <v>40.770000000000003</v>
      </c>
      <c r="G433" s="51">
        <v>34.89</v>
      </c>
      <c r="H433" s="51">
        <v>1.62</v>
      </c>
      <c r="I433" s="51">
        <v>2.73</v>
      </c>
      <c r="J433" s="51">
        <v>3.56</v>
      </c>
      <c r="K433" s="51">
        <v>35.062487798120003</v>
      </c>
      <c r="L433" s="51">
        <v>1.4372</v>
      </c>
      <c r="M433" s="51">
        <v>3.4058999999999999</v>
      </c>
      <c r="N433" s="51">
        <v>2.84</v>
      </c>
      <c r="O433" s="51">
        <v>1.4919</v>
      </c>
      <c r="P433" s="51">
        <v>1.2041459999999999</v>
      </c>
      <c r="Q433" s="51">
        <v>1.9791859999999999</v>
      </c>
      <c r="R433" s="51">
        <v>1.2925</v>
      </c>
      <c r="S433" s="51">
        <v>668</v>
      </c>
      <c r="T433" s="51">
        <v>841</v>
      </c>
      <c r="U433" s="51">
        <v>467</v>
      </c>
      <c r="V433" s="51">
        <v>965</v>
      </c>
      <c r="W433" s="51">
        <v>631</v>
      </c>
      <c r="X433" s="51" t="s">
        <v>1574</v>
      </c>
      <c r="Y433" s="51">
        <v>252</v>
      </c>
      <c r="Z433" s="51">
        <v>611</v>
      </c>
      <c r="AA433" s="51">
        <v>180</v>
      </c>
      <c r="AB433" s="51" t="s">
        <v>1574</v>
      </c>
      <c r="AC433" s="51" t="s">
        <v>1574</v>
      </c>
      <c r="AD433" s="51">
        <v>105.77</v>
      </c>
      <c r="AE433" s="51">
        <v>119.86</v>
      </c>
      <c r="AF433" s="51">
        <v>112.83</v>
      </c>
      <c r="AG433" s="51">
        <v>326</v>
      </c>
      <c r="AH433" s="51">
        <v>303</v>
      </c>
      <c r="AI433" s="51">
        <v>275.75</v>
      </c>
      <c r="AJ433" s="51" t="s">
        <v>1574</v>
      </c>
      <c r="AK433" s="51">
        <v>153.47999999999999</v>
      </c>
      <c r="AL433" s="51">
        <v>170.12</v>
      </c>
      <c r="AM433" s="51" t="s">
        <v>1574</v>
      </c>
      <c r="AN433" s="51">
        <v>0.36890000000000001</v>
      </c>
      <c r="AO433" s="51">
        <v>0.65486999999999995</v>
      </c>
      <c r="AP433" s="51">
        <v>1.6605197840000001</v>
      </c>
      <c r="AQ433" s="51">
        <v>1.192919882</v>
      </c>
      <c r="AR433" s="51">
        <v>2.5331999999999999</v>
      </c>
      <c r="AS433" s="51">
        <v>14.8812</v>
      </c>
      <c r="AT433" s="51">
        <v>0.70240000000000002</v>
      </c>
      <c r="AU433" s="51">
        <v>0.51870000000000005</v>
      </c>
      <c r="AV433" s="51">
        <v>0.30909999999999999</v>
      </c>
      <c r="AW433" s="51">
        <v>2587.4699999999998</v>
      </c>
      <c r="AX433" s="51">
        <v>345.78</v>
      </c>
      <c r="AY433" s="51">
        <v>274.22000000000003</v>
      </c>
      <c r="AZ433" s="51">
        <v>625.45765194043997</v>
      </c>
      <c r="BA433" s="51">
        <v>759.11308092203001</v>
      </c>
      <c r="BB433" s="51">
        <v>627</v>
      </c>
      <c r="BC433" s="51">
        <v>1.9996</v>
      </c>
      <c r="BD433" s="51" t="s">
        <v>1574</v>
      </c>
      <c r="BE433" s="51">
        <v>1.5417000000000001</v>
      </c>
      <c r="BF433" s="51">
        <v>31.5</v>
      </c>
      <c r="BG433" s="51">
        <v>185.625</v>
      </c>
      <c r="BH433" s="51">
        <v>147.5</v>
      </c>
      <c r="BI433" s="51">
        <v>90</v>
      </c>
      <c r="BJ433" s="51">
        <v>112.5</v>
      </c>
      <c r="BK433" s="51">
        <v>1780.05</v>
      </c>
      <c r="BL433" s="51">
        <v>28.38</v>
      </c>
      <c r="BM433" s="51">
        <v>2994.64</v>
      </c>
      <c r="BN433" s="51">
        <v>611.79999999999995</v>
      </c>
      <c r="BO433" s="51">
        <v>6670.7</v>
      </c>
      <c r="BP433" s="51">
        <v>7871.57</v>
      </c>
      <c r="BQ433" s="51">
        <v>1009.6</v>
      </c>
      <c r="BR433" s="51">
        <v>387.56</v>
      </c>
      <c r="BS433" s="51">
        <v>438.53</v>
      </c>
      <c r="BT433" s="51">
        <v>5.3636999999999997</v>
      </c>
      <c r="BU433" s="41"/>
      <c r="BV433" s="41"/>
      <c r="BW433" s="41"/>
      <c r="BX433" s="41"/>
      <c r="BY433" s="41"/>
      <c r="BZ433" s="41"/>
      <c r="CA433" s="41"/>
      <c r="CB433" s="41"/>
      <c r="CC433" s="41"/>
      <c r="CD433" s="41"/>
      <c r="CE433" s="41"/>
      <c r="CF433" s="41"/>
      <c r="CG433" s="41"/>
      <c r="CH433" s="41"/>
      <c r="CI433" s="41"/>
      <c r="CJ433" s="41"/>
      <c r="CK433" s="41"/>
    </row>
    <row r="434" spans="1:89">
      <c r="A434" s="48" t="s">
        <v>563</v>
      </c>
      <c r="B434" s="49">
        <v>16.08333333333</v>
      </c>
      <c r="C434" s="49">
        <v>15.86</v>
      </c>
      <c r="D434" s="49">
        <v>14.97</v>
      </c>
      <c r="E434" s="49">
        <v>17.420000000000002</v>
      </c>
      <c r="F434" s="49">
        <v>41.05</v>
      </c>
      <c r="G434" s="49">
        <v>36.15</v>
      </c>
      <c r="H434" s="49">
        <v>1.44</v>
      </c>
      <c r="I434" s="49">
        <v>2.8</v>
      </c>
      <c r="J434" s="49">
        <v>3.48</v>
      </c>
      <c r="K434" s="49">
        <v>33.155259203009997</v>
      </c>
      <c r="L434" s="49">
        <v>1.3640000000000001</v>
      </c>
      <c r="M434" s="49">
        <v>3.2111999999999998</v>
      </c>
      <c r="N434" s="49">
        <v>2.6402999999999999</v>
      </c>
      <c r="O434" s="49">
        <v>1.5698000000000001</v>
      </c>
      <c r="P434" s="49">
        <v>1.222782</v>
      </c>
      <c r="Q434" s="49">
        <v>2.2046869999999998</v>
      </c>
      <c r="R434" s="49">
        <v>1.282</v>
      </c>
      <c r="S434" s="49">
        <v>693</v>
      </c>
      <c r="T434" s="49">
        <v>876</v>
      </c>
      <c r="U434" s="49">
        <v>502</v>
      </c>
      <c r="V434" s="49">
        <v>969</v>
      </c>
      <c r="W434" s="49">
        <v>655</v>
      </c>
      <c r="X434" s="49" t="s">
        <v>1574</v>
      </c>
      <c r="Y434" s="49">
        <v>261</v>
      </c>
      <c r="Z434" s="49">
        <v>626</v>
      </c>
      <c r="AA434" s="49">
        <v>193</v>
      </c>
      <c r="AB434" s="49" t="s">
        <v>1574</v>
      </c>
      <c r="AC434" s="49" t="s">
        <v>1574</v>
      </c>
      <c r="AD434" s="49">
        <v>112.97</v>
      </c>
      <c r="AE434" s="49">
        <v>126.99</v>
      </c>
      <c r="AF434" s="49">
        <v>119.1</v>
      </c>
      <c r="AG434" s="49">
        <v>345.6</v>
      </c>
      <c r="AH434" s="49">
        <v>327</v>
      </c>
      <c r="AI434" s="49">
        <v>296</v>
      </c>
      <c r="AJ434" s="49" t="s">
        <v>1574</v>
      </c>
      <c r="AK434" s="49">
        <v>173.36</v>
      </c>
      <c r="AL434" s="49">
        <v>190.7</v>
      </c>
      <c r="AM434" s="49" t="s">
        <v>1574</v>
      </c>
      <c r="AN434" s="49">
        <v>0.53541000000000005</v>
      </c>
      <c r="AO434" s="49">
        <v>0.68669999999999998</v>
      </c>
      <c r="AP434" s="49">
        <v>1.6331824960000001</v>
      </c>
      <c r="AQ434" s="49">
        <v>1.24340568</v>
      </c>
      <c r="AR434" s="49">
        <v>2.5400999999999998</v>
      </c>
      <c r="AS434" s="49">
        <v>14.551</v>
      </c>
      <c r="AT434" s="49">
        <v>0.70479999999999998</v>
      </c>
      <c r="AU434" s="49">
        <v>0.54020000000000001</v>
      </c>
      <c r="AV434" s="49">
        <v>0.29959999999999998</v>
      </c>
      <c r="AW434" s="49">
        <v>2642.87</v>
      </c>
      <c r="AX434" s="49">
        <v>351.79</v>
      </c>
      <c r="AY434" s="49">
        <v>259.57</v>
      </c>
      <c r="AZ434" s="49">
        <v>615.63612283751002</v>
      </c>
      <c r="BA434" s="49">
        <v>752.31998638686002</v>
      </c>
      <c r="BB434" s="49">
        <v>584.72</v>
      </c>
      <c r="BC434" s="49">
        <v>1.9258</v>
      </c>
      <c r="BD434" s="49" t="s">
        <v>1574</v>
      </c>
      <c r="BE434" s="49">
        <v>1.3340000000000001</v>
      </c>
      <c r="BF434" s="49">
        <v>33.5</v>
      </c>
      <c r="BG434" s="49">
        <v>180.8</v>
      </c>
      <c r="BH434" s="49">
        <v>147.5</v>
      </c>
      <c r="BI434" s="49">
        <v>90</v>
      </c>
      <c r="BJ434" s="49">
        <v>112.5</v>
      </c>
      <c r="BK434" s="49">
        <v>1860.1</v>
      </c>
      <c r="BL434" s="49">
        <v>28.38</v>
      </c>
      <c r="BM434" s="49">
        <v>3075.67</v>
      </c>
      <c r="BN434" s="49">
        <v>621.9</v>
      </c>
      <c r="BO434" s="49">
        <v>6668.9</v>
      </c>
      <c r="BP434" s="49">
        <v>8596.57</v>
      </c>
      <c r="BQ434" s="49">
        <v>1026.8</v>
      </c>
      <c r="BR434" s="49">
        <v>386.23</v>
      </c>
      <c r="BS434" s="49">
        <v>433.63</v>
      </c>
      <c r="BT434" s="49">
        <v>5.1647999999999996</v>
      </c>
      <c r="BU434" s="41"/>
      <c r="BV434" s="41"/>
      <c r="BW434" s="41"/>
      <c r="BX434" s="41"/>
      <c r="BY434" s="41"/>
      <c r="BZ434" s="41"/>
      <c r="CA434" s="41"/>
      <c r="CB434" s="41"/>
      <c r="CC434" s="41"/>
      <c r="CD434" s="41"/>
      <c r="CE434" s="41"/>
      <c r="CF434" s="41"/>
      <c r="CG434" s="41"/>
      <c r="CH434" s="41"/>
      <c r="CI434" s="41"/>
      <c r="CJ434" s="41"/>
      <c r="CK434" s="41"/>
    </row>
    <row r="435" spans="1:89">
      <c r="A435" s="41" t="s">
        <v>564</v>
      </c>
      <c r="B435" s="51">
        <v>16.466666666670001</v>
      </c>
      <c r="C435" s="51">
        <v>16.07</v>
      </c>
      <c r="D435" s="51">
        <v>15.37</v>
      </c>
      <c r="E435" s="51">
        <v>17.96</v>
      </c>
      <c r="F435" s="51">
        <v>40.880000000000003</v>
      </c>
      <c r="G435" s="51">
        <v>35.700000000000003</v>
      </c>
      <c r="H435" s="51">
        <v>1.56</v>
      </c>
      <c r="I435" s="51">
        <v>2.8</v>
      </c>
      <c r="J435" s="51">
        <v>3.46</v>
      </c>
      <c r="K435" s="51">
        <v>34.598914078070003</v>
      </c>
      <c r="L435" s="51">
        <v>1.4129</v>
      </c>
      <c r="M435" s="51">
        <v>3.3776999999999999</v>
      </c>
      <c r="N435" s="51">
        <v>2.87</v>
      </c>
      <c r="O435" s="51">
        <v>1.5047999999999999</v>
      </c>
      <c r="P435" s="51">
        <v>1.398069</v>
      </c>
      <c r="Q435" s="51">
        <v>1.8762270000000001</v>
      </c>
      <c r="R435" s="51">
        <v>1.24</v>
      </c>
      <c r="S435" s="51">
        <v>686</v>
      </c>
      <c r="T435" s="51">
        <v>885</v>
      </c>
      <c r="U435" s="51">
        <v>493</v>
      </c>
      <c r="V435" s="51">
        <v>980</v>
      </c>
      <c r="W435" s="51">
        <v>616</v>
      </c>
      <c r="X435" s="51" t="s">
        <v>1574</v>
      </c>
      <c r="Y435" s="51">
        <v>257</v>
      </c>
      <c r="Z435" s="51">
        <v>616</v>
      </c>
      <c r="AA435" s="51">
        <v>190</v>
      </c>
      <c r="AB435" s="51" t="s">
        <v>1574</v>
      </c>
      <c r="AC435" s="51" t="s">
        <v>1574</v>
      </c>
      <c r="AD435" s="51">
        <v>104.87</v>
      </c>
      <c r="AE435" s="51">
        <v>126.44</v>
      </c>
      <c r="AF435" s="51">
        <v>118.7</v>
      </c>
      <c r="AG435" s="51">
        <v>339.5</v>
      </c>
      <c r="AH435" s="51">
        <v>318</v>
      </c>
      <c r="AI435" s="51">
        <v>286</v>
      </c>
      <c r="AJ435" s="51" t="s">
        <v>1574</v>
      </c>
      <c r="AK435" s="51">
        <v>168.47</v>
      </c>
      <c r="AL435" s="51">
        <v>184.45</v>
      </c>
      <c r="AM435" s="51" t="s">
        <v>1574</v>
      </c>
      <c r="AN435" s="51">
        <v>0.52</v>
      </c>
      <c r="AO435" s="51">
        <v>0.60838999999999999</v>
      </c>
      <c r="AP435" s="51">
        <v>1.6865342999999999</v>
      </c>
      <c r="AQ435" s="51">
        <v>1.311087514</v>
      </c>
      <c r="AR435" s="51">
        <v>2.5192000000000001</v>
      </c>
      <c r="AS435" s="51">
        <v>13.448</v>
      </c>
      <c r="AT435" s="51">
        <v>0.69369999999999998</v>
      </c>
      <c r="AU435" s="51">
        <v>0.51680000000000004</v>
      </c>
      <c r="AV435" s="51">
        <v>0.28620000000000001</v>
      </c>
      <c r="AW435" s="51">
        <v>2691.66</v>
      </c>
      <c r="AX435" s="51">
        <v>341.96</v>
      </c>
      <c r="AY435" s="51">
        <v>235.66</v>
      </c>
      <c r="AZ435" s="51">
        <v>583.33668584301995</v>
      </c>
      <c r="BA435" s="51">
        <v>741.71674429781001</v>
      </c>
      <c r="BB435" s="51">
        <v>560.55999999999995</v>
      </c>
      <c r="BC435" s="51">
        <v>1.8753</v>
      </c>
      <c r="BD435" s="51" t="s">
        <v>1574</v>
      </c>
      <c r="BE435" s="51">
        <v>1.2979000000000001</v>
      </c>
      <c r="BF435" s="51">
        <v>33.5</v>
      </c>
      <c r="BG435" s="51">
        <v>185.25</v>
      </c>
      <c r="BH435" s="51">
        <v>147.5</v>
      </c>
      <c r="BI435" s="51">
        <v>90</v>
      </c>
      <c r="BJ435" s="51">
        <v>112.5</v>
      </c>
      <c r="BK435" s="51">
        <v>1888.32</v>
      </c>
      <c r="BL435" s="51">
        <v>28.38</v>
      </c>
      <c r="BM435" s="51">
        <v>3036.84</v>
      </c>
      <c r="BN435" s="51">
        <v>623.6</v>
      </c>
      <c r="BO435" s="51">
        <v>6992.3</v>
      </c>
      <c r="BP435" s="51">
        <v>8944.66</v>
      </c>
      <c r="BQ435" s="51">
        <v>1014.4</v>
      </c>
      <c r="BR435" s="51">
        <v>383.67</v>
      </c>
      <c r="BS435" s="51">
        <v>425.34</v>
      </c>
      <c r="BT435" s="51">
        <v>5.3982000000000001</v>
      </c>
      <c r="BU435" s="41"/>
      <c r="BV435" s="41"/>
      <c r="BW435" s="41"/>
      <c r="BX435" s="41"/>
      <c r="BY435" s="41"/>
      <c r="BZ435" s="41"/>
      <c r="CA435" s="41"/>
      <c r="CB435" s="41"/>
      <c r="CC435" s="41"/>
      <c r="CD435" s="41"/>
      <c r="CE435" s="41"/>
      <c r="CF435" s="41"/>
      <c r="CG435" s="41"/>
      <c r="CH435" s="41"/>
      <c r="CI435" s="41"/>
      <c r="CJ435" s="41"/>
      <c r="CK435" s="41"/>
    </row>
    <row r="436" spans="1:89">
      <c r="A436" s="48" t="s">
        <v>565</v>
      </c>
      <c r="B436" s="49">
        <v>16.82</v>
      </c>
      <c r="C436" s="49">
        <v>16.78</v>
      </c>
      <c r="D436" s="49">
        <v>15.65</v>
      </c>
      <c r="E436" s="49">
        <v>18.03</v>
      </c>
      <c r="F436" s="49">
        <v>40.93</v>
      </c>
      <c r="G436" s="49">
        <v>35.93</v>
      </c>
      <c r="H436" s="49">
        <v>1.64</v>
      </c>
      <c r="I436" s="49">
        <v>2.78</v>
      </c>
      <c r="J436" s="49">
        <v>3.46</v>
      </c>
      <c r="K436" s="49">
        <v>35.475304468170002</v>
      </c>
      <c r="L436" s="49">
        <v>1.3971</v>
      </c>
      <c r="M436" s="49">
        <v>2.9643000000000002</v>
      </c>
      <c r="N436" s="49">
        <v>2.5364</v>
      </c>
      <c r="O436" s="49">
        <v>1.5497000000000001</v>
      </c>
      <c r="P436" s="49">
        <v>1.566794</v>
      </c>
      <c r="Q436" s="49">
        <v>1.777377</v>
      </c>
      <c r="R436" s="49">
        <v>1.3049999999999999</v>
      </c>
      <c r="S436" s="49">
        <v>677</v>
      </c>
      <c r="T436" s="49">
        <v>970</v>
      </c>
      <c r="U436" s="49">
        <v>505</v>
      </c>
      <c r="V436" s="49">
        <v>981</v>
      </c>
      <c r="W436" s="49">
        <v>586</v>
      </c>
      <c r="X436" s="49" t="s">
        <v>1574</v>
      </c>
      <c r="Y436" s="49">
        <v>266</v>
      </c>
      <c r="Z436" s="49">
        <v>614</v>
      </c>
      <c r="AA436" s="49">
        <v>206</v>
      </c>
      <c r="AB436" s="49" t="s">
        <v>1574</v>
      </c>
      <c r="AC436" s="49" t="s">
        <v>1574</v>
      </c>
      <c r="AD436" s="49">
        <v>104.82</v>
      </c>
      <c r="AE436" s="49">
        <v>130.47999999999999</v>
      </c>
      <c r="AF436" s="49">
        <v>127.26</v>
      </c>
      <c r="AG436" s="49">
        <v>359.75</v>
      </c>
      <c r="AH436" s="49">
        <v>332</v>
      </c>
      <c r="AI436" s="49">
        <v>284.75</v>
      </c>
      <c r="AJ436" s="49" t="s">
        <v>1574</v>
      </c>
      <c r="AK436" s="49">
        <v>185.61</v>
      </c>
      <c r="AL436" s="49">
        <v>193.64</v>
      </c>
      <c r="AM436" s="49" t="s">
        <v>1574</v>
      </c>
      <c r="AN436" s="49">
        <v>0.52</v>
      </c>
      <c r="AO436" s="49">
        <v>0.53754999999999997</v>
      </c>
      <c r="AP436" s="49">
        <v>1.76479831</v>
      </c>
      <c r="AQ436" s="49">
        <v>1.336661106</v>
      </c>
      <c r="AR436" s="49">
        <v>2.5598000000000001</v>
      </c>
      <c r="AS436" s="49">
        <v>12.2136</v>
      </c>
      <c r="AT436" s="49">
        <v>0.68830000000000002</v>
      </c>
      <c r="AU436" s="49">
        <v>0.51170000000000004</v>
      </c>
      <c r="AV436" s="49">
        <v>0.25769999999999998</v>
      </c>
      <c r="AW436" s="49">
        <v>2689.09</v>
      </c>
      <c r="AX436" s="49">
        <v>337.09</v>
      </c>
      <c r="AY436" s="49">
        <v>221.73</v>
      </c>
      <c r="AZ436" s="49">
        <v>565.65656565657002</v>
      </c>
      <c r="BA436" s="49">
        <v>728.69897473166998</v>
      </c>
      <c r="BB436" s="49">
        <v>527.42999999999995</v>
      </c>
      <c r="BC436" s="49">
        <v>2.0102000000000002</v>
      </c>
      <c r="BD436" s="49" t="s">
        <v>1574</v>
      </c>
      <c r="BE436" s="49">
        <v>1.3471</v>
      </c>
      <c r="BF436" s="49">
        <v>33.5</v>
      </c>
      <c r="BG436" s="49">
        <v>192</v>
      </c>
      <c r="BH436" s="49">
        <v>147.5</v>
      </c>
      <c r="BI436" s="49">
        <v>90</v>
      </c>
      <c r="BJ436" s="49">
        <v>112.5</v>
      </c>
      <c r="BK436" s="49">
        <v>1760.83</v>
      </c>
      <c r="BL436" s="49">
        <v>28.38</v>
      </c>
      <c r="BM436" s="49">
        <v>2915.52</v>
      </c>
      <c r="BN436" s="49">
        <v>592.70000000000005</v>
      </c>
      <c r="BO436" s="49">
        <v>6328.1</v>
      </c>
      <c r="BP436" s="49">
        <v>8405.2099999999991</v>
      </c>
      <c r="BQ436" s="49">
        <v>986.2</v>
      </c>
      <c r="BR436" s="49">
        <v>383.06</v>
      </c>
      <c r="BS436" s="49">
        <v>429.65</v>
      </c>
      <c r="BT436" s="49">
        <v>5.4295</v>
      </c>
      <c r="BU436" s="41"/>
      <c r="BV436" s="41"/>
      <c r="BW436" s="41"/>
      <c r="BX436" s="41"/>
      <c r="BY436" s="41"/>
      <c r="BZ436" s="41"/>
      <c r="CA436" s="41"/>
      <c r="CB436" s="41"/>
      <c r="CC436" s="41"/>
      <c r="CD436" s="41"/>
      <c r="CE436" s="41"/>
      <c r="CF436" s="41"/>
      <c r="CG436" s="41"/>
      <c r="CH436" s="41"/>
      <c r="CI436" s="41"/>
      <c r="CJ436" s="41"/>
      <c r="CK436" s="41"/>
    </row>
    <row r="437" spans="1:89">
      <c r="A437" s="41" t="s">
        <v>566</v>
      </c>
      <c r="B437" s="51">
        <v>16.123333333329999</v>
      </c>
      <c r="C437" s="51">
        <v>16.12</v>
      </c>
      <c r="D437" s="51">
        <v>14.92</v>
      </c>
      <c r="E437" s="51">
        <v>17.329999999999998</v>
      </c>
      <c r="F437" s="51">
        <v>40.97</v>
      </c>
      <c r="G437" s="51">
        <v>35.75</v>
      </c>
      <c r="H437" s="51">
        <v>1.77</v>
      </c>
      <c r="I437" s="51">
        <v>2.75</v>
      </c>
      <c r="J437" s="51">
        <v>3.45</v>
      </c>
      <c r="K437" s="51">
        <v>36.904548842170001</v>
      </c>
      <c r="L437" s="51">
        <v>1.3946000000000001</v>
      </c>
      <c r="M437" s="51">
        <v>2.8058000000000001</v>
      </c>
      <c r="N437" s="51">
        <v>2.4859</v>
      </c>
      <c r="O437" s="51">
        <v>1.5572999999999999</v>
      </c>
      <c r="P437" s="51">
        <v>1.6167609999999999</v>
      </c>
      <c r="Q437" s="51">
        <v>1.7872749999999999</v>
      </c>
      <c r="R437" s="51">
        <v>1.268</v>
      </c>
      <c r="S437" s="51">
        <v>718</v>
      </c>
      <c r="T437" s="51">
        <v>1055</v>
      </c>
      <c r="U437" s="51">
        <v>522</v>
      </c>
      <c r="V437" s="51">
        <v>990</v>
      </c>
      <c r="W437" s="51">
        <v>615</v>
      </c>
      <c r="X437" s="51" t="s">
        <v>1574</v>
      </c>
      <c r="Y437" s="51">
        <v>271</v>
      </c>
      <c r="Z437" s="51">
        <v>638</v>
      </c>
      <c r="AA437" s="51">
        <v>214</v>
      </c>
      <c r="AB437" s="51" t="s">
        <v>1574</v>
      </c>
      <c r="AC437" s="51" t="s">
        <v>1574</v>
      </c>
      <c r="AD437" s="51">
        <v>112.7</v>
      </c>
      <c r="AE437" s="51">
        <v>140.86000000000001</v>
      </c>
      <c r="AF437" s="51">
        <v>137.07</v>
      </c>
      <c r="AG437" s="51">
        <v>382.6</v>
      </c>
      <c r="AH437" s="51">
        <v>351</v>
      </c>
      <c r="AI437" s="51">
        <v>294.39999999999998</v>
      </c>
      <c r="AJ437" s="51" t="s">
        <v>1574</v>
      </c>
      <c r="AK437" s="51">
        <v>194.04</v>
      </c>
      <c r="AL437" s="51">
        <v>203.73</v>
      </c>
      <c r="AM437" s="51" t="s">
        <v>1574</v>
      </c>
      <c r="AN437" s="51">
        <v>0.43320999999999998</v>
      </c>
      <c r="AO437" s="51">
        <v>0.54620999999999997</v>
      </c>
      <c r="AP437" s="51">
        <v>1.8223388920000001</v>
      </c>
      <c r="AQ437" s="51">
        <v>1.2945528639999999</v>
      </c>
      <c r="AR437" s="51">
        <v>2.6714000000000002</v>
      </c>
      <c r="AS437" s="51">
        <v>12.2356</v>
      </c>
      <c r="AT437" s="51">
        <v>0.69779999999999998</v>
      </c>
      <c r="AU437" s="51">
        <v>0.50619999999999998</v>
      </c>
      <c r="AV437" s="51">
        <v>0.26040000000000002</v>
      </c>
      <c r="AW437" s="51">
        <v>2689.44</v>
      </c>
      <c r="AX437" s="51">
        <v>344.06</v>
      </c>
      <c r="AY437" s="51">
        <v>233.86</v>
      </c>
      <c r="AZ437" s="51">
        <v>546.44808743169006</v>
      </c>
      <c r="BA437" s="51">
        <v>723.49069347963996</v>
      </c>
      <c r="BB437" s="51">
        <v>526.54999999999995</v>
      </c>
      <c r="BC437" s="51">
        <v>2.0093000000000001</v>
      </c>
      <c r="BD437" s="51" t="s">
        <v>1574</v>
      </c>
      <c r="BE437" s="51">
        <v>1.4100999999999999</v>
      </c>
      <c r="BF437" s="51">
        <v>33.5</v>
      </c>
      <c r="BG437" s="51">
        <v>204.8</v>
      </c>
      <c r="BH437" s="51">
        <v>150</v>
      </c>
      <c r="BI437" s="51">
        <v>90</v>
      </c>
      <c r="BJ437" s="51">
        <v>112.5</v>
      </c>
      <c r="BK437" s="51">
        <v>1674.32</v>
      </c>
      <c r="BL437" s="51">
        <v>28.38</v>
      </c>
      <c r="BM437" s="51">
        <v>2813.55</v>
      </c>
      <c r="BN437" s="51">
        <v>639.1</v>
      </c>
      <c r="BO437" s="51">
        <v>6220.7</v>
      </c>
      <c r="BP437" s="51">
        <v>8061.73</v>
      </c>
      <c r="BQ437" s="51">
        <v>979.1</v>
      </c>
      <c r="BR437" s="51">
        <v>383.14</v>
      </c>
      <c r="BS437" s="51">
        <v>412.66</v>
      </c>
      <c r="BT437" s="51">
        <v>5.3741000000000003</v>
      </c>
      <c r="BU437" s="41"/>
      <c r="BV437" s="41"/>
      <c r="BW437" s="41"/>
      <c r="BX437" s="41"/>
      <c r="BY437" s="41"/>
      <c r="BZ437" s="41"/>
      <c r="CA437" s="41"/>
      <c r="CB437" s="41"/>
      <c r="CC437" s="41"/>
      <c r="CD437" s="41"/>
      <c r="CE437" s="41"/>
      <c r="CF437" s="41"/>
      <c r="CG437" s="41"/>
      <c r="CH437" s="41"/>
      <c r="CI437" s="41"/>
      <c r="CJ437" s="41"/>
      <c r="CK437" s="41"/>
    </row>
    <row r="438" spans="1:89">
      <c r="A438" s="48" t="s">
        <v>567</v>
      </c>
      <c r="B438" s="49">
        <v>16.74333333333</v>
      </c>
      <c r="C438" s="49">
        <v>16.88</v>
      </c>
      <c r="D438" s="49">
        <v>15.56</v>
      </c>
      <c r="E438" s="49">
        <v>17.79</v>
      </c>
      <c r="F438" s="49">
        <v>39.590000000000003</v>
      </c>
      <c r="G438" s="49">
        <v>36.07</v>
      </c>
      <c r="H438" s="49">
        <v>2.04</v>
      </c>
      <c r="I438" s="49">
        <v>2.75</v>
      </c>
      <c r="J438" s="49">
        <v>3.41</v>
      </c>
      <c r="K438" s="49">
        <v>40.156159781500001</v>
      </c>
      <c r="L438" s="49">
        <v>1.4350000000000001</v>
      </c>
      <c r="M438" s="49">
        <v>2.7612999999999999</v>
      </c>
      <c r="N438" s="49">
        <v>2.4411999999999998</v>
      </c>
      <c r="O438" s="49">
        <v>1.6267</v>
      </c>
      <c r="P438" s="49">
        <v>1.8022339999999999</v>
      </c>
      <c r="Q438" s="49">
        <v>1.8427439999999999</v>
      </c>
      <c r="R438" s="49">
        <v>1.2350000000000001</v>
      </c>
      <c r="S438" s="49">
        <v>750</v>
      </c>
      <c r="T438" s="49">
        <v>1016</v>
      </c>
      <c r="U438" s="49">
        <v>602</v>
      </c>
      <c r="V438" s="49">
        <v>995</v>
      </c>
      <c r="W438" s="49">
        <v>607</v>
      </c>
      <c r="X438" s="49" t="s">
        <v>1574</v>
      </c>
      <c r="Y438" s="49">
        <v>282</v>
      </c>
      <c r="Z438" s="49">
        <v>623</v>
      </c>
      <c r="AA438" s="49">
        <v>225</v>
      </c>
      <c r="AB438" s="49" t="s">
        <v>1574</v>
      </c>
      <c r="AC438" s="49" t="s">
        <v>1574</v>
      </c>
      <c r="AD438" s="49">
        <v>125.76</v>
      </c>
      <c r="AE438" s="49">
        <v>143.94999999999999</v>
      </c>
      <c r="AF438" s="49">
        <v>141.80000000000001</v>
      </c>
      <c r="AG438" s="49">
        <v>340.5</v>
      </c>
      <c r="AH438" s="49">
        <v>322</v>
      </c>
      <c r="AI438" s="49">
        <v>298.25</v>
      </c>
      <c r="AJ438" s="49" t="s">
        <v>1574</v>
      </c>
      <c r="AK438" s="49">
        <v>198.27</v>
      </c>
      <c r="AL438" s="49">
        <v>203.93</v>
      </c>
      <c r="AM438" s="49" t="s">
        <v>1574</v>
      </c>
      <c r="AN438" s="49">
        <v>0.44091999999999998</v>
      </c>
      <c r="AO438" s="49">
        <v>0.56423999999999996</v>
      </c>
      <c r="AP438" s="49">
        <v>1.937640518</v>
      </c>
      <c r="AQ438" s="49">
        <v>1.3150558299999999</v>
      </c>
      <c r="AR438" s="49">
        <v>2.6545999999999998</v>
      </c>
      <c r="AS438" s="49">
        <v>12.4285</v>
      </c>
      <c r="AT438" s="49">
        <v>0.69530000000000003</v>
      </c>
      <c r="AU438" s="49">
        <v>0.49819999999999998</v>
      </c>
      <c r="AV438" s="49">
        <v>0.2641</v>
      </c>
      <c r="AW438" s="49">
        <v>2744.74</v>
      </c>
      <c r="AX438" s="49">
        <v>337.67</v>
      </c>
      <c r="AY438" s="49">
        <v>230.96</v>
      </c>
      <c r="AZ438" s="49">
        <v>521.84590197482999</v>
      </c>
      <c r="BA438" s="49">
        <v>716.07334023150997</v>
      </c>
      <c r="BB438" s="49">
        <v>539.65</v>
      </c>
      <c r="BC438" s="49">
        <v>1.9662999999999999</v>
      </c>
      <c r="BD438" s="49" t="s">
        <v>1574</v>
      </c>
      <c r="BE438" s="49">
        <v>1.6133</v>
      </c>
      <c r="BF438" s="49">
        <v>33.5</v>
      </c>
      <c r="BG438" s="49">
        <v>224.875</v>
      </c>
      <c r="BH438" s="49">
        <v>160.69999999999999</v>
      </c>
      <c r="BI438" s="49">
        <v>90</v>
      </c>
      <c r="BJ438" s="49">
        <v>112.5</v>
      </c>
      <c r="BK438" s="49">
        <v>1654.07</v>
      </c>
      <c r="BL438" s="49">
        <v>28.38</v>
      </c>
      <c r="BM438" s="49">
        <v>2977.36</v>
      </c>
      <c r="BN438" s="49">
        <v>713.6</v>
      </c>
      <c r="BO438" s="49">
        <v>6386.9</v>
      </c>
      <c r="BP438" s="49">
        <v>8505.91</v>
      </c>
      <c r="BQ438" s="49">
        <v>1030.7</v>
      </c>
      <c r="BR438" s="49">
        <v>385.31</v>
      </c>
      <c r="BS438" s="49">
        <v>413.12</v>
      </c>
      <c r="BT438" s="49">
        <v>5.3151000000000002</v>
      </c>
      <c r="BU438" s="41"/>
      <c r="BV438" s="41"/>
      <c r="BW438" s="41"/>
      <c r="BX438" s="41"/>
      <c r="BY438" s="41"/>
      <c r="BZ438" s="41"/>
      <c r="CA438" s="41"/>
      <c r="CB438" s="41"/>
      <c r="CC438" s="41"/>
      <c r="CD438" s="41"/>
      <c r="CE438" s="41"/>
      <c r="CF438" s="41"/>
      <c r="CG438" s="41"/>
      <c r="CH438" s="41"/>
      <c r="CI438" s="41"/>
      <c r="CJ438" s="41"/>
      <c r="CK438" s="41"/>
    </row>
    <row r="439" spans="1:89">
      <c r="A439" s="41" t="s">
        <v>568</v>
      </c>
      <c r="B439" s="51">
        <v>17.86666666667</v>
      </c>
      <c r="C439" s="51">
        <v>17.96</v>
      </c>
      <c r="D439" s="51">
        <v>16.809999999999999</v>
      </c>
      <c r="E439" s="51">
        <v>18.829999999999998</v>
      </c>
      <c r="F439" s="51">
        <v>39.35</v>
      </c>
      <c r="G439" s="51">
        <v>35.01</v>
      </c>
      <c r="H439" s="51">
        <v>2.71</v>
      </c>
      <c r="I439" s="51">
        <v>2.73</v>
      </c>
      <c r="J439" s="51">
        <v>3.37</v>
      </c>
      <c r="K439" s="51">
        <v>48.170040462499998</v>
      </c>
      <c r="L439" s="51">
        <v>1.3778999999999999</v>
      </c>
      <c r="M439" s="51">
        <v>2.3422000000000001</v>
      </c>
      <c r="N439" s="51">
        <v>2.0478999999999998</v>
      </c>
      <c r="O439" s="51">
        <v>1.4802</v>
      </c>
      <c r="P439" s="51">
        <v>1.4797480000000001</v>
      </c>
      <c r="Q439" s="51">
        <v>1.6908609999999999</v>
      </c>
      <c r="R439" s="51">
        <v>1.27</v>
      </c>
      <c r="S439" s="51">
        <v>718</v>
      </c>
      <c r="T439" s="51">
        <v>1013</v>
      </c>
      <c r="U439" s="51">
        <v>647</v>
      </c>
      <c r="V439" s="51">
        <v>988</v>
      </c>
      <c r="W439" s="51">
        <v>590</v>
      </c>
      <c r="X439" s="51" t="s">
        <v>1574</v>
      </c>
      <c r="Y439" s="51">
        <v>296</v>
      </c>
      <c r="Z439" s="51">
        <v>579</v>
      </c>
      <c r="AA439" s="51">
        <v>250</v>
      </c>
      <c r="AB439" s="51" t="s">
        <v>1574</v>
      </c>
      <c r="AC439" s="51" t="s">
        <v>1574</v>
      </c>
      <c r="AD439" s="51">
        <v>125</v>
      </c>
      <c r="AE439" s="51">
        <v>148.65</v>
      </c>
      <c r="AF439" s="51">
        <v>153</v>
      </c>
      <c r="AG439" s="51">
        <v>341.5</v>
      </c>
      <c r="AH439" s="51">
        <v>312</v>
      </c>
      <c r="AI439" s="51">
        <v>277.75</v>
      </c>
      <c r="AJ439" s="51" t="s">
        <v>1574</v>
      </c>
      <c r="AK439" s="51">
        <v>205.33</v>
      </c>
      <c r="AL439" s="51">
        <v>208.92</v>
      </c>
      <c r="AM439" s="51" t="s">
        <v>1574</v>
      </c>
      <c r="AN439" s="51">
        <v>0.40784999999999999</v>
      </c>
      <c r="AO439" s="51">
        <v>0.44323000000000001</v>
      </c>
      <c r="AP439" s="51">
        <v>1.909862306</v>
      </c>
      <c r="AQ439" s="51">
        <v>1.291245934</v>
      </c>
      <c r="AR439" s="51">
        <v>2.6156999999999999</v>
      </c>
      <c r="AS439" s="51">
        <v>12.2081</v>
      </c>
      <c r="AT439" s="51">
        <v>0.6845</v>
      </c>
      <c r="AU439" s="51">
        <v>0.50039999999999996</v>
      </c>
      <c r="AV439" s="51">
        <v>0.27139999999999997</v>
      </c>
      <c r="AW439" s="51">
        <v>2800.9</v>
      </c>
      <c r="AX439" s="51">
        <v>302.2</v>
      </c>
      <c r="AY439" s="51">
        <v>241.78</v>
      </c>
      <c r="AZ439" s="51">
        <v>523.81336127005</v>
      </c>
      <c r="BA439" s="51">
        <v>715.84779644152002</v>
      </c>
      <c r="BB439" s="51">
        <v>540.20000000000005</v>
      </c>
      <c r="BC439" s="51">
        <v>1.9373</v>
      </c>
      <c r="BD439" s="51" t="s">
        <v>1574</v>
      </c>
      <c r="BE439" s="51">
        <v>1.6359999999999999</v>
      </c>
      <c r="BF439" s="51">
        <v>33.5</v>
      </c>
      <c r="BG439" s="51">
        <v>229.16666666667001</v>
      </c>
      <c r="BH439" s="51">
        <v>162.5</v>
      </c>
      <c r="BI439" s="51">
        <v>90</v>
      </c>
      <c r="BJ439" s="51">
        <v>112.5</v>
      </c>
      <c r="BK439" s="51">
        <v>1656.74</v>
      </c>
      <c r="BL439" s="51">
        <v>28.38</v>
      </c>
      <c r="BM439" s="51">
        <v>2926.26</v>
      </c>
      <c r="BN439" s="51">
        <v>731.6</v>
      </c>
      <c r="BO439" s="51">
        <v>6289.5</v>
      </c>
      <c r="BP439" s="51">
        <v>8090.89</v>
      </c>
      <c r="BQ439" s="51">
        <v>1018.1</v>
      </c>
      <c r="BR439" s="51">
        <v>387.44</v>
      </c>
      <c r="BS439" s="51">
        <v>408.71</v>
      </c>
      <c r="BT439" s="51">
        <v>5.1768999999999998</v>
      </c>
      <c r="BU439" s="41"/>
      <c r="BV439" s="41"/>
      <c r="BW439" s="41"/>
      <c r="BX439" s="41"/>
      <c r="BY439" s="41"/>
      <c r="BZ439" s="41"/>
      <c r="CA439" s="41"/>
      <c r="CB439" s="41"/>
      <c r="CC439" s="41"/>
      <c r="CD439" s="41"/>
      <c r="CE439" s="41"/>
      <c r="CF439" s="41"/>
      <c r="CG439" s="41"/>
      <c r="CH439" s="41"/>
      <c r="CI439" s="41"/>
      <c r="CJ439" s="41"/>
      <c r="CK439" s="41"/>
    </row>
    <row r="440" spans="1:89">
      <c r="A440" s="48" t="s">
        <v>569</v>
      </c>
      <c r="B440" s="49">
        <v>17.8</v>
      </c>
      <c r="C440" s="49">
        <v>17.940000000000001</v>
      </c>
      <c r="D440" s="49">
        <v>16.57</v>
      </c>
      <c r="E440" s="49">
        <v>18.89</v>
      </c>
      <c r="F440" s="49">
        <v>39.369999999999997</v>
      </c>
      <c r="G440" s="49">
        <v>34.75</v>
      </c>
      <c r="H440" s="49">
        <v>2.93</v>
      </c>
      <c r="I440" s="49">
        <v>2.75</v>
      </c>
      <c r="J440" s="49">
        <v>3.43</v>
      </c>
      <c r="K440" s="49">
        <v>50.977311609840001</v>
      </c>
      <c r="L440" s="49">
        <v>1.349</v>
      </c>
      <c r="M440" s="49">
        <v>2.4394</v>
      </c>
      <c r="N440" s="49">
        <v>1.9839</v>
      </c>
      <c r="O440" s="49">
        <v>1.5205</v>
      </c>
      <c r="P440" s="49">
        <v>1.7156469999999999</v>
      </c>
      <c r="Q440" s="49">
        <v>1.475975</v>
      </c>
      <c r="R440" s="49">
        <v>1.37</v>
      </c>
      <c r="S440" s="49">
        <v>711</v>
      </c>
      <c r="T440" s="49">
        <v>986</v>
      </c>
      <c r="U440" s="49">
        <v>649</v>
      </c>
      <c r="V440" s="49">
        <v>959</v>
      </c>
      <c r="W440" s="49">
        <v>535</v>
      </c>
      <c r="X440" s="49">
        <v>686</v>
      </c>
      <c r="Y440" s="49">
        <v>305</v>
      </c>
      <c r="Z440" s="49">
        <v>554</v>
      </c>
      <c r="AA440" s="49">
        <v>260</v>
      </c>
      <c r="AB440" s="49" t="s">
        <v>1574</v>
      </c>
      <c r="AC440" s="49" t="s">
        <v>1574</v>
      </c>
      <c r="AD440" s="49">
        <v>124.93</v>
      </c>
      <c r="AE440" s="49">
        <v>156.13</v>
      </c>
      <c r="AF440" s="49">
        <v>154.30000000000001</v>
      </c>
      <c r="AG440" s="49">
        <v>369.2</v>
      </c>
      <c r="AH440" s="49">
        <v>331</v>
      </c>
      <c r="AI440" s="49">
        <v>271.60000000000002</v>
      </c>
      <c r="AJ440" s="49" t="s">
        <v>1574</v>
      </c>
      <c r="AK440" s="49">
        <v>196.98</v>
      </c>
      <c r="AL440" s="49">
        <v>206.88</v>
      </c>
      <c r="AM440" s="49" t="s">
        <v>1574</v>
      </c>
      <c r="AN440" s="49">
        <v>0.41337000000000002</v>
      </c>
      <c r="AO440" s="49">
        <v>0.41753000000000001</v>
      </c>
      <c r="AP440" s="49">
        <v>1.8629039000000001</v>
      </c>
      <c r="AQ440" s="49">
        <v>1.28860039</v>
      </c>
      <c r="AR440" s="49">
        <v>2.6082999999999998</v>
      </c>
      <c r="AS440" s="49">
        <v>11.978400000000001</v>
      </c>
      <c r="AT440" s="49">
        <v>0.6865</v>
      </c>
      <c r="AU440" s="49">
        <v>0.49380000000000002</v>
      </c>
      <c r="AV440" s="49">
        <v>0.2762</v>
      </c>
      <c r="AW440" s="49">
        <v>2869.95</v>
      </c>
      <c r="AX440" s="49">
        <v>279.69</v>
      </c>
      <c r="AY440" s="49">
        <v>234.29</v>
      </c>
      <c r="AZ440" s="49">
        <v>519.41825155825995</v>
      </c>
      <c r="BA440" s="49">
        <v>719.34948924819003</v>
      </c>
      <c r="BB440" s="49">
        <v>529.12</v>
      </c>
      <c r="BC440" s="49">
        <v>1.9003000000000001</v>
      </c>
      <c r="BD440" s="49" t="s">
        <v>1574</v>
      </c>
      <c r="BE440" s="49">
        <v>1.5498000000000001</v>
      </c>
      <c r="BF440" s="49">
        <v>33.5</v>
      </c>
      <c r="BG440" s="49">
        <v>226.3</v>
      </c>
      <c r="BH440" s="49">
        <v>162.5</v>
      </c>
      <c r="BI440" s="49">
        <v>90</v>
      </c>
      <c r="BJ440" s="49">
        <v>112.5</v>
      </c>
      <c r="BK440" s="49">
        <v>1589.34</v>
      </c>
      <c r="BL440" s="49">
        <v>30</v>
      </c>
      <c r="BM440" s="49">
        <v>2616.41</v>
      </c>
      <c r="BN440" s="49">
        <v>709.5</v>
      </c>
      <c r="BO440" s="49">
        <v>6271.6</v>
      </c>
      <c r="BP440" s="49">
        <v>7862.05</v>
      </c>
      <c r="BQ440" s="49">
        <v>1019.1</v>
      </c>
      <c r="BR440" s="49">
        <v>399.45</v>
      </c>
      <c r="BS440" s="49">
        <v>415.48</v>
      </c>
      <c r="BT440" s="49">
        <v>5.4604999999999997</v>
      </c>
      <c r="BU440" s="41"/>
      <c r="BV440" s="41"/>
      <c r="BW440" s="41"/>
      <c r="BX440" s="41"/>
      <c r="BY440" s="41"/>
      <c r="BZ440" s="41"/>
      <c r="CA440" s="41"/>
      <c r="CB440" s="41"/>
      <c r="CC440" s="41"/>
      <c r="CD440" s="41"/>
      <c r="CE440" s="41"/>
      <c r="CF440" s="41"/>
      <c r="CG440" s="41"/>
      <c r="CH440" s="41"/>
      <c r="CI440" s="41"/>
      <c r="CJ440" s="41"/>
      <c r="CK440" s="41"/>
    </row>
    <row r="441" spans="1:89">
      <c r="A441" s="41" t="s">
        <v>570</v>
      </c>
      <c r="B441" s="51">
        <v>17.696666666670001</v>
      </c>
      <c r="C441" s="51">
        <v>17.97</v>
      </c>
      <c r="D441" s="51">
        <v>16.05</v>
      </c>
      <c r="E441" s="51">
        <v>19.07</v>
      </c>
      <c r="F441" s="51">
        <v>39.28</v>
      </c>
      <c r="G441" s="51">
        <v>34.25</v>
      </c>
      <c r="H441" s="51">
        <v>4.4000000000000004</v>
      </c>
      <c r="I441" s="51">
        <v>2.77</v>
      </c>
      <c r="J441" s="51">
        <v>3.48</v>
      </c>
      <c r="K441" s="51">
        <v>68.957024033389999</v>
      </c>
      <c r="L441" s="51">
        <v>1.3702000000000001</v>
      </c>
      <c r="M441" s="51">
        <v>2.7357</v>
      </c>
      <c r="N441" s="51">
        <v>2.1360999999999999</v>
      </c>
      <c r="O441" s="51">
        <v>1.5156000000000001</v>
      </c>
      <c r="P441" s="51">
        <v>1.783177</v>
      </c>
      <c r="Q441" s="51">
        <v>1.423616</v>
      </c>
      <c r="R441" s="51">
        <v>1.34</v>
      </c>
      <c r="S441" s="51">
        <v>738</v>
      </c>
      <c r="T441" s="51">
        <v>980</v>
      </c>
      <c r="U441" s="51">
        <v>641</v>
      </c>
      <c r="V441" s="51">
        <v>925</v>
      </c>
      <c r="W441" s="51">
        <v>518</v>
      </c>
      <c r="X441" s="51">
        <v>716</v>
      </c>
      <c r="Y441" s="51">
        <v>299</v>
      </c>
      <c r="Z441" s="51">
        <v>548</v>
      </c>
      <c r="AA441" s="51">
        <v>253</v>
      </c>
      <c r="AB441" s="51" t="s">
        <v>1574</v>
      </c>
      <c r="AC441" s="51" t="s">
        <v>1574</v>
      </c>
      <c r="AD441" s="51">
        <v>123.31</v>
      </c>
      <c r="AE441" s="51">
        <v>164.81</v>
      </c>
      <c r="AF441" s="51">
        <v>159.81</v>
      </c>
      <c r="AG441" s="51">
        <v>368</v>
      </c>
      <c r="AH441" s="51">
        <v>320</v>
      </c>
      <c r="AI441" s="51">
        <v>256.25</v>
      </c>
      <c r="AJ441" s="51" t="s">
        <v>1574</v>
      </c>
      <c r="AK441" s="51">
        <v>203.96</v>
      </c>
      <c r="AL441" s="51">
        <v>218.89</v>
      </c>
      <c r="AM441" s="51" t="s">
        <v>1574</v>
      </c>
      <c r="AN441" s="51">
        <v>0.59084000000000003</v>
      </c>
      <c r="AO441" s="51">
        <v>0.43447000000000002</v>
      </c>
      <c r="AP441" s="51">
        <v>1.8124181020000001</v>
      </c>
      <c r="AQ441" s="51">
        <v>1.2528855459999999</v>
      </c>
      <c r="AR441" s="51">
        <v>2.6313</v>
      </c>
      <c r="AS441" s="51">
        <v>12.097899999999999</v>
      </c>
      <c r="AT441" s="51">
        <v>0.68920000000000003</v>
      </c>
      <c r="AU441" s="51">
        <v>0.4975</v>
      </c>
      <c r="AV441" s="51">
        <v>0.28239999999999998</v>
      </c>
      <c r="AW441" s="51">
        <v>2890.78</v>
      </c>
      <c r="AX441" s="51">
        <v>272.77999999999997</v>
      </c>
      <c r="AY441" s="51">
        <v>246.43</v>
      </c>
      <c r="AZ441" s="51">
        <v>505.89215569574998</v>
      </c>
      <c r="BA441" s="51">
        <v>713.65616759500995</v>
      </c>
      <c r="BB441" s="51">
        <v>548.59</v>
      </c>
      <c r="BC441" s="51">
        <v>1.8749</v>
      </c>
      <c r="BD441" s="51" t="s">
        <v>1574</v>
      </c>
      <c r="BE441" s="51">
        <v>1.5578000000000001</v>
      </c>
      <c r="BF441" s="51">
        <v>33.5</v>
      </c>
      <c r="BG441" s="51">
        <v>225.875</v>
      </c>
      <c r="BH441" s="51">
        <v>169.1</v>
      </c>
      <c r="BI441" s="51">
        <v>90</v>
      </c>
      <c r="BJ441" s="51">
        <v>112.5</v>
      </c>
      <c r="BK441" s="51">
        <v>1591.55</v>
      </c>
      <c r="BL441" s="51">
        <v>30</v>
      </c>
      <c r="BM441" s="51">
        <v>2537.71</v>
      </c>
      <c r="BN441" s="51">
        <v>769.7</v>
      </c>
      <c r="BO441" s="51">
        <v>6195.5</v>
      </c>
      <c r="BP441" s="51">
        <v>8215.5499999999993</v>
      </c>
      <c r="BQ441" s="51">
        <v>1035.8</v>
      </c>
      <c r="BR441" s="51">
        <v>404.76</v>
      </c>
      <c r="BS441" s="51">
        <v>420.21</v>
      </c>
      <c r="BT441" s="51">
        <v>5.6566999999999998</v>
      </c>
      <c r="BU441" s="41"/>
      <c r="BV441" s="41"/>
      <c r="BW441" s="41"/>
      <c r="BX441" s="41"/>
      <c r="BY441" s="41"/>
      <c r="BZ441" s="41"/>
      <c r="CA441" s="41"/>
      <c r="CB441" s="41"/>
      <c r="CC441" s="41"/>
      <c r="CD441" s="41"/>
      <c r="CE441" s="41"/>
      <c r="CF441" s="41"/>
      <c r="CG441" s="41"/>
      <c r="CH441" s="41"/>
      <c r="CI441" s="41"/>
      <c r="CJ441" s="41"/>
      <c r="CK441" s="41"/>
    </row>
    <row r="442" spans="1:89">
      <c r="A442" s="48" t="s">
        <v>571</v>
      </c>
      <c r="B442" s="49">
        <v>19.399999999999999</v>
      </c>
      <c r="C442" s="49">
        <v>19.989999999999998</v>
      </c>
      <c r="D442" s="49">
        <v>17.05</v>
      </c>
      <c r="E442" s="49">
        <v>21.16</v>
      </c>
      <c r="F442" s="49">
        <v>39.01</v>
      </c>
      <c r="G442" s="49">
        <v>32.92</v>
      </c>
      <c r="H442" s="49">
        <v>2.95</v>
      </c>
      <c r="I442" s="49">
        <v>2.67</v>
      </c>
      <c r="J442" s="49">
        <v>3.47</v>
      </c>
      <c r="K442" s="49">
        <v>50.866961041700002</v>
      </c>
      <c r="L442" s="49">
        <v>1.3392999999999999</v>
      </c>
      <c r="M442" s="49">
        <v>2.6640999999999999</v>
      </c>
      <c r="N442" s="49">
        <v>2.0049000000000001</v>
      </c>
      <c r="O442" s="49">
        <v>1.5666</v>
      </c>
      <c r="P442" s="49">
        <v>1.921497</v>
      </c>
      <c r="Q442" s="49">
        <v>1.4115169999999999</v>
      </c>
      <c r="R442" s="49">
        <v>1.3667</v>
      </c>
      <c r="S442" s="49">
        <v>723</v>
      </c>
      <c r="T442" s="49">
        <v>988</v>
      </c>
      <c r="U442" s="49">
        <v>616</v>
      </c>
      <c r="V442" s="49">
        <v>911</v>
      </c>
      <c r="W442" s="49">
        <v>519</v>
      </c>
      <c r="X442" s="49">
        <v>715</v>
      </c>
      <c r="Y442" s="49">
        <v>295</v>
      </c>
      <c r="Z442" s="49">
        <v>538</v>
      </c>
      <c r="AA442" s="49">
        <v>246</v>
      </c>
      <c r="AB442" s="49" t="s">
        <v>1574</v>
      </c>
      <c r="AC442" s="49" t="s">
        <v>1574</v>
      </c>
      <c r="AD442" s="49">
        <v>124.47</v>
      </c>
      <c r="AE442" s="49">
        <v>184.86</v>
      </c>
      <c r="AF442" s="49">
        <v>165.84</v>
      </c>
      <c r="AG442" s="49">
        <v>359.5</v>
      </c>
      <c r="AH442" s="49">
        <v>313</v>
      </c>
      <c r="AI442" s="49">
        <v>259.5</v>
      </c>
      <c r="AJ442" s="49" t="s">
        <v>1574</v>
      </c>
      <c r="AK442" s="49">
        <v>205.51</v>
      </c>
      <c r="AL442" s="49">
        <v>215.32</v>
      </c>
      <c r="AM442" s="49" t="s">
        <v>1574</v>
      </c>
      <c r="AN442" s="49">
        <v>0.5</v>
      </c>
      <c r="AO442" s="49">
        <v>0.47438999999999998</v>
      </c>
      <c r="AP442" s="49">
        <v>1.720044524</v>
      </c>
      <c r="AQ442" s="49">
        <v>1.215186544</v>
      </c>
      <c r="AR442" s="49">
        <v>2.6387999999999998</v>
      </c>
      <c r="AS442" s="49">
        <v>12.015000000000001</v>
      </c>
      <c r="AT442" s="49">
        <v>0.68500000000000005</v>
      </c>
      <c r="AU442" s="49">
        <v>0.49759999999999999</v>
      </c>
      <c r="AV442" s="49">
        <v>0.28460000000000002</v>
      </c>
      <c r="AW442" s="49">
        <v>2965.09</v>
      </c>
      <c r="AX442" s="49">
        <v>271.79000000000002</v>
      </c>
      <c r="AY442" s="49">
        <v>253.01</v>
      </c>
      <c r="AZ442" s="49">
        <v>504.04222094839002</v>
      </c>
      <c r="BA442" s="49">
        <v>728.66736912034003</v>
      </c>
      <c r="BB442" s="49">
        <v>529.22</v>
      </c>
      <c r="BC442" s="49">
        <v>1.8345</v>
      </c>
      <c r="BD442" s="49" t="s">
        <v>1574</v>
      </c>
      <c r="BE442" s="49">
        <v>1.4763999999999999</v>
      </c>
      <c r="BF442" s="49">
        <v>33.5</v>
      </c>
      <c r="BG442" s="49">
        <v>221</v>
      </c>
      <c r="BH442" s="49">
        <v>173.5</v>
      </c>
      <c r="BI442" s="49">
        <v>90</v>
      </c>
      <c r="BJ442" s="49">
        <v>112.5</v>
      </c>
      <c r="BK442" s="49">
        <v>1612.48</v>
      </c>
      <c r="BL442" s="49">
        <v>30</v>
      </c>
      <c r="BM442" s="49">
        <v>2561.02</v>
      </c>
      <c r="BN442" s="49">
        <v>817.9</v>
      </c>
      <c r="BO442" s="49">
        <v>6196.4</v>
      </c>
      <c r="BP442" s="49">
        <v>8021.74</v>
      </c>
      <c r="BQ442" s="49">
        <v>1063.9000000000001</v>
      </c>
      <c r="BR442" s="49">
        <v>396.21</v>
      </c>
      <c r="BS442" s="49">
        <v>411.19</v>
      </c>
      <c r="BT442" s="49">
        <v>5.5240999999999998</v>
      </c>
      <c r="BU442" s="41"/>
      <c r="BV442" s="41"/>
      <c r="BW442" s="41"/>
      <c r="BX442" s="41"/>
      <c r="BY442" s="41"/>
      <c r="BZ442" s="41"/>
      <c r="CA442" s="41"/>
      <c r="CB442" s="41"/>
      <c r="CC442" s="41"/>
      <c r="CD442" s="41"/>
      <c r="CE442" s="41"/>
      <c r="CF442" s="41"/>
      <c r="CG442" s="41"/>
      <c r="CH442" s="41"/>
      <c r="CI442" s="41"/>
      <c r="CJ442" s="41"/>
      <c r="CK442" s="41"/>
    </row>
    <row r="443" spans="1:89">
      <c r="A443" s="41" t="s">
        <v>572</v>
      </c>
      <c r="B443" s="51">
        <v>20.66</v>
      </c>
      <c r="C443" s="51">
        <v>21.01</v>
      </c>
      <c r="D443" s="51">
        <v>17.77</v>
      </c>
      <c r="E443" s="51">
        <v>23.2</v>
      </c>
      <c r="F443" s="51">
        <v>39.33</v>
      </c>
      <c r="G443" s="51">
        <v>33.67</v>
      </c>
      <c r="H443" s="51">
        <v>2.23</v>
      </c>
      <c r="I443" s="51">
        <v>3.1</v>
      </c>
      <c r="J443" s="51">
        <v>3.56</v>
      </c>
      <c r="K443" s="51">
        <v>44.228915096240002</v>
      </c>
      <c r="L443" s="51">
        <v>1.4563999999999999</v>
      </c>
      <c r="M443" s="51">
        <v>2.7227000000000001</v>
      </c>
      <c r="N443" s="51">
        <v>1.9988999999999999</v>
      </c>
      <c r="O443" s="51">
        <v>1.6972</v>
      </c>
      <c r="P443" s="51">
        <v>1.931025</v>
      </c>
      <c r="Q443" s="51">
        <v>1.7456449999999999</v>
      </c>
      <c r="R443" s="51">
        <v>1.415</v>
      </c>
      <c r="S443" s="51">
        <v>756</v>
      </c>
      <c r="T443" s="51">
        <v>1015</v>
      </c>
      <c r="U443" s="51">
        <v>583</v>
      </c>
      <c r="V443" s="51">
        <v>895</v>
      </c>
      <c r="W443" s="51">
        <v>562</v>
      </c>
      <c r="X443" s="51">
        <v>755</v>
      </c>
      <c r="Y443" s="51">
        <v>316</v>
      </c>
      <c r="Z443" s="51">
        <v>582</v>
      </c>
      <c r="AA443" s="51">
        <v>270</v>
      </c>
      <c r="AB443" s="51" t="s">
        <v>1574</v>
      </c>
      <c r="AC443" s="51" t="s">
        <v>1574</v>
      </c>
      <c r="AD443" s="51">
        <v>132.69</v>
      </c>
      <c r="AE443" s="51">
        <v>190.37</v>
      </c>
      <c r="AF443" s="51">
        <v>188.66</v>
      </c>
      <c r="AG443" s="51">
        <v>327.2</v>
      </c>
      <c r="AH443" s="51">
        <v>281</v>
      </c>
      <c r="AI443" s="51">
        <v>244.8</v>
      </c>
      <c r="AJ443" s="51" t="s">
        <v>1574</v>
      </c>
      <c r="AK443" s="51">
        <v>247.52</v>
      </c>
      <c r="AL443" s="51">
        <v>257.61</v>
      </c>
      <c r="AM443" s="51" t="s">
        <v>1574</v>
      </c>
      <c r="AN443" s="51">
        <v>0.60516999999999999</v>
      </c>
      <c r="AO443" s="51">
        <v>0.52878999999999998</v>
      </c>
      <c r="AP443" s="51">
        <v>1.7151943599999999</v>
      </c>
      <c r="AQ443" s="51">
        <v>1.2350281240000001</v>
      </c>
      <c r="AR443" s="51">
        <v>3.0922000000000001</v>
      </c>
      <c r="AS443" s="51">
        <v>12.897</v>
      </c>
      <c r="AT443" s="51">
        <v>0.67969999999999997</v>
      </c>
      <c r="AU443" s="51">
        <v>0.498</v>
      </c>
      <c r="AV443" s="51">
        <v>0.2641</v>
      </c>
      <c r="AW443" s="51">
        <v>2981.05</v>
      </c>
      <c r="AX443" s="51">
        <v>270.27</v>
      </c>
      <c r="AY443" s="51">
        <v>252.48</v>
      </c>
      <c r="AZ443" s="51">
        <v>489.62005483745003</v>
      </c>
      <c r="BA443" s="51">
        <v>751.36769792347002</v>
      </c>
      <c r="BB443" s="51">
        <v>521.11</v>
      </c>
      <c r="BC443" s="51">
        <v>1.825</v>
      </c>
      <c r="BD443" s="51" t="s">
        <v>1574</v>
      </c>
      <c r="BE443" s="51">
        <v>1.4573</v>
      </c>
      <c r="BF443" s="51">
        <v>33.5</v>
      </c>
      <c r="BG443" s="51">
        <v>210.75</v>
      </c>
      <c r="BH443" s="51">
        <v>173.5</v>
      </c>
      <c r="BI443" s="51">
        <v>160.4</v>
      </c>
      <c r="BJ443" s="51">
        <v>112.5</v>
      </c>
      <c r="BK443" s="51">
        <v>1587.23</v>
      </c>
      <c r="BL443" s="51">
        <v>30</v>
      </c>
      <c r="BM443" s="51">
        <v>2595.7800000000002</v>
      </c>
      <c r="BN443" s="51">
        <v>815</v>
      </c>
      <c r="BO443" s="51">
        <v>6480.9</v>
      </c>
      <c r="BP443" s="51">
        <v>8042.85</v>
      </c>
      <c r="BQ443" s="51">
        <v>1045.4000000000001</v>
      </c>
      <c r="BR443" s="51">
        <v>392.85</v>
      </c>
      <c r="BS443" s="51">
        <v>404.39</v>
      </c>
      <c r="BT443" s="51">
        <v>5.4208999999999996</v>
      </c>
      <c r="BU443" s="41"/>
      <c r="BV443" s="41"/>
      <c r="BW443" s="41"/>
      <c r="BX443" s="41"/>
      <c r="BY443" s="41"/>
      <c r="BZ443" s="41"/>
      <c r="CA443" s="41"/>
      <c r="CB443" s="41"/>
      <c r="CC443" s="41"/>
      <c r="CD443" s="41"/>
      <c r="CE443" s="41"/>
      <c r="CF443" s="41"/>
      <c r="CG443" s="41"/>
      <c r="CH443" s="41"/>
      <c r="CI443" s="41"/>
      <c r="CJ443" s="41"/>
      <c r="CK443" s="41"/>
    </row>
    <row r="444" spans="1:89">
      <c r="A444" s="48" t="s">
        <v>573</v>
      </c>
      <c r="B444" s="49">
        <v>19.06333333333</v>
      </c>
      <c r="C444" s="49">
        <v>19.12</v>
      </c>
      <c r="D444" s="49">
        <v>16.989999999999998</v>
      </c>
      <c r="E444" s="49">
        <v>21.08</v>
      </c>
      <c r="F444" s="49">
        <v>38.200000000000003</v>
      </c>
      <c r="G444" s="49">
        <v>33.28</v>
      </c>
      <c r="H444" s="49">
        <v>2.2400000000000002</v>
      </c>
      <c r="I444" s="49">
        <v>2.81</v>
      </c>
      <c r="J444" s="49">
        <v>3.6</v>
      </c>
      <c r="K444" s="49">
        <v>42.998796596529999</v>
      </c>
      <c r="L444" s="49">
        <v>1.5241</v>
      </c>
      <c r="M444" s="49">
        <v>2.8498999999999999</v>
      </c>
      <c r="N444" s="49">
        <v>2.0106000000000002</v>
      </c>
      <c r="O444" s="49">
        <v>1.7266999999999999</v>
      </c>
      <c r="P444" s="49">
        <v>1.839466</v>
      </c>
      <c r="Q444" s="49">
        <v>1.9155139999999999</v>
      </c>
      <c r="R444" s="49">
        <v>1.425</v>
      </c>
      <c r="S444" s="49">
        <v>778</v>
      </c>
      <c r="T444" s="49">
        <v>1015</v>
      </c>
      <c r="U444" s="49">
        <v>564</v>
      </c>
      <c r="V444" s="49">
        <v>897</v>
      </c>
      <c r="W444" s="49">
        <v>552</v>
      </c>
      <c r="X444" s="49">
        <v>775</v>
      </c>
      <c r="Y444" s="49">
        <v>322</v>
      </c>
      <c r="Z444" s="49">
        <v>591</v>
      </c>
      <c r="AA444" s="49">
        <v>271</v>
      </c>
      <c r="AB444" s="49" t="s">
        <v>1574</v>
      </c>
      <c r="AC444" s="49" t="s">
        <v>1574</v>
      </c>
      <c r="AD444" s="49">
        <v>137.79</v>
      </c>
      <c r="AE444" s="49">
        <v>204.02</v>
      </c>
      <c r="AF444" s="49">
        <v>185.76</v>
      </c>
      <c r="AG444" s="49">
        <v>332.25</v>
      </c>
      <c r="AH444" s="49">
        <v>279</v>
      </c>
      <c r="AI444" s="49">
        <v>244.5</v>
      </c>
      <c r="AJ444" s="49" t="s">
        <v>1574</v>
      </c>
      <c r="AK444" s="49">
        <v>213.43</v>
      </c>
      <c r="AL444" s="49">
        <v>262.11</v>
      </c>
      <c r="AM444" s="49" t="s">
        <v>1574</v>
      </c>
      <c r="AN444" s="49">
        <v>0.53571999999999997</v>
      </c>
      <c r="AO444" s="49">
        <v>0.52009000000000005</v>
      </c>
      <c r="AP444" s="49">
        <v>1.7015257159999999</v>
      </c>
      <c r="AQ444" s="49">
        <v>1.329826784</v>
      </c>
      <c r="AR444" s="49">
        <v>3.3439000000000001</v>
      </c>
      <c r="AS444" s="49">
        <v>13.933199999999999</v>
      </c>
      <c r="AT444" s="49">
        <v>0.67969999999999997</v>
      </c>
      <c r="AU444" s="49">
        <v>0.498</v>
      </c>
      <c r="AV444" s="49">
        <v>0.25109999999999999</v>
      </c>
      <c r="AW444" s="49">
        <v>2987.62</v>
      </c>
      <c r="AX444" s="49">
        <v>279.31</v>
      </c>
      <c r="AY444" s="49">
        <v>261.64999999999998</v>
      </c>
      <c r="AZ444" s="49">
        <v>481.56566629425998</v>
      </c>
      <c r="BA444" s="49">
        <v>753.09737591143005</v>
      </c>
      <c r="BB444" s="49">
        <v>535.48</v>
      </c>
      <c r="BC444" s="49">
        <v>1.8288</v>
      </c>
      <c r="BD444" s="49" t="s">
        <v>1574</v>
      </c>
      <c r="BE444" s="49">
        <v>1.4843999999999999</v>
      </c>
      <c r="BF444" s="49">
        <v>33.5</v>
      </c>
      <c r="BG444" s="49">
        <v>186.125</v>
      </c>
      <c r="BH444" s="49">
        <v>173.5</v>
      </c>
      <c r="BI444" s="49">
        <v>169.5</v>
      </c>
      <c r="BJ444" s="49">
        <v>112.5</v>
      </c>
      <c r="BK444" s="49">
        <v>1589.26</v>
      </c>
      <c r="BL444" s="49">
        <v>30</v>
      </c>
      <c r="BM444" s="49">
        <v>2658.26</v>
      </c>
      <c r="BN444" s="49">
        <v>840.2</v>
      </c>
      <c r="BO444" s="49">
        <v>6412.4</v>
      </c>
      <c r="BP444" s="49">
        <v>8026.55</v>
      </c>
      <c r="BQ444" s="49">
        <v>1035.8</v>
      </c>
      <c r="BR444" s="49">
        <v>391.93</v>
      </c>
      <c r="BS444" s="49">
        <v>401.42</v>
      </c>
      <c r="BT444" s="49">
        <v>5.3651999999999997</v>
      </c>
      <c r="BU444" s="41"/>
      <c r="BV444" s="41"/>
      <c r="BW444" s="41"/>
      <c r="BX444" s="41"/>
      <c r="BY444" s="41"/>
      <c r="BZ444" s="41"/>
      <c r="CA444" s="41"/>
      <c r="CB444" s="41"/>
      <c r="CC444" s="41"/>
      <c r="CD444" s="41"/>
      <c r="CE444" s="41"/>
      <c r="CF444" s="41"/>
      <c r="CG444" s="41"/>
      <c r="CH444" s="41"/>
      <c r="CI444" s="41"/>
      <c r="CJ444" s="41"/>
      <c r="CK444" s="41"/>
    </row>
    <row r="445" spans="1:89">
      <c r="A445" s="41" t="s">
        <v>574</v>
      </c>
      <c r="B445" s="51">
        <v>18.513333333329999</v>
      </c>
      <c r="C445" s="51">
        <v>18.27</v>
      </c>
      <c r="D445" s="51">
        <v>17</v>
      </c>
      <c r="E445" s="51">
        <v>20.27</v>
      </c>
      <c r="F445" s="51">
        <v>38.200000000000003</v>
      </c>
      <c r="G445" s="51">
        <v>32.4</v>
      </c>
      <c r="H445" s="51">
        <v>2.4900000000000002</v>
      </c>
      <c r="I445" s="51">
        <v>2.81</v>
      </c>
      <c r="J445" s="51">
        <v>3.6</v>
      </c>
      <c r="K445" s="51">
        <v>46.034639839950003</v>
      </c>
      <c r="L445" s="51">
        <v>1.5375000000000001</v>
      </c>
      <c r="M445" s="51">
        <v>2.7658999999999998</v>
      </c>
      <c r="N445" s="51">
        <v>1.8984000000000001</v>
      </c>
      <c r="O445" s="51">
        <v>1.6628000000000001</v>
      </c>
      <c r="P445" s="51">
        <v>1.741527</v>
      </c>
      <c r="Q445" s="51">
        <v>1.8494120000000001</v>
      </c>
      <c r="R445" s="51">
        <v>1.3975</v>
      </c>
      <c r="S445" s="51">
        <v>816</v>
      </c>
      <c r="T445" s="51">
        <v>950</v>
      </c>
      <c r="U445" s="51">
        <v>563</v>
      </c>
      <c r="V445" s="51">
        <v>904</v>
      </c>
      <c r="W445" s="51">
        <v>508</v>
      </c>
      <c r="X445" s="51">
        <v>762</v>
      </c>
      <c r="Y445" s="51">
        <v>308</v>
      </c>
      <c r="Z445" s="51">
        <v>563</v>
      </c>
      <c r="AA445" s="51">
        <v>266</v>
      </c>
      <c r="AB445" s="51" t="s">
        <v>1574</v>
      </c>
      <c r="AC445" s="51" t="s">
        <v>1574</v>
      </c>
      <c r="AD445" s="51">
        <v>138.13999999999999</v>
      </c>
      <c r="AE445" s="51">
        <v>197.55</v>
      </c>
      <c r="AF445" s="51">
        <v>174.88</v>
      </c>
      <c r="AG445" s="51">
        <v>341.5</v>
      </c>
      <c r="AH445" s="51">
        <v>285</v>
      </c>
      <c r="AI445" s="51">
        <v>240.25</v>
      </c>
      <c r="AJ445" s="51" t="s">
        <v>1574</v>
      </c>
      <c r="AK445" s="51">
        <v>180.6</v>
      </c>
      <c r="AL445" s="51">
        <v>227.34</v>
      </c>
      <c r="AM445" s="51" t="s">
        <v>1574</v>
      </c>
      <c r="AN445" s="51">
        <v>0.48458000000000001</v>
      </c>
      <c r="AO445" s="51">
        <v>0.55905000000000005</v>
      </c>
      <c r="AP445" s="51">
        <v>1.6541263859999999</v>
      </c>
      <c r="AQ445" s="51">
        <v>1.425066368</v>
      </c>
      <c r="AR445" s="51">
        <v>3.5337999999999998</v>
      </c>
      <c r="AS445" s="51">
        <v>14.1464</v>
      </c>
      <c r="AT445" s="51">
        <v>0.68079999999999996</v>
      </c>
      <c r="AU445" s="51">
        <v>0.49580000000000002</v>
      </c>
      <c r="AV445" s="51">
        <v>0.26829999999999998</v>
      </c>
      <c r="AW445" s="51">
        <v>2996.06</v>
      </c>
      <c r="AX445" s="51">
        <v>280.10000000000002</v>
      </c>
      <c r="AY445" s="51">
        <v>255.85</v>
      </c>
      <c r="AZ445" s="51">
        <v>502.24076649668001</v>
      </c>
      <c r="BA445" s="51">
        <v>747.90020714315006</v>
      </c>
      <c r="BB445" s="51">
        <v>523.62</v>
      </c>
      <c r="BC445" s="51">
        <v>1.8291999999999999</v>
      </c>
      <c r="BD445" s="51" t="s">
        <v>1574</v>
      </c>
      <c r="BE445" s="51">
        <v>1.4711000000000001</v>
      </c>
      <c r="BF445" s="51">
        <v>33.5</v>
      </c>
      <c r="BG445" s="51">
        <v>182.125</v>
      </c>
      <c r="BH445" s="51">
        <v>174.63</v>
      </c>
      <c r="BI445" s="51">
        <v>172.125</v>
      </c>
      <c r="BJ445" s="51">
        <v>112.5</v>
      </c>
      <c r="BK445" s="51">
        <v>1482.48</v>
      </c>
      <c r="BL445" s="51">
        <v>30</v>
      </c>
      <c r="BM445" s="51">
        <v>2173.4</v>
      </c>
      <c r="BN445" s="51">
        <v>796.5</v>
      </c>
      <c r="BO445" s="51">
        <v>6191.9</v>
      </c>
      <c r="BP445" s="51">
        <v>7709.48</v>
      </c>
      <c r="BQ445" s="51">
        <v>1008.5</v>
      </c>
      <c r="BR445" s="51">
        <v>385.27</v>
      </c>
      <c r="BS445" s="51">
        <v>392.25</v>
      </c>
      <c r="BT445" s="51">
        <v>5.1615000000000002</v>
      </c>
      <c r="BU445" s="41"/>
      <c r="BV445" s="41"/>
      <c r="BW445" s="41"/>
      <c r="BX445" s="41"/>
      <c r="BY445" s="41"/>
      <c r="BZ445" s="41"/>
      <c r="CA445" s="41"/>
      <c r="CB445" s="41"/>
      <c r="CC445" s="41"/>
      <c r="CD445" s="41"/>
      <c r="CE445" s="41"/>
      <c r="CF445" s="41"/>
      <c r="CG445" s="41"/>
      <c r="CH445" s="41"/>
      <c r="CI445" s="41"/>
      <c r="CJ445" s="41"/>
      <c r="CK445" s="41"/>
    </row>
    <row r="446" spans="1:89">
      <c r="A446" s="48" t="s">
        <v>575</v>
      </c>
      <c r="B446" s="49">
        <v>19.586666666669998</v>
      </c>
      <c r="C446" s="49">
        <v>19.61</v>
      </c>
      <c r="D446" s="49">
        <v>17.79</v>
      </c>
      <c r="E446" s="49">
        <v>21.36</v>
      </c>
      <c r="F446" s="49">
        <v>38.4</v>
      </c>
      <c r="G446" s="49">
        <v>32.1</v>
      </c>
      <c r="H446" s="49">
        <v>2.48</v>
      </c>
      <c r="I446" s="49">
        <v>2.78</v>
      </c>
      <c r="J446" s="49">
        <v>3.61</v>
      </c>
      <c r="K446" s="49">
        <v>45.777361879410002</v>
      </c>
      <c r="L446" s="49">
        <v>1.4950000000000001</v>
      </c>
      <c r="M446" s="49">
        <v>2.7</v>
      </c>
      <c r="N446" s="49">
        <v>1.7077</v>
      </c>
      <c r="O446" s="49">
        <v>1.7901</v>
      </c>
      <c r="P446" s="49">
        <v>1.8553919999999999</v>
      </c>
      <c r="Q446" s="49">
        <v>2.1408499999999999</v>
      </c>
      <c r="R446" s="49">
        <v>1.3740000000000001</v>
      </c>
      <c r="S446" s="49">
        <v>775</v>
      </c>
      <c r="T446" s="49">
        <v>993</v>
      </c>
      <c r="U446" s="49">
        <v>547</v>
      </c>
      <c r="V446" s="49">
        <v>902</v>
      </c>
      <c r="W446" s="49">
        <v>476</v>
      </c>
      <c r="X446" s="49">
        <v>734</v>
      </c>
      <c r="Y446" s="49">
        <v>312</v>
      </c>
      <c r="Z446" s="49">
        <v>549</v>
      </c>
      <c r="AA446" s="49">
        <v>265</v>
      </c>
      <c r="AB446" s="49" t="s">
        <v>1574</v>
      </c>
      <c r="AC446" s="49" t="s">
        <v>1574</v>
      </c>
      <c r="AD446" s="49">
        <v>133.09</v>
      </c>
      <c r="AE446" s="49">
        <v>197.8</v>
      </c>
      <c r="AF446" s="49">
        <v>163.63999999999999</v>
      </c>
      <c r="AG446" s="49">
        <v>358</v>
      </c>
      <c r="AH446" s="49">
        <v>293</v>
      </c>
      <c r="AI446" s="49">
        <v>229.2</v>
      </c>
      <c r="AJ446" s="49" t="s">
        <v>1574</v>
      </c>
      <c r="AK446" s="49">
        <v>181.08</v>
      </c>
      <c r="AL446" s="49">
        <v>202.6</v>
      </c>
      <c r="AM446" s="49" t="s">
        <v>1574</v>
      </c>
      <c r="AN446" s="49">
        <v>0.42504999999999998</v>
      </c>
      <c r="AO446" s="49">
        <v>0.52744999999999997</v>
      </c>
      <c r="AP446" s="49">
        <v>1.6841092179999999</v>
      </c>
      <c r="AQ446" s="49">
        <v>1.4607812120000001</v>
      </c>
      <c r="AR446" s="49">
        <v>3.5449999999999999</v>
      </c>
      <c r="AS446" s="49">
        <v>13.558400000000001</v>
      </c>
      <c r="AT446" s="49">
        <v>0.69689999999999996</v>
      </c>
      <c r="AU446" s="49">
        <v>0.48060000000000003</v>
      </c>
      <c r="AV446" s="49">
        <v>0.28239999999999998</v>
      </c>
      <c r="AW446" s="49">
        <v>3050.38</v>
      </c>
      <c r="AX446" s="49">
        <v>284.68</v>
      </c>
      <c r="AY446" s="49">
        <v>259.69</v>
      </c>
      <c r="AZ446" s="49">
        <v>520.28114815251001</v>
      </c>
      <c r="BA446" s="49">
        <v>743.96678033917999</v>
      </c>
      <c r="BB446" s="49">
        <v>521.39</v>
      </c>
      <c r="BC446" s="49">
        <v>1.758</v>
      </c>
      <c r="BD446" s="49" t="s">
        <v>1574</v>
      </c>
      <c r="BE446" s="49">
        <v>1.3513999999999999</v>
      </c>
      <c r="BF446" s="49">
        <v>32.9</v>
      </c>
      <c r="BG446" s="49">
        <v>188</v>
      </c>
      <c r="BH446" s="49">
        <v>175.63</v>
      </c>
      <c r="BI446" s="49">
        <v>184.5</v>
      </c>
      <c r="BJ446" s="49">
        <v>112.5</v>
      </c>
      <c r="BK446" s="49">
        <v>1458.7</v>
      </c>
      <c r="BL446" s="49">
        <v>30</v>
      </c>
      <c r="BM446" s="49">
        <v>1985.57</v>
      </c>
      <c r="BN446" s="49">
        <v>783.7</v>
      </c>
      <c r="BO446" s="49">
        <v>6250.2</v>
      </c>
      <c r="BP446" s="49">
        <v>7203.65</v>
      </c>
      <c r="BQ446" s="49">
        <v>1000.1</v>
      </c>
      <c r="BR446" s="49">
        <v>383.47</v>
      </c>
      <c r="BS446" s="49">
        <v>393.66</v>
      </c>
      <c r="BT446" s="49">
        <v>5.0652999999999997</v>
      </c>
      <c r="BU446" s="41"/>
      <c r="BV446" s="41"/>
      <c r="BW446" s="41"/>
      <c r="BX446" s="41"/>
      <c r="BY446" s="41"/>
      <c r="BZ446" s="41"/>
      <c r="CA446" s="41"/>
      <c r="CB446" s="41"/>
      <c r="CC446" s="41"/>
      <c r="CD446" s="41"/>
      <c r="CE446" s="41"/>
      <c r="CF446" s="41"/>
      <c r="CG446" s="41"/>
      <c r="CH446" s="41"/>
      <c r="CI446" s="41"/>
      <c r="CJ446" s="41"/>
      <c r="CK446" s="41"/>
    </row>
    <row r="447" spans="1:89">
      <c r="A447" s="41" t="s">
        <v>576</v>
      </c>
      <c r="B447" s="51">
        <v>20.440000000000001</v>
      </c>
      <c r="C447" s="51">
        <v>20.58</v>
      </c>
      <c r="D447" s="51">
        <v>18.77</v>
      </c>
      <c r="E447" s="51">
        <v>21.97</v>
      </c>
      <c r="F447" s="51">
        <v>38.35</v>
      </c>
      <c r="G447" s="51">
        <v>32.03</v>
      </c>
      <c r="H447" s="51">
        <v>2.0299999999999998</v>
      </c>
      <c r="I447" s="51">
        <v>2.79</v>
      </c>
      <c r="J447" s="51">
        <v>3.68</v>
      </c>
      <c r="K447" s="51">
        <v>40.407808351390003</v>
      </c>
      <c r="L447" s="51">
        <v>1.5008999999999999</v>
      </c>
      <c r="M447" s="51">
        <v>2.7827000000000002</v>
      </c>
      <c r="N447" s="51">
        <v>1.7464999999999999</v>
      </c>
      <c r="O447" s="51">
        <v>1.7371000000000001</v>
      </c>
      <c r="P447" s="51">
        <v>1.954701</v>
      </c>
      <c r="Q447" s="51">
        <v>1.8214490000000001</v>
      </c>
      <c r="R447" s="51">
        <v>1.4350000000000001</v>
      </c>
      <c r="S447" s="51">
        <v>742</v>
      </c>
      <c r="T447" s="51">
        <v>970</v>
      </c>
      <c r="U447" s="51">
        <v>539</v>
      </c>
      <c r="V447" s="51">
        <v>885</v>
      </c>
      <c r="W447" s="51">
        <v>513</v>
      </c>
      <c r="X447" s="51">
        <v>725</v>
      </c>
      <c r="Y447" s="51">
        <v>317</v>
      </c>
      <c r="Z447" s="51">
        <v>565</v>
      </c>
      <c r="AA447" s="51">
        <v>270</v>
      </c>
      <c r="AB447" s="51" t="s">
        <v>1574</v>
      </c>
      <c r="AC447" s="51" t="s">
        <v>1574</v>
      </c>
      <c r="AD447" s="51">
        <v>115.01</v>
      </c>
      <c r="AE447" s="51">
        <v>185.5</v>
      </c>
      <c r="AF447" s="51">
        <v>152.47</v>
      </c>
      <c r="AG447" s="51">
        <v>335.5</v>
      </c>
      <c r="AH447" s="51">
        <v>276</v>
      </c>
      <c r="AI447" s="51">
        <v>213</v>
      </c>
      <c r="AJ447" s="51" t="s">
        <v>1574</v>
      </c>
      <c r="AK447" s="51">
        <v>174.99</v>
      </c>
      <c r="AL447" s="51">
        <v>191.63</v>
      </c>
      <c r="AM447" s="51" t="s">
        <v>1574</v>
      </c>
      <c r="AN447" s="51">
        <v>0.40565000000000001</v>
      </c>
      <c r="AO447" s="51">
        <v>0.52725</v>
      </c>
      <c r="AP447" s="51">
        <v>1.755318444</v>
      </c>
      <c r="AQ447" s="51">
        <v>1.47048154</v>
      </c>
      <c r="AR447" s="51">
        <v>3.5133000000000001</v>
      </c>
      <c r="AS447" s="51">
        <v>13.1175</v>
      </c>
      <c r="AT447" s="51">
        <v>0.67659999999999998</v>
      </c>
      <c r="AU447" s="51">
        <v>0.49270000000000003</v>
      </c>
      <c r="AV447" s="51">
        <v>0.2727</v>
      </c>
      <c r="AW447" s="51">
        <v>3140.87</v>
      </c>
      <c r="AX447" s="51">
        <v>286.56</v>
      </c>
      <c r="AY447" s="51">
        <v>263.48</v>
      </c>
      <c r="AZ447" s="51">
        <v>513.83399209486004</v>
      </c>
      <c r="BA447" s="51">
        <v>743.42955556098002</v>
      </c>
      <c r="BB447" s="51">
        <v>538.27</v>
      </c>
      <c r="BC447" s="51">
        <v>1.6830000000000001</v>
      </c>
      <c r="BD447" s="51" t="s">
        <v>1574</v>
      </c>
      <c r="BE447" s="51">
        <v>1.3033999999999999</v>
      </c>
      <c r="BF447" s="51">
        <v>32.5</v>
      </c>
      <c r="BG447" s="51">
        <v>189.875</v>
      </c>
      <c r="BH447" s="51">
        <v>178.6</v>
      </c>
      <c r="BI447" s="51">
        <v>187</v>
      </c>
      <c r="BJ447" s="51">
        <v>112.5</v>
      </c>
      <c r="BK447" s="51">
        <v>1463.36</v>
      </c>
      <c r="BL447" s="51">
        <v>30</v>
      </c>
      <c r="BM447" s="51">
        <v>2008.57</v>
      </c>
      <c r="BN447" s="51">
        <v>815.7</v>
      </c>
      <c r="BO447" s="51">
        <v>6110.2</v>
      </c>
      <c r="BP447" s="51">
        <v>7054.36</v>
      </c>
      <c r="BQ447" s="51">
        <v>1006.9</v>
      </c>
      <c r="BR447" s="51">
        <v>387.35</v>
      </c>
      <c r="BS447" s="51">
        <v>400.03</v>
      </c>
      <c r="BT447" s="51">
        <v>5.1353999999999997</v>
      </c>
      <c r="BU447" s="41"/>
      <c r="BV447" s="41"/>
      <c r="BW447" s="41"/>
      <c r="BX447" s="41"/>
      <c r="BY447" s="41"/>
      <c r="BZ447" s="41"/>
      <c r="CA447" s="41"/>
      <c r="CB447" s="41"/>
      <c r="CC447" s="41"/>
      <c r="CD447" s="41"/>
      <c r="CE447" s="41"/>
      <c r="CF447" s="41"/>
      <c r="CG447" s="41"/>
      <c r="CH447" s="41"/>
      <c r="CI447" s="41"/>
      <c r="CJ447" s="41"/>
      <c r="CK447" s="41"/>
    </row>
    <row r="448" spans="1:89">
      <c r="A448" s="48" t="s">
        <v>577</v>
      </c>
      <c r="B448" s="49">
        <v>22.25666666667</v>
      </c>
      <c r="C448" s="49">
        <v>22.59</v>
      </c>
      <c r="D448" s="49">
        <v>20.260000000000002</v>
      </c>
      <c r="E448" s="49">
        <v>23.92</v>
      </c>
      <c r="F448" s="49">
        <v>38.1</v>
      </c>
      <c r="G448" s="49">
        <v>33.380000000000003</v>
      </c>
      <c r="H448" s="49">
        <v>1.84</v>
      </c>
      <c r="I448" s="49">
        <v>2.79</v>
      </c>
      <c r="J448" s="49">
        <v>3.68</v>
      </c>
      <c r="K448" s="49">
        <v>38.100567486389998</v>
      </c>
      <c r="L448" s="49">
        <v>1.476</v>
      </c>
      <c r="M448" s="49">
        <v>2.6168999999999998</v>
      </c>
      <c r="N448" s="49">
        <v>1.6389</v>
      </c>
      <c r="O448" s="49">
        <v>1.7435</v>
      </c>
      <c r="P448" s="49">
        <v>2.1046170000000002</v>
      </c>
      <c r="Q448" s="49">
        <v>1.6786540000000001</v>
      </c>
      <c r="R448" s="49">
        <v>1.4472</v>
      </c>
      <c r="S448" s="49">
        <v>721</v>
      </c>
      <c r="T448" s="49">
        <v>929</v>
      </c>
      <c r="U448" s="49">
        <v>566</v>
      </c>
      <c r="V448" s="49">
        <v>879</v>
      </c>
      <c r="W448" s="49">
        <v>545</v>
      </c>
      <c r="X448" s="49">
        <v>707</v>
      </c>
      <c r="Y448" s="49">
        <v>319</v>
      </c>
      <c r="Z448" s="49">
        <v>569</v>
      </c>
      <c r="AA448" s="49">
        <v>286</v>
      </c>
      <c r="AB448" s="49" t="s">
        <v>1574</v>
      </c>
      <c r="AC448" s="49" t="s">
        <v>1574</v>
      </c>
      <c r="AD448" s="49">
        <v>103.4</v>
      </c>
      <c r="AE448" s="49">
        <v>145.38999999999999</v>
      </c>
      <c r="AF448" s="49">
        <v>130.35</v>
      </c>
      <c r="AG448" s="49">
        <v>328.4</v>
      </c>
      <c r="AH448" s="49">
        <v>274</v>
      </c>
      <c r="AI448" s="49">
        <v>214.4</v>
      </c>
      <c r="AJ448" s="49" t="s">
        <v>1574</v>
      </c>
      <c r="AK448" s="49">
        <v>169.71</v>
      </c>
      <c r="AL448" s="49">
        <v>178.71</v>
      </c>
      <c r="AM448" s="49" t="s">
        <v>1574</v>
      </c>
      <c r="AN448" s="49">
        <v>0.39639000000000002</v>
      </c>
      <c r="AO448" s="49">
        <v>0.52842</v>
      </c>
      <c r="AP448" s="49">
        <v>1.745397654</v>
      </c>
      <c r="AQ448" s="49">
        <v>1.47048154</v>
      </c>
      <c r="AR448" s="49">
        <v>3.4718</v>
      </c>
      <c r="AS448" s="49">
        <v>13.0899</v>
      </c>
      <c r="AT448" s="49">
        <v>0.68079999999999996</v>
      </c>
      <c r="AU448" s="49">
        <v>0.49320000000000003</v>
      </c>
      <c r="AV448" s="49">
        <v>0.26279999999999998</v>
      </c>
      <c r="AW448" s="49">
        <v>3149.7</v>
      </c>
      <c r="AX448" s="49">
        <v>282.74</v>
      </c>
      <c r="AY448" s="49">
        <v>258.69</v>
      </c>
      <c r="AZ448" s="49">
        <v>506.99062067352003</v>
      </c>
      <c r="BA448" s="49">
        <v>755.30517965912998</v>
      </c>
      <c r="BB448" s="49">
        <v>537.61</v>
      </c>
      <c r="BC448" s="49">
        <v>1.6612</v>
      </c>
      <c r="BD448" s="49" t="s">
        <v>1574</v>
      </c>
      <c r="BE448" s="49">
        <v>1.3048999999999999</v>
      </c>
      <c r="BF448" s="49">
        <v>32.5</v>
      </c>
      <c r="BG448" s="49">
        <v>186.7</v>
      </c>
      <c r="BH448" s="49">
        <v>181.5</v>
      </c>
      <c r="BI448" s="49">
        <v>181.4</v>
      </c>
      <c r="BJ448" s="49">
        <v>112.5</v>
      </c>
      <c r="BK448" s="49">
        <v>1407.38</v>
      </c>
      <c r="BL448" s="49">
        <v>30</v>
      </c>
      <c r="BM448" s="49">
        <v>1941.45</v>
      </c>
      <c r="BN448" s="49">
        <v>796.4</v>
      </c>
      <c r="BO448" s="49">
        <v>6101.9</v>
      </c>
      <c r="BP448" s="49">
        <v>7318.05</v>
      </c>
      <c r="BQ448" s="49">
        <v>1000.3</v>
      </c>
      <c r="BR448" s="49">
        <v>383.14</v>
      </c>
      <c r="BS448" s="49">
        <v>389.86</v>
      </c>
      <c r="BT448" s="49">
        <v>5.0388000000000002</v>
      </c>
      <c r="BU448" s="41"/>
      <c r="BV448" s="41"/>
      <c r="BW448" s="41"/>
      <c r="BX448" s="41"/>
      <c r="BY448" s="41"/>
      <c r="BZ448" s="41"/>
      <c r="CA448" s="41"/>
      <c r="CB448" s="41"/>
      <c r="CC448" s="41"/>
      <c r="CD448" s="41"/>
      <c r="CE448" s="41"/>
      <c r="CF448" s="41"/>
      <c r="CG448" s="41"/>
      <c r="CH448" s="41"/>
      <c r="CI448" s="41"/>
      <c r="CJ448" s="41"/>
      <c r="CK448" s="41"/>
    </row>
    <row r="449" spans="1:89">
      <c r="A449" s="41" t="s">
        <v>578</v>
      </c>
      <c r="B449" s="51">
        <v>23.61</v>
      </c>
      <c r="C449" s="51">
        <v>24.18</v>
      </c>
      <c r="D449" s="51">
        <v>21.71</v>
      </c>
      <c r="E449" s="51">
        <v>24.94</v>
      </c>
      <c r="F449" s="51">
        <v>37.6</v>
      </c>
      <c r="G449" s="51">
        <v>34.25</v>
      </c>
      <c r="H449" s="51">
        <v>2.37</v>
      </c>
      <c r="I449" s="51">
        <v>2.94</v>
      </c>
      <c r="J449" s="51">
        <v>3.79</v>
      </c>
      <c r="K449" s="51">
        <v>45.324175370680003</v>
      </c>
      <c r="L449" s="51">
        <v>1.4770000000000001</v>
      </c>
      <c r="M449" s="51">
        <v>2.7381000000000002</v>
      </c>
      <c r="N449" s="51">
        <v>1.6075999999999999</v>
      </c>
      <c r="O449" s="51">
        <v>1.7265999999999999</v>
      </c>
      <c r="P449" s="51">
        <v>2.1416059999999999</v>
      </c>
      <c r="Q449" s="51">
        <v>1.546468</v>
      </c>
      <c r="R449" s="51">
        <v>1.4918750000000001</v>
      </c>
      <c r="S449" s="51">
        <v>722</v>
      </c>
      <c r="T449" s="51">
        <v>917</v>
      </c>
      <c r="U449" s="51">
        <v>581</v>
      </c>
      <c r="V449" s="51">
        <v>874</v>
      </c>
      <c r="W449" s="51">
        <v>532</v>
      </c>
      <c r="X449" s="51">
        <v>693</v>
      </c>
      <c r="Y449" s="51">
        <v>290</v>
      </c>
      <c r="Z449" s="51">
        <v>528</v>
      </c>
      <c r="AA449" s="51">
        <v>270</v>
      </c>
      <c r="AB449" s="51" t="s">
        <v>1574</v>
      </c>
      <c r="AC449" s="51" t="s">
        <v>1574</v>
      </c>
      <c r="AD449" s="51">
        <v>102.41</v>
      </c>
      <c r="AE449" s="51">
        <v>127.85</v>
      </c>
      <c r="AF449" s="51">
        <v>113.32</v>
      </c>
      <c r="AG449" s="51">
        <v>312.75</v>
      </c>
      <c r="AH449" s="51">
        <v>260</v>
      </c>
      <c r="AI449" s="51">
        <v>208</v>
      </c>
      <c r="AJ449" s="51" t="s">
        <v>1574</v>
      </c>
      <c r="AK449" s="51">
        <v>158.44</v>
      </c>
      <c r="AL449" s="51">
        <v>178</v>
      </c>
      <c r="AM449" s="51" t="s">
        <v>1574</v>
      </c>
      <c r="AN449" s="51">
        <v>0.37545000000000001</v>
      </c>
      <c r="AO449" s="51">
        <v>0.47370000000000001</v>
      </c>
      <c r="AP449" s="51">
        <v>1.793899294</v>
      </c>
      <c r="AQ449" s="51">
        <v>1.447994416</v>
      </c>
      <c r="AR449" s="51">
        <v>3.5926</v>
      </c>
      <c r="AS449" s="51">
        <v>13.1175</v>
      </c>
      <c r="AT449" s="51">
        <v>0.69230000000000003</v>
      </c>
      <c r="AU449" s="51">
        <v>0.49299999999999999</v>
      </c>
      <c r="AV449" s="51">
        <v>0.2452</v>
      </c>
      <c r="AW449" s="51">
        <v>3157.84</v>
      </c>
      <c r="AX449" s="51">
        <v>300</v>
      </c>
      <c r="AY449" s="51">
        <v>252.67</v>
      </c>
      <c r="AZ449" s="51">
        <v>503.22255985445003</v>
      </c>
      <c r="BA449" s="51">
        <v>758.92666564173999</v>
      </c>
      <c r="BB449" s="51">
        <v>525.09</v>
      </c>
      <c r="BC449" s="51">
        <v>1.6616</v>
      </c>
      <c r="BD449" s="51" t="s">
        <v>1574</v>
      </c>
      <c r="BE449" s="51">
        <v>1.2412000000000001</v>
      </c>
      <c r="BF449" s="51">
        <v>32.5</v>
      </c>
      <c r="BG449" s="51">
        <v>183.75</v>
      </c>
      <c r="BH449" s="51">
        <v>182.5</v>
      </c>
      <c r="BI449" s="51">
        <v>172.25</v>
      </c>
      <c r="BJ449" s="51">
        <v>112.5</v>
      </c>
      <c r="BK449" s="51">
        <v>1336.34</v>
      </c>
      <c r="BL449" s="51">
        <v>30</v>
      </c>
      <c r="BM449" s="51">
        <v>1961.17</v>
      </c>
      <c r="BN449" s="51">
        <v>741.9</v>
      </c>
      <c r="BO449" s="51">
        <v>5941.9</v>
      </c>
      <c r="BP449" s="51">
        <v>7031.39</v>
      </c>
      <c r="BQ449" s="51">
        <v>1003.1</v>
      </c>
      <c r="BR449" s="51">
        <v>381.07</v>
      </c>
      <c r="BS449" s="51">
        <v>384.18</v>
      </c>
      <c r="BT449" s="51">
        <v>4.9276</v>
      </c>
      <c r="BU449" s="41"/>
      <c r="BV449" s="41"/>
      <c r="BW449" s="41"/>
      <c r="BX449" s="41"/>
      <c r="BY449" s="41"/>
      <c r="BZ449" s="41"/>
      <c r="CA449" s="41"/>
      <c r="CB449" s="41"/>
      <c r="CC449" s="41"/>
      <c r="CD449" s="41"/>
      <c r="CE449" s="41"/>
      <c r="CF449" s="41"/>
      <c r="CG449" s="41"/>
      <c r="CH449" s="41"/>
      <c r="CI449" s="41"/>
      <c r="CJ449" s="41"/>
      <c r="CK449" s="41"/>
    </row>
    <row r="450" spans="1:89">
      <c r="A450" s="48" t="s">
        <v>579</v>
      </c>
      <c r="B450" s="49">
        <v>22.39</v>
      </c>
      <c r="C450" s="49">
        <v>22.64</v>
      </c>
      <c r="D450" s="49">
        <v>20.87</v>
      </c>
      <c r="E450" s="49">
        <v>23.66</v>
      </c>
      <c r="F450" s="49">
        <v>35.700000000000003</v>
      </c>
      <c r="G450" s="49">
        <v>34.14</v>
      </c>
      <c r="H450" s="49">
        <v>3.03</v>
      </c>
      <c r="I450" s="49">
        <v>2.96</v>
      </c>
      <c r="J450" s="49">
        <v>4.03</v>
      </c>
      <c r="K450" s="49">
        <v>53.596479562459997</v>
      </c>
      <c r="L450" s="49">
        <v>1.4676</v>
      </c>
      <c r="M450" s="49">
        <v>2.7353000000000001</v>
      </c>
      <c r="N450" s="49">
        <v>1.5476000000000001</v>
      </c>
      <c r="O450" s="49">
        <v>1.6061000000000001</v>
      </c>
      <c r="P450" s="49">
        <v>1.8560110000000001</v>
      </c>
      <c r="Q450" s="49">
        <v>1.4623949999999999</v>
      </c>
      <c r="R450" s="49">
        <v>1.5</v>
      </c>
      <c r="S450" s="49">
        <v>760</v>
      </c>
      <c r="T450" s="49">
        <v>904</v>
      </c>
      <c r="U450" s="49">
        <v>600</v>
      </c>
      <c r="V450" s="49">
        <v>868</v>
      </c>
      <c r="W450" s="49">
        <v>550</v>
      </c>
      <c r="X450" s="49">
        <v>721</v>
      </c>
      <c r="Y450" s="49">
        <v>286</v>
      </c>
      <c r="Z450" s="49">
        <v>517</v>
      </c>
      <c r="AA450" s="49">
        <v>274</v>
      </c>
      <c r="AB450" s="49" t="s">
        <v>1574</v>
      </c>
      <c r="AC450" s="49" t="s">
        <v>1574</v>
      </c>
      <c r="AD450" s="49">
        <v>99.99</v>
      </c>
      <c r="AE450" s="49">
        <v>117.74</v>
      </c>
      <c r="AF450" s="49">
        <v>105.55</v>
      </c>
      <c r="AG450" s="49">
        <v>315</v>
      </c>
      <c r="AH450" s="49">
        <v>258</v>
      </c>
      <c r="AI450" s="49">
        <v>205.75</v>
      </c>
      <c r="AJ450" s="49" t="s">
        <v>1574</v>
      </c>
      <c r="AK450" s="49">
        <v>158.21</v>
      </c>
      <c r="AL450" s="49">
        <v>176.41</v>
      </c>
      <c r="AM450" s="49" t="s">
        <v>1574</v>
      </c>
      <c r="AN450" s="49">
        <v>0.42659000000000002</v>
      </c>
      <c r="AO450" s="49">
        <v>0.47499000000000002</v>
      </c>
      <c r="AP450" s="49">
        <v>1.767223392</v>
      </c>
      <c r="AQ450" s="49">
        <v>1.4513013459999999</v>
      </c>
      <c r="AR450" s="49">
        <v>3.7719999999999998</v>
      </c>
      <c r="AS450" s="49">
        <v>13.646599999999999</v>
      </c>
      <c r="AT450" s="49">
        <v>0.7046</v>
      </c>
      <c r="AU450" s="49">
        <v>0.48770000000000002</v>
      </c>
      <c r="AV450" s="49">
        <v>0.23630000000000001</v>
      </c>
      <c r="AW450" s="49">
        <v>3213.38</v>
      </c>
      <c r="AX450" s="49">
        <v>303.54000000000002</v>
      </c>
      <c r="AY450" s="49">
        <v>253.21</v>
      </c>
      <c r="AZ450" s="49">
        <v>558.12313958953996</v>
      </c>
      <c r="BA450" s="49">
        <v>753.66427692286004</v>
      </c>
      <c r="BB450" s="49">
        <v>526.22</v>
      </c>
      <c r="BC450" s="49">
        <v>1.677</v>
      </c>
      <c r="BD450" s="49" t="s">
        <v>1574</v>
      </c>
      <c r="BE450" s="49">
        <v>1.2703</v>
      </c>
      <c r="BF450" s="49">
        <v>32.5</v>
      </c>
      <c r="BG450" s="49">
        <v>188.25</v>
      </c>
      <c r="BH450" s="49">
        <v>182.5</v>
      </c>
      <c r="BI450" s="49">
        <v>172.625</v>
      </c>
      <c r="BJ450" s="49">
        <v>112.5</v>
      </c>
      <c r="BK450" s="49">
        <v>1449.52</v>
      </c>
      <c r="BL450" s="49">
        <v>30</v>
      </c>
      <c r="BM450" s="49">
        <v>2230.86</v>
      </c>
      <c r="BN450" s="49">
        <v>716.6</v>
      </c>
      <c r="BO450" s="49">
        <v>5991.7</v>
      </c>
      <c r="BP450" s="49">
        <v>6943.38</v>
      </c>
      <c r="BQ450" s="49">
        <v>1046.5</v>
      </c>
      <c r="BR450" s="49">
        <v>377.85</v>
      </c>
      <c r="BS450" s="49">
        <v>381.98</v>
      </c>
      <c r="BT450" s="49">
        <v>4.8331999999999997</v>
      </c>
      <c r="BU450" s="41"/>
      <c r="BV450" s="41"/>
      <c r="BW450" s="41"/>
      <c r="BX450" s="41"/>
      <c r="BY450" s="41"/>
      <c r="BZ450" s="41"/>
      <c r="CA450" s="41"/>
      <c r="CB450" s="41"/>
      <c r="CC450" s="41"/>
      <c r="CD450" s="41"/>
      <c r="CE450" s="41"/>
      <c r="CF450" s="41"/>
      <c r="CG450" s="41"/>
      <c r="CH450" s="41"/>
      <c r="CI450" s="41"/>
      <c r="CJ450" s="41"/>
      <c r="CK450" s="41"/>
    </row>
    <row r="451" spans="1:89">
      <c r="A451" s="41" t="s">
        <v>580</v>
      </c>
      <c r="B451" s="51">
        <v>23.623333333329999</v>
      </c>
      <c r="C451" s="51">
        <v>23.9</v>
      </c>
      <c r="D451" s="51">
        <v>21.65</v>
      </c>
      <c r="E451" s="51">
        <v>25.32</v>
      </c>
      <c r="F451" s="51">
        <v>35.35</v>
      </c>
      <c r="G451" s="51">
        <v>35.04</v>
      </c>
      <c r="H451" s="51">
        <v>3.82</v>
      </c>
      <c r="I451" s="51">
        <v>2.96</v>
      </c>
      <c r="J451" s="51">
        <v>4.08</v>
      </c>
      <c r="K451" s="51">
        <v>63.223618916109999</v>
      </c>
      <c r="L451" s="51">
        <v>1.4738</v>
      </c>
      <c r="M451" s="51">
        <v>2.5798000000000001</v>
      </c>
      <c r="N451" s="51">
        <v>1.3902000000000001</v>
      </c>
      <c r="O451" s="51">
        <v>1.6337999999999999</v>
      </c>
      <c r="P451" s="51">
        <v>1.824765</v>
      </c>
      <c r="Q451" s="51">
        <v>1.5634110000000001</v>
      </c>
      <c r="R451" s="51">
        <v>1.5131250000000001</v>
      </c>
      <c r="S451" s="51">
        <v>777</v>
      </c>
      <c r="T451" s="51">
        <v>897</v>
      </c>
      <c r="U451" s="51">
        <v>583</v>
      </c>
      <c r="V451" s="51">
        <v>868</v>
      </c>
      <c r="W451" s="51">
        <v>561</v>
      </c>
      <c r="X451" s="51">
        <v>747</v>
      </c>
      <c r="Y451" s="51">
        <v>289</v>
      </c>
      <c r="Z451" s="51">
        <v>514</v>
      </c>
      <c r="AA451" s="51">
        <v>279</v>
      </c>
      <c r="AB451" s="51" t="s">
        <v>1574</v>
      </c>
      <c r="AC451" s="51" t="s">
        <v>1574</v>
      </c>
      <c r="AD451" s="51">
        <v>100.76</v>
      </c>
      <c r="AE451" s="51">
        <v>117.69</v>
      </c>
      <c r="AF451" s="51">
        <v>105.77</v>
      </c>
      <c r="AG451" s="51">
        <v>319.2</v>
      </c>
      <c r="AH451" s="51">
        <v>263</v>
      </c>
      <c r="AI451" s="51">
        <v>205.2</v>
      </c>
      <c r="AJ451" s="51" t="s">
        <v>1574</v>
      </c>
      <c r="AK451" s="51">
        <v>158.6</v>
      </c>
      <c r="AL451" s="51">
        <v>175.7</v>
      </c>
      <c r="AM451" s="51" t="s">
        <v>1574</v>
      </c>
      <c r="AN451" s="51">
        <v>0.47620000000000001</v>
      </c>
      <c r="AO451" s="51">
        <v>0.43387999999999999</v>
      </c>
      <c r="AP451" s="51">
        <v>1.787285434</v>
      </c>
      <c r="AQ451" s="51">
        <v>1.4371917780000001</v>
      </c>
      <c r="AR451" s="51">
        <v>3.7919</v>
      </c>
      <c r="AS451" s="51">
        <v>13.834</v>
      </c>
      <c r="AT451" s="51">
        <v>0.64549999999999996</v>
      </c>
      <c r="AU451" s="51">
        <v>0.48709999999999998</v>
      </c>
      <c r="AV451" s="51">
        <v>0.23680000000000001</v>
      </c>
      <c r="AW451" s="51">
        <v>3261.76</v>
      </c>
      <c r="AX451" s="51">
        <v>300.38</v>
      </c>
      <c r="AY451" s="51">
        <v>233.76</v>
      </c>
      <c r="AZ451" s="51">
        <v>543.65450279458003</v>
      </c>
      <c r="BA451" s="51">
        <v>726.85184544222</v>
      </c>
      <c r="BB451" s="51">
        <v>518.62</v>
      </c>
      <c r="BC451" s="51">
        <v>1.7464999999999999</v>
      </c>
      <c r="BD451" s="51" t="s">
        <v>1574</v>
      </c>
      <c r="BE451" s="51">
        <v>1.2571000000000001</v>
      </c>
      <c r="BF451" s="51">
        <v>32.5</v>
      </c>
      <c r="BG451" s="51">
        <v>188.5</v>
      </c>
      <c r="BH451" s="51">
        <v>182.5</v>
      </c>
      <c r="BI451" s="51">
        <v>174.5</v>
      </c>
      <c r="BJ451" s="51">
        <v>112.5</v>
      </c>
      <c r="BK451" s="51">
        <v>1500.29</v>
      </c>
      <c r="BL451" s="51">
        <v>30</v>
      </c>
      <c r="BM451" s="51">
        <v>2268.08</v>
      </c>
      <c r="BN451" s="51">
        <v>688.8</v>
      </c>
      <c r="BO451" s="51">
        <v>5836.3</v>
      </c>
      <c r="BP451" s="51">
        <v>6580.75</v>
      </c>
      <c r="BQ451" s="51">
        <v>1036.3</v>
      </c>
      <c r="BR451" s="51">
        <v>369</v>
      </c>
      <c r="BS451" s="51">
        <v>370.7</v>
      </c>
      <c r="BT451" s="51">
        <v>4.8263999999999996</v>
      </c>
      <c r="BU451" s="41"/>
      <c r="BV451" s="41"/>
      <c r="BW451" s="41"/>
      <c r="BX451" s="41"/>
      <c r="BY451" s="41"/>
      <c r="BZ451" s="41"/>
      <c r="CA451" s="41"/>
      <c r="CB451" s="41"/>
      <c r="CC451" s="41"/>
      <c r="CD451" s="41"/>
      <c r="CE451" s="41"/>
      <c r="CF451" s="41"/>
      <c r="CG451" s="41"/>
      <c r="CH451" s="41"/>
      <c r="CI451" s="41"/>
      <c r="CJ451" s="41"/>
      <c r="CK451" s="41"/>
    </row>
    <row r="452" spans="1:89">
      <c r="A452" s="48" t="s">
        <v>581</v>
      </c>
      <c r="B452" s="49">
        <v>23.226666666669999</v>
      </c>
      <c r="C452" s="49">
        <v>23.47</v>
      </c>
      <c r="D452" s="49">
        <v>21.28</v>
      </c>
      <c r="E452" s="49">
        <v>24.93</v>
      </c>
      <c r="F452" s="49">
        <v>35.229999999999997</v>
      </c>
      <c r="G452" s="49">
        <v>34.57</v>
      </c>
      <c r="H452" s="49">
        <v>3.31</v>
      </c>
      <c r="I452" s="49">
        <v>2.89</v>
      </c>
      <c r="J452" s="49">
        <v>4.13</v>
      </c>
      <c r="K452" s="49">
        <v>56.731595336719998</v>
      </c>
      <c r="L452" s="49">
        <v>1.4278999999999999</v>
      </c>
      <c r="M452" s="49">
        <v>2.9291</v>
      </c>
      <c r="N452" s="49">
        <v>1.4813000000000001</v>
      </c>
      <c r="O452" s="49">
        <v>1.6523000000000001</v>
      </c>
      <c r="P452" s="49">
        <v>1.7656210000000001</v>
      </c>
      <c r="Q452" s="49">
        <v>1.6187929999999999</v>
      </c>
      <c r="R452" s="49">
        <v>1.5725</v>
      </c>
      <c r="S452" s="49">
        <v>768</v>
      </c>
      <c r="T452" s="49">
        <v>893</v>
      </c>
      <c r="U452" s="49">
        <v>576</v>
      </c>
      <c r="V452" s="49">
        <v>874</v>
      </c>
      <c r="W452" s="49">
        <v>567</v>
      </c>
      <c r="X452" s="49">
        <v>754</v>
      </c>
      <c r="Y452" s="49">
        <v>301</v>
      </c>
      <c r="Z452" s="49">
        <v>534</v>
      </c>
      <c r="AA452" s="49">
        <v>280</v>
      </c>
      <c r="AB452" s="49" t="s">
        <v>1574</v>
      </c>
      <c r="AC452" s="49" t="s">
        <v>1574</v>
      </c>
      <c r="AD452" s="49">
        <v>98.97</v>
      </c>
      <c r="AE452" s="49">
        <v>118.36</v>
      </c>
      <c r="AF452" s="49">
        <v>105.65</v>
      </c>
      <c r="AG452" s="49">
        <v>356</v>
      </c>
      <c r="AH452" s="49">
        <v>291</v>
      </c>
      <c r="AI452" s="49">
        <v>217.5</v>
      </c>
      <c r="AJ452" s="49" t="s">
        <v>1574</v>
      </c>
      <c r="AK452" s="49">
        <v>154.01</v>
      </c>
      <c r="AL452" s="49">
        <v>175.73</v>
      </c>
      <c r="AM452" s="49">
        <v>0.93589999999999995</v>
      </c>
      <c r="AN452" s="49">
        <v>0.66690000000000005</v>
      </c>
      <c r="AO452" s="49">
        <v>0.42459999999999998</v>
      </c>
      <c r="AP452" s="49">
        <v>1.765239234</v>
      </c>
      <c r="AQ452" s="49">
        <v>1.4153660400000001</v>
      </c>
      <c r="AR452" s="49">
        <v>3.7930000000000001</v>
      </c>
      <c r="AS452" s="49">
        <v>13.889099999999999</v>
      </c>
      <c r="AT452" s="49">
        <v>0.68959999999999999</v>
      </c>
      <c r="AU452" s="49">
        <v>0.4824</v>
      </c>
      <c r="AV452" s="49">
        <v>0.23569999999999999</v>
      </c>
      <c r="AW452" s="49">
        <v>3333.84</v>
      </c>
      <c r="AX452" s="49">
        <v>286.14</v>
      </c>
      <c r="AY452" s="49">
        <v>240.56</v>
      </c>
      <c r="AZ452" s="49">
        <v>516.90081042662996</v>
      </c>
      <c r="BA452" s="49">
        <v>743.81747336711999</v>
      </c>
      <c r="BB452" s="49">
        <v>499.93</v>
      </c>
      <c r="BC452" s="49">
        <v>1.7609999999999999</v>
      </c>
      <c r="BD452" s="49" t="s">
        <v>1574</v>
      </c>
      <c r="BE452" s="49">
        <v>1.2313000000000001</v>
      </c>
      <c r="BF452" s="49">
        <v>32.5</v>
      </c>
      <c r="BG452" s="49">
        <v>188</v>
      </c>
      <c r="BH452" s="49">
        <v>181.9</v>
      </c>
      <c r="BI452" s="49">
        <v>173.5</v>
      </c>
      <c r="BJ452" s="49">
        <v>112.5</v>
      </c>
      <c r="BK452" s="49">
        <v>1575.61</v>
      </c>
      <c r="BL452" s="49">
        <v>30.15</v>
      </c>
      <c r="BM452" s="49">
        <v>2434.9299999999998</v>
      </c>
      <c r="BN452" s="49">
        <v>692.3</v>
      </c>
      <c r="BO452" s="49">
        <v>5877.7</v>
      </c>
      <c r="BP452" s="49">
        <v>7071.55</v>
      </c>
      <c r="BQ452" s="49">
        <v>1086.5</v>
      </c>
      <c r="BR452" s="49">
        <v>355.11</v>
      </c>
      <c r="BS452" s="49">
        <v>360.1</v>
      </c>
      <c r="BT452" s="49">
        <v>4.7747000000000002</v>
      </c>
      <c r="BU452" s="41"/>
      <c r="BV452" s="41"/>
      <c r="BW452" s="41"/>
      <c r="BX452" s="41"/>
      <c r="BY452" s="41"/>
      <c r="BZ452" s="41"/>
      <c r="CA452" s="41"/>
      <c r="CB452" s="41"/>
      <c r="CC452" s="41"/>
      <c r="CD452" s="41"/>
      <c r="CE452" s="41"/>
      <c r="CF452" s="41"/>
      <c r="CG452" s="41"/>
      <c r="CH452" s="41"/>
      <c r="CI452" s="41"/>
      <c r="CJ452" s="41"/>
      <c r="CK452" s="41"/>
    </row>
    <row r="453" spans="1:89">
      <c r="A453" s="41" t="s">
        <v>582</v>
      </c>
      <c r="B453" s="51">
        <v>20.420000000000002</v>
      </c>
      <c r="C453" s="51">
        <v>20.83</v>
      </c>
      <c r="D453" s="51">
        <v>18.600000000000001</v>
      </c>
      <c r="E453" s="51">
        <v>21.83</v>
      </c>
      <c r="F453" s="51">
        <v>34.6</v>
      </c>
      <c r="G453" s="51">
        <v>33.799999999999997</v>
      </c>
      <c r="H453" s="51">
        <v>2.2200000000000002</v>
      </c>
      <c r="I453" s="51">
        <v>2.89</v>
      </c>
      <c r="J453" s="51">
        <v>4.22</v>
      </c>
      <c r="K453" s="51">
        <v>43.55629326343</v>
      </c>
      <c r="L453" s="51">
        <v>1.3726</v>
      </c>
      <c r="M453" s="51">
        <v>3.7119</v>
      </c>
      <c r="N453" s="51">
        <v>1.6623000000000001</v>
      </c>
      <c r="O453" s="51">
        <v>1.6758</v>
      </c>
      <c r="P453" s="51">
        <v>1.817979</v>
      </c>
      <c r="Q453" s="51">
        <v>1.5968899999999999</v>
      </c>
      <c r="R453" s="51">
        <v>1.6125</v>
      </c>
      <c r="S453" s="51">
        <v>768</v>
      </c>
      <c r="T453" s="51">
        <v>870</v>
      </c>
      <c r="U453" s="51">
        <v>558</v>
      </c>
      <c r="V453" s="51">
        <v>886</v>
      </c>
      <c r="W453" s="51">
        <v>580</v>
      </c>
      <c r="X453" s="51">
        <v>757</v>
      </c>
      <c r="Y453" s="51">
        <v>308</v>
      </c>
      <c r="Z453" s="51">
        <v>527</v>
      </c>
      <c r="AA453" s="51">
        <v>282</v>
      </c>
      <c r="AB453" s="51" t="s">
        <v>1574</v>
      </c>
      <c r="AC453" s="51" t="s">
        <v>1574</v>
      </c>
      <c r="AD453" s="51">
        <v>97.73</v>
      </c>
      <c r="AE453" s="51">
        <v>121.67</v>
      </c>
      <c r="AF453" s="51">
        <v>111.22</v>
      </c>
      <c r="AG453" s="51">
        <v>347</v>
      </c>
      <c r="AH453" s="51">
        <v>283</v>
      </c>
      <c r="AI453" s="51">
        <v>225.75</v>
      </c>
      <c r="AJ453" s="51" t="s">
        <v>1574</v>
      </c>
      <c r="AK453" s="51">
        <v>143.58000000000001</v>
      </c>
      <c r="AL453" s="51">
        <v>172.35</v>
      </c>
      <c r="AM453" s="51">
        <v>0.97304999999999997</v>
      </c>
      <c r="AN453" s="51">
        <v>0.78539999999999999</v>
      </c>
      <c r="AO453" s="51">
        <v>0.40672999999999998</v>
      </c>
      <c r="AP453" s="51">
        <v>1.8386530800000001</v>
      </c>
      <c r="AQ453" s="51">
        <v>1.3787693480000001</v>
      </c>
      <c r="AR453" s="51">
        <v>3.6739000000000002</v>
      </c>
      <c r="AS453" s="51">
        <v>13.889099999999999</v>
      </c>
      <c r="AT453" s="51">
        <v>0.65410000000000001</v>
      </c>
      <c r="AU453" s="51">
        <v>0.4824</v>
      </c>
      <c r="AV453" s="51">
        <v>0.23830000000000001</v>
      </c>
      <c r="AW453" s="51">
        <v>3353.29</v>
      </c>
      <c r="AX453" s="51">
        <v>282.95</v>
      </c>
      <c r="AY453" s="51">
        <v>235.18</v>
      </c>
      <c r="AZ453" s="51">
        <v>530.52274174153001</v>
      </c>
      <c r="BA453" s="51">
        <v>753.28368325589997</v>
      </c>
      <c r="BB453" s="51">
        <v>487.78</v>
      </c>
      <c r="BC453" s="51">
        <v>1.7730999999999999</v>
      </c>
      <c r="BD453" s="51" t="s">
        <v>1574</v>
      </c>
      <c r="BE453" s="51">
        <v>1.2206999999999999</v>
      </c>
      <c r="BF453" s="51">
        <v>32.5</v>
      </c>
      <c r="BG453" s="51">
        <v>187.375</v>
      </c>
      <c r="BH453" s="51">
        <v>181</v>
      </c>
      <c r="BI453" s="51">
        <v>160.375</v>
      </c>
      <c r="BJ453" s="51">
        <v>112.5</v>
      </c>
      <c r="BK453" s="51">
        <v>1580.01</v>
      </c>
      <c r="BL453" s="51">
        <v>30.15</v>
      </c>
      <c r="BM453" s="51">
        <v>2405.85</v>
      </c>
      <c r="BN453" s="51">
        <v>660.2</v>
      </c>
      <c r="BO453" s="51">
        <v>5883.2</v>
      </c>
      <c r="BP453" s="51">
        <v>7734.53</v>
      </c>
      <c r="BQ453" s="51">
        <v>1179.4000000000001</v>
      </c>
      <c r="BR453" s="51">
        <v>346.58</v>
      </c>
      <c r="BS453" s="51">
        <v>365.01</v>
      </c>
      <c r="BT453" s="51">
        <v>5.0721999999999996</v>
      </c>
      <c r="BU453" s="41"/>
      <c r="BV453" s="41"/>
      <c r="BW453" s="41"/>
      <c r="BX453" s="41"/>
      <c r="BY453" s="41"/>
      <c r="BZ453" s="41"/>
      <c r="CA453" s="41"/>
      <c r="CB453" s="41"/>
      <c r="CC453" s="41"/>
      <c r="CD453" s="41"/>
      <c r="CE453" s="41"/>
      <c r="CF453" s="41"/>
      <c r="CG453" s="41"/>
      <c r="CH453" s="41"/>
      <c r="CI453" s="41"/>
      <c r="CJ453" s="41"/>
      <c r="CK453" s="41"/>
    </row>
    <row r="454" spans="1:89">
      <c r="A454" s="48" t="s">
        <v>583</v>
      </c>
      <c r="B454" s="49">
        <v>19.329999999999998</v>
      </c>
      <c r="C454" s="49">
        <v>19.21</v>
      </c>
      <c r="D454" s="49">
        <v>18.09</v>
      </c>
      <c r="E454" s="49">
        <v>20.69</v>
      </c>
      <c r="F454" s="49">
        <v>34.5</v>
      </c>
      <c r="G454" s="49">
        <v>33.4</v>
      </c>
      <c r="H454" s="49">
        <v>1.89</v>
      </c>
      <c r="I454" s="49">
        <v>2.83</v>
      </c>
      <c r="J454" s="49">
        <v>4.25</v>
      </c>
      <c r="K454" s="49">
        <v>39.284066661399997</v>
      </c>
      <c r="L454" s="49">
        <v>1.5236000000000001</v>
      </c>
      <c r="M454" s="49">
        <v>4.2923999999999998</v>
      </c>
      <c r="N454" s="49">
        <v>1.7687999999999999</v>
      </c>
      <c r="O454" s="49">
        <v>1.7381</v>
      </c>
      <c r="P454" s="49">
        <v>1.784457</v>
      </c>
      <c r="Q454" s="49">
        <v>1.6374299999999999</v>
      </c>
      <c r="R454" s="49">
        <v>1.7925</v>
      </c>
      <c r="S454" s="49">
        <v>737</v>
      </c>
      <c r="T454" s="49">
        <v>908</v>
      </c>
      <c r="U454" s="49">
        <v>554</v>
      </c>
      <c r="V454" s="49">
        <v>896</v>
      </c>
      <c r="W454" s="49">
        <v>559</v>
      </c>
      <c r="X454" s="49">
        <v>730</v>
      </c>
      <c r="Y454" s="49">
        <v>332</v>
      </c>
      <c r="Z454" s="49">
        <v>541</v>
      </c>
      <c r="AA454" s="49">
        <v>300</v>
      </c>
      <c r="AB454" s="49" t="s">
        <v>1574</v>
      </c>
      <c r="AC454" s="49" t="s">
        <v>1574</v>
      </c>
      <c r="AD454" s="49">
        <v>99.75</v>
      </c>
      <c r="AE454" s="49">
        <v>127.6</v>
      </c>
      <c r="AF454" s="49">
        <v>119.66</v>
      </c>
      <c r="AG454" s="49">
        <v>323.39999999999998</v>
      </c>
      <c r="AH454" s="49">
        <v>273</v>
      </c>
      <c r="AI454" s="49">
        <v>231.6</v>
      </c>
      <c r="AJ454" s="49" t="s">
        <v>1574</v>
      </c>
      <c r="AK454" s="49">
        <v>153.80000000000001</v>
      </c>
      <c r="AL454" s="49">
        <v>176.61</v>
      </c>
      <c r="AM454" s="49">
        <v>1.10937</v>
      </c>
      <c r="AN454" s="49">
        <v>0.76473000000000002</v>
      </c>
      <c r="AO454" s="49">
        <v>0.41961999999999999</v>
      </c>
      <c r="AP454" s="49">
        <v>2.04037581</v>
      </c>
      <c r="AQ454" s="49">
        <v>1.362896084</v>
      </c>
      <c r="AR454" s="49">
        <v>3.4992999999999999</v>
      </c>
      <c r="AS454" s="49">
        <v>13.9994</v>
      </c>
      <c r="AT454" s="49">
        <v>0.64570000000000005</v>
      </c>
      <c r="AU454" s="49">
        <v>0.48080000000000001</v>
      </c>
      <c r="AV454" s="49">
        <v>0.24490000000000001</v>
      </c>
      <c r="AW454" s="49">
        <v>3402.27</v>
      </c>
      <c r="AX454" s="49">
        <v>279.74</v>
      </c>
      <c r="AY454" s="49">
        <v>242.04</v>
      </c>
      <c r="AZ454" s="49">
        <v>542.00542005420004</v>
      </c>
      <c r="BA454" s="49">
        <v>756.64171913515997</v>
      </c>
      <c r="BB454" s="49">
        <v>497.39</v>
      </c>
      <c r="BC454" s="49">
        <v>1.7771999999999999</v>
      </c>
      <c r="BD454" s="49" t="s">
        <v>1574</v>
      </c>
      <c r="BE454" s="49">
        <v>1.2266999999999999</v>
      </c>
      <c r="BF454" s="49">
        <v>32.5</v>
      </c>
      <c r="BG454" s="49">
        <v>187.4</v>
      </c>
      <c r="BH454" s="49">
        <v>181</v>
      </c>
      <c r="BI454" s="49">
        <v>148</v>
      </c>
      <c r="BJ454" s="49">
        <v>112.5</v>
      </c>
      <c r="BK454" s="49">
        <v>1631.57</v>
      </c>
      <c r="BL454" s="49">
        <v>30.15</v>
      </c>
      <c r="BM454" s="49">
        <v>2421.29</v>
      </c>
      <c r="BN454" s="49">
        <v>694.6</v>
      </c>
      <c r="BO454" s="49">
        <v>5909.2</v>
      </c>
      <c r="BP454" s="49">
        <v>7895.87</v>
      </c>
      <c r="BQ454" s="49">
        <v>1254.8</v>
      </c>
      <c r="BR454" s="49">
        <v>351.81</v>
      </c>
      <c r="BS454" s="49">
        <v>378.9</v>
      </c>
      <c r="BT454" s="49">
        <v>5.1962000000000002</v>
      </c>
      <c r="BU454" s="41"/>
      <c r="BV454" s="41"/>
      <c r="BW454" s="41"/>
      <c r="BX454" s="41"/>
      <c r="BY454" s="41"/>
      <c r="BZ454" s="41"/>
      <c r="CA454" s="41"/>
      <c r="CB454" s="41"/>
      <c r="CC454" s="41"/>
      <c r="CD454" s="41"/>
      <c r="CE454" s="41"/>
      <c r="CF454" s="41"/>
      <c r="CG454" s="41"/>
      <c r="CH454" s="41"/>
      <c r="CI454" s="41"/>
      <c r="CJ454" s="41"/>
      <c r="CK454" s="41"/>
    </row>
    <row r="455" spans="1:89">
      <c r="A455" s="41" t="s">
        <v>584</v>
      </c>
      <c r="B455" s="51">
        <v>17.88</v>
      </c>
      <c r="C455" s="51">
        <v>17.47</v>
      </c>
      <c r="D455" s="51">
        <v>16.77</v>
      </c>
      <c r="E455" s="51">
        <v>19.399999999999999</v>
      </c>
      <c r="F455" s="51">
        <v>35.4</v>
      </c>
      <c r="G455" s="51">
        <v>32.99</v>
      </c>
      <c r="H455" s="51">
        <v>2.0310000000000001</v>
      </c>
      <c r="I455" s="51">
        <v>2.77</v>
      </c>
      <c r="J455" s="51">
        <v>4.07</v>
      </c>
      <c r="K455" s="51">
        <v>40.589094971290002</v>
      </c>
      <c r="L455" s="51">
        <v>1.571</v>
      </c>
      <c r="M455" s="51">
        <v>4.5632999999999999</v>
      </c>
      <c r="N455" s="51">
        <v>1.7061999999999999</v>
      </c>
      <c r="O455" s="51">
        <v>1.8831</v>
      </c>
      <c r="P455" s="51">
        <v>1.917767</v>
      </c>
      <c r="Q455" s="51">
        <v>1.749072</v>
      </c>
      <c r="R455" s="51">
        <v>1.9824999999999999</v>
      </c>
      <c r="S455" s="51">
        <v>710</v>
      </c>
      <c r="T455" s="51">
        <v>920</v>
      </c>
      <c r="U455" s="51">
        <v>547</v>
      </c>
      <c r="V455" s="51">
        <v>938</v>
      </c>
      <c r="W455" s="51">
        <v>562</v>
      </c>
      <c r="X455" s="51">
        <v>705</v>
      </c>
      <c r="Y455" s="51">
        <v>338</v>
      </c>
      <c r="Z455" s="51">
        <v>541</v>
      </c>
      <c r="AA455" s="51">
        <v>301</v>
      </c>
      <c r="AB455" s="51" t="s">
        <v>1574</v>
      </c>
      <c r="AC455" s="51" t="s">
        <v>1574</v>
      </c>
      <c r="AD455" s="51">
        <v>97.87</v>
      </c>
      <c r="AE455" s="51">
        <v>124.4</v>
      </c>
      <c r="AF455" s="51">
        <v>118</v>
      </c>
      <c r="AG455" s="51">
        <v>304.5</v>
      </c>
      <c r="AH455" s="51">
        <v>262</v>
      </c>
      <c r="AI455" s="51">
        <v>217.25</v>
      </c>
      <c r="AJ455" s="51" t="s">
        <v>1574</v>
      </c>
      <c r="AK455" s="51">
        <v>158.62</v>
      </c>
      <c r="AL455" s="51">
        <v>183.49</v>
      </c>
      <c r="AM455" s="51">
        <v>1.02335</v>
      </c>
      <c r="AN455" s="51">
        <v>0.58974000000000004</v>
      </c>
      <c r="AO455" s="51">
        <v>0.45118999999999998</v>
      </c>
      <c r="AP455" s="51">
        <v>1.997606182</v>
      </c>
      <c r="AQ455" s="51">
        <v>1.35143206</v>
      </c>
      <c r="AR455" s="51">
        <v>3.3109999999999999</v>
      </c>
      <c r="AS455" s="51">
        <v>14.412699999999999</v>
      </c>
      <c r="AT455" s="51">
        <v>0.63360000000000005</v>
      </c>
      <c r="AU455" s="51">
        <v>0.47910000000000003</v>
      </c>
      <c r="AV455" s="51">
        <v>0.24909999999999999</v>
      </c>
      <c r="AW455" s="51">
        <v>3451.87</v>
      </c>
      <c r="AX455" s="51">
        <v>277.66000000000003</v>
      </c>
      <c r="AY455" s="51">
        <v>240.16</v>
      </c>
      <c r="AZ455" s="51">
        <v>555.31453362256002</v>
      </c>
      <c r="BA455" s="51">
        <v>749.83030892449005</v>
      </c>
      <c r="BB455" s="51">
        <v>486.03</v>
      </c>
      <c r="BC455" s="51">
        <v>1.7392000000000001</v>
      </c>
      <c r="BD455" s="51" t="s">
        <v>1574</v>
      </c>
      <c r="BE455" s="51">
        <v>1.1506000000000001</v>
      </c>
      <c r="BF455" s="51">
        <v>32.5</v>
      </c>
      <c r="BG455" s="51">
        <v>188.5</v>
      </c>
      <c r="BH455" s="51">
        <v>177.63</v>
      </c>
      <c r="BI455" s="51">
        <v>135</v>
      </c>
      <c r="BJ455" s="51">
        <v>112.5</v>
      </c>
      <c r="BK455" s="51">
        <v>1561.44</v>
      </c>
      <c r="BL455" s="51">
        <v>30.15</v>
      </c>
      <c r="BM455" s="51">
        <v>2391.1799999999998</v>
      </c>
      <c r="BN455" s="51">
        <v>642.5</v>
      </c>
      <c r="BO455" s="51">
        <v>5713.3</v>
      </c>
      <c r="BP455" s="51">
        <v>7315.52</v>
      </c>
      <c r="BQ455" s="51">
        <v>1240.4000000000001</v>
      </c>
      <c r="BR455" s="51">
        <v>344.47</v>
      </c>
      <c r="BS455" s="51">
        <v>371.08</v>
      </c>
      <c r="BT455" s="51">
        <v>4.7725999999999997</v>
      </c>
      <c r="BU455" s="41"/>
      <c r="BV455" s="41"/>
      <c r="BW455" s="41"/>
      <c r="BX455" s="41"/>
      <c r="BY455" s="41"/>
      <c r="BZ455" s="41"/>
      <c r="CA455" s="41"/>
      <c r="CB455" s="41"/>
      <c r="CC455" s="41"/>
      <c r="CD455" s="41"/>
      <c r="CE455" s="41"/>
      <c r="CF455" s="41"/>
      <c r="CG455" s="41"/>
      <c r="CH455" s="41"/>
      <c r="CI455" s="41"/>
      <c r="CJ455" s="41"/>
      <c r="CK455" s="41"/>
    </row>
    <row r="456" spans="1:89">
      <c r="A456" s="48" t="s">
        <v>585</v>
      </c>
      <c r="B456" s="49">
        <v>19.367433333329998</v>
      </c>
      <c r="C456" s="49">
        <v>19.142499999999998</v>
      </c>
      <c r="D456" s="49">
        <v>18.454999999999998</v>
      </c>
      <c r="E456" s="49">
        <v>20.504799999999999</v>
      </c>
      <c r="F456" s="49">
        <v>35.729999999999997</v>
      </c>
      <c r="G456" s="49">
        <v>32.53</v>
      </c>
      <c r="H456" s="49">
        <v>2.2400000000000002</v>
      </c>
      <c r="I456" s="49">
        <v>2.74</v>
      </c>
      <c r="J456" s="49">
        <v>4.03</v>
      </c>
      <c r="K456" s="49">
        <v>42.957340987530003</v>
      </c>
      <c r="L456" s="49">
        <v>1.5691999999999999</v>
      </c>
      <c r="M456" s="49">
        <v>5.8922999999999996</v>
      </c>
      <c r="N456" s="49">
        <v>2.0634999999999999</v>
      </c>
      <c r="O456" s="49">
        <v>2.0609000000000002</v>
      </c>
      <c r="P456" s="49">
        <v>1.982243</v>
      </c>
      <c r="Q456" s="49">
        <v>2.2103769999999998</v>
      </c>
      <c r="R456" s="49">
        <v>1.99</v>
      </c>
      <c r="S456" s="49">
        <v>654</v>
      </c>
      <c r="T456" s="49">
        <v>953</v>
      </c>
      <c r="U456" s="49">
        <v>548</v>
      </c>
      <c r="V456" s="49">
        <v>981</v>
      </c>
      <c r="W456" s="49">
        <v>553</v>
      </c>
      <c r="X456" s="49">
        <v>668</v>
      </c>
      <c r="Y456" s="49">
        <v>298</v>
      </c>
      <c r="Z456" s="49">
        <v>541</v>
      </c>
      <c r="AA456" s="49">
        <v>300</v>
      </c>
      <c r="AB456" s="49" t="s">
        <v>1574</v>
      </c>
      <c r="AC456" s="49" t="s">
        <v>1574</v>
      </c>
      <c r="AD456" s="49">
        <v>100.07</v>
      </c>
      <c r="AE456" s="49">
        <v>118.77</v>
      </c>
      <c r="AF456" s="49">
        <v>114.2</v>
      </c>
      <c r="AG456" s="49">
        <v>324.5</v>
      </c>
      <c r="AH456" s="49">
        <v>267</v>
      </c>
      <c r="AI456" s="49">
        <v>215.5</v>
      </c>
      <c r="AJ456" s="49" t="s">
        <v>1574</v>
      </c>
      <c r="AK456" s="49">
        <v>152.65</v>
      </c>
      <c r="AL456" s="49">
        <v>172.59</v>
      </c>
      <c r="AM456" s="49">
        <v>0.97484000000000004</v>
      </c>
      <c r="AN456" s="49">
        <v>0.38580999999999999</v>
      </c>
      <c r="AO456" s="49">
        <v>0.47014</v>
      </c>
      <c r="AP456" s="49">
        <v>1.8975164339999999</v>
      </c>
      <c r="AQ456" s="49">
        <v>1.3423931179999999</v>
      </c>
      <c r="AR456" s="49">
        <v>3.3391000000000002</v>
      </c>
      <c r="AS456" s="49">
        <v>14.6387</v>
      </c>
      <c r="AT456" s="49">
        <v>0.63490000000000002</v>
      </c>
      <c r="AU456" s="49">
        <v>0.47839999999999999</v>
      </c>
      <c r="AV456" s="49">
        <v>0.2447</v>
      </c>
      <c r="AW456" s="49">
        <v>3557.14</v>
      </c>
      <c r="AX456" s="49">
        <v>278.60000000000002</v>
      </c>
      <c r="AY456" s="49">
        <v>252.18</v>
      </c>
      <c r="AZ456" s="49">
        <v>600.72086503804996</v>
      </c>
      <c r="BA456" s="49">
        <v>747.55718951969004</v>
      </c>
      <c r="BB456" s="49">
        <v>512.65</v>
      </c>
      <c r="BC456" s="49">
        <v>1.7493000000000001</v>
      </c>
      <c r="BD456" s="49" t="s">
        <v>1574</v>
      </c>
      <c r="BE456" s="49">
        <v>1.1067</v>
      </c>
      <c r="BF456" s="49">
        <v>32.5</v>
      </c>
      <c r="BG456" s="49">
        <v>188.5</v>
      </c>
      <c r="BH456" s="49">
        <v>170</v>
      </c>
      <c r="BI456" s="49">
        <v>113.125</v>
      </c>
      <c r="BJ456" s="49">
        <v>112.5</v>
      </c>
      <c r="BK456" s="49">
        <v>1625.25</v>
      </c>
      <c r="BL456" s="49">
        <v>30.15</v>
      </c>
      <c r="BM456" s="49">
        <v>2514.33</v>
      </c>
      <c r="BN456" s="49">
        <v>618.6</v>
      </c>
      <c r="BO456" s="49">
        <v>5711.2</v>
      </c>
      <c r="BP456" s="49">
        <v>7482.85</v>
      </c>
      <c r="BQ456" s="49">
        <v>1310.5</v>
      </c>
      <c r="BR456" s="49">
        <v>343.84</v>
      </c>
      <c r="BS456" s="49">
        <v>387.5</v>
      </c>
      <c r="BT456" s="49">
        <v>4.7496</v>
      </c>
      <c r="BU456" s="41"/>
      <c r="BV456" s="41"/>
      <c r="BW456" s="41"/>
      <c r="BX456" s="41"/>
      <c r="BY456" s="41"/>
      <c r="BZ456" s="41"/>
      <c r="CA456" s="41"/>
      <c r="CB456" s="41"/>
      <c r="CC456" s="41"/>
      <c r="CD456" s="41"/>
      <c r="CE456" s="41"/>
      <c r="CF456" s="41"/>
      <c r="CG456" s="41"/>
      <c r="CH456" s="41"/>
      <c r="CI456" s="41"/>
      <c r="CJ456" s="41"/>
      <c r="CK456" s="41"/>
    </row>
    <row r="457" spans="1:89">
      <c r="A457" s="41" t="s">
        <v>586</v>
      </c>
      <c r="B457" s="51">
        <v>17.920000000000002</v>
      </c>
      <c r="C457" s="51">
        <v>17.55</v>
      </c>
      <c r="D457" s="51">
        <v>17.34</v>
      </c>
      <c r="E457" s="51">
        <v>18.87</v>
      </c>
      <c r="F457" s="51">
        <v>34.5</v>
      </c>
      <c r="G457" s="51">
        <v>32.28</v>
      </c>
      <c r="H457" s="51">
        <v>2.2000000000000002</v>
      </c>
      <c r="I457" s="51">
        <v>2.76</v>
      </c>
      <c r="J457" s="51">
        <v>4.03</v>
      </c>
      <c r="K457" s="51">
        <v>42.566685516379998</v>
      </c>
      <c r="L457" s="51">
        <v>1.6882999999999999</v>
      </c>
      <c r="M457" s="51">
        <v>4.8947000000000003</v>
      </c>
      <c r="N457" s="51">
        <v>1.9563999999999999</v>
      </c>
      <c r="O457" s="51">
        <v>2.0823999999999998</v>
      </c>
      <c r="P457" s="51">
        <v>2.0195729999999998</v>
      </c>
      <c r="Q457" s="51">
        <v>2.2956949999999998</v>
      </c>
      <c r="R457" s="51">
        <v>1.9319999999999999</v>
      </c>
      <c r="S457" s="51">
        <v>637</v>
      </c>
      <c r="T457" s="51">
        <v>969</v>
      </c>
      <c r="U457" s="51">
        <v>558</v>
      </c>
      <c r="V457" s="51">
        <v>1047</v>
      </c>
      <c r="W457" s="51">
        <v>533</v>
      </c>
      <c r="X457" s="51">
        <v>635</v>
      </c>
      <c r="Y457" s="51">
        <v>278</v>
      </c>
      <c r="Z457" s="51">
        <v>550</v>
      </c>
      <c r="AA457" s="51">
        <v>274</v>
      </c>
      <c r="AB457" s="51" t="s">
        <v>1574</v>
      </c>
      <c r="AC457" s="51" t="s">
        <v>1574</v>
      </c>
      <c r="AD457" s="51">
        <v>94.94</v>
      </c>
      <c r="AE457" s="51">
        <v>112.05</v>
      </c>
      <c r="AF457" s="51">
        <v>104.28</v>
      </c>
      <c r="AG457" s="51">
        <v>323.2</v>
      </c>
      <c r="AH457" s="51">
        <v>266</v>
      </c>
      <c r="AI457" s="51">
        <v>220.6</v>
      </c>
      <c r="AJ457" s="51" t="s">
        <v>1574</v>
      </c>
      <c r="AK457" s="51">
        <v>131.59</v>
      </c>
      <c r="AL457" s="51">
        <v>148.38999999999999</v>
      </c>
      <c r="AM457" s="51">
        <v>0.79871999999999999</v>
      </c>
      <c r="AN457" s="51">
        <v>0.46778999999999998</v>
      </c>
      <c r="AO457" s="51">
        <v>0.43974999999999997</v>
      </c>
      <c r="AP457" s="51">
        <v>1.7564207540000001</v>
      </c>
      <c r="AQ457" s="51">
        <v>1.3423931179999999</v>
      </c>
      <c r="AR457" s="51">
        <v>3.3344</v>
      </c>
      <c r="AS457" s="51">
        <v>14.8812</v>
      </c>
      <c r="AT457" s="51">
        <v>0.63929999999999998</v>
      </c>
      <c r="AU457" s="51">
        <v>0.47689999999999999</v>
      </c>
      <c r="AV457" s="51">
        <v>0.252</v>
      </c>
      <c r="AW457" s="51">
        <v>3604.59</v>
      </c>
      <c r="AX457" s="51">
        <v>283.07</v>
      </c>
      <c r="AY457" s="51">
        <v>264.32</v>
      </c>
      <c r="AZ457" s="51">
        <v>591.86824498198996</v>
      </c>
      <c r="BA457" s="51">
        <v>744.94231422445</v>
      </c>
      <c r="BB457" s="51">
        <v>525.38</v>
      </c>
      <c r="BC457" s="51">
        <v>1.7765</v>
      </c>
      <c r="BD457" s="51" t="s">
        <v>1574</v>
      </c>
      <c r="BE457" s="51">
        <v>1.1120000000000001</v>
      </c>
      <c r="BF457" s="51">
        <v>32.5</v>
      </c>
      <c r="BG457" s="51">
        <v>187</v>
      </c>
      <c r="BH457" s="51">
        <v>170</v>
      </c>
      <c r="BI457" s="51">
        <v>108.5</v>
      </c>
      <c r="BJ457" s="51">
        <v>112.5</v>
      </c>
      <c r="BK457" s="51">
        <v>1567.55</v>
      </c>
      <c r="BL457" s="51">
        <v>30.15</v>
      </c>
      <c r="BM457" s="51">
        <v>2612.62</v>
      </c>
      <c r="BN457" s="51">
        <v>614.9</v>
      </c>
      <c r="BO457" s="51">
        <v>5566.1</v>
      </c>
      <c r="BP457" s="51">
        <v>7062.48</v>
      </c>
      <c r="BQ457" s="51">
        <v>1354.2</v>
      </c>
      <c r="BR457" s="51">
        <v>340.76</v>
      </c>
      <c r="BS457" s="51">
        <v>430.76</v>
      </c>
      <c r="BT457" s="51">
        <v>4.7568999999999999</v>
      </c>
      <c r="BU457" s="41"/>
      <c r="BV457" s="41"/>
      <c r="BW457" s="41"/>
      <c r="BX457" s="41"/>
      <c r="BY457" s="41"/>
      <c r="BZ457" s="41"/>
      <c r="CA457" s="41"/>
      <c r="CB457" s="41"/>
      <c r="CC457" s="41"/>
      <c r="CD457" s="41"/>
      <c r="CE457" s="41"/>
      <c r="CF457" s="41"/>
      <c r="CG457" s="41"/>
      <c r="CH457" s="41"/>
      <c r="CI457" s="41"/>
      <c r="CJ457" s="41"/>
      <c r="CK457" s="41"/>
    </row>
    <row r="458" spans="1:89">
      <c r="A458" s="48" t="s">
        <v>587</v>
      </c>
      <c r="B458" s="49">
        <v>18.329999999999998</v>
      </c>
      <c r="C458" s="49">
        <v>18.399999999999999</v>
      </c>
      <c r="D458" s="49">
        <v>17.29</v>
      </c>
      <c r="E458" s="49">
        <v>19.3</v>
      </c>
      <c r="F458" s="49">
        <v>35</v>
      </c>
      <c r="G458" s="49">
        <v>31.27</v>
      </c>
      <c r="H458" s="49">
        <v>2.19</v>
      </c>
      <c r="I458" s="49">
        <v>2.67</v>
      </c>
      <c r="J458" s="49">
        <v>3.89</v>
      </c>
      <c r="K458" s="49">
        <v>41.922545099110003</v>
      </c>
      <c r="L458" s="49">
        <v>1.6775</v>
      </c>
      <c r="M458" s="49">
        <v>4.1978</v>
      </c>
      <c r="N458" s="49">
        <v>1.756</v>
      </c>
      <c r="O458" s="49">
        <v>2.1856</v>
      </c>
      <c r="P458" s="49">
        <v>1.9539139999999999</v>
      </c>
      <c r="Q458" s="49">
        <v>2.595415</v>
      </c>
      <c r="R458" s="49">
        <v>2.0074999999999998</v>
      </c>
      <c r="S458" s="49">
        <v>597</v>
      </c>
      <c r="T458" s="49">
        <v>987</v>
      </c>
      <c r="U458" s="49">
        <v>581</v>
      </c>
      <c r="V458" s="49">
        <v>1096</v>
      </c>
      <c r="W458" s="49">
        <v>498</v>
      </c>
      <c r="X458" s="49">
        <v>594</v>
      </c>
      <c r="Y458" s="49">
        <v>306</v>
      </c>
      <c r="Z458" s="49">
        <v>535</v>
      </c>
      <c r="AA458" s="49">
        <v>248</v>
      </c>
      <c r="AB458" s="49" t="s">
        <v>1574</v>
      </c>
      <c r="AC458" s="49" t="s">
        <v>1574</v>
      </c>
      <c r="AD458" s="49">
        <v>91.66</v>
      </c>
      <c r="AE458" s="49">
        <v>106.06</v>
      </c>
      <c r="AF458" s="49">
        <v>96.21</v>
      </c>
      <c r="AG458" s="49">
        <v>320</v>
      </c>
      <c r="AH458" s="49">
        <v>267</v>
      </c>
      <c r="AI458" s="49">
        <v>215.75</v>
      </c>
      <c r="AJ458" s="49" t="s">
        <v>1574</v>
      </c>
      <c r="AK458" s="49">
        <v>127.78</v>
      </c>
      <c r="AL458" s="49">
        <v>136.21</v>
      </c>
      <c r="AM458" s="49">
        <v>0.9153</v>
      </c>
      <c r="AN458" s="49">
        <v>0.43817</v>
      </c>
      <c r="AO458" s="49">
        <v>0.51549999999999996</v>
      </c>
      <c r="AP458" s="49">
        <v>1.8022768499999999</v>
      </c>
      <c r="AQ458" s="49">
        <v>1.35143206</v>
      </c>
      <c r="AR458" s="49">
        <v>3.3530000000000002</v>
      </c>
      <c r="AS458" s="49">
        <v>14.917999999999999</v>
      </c>
      <c r="AT458" s="49">
        <v>0.63290000000000002</v>
      </c>
      <c r="AU458" s="49">
        <v>0.4859</v>
      </c>
      <c r="AV458" s="49">
        <v>0.24740000000000001</v>
      </c>
      <c r="AW458" s="49">
        <v>3582.17</v>
      </c>
      <c r="AX458" s="49">
        <v>283.77</v>
      </c>
      <c r="AY458" s="49">
        <v>254.34</v>
      </c>
      <c r="AZ458" s="49">
        <v>570.85181017935997</v>
      </c>
      <c r="BA458" s="49">
        <v>705.70634147718999</v>
      </c>
      <c r="BB458" s="49">
        <v>512.34</v>
      </c>
      <c r="BC458" s="49">
        <v>1.7936000000000001</v>
      </c>
      <c r="BD458" s="49" t="s">
        <v>1574</v>
      </c>
      <c r="BE458" s="49">
        <v>0.93869999999999998</v>
      </c>
      <c r="BF458" s="49">
        <v>32.5</v>
      </c>
      <c r="BG458" s="49">
        <v>186.875</v>
      </c>
      <c r="BH458" s="49">
        <v>168.2</v>
      </c>
      <c r="BI458" s="49">
        <v>112.5</v>
      </c>
      <c r="BJ458" s="49">
        <v>112.5</v>
      </c>
      <c r="BK458" s="49">
        <v>1591.99</v>
      </c>
      <c r="BL458" s="49">
        <v>30.15</v>
      </c>
      <c r="BM458" s="49">
        <v>2450.46</v>
      </c>
      <c r="BN458" s="49">
        <v>634.29999999999995</v>
      </c>
      <c r="BO458" s="49">
        <v>5442.7</v>
      </c>
      <c r="BP458" s="49">
        <v>6835.5</v>
      </c>
      <c r="BQ458" s="49">
        <v>1518</v>
      </c>
      <c r="BR458" s="49">
        <v>324.10000000000002</v>
      </c>
      <c r="BS458" s="49">
        <v>415.52</v>
      </c>
      <c r="BT458" s="49">
        <v>4.3723999999999998</v>
      </c>
      <c r="BU458" s="41"/>
      <c r="BV458" s="41"/>
      <c r="BW458" s="41"/>
      <c r="BX458" s="41"/>
      <c r="BY458" s="41"/>
      <c r="BZ458" s="41"/>
      <c r="CA458" s="41"/>
      <c r="CB458" s="41"/>
      <c r="CC458" s="41"/>
      <c r="CD458" s="41"/>
      <c r="CE458" s="41"/>
      <c r="CF458" s="41"/>
      <c r="CG458" s="41"/>
      <c r="CH458" s="41"/>
      <c r="CI458" s="41"/>
      <c r="CJ458" s="41"/>
      <c r="CK458" s="41"/>
    </row>
    <row r="459" spans="1:89">
      <c r="A459" s="41" t="s">
        <v>588</v>
      </c>
      <c r="B459" s="51">
        <v>18.7</v>
      </c>
      <c r="C459" s="51">
        <v>18.71</v>
      </c>
      <c r="D459" s="51">
        <v>17.77</v>
      </c>
      <c r="E459" s="51">
        <v>19.62</v>
      </c>
      <c r="F459" s="51">
        <v>36.93</v>
      </c>
      <c r="G459" s="51">
        <v>31.03</v>
      </c>
      <c r="H459" s="51">
        <v>2.4700000000000002</v>
      </c>
      <c r="I459" s="51">
        <v>2.67</v>
      </c>
      <c r="J459" s="51">
        <v>3.69</v>
      </c>
      <c r="K459" s="51">
        <v>45.187190713930001</v>
      </c>
      <c r="L459" s="51">
        <v>1.653</v>
      </c>
      <c r="M459" s="51">
        <v>4.2064000000000004</v>
      </c>
      <c r="N459" s="51">
        <v>1.6413</v>
      </c>
      <c r="O459" s="51">
        <v>2.2448000000000001</v>
      </c>
      <c r="P459" s="51">
        <v>2.0958399999999999</v>
      </c>
      <c r="Q459" s="51">
        <v>2.431108</v>
      </c>
      <c r="R459" s="51">
        <v>2.2075</v>
      </c>
      <c r="S459" s="51">
        <v>567</v>
      </c>
      <c r="T459" s="51">
        <v>924</v>
      </c>
      <c r="U459" s="51">
        <v>621</v>
      </c>
      <c r="V459" s="51">
        <v>1093</v>
      </c>
      <c r="W459" s="51">
        <v>504</v>
      </c>
      <c r="X459" s="51">
        <v>556</v>
      </c>
      <c r="Y459" s="51">
        <v>265</v>
      </c>
      <c r="Z459" s="51">
        <v>544</v>
      </c>
      <c r="AA459" s="51">
        <v>258</v>
      </c>
      <c r="AB459" s="51" t="s">
        <v>1574</v>
      </c>
      <c r="AC459" s="51" t="s">
        <v>1574</v>
      </c>
      <c r="AD459" s="51">
        <v>91.3</v>
      </c>
      <c r="AE459" s="51">
        <v>112.92</v>
      </c>
      <c r="AF459" s="51">
        <v>104.06</v>
      </c>
      <c r="AG459" s="51">
        <v>285</v>
      </c>
      <c r="AH459" s="51">
        <v>246</v>
      </c>
      <c r="AI459" s="51">
        <v>209.25</v>
      </c>
      <c r="AJ459" s="51" t="s">
        <v>1574</v>
      </c>
      <c r="AK459" s="51">
        <v>140.91</v>
      </c>
      <c r="AL459" s="51">
        <v>150.61000000000001</v>
      </c>
      <c r="AM459" s="51">
        <v>0.92198999999999998</v>
      </c>
      <c r="AN459" s="51">
        <v>0.41887999999999997</v>
      </c>
      <c r="AO459" s="51">
        <v>0.57150999999999996</v>
      </c>
      <c r="AP459" s="51">
        <v>1.8386530800000001</v>
      </c>
      <c r="AQ459" s="51">
        <v>1.3825172020000001</v>
      </c>
      <c r="AR459" s="51">
        <v>3.2166999999999999</v>
      </c>
      <c r="AS459" s="51">
        <v>15.4544</v>
      </c>
      <c r="AT459" s="51">
        <v>0.59899999999999998</v>
      </c>
      <c r="AU459" s="51">
        <v>0.49070000000000003</v>
      </c>
      <c r="AV459" s="51">
        <v>0.25790000000000002</v>
      </c>
      <c r="AW459" s="51">
        <v>3576.49</v>
      </c>
      <c r="AX459" s="51">
        <v>285.70999999999998</v>
      </c>
      <c r="AY459" s="51">
        <v>244.23</v>
      </c>
      <c r="AZ459" s="51">
        <v>556.00322320708995</v>
      </c>
      <c r="BA459" s="51">
        <v>649.00887436919004</v>
      </c>
      <c r="BB459" s="51">
        <v>500.42</v>
      </c>
      <c r="BC459" s="51">
        <v>1.7895000000000001</v>
      </c>
      <c r="BD459" s="51" t="s">
        <v>1574</v>
      </c>
      <c r="BE459" s="51">
        <v>0.91579999999999995</v>
      </c>
      <c r="BF459" s="51">
        <v>32.5</v>
      </c>
      <c r="BG459" s="51">
        <v>186.625</v>
      </c>
      <c r="BH459" s="51">
        <v>163.5</v>
      </c>
      <c r="BI459" s="51">
        <v>102.5</v>
      </c>
      <c r="BJ459" s="51">
        <v>112.5</v>
      </c>
      <c r="BK459" s="51">
        <v>1710.58</v>
      </c>
      <c r="BL459" s="51">
        <v>30.15</v>
      </c>
      <c r="BM459" s="51">
        <v>2251.1999999999998</v>
      </c>
      <c r="BN459" s="51">
        <v>608.1</v>
      </c>
      <c r="BO459" s="51">
        <v>5428.4</v>
      </c>
      <c r="BP459" s="51">
        <v>6761.3</v>
      </c>
      <c r="BQ459" s="51">
        <v>1653.5</v>
      </c>
      <c r="BR459" s="51">
        <v>324.01</v>
      </c>
      <c r="BS459" s="51">
        <v>424.55</v>
      </c>
      <c r="BT459" s="51">
        <v>4.4964000000000004</v>
      </c>
      <c r="BU459" s="41"/>
      <c r="BV459" s="41"/>
      <c r="BW459" s="41"/>
      <c r="BX459" s="41"/>
      <c r="BY459" s="41"/>
      <c r="BZ459" s="41"/>
      <c r="CA459" s="41"/>
      <c r="CB459" s="41"/>
      <c r="CC459" s="41"/>
      <c r="CD459" s="41"/>
      <c r="CE459" s="41"/>
      <c r="CF459" s="41"/>
      <c r="CG459" s="41"/>
      <c r="CH459" s="41"/>
      <c r="CI459" s="41"/>
      <c r="CJ459" s="41"/>
      <c r="CK459" s="41"/>
    </row>
    <row r="460" spans="1:89">
      <c r="A460" s="48" t="s">
        <v>589</v>
      </c>
      <c r="B460" s="49">
        <v>18.661746031749999</v>
      </c>
      <c r="C460" s="49">
        <v>18.45</v>
      </c>
      <c r="D460" s="49">
        <v>17.95</v>
      </c>
      <c r="E460" s="49">
        <v>19.585238095240001</v>
      </c>
      <c r="F460" s="49">
        <v>37.15</v>
      </c>
      <c r="G460" s="49">
        <v>29.88</v>
      </c>
      <c r="H460" s="49">
        <v>2.84</v>
      </c>
      <c r="I460" s="49">
        <v>2.7</v>
      </c>
      <c r="J460" s="49">
        <v>3.69</v>
      </c>
      <c r="K460" s="49">
        <v>49.822857885879998</v>
      </c>
      <c r="L460" s="49">
        <v>1.7655000000000001</v>
      </c>
      <c r="M460" s="49">
        <v>4.1859000000000002</v>
      </c>
      <c r="N460" s="49">
        <v>1.6568000000000001</v>
      </c>
      <c r="O460" s="49">
        <v>2.2113</v>
      </c>
      <c r="P460" s="49">
        <v>2.1778909999999998</v>
      </c>
      <c r="Q460" s="49">
        <v>2.374009</v>
      </c>
      <c r="R460" s="49">
        <v>2.0819999999999999</v>
      </c>
      <c r="S460" s="49">
        <v>615</v>
      </c>
      <c r="T460" s="49">
        <v>964</v>
      </c>
      <c r="U460" s="49">
        <v>637</v>
      </c>
      <c r="V460" s="49">
        <v>1083</v>
      </c>
      <c r="W460" s="49">
        <v>525</v>
      </c>
      <c r="X460" s="49">
        <v>603</v>
      </c>
      <c r="Y460" s="49">
        <v>269</v>
      </c>
      <c r="Z460" s="49">
        <v>555</v>
      </c>
      <c r="AA460" s="49">
        <v>266</v>
      </c>
      <c r="AB460" s="49" t="s">
        <v>1574</v>
      </c>
      <c r="AC460" s="49" t="s">
        <v>1574</v>
      </c>
      <c r="AD460" s="49">
        <v>92.51</v>
      </c>
      <c r="AE460" s="49">
        <v>112.24</v>
      </c>
      <c r="AF460" s="49">
        <v>106.79</v>
      </c>
      <c r="AG460" s="49">
        <v>270.60000000000002</v>
      </c>
      <c r="AH460" s="49">
        <v>239</v>
      </c>
      <c r="AI460" s="49">
        <v>202.8</v>
      </c>
      <c r="AJ460" s="49" t="s">
        <v>1574</v>
      </c>
      <c r="AK460" s="49">
        <v>143.22</v>
      </c>
      <c r="AL460" s="49">
        <v>151.74</v>
      </c>
      <c r="AM460" s="49">
        <v>1.07942</v>
      </c>
      <c r="AN460" s="49">
        <v>0.44850000000000001</v>
      </c>
      <c r="AO460" s="49">
        <v>0.54713000000000001</v>
      </c>
      <c r="AP460" s="49">
        <v>1.7888286680000001</v>
      </c>
      <c r="AQ460" s="49">
        <v>1.39001291</v>
      </c>
      <c r="AR460" s="49">
        <v>3.2115</v>
      </c>
      <c r="AS460" s="49">
        <v>15.5756</v>
      </c>
      <c r="AT460" s="49">
        <v>0.58279999999999998</v>
      </c>
      <c r="AU460" s="49">
        <v>0.4914</v>
      </c>
      <c r="AV460" s="49">
        <v>0.24979999999999999</v>
      </c>
      <c r="AW460" s="49">
        <v>3635.2</v>
      </c>
      <c r="AX460" s="49">
        <v>283.77</v>
      </c>
      <c r="AY460" s="49">
        <v>232.74</v>
      </c>
      <c r="AZ460" s="49">
        <v>581.88831069511002</v>
      </c>
      <c r="BA460" s="49">
        <v>595.33682165190999</v>
      </c>
      <c r="BB460" s="49">
        <v>479.11</v>
      </c>
      <c r="BC460" s="49">
        <v>1.7558</v>
      </c>
      <c r="BD460" s="49" t="s">
        <v>1574</v>
      </c>
      <c r="BE460" s="49">
        <v>0.86860000000000004</v>
      </c>
      <c r="BF460" s="49">
        <v>32.5</v>
      </c>
      <c r="BG460" s="49">
        <v>186.6</v>
      </c>
      <c r="BH460" s="49">
        <v>163.5</v>
      </c>
      <c r="BI460" s="49">
        <v>88.3</v>
      </c>
      <c r="BJ460" s="49">
        <v>112.5</v>
      </c>
      <c r="BK460" s="49">
        <v>1610.6</v>
      </c>
      <c r="BL460" s="49">
        <v>30.15</v>
      </c>
      <c r="BM460" s="49">
        <v>2107.3000000000002</v>
      </c>
      <c r="BN460" s="49">
        <v>634.29999999999995</v>
      </c>
      <c r="BO460" s="49">
        <v>5496.3</v>
      </c>
      <c r="BP460" s="49">
        <v>6503.84</v>
      </c>
      <c r="BQ460" s="49">
        <v>1640.9</v>
      </c>
      <c r="BR460" s="49">
        <v>322.82</v>
      </c>
      <c r="BS460" s="49">
        <v>424.73</v>
      </c>
      <c r="BT460" s="49">
        <v>4.7319000000000004</v>
      </c>
      <c r="BU460" s="41"/>
      <c r="BV460" s="41"/>
      <c r="BW460" s="41"/>
      <c r="BX460" s="41"/>
      <c r="BY460" s="41"/>
      <c r="BZ460" s="41"/>
      <c r="CA460" s="41"/>
      <c r="CB460" s="41"/>
      <c r="CC460" s="41"/>
      <c r="CD460" s="41"/>
      <c r="CE460" s="41"/>
      <c r="CF460" s="41"/>
      <c r="CG460" s="41"/>
      <c r="CH460" s="41"/>
      <c r="CI460" s="41"/>
      <c r="CJ460" s="41"/>
      <c r="CK460" s="41"/>
    </row>
    <row r="461" spans="1:89">
      <c r="A461" s="41" t="s">
        <v>590</v>
      </c>
      <c r="B461" s="51">
        <v>20.04</v>
      </c>
      <c r="C461" s="51">
        <v>19.850000000000001</v>
      </c>
      <c r="D461" s="51">
        <v>19.059999999999999</v>
      </c>
      <c r="E461" s="51">
        <v>21.21</v>
      </c>
      <c r="F461" s="51">
        <v>37.15</v>
      </c>
      <c r="G461" s="51">
        <v>29</v>
      </c>
      <c r="H461" s="51">
        <v>3.04</v>
      </c>
      <c r="I461" s="51">
        <v>2.63</v>
      </c>
      <c r="J461" s="51">
        <v>3.62</v>
      </c>
      <c r="K461" s="51">
        <v>51.871329827099999</v>
      </c>
      <c r="L461" s="51">
        <v>1.7410000000000001</v>
      </c>
      <c r="M461" s="51">
        <v>3.6962999999999999</v>
      </c>
      <c r="N461" s="51">
        <v>1.6429</v>
      </c>
      <c r="O461" s="51">
        <v>2.2801</v>
      </c>
      <c r="P461" s="51">
        <v>2.2389209999999999</v>
      </c>
      <c r="Q461" s="51">
        <v>2.3765160000000001</v>
      </c>
      <c r="R461" s="51">
        <v>2.2250000000000001</v>
      </c>
      <c r="S461" s="51">
        <v>627</v>
      </c>
      <c r="T461" s="51">
        <v>1054.04</v>
      </c>
      <c r="U461" s="51">
        <v>658</v>
      </c>
      <c r="V461" s="51">
        <v>1083</v>
      </c>
      <c r="W461" s="51">
        <v>547</v>
      </c>
      <c r="X461" s="51">
        <v>619</v>
      </c>
      <c r="Y461" s="51">
        <v>278</v>
      </c>
      <c r="Z461" s="51">
        <v>611</v>
      </c>
      <c r="AA461" s="51">
        <v>260</v>
      </c>
      <c r="AB461" s="51" t="s">
        <v>1574</v>
      </c>
      <c r="AC461" s="51" t="s">
        <v>1574</v>
      </c>
      <c r="AD461" s="51">
        <v>102.71</v>
      </c>
      <c r="AE461" s="51">
        <v>120.36</v>
      </c>
      <c r="AF461" s="51">
        <v>112.83</v>
      </c>
      <c r="AG461" s="51">
        <v>265.75</v>
      </c>
      <c r="AH461" s="51">
        <v>233</v>
      </c>
      <c r="AI461" s="51">
        <v>192.25</v>
      </c>
      <c r="AJ461" s="51" t="s">
        <v>1574</v>
      </c>
      <c r="AK461" s="51">
        <v>143.65</v>
      </c>
      <c r="AL461" s="51">
        <v>151.59</v>
      </c>
      <c r="AM461" s="51">
        <v>1.0515399999999999</v>
      </c>
      <c r="AN461" s="51">
        <v>0.38030000000000003</v>
      </c>
      <c r="AO461" s="51">
        <v>0.49347000000000002</v>
      </c>
      <c r="AP461" s="51">
        <v>1.7645778480000001</v>
      </c>
      <c r="AQ461" s="51">
        <v>1.3146149060000001</v>
      </c>
      <c r="AR461" s="51">
        <v>3.2725</v>
      </c>
      <c r="AS461" s="51">
        <v>15.256</v>
      </c>
      <c r="AT461" s="51">
        <v>0.59440000000000004</v>
      </c>
      <c r="AU461" s="51">
        <v>0.49049999999999999</v>
      </c>
      <c r="AV461" s="51">
        <v>0.25090000000000001</v>
      </c>
      <c r="AW461" s="51">
        <v>3621.51</v>
      </c>
      <c r="AX461" s="51">
        <v>295.98</v>
      </c>
      <c r="AY461" s="51">
        <v>227.39</v>
      </c>
      <c r="AZ461" s="51">
        <v>585.46022264457997</v>
      </c>
      <c r="BA461" s="51">
        <v>533.26371042330004</v>
      </c>
      <c r="BB461" s="51">
        <v>454.33</v>
      </c>
      <c r="BC461" s="51">
        <v>1.7141</v>
      </c>
      <c r="BD461" s="51" t="s">
        <v>1574</v>
      </c>
      <c r="BE461" s="51">
        <v>0.873</v>
      </c>
      <c r="BF461" s="51">
        <v>32.5</v>
      </c>
      <c r="BG461" s="51">
        <v>186</v>
      </c>
      <c r="BH461" s="51">
        <v>164.3</v>
      </c>
      <c r="BI461" s="51">
        <v>87.5</v>
      </c>
      <c r="BJ461" s="51">
        <v>112.5</v>
      </c>
      <c r="BK461" s="51">
        <v>1607.86</v>
      </c>
      <c r="BL461" s="51">
        <v>30.15</v>
      </c>
      <c r="BM461" s="51">
        <v>2052.2600000000002</v>
      </c>
      <c r="BN461" s="51">
        <v>600.29999999999995</v>
      </c>
      <c r="BO461" s="51">
        <v>5561.3</v>
      </c>
      <c r="BP461" s="51">
        <v>6380.33</v>
      </c>
      <c r="BQ461" s="51">
        <v>1280.0999999999999</v>
      </c>
      <c r="BR461" s="51">
        <v>324.87</v>
      </c>
      <c r="BS461" s="51">
        <v>423.12</v>
      </c>
      <c r="BT461" s="51">
        <v>5.0347999999999997</v>
      </c>
      <c r="BU461" s="41"/>
      <c r="BV461" s="41"/>
      <c r="BW461" s="41"/>
      <c r="BX461" s="41"/>
      <c r="BY461" s="41"/>
      <c r="BZ461" s="41"/>
      <c r="CA461" s="41"/>
      <c r="CB461" s="41"/>
      <c r="CC461" s="41"/>
      <c r="CD461" s="41"/>
      <c r="CE461" s="41"/>
      <c r="CF461" s="41"/>
      <c r="CG461" s="41"/>
      <c r="CH461" s="41"/>
      <c r="CI461" s="41"/>
      <c r="CJ461" s="41"/>
      <c r="CK461" s="41"/>
    </row>
    <row r="462" spans="1:89">
      <c r="A462" s="48" t="s">
        <v>591</v>
      </c>
      <c r="B462" s="49">
        <v>19.086666666669998</v>
      </c>
      <c r="C462" s="49">
        <v>19</v>
      </c>
      <c r="D462" s="49">
        <v>18.38</v>
      </c>
      <c r="E462" s="49">
        <v>19.88</v>
      </c>
      <c r="F462" s="49">
        <v>33.6</v>
      </c>
      <c r="G462" s="49">
        <v>27.69</v>
      </c>
      <c r="H462" s="49">
        <v>3.02</v>
      </c>
      <c r="I462" s="49">
        <v>2.66</v>
      </c>
      <c r="J462" s="49">
        <v>3.68</v>
      </c>
      <c r="K462" s="49">
        <v>51.811731184659997</v>
      </c>
      <c r="L462" s="49">
        <v>1.6963999999999999</v>
      </c>
      <c r="M462" s="49">
        <v>3.5333000000000001</v>
      </c>
      <c r="N462" s="49">
        <v>1.6763999999999999</v>
      </c>
      <c r="O462" s="49">
        <v>2.3323</v>
      </c>
      <c r="P462" s="49">
        <v>2.2256260000000001</v>
      </c>
      <c r="Q462" s="49">
        <v>2.3887969999999998</v>
      </c>
      <c r="R462" s="49">
        <v>2.3824999999999998</v>
      </c>
      <c r="S462" s="49">
        <v>616</v>
      </c>
      <c r="T462" s="49">
        <v>1199</v>
      </c>
      <c r="U462" s="49">
        <v>716</v>
      </c>
      <c r="V462" s="49">
        <v>1090</v>
      </c>
      <c r="W462" s="49">
        <v>556</v>
      </c>
      <c r="X462" s="49">
        <v>611</v>
      </c>
      <c r="Y462" s="49">
        <v>288</v>
      </c>
      <c r="Z462" s="49">
        <v>676</v>
      </c>
      <c r="AA462" s="49">
        <v>276</v>
      </c>
      <c r="AB462" s="49" t="s">
        <v>1574</v>
      </c>
      <c r="AC462" s="49" t="s">
        <v>1574</v>
      </c>
      <c r="AD462" s="49">
        <v>102.27</v>
      </c>
      <c r="AE462" s="49">
        <v>117.22</v>
      </c>
      <c r="AF462" s="49">
        <v>112.33</v>
      </c>
      <c r="AG462" s="49">
        <v>252.5</v>
      </c>
      <c r="AH462" s="49">
        <v>221</v>
      </c>
      <c r="AI462" s="49">
        <v>180.66666666667001</v>
      </c>
      <c r="AJ462" s="49" t="s">
        <v>1574</v>
      </c>
      <c r="AK462" s="49">
        <v>138.22999999999999</v>
      </c>
      <c r="AL462" s="49">
        <v>149.88</v>
      </c>
      <c r="AM462" s="49">
        <v>0.97497</v>
      </c>
      <c r="AN462" s="49">
        <v>0.43403000000000003</v>
      </c>
      <c r="AO462" s="49">
        <v>0.41498000000000002</v>
      </c>
      <c r="AP462" s="49">
        <v>1.8346847639999999</v>
      </c>
      <c r="AQ462" s="49">
        <v>1.2689792719999999</v>
      </c>
      <c r="AR462" s="49">
        <v>3.3860999999999999</v>
      </c>
      <c r="AS462" s="49">
        <v>15.138500000000001</v>
      </c>
      <c r="AT462" s="49">
        <v>0.6149</v>
      </c>
      <c r="AU462" s="49">
        <v>0.48280000000000001</v>
      </c>
      <c r="AV462" s="49">
        <v>0.26479999999999998</v>
      </c>
      <c r="AW462" s="49">
        <v>3628.68</v>
      </c>
      <c r="AX462" s="49">
        <v>293.52</v>
      </c>
      <c r="AY462" s="49">
        <v>214.79</v>
      </c>
      <c r="AZ462" s="49">
        <v>576.77077235631998</v>
      </c>
      <c r="BA462" s="49">
        <v>519.40097693091002</v>
      </c>
      <c r="BB462" s="49">
        <v>439.04</v>
      </c>
      <c r="BC462" s="49">
        <v>1.7025999999999999</v>
      </c>
      <c r="BD462" s="49" t="s">
        <v>1574</v>
      </c>
      <c r="BE462" s="49">
        <v>0.84060000000000001</v>
      </c>
      <c r="BF462" s="49">
        <v>32.5</v>
      </c>
      <c r="BG462" s="49">
        <v>185.5</v>
      </c>
      <c r="BH462" s="49">
        <v>169.38</v>
      </c>
      <c r="BI462" s="49">
        <v>90.625</v>
      </c>
      <c r="BJ462" s="49">
        <v>112.5</v>
      </c>
      <c r="BK462" s="49">
        <v>1598.99</v>
      </c>
      <c r="BL462" s="49">
        <v>30.15</v>
      </c>
      <c r="BM462" s="49">
        <v>1917.45</v>
      </c>
      <c r="BN462" s="49">
        <v>563.4</v>
      </c>
      <c r="BO462" s="49">
        <v>5658</v>
      </c>
      <c r="BP462" s="49">
        <v>6139.5</v>
      </c>
      <c r="BQ462" s="49">
        <v>1173</v>
      </c>
      <c r="BR462" s="49">
        <v>306.04000000000002</v>
      </c>
      <c r="BS462" s="49">
        <v>392.29</v>
      </c>
      <c r="BT462" s="49">
        <v>5.0778999999999996</v>
      </c>
      <c r="BU462" s="41"/>
      <c r="BV462" s="41"/>
      <c r="BW462" s="41"/>
      <c r="BX462" s="41"/>
      <c r="BY462" s="41"/>
      <c r="BZ462" s="41"/>
      <c r="CA462" s="41"/>
      <c r="CB462" s="41"/>
      <c r="CC462" s="41"/>
      <c r="CD462" s="41"/>
      <c r="CE462" s="41"/>
      <c r="CF462" s="41"/>
      <c r="CG462" s="41"/>
      <c r="CH462" s="41"/>
      <c r="CI462" s="41"/>
      <c r="CJ462" s="41"/>
      <c r="CK462" s="41"/>
    </row>
    <row r="463" spans="1:89">
      <c r="A463" s="41" t="s">
        <v>592</v>
      </c>
      <c r="B463" s="51">
        <v>17.09</v>
      </c>
      <c r="C463" s="51">
        <v>17</v>
      </c>
      <c r="D463" s="51">
        <v>16.18</v>
      </c>
      <c r="E463" s="51">
        <v>18.09</v>
      </c>
      <c r="F463" s="51">
        <v>31.4</v>
      </c>
      <c r="G463" s="51">
        <v>27.75</v>
      </c>
      <c r="H463" s="51">
        <v>2.33</v>
      </c>
      <c r="I463" s="51">
        <v>2.65</v>
      </c>
      <c r="J463" s="51">
        <v>3.6</v>
      </c>
      <c r="K463" s="51">
        <v>43.331064581809997</v>
      </c>
      <c r="L463" s="51">
        <v>1.7387999999999999</v>
      </c>
      <c r="M463" s="51">
        <v>3.9119000000000002</v>
      </c>
      <c r="N463" s="51">
        <v>1.821</v>
      </c>
      <c r="O463" s="51">
        <v>2.3746</v>
      </c>
      <c r="P463" s="51">
        <v>2.2615970000000001</v>
      </c>
      <c r="Q463" s="51">
        <v>2.465579</v>
      </c>
      <c r="R463" s="51">
        <v>2.3966669999999999</v>
      </c>
      <c r="S463" s="51">
        <v>586</v>
      </c>
      <c r="T463" s="51">
        <v>1220</v>
      </c>
      <c r="U463" s="51">
        <v>721</v>
      </c>
      <c r="V463" s="51">
        <v>1058</v>
      </c>
      <c r="W463" s="51">
        <v>566</v>
      </c>
      <c r="X463" s="51">
        <v>590</v>
      </c>
      <c r="Y463" s="51">
        <v>284</v>
      </c>
      <c r="Z463" s="51">
        <v>622</v>
      </c>
      <c r="AA463" s="51">
        <v>264</v>
      </c>
      <c r="AB463" s="51" t="s">
        <v>1574</v>
      </c>
      <c r="AC463" s="51" t="s">
        <v>1574</v>
      </c>
      <c r="AD463" s="51">
        <v>97.08</v>
      </c>
      <c r="AE463" s="51">
        <v>113.45</v>
      </c>
      <c r="AF463" s="51">
        <v>110.23</v>
      </c>
      <c r="AG463" s="51">
        <v>269.67</v>
      </c>
      <c r="AH463" s="51">
        <v>237</v>
      </c>
      <c r="AI463" s="51">
        <v>195.66666666667001</v>
      </c>
      <c r="AJ463" s="51" t="s">
        <v>1574</v>
      </c>
      <c r="AK463" s="51">
        <v>135.74</v>
      </c>
      <c r="AL463" s="51">
        <v>144.62</v>
      </c>
      <c r="AM463" s="51">
        <v>0.85777000000000003</v>
      </c>
      <c r="AN463" s="51">
        <v>0.42438999999999999</v>
      </c>
      <c r="AO463" s="51">
        <v>0.35293999999999998</v>
      </c>
      <c r="AP463" s="51">
        <v>1.85298311</v>
      </c>
      <c r="AQ463" s="51">
        <v>1.2341462759999999</v>
      </c>
      <c r="AR463" s="51">
        <v>3.3302999999999998</v>
      </c>
      <c r="AS463" s="51">
        <v>15.101599999999999</v>
      </c>
      <c r="AT463" s="51">
        <v>0.60560000000000003</v>
      </c>
      <c r="AU463" s="51">
        <v>0.4824</v>
      </c>
      <c r="AV463" s="51">
        <v>0.27229999999999999</v>
      </c>
      <c r="AW463" s="51">
        <v>3631.5</v>
      </c>
      <c r="AX463" s="51">
        <v>286.14</v>
      </c>
      <c r="AY463" s="51">
        <v>211.1</v>
      </c>
      <c r="AZ463" s="51">
        <v>554.60320661490005</v>
      </c>
      <c r="BA463" s="51">
        <v>475.52447552448001</v>
      </c>
      <c r="BB463" s="51">
        <v>425.1</v>
      </c>
      <c r="BC463" s="51">
        <v>1.6391</v>
      </c>
      <c r="BD463" s="51" t="s">
        <v>1574</v>
      </c>
      <c r="BE463" s="51">
        <v>0.72550000000000003</v>
      </c>
      <c r="BF463" s="51">
        <v>32.5</v>
      </c>
      <c r="BG463" s="51">
        <v>185.5</v>
      </c>
      <c r="BH463" s="51">
        <v>172.5</v>
      </c>
      <c r="BI463" s="51">
        <v>90</v>
      </c>
      <c r="BJ463" s="51">
        <v>112.5</v>
      </c>
      <c r="BK463" s="51">
        <v>1530.51</v>
      </c>
      <c r="BL463" s="51">
        <v>30.15</v>
      </c>
      <c r="BM463" s="51">
        <v>1762.33</v>
      </c>
      <c r="BN463" s="51">
        <v>526.6</v>
      </c>
      <c r="BO463" s="51">
        <v>5513.8</v>
      </c>
      <c r="BP463" s="51">
        <v>5945.36</v>
      </c>
      <c r="BQ463" s="51">
        <v>1102.2</v>
      </c>
      <c r="BR463" s="51">
        <v>288.74</v>
      </c>
      <c r="BS463" s="51">
        <v>365.42</v>
      </c>
      <c r="BT463" s="51">
        <v>5.8368000000000002</v>
      </c>
      <c r="BU463" s="41"/>
      <c r="BV463" s="41"/>
      <c r="BW463" s="41"/>
      <c r="BX463" s="41"/>
      <c r="BY463" s="41"/>
      <c r="BZ463" s="41"/>
      <c r="CA463" s="41"/>
      <c r="CB463" s="41"/>
      <c r="CC463" s="41"/>
      <c r="CD463" s="41"/>
      <c r="CE463" s="41"/>
      <c r="CF463" s="41"/>
      <c r="CG463" s="41"/>
      <c r="CH463" s="41"/>
      <c r="CI463" s="41"/>
      <c r="CJ463" s="41"/>
      <c r="CK463" s="41"/>
    </row>
    <row r="464" spans="1:89">
      <c r="A464" s="48" t="s">
        <v>593</v>
      </c>
      <c r="B464" s="49">
        <v>15</v>
      </c>
      <c r="C464" s="49">
        <v>15.09</v>
      </c>
      <c r="D464" s="49">
        <v>13.4</v>
      </c>
      <c r="E464" s="49">
        <v>16.510000000000002</v>
      </c>
      <c r="F464" s="49">
        <v>31.4</v>
      </c>
      <c r="G464" s="49">
        <v>27.5</v>
      </c>
      <c r="H464" s="49">
        <v>2.1</v>
      </c>
      <c r="I464" s="49">
        <v>2.65</v>
      </c>
      <c r="J464" s="49">
        <v>3.54</v>
      </c>
      <c r="K464" s="49">
        <v>40.497439152520002</v>
      </c>
      <c r="L464" s="49">
        <v>1.6707000000000001</v>
      </c>
      <c r="M464" s="49">
        <v>3.9198</v>
      </c>
      <c r="N464" s="49">
        <v>1.8389</v>
      </c>
      <c r="O464" s="49">
        <v>2.4775</v>
      </c>
      <c r="P464" s="49">
        <v>2.3775439999999999</v>
      </c>
      <c r="Q464" s="49">
        <v>2.5049860000000002</v>
      </c>
      <c r="R464" s="49">
        <v>2.5499999999999998</v>
      </c>
      <c r="S464" s="49">
        <v>558</v>
      </c>
      <c r="T464" s="49">
        <v>1146</v>
      </c>
      <c r="U464" s="49">
        <v>703</v>
      </c>
      <c r="V464" s="49">
        <v>1055</v>
      </c>
      <c r="W464" s="49">
        <v>621</v>
      </c>
      <c r="X464" s="49">
        <v>590</v>
      </c>
      <c r="Y464" s="49">
        <v>273</v>
      </c>
      <c r="Z464" s="49">
        <v>625</v>
      </c>
      <c r="AA464" s="49">
        <v>231</v>
      </c>
      <c r="AB464" s="49" t="s">
        <v>1574</v>
      </c>
      <c r="AC464" s="49" t="s">
        <v>1574</v>
      </c>
      <c r="AD464" s="49">
        <v>95.77</v>
      </c>
      <c r="AE464" s="49">
        <v>114.71</v>
      </c>
      <c r="AF464" s="49">
        <v>111.44</v>
      </c>
      <c r="AG464" s="49">
        <v>288</v>
      </c>
      <c r="AH464" s="49">
        <v>247</v>
      </c>
      <c r="AI464" s="49">
        <v>184.75</v>
      </c>
      <c r="AJ464" s="49" t="s">
        <v>1574</v>
      </c>
      <c r="AK464" s="49">
        <v>130.21</v>
      </c>
      <c r="AL464" s="49">
        <v>137.1</v>
      </c>
      <c r="AM464" s="49">
        <v>1.0164200000000001</v>
      </c>
      <c r="AN464" s="49">
        <v>0.45815</v>
      </c>
      <c r="AO464" s="49">
        <v>0.36163000000000001</v>
      </c>
      <c r="AP464" s="49">
        <v>1.815063646</v>
      </c>
      <c r="AQ464" s="49">
        <v>1.2235640999999999</v>
      </c>
      <c r="AR464" s="49">
        <v>3.2326999999999999</v>
      </c>
      <c r="AS464" s="49">
        <v>15.322100000000001</v>
      </c>
      <c r="AT464" s="49">
        <v>0.59570000000000001</v>
      </c>
      <c r="AU464" s="49">
        <v>0.48170000000000002</v>
      </c>
      <c r="AV464" s="49">
        <v>0.254</v>
      </c>
      <c r="AW464" s="49">
        <v>3583.29</v>
      </c>
      <c r="AX464" s="49">
        <v>287.66000000000003</v>
      </c>
      <c r="AY464" s="49">
        <v>197.1</v>
      </c>
      <c r="AZ464" s="49">
        <v>534.22315734104995</v>
      </c>
      <c r="BA464" s="49">
        <v>413.36406006179999</v>
      </c>
      <c r="BB464" s="49">
        <v>409.42</v>
      </c>
      <c r="BC464" s="49">
        <v>1.5904</v>
      </c>
      <c r="BD464" s="49" t="s">
        <v>1574</v>
      </c>
      <c r="BE464" s="49">
        <v>0.67620000000000002</v>
      </c>
      <c r="BF464" s="49">
        <v>32.5</v>
      </c>
      <c r="BG464" s="49">
        <v>184</v>
      </c>
      <c r="BH464" s="49">
        <v>172.5</v>
      </c>
      <c r="BI464" s="49">
        <v>86.25</v>
      </c>
      <c r="BJ464" s="49">
        <v>112.5</v>
      </c>
      <c r="BK464" s="49">
        <v>1485.79</v>
      </c>
      <c r="BL464" s="49">
        <v>31</v>
      </c>
      <c r="BM464" s="49">
        <v>1688.45</v>
      </c>
      <c r="BN464" s="49">
        <v>531.6</v>
      </c>
      <c r="BO464" s="49">
        <v>5206.3</v>
      </c>
      <c r="BP464" s="49">
        <v>5491.75</v>
      </c>
      <c r="BQ464" s="49">
        <v>1097.2</v>
      </c>
      <c r="BR464" s="49">
        <v>289.10000000000002</v>
      </c>
      <c r="BS464" s="49">
        <v>373.86</v>
      </c>
      <c r="BT464" s="49">
        <v>5.8871000000000002</v>
      </c>
      <c r="BU464" s="41"/>
      <c r="BV464" s="41"/>
      <c r="BW464" s="41"/>
      <c r="BX464" s="41"/>
      <c r="BY464" s="41"/>
      <c r="BZ464" s="41"/>
      <c r="CA464" s="41"/>
      <c r="CB464" s="41"/>
      <c r="CC464" s="41"/>
      <c r="CD464" s="41"/>
      <c r="CE464" s="41"/>
      <c r="CF464" s="41"/>
      <c r="CG464" s="41"/>
      <c r="CH464" s="41"/>
      <c r="CI464" s="41"/>
      <c r="CJ464" s="41"/>
      <c r="CK464" s="41"/>
    </row>
    <row r="465" spans="1:89">
      <c r="A465" s="41" t="s">
        <v>594</v>
      </c>
      <c r="B465" s="51">
        <v>14.1</v>
      </c>
      <c r="C465" s="51">
        <v>14.06</v>
      </c>
      <c r="D465" s="51">
        <v>12.43</v>
      </c>
      <c r="E465" s="51">
        <v>15.81</v>
      </c>
      <c r="F465" s="51">
        <v>33.44</v>
      </c>
      <c r="G465" s="51">
        <v>26.76</v>
      </c>
      <c r="H465" s="51">
        <v>2.2200000000000002</v>
      </c>
      <c r="I465" s="51">
        <v>2.63</v>
      </c>
      <c r="J465" s="51">
        <v>3.43</v>
      </c>
      <c r="K465" s="51">
        <v>41.785040111779999</v>
      </c>
      <c r="L465" s="51">
        <v>1.6432</v>
      </c>
      <c r="M465" s="51">
        <v>3.9281999999999999</v>
      </c>
      <c r="N465" s="51">
        <v>1.8378000000000001</v>
      </c>
      <c r="O465" s="51">
        <v>2.5139</v>
      </c>
      <c r="P465" s="51">
        <v>2.3634360000000001</v>
      </c>
      <c r="Q465" s="51">
        <v>2.3706499999999999</v>
      </c>
      <c r="R465" s="51">
        <v>2.8075000000000001</v>
      </c>
      <c r="S465" s="51">
        <v>559</v>
      </c>
      <c r="T465" s="51">
        <v>1079</v>
      </c>
      <c r="U465" s="51">
        <v>699</v>
      </c>
      <c r="V465" s="51">
        <v>1029</v>
      </c>
      <c r="W465" s="51">
        <v>659</v>
      </c>
      <c r="X465" s="51">
        <v>620</v>
      </c>
      <c r="Y465" s="51">
        <v>273</v>
      </c>
      <c r="Z465" s="51">
        <v>634</v>
      </c>
      <c r="AA465" s="51">
        <v>214</v>
      </c>
      <c r="AB465" s="51" t="s">
        <v>1574</v>
      </c>
      <c r="AC465" s="51" t="s">
        <v>1574</v>
      </c>
      <c r="AD465" s="51">
        <v>91.49</v>
      </c>
      <c r="AE465" s="51">
        <v>113.38</v>
      </c>
      <c r="AF465" s="51">
        <v>111.73</v>
      </c>
      <c r="AG465" s="51">
        <v>297.25</v>
      </c>
      <c r="AH465" s="51">
        <v>246</v>
      </c>
      <c r="AI465" s="51">
        <v>186.75</v>
      </c>
      <c r="AJ465" s="51" t="s">
        <v>1574</v>
      </c>
      <c r="AK465" s="51">
        <v>127.32</v>
      </c>
      <c r="AL465" s="51">
        <v>140.05000000000001</v>
      </c>
      <c r="AM465" s="51">
        <v>0.96841999999999995</v>
      </c>
      <c r="AN465" s="51">
        <v>0.43747999999999998</v>
      </c>
      <c r="AO465" s="51">
        <v>0.3947</v>
      </c>
      <c r="AP465" s="51">
        <v>1.794119756</v>
      </c>
      <c r="AQ465" s="51">
        <v>1.2303984219999999</v>
      </c>
      <c r="AR465" s="51">
        <v>3.1036999999999999</v>
      </c>
      <c r="AS465" s="51">
        <v>15.3956</v>
      </c>
      <c r="AT465" s="51">
        <v>0.59730000000000005</v>
      </c>
      <c r="AU465" s="51">
        <v>0.48039999999999999</v>
      </c>
      <c r="AV465" s="51">
        <v>0.23630000000000001</v>
      </c>
      <c r="AW465" s="51">
        <v>3497.56</v>
      </c>
      <c r="AX465" s="51">
        <v>287.8</v>
      </c>
      <c r="AY465" s="51">
        <v>202.54</v>
      </c>
      <c r="AZ465" s="51">
        <v>526.26385554057003</v>
      </c>
      <c r="BA465" s="51">
        <v>504.14914748378999</v>
      </c>
      <c r="BB465" s="51">
        <v>412.69</v>
      </c>
      <c r="BC465" s="51">
        <v>1.5176000000000001</v>
      </c>
      <c r="BD465" s="51" t="s">
        <v>1574</v>
      </c>
      <c r="BE465" s="51">
        <v>0.82240000000000002</v>
      </c>
      <c r="BF465" s="51">
        <v>32.5</v>
      </c>
      <c r="BG465" s="51">
        <v>183.5</v>
      </c>
      <c r="BH465" s="51">
        <v>172.5</v>
      </c>
      <c r="BI465" s="51">
        <v>77.5</v>
      </c>
      <c r="BJ465" s="51">
        <v>112.5</v>
      </c>
      <c r="BK465" s="51">
        <v>1465.56</v>
      </c>
      <c r="BL465" s="51">
        <v>31</v>
      </c>
      <c r="BM465" s="51">
        <v>1664.8</v>
      </c>
      <c r="BN465" s="51">
        <v>516.4</v>
      </c>
      <c r="BO465" s="51">
        <v>5242.5</v>
      </c>
      <c r="BP465" s="51">
        <v>5386.88</v>
      </c>
      <c r="BQ465" s="51">
        <v>1044</v>
      </c>
      <c r="BR465" s="51">
        <v>297.49</v>
      </c>
      <c r="BS465" s="51">
        <v>386.08</v>
      </c>
      <c r="BT465" s="51">
        <v>6.8068999999999997</v>
      </c>
      <c r="BU465" s="41"/>
      <c r="BV465" s="41"/>
      <c r="BW465" s="41"/>
      <c r="BX465" s="41"/>
      <c r="BY465" s="41"/>
      <c r="BZ465" s="41"/>
      <c r="CA465" s="41"/>
      <c r="CB465" s="41"/>
      <c r="CC465" s="41"/>
      <c r="CD465" s="41"/>
      <c r="CE465" s="41"/>
      <c r="CF465" s="41"/>
      <c r="CG465" s="41"/>
      <c r="CH465" s="41"/>
      <c r="CI465" s="41"/>
      <c r="CJ465" s="41"/>
      <c r="CK465" s="41"/>
    </row>
    <row r="466" spans="1:89">
      <c r="A466" s="48" t="s">
        <v>595</v>
      </c>
      <c r="B466" s="49">
        <v>13.123333333330001</v>
      </c>
      <c r="C466" s="49">
        <v>13.08</v>
      </c>
      <c r="D466" s="49">
        <v>11.53</v>
      </c>
      <c r="E466" s="49">
        <v>14.76</v>
      </c>
      <c r="F466" s="49">
        <v>31.88</v>
      </c>
      <c r="G466" s="49">
        <v>26.74</v>
      </c>
      <c r="H466" s="49">
        <v>2.23</v>
      </c>
      <c r="I466" s="49">
        <v>2.61</v>
      </c>
      <c r="J466" s="49">
        <v>3.44</v>
      </c>
      <c r="K466" s="49">
        <v>41.818169334609998</v>
      </c>
      <c r="L466" s="49">
        <v>1.7211000000000001</v>
      </c>
      <c r="M466" s="49">
        <v>3.4756</v>
      </c>
      <c r="N466" s="49">
        <v>1.8120000000000001</v>
      </c>
      <c r="O466" s="49">
        <v>2.2342</v>
      </c>
      <c r="P466" s="49">
        <v>2.3381989999999999</v>
      </c>
      <c r="Q466" s="49">
        <v>2.0795309999999998</v>
      </c>
      <c r="R466" s="49">
        <v>2.2850000000000001</v>
      </c>
      <c r="S466" s="49">
        <v>578</v>
      </c>
      <c r="T466" s="49">
        <v>992.5</v>
      </c>
      <c r="U466" s="49">
        <v>682</v>
      </c>
      <c r="V466" s="49">
        <v>949</v>
      </c>
      <c r="W466" s="49">
        <v>671</v>
      </c>
      <c r="X466" s="49">
        <v>605</v>
      </c>
      <c r="Y466" s="49">
        <v>265</v>
      </c>
      <c r="Z466" s="49">
        <v>652</v>
      </c>
      <c r="AA466" s="49">
        <v>184</v>
      </c>
      <c r="AB466" s="49" t="s">
        <v>1574</v>
      </c>
      <c r="AC466" s="49" t="s">
        <v>1574</v>
      </c>
      <c r="AD466" s="49">
        <v>93.04</v>
      </c>
      <c r="AE466" s="49">
        <v>114.21</v>
      </c>
      <c r="AF466" s="49">
        <v>110.47</v>
      </c>
      <c r="AG466" s="49">
        <v>296</v>
      </c>
      <c r="AH466" s="49">
        <v>245</v>
      </c>
      <c r="AI466" s="49">
        <v>193.2</v>
      </c>
      <c r="AJ466" s="49" t="s">
        <v>1574</v>
      </c>
      <c r="AK466" s="49">
        <v>129.85</v>
      </c>
      <c r="AL466" s="49">
        <v>138.91999999999999</v>
      </c>
      <c r="AM466" s="49">
        <v>1.02965</v>
      </c>
      <c r="AN466" s="49">
        <v>0.45469999999999999</v>
      </c>
      <c r="AO466" s="49">
        <v>0.40836</v>
      </c>
      <c r="AP466" s="49">
        <v>1.7910332879999999</v>
      </c>
      <c r="AQ466" s="49">
        <v>1.2548697040000001</v>
      </c>
      <c r="AR466" s="49">
        <v>3.0394999999999999</v>
      </c>
      <c r="AS466" s="49">
        <v>15.46</v>
      </c>
      <c r="AT466" s="49">
        <v>0.60519999999999996</v>
      </c>
      <c r="AU466" s="49">
        <v>0.4793</v>
      </c>
      <c r="AV466" s="49">
        <v>0.21690000000000001</v>
      </c>
      <c r="AW466" s="49">
        <v>3451.77</v>
      </c>
      <c r="AX466" s="49">
        <v>287.63</v>
      </c>
      <c r="AY466" s="49">
        <v>190.94</v>
      </c>
      <c r="AZ466" s="49">
        <v>530.86359255810999</v>
      </c>
      <c r="BA466" s="49">
        <v>506.12837102584001</v>
      </c>
      <c r="BB466" s="49">
        <v>388.53</v>
      </c>
      <c r="BC466" s="49">
        <v>1.5085999999999999</v>
      </c>
      <c r="BD466" s="49" t="s">
        <v>1574</v>
      </c>
      <c r="BE466" s="49">
        <v>0.74490000000000001</v>
      </c>
      <c r="BF466" s="49">
        <v>32.5</v>
      </c>
      <c r="BG466" s="49">
        <v>183.5</v>
      </c>
      <c r="BH466" s="49">
        <v>172.5</v>
      </c>
      <c r="BI466" s="49">
        <v>84.5</v>
      </c>
      <c r="BJ466" s="49">
        <v>112.5</v>
      </c>
      <c r="BK466" s="49">
        <v>1437.7</v>
      </c>
      <c r="BL466" s="49">
        <v>31</v>
      </c>
      <c r="BM466" s="49">
        <v>1747.98</v>
      </c>
      <c r="BN466" s="49">
        <v>559.79999999999995</v>
      </c>
      <c r="BO466" s="49">
        <v>5476.8</v>
      </c>
      <c r="BP466" s="49">
        <v>5395.8</v>
      </c>
      <c r="BQ466" s="49">
        <v>1047.5999999999999</v>
      </c>
      <c r="BR466" s="49">
        <v>295.94</v>
      </c>
      <c r="BS466" s="49">
        <v>398.99</v>
      </c>
      <c r="BT466" s="49">
        <v>6.2428999999999997</v>
      </c>
      <c r="BU466" s="41"/>
      <c r="BV466" s="41"/>
      <c r="BW466" s="41"/>
      <c r="BX466" s="41"/>
      <c r="BY466" s="41"/>
      <c r="BZ466" s="41"/>
      <c r="CA466" s="41"/>
      <c r="CB466" s="41"/>
      <c r="CC466" s="41"/>
      <c r="CD466" s="41"/>
      <c r="CE466" s="41"/>
      <c r="CF466" s="41"/>
      <c r="CG466" s="41"/>
      <c r="CH466" s="41"/>
      <c r="CI466" s="41"/>
      <c r="CJ466" s="41"/>
      <c r="CK466" s="41"/>
    </row>
    <row r="467" spans="1:89">
      <c r="A467" s="41" t="s">
        <v>596</v>
      </c>
      <c r="B467" s="51">
        <v>13.5</v>
      </c>
      <c r="C467" s="51">
        <v>13.39</v>
      </c>
      <c r="D467" s="51">
        <v>11.79</v>
      </c>
      <c r="E467" s="51">
        <v>15.32</v>
      </c>
      <c r="F467" s="51">
        <v>31.18</v>
      </c>
      <c r="G467" s="51">
        <v>27.35</v>
      </c>
      <c r="H467" s="51">
        <v>2.42</v>
      </c>
      <c r="I467" s="51">
        <v>2.54</v>
      </c>
      <c r="J467" s="51">
        <v>3.19</v>
      </c>
      <c r="K467" s="51">
        <v>43.623258610070003</v>
      </c>
      <c r="L467" s="51">
        <v>1.7202</v>
      </c>
      <c r="M467" s="51">
        <v>3.3146</v>
      </c>
      <c r="N467" s="51">
        <v>1.9615</v>
      </c>
      <c r="O467" s="51">
        <v>2.1989999999999998</v>
      </c>
      <c r="P467" s="51">
        <v>2.200361</v>
      </c>
      <c r="Q467" s="51">
        <v>2.4433669999999998</v>
      </c>
      <c r="R467" s="51">
        <v>1.953333</v>
      </c>
      <c r="S467" s="51">
        <v>618</v>
      </c>
      <c r="T467" s="51">
        <v>940</v>
      </c>
      <c r="U467" s="51">
        <v>684</v>
      </c>
      <c r="V467" s="51">
        <v>928</v>
      </c>
      <c r="W467" s="51">
        <v>688</v>
      </c>
      <c r="X467" s="51">
        <v>643</v>
      </c>
      <c r="Y467" s="51">
        <v>259</v>
      </c>
      <c r="Z467" s="51">
        <v>662</v>
      </c>
      <c r="AA467" s="51">
        <v>165</v>
      </c>
      <c r="AB467" s="51" t="s">
        <v>1574</v>
      </c>
      <c r="AC467" s="51" t="s">
        <v>1574</v>
      </c>
      <c r="AD467" s="51">
        <v>91.85</v>
      </c>
      <c r="AE467" s="51">
        <v>107.12</v>
      </c>
      <c r="AF467" s="51">
        <v>103.9</v>
      </c>
      <c r="AG467" s="51">
        <v>311.5</v>
      </c>
      <c r="AH467" s="51">
        <v>259</v>
      </c>
      <c r="AI467" s="51">
        <v>196.75</v>
      </c>
      <c r="AJ467" s="51" t="s">
        <v>1574</v>
      </c>
      <c r="AK467" s="51">
        <v>118.33</v>
      </c>
      <c r="AL467" s="51">
        <v>130.15</v>
      </c>
      <c r="AM467" s="51">
        <v>1.0388500000000001</v>
      </c>
      <c r="AN467" s="51">
        <v>0.77437</v>
      </c>
      <c r="AO467" s="51">
        <v>0.44383</v>
      </c>
      <c r="AP467" s="51">
        <v>1.794119756</v>
      </c>
      <c r="AQ467" s="51">
        <v>1.2703020439999999</v>
      </c>
      <c r="AR467" s="51">
        <v>2.9662000000000002</v>
      </c>
      <c r="AS467" s="51">
        <v>15.7906</v>
      </c>
      <c r="AT467" s="51">
        <v>0.60909999999999997</v>
      </c>
      <c r="AU467" s="51">
        <v>0.48809999999999998</v>
      </c>
      <c r="AV467" s="51">
        <v>0.21340000000000001</v>
      </c>
      <c r="AW467" s="51">
        <v>3493.49</v>
      </c>
      <c r="AX467" s="51">
        <v>287.67</v>
      </c>
      <c r="AY467" s="51">
        <v>166.49</v>
      </c>
      <c r="AZ467" s="51">
        <v>534.24072064964002</v>
      </c>
      <c r="BA467" s="51">
        <v>505.97917464676999</v>
      </c>
      <c r="BB467" s="51">
        <v>372.14</v>
      </c>
      <c r="BC467" s="51">
        <v>1.4483999999999999</v>
      </c>
      <c r="BD467" s="51" t="s">
        <v>1574</v>
      </c>
      <c r="BE467" s="51">
        <v>0.77229999999999999</v>
      </c>
      <c r="BF467" s="51">
        <v>32.5</v>
      </c>
      <c r="BG467" s="51">
        <v>185</v>
      </c>
      <c r="BH467" s="51">
        <v>173.7</v>
      </c>
      <c r="BI467" s="51">
        <v>100</v>
      </c>
      <c r="BJ467" s="51">
        <v>112.5</v>
      </c>
      <c r="BK467" s="51">
        <v>1418.16</v>
      </c>
      <c r="BL467" s="51">
        <v>31</v>
      </c>
      <c r="BM467" s="51">
        <v>1800.9</v>
      </c>
      <c r="BN467" s="51">
        <v>572.70000000000005</v>
      </c>
      <c r="BO467" s="51">
        <v>5714.8</v>
      </c>
      <c r="BP467" s="51">
        <v>5393.88</v>
      </c>
      <c r="BQ467" s="51">
        <v>1097</v>
      </c>
      <c r="BR467" s="51">
        <v>308.29000000000002</v>
      </c>
      <c r="BS467" s="51">
        <v>413.75</v>
      </c>
      <c r="BT467" s="51">
        <v>6.3410000000000002</v>
      </c>
      <c r="BU467" s="41"/>
      <c r="BV467" s="41"/>
      <c r="BW467" s="41"/>
      <c r="BX467" s="41"/>
      <c r="BY467" s="41"/>
      <c r="BZ467" s="41"/>
      <c r="CA467" s="41"/>
      <c r="CB467" s="41"/>
      <c r="CC467" s="41"/>
      <c r="CD467" s="41"/>
      <c r="CE467" s="41"/>
      <c r="CF467" s="41"/>
      <c r="CG467" s="41"/>
      <c r="CH467" s="41"/>
      <c r="CI467" s="41"/>
      <c r="CJ467" s="41"/>
      <c r="CK467" s="41"/>
    </row>
    <row r="468" spans="1:89">
      <c r="A468" s="48" t="s">
        <v>597</v>
      </c>
      <c r="B468" s="49">
        <v>14.02666666667</v>
      </c>
      <c r="C468" s="49">
        <v>14.39</v>
      </c>
      <c r="D468" s="49">
        <v>12.79</v>
      </c>
      <c r="E468" s="49">
        <v>14.9</v>
      </c>
      <c r="F468" s="49">
        <v>30.28</v>
      </c>
      <c r="G468" s="49">
        <v>27.63</v>
      </c>
      <c r="H468" s="49">
        <v>2.14</v>
      </c>
      <c r="I468" s="49">
        <v>2.5099999999999998</v>
      </c>
      <c r="J468" s="49">
        <v>3</v>
      </c>
      <c r="K468" s="49">
        <v>39.951771128840001</v>
      </c>
      <c r="L468" s="49">
        <v>1.7814000000000001</v>
      </c>
      <c r="M468" s="49">
        <v>3.0362</v>
      </c>
      <c r="N468" s="49">
        <v>2.0005000000000002</v>
      </c>
      <c r="O468" s="49">
        <v>2.0272000000000001</v>
      </c>
      <c r="P468" s="49">
        <v>2.2145670000000002</v>
      </c>
      <c r="Q468" s="49">
        <v>2.3095270000000001</v>
      </c>
      <c r="R468" s="49">
        <v>1.5575000000000001</v>
      </c>
      <c r="S468" s="49">
        <v>723</v>
      </c>
      <c r="T468" s="49">
        <v>930</v>
      </c>
      <c r="U468" s="49">
        <v>685</v>
      </c>
      <c r="V468" s="49">
        <v>900</v>
      </c>
      <c r="W468" s="49">
        <v>705</v>
      </c>
      <c r="X468" s="49">
        <v>776</v>
      </c>
      <c r="Y468" s="49">
        <v>247</v>
      </c>
      <c r="Z468" s="49">
        <v>671</v>
      </c>
      <c r="AA468" s="49">
        <v>162</v>
      </c>
      <c r="AB468" s="49" t="s">
        <v>1574</v>
      </c>
      <c r="AC468" s="49" t="s">
        <v>1574</v>
      </c>
      <c r="AD468" s="49">
        <v>93.01</v>
      </c>
      <c r="AE468" s="49">
        <v>106.1</v>
      </c>
      <c r="AF468" s="49">
        <v>100.81</v>
      </c>
      <c r="AG468" s="49">
        <v>318.25</v>
      </c>
      <c r="AH468" s="49">
        <v>258.75</v>
      </c>
      <c r="AI468" s="49">
        <v>197</v>
      </c>
      <c r="AJ468" s="49" t="s">
        <v>1574</v>
      </c>
      <c r="AK468" s="49">
        <v>112.29</v>
      </c>
      <c r="AL468" s="49">
        <v>128.91999999999999</v>
      </c>
      <c r="AM468" s="49">
        <v>1.10259</v>
      </c>
      <c r="AN468" s="49">
        <v>0.65793999999999997</v>
      </c>
      <c r="AO468" s="49">
        <v>0.44874999999999998</v>
      </c>
      <c r="AP468" s="49">
        <v>1.7782464920000001</v>
      </c>
      <c r="AQ468" s="49">
        <v>1.302489496</v>
      </c>
      <c r="AR468" s="49">
        <v>2.6282999999999999</v>
      </c>
      <c r="AS468" s="49">
        <v>15.917400000000001</v>
      </c>
      <c r="AT468" s="49">
        <v>0.59109999999999996</v>
      </c>
      <c r="AU468" s="49">
        <v>0.4919</v>
      </c>
      <c r="AV468" s="49">
        <v>0.20349999999999999</v>
      </c>
      <c r="AW468" s="49">
        <v>3391.41</v>
      </c>
      <c r="AX468" s="49">
        <v>285.85000000000002</v>
      </c>
      <c r="AY468" s="49">
        <v>146.68</v>
      </c>
      <c r="AZ468" s="49">
        <v>520.84208404038998</v>
      </c>
      <c r="BA468" s="49">
        <v>472.68616002405003</v>
      </c>
      <c r="BB468" s="49">
        <v>362.69</v>
      </c>
      <c r="BC468" s="49">
        <v>1.4189000000000001</v>
      </c>
      <c r="BD468" s="49" t="s">
        <v>1574</v>
      </c>
      <c r="BE468" s="49">
        <v>0.78239999999999998</v>
      </c>
      <c r="BF468" s="49">
        <v>32.5</v>
      </c>
      <c r="BG468" s="49">
        <v>186.5</v>
      </c>
      <c r="BH468" s="49">
        <v>176.34</v>
      </c>
      <c r="BI468" s="49">
        <v>95</v>
      </c>
      <c r="BJ468" s="49">
        <v>112.5</v>
      </c>
      <c r="BK468" s="49">
        <v>1364.72</v>
      </c>
      <c r="BL468" s="49">
        <v>31</v>
      </c>
      <c r="BM468" s="49">
        <v>1732.53</v>
      </c>
      <c r="BN468" s="49">
        <v>543.5</v>
      </c>
      <c r="BO468" s="49">
        <v>5874.7</v>
      </c>
      <c r="BP468" s="49">
        <v>5020</v>
      </c>
      <c r="BQ468" s="49">
        <v>1061.0999999999999</v>
      </c>
      <c r="BR468" s="49">
        <v>299.10000000000002</v>
      </c>
      <c r="BS468" s="49">
        <v>388.9</v>
      </c>
      <c r="BT468" s="49">
        <v>5.5750000000000002</v>
      </c>
      <c r="BU468" s="41"/>
      <c r="BV468" s="41"/>
      <c r="BW468" s="41"/>
      <c r="BX468" s="41"/>
      <c r="BY468" s="41"/>
      <c r="BZ468" s="41"/>
      <c r="CA468" s="41"/>
      <c r="CB468" s="41"/>
      <c r="CC468" s="41"/>
      <c r="CD468" s="41"/>
      <c r="CE468" s="41"/>
      <c r="CF468" s="41"/>
      <c r="CG468" s="41"/>
      <c r="CH468" s="41"/>
      <c r="CI468" s="41"/>
      <c r="CJ468" s="41"/>
      <c r="CK468" s="41"/>
    </row>
    <row r="469" spans="1:89">
      <c r="A469" s="41" t="s">
        <v>598</v>
      </c>
      <c r="B469" s="51">
        <v>12.478999999999999</v>
      </c>
      <c r="C469" s="51">
        <v>12.058</v>
      </c>
      <c r="D469" s="51">
        <v>11.673</v>
      </c>
      <c r="E469" s="51">
        <v>13.706</v>
      </c>
      <c r="F469" s="51">
        <v>30</v>
      </c>
      <c r="G469" s="51">
        <v>27.33</v>
      </c>
      <c r="H469" s="51">
        <v>2.17</v>
      </c>
      <c r="I469" s="51">
        <v>2.5</v>
      </c>
      <c r="J469" s="51">
        <v>3</v>
      </c>
      <c r="K469" s="51">
        <v>40.268532594150003</v>
      </c>
      <c r="L469" s="51">
        <v>1.7234</v>
      </c>
      <c r="M469" s="51">
        <v>2.7542</v>
      </c>
      <c r="N469" s="51">
        <v>1.8239000000000001</v>
      </c>
      <c r="O469" s="51">
        <v>1.911</v>
      </c>
      <c r="P469" s="51">
        <v>2.0430000000000001</v>
      </c>
      <c r="Q469" s="51">
        <v>2.1321870000000001</v>
      </c>
      <c r="R469" s="51">
        <v>1.5580000000000001</v>
      </c>
      <c r="S469" s="51">
        <v>652</v>
      </c>
      <c r="T469" s="51">
        <v>989</v>
      </c>
      <c r="U469" s="51">
        <v>675</v>
      </c>
      <c r="V469" s="51">
        <v>891</v>
      </c>
      <c r="W469" s="51">
        <v>633</v>
      </c>
      <c r="X469" s="51">
        <v>700</v>
      </c>
      <c r="Y469" s="51">
        <v>242</v>
      </c>
      <c r="Z469" s="51">
        <v>629</v>
      </c>
      <c r="AA469" s="51">
        <v>159</v>
      </c>
      <c r="AB469" s="51" t="s">
        <v>1574</v>
      </c>
      <c r="AC469" s="51" t="s">
        <v>1574</v>
      </c>
      <c r="AD469" s="51">
        <v>91.57</v>
      </c>
      <c r="AE469" s="51">
        <v>104.23</v>
      </c>
      <c r="AF469" s="51">
        <v>96.51</v>
      </c>
      <c r="AG469" s="51">
        <v>325.5</v>
      </c>
      <c r="AH469" s="51">
        <v>268.33</v>
      </c>
      <c r="AI469" s="51">
        <v>205.5</v>
      </c>
      <c r="AJ469" s="51" t="s">
        <v>1574</v>
      </c>
      <c r="AK469" s="51">
        <v>107.18</v>
      </c>
      <c r="AL469" s="51">
        <v>120.64</v>
      </c>
      <c r="AM469" s="51">
        <v>1.10362</v>
      </c>
      <c r="AN469" s="51">
        <v>0.65793999999999997</v>
      </c>
      <c r="AO469" s="51">
        <v>0.45759</v>
      </c>
      <c r="AP469" s="51">
        <v>1.701305254</v>
      </c>
      <c r="AQ469" s="51">
        <v>1.3787693480000001</v>
      </c>
      <c r="AR469" s="51">
        <v>2.5737000000000001</v>
      </c>
      <c r="AS469" s="51">
        <v>15.278</v>
      </c>
      <c r="AT469" s="51">
        <v>0.58740000000000003</v>
      </c>
      <c r="AU469" s="51">
        <v>0.4945</v>
      </c>
      <c r="AV469" s="51">
        <v>0.17860000000000001</v>
      </c>
      <c r="AW469" s="51">
        <v>3329.61</v>
      </c>
      <c r="AX469" s="51">
        <v>274.49</v>
      </c>
      <c r="AY469" s="51">
        <v>137.41</v>
      </c>
      <c r="AZ469" s="51">
        <v>515.7125983597</v>
      </c>
      <c r="BA469" s="51">
        <v>451.42137368224002</v>
      </c>
      <c r="BB469" s="51">
        <v>348.59</v>
      </c>
      <c r="BC469" s="51">
        <v>1.5199</v>
      </c>
      <c r="BD469" s="51" t="s">
        <v>1574</v>
      </c>
      <c r="BE469" s="51">
        <v>0.70299999999999996</v>
      </c>
      <c r="BF469" s="51">
        <v>32.5</v>
      </c>
      <c r="BG469" s="51">
        <v>189.2</v>
      </c>
      <c r="BH469" s="51">
        <v>177.5</v>
      </c>
      <c r="BI469" s="51">
        <v>88.4</v>
      </c>
      <c r="BJ469" s="51">
        <v>112.5</v>
      </c>
      <c r="BK469" s="51">
        <v>1307.24</v>
      </c>
      <c r="BL469" s="51">
        <v>31</v>
      </c>
      <c r="BM469" s="51">
        <v>1660.52</v>
      </c>
      <c r="BN469" s="51">
        <v>528.29999999999995</v>
      </c>
      <c r="BO469" s="51">
        <v>5970</v>
      </c>
      <c r="BP469" s="51">
        <v>4475.7</v>
      </c>
      <c r="BQ469" s="51">
        <v>1009.8</v>
      </c>
      <c r="BR469" s="51">
        <v>292.32</v>
      </c>
      <c r="BS469" s="51">
        <v>355.43</v>
      </c>
      <c r="BT469" s="51">
        <v>5.2629999999999999</v>
      </c>
      <c r="BU469" s="41"/>
      <c r="BV469" s="41"/>
      <c r="BW469" s="41"/>
      <c r="BX469" s="41"/>
      <c r="BY469" s="41"/>
      <c r="BZ469" s="41"/>
      <c r="CA469" s="41"/>
      <c r="CB469" s="41"/>
      <c r="CC469" s="41"/>
      <c r="CD469" s="41"/>
      <c r="CE469" s="41"/>
      <c r="CF469" s="41"/>
      <c r="CG469" s="41"/>
      <c r="CH469" s="41"/>
      <c r="CI469" s="41"/>
      <c r="CJ469" s="41"/>
      <c r="CK469" s="41"/>
    </row>
    <row r="470" spans="1:89">
      <c r="A470" s="48" t="s">
        <v>599</v>
      </c>
      <c r="B470" s="49">
        <v>12.69966666667</v>
      </c>
      <c r="C470" s="49">
        <v>12.01</v>
      </c>
      <c r="D470" s="49">
        <v>11.977</v>
      </c>
      <c r="E470" s="49">
        <v>14.112</v>
      </c>
      <c r="F470" s="49">
        <v>30</v>
      </c>
      <c r="G470" s="49">
        <v>26.55</v>
      </c>
      <c r="H470" s="49">
        <v>2.17</v>
      </c>
      <c r="I470" s="49">
        <v>2.4</v>
      </c>
      <c r="J470" s="49">
        <v>2.84</v>
      </c>
      <c r="K470" s="49">
        <v>39.684736300940003</v>
      </c>
      <c r="L470" s="49">
        <v>1.7166999999999999</v>
      </c>
      <c r="M470" s="49">
        <v>2.5926</v>
      </c>
      <c r="N470" s="49">
        <v>1.6983999999999999</v>
      </c>
      <c r="O470" s="49">
        <v>1.9812000000000001</v>
      </c>
      <c r="P470" s="49">
        <v>1.9786999999999999</v>
      </c>
      <c r="Q470" s="49">
        <v>2.2823829999999998</v>
      </c>
      <c r="R470" s="49">
        <v>1.6825000000000001</v>
      </c>
      <c r="S470" s="49">
        <v>667</v>
      </c>
      <c r="T470" s="49">
        <v>1034</v>
      </c>
      <c r="U470" s="49">
        <v>660</v>
      </c>
      <c r="V470" s="49">
        <v>874</v>
      </c>
      <c r="W470" s="49">
        <v>661</v>
      </c>
      <c r="X470" s="49">
        <v>694</v>
      </c>
      <c r="Y470" s="49">
        <v>238</v>
      </c>
      <c r="Z470" s="49">
        <v>612</v>
      </c>
      <c r="AA470" s="49">
        <v>157</v>
      </c>
      <c r="AB470" s="49" t="s">
        <v>1574</v>
      </c>
      <c r="AC470" s="49" t="s">
        <v>1574</v>
      </c>
      <c r="AD470" s="49">
        <v>85.2</v>
      </c>
      <c r="AE470" s="49">
        <v>100.51</v>
      </c>
      <c r="AF470" s="49">
        <v>95.44</v>
      </c>
      <c r="AG470" s="49">
        <v>324.25</v>
      </c>
      <c r="AH470" s="49">
        <v>266.25</v>
      </c>
      <c r="AI470" s="49">
        <v>211</v>
      </c>
      <c r="AJ470" s="49" t="s">
        <v>1574</v>
      </c>
      <c r="AK470" s="49">
        <v>96.78</v>
      </c>
      <c r="AL470" s="49">
        <v>118.9</v>
      </c>
      <c r="AM470" s="49">
        <v>1.0223599999999999</v>
      </c>
      <c r="AN470" s="49">
        <v>0.45607999999999999</v>
      </c>
      <c r="AO470" s="49">
        <v>0.54293000000000002</v>
      </c>
      <c r="AP470" s="49">
        <v>1.6717633460000001</v>
      </c>
      <c r="AQ470" s="49">
        <v>1.484591108</v>
      </c>
      <c r="AR470" s="49">
        <v>2.4251</v>
      </c>
      <c r="AS470" s="49">
        <v>14.2639</v>
      </c>
      <c r="AT470" s="49">
        <v>0.58350000000000002</v>
      </c>
      <c r="AU470" s="49">
        <v>0.49980000000000002</v>
      </c>
      <c r="AV470" s="49">
        <v>0.19009999999999999</v>
      </c>
      <c r="AW470" s="49">
        <v>3283.3</v>
      </c>
      <c r="AX470" s="49">
        <v>273.82</v>
      </c>
      <c r="AY470" s="49">
        <v>134.96</v>
      </c>
      <c r="AZ470" s="49">
        <v>510.29721701323001</v>
      </c>
      <c r="BA470" s="49">
        <v>437.53623346933</v>
      </c>
      <c r="BB470" s="49">
        <v>348.53</v>
      </c>
      <c r="BC470" s="49">
        <v>1.5401</v>
      </c>
      <c r="BD470" s="49" t="s">
        <v>1574</v>
      </c>
      <c r="BE470" s="49">
        <v>0.70279999999999998</v>
      </c>
      <c r="BF470" s="49">
        <v>32.5</v>
      </c>
      <c r="BG470" s="49">
        <v>190.5</v>
      </c>
      <c r="BH470" s="49">
        <v>177.5</v>
      </c>
      <c r="BI470" s="49">
        <v>86</v>
      </c>
      <c r="BJ470" s="49">
        <v>112.5</v>
      </c>
      <c r="BK470" s="49">
        <v>1309.21</v>
      </c>
      <c r="BL470" s="49">
        <v>31</v>
      </c>
      <c r="BM470" s="49">
        <v>1651.04</v>
      </c>
      <c r="BN470" s="49">
        <v>546.20000000000005</v>
      </c>
      <c r="BO470" s="49">
        <v>5653.7</v>
      </c>
      <c r="BP470" s="49">
        <v>4325.43</v>
      </c>
      <c r="BQ470" s="49">
        <v>1040.3</v>
      </c>
      <c r="BR470" s="49">
        <v>292.87</v>
      </c>
      <c r="BS470" s="49">
        <v>378.43</v>
      </c>
      <c r="BT470" s="49">
        <v>5.4551999999999996</v>
      </c>
      <c r="BU470" s="41"/>
      <c r="BV470" s="41"/>
      <c r="BW470" s="41"/>
      <c r="BX470" s="41"/>
      <c r="BY470" s="41"/>
      <c r="BZ470" s="41"/>
      <c r="CA470" s="41"/>
      <c r="CB470" s="41"/>
      <c r="CC470" s="41"/>
      <c r="CD470" s="41"/>
      <c r="CE470" s="41"/>
      <c r="CF470" s="41"/>
      <c r="CG470" s="41"/>
      <c r="CH470" s="41"/>
      <c r="CI470" s="41"/>
      <c r="CJ470" s="41"/>
      <c r="CK470" s="41"/>
    </row>
    <row r="471" spans="1:89">
      <c r="A471" s="41" t="s">
        <v>600</v>
      </c>
      <c r="B471" s="51">
        <v>12.487966666669999</v>
      </c>
      <c r="C471" s="51">
        <v>11.8805</v>
      </c>
      <c r="D471" s="51">
        <v>12.180999999999999</v>
      </c>
      <c r="E471" s="51">
        <v>13.4024</v>
      </c>
      <c r="F471" s="51">
        <v>26.2</v>
      </c>
      <c r="G471" s="51">
        <v>26.3</v>
      </c>
      <c r="H471" s="51">
        <v>1.85</v>
      </c>
      <c r="I471" s="51">
        <v>2.37</v>
      </c>
      <c r="J471" s="51">
        <v>2.79</v>
      </c>
      <c r="K471" s="51">
        <v>35.622363073220001</v>
      </c>
      <c r="L471" s="51">
        <v>1.6825000000000001</v>
      </c>
      <c r="M471" s="51">
        <v>2.7162999999999999</v>
      </c>
      <c r="N471" s="51">
        <v>1.748</v>
      </c>
      <c r="O471" s="51">
        <v>1.9522999999999999</v>
      </c>
      <c r="P471" s="51">
        <v>2.0287000000000002</v>
      </c>
      <c r="Q471" s="51">
        <v>2.1263700000000001</v>
      </c>
      <c r="R471" s="51">
        <v>1.702</v>
      </c>
      <c r="S471" s="51">
        <v>667</v>
      </c>
      <c r="T471" s="51">
        <v>1087.5</v>
      </c>
      <c r="U471" s="51">
        <v>670</v>
      </c>
      <c r="V471" s="51">
        <v>862</v>
      </c>
      <c r="W471" s="51">
        <v>674</v>
      </c>
      <c r="X471" s="51">
        <v>692</v>
      </c>
      <c r="Y471" s="51">
        <v>219</v>
      </c>
      <c r="Z471" s="51">
        <v>592</v>
      </c>
      <c r="AA471" s="51">
        <v>145</v>
      </c>
      <c r="AB471" s="51" t="s">
        <v>1574</v>
      </c>
      <c r="AC471" s="51" t="s">
        <v>1574</v>
      </c>
      <c r="AD471" s="51">
        <v>73.2</v>
      </c>
      <c r="AE471" s="51">
        <v>87.86</v>
      </c>
      <c r="AF471" s="51">
        <v>91</v>
      </c>
      <c r="AG471" s="51">
        <v>321.39999999999998</v>
      </c>
      <c r="AH471" s="51">
        <v>274.8</v>
      </c>
      <c r="AI471" s="51">
        <v>228.8</v>
      </c>
      <c r="AJ471" s="51" t="s">
        <v>1574</v>
      </c>
      <c r="AK471" s="51">
        <v>92.85</v>
      </c>
      <c r="AL471" s="51">
        <v>107.95</v>
      </c>
      <c r="AM471" s="51">
        <v>0.96675999999999995</v>
      </c>
      <c r="AN471" s="51">
        <v>0.35308</v>
      </c>
      <c r="AO471" s="51">
        <v>0.50680000000000003</v>
      </c>
      <c r="AP471" s="51">
        <v>1.657212854</v>
      </c>
      <c r="AQ471" s="51">
        <v>1.56197327</v>
      </c>
      <c r="AR471" s="51">
        <v>2.4514999999999998</v>
      </c>
      <c r="AS471" s="51">
        <v>13.7789</v>
      </c>
      <c r="AT471" s="51">
        <v>0.57830000000000004</v>
      </c>
      <c r="AU471" s="51">
        <v>0.48980000000000001</v>
      </c>
      <c r="AV471" s="51">
        <v>0.18820000000000001</v>
      </c>
      <c r="AW471" s="51">
        <v>3237.58</v>
      </c>
      <c r="AX471" s="51">
        <v>275.22000000000003</v>
      </c>
      <c r="AY471" s="51">
        <v>136.94</v>
      </c>
      <c r="AZ471" s="51">
        <v>512.91032826261005</v>
      </c>
      <c r="BA471" s="51">
        <v>455.57320103554002</v>
      </c>
      <c r="BB471" s="51">
        <v>335.25</v>
      </c>
      <c r="BC471" s="51">
        <v>1.5031000000000001</v>
      </c>
      <c r="BD471" s="51" t="s">
        <v>1574</v>
      </c>
      <c r="BE471" s="51">
        <v>0.65349999999999997</v>
      </c>
      <c r="BF471" s="51">
        <v>32.5</v>
      </c>
      <c r="BG471" s="51">
        <v>190.5</v>
      </c>
      <c r="BH471" s="51">
        <v>175</v>
      </c>
      <c r="BI471" s="51">
        <v>85.5</v>
      </c>
      <c r="BJ471" s="51">
        <v>112.5</v>
      </c>
      <c r="BK471" s="51">
        <v>1310.9</v>
      </c>
      <c r="BL471" s="51">
        <v>31</v>
      </c>
      <c r="BM471" s="51">
        <v>1620.93</v>
      </c>
      <c r="BN471" s="51">
        <v>536.70000000000005</v>
      </c>
      <c r="BO471" s="51">
        <v>5691.5</v>
      </c>
      <c r="BP471" s="51">
        <v>4080.63</v>
      </c>
      <c r="BQ471" s="51">
        <v>1029.8</v>
      </c>
      <c r="BR471" s="51">
        <v>284.11</v>
      </c>
      <c r="BS471" s="51">
        <v>369.18</v>
      </c>
      <c r="BT471" s="51">
        <v>5.1791999999999998</v>
      </c>
      <c r="BU471" s="41"/>
      <c r="BV471" s="41"/>
      <c r="BW471" s="41"/>
      <c r="BX471" s="41"/>
      <c r="BY471" s="41"/>
      <c r="BZ471" s="41"/>
      <c r="CA471" s="41"/>
      <c r="CB471" s="41"/>
      <c r="CC471" s="41"/>
      <c r="CD471" s="41"/>
      <c r="CE471" s="41"/>
      <c r="CF471" s="41"/>
      <c r="CG471" s="41"/>
      <c r="CH471" s="41"/>
      <c r="CI471" s="41"/>
      <c r="CJ471" s="41"/>
      <c r="CK471" s="41"/>
    </row>
    <row r="472" spans="1:89">
      <c r="A472" s="48" t="s">
        <v>601</v>
      </c>
      <c r="B472" s="49">
        <v>13.80333333333</v>
      </c>
      <c r="C472" s="49">
        <v>13.36</v>
      </c>
      <c r="D472" s="49">
        <v>13.07</v>
      </c>
      <c r="E472" s="49">
        <v>14.98</v>
      </c>
      <c r="F472" s="49">
        <v>27.09</v>
      </c>
      <c r="G472" s="49">
        <v>26.43</v>
      </c>
      <c r="H472" s="49">
        <v>2.0099999999999998</v>
      </c>
      <c r="I472" s="49">
        <v>2.33</v>
      </c>
      <c r="J472" s="49">
        <v>2.74</v>
      </c>
      <c r="K472" s="49">
        <v>37.341269148969999</v>
      </c>
      <c r="L472" s="49">
        <v>1.6859</v>
      </c>
      <c r="M472" s="49">
        <v>2.4659</v>
      </c>
      <c r="N472" s="49">
        <v>1.7593000000000001</v>
      </c>
      <c r="O472" s="49">
        <v>1.8964000000000001</v>
      </c>
      <c r="P472" s="49">
        <v>1.9104000000000001</v>
      </c>
      <c r="Q472" s="49">
        <v>2.0263</v>
      </c>
      <c r="R472" s="49">
        <v>1.7524999999999999</v>
      </c>
      <c r="S472" s="49">
        <v>652</v>
      </c>
      <c r="T472" s="49">
        <v>965</v>
      </c>
      <c r="U472" s="49">
        <v>681</v>
      </c>
      <c r="V472" s="49">
        <v>852</v>
      </c>
      <c r="W472" s="49">
        <v>703</v>
      </c>
      <c r="X472" s="49">
        <v>697</v>
      </c>
      <c r="Y472" s="49">
        <v>216</v>
      </c>
      <c r="Z472" s="49">
        <v>615</v>
      </c>
      <c r="AA472" s="49">
        <v>145</v>
      </c>
      <c r="AB472" s="49" t="s">
        <v>1574</v>
      </c>
      <c r="AC472" s="49" t="s">
        <v>1574</v>
      </c>
      <c r="AD472" s="49">
        <v>73.12</v>
      </c>
      <c r="AE472" s="49">
        <v>86.31</v>
      </c>
      <c r="AF472" s="49">
        <v>85.04</v>
      </c>
      <c r="AG472" s="49">
        <v>321.25</v>
      </c>
      <c r="AH472" s="49">
        <v>280</v>
      </c>
      <c r="AI472" s="49">
        <v>237</v>
      </c>
      <c r="AJ472" s="49" t="s">
        <v>1574</v>
      </c>
      <c r="AK472" s="49">
        <v>96.34</v>
      </c>
      <c r="AL472" s="49">
        <v>107.93</v>
      </c>
      <c r="AM472" s="49">
        <v>1.07839</v>
      </c>
      <c r="AN472" s="49">
        <v>0.35446</v>
      </c>
      <c r="AO472" s="49">
        <v>0.49906</v>
      </c>
      <c r="AP472" s="49">
        <v>1.636489426</v>
      </c>
      <c r="AQ472" s="49">
        <v>1.5666029720000001</v>
      </c>
      <c r="AR472" s="49">
        <v>2.6556000000000002</v>
      </c>
      <c r="AS472" s="49">
        <v>13.1175</v>
      </c>
      <c r="AT472" s="49">
        <v>0.59589999999999999</v>
      </c>
      <c r="AU472" s="49">
        <v>0.48349999999999999</v>
      </c>
      <c r="AV472" s="49">
        <v>0.15939999999999999</v>
      </c>
      <c r="AW472" s="49">
        <v>3209.48</v>
      </c>
      <c r="AX472" s="49">
        <v>289.13</v>
      </c>
      <c r="AY472" s="49">
        <v>150.19</v>
      </c>
      <c r="AZ472" s="49">
        <v>534.45012966986997</v>
      </c>
      <c r="BA472" s="49">
        <v>503.4965034965</v>
      </c>
      <c r="BB472" s="49">
        <v>349.2</v>
      </c>
      <c r="BC472" s="49">
        <v>1.4636</v>
      </c>
      <c r="BD472" s="49" t="s">
        <v>1574</v>
      </c>
      <c r="BE472" s="49">
        <v>0.68279999999999996</v>
      </c>
      <c r="BF472" s="49">
        <v>32.5</v>
      </c>
      <c r="BG472" s="49">
        <v>190.5</v>
      </c>
      <c r="BH472" s="49">
        <v>172.5</v>
      </c>
      <c r="BI472" s="49">
        <v>83.625</v>
      </c>
      <c r="BJ472" s="49">
        <v>112.5</v>
      </c>
      <c r="BK472" s="49">
        <v>1342.27</v>
      </c>
      <c r="BL472" s="49">
        <v>31</v>
      </c>
      <c r="BM472" s="49">
        <v>1647.64</v>
      </c>
      <c r="BN472" s="49">
        <v>520.20000000000005</v>
      </c>
      <c r="BO472" s="49">
        <v>5485.7</v>
      </c>
      <c r="BP472" s="49">
        <v>4102.16</v>
      </c>
      <c r="BQ472" s="49">
        <v>1000</v>
      </c>
      <c r="BR472" s="49">
        <v>288.98</v>
      </c>
      <c r="BS472" s="49">
        <v>361.15</v>
      </c>
      <c r="BT472" s="49">
        <v>4.9992000000000001</v>
      </c>
      <c r="BU472" s="41"/>
      <c r="BV472" s="41"/>
      <c r="BW472" s="41"/>
      <c r="BX472" s="41"/>
      <c r="BY472" s="41"/>
      <c r="BZ472" s="41"/>
      <c r="CA472" s="41"/>
      <c r="CB472" s="41"/>
      <c r="CC472" s="41"/>
      <c r="CD472" s="41"/>
      <c r="CE472" s="41"/>
      <c r="CF472" s="41"/>
      <c r="CG472" s="41"/>
      <c r="CH472" s="41"/>
      <c r="CI472" s="41"/>
      <c r="CJ472" s="41"/>
      <c r="CK472" s="41"/>
    </row>
    <row r="473" spans="1:89">
      <c r="A473" s="41" t="s">
        <v>602</v>
      </c>
      <c r="B473" s="51">
        <v>13.263333333329999</v>
      </c>
      <c r="C473" s="51">
        <v>12.56</v>
      </c>
      <c r="D473" s="51">
        <v>12.81</v>
      </c>
      <c r="E473" s="51">
        <v>14.42</v>
      </c>
      <c r="F473" s="51">
        <v>27.1</v>
      </c>
      <c r="G473" s="51">
        <v>26.08</v>
      </c>
      <c r="H473" s="51">
        <v>1.89</v>
      </c>
      <c r="I473" s="51">
        <v>2.17</v>
      </c>
      <c r="J473" s="51">
        <v>2.76</v>
      </c>
      <c r="K473" s="51">
        <v>35.136978691560003</v>
      </c>
      <c r="L473" s="51">
        <v>1.6475</v>
      </c>
      <c r="M473" s="51">
        <v>2.4188999999999998</v>
      </c>
      <c r="N473" s="51">
        <v>1.7703</v>
      </c>
      <c r="O473" s="51">
        <v>1.8593</v>
      </c>
      <c r="P473" s="51">
        <v>1.8387</v>
      </c>
      <c r="Q473" s="51">
        <v>2.0017</v>
      </c>
      <c r="R473" s="51">
        <v>1.7375</v>
      </c>
      <c r="S473" s="51">
        <v>695</v>
      </c>
      <c r="T473" s="51">
        <v>955</v>
      </c>
      <c r="U473" s="51">
        <v>662</v>
      </c>
      <c r="V473" s="51">
        <v>850</v>
      </c>
      <c r="W473" s="51">
        <v>694</v>
      </c>
      <c r="X473" s="51">
        <v>714</v>
      </c>
      <c r="Y473" s="51">
        <v>223</v>
      </c>
      <c r="Z473" s="51">
        <v>614</v>
      </c>
      <c r="AA473" s="51">
        <v>151</v>
      </c>
      <c r="AB473" s="51" t="s">
        <v>1574</v>
      </c>
      <c r="AC473" s="51" t="s">
        <v>1574</v>
      </c>
      <c r="AD473" s="51">
        <v>74.739999999999995</v>
      </c>
      <c r="AE473" s="51">
        <v>95.53</v>
      </c>
      <c r="AF473" s="51">
        <v>87.7</v>
      </c>
      <c r="AG473" s="51">
        <v>298.75</v>
      </c>
      <c r="AH473" s="51">
        <v>271</v>
      </c>
      <c r="AI473" s="51">
        <v>251.75</v>
      </c>
      <c r="AJ473" s="51" t="s">
        <v>1574</v>
      </c>
      <c r="AK473" s="51">
        <v>107.64</v>
      </c>
      <c r="AL473" s="51">
        <v>126.54</v>
      </c>
      <c r="AM473" s="51">
        <v>0.90868000000000004</v>
      </c>
      <c r="AN473" s="51">
        <v>0.33289999999999997</v>
      </c>
      <c r="AO473" s="51">
        <v>0.433</v>
      </c>
      <c r="AP473" s="51">
        <v>1.637150812</v>
      </c>
      <c r="AQ473" s="51">
        <v>1.52449473</v>
      </c>
      <c r="AR473" s="51">
        <v>2.7534000000000001</v>
      </c>
      <c r="AS473" s="51">
        <v>12.412000000000001</v>
      </c>
      <c r="AT473" s="51">
        <v>0.60780000000000001</v>
      </c>
      <c r="AU473" s="51">
        <v>0.47749999999999998</v>
      </c>
      <c r="AV473" s="51">
        <v>0.16450000000000001</v>
      </c>
      <c r="AW473" s="51">
        <v>3269.39</v>
      </c>
      <c r="AX473" s="51">
        <v>300.27</v>
      </c>
      <c r="AY473" s="51">
        <v>162.94999999999999</v>
      </c>
      <c r="AZ473" s="51">
        <v>555.05004549591001</v>
      </c>
      <c r="BA473" s="51">
        <v>510.48951048951</v>
      </c>
      <c r="BB473" s="51">
        <v>379.23</v>
      </c>
      <c r="BC473" s="51">
        <v>1.355</v>
      </c>
      <c r="BD473" s="51" t="s">
        <v>1574</v>
      </c>
      <c r="BE473" s="51">
        <v>0.7288</v>
      </c>
      <c r="BF473" s="51">
        <v>32.5</v>
      </c>
      <c r="BG473" s="51">
        <v>189.625</v>
      </c>
      <c r="BH473" s="51">
        <v>171.55</v>
      </c>
      <c r="BI473" s="51">
        <v>75.625</v>
      </c>
      <c r="BJ473" s="51">
        <v>112.5</v>
      </c>
      <c r="BK473" s="51">
        <v>1304.06</v>
      </c>
      <c r="BL473" s="51">
        <v>31</v>
      </c>
      <c r="BM473" s="51">
        <v>1586.39</v>
      </c>
      <c r="BN473" s="51">
        <v>492.8</v>
      </c>
      <c r="BO473" s="51">
        <v>5432.1</v>
      </c>
      <c r="BP473" s="51">
        <v>3871.93</v>
      </c>
      <c r="BQ473" s="51">
        <v>940.5</v>
      </c>
      <c r="BR473" s="51">
        <v>295.93</v>
      </c>
      <c r="BS473" s="51">
        <v>342.6</v>
      </c>
      <c r="BT473" s="51">
        <v>5.0091999999999999</v>
      </c>
      <c r="BU473" s="41"/>
      <c r="BV473" s="41"/>
      <c r="BW473" s="41"/>
      <c r="BX473" s="41"/>
      <c r="BY473" s="41"/>
      <c r="BZ473" s="41"/>
      <c r="CA473" s="41"/>
      <c r="CB473" s="41"/>
      <c r="CC473" s="41"/>
      <c r="CD473" s="41"/>
      <c r="CE473" s="41"/>
      <c r="CF473" s="41"/>
      <c r="CG473" s="41"/>
      <c r="CH473" s="41"/>
      <c r="CI473" s="41"/>
      <c r="CJ473" s="41"/>
      <c r="CK473" s="41"/>
    </row>
    <row r="474" spans="1:89">
      <c r="A474" s="48" t="s">
        <v>603</v>
      </c>
      <c r="B474" s="49">
        <v>11.88</v>
      </c>
      <c r="C474" s="49">
        <v>10.92</v>
      </c>
      <c r="D474" s="49">
        <v>11.76</v>
      </c>
      <c r="E474" s="49">
        <v>12.96</v>
      </c>
      <c r="F474" s="49">
        <v>26.1</v>
      </c>
      <c r="G474" s="49">
        <v>26.7</v>
      </c>
      <c r="H474" s="49">
        <v>2.1030000000000002</v>
      </c>
      <c r="I474" s="49">
        <v>2.15</v>
      </c>
      <c r="J474" s="49">
        <v>2.78</v>
      </c>
      <c r="K474" s="49">
        <v>37.641987568940003</v>
      </c>
      <c r="L474" s="49">
        <v>1.5999000000000001</v>
      </c>
      <c r="M474" s="49">
        <v>2.5655000000000001</v>
      </c>
      <c r="N474" s="49">
        <v>1.7672000000000001</v>
      </c>
      <c r="O474" s="49">
        <v>1.7975000000000001</v>
      </c>
      <c r="P474" s="49">
        <v>1.8761000000000001</v>
      </c>
      <c r="Q474" s="49">
        <v>1.9283999999999999</v>
      </c>
      <c r="R474" s="49">
        <v>1.5880000000000001</v>
      </c>
      <c r="S474" s="49">
        <v>752</v>
      </c>
      <c r="T474" s="49">
        <v>890</v>
      </c>
      <c r="U474" s="49">
        <v>601</v>
      </c>
      <c r="V474" s="49">
        <v>862</v>
      </c>
      <c r="W474" s="49">
        <v>681</v>
      </c>
      <c r="X474" s="49">
        <v>746</v>
      </c>
      <c r="Y474" s="49">
        <v>234</v>
      </c>
      <c r="Z474" s="49">
        <v>614</v>
      </c>
      <c r="AA474" s="49">
        <v>163</v>
      </c>
      <c r="AB474" s="49" t="s">
        <v>1574</v>
      </c>
      <c r="AC474" s="49" t="s">
        <v>1574</v>
      </c>
      <c r="AD474" s="49">
        <v>79.260000000000005</v>
      </c>
      <c r="AE474" s="49">
        <v>98.12</v>
      </c>
      <c r="AF474" s="49">
        <v>92.21</v>
      </c>
      <c r="AG474" s="49">
        <v>270</v>
      </c>
      <c r="AH474" s="49">
        <v>250.67</v>
      </c>
      <c r="AI474" s="49">
        <v>231</v>
      </c>
      <c r="AJ474" s="49" t="s">
        <v>1574</v>
      </c>
      <c r="AK474" s="49">
        <v>115.28</v>
      </c>
      <c r="AL474" s="49">
        <v>130.21</v>
      </c>
      <c r="AM474" s="49">
        <v>0.96079999999999999</v>
      </c>
      <c r="AN474" s="49">
        <v>0.56011</v>
      </c>
      <c r="AO474" s="49">
        <v>0.42824000000000001</v>
      </c>
      <c r="AP474" s="49">
        <v>1.6598583979999999</v>
      </c>
      <c r="AQ474" s="49">
        <v>1.4793000199999999</v>
      </c>
      <c r="AR474" s="49">
        <v>2.6328999999999998</v>
      </c>
      <c r="AS474" s="49">
        <v>12.015000000000001</v>
      </c>
      <c r="AT474" s="49">
        <v>0.60760000000000003</v>
      </c>
      <c r="AU474" s="49">
        <v>0.48130000000000001</v>
      </c>
      <c r="AV474" s="49">
        <v>0.1777</v>
      </c>
      <c r="AW474" s="49">
        <v>3183.02</v>
      </c>
      <c r="AX474" s="49">
        <v>292.64999999999998</v>
      </c>
      <c r="AY474" s="49">
        <v>159.44999999999999</v>
      </c>
      <c r="AZ474" s="49">
        <v>523.21662942073999</v>
      </c>
      <c r="BA474" s="49">
        <v>513.98601398600999</v>
      </c>
      <c r="BB474" s="49">
        <v>389.78</v>
      </c>
      <c r="BC474" s="49">
        <v>1.2363999999999999</v>
      </c>
      <c r="BD474" s="49" t="s">
        <v>1574</v>
      </c>
      <c r="BE474" s="49">
        <v>0.71870000000000001</v>
      </c>
      <c r="BF474" s="49">
        <v>32.5</v>
      </c>
      <c r="BG474" s="49">
        <v>186.7</v>
      </c>
      <c r="BH474" s="49">
        <v>167.5</v>
      </c>
      <c r="BI474" s="49">
        <v>70.7</v>
      </c>
      <c r="BJ474" s="49">
        <v>112.5</v>
      </c>
      <c r="BK474" s="49">
        <v>1294.96</v>
      </c>
      <c r="BL474" s="49">
        <v>31</v>
      </c>
      <c r="BM474" s="49">
        <v>1573.95</v>
      </c>
      <c r="BN474" s="49">
        <v>494.2</v>
      </c>
      <c r="BO474" s="49">
        <v>5478.3</v>
      </c>
      <c r="BP474" s="49">
        <v>4131.91</v>
      </c>
      <c r="BQ474" s="49">
        <v>967.1</v>
      </c>
      <c r="BR474" s="49">
        <v>294.12</v>
      </c>
      <c r="BS474" s="49">
        <v>347.18</v>
      </c>
      <c r="BT474" s="49">
        <v>4.9733000000000001</v>
      </c>
      <c r="BU474" s="41"/>
      <c r="BV474" s="41"/>
      <c r="BW474" s="41"/>
      <c r="BX474" s="41"/>
      <c r="BY474" s="41"/>
      <c r="BZ474" s="41"/>
      <c r="CA474" s="41"/>
      <c r="CB474" s="41"/>
      <c r="CC474" s="41"/>
      <c r="CD474" s="41"/>
      <c r="CE474" s="41"/>
      <c r="CF474" s="41"/>
      <c r="CG474" s="41"/>
      <c r="CH474" s="41"/>
      <c r="CI474" s="41"/>
      <c r="CJ474" s="41"/>
      <c r="CK474" s="41"/>
    </row>
    <row r="475" spans="1:89">
      <c r="A475" s="41" t="s">
        <v>604</v>
      </c>
      <c r="B475" s="51">
        <v>10.41</v>
      </c>
      <c r="C475" s="51">
        <v>9.8000000000000007</v>
      </c>
      <c r="D475" s="51">
        <v>10.119999999999999</v>
      </c>
      <c r="E475" s="51">
        <v>11.31</v>
      </c>
      <c r="F475" s="51">
        <v>26.1</v>
      </c>
      <c r="G475" s="51">
        <v>26.7</v>
      </c>
      <c r="H475" s="51">
        <v>1.74</v>
      </c>
      <c r="I475" s="51">
        <v>2.13</v>
      </c>
      <c r="J475" s="51">
        <v>2.72</v>
      </c>
      <c r="K475" s="51">
        <v>33.098214086360002</v>
      </c>
      <c r="L475" s="51">
        <v>1.5241</v>
      </c>
      <c r="M475" s="51">
        <v>2.5880000000000001</v>
      </c>
      <c r="N475" s="51">
        <v>1.8532</v>
      </c>
      <c r="O475" s="51">
        <v>1.7032</v>
      </c>
      <c r="P475" s="51">
        <v>1.726</v>
      </c>
      <c r="Q475" s="51">
        <v>1.7703</v>
      </c>
      <c r="R475" s="51">
        <v>1.6133</v>
      </c>
      <c r="S475" s="51">
        <v>774</v>
      </c>
      <c r="T475" s="51">
        <v>857</v>
      </c>
      <c r="U475" s="51">
        <v>541</v>
      </c>
      <c r="V475" s="51">
        <v>861</v>
      </c>
      <c r="W475" s="51">
        <v>663</v>
      </c>
      <c r="X475" s="51">
        <v>763</v>
      </c>
      <c r="Y475" s="51">
        <v>230</v>
      </c>
      <c r="Z475" s="51">
        <v>591</v>
      </c>
      <c r="AA475" s="51">
        <v>168</v>
      </c>
      <c r="AB475" s="51" t="s">
        <v>1574</v>
      </c>
      <c r="AC475" s="51" t="s">
        <v>1574</v>
      </c>
      <c r="AD475" s="51">
        <v>78.39</v>
      </c>
      <c r="AE475" s="51">
        <v>95.76</v>
      </c>
      <c r="AF475" s="51">
        <v>90.2</v>
      </c>
      <c r="AG475" s="51">
        <v>277.75</v>
      </c>
      <c r="AH475" s="51">
        <v>251.5</v>
      </c>
      <c r="AI475" s="51">
        <v>232.75</v>
      </c>
      <c r="AJ475" s="51" t="s">
        <v>1574</v>
      </c>
      <c r="AK475" s="51">
        <v>104.11</v>
      </c>
      <c r="AL475" s="51">
        <v>126.21</v>
      </c>
      <c r="AM475" s="51">
        <v>0.86294999999999999</v>
      </c>
      <c r="AN475" s="51">
        <v>0.37685000000000002</v>
      </c>
      <c r="AO475" s="51">
        <v>0.38391999999999998</v>
      </c>
      <c r="AP475" s="51">
        <v>1.656992392</v>
      </c>
      <c r="AQ475" s="51">
        <v>1.4307983799999999</v>
      </c>
      <c r="AR475" s="51">
        <v>2.5409999999999999</v>
      </c>
      <c r="AS475" s="51">
        <v>12.125</v>
      </c>
      <c r="AT475" s="51">
        <v>0.6109</v>
      </c>
      <c r="AU475" s="51">
        <v>0.48920000000000002</v>
      </c>
      <c r="AV475" s="51">
        <v>0.17810000000000001</v>
      </c>
      <c r="AW475" s="51">
        <v>3103.56</v>
      </c>
      <c r="AX475" s="51">
        <v>294.64</v>
      </c>
      <c r="AY475" s="51">
        <v>163.46</v>
      </c>
      <c r="AZ475" s="51">
        <v>517.84789557328997</v>
      </c>
      <c r="BA475" s="51">
        <v>534.96503496503999</v>
      </c>
      <c r="BB475" s="51">
        <v>416.59</v>
      </c>
      <c r="BC475" s="51">
        <v>1.2345999999999999</v>
      </c>
      <c r="BD475" s="51" t="s">
        <v>1574</v>
      </c>
      <c r="BE475" s="51">
        <v>0.67110000000000003</v>
      </c>
      <c r="BF475" s="51">
        <v>32.5</v>
      </c>
      <c r="BG475" s="51">
        <v>182.83333333332999</v>
      </c>
      <c r="BH475" s="51">
        <v>167.5</v>
      </c>
      <c r="BI475" s="51">
        <v>65.5</v>
      </c>
      <c r="BJ475" s="51">
        <v>112.5</v>
      </c>
      <c r="BK475" s="51">
        <v>1249.06</v>
      </c>
      <c r="BL475" s="51">
        <v>31</v>
      </c>
      <c r="BM475" s="51">
        <v>1473.57</v>
      </c>
      <c r="BN475" s="51">
        <v>501.3</v>
      </c>
      <c r="BO475" s="51">
        <v>5257.6</v>
      </c>
      <c r="BP475" s="51">
        <v>3878.21</v>
      </c>
      <c r="BQ475" s="51">
        <v>959.2</v>
      </c>
      <c r="BR475" s="51">
        <v>291.68</v>
      </c>
      <c r="BS475" s="51">
        <v>351.79</v>
      </c>
      <c r="BT475" s="51">
        <v>4.8775000000000004</v>
      </c>
      <c r="BU475" s="41"/>
      <c r="BV475" s="41"/>
      <c r="BW475" s="41"/>
      <c r="BX475" s="41"/>
      <c r="BY475" s="41"/>
      <c r="BZ475" s="41"/>
      <c r="CA475" s="41"/>
      <c r="CB475" s="41"/>
      <c r="CC475" s="41"/>
      <c r="CD475" s="41"/>
      <c r="CE475" s="41"/>
      <c r="CF475" s="41"/>
      <c r="CG475" s="41"/>
      <c r="CH475" s="41"/>
      <c r="CI475" s="41"/>
      <c r="CJ475" s="41"/>
      <c r="CK475" s="41"/>
    </row>
    <row r="476" spans="1:89">
      <c r="A476" s="48" t="s">
        <v>605</v>
      </c>
      <c r="B476" s="49">
        <v>11.443333333329999</v>
      </c>
      <c r="C476" s="49">
        <v>11.06</v>
      </c>
      <c r="D476" s="49">
        <v>10.78</v>
      </c>
      <c r="E476" s="49">
        <v>12.49</v>
      </c>
      <c r="F476" s="49">
        <v>26.1</v>
      </c>
      <c r="G476" s="49">
        <v>26.5</v>
      </c>
      <c r="H476" s="49">
        <v>1.86</v>
      </c>
      <c r="I476" s="49">
        <v>2.02</v>
      </c>
      <c r="J476" s="49">
        <v>2.77</v>
      </c>
      <c r="K476" s="49">
        <v>34.06635658479</v>
      </c>
      <c r="L476" s="49">
        <v>1.4558</v>
      </c>
      <c r="M476" s="49">
        <v>2.4903</v>
      </c>
      <c r="N476" s="49">
        <v>1.8142</v>
      </c>
      <c r="O476" s="49">
        <v>1.7612000000000001</v>
      </c>
      <c r="P476" s="49">
        <v>1.7988</v>
      </c>
      <c r="Q476" s="49">
        <v>1.7347999999999999</v>
      </c>
      <c r="R476" s="49">
        <v>1.75</v>
      </c>
      <c r="S476" s="49">
        <v>763</v>
      </c>
      <c r="T476" s="49">
        <v>880</v>
      </c>
      <c r="U476" s="49">
        <v>444.26</v>
      </c>
      <c r="V476" s="49">
        <v>952.71</v>
      </c>
      <c r="W476" s="49">
        <v>632</v>
      </c>
      <c r="X476" s="49">
        <v>744</v>
      </c>
      <c r="Y476" s="49">
        <v>221</v>
      </c>
      <c r="Z476" s="49">
        <v>541.63</v>
      </c>
      <c r="AA476" s="49">
        <v>166.24</v>
      </c>
      <c r="AB476" s="49" t="s">
        <v>1574</v>
      </c>
      <c r="AC476" s="49" t="s">
        <v>1574</v>
      </c>
      <c r="AD476" s="49">
        <v>77.709999999999994</v>
      </c>
      <c r="AE476" s="49">
        <v>97.44</v>
      </c>
      <c r="AF476" s="49">
        <v>91.13</v>
      </c>
      <c r="AG476" s="49">
        <v>299.75</v>
      </c>
      <c r="AH476" s="49">
        <v>258.75</v>
      </c>
      <c r="AI476" s="49">
        <v>233.5</v>
      </c>
      <c r="AJ476" s="49" t="s">
        <v>1574</v>
      </c>
      <c r="AK476" s="49">
        <v>103.18</v>
      </c>
      <c r="AL476" s="49">
        <v>125.29</v>
      </c>
      <c r="AM476" s="49">
        <v>1.10873</v>
      </c>
      <c r="AN476" s="49">
        <v>0.48859999999999998</v>
      </c>
      <c r="AO476" s="49">
        <v>0.41737000000000002</v>
      </c>
      <c r="AP476" s="49">
        <v>1.706155418</v>
      </c>
      <c r="AQ476" s="49">
        <v>1.3873673660000001</v>
      </c>
      <c r="AR476" s="49">
        <v>2.496</v>
      </c>
      <c r="AS476" s="49">
        <v>12.12541</v>
      </c>
      <c r="AT476" s="49">
        <v>0.60360000000000003</v>
      </c>
      <c r="AU476" s="49">
        <v>0.49409999999999998</v>
      </c>
      <c r="AV476" s="49">
        <v>0.17879999999999999</v>
      </c>
      <c r="AW476" s="49">
        <v>3111.44</v>
      </c>
      <c r="AX476" s="49">
        <v>291.19</v>
      </c>
      <c r="AY476" s="49">
        <v>176.22</v>
      </c>
      <c r="AZ476" s="49">
        <v>508.91948358065002</v>
      </c>
      <c r="BA476" s="49">
        <v>538.46153846154004</v>
      </c>
      <c r="BB476" s="49">
        <v>441.77</v>
      </c>
      <c r="BC476" s="49">
        <v>1.2297</v>
      </c>
      <c r="BD476" s="49">
        <v>0.59789999999999999</v>
      </c>
      <c r="BE476" s="49">
        <v>0.7147</v>
      </c>
      <c r="BF476" s="49">
        <v>32.5</v>
      </c>
      <c r="BG476" s="49">
        <v>181.75</v>
      </c>
      <c r="BH476" s="49">
        <v>166.38</v>
      </c>
      <c r="BI476" s="49">
        <v>64.5</v>
      </c>
      <c r="BJ476" s="49">
        <v>112.5</v>
      </c>
      <c r="BK476" s="49">
        <v>1218.46</v>
      </c>
      <c r="BL476" s="49">
        <v>27.59</v>
      </c>
      <c r="BM476" s="49">
        <v>1431.18</v>
      </c>
      <c r="BN476" s="49">
        <v>492.3</v>
      </c>
      <c r="BO476" s="49">
        <v>5109.8</v>
      </c>
      <c r="BP476" s="49">
        <v>4268.75</v>
      </c>
      <c r="BQ476" s="49">
        <v>932.8</v>
      </c>
      <c r="BR476" s="49">
        <v>287.08</v>
      </c>
      <c r="BS476" s="49">
        <v>355.11</v>
      </c>
      <c r="BT476" s="49">
        <v>5.1393000000000004</v>
      </c>
      <c r="BU476" s="41"/>
      <c r="BV476" s="41"/>
      <c r="BW476" s="41"/>
      <c r="BX476" s="41"/>
      <c r="BY476" s="41"/>
      <c r="BZ476" s="41"/>
      <c r="CA476" s="41"/>
      <c r="CB476" s="41"/>
      <c r="CC476" s="41"/>
      <c r="CD476" s="41"/>
      <c r="CE476" s="41"/>
      <c r="CF476" s="41"/>
      <c r="CG476" s="41"/>
      <c r="CH476" s="41"/>
      <c r="CI476" s="41"/>
      <c r="CJ476" s="41"/>
      <c r="CK476" s="41"/>
    </row>
    <row r="477" spans="1:89">
      <c r="A477" s="41" t="s">
        <v>606</v>
      </c>
      <c r="B477" s="51">
        <v>10.75333333333</v>
      </c>
      <c r="C477" s="51">
        <v>10.199999999999999</v>
      </c>
      <c r="D477" s="51">
        <v>10.050000000000001</v>
      </c>
      <c r="E477" s="51">
        <v>12.01</v>
      </c>
      <c r="F477" s="51">
        <v>26.1</v>
      </c>
      <c r="G477" s="51">
        <v>26.38</v>
      </c>
      <c r="H477" s="51">
        <v>1.77</v>
      </c>
      <c r="I477" s="51">
        <v>2.0099999999999998</v>
      </c>
      <c r="J477" s="51">
        <v>2.78</v>
      </c>
      <c r="K477" s="51">
        <v>32.93268823415</v>
      </c>
      <c r="L477" s="51">
        <v>1.4111</v>
      </c>
      <c r="M477" s="51">
        <v>2.3254000000000001</v>
      </c>
      <c r="N477" s="51">
        <v>1.7466999999999999</v>
      </c>
      <c r="O477" s="51">
        <v>1.6569</v>
      </c>
      <c r="P477" s="51">
        <v>1.5386</v>
      </c>
      <c r="Q477" s="51">
        <v>1.6620999999999999</v>
      </c>
      <c r="R477" s="51">
        <v>1.77</v>
      </c>
      <c r="S477" s="51">
        <v>745</v>
      </c>
      <c r="T477" s="51">
        <v>857.5</v>
      </c>
      <c r="U477" s="51">
        <v>426.97</v>
      </c>
      <c r="V477" s="51">
        <v>889.57</v>
      </c>
      <c r="W477" s="51">
        <v>561</v>
      </c>
      <c r="X477" s="51">
        <v>709</v>
      </c>
      <c r="Y477" s="51">
        <v>205</v>
      </c>
      <c r="Z477" s="51">
        <v>482.36</v>
      </c>
      <c r="AA477" s="51">
        <v>159.25</v>
      </c>
      <c r="AB477" s="51" t="s">
        <v>1574</v>
      </c>
      <c r="AC477" s="51" t="s">
        <v>1574</v>
      </c>
      <c r="AD477" s="51">
        <v>75.31</v>
      </c>
      <c r="AE477" s="51">
        <v>94.19</v>
      </c>
      <c r="AF477" s="51">
        <v>90.09</v>
      </c>
      <c r="AG477" s="51">
        <v>280</v>
      </c>
      <c r="AH477" s="51">
        <v>239.5</v>
      </c>
      <c r="AI477" s="51">
        <v>212</v>
      </c>
      <c r="AJ477" s="51" t="s">
        <v>1574</v>
      </c>
      <c r="AK477" s="51">
        <v>94.96</v>
      </c>
      <c r="AL477" s="51">
        <v>117.03</v>
      </c>
      <c r="AM477" s="51">
        <v>1.0657799999999999</v>
      </c>
      <c r="AN477" s="51">
        <v>0.44678000000000001</v>
      </c>
      <c r="AO477" s="51">
        <v>0.40397</v>
      </c>
      <c r="AP477" s="51">
        <v>1.7925765220000001</v>
      </c>
      <c r="AQ477" s="51">
        <v>1.35032975</v>
      </c>
      <c r="AR477" s="51">
        <v>2.4592000000000001</v>
      </c>
      <c r="AS477" s="51">
        <v>12.015179</v>
      </c>
      <c r="AT477" s="51">
        <v>0.59550000000000003</v>
      </c>
      <c r="AU477" s="51">
        <v>0.49249999999999999</v>
      </c>
      <c r="AV477" s="51">
        <v>0.15040000000000001</v>
      </c>
      <c r="AW477" s="51">
        <v>3173</v>
      </c>
      <c r="AX477" s="51">
        <v>281.83999999999997</v>
      </c>
      <c r="AY477" s="51">
        <v>177.12</v>
      </c>
      <c r="AZ477" s="51">
        <v>444.11041268105998</v>
      </c>
      <c r="BA477" s="51">
        <v>538.46153846154004</v>
      </c>
      <c r="BB477" s="51">
        <v>420.02</v>
      </c>
      <c r="BC477" s="51">
        <v>1.2387999999999999</v>
      </c>
      <c r="BD477" s="51">
        <v>0.55869999999999997</v>
      </c>
      <c r="BE477" s="51">
        <v>0.68700000000000006</v>
      </c>
      <c r="BF477" s="51">
        <v>41.125</v>
      </c>
      <c r="BG477" s="51">
        <v>181.625</v>
      </c>
      <c r="BH477" s="51">
        <v>163</v>
      </c>
      <c r="BI477" s="51">
        <v>64</v>
      </c>
      <c r="BJ477" s="51">
        <v>112.5</v>
      </c>
      <c r="BK477" s="51">
        <v>1186.8499999999999</v>
      </c>
      <c r="BL477" s="51">
        <v>27.59</v>
      </c>
      <c r="BM477" s="51">
        <v>1410.78</v>
      </c>
      <c r="BN477" s="51">
        <v>513.70000000000005</v>
      </c>
      <c r="BO477" s="51">
        <v>5268.5</v>
      </c>
      <c r="BP477" s="51">
        <v>4626.38</v>
      </c>
      <c r="BQ477" s="51">
        <v>1017.3</v>
      </c>
      <c r="BR477" s="51">
        <v>287.33</v>
      </c>
      <c r="BS477" s="51">
        <v>364.07</v>
      </c>
      <c r="BT477" s="51">
        <v>5.5305999999999997</v>
      </c>
      <c r="BU477" s="41"/>
      <c r="BV477" s="41"/>
      <c r="BW477" s="41"/>
      <c r="BX477" s="41"/>
      <c r="BY477" s="41"/>
      <c r="BZ477" s="41"/>
      <c r="CA477" s="41"/>
      <c r="CB477" s="41"/>
      <c r="CC477" s="41"/>
      <c r="CD477" s="41"/>
      <c r="CE477" s="41"/>
      <c r="CF477" s="41"/>
      <c r="CG477" s="41"/>
      <c r="CH477" s="41"/>
      <c r="CI477" s="41"/>
      <c r="CJ477" s="41"/>
      <c r="CK477" s="41"/>
    </row>
    <row r="478" spans="1:89">
      <c r="A478" s="48" t="s">
        <v>607</v>
      </c>
      <c r="B478" s="49">
        <v>13.16666666667</v>
      </c>
      <c r="C478" s="49">
        <v>12.47</v>
      </c>
      <c r="D478" s="49">
        <v>12.37</v>
      </c>
      <c r="E478" s="49">
        <v>14.66</v>
      </c>
      <c r="F478" s="49">
        <v>26.1</v>
      </c>
      <c r="G478" s="49">
        <v>25.05</v>
      </c>
      <c r="H478" s="49">
        <v>1.79</v>
      </c>
      <c r="I478" s="49">
        <v>1.95</v>
      </c>
      <c r="J478" s="49">
        <v>2.78</v>
      </c>
      <c r="K478" s="49">
        <v>32.890317350250001</v>
      </c>
      <c r="L478" s="49">
        <v>1.3139000000000001</v>
      </c>
      <c r="M478" s="49">
        <v>2.3233999999999999</v>
      </c>
      <c r="N478" s="49">
        <v>1.6186</v>
      </c>
      <c r="O478" s="49">
        <v>1.6099000000000001</v>
      </c>
      <c r="P478" s="49">
        <v>1.4709000000000001</v>
      </c>
      <c r="Q478" s="49">
        <v>1.4709000000000001</v>
      </c>
      <c r="R478" s="49">
        <v>1.8879999999999999</v>
      </c>
      <c r="S478" s="49">
        <v>700</v>
      </c>
      <c r="T478" s="49">
        <v>837.83</v>
      </c>
      <c r="U478" s="49">
        <v>407.39</v>
      </c>
      <c r="V478" s="49">
        <v>752.45</v>
      </c>
      <c r="W478" s="49">
        <v>497</v>
      </c>
      <c r="X478" s="49">
        <v>661</v>
      </c>
      <c r="Y478" s="49">
        <v>205</v>
      </c>
      <c r="Z478" s="49">
        <v>444.36</v>
      </c>
      <c r="AA478" s="49">
        <v>162.63</v>
      </c>
      <c r="AB478" s="49" t="s">
        <v>1574</v>
      </c>
      <c r="AC478" s="49" t="s">
        <v>1574</v>
      </c>
      <c r="AD478" s="49">
        <v>75.2</v>
      </c>
      <c r="AE478" s="49">
        <v>96.18</v>
      </c>
      <c r="AF478" s="49">
        <v>91.41</v>
      </c>
      <c r="AG478" s="49">
        <v>256.2</v>
      </c>
      <c r="AH478" s="49">
        <v>220.6</v>
      </c>
      <c r="AI478" s="49">
        <v>197.2</v>
      </c>
      <c r="AJ478" s="49" t="s">
        <v>1574</v>
      </c>
      <c r="AK478" s="49">
        <v>100.24</v>
      </c>
      <c r="AL478" s="49">
        <v>117.34</v>
      </c>
      <c r="AM478" s="49">
        <v>1.1040000000000001</v>
      </c>
      <c r="AN478" s="49">
        <v>0.44780999999999999</v>
      </c>
      <c r="AO478" s="49">
        <v>0.43963999999999998</v>
      </c>
      <c r="AP478" s="49">
        <v>1.7575230639999999</v>
      </c>
      <c r="AQ478" s="49">
        <v>1.3007257999999999</v>
      </c>
      <c r="AR478" s="49">
        <v>2.4557000000000002</v>
      </c>
      <c r="AS478" s="49">
        <v>12.235640999999999</v>
      </c>
      <c r="AT478" s="49">
        <v>0.59240000000000004</v>
      </c>
      <c r="AU478" s="49">
        <v>0.49690000000000001</v>
      </c>
      <c r="AV478" s="49">
        <v>0.13289999999999999</v>
      </c>
      <c r="AW478" s="49">
        <v>3058.83</v>
      </c>
      <c r="AX478" s="49">
        <v>273.74</v>
      </c>
      <c r="AY478" s="49">
        <v>172.52</v>
      </c>
      <c r="AZ478" s="49">
        <v>431.34197123281001</v>
      </c>
      <c r="BA478" s="49">
        <v>555.94405594405998</v>
      </c>
      <c r="BB478" s="49">
        <v>417.44</v>
      </c>
      <c r="BC478" s="49">
        <v>1.2483</v>
      </c>
      <c r="BD478" s="49">
        <v>0.52239999999999998</v>
      </c>
      <c r="BE478" s="49">
        <v>0.63670000000000004</v>
      </c>
      <c r="BF478" s="49">
        <v>44</v>
      </c>
      <c r="BG478" s="49">
        <v>181.75</v>
      </c>
      <c r="BH478" s="49">
        <v>163</v>
      </c>
      <c r="BI478" s="49">
        <v>75.5</v>
      </c>
      <c r="BJ478" s="49">
        <v>112.5</v>
      </c>
      <c r="BK478" s="49">
        <v>1181.5899999999999</v>
      </c>
      <c r="BL478" s="49">
        <v>27.59</v>
      </c>
      <c r="BM478" s="49">
        <v>1378.35</v>
      </c>
      <c r="BN478" s="49">
        <v>507.8</v>
      </c>
      <c r="BO478" s="49">
        <v>5360.2</v>
      </c>
      <c r="BP478" s="49">
        <v>5011.3</v>
      </c>
      <c r="BQ478" s="49">
        <v>1030</v>
      </c>
      <c r="BR478" s="49">
        <v>285.95999999999998</v>
      </c>
      <c r="BS478" s="49">
        <v>369.93</v>
      </c>
      <c r="BT478" s="49">
        <v>5.1942000000000004</v>
      </c>
      <c r="BU478" s="41"/>
      <c r="BV478" s="41"/>
      <c r="BW478" s="41"/>
      <c r="BX478" s="41"/>
      <c r="BY478" s="41"/>
      <c r="BZ478" s="41"/>
      <c r="CA478" s="41"/>
      <c r="CB478" s="41"/>
      <c r="CC478" s="41"/>
      <c r="CD478" s="41"/>
      <c r="CE478" s="41"/>
      <c r="CF478" s="41"/>
      <c r="CG478" s="41"/>
      <c r="CH478" s="41"/>
      <c r="CI478" s="41"/>
      <c r="CJ478" s="41"/>
      <c r="CK478" s="41"/>
    </row>
    <row r="479" spans="1:89">
      <c r="A479" s="41" t="s">
        <v>608</v>
      </c>
      <c r="B479" s="51">
        <v>15.86666666667</v>
      </c>
      <c r="C479" s="51">
        <v>15.3</v>
      </c>
      <c r="D479" s="51">
        <v>14.96</v>
      </c>
      <c r="E479" s="51">
        <v>17.34</v>
      </c>
      <c r="F479" s="51">
        <v>26.1</v>
      </c>
      <c r="G479" s="51">
        <v>25.05</v>
      </c>
      <c r="H479" s="51">
        <v>2.15</v>
      </c>
      <c r="I479" s="51">
        <v>1.87</v>
      </c>
      <c r="J479" s="51">
        <v>2.76</v>
      </c>
      <c r="K479" s="51">
        <v>36.868063947810001</v>
      </c>
      <c r="L479" s="51">
        <v>1.1778999999999999</v>
      </c>
      <c r="M479" s="51">
        <v>2.2511000000000001</v>
      </c>
      <c r="N479" s="51">
        <v>1.5282</v>
      </c>
      <c r="O479" s="51">
        <v>1.7161</v>
      </c>
      <c r="P479" s="51">
        <v>1.4741</v>
      </c>
      <c r="Q479" s="51">
        <v>1.8076000000000001</v>
      </c>
      <c r="R479" s="51">
        <v>1.8667</v>
      </c>
      <c r="S479" s="51">
        <v>827</v>
      </c>
      <c r="T479" s="51">
        <v>854.5</v>
      </c>
      <c r="U479" s="51">
        <v>390.98</v>
      </c>
      <c r="V479" s="51">
        <v>663.89</v>
      </c>
      <c r="W479" s="51">
        <v>509</v>
      </c>
      <c r="X479" s="51">
        <v>776</v>
      </c>
      <c r="Y479" s="51">
        <v>207</v>
      </c>
      <c r="Z479" s="51">
        <v>442.68</v>
      </c>
      <c r="AA479" s="51">
        <v>165.3</v>
      </c>
      <c r="AB479" s="51" t="s">
        <v>1574</v>
      </c>
      <c r="AC479" s="51" t="s">
        <v>1574</v>
      </c>
      <c r="AD479" s="51">
        <v>79.73</v>
      </c>
      <c r="AE479" s="51">
        <v>94.13</v>
      </c>
      <c r="AF479" s="51">
        <v>89.53</v>
      </c>
      <c r="AG479" s="51">
        <v>235.5</v>
      </c>
      <c r="AH479" s="51">
        <v>204.5</v>
      </c>
      <c r="AI479" s="51">
        <v>184</v>
      </c>
      <c r="AJ479" s="51" t="s">
        <v>1574</v>
      </c>
      <c r="AK479" s="51">
        <v>99.65</v>
      </c>
      <c r="AL479" s="51">
        <v>113.87</v>
      </c>
      <c r="AM479" s="51">
        <v>0.86121000000000003</v>
      </c>
      <c r="AN479" s="51">
        <v>0.4214</v>
      </c>
      <c r="AO479" s="51">
        <v>0.44713999999999998</v>
      </c>
      <c r="AP479" s="51">
        <v>1.723571916</v>
      </c>
      <c r="AQ479" s="51">
        <v>1.2722862020000001</v>
      </c>
      <c r="AR479" s="51">
        <v>2.5417000000000001</v>
      </c>
      <c r="AS479" s="51">
        <v>12.235640999999999</v>
      </c>
      <c r="AT479" s="51">
        <v>0.58889999999999998</v>
      </c>
      <c r="AU479" s="51">
        <v>0.49819999999999998</v>
      </c>
      <c r="AV479" s="51">
        <v>0.1195</v>
      </c>
      <c r="AW479" s="51">
        <v>3006.36</v>
      </c>
      <c r="AX479" s="51">
        <v>269.25</v>
      </c>
      <c r="AY479" s="51">
        <v>175.18</v>
      </c>
      <c r="AZ479" s="51">
        <v>424.27506078556002</v>
      </c>
      <c r="BA479" s="51">
        <v>559.44055944056004</v>
      </c>
      <c r="BB479" s="51">
        <v>434.04</v>
      </c>
      <c r="BC479" s="51">
        <v>1.2728999999999999</v>
      </c>
      <c r="BD479" s="51">
        <v>0.52359999999999995</v>
      </c>
      <c r="BE479" s="51">
        <v>0.59150000000000003</v>
      </c>
      <c r="BF479" s="51">
        <v>44</v>
      </c>
      <c r="BG479" s="51">
        <v>180.5</v>
      </c>
      <c r="BH479" s="51">
        <v>163</v>
      </c>
      <c r="BI479" s="51">
        <v>64.5</v>
      </c>
      <c r="BJ479" s="51">
        <v>112.5</v>
      </c>
      <c r="BK479" s="51">
        <v>1278.2</v>
      </c>
      <c r="BL479" s="51">
        <v>27.59</v>
      </c>
      <c r="BM479" s="51">
        <v>1466</v>
      </c>
      <c r="BN479" s="51">
        <v>519.29999999999995</v>
      </c>
      <c r="BO479" s="51">
        <v>5393</v>
      </c>
      <c r="BP479" s="51">
        <v>5102.63</v>
      </c>
      <c r="BQ479" s="51">
        <v>1019</v>
      </c>
      <c r="BR479" s="51">
        <v>282.62</v>
      </c>
      <c r="BS479" s="51">
        <v>357.15</v>
      </c>
      <c r="BT479" s="51">
        <v>5.0602999999999998</v>
      </c>
      <c r="BU479" s="41"/>
      <c r="BV479" s="41"/>
      <c r="BW479" s="41"/>
      <c r="BX479" s="41"/>
      <c r="BY479" s="41"/>
      <c r="BZ479" s="41"/>
      <c r="CA479" s="41"/>
      <c r="CB479" s="41"/>
      <c r="CC479" s="41"/>
      <c r="CD479" s="41"/>
      <c r="CE479" s="41"/>
      <c r="CF479" s="41"/>
      <c r="CG479" s="41"/>
      <c r="CH479" s="41"/>
      <c r="CI479" s="41"/>
      <c r="CJ479" s="41"/>
      <c r="CK479" s="41"/>
    </row>
    <row r="480" spans="1:89">
      <c r="A480" s="48" t="s">
        <v>609</v>
      </c>
      <c r="B480" s="49">
        <v>16.06333333333</v>
      </c>
      <c r="C480" s="49">
        <v>15.14</v>
      </c>
      <c r="D480" s="49">
        <v>15.3</v>
      </c>
      <c r="E480" s="49">
        <v>17.75</v>
      </c>
      <c r="F480" s="49">
        <v>26.1</v>
      </c>
      <c r="G480" s="49">
        <v>25.05</v>
      </c>
      <c r="H480" s="49">
        <v>2.25</v>
      </c>
      <c r="I480" s="49">
        <v>1.89</v>
      </c>
      <c r="J480" s="49">
        <v>2.88</v>
      </c>
      <c r="K480" s="49">
        <v>38.258779983659998</v>
      </c>
      <c r="L480" s="49">
        <v>1.0676000000000001</v>
      </c>
      <c r="M480" s="49">
        <v>2.4487000000000001</v>
      </c>
      <c r="N480" s="49">
        <v>1.4978</v>
      </c>
      <c r="O480" s="49">
        <v>1.9231</v>
      </c>
      <c r="P480" s="49">
        <v>1.458</v>
      </c>
      <c r="Q480" s="49">
        <v>2.6012</v>
      </c>
      <c r="R480" s="49">
        <v>1.71</v>
      </c>
      <c r="S480" s="49">
        <v>874</v>
      </c>
      <c r="T480" s="49">
        <v>858.42</v>
      </c>
      <c r="U480" s="49">
        <v>374.92</v>
      </c>
      <c r="V480" s="49">
        <v>762.17</v>
      </c>
      <c r="W480" s="49">
        <v>475</v>
      </c>
      <c r="X480" s="49">
        <v>755</v>
      </c>
      <c r="Y480" s="49">
        <v>199</v>
      </c>
      <c r="Z480" s="49">
        <v>421.5</v>
      </c>
      <c r="AA480" s="49">
        <v>147.29</v>
      </c>
      <c r="AB480" s="49" t="s">
        <v>1574</v>
      </c>
      <c r="AC480" s="49" t="s">
        <v>1574</v>
      </c>
      <c r="AD480" s="49">
        <v>81.53</v>
      </c>
      <c r="AE480" s="49">
        <v>92.49</v>
      </c>
      <c r="AF480" s="49">
        <v>87.19</v>
      </c>
      <c r="AG480" s="49">
        <v>244.25</v>
      </c>
      <c r="AH480" s="49">
        <v>207</v>
      </c>
      <c r="AI480" s="49">
        <v>184.25</v>
      </c>
      <c r="AJ480" s="49" t="s">
        <v>1574</v>
      </c>
      <c r="AK480" s="49">
        <v>96.59</v>
      </c>
      <c r="AL480" s="49">
        <v>113</v>
      </c>
      <c r="AM480" s="49">
        <v>0.89471000000000001</v>
      </c>
      <c r="AN480" s="49">
        <v>0.33068999999999998</v>
      </c>
      <c r="AO480" s="49">
        <v>0.44424999999999998</v>
      </c>
      <c r="AP480" s="49">
        <v>1.727981156</v>
      </c>
      <c r="AQ480" s="49">
        <v>1.3139535200000001</v>
      </c>
      <c r="AR480" s="49">
        <v>2.6747000000000001</v>
      </c>
      <c r="AS480" s="49">
        <v>12.235640999999999</v>
      </c>
      <c r="AT480" s="49">
        <v>0.59079999999999999</v>
      </c>
      <c r="AU480" s="49">
        <v>0.49930000000000002</v>
      </c>
      <c r="AV480" s="49">
        <v>0.1263</v>
      </c>
      <c r="AW480" s="49">
        <v>3041.54</v>
      </c>
      <c r="AX480" s="49">
        <v>251.31</v>
      </c>
      <c r="AY480" s="49">
        <v>176.52</v>
      </c>
      <c r="AZ480" s="49">
        <v>429.65773302852</v>
      </c>
      <c r="BA480" s="49">
        <v>580.41958041958003</v>
      </c>
      <c r="BB480" s="49">
        <v>425.69</v>
      </c>
      <c r="BC480" s="49">
        <v>1.3206</v>
      </c>
      <c r="BD480" s="49">
        <v>0.55049999999999999</v>
      </c>
      <c r="BE480" s="49">
        <v>0.59699999999999998</v>
      </c>
      <c r="BF480" s="49">
        <v>44</v>
      </c>
      <c r="BG480" s="49">
        <v>180.5</v>
      </c>
      <c r="BH480" s="49">
        <v>163</v>
      </c>
      <c r="BI480" s="49">
        <v>64.900000000000006</v>
      </c>
      <c r="BJ480" s="49">
        <v>112.5</v>
      </c>
      <c r="BK480" s="49">
        <v>1323.46</v>
      </c>
      <c r="BL480" s="49">
        <v>27.59</v>
      </c>
      <c r="BM480" s="49">
        <v>1511.16</v>
      </c>
      <c r="BN480" s="49">
        <v>541.5</v>
      </c>
      <c r="BO480" s="49">
        <v>5649.2</v>
      </c>
      <c r="BP480" s="49">
        <v>5399.34</v>
      </c>
      <c r="BQ480" s="49">
        <v>1040.3</v>
      </c>
      <c r="BR480" s="49">
        <v>276.44</v>
      </c>
      <c r="BS480" s="49">
        <v>356.01</v>
      </c>
      <c r="BT480" s="49">
        <v>5.2618999999999998</v>
      </c>
      <c r="BU480" s="41"/>
      <c r="BV480" s="41"/>
      <c r="BW480" s="41"/>
      <c r="BX480" s="41"/>
      <c r="BY480" s="41"/>
      <c r="BZ480" s="41"/>
      <c r="CA480" s="41"/>
      <c r="CB480" s="41"/>
      <c r="CC480" s="41"/>
      <c r="CD480" s="41"/>
      <c r="CE480" s="41"/>
      <c r="CF480" s="41"/>
      <c r="CG480" s="41"/>
      <c r="CH480" s="41"/>
      <c r="CI480" s="41"/>
      <c r="CJ480" s="41"/>
      <c r="CK480" s="41"/>
    </row>
    <row r="481" spans="1:89">
      <c r="A481" s="41" t="s">
        <v>610</v>
      </c>
      <c r="B481" s="51">
        <v>16.393333333329998</v>
      </c>
      <c r="C481" s="51">
        <v>15.77</v>
      </c>
      <c r="D481" s="51">
        <v>15.52</v>
      </c>
      <c r="E481" s="51">
        <v>17.89</v>
      </c>
      <c r="F481" s="51">
        <v>26.1</v>
      </c>
      <c r="G481" s="51">
        <v>25.25</v>
      </c>
      <c r="H481" s="51">
        <v>2.2999999999999998</v>
      </c>
      <c r="I481" s="51">
        <v>1.91</v>
      </c>
      <c r="J481" s="51">
        <v>2.93</v>
      </c>
      <c r="K481" s="51">
        <v>38.994902784590003</v>
      </c>
      <c r="L481" s="51">
        <v>1.1629</v>
      </c>
      <c r="M481" s="51">
        <v>2.3635999999999999</v>
      </c>
      <c r="N481" s="51">
        <v>1.446</v>
      </c>
      <c r="O481" s="51">
        <v>1.8042</v>
      </c>
      <c r="P481" s="51">
        <v>1.4434</v>
      </c>
      <c r="Q481" s="51">
        <v>2.2917999999999998</v>
      </c>
      <c r="R481" s="51">
        <v>1.6775</v>
      </c>
      <c r="S481" s="51">
        <v>796</v>
      </c>
      <c r="T481" s="51">
        <v>868.18</v>
      </c>
      <c r="U481" s="51">
        <v>424.17</v>
      </c>
      <c r="V481" s="51">
        <v>836.25</v>
      </c>
      <c r="W481" s="51">
        <v>392</v>
      </c>
      <c r="X481" s="51">
        <v>656</v>
      </c>
      <c r="Y481" s="51">
        <v>194</v>
      </c>
      <c r="Z481" s="51">
        <v>405.88</v>
      </c>
      <c r="AA481" s="51">
        <v>146.09</v>
      </c>
      <c r="AB481" s="51" t="s">
        <v>1574</v>
      </c>
      <c r="AC481" s="51" t="s">
        <v>1574</v>
      </c>
      <c r="AD481" s="51">
        <v>80.540000000000006</v>
      </c>
      <c r="AE481" s="51">
        <v>93.65</v>
      </c>
      <c r="AF481" s="51">
        <v>85.98</v>
      </c>
      <c r="AG481" s="51">
        <v>253.8</v>
      </c>
      <c r="AH481" s="51">
        <v>223.2</v>
      </c>
      <c r="AI481" s="51">
        <v>200.2</v>
      </c>
      <c r="AJ481" s="51" t="s">
        <v>1574</v>
      </c>
      <c r="AK481" s="51">
        <v>92.94</v>
      </c>
      <c r="AL481" s="51">
        <v>111.41</v>
      </c>
      <c r="AM481" s="51">
        <v>0.71648000000000001</v>
      </c>
      <c r="AN481" s="51">
        <v>0.28660000000000002</v>
      </c>
      <c r="AO481" s="51">
        <v>0.48443999999999998</v>
      </c>
      <c r="AP481" s="51">
        <v>1.721146834</v>
      </c>
      <c r="AQ481" s="51">
        <v>1.3439363520000001</v>
      </c>
      <c r="AR481" s="51">
        <v>2.6793999999999998</v>
      </c>
      <c r="AS481" s="51">
        <v>12.345872</v>
      </c>
      <c r="AT481" s="51">
        <v>0.58360000000000001</v>
      </c>
      <c r="AU481" s="51">
        <v>0.49890000000000001</v>
      </c>
      <c r="AV481" s="51">
        <v>0.13320000000000001</v>
      </c>
      <c r="AW481" s="51">
        <v>3041.54</v>
      </c>
      <c r="AX481" s="51">
        <v>245.21</v>
      </c>
      <c r="AY481" s="51">
        <v>183.55</v>
      </c>
      <c r="AZ481" s="51">
        <v>419.23083007704003</v>
      </c>
      <c r="BA481" s="51">
        <v>608.39160839161002</v>
      </c>
      <c r="BB481" s="51">
        <v>430.1</v>
      </c>
      <c r="BC481" s="51">
        <v>1.2897000000000001</v>
      </c>
      <c r="BD481" s="51">
        <v>0.55400000000000005</v>
      </c>
      <c r="BE481" s="51">
        <v>0.60360000000000003</v>
      </c>
      <c r="BF481" s="51">
        <v>44</v>
      </c>
      <c r="BG481" s="51">
        <v>180.5</v>
      </c>
      <c r="BH481" s="51">
        <v>161.75</v>
      </c>
      <c r="BI481" s="51">
        <v>63.75</v>
      </c>
      <c r="BJ481" s="51">
        <v>112.5</v>
      </c>
      <c r="BK481" s="51">
        <v>1315.31</v>
      </c>
      <c r="BL481" s="51">
        <v>27.59</v>
      </c>
      <c r="BM481" s="51">
        <v>1422.48</v>
      </c>
      <c r="BN481" s="51">
        <v>496.1</v>
      </c>
      <c r="BO481" s="51">
        <v>5265.9</v>
      </c>
      <c r="BP481" s="51">
        <v>5195</v>
      </c>
      <c r="BQ481" s="51">
        <v>1000.5</v>
      </c>
      <c r="BR481" s="51">
        <v>261.31</v>
      </c>
      <c r="BS481" s="51">
        <v>356.78</v>
      </c>
      <c r="BT481" s="51">
        <v>5.0269000000000004</v>
      </c>
      <c r="BU481" s="41"/>
      <c r="BV481" s="41"/>
      <c r="BW481" s="41"/>
      <c r="BX481" s="41"/>
      <c r="BY481" s="41"/>
      <c r="BZ481" s="41"/>
      <c r="CA481" s="41"/>
      <c r="CB481" s="41"/>
      <c r="CC481" s="41"/>
      <c r="CD481" s="41"/>
      <c r="CE481" s="41"/>
      <c r="CF481" s="41"/>
      <c r="CG481" s="41"/>
      <c r="CH481" s="41"/>
      <c r="CI481" s="41"/>
      <c r="CJ481" s="41"/>
      <c r="CK481" s="41"/>
    </row>
    <row r="482" spans="1:89">
      <c r="A482" s="48" t="s">
        <v>611</v>
      </c>
      <c r="B482" s="49">
        <v>18.986666666670001</v>
      </c>
      <c r="C482" s="49">
        <v>19.010000000000002</v>
      </c>
      <c r="D482" s="49">
        <v>17.88</v>
      </c>
      <c r="E482" s="49">
        <v>20.07</v>
      </c>
      <c r="F482" s="49">
        <v>26.1</v>
      </c>
      <c r="G482" s="49">
        <v>23.78</v>
      </c>
      <c r="H482" s="49">
        <v>2.31</v>
      </c>
      <c r="I482" s="49">
        <v>2</v>
      </c>
      <c r="J482" s="49">
        <v>2.99</v>
      </c>
      <c r="K482" s="49">
        <v>39.58484367474</v>
      </c>
      <c r="L482" s="49">
        <v>1.1132</v>
      </c>
      <c r="M482" s="49">
        <v>2.0911</v>
      </c>
      <c r="N482" s="49">
        <v>1.3572</v>
      </c>
      <c r="O482" s="49">
        <v>1.8938999999999999</v>
      </c>
      <c r="P482" s="49">
        <v>1.6031</v>
      </c>
      <c r="Q482" s="49">
        <v>2.4138000000000002</v>
      </c>
      <c r="R482" s="49">
        <v>1.665</v>
      </c>
      <c r="S482" s="49">
        <v>656</v>
      </c>
      <c r="T482" s="49">
        <v>875.91</v>
      </c>
      <c r="U482" s="49">
        <v>429.73</v>
      </c>
      <c r="V482" s="49">
        <v>859.8</v>
      </c>
      <c r="W482" s="49">
        <v>319</v>
      </c>
      <c r="X482" s="49">
        <v>571</v>
      </c>
      <c r="Y482" s="49">
        <v>183</v>
      </c>
      <c r="Z482" s="49">
        <v>391.4</v>
      </c>
      <c r="AA482" s="49">
        <v>144.18</v>
      </c>
      <c r="AB482" s="49" t="s">
        <v>1574</v>
      </c>
      <c r="AC482" s="49" t="s">
        <v>1574</v>
      </c>
      <c r="AD482" s="49">
        <v>76.86</v>
      </c>
      <c r="AE482" s="49">
        <v>83.99</v>
      </c>
      <c r="AF482" s="49">
        <v>76.88</v>
      </c>
      <c r="AG482" s="49">
        <v>259</v>
      </c>
      <c r="AH482" s="49">
        <v>231</v>
      </c>
      <c r="AI482" s="49">
        <v>216</v>
      </c>
      <c r="AJ482" s="49" t="s">
        <v>1574</v>
      </c>
      <c r="AK482" s="49">
        <v>85.3</v>
      </c>
      <c r="AL482" s="49">
        <v>103.02</v>
      </c>
      <c r="AM482" s="49">
        <v>0.71606000000000003</v>
      </c>
      <c r="AN482" s="49">
        <v>0.35481000000000001</v>
      </c>
      <c r="AO482" s="49">
        <v>0.46027000000000001</v>
      </c>
      <c r="AP482" s="49">
        <v>1.7800101880000001</v>
      </c>
      <c r="AQ482" s="49">
        <v>1.3476842060000001</v>
      </c>
      <c r="AR482" s="49">
        <v>2.6396999999999999</v>
      </c>
      <c r="AS482" s="49">
        <v>12.345872</v>
      </c>
      <c r="AT482" s="49">
        <v>0.57540000000000002</v>
      </c>
      <c r="AU482" s="49">
        <v>0.49819999999999998</v>
      </c>
      <c r="AV482" s="49">
        <v>0.1186</v>
      </c>
      <c r="AW482" s="49">
        <v>3044.28</v>
      </c>
      <c r="AX482" s="49">
        <v>243.83</v>
      </c>
      <c r="AY482" s="49">
        <v>186.53</v>
      </c>
      <c r="AZ482" s="49">
        <v>424.74200855777002</v>
      </c>
      <c r="BA482" s="49">
        <v>625.87412587412996</v>
      </c>
      <c r="BB482" s="49">
        <v>423.55</v>
      </c>
      <c r="BC482" s="49">
        <v>1.1995</v>
      </c>
      <c r="BD482" s="49">
        <v>0.51090000000000002</v>
      </c>
      <c r="BE482" s="49">
        <v>0.56610000000000005</v>
      </c>
      <c r="BF482" s="49">
        <v>44</v>
      </c>
      <c r="BG482" s="49">
        <v>177</v>
      </c>
      <c r="BH482" s="49">
        <v>153.88</v>
      </c>
      <c r="BI482" s="49">
        <v>62.75</v>
      </c>
      <c r="BJ482" s="49">
        <v>112.5</v>
      </c>
      <c r="BK482" s="49">
        <v>1403.76</v>
      </c>
      <c r="BL482" s="49">
        <v>27.59</v>
      </c>
      <c r="BM482" s="49">
        <v>1640</v>
      </c>
      <c r="BN482" s="49">
        <v>495.8</v>
      </c>
      <c r="BO482" s="49">
        <v>5230</v>
      </c>
      <c r="BP482" s="49">
        <v>5700.11</v>
      </c>
      <c r="BQ482" s="49">
        <v>1072.0999999999999</v>
      </c>
      <c r="BR482" s="49">
        <v>256.08</v>
      </c>
      <c r="BS482" s="49">
        <v>349.06</v>
      </c>
      <c r="BT482" s="49">
        <v>5.1797000000000004</v>
      </c>
      <c r="BU482" s="41"/>
      <c r="BV482" s="41"/>
      <c r="BW482" s="41"/>
      <c r="BX482" s="41"/>
      <c r="BY482" s="41"/>
      <c r="BZ482" s="41"/>
      <c r="CA482" s="41"/>
      <c r="CB482" s="41"/>
      <c r="CC482" s="41"/>
      <c r="CD482" s="41"/>
      <c r="CE482" s="41"/>
      <c r="CF482" s="41"/>
      <c r="CG482" s="41"/>
      <c r="CH482" s="41"/>
      <c r="CI482" s="41"/>
      <c r="CJ482" s="41"/>
      <c r="CK482" s="41"/>
    </row>
    <row r="483" spans="1:89">
      <c r="A483" s="41" t="s">
        <v>612</v>
      </c>
      <c r="B483" s="51">
        <v>20.27</v>
      </c>
      <c r="C483" s="51">
        <v>20.22</v>
      </c>
      <c r="D483" s="51">
        <v>19.34</v>
      </c>
      <c r="E483" s="51">
        <v>21.25</v>
      </c>
      <c r="F483" s="51">
        <v>26.1</v>
      </c>
      <c r="G483" s="51">
        <v>23.14</v>
      </c>
      <c r="H483" s="51">
        <v>2.79</v>
      </c>
      <c r="I483" s="51">
        <v>2.08</v>
      </c>
      <c r="J483" s="51">
        <v>3.17</v>
      </c>
      <c r="K483" s="51">
        <v>45.9159294293</v>
      </c>
      <c r="L483" s="51">
        <v>0.99839999999999995</v>
      </c>
      <c r="M483" s="51">
        <v>2.0144000000000002</v>
      </c>
      <c r="N483" s="51">
        <v>1.3905000000000001</v>
      </c>
      <c r="O483" s="51">
        <v>1.8222</v>
      </c>
      <c r="P483" s="51">
        <v>1.6779999999999999</v>
      </c>
      <c r="Q483" s="51">
        <v>2.1246999999999998</v>
      </c>
      <c r="R483" s="51">
        <v>1.6639999999999999</v>
      </c>
      <c r="S483" s="51">
        <v>684</v>
      </c>
      <c r="T483" s="51">
        <v>820</v>
      </c>
      <c r="U483" s="51">
        <v>407.3</v>
      </c>
      <c r="V483" s="51">
        <v>849.78</v>
      </c>
      <c r="W483" s="51">
        <v>354</v>
      </c>
      <c r="X483" s="51">
        <v>689</v>
      </c>
      <c r="Y483" s="51">
        <v>199</v>
      </c>
      <c r="Z483" s="51">
        <v>412.37</v>
      </c>
      <c r="AA483" s="51">
        <v>160</v>
      </c>
      <c r="AB483" s="51" t="s">
        <v>1574</v>
      </c>
      <c r="AC483" s="51" t="s">
        <v>1574</v>
      </c>
      <c r="AD483" s="51">
        <v>75.150000000000006</v>
      </c>
      <c r="AE483" s="51">
        <v>85.65</v>
      </c>
      <c r="AF483" s="51">
        <v>81.63</v>
      </c>
      <c r="AG483" s="51">
        <v>244.5</v>
      </c>
      <c r="AH483" s="51">
        <v>220.25</v>
      </c>
      <c r="AI483" s="51">
        <v>202.75</v>
      </c>
      <c r="AJ483" s="51" t="s">
        <v>1574</v>
      </c>
      <c r="AK483" s="51">
        <v>92.78</v>
      </c>
      <c r="AL483" s="51">
        <v>111.3</v>
      </c>
      <c r="AM483" s="51">
        <v>0.75793999999999995</v>
      </c>
      <c r="AN483" s="51">
        <v>0.35136000000000001</v>
      </c>
      <c r="AO483" s="51">
        <v>0.49236000000000002</v>
      </c>
      <c r="AP483" s="51">
        <v>1.9248537219999999</v>
      </c>
      <c r="AQ483" s="51">
        <v>1.3318109419999999</v>
      </c>
      <c r="AR483" s="51">
        <v>2.6922000000000001</v>
      </c>
      <c r="AS483" s="51">
        <v>12.345872</v>
      </c>
      <c r="AT483" s="51">
        <v>0.58750000000000002</v>
      </c>
      <c r="AU483" s="51">
        <v>0.46850000000000003</v>
      </c>
      <c r="AV483" s="51">
        <v>0.1263</v>
      </c>
      <c r="AW483" s="51">
        <v>3007.82</v>
      </c>
      <c r="AX483" s="51">
        <v>250.46</v>
      </c>
      <c r="AY483" s="51">
        <v>198.44</v>
      </c>
      <c r="AZ483" s="51">
        <v>444.37262664619999</v>
      </c>
      <c r="BA483" s="51">
        <v>629.37062937063001</v>
      </c>
      <c r="BB483" s="51">
        <v>441.76</v>
      </c>
      <c r="BC483" s="51">
        <v>1.1236999999999999</v>
      </c>
      <c r="BD483" s="51">
        <v>0.53920000000000001</v>
      </c>
      <c r="BE483" s="51">
        <v>0.56169999999999998</v>
      </c>
      <c r="BF483" s="51">
        <v>44</v>
      </c>
      <c r="BG483" s="51">
        <v>172.4</v>
      </c>
      <c r="BH483" s="51">
        <v>151.25</v>
      </c>
      <c r="BI483" s="51">
        <v>65.7</v>
      </c>
      <c r="BJ483" s="51">
        <v>112.5</v>
      </c>
      <c r="BK483" s="51">
        <v>1431.32</v>
      </c>
      <c r="BL483" s="51">
        <v>27.59</v>
      </c>
      <c r="BM483" s="51">
        <v>1647.62</v>
      </c>
      <c r="BN483" s="51">
        <v>503.1</v>
      </c>
      <c r="BO483" s="51">
        <v>5230.2</v>
      </c>
      <c r="BP483" s="51">
        <v>6448.69</v>
      </c>
      <c r="BQ483" s="51">
        <v>1130.5999999999999</v>
      </c>
      <c r="BR483" s="51">
        <v>256.69</v>
      </c>
      <c r="BS483" s="51">
        <v>350.06</v>
      </c>
      <c r="BT483" s="51">
        <v>5.2603</v>
      </c>
      <c r="BU483" s="41"/>
      <c r="BV483" s="41"/>
      <c r="BW483" s="41"/>
      <c r="BX483" s="41"/>
      <c r="BY483" s="41"/>
      <c r="BZ483" s="41"/>
      <c r="CA483" s="41"/>
      <c r="CB483" s="41"/>
      <c r="CC483" s="41"/>
      <c r="CD483" s="41"/>
      <c r="CE483" s="41"/>
      <c r="CF483" s="41"/>
      <c r="CG483" s="41"/>
      <c r="CH483" s="41"/>
      <c r="CI483" s="41"/>
      <c r="CJ483" s="41"/>
      <c r="CK483" s="41"/>
    </row>
    <row r="484" spans="1:89">
      <c r="A484" s="48" t="s">
        <v>613</v>
      </c>
      <c r="B484" s="49">
        <v>22.7</v>
      </c>
      <c r="C484" s="49">
        <v>22.4</v>
      </c>
      <c r="D484" s="49">
        <v>21.84</v>
      </c>
      <c r="E484" s="49">
        <v>23.86</v>
      </c>
      <c r="F484" s="49">
        <v>26.1</v>
      </c>
      <c r="G484" s="49">
        <v>22.5</v>
      </c>
      <c r="H484" s="49">
        <v>2.54</v>
      </c>
      <c r="I484" s="49">
        <v>2.2000000000000002</v>
      </c>
      <c r="J484" s="49">
        <v>3.35</v>
      </c>
      <c r="K484" s="49">
        <v>43.572511808670001</v>
      </c>
      <c r="L484" s="49">
        <v>1.0606</v>
      </c>
      <c r="M484" s="49">
        <v>1.8587</v>
      </c>
      <c r="N484" s="49">
        <v>1.3132999999999999</v>
      </c>
      <c r="O484" s="49">
        <v>2.0083000000000002</v>
      </c>
      <c r="P484" s="49">
        <v>1.8387</v>
      </c>
      <c r="Q484" s="49">
        <v>2.2096</v>
      </c>
      <c r="R484" s="49">
        <v>1.9775</v>
      </c>
      <c r="S484" s="49">
        <v>704</v>
      </c>
      <c r="T484" s="49">
        <v>826.82</v>
      </c>
      <c r="U484" s="49">
        <v>395.19</v>
      </c>
      <c r="V484" s="49">
        <v>848.78</v>
      </c>
      <c r="W484" s="49">
        <v>388</v>
      </c>
      <c r="X484" s="49">
        <v>710</v>
      </c>
      <c r="Y484" s="49">
        <v>207</v>
      </c>
      <c r="Z484" s="49">
        <v>413.93</v>
      </c>
      <c r="AA484" s="49">
        <v>176.55</v>
      </c>
      <c r="AB484" s="49" t="s">
        <v>1574</v>
      </c>
      <c r="AC484" s="49" t="s">
        <v>1574</v>
      </c>
      <c r="AD484" s="49">
        <v>71.44</v>
      </c>
      <c r="AE484" s="49">
        <v>86.47</v>
      </c>
      <c r="AF484" s="49">
        <v>80.03</v>
      </c>
      <c r="AG484" s="49">
        <v>229.25</v>
      </c>
      <c r="AH484" s="49">
        <v>202.5</v>
      </c>
      <c r="AI484" s="49">
        <v>184.5</v>
      </c>
      <c r="AJ484" s="49" t="s">
        <v>1574</v>
      </c>
      <c r="AK484" s="49">
        <v>102.06</v>
      </c>
      <c r="AL484" s="49">
        <v>113.19</v>
      </c>
      <c r="AM484" s="49">
        <v>0.76336000000000004</v>
      </c>
      <c r="AN484" s="49">
        <v>0.34860999999999998</v>
      </c>
      <c r="AO484" s="49">
        <v>0.47184999999999999</v>
      </c>
      <c r="AP484" s="49">
        <v>1.8701791459999999</v>
      </c>
      <c r="AQ484" s="49">
        <v>1.3430545039999999</v>
      </c>
      <c r="AR484" s="49">
        <v>2.68</v>
      </c>
      <c r="AS484" s="49">
        <v>11.904947999999999</v>
      </c>
      <c r="AT484" s="49">
        <v>0.59350000000000003</v>
      </c>
      <c r="AU484" s="49">
        <v>0.44359999999999999</v>
      </c>
      <c r="AV484" s="49">
        <v>0.14699999999999999</v>
      </c>
      <c r="AW484" s="49">
        <v>3034.31</v>
      </c>
      <c r="AX484" s="49">
        <v>247.15</v>
      </c>
      <c r="AY484" s="49">
        <v>202.78</v>
      </c>
      <c r="AZ484" s="49">
        <v>456.17517126577002</v>
      </c>
      <c r="BA484" s="49">
        <v>643.35664335664001</v>
      </c>
      <c r="BB484" s="49">
        <v>455.51</v>
      </c>
      <c r="BC484" s="49">
        <v>1.0908</v>
      </c>
      <c r="BD484" s="49">
        <v>0.59670000000000001</v>
      </c>
      <c r="BE484" s="49">
        <v>0.54149999999999998</v>
      </c>
      <c r="BF484" s="49">
        <v>44</v>
      </c>
      <c r="BG484" s="49">
        <v>164.375</v>
      </c>
      <c r="BH484" s="49">
        <v>147.5</v>
      </c>
      <c r="BI484" s="49">
        <v>67.5</v>
      </c>
      <c r="BJ484" s="49">
        <v>112.5</v>
      </c>
      <c r="BK484" s="49">
        <v>1492.48</v>
      </c>
      <c r="BL484" s="49">
        <v>27.59</v>
      </c>
      <c r="BM484" s="49">
        <v>1750.34</v>
      </c>
      <c r="BN484" s="49">
        <v>507.3</v>
      </c>
      <c r="BO484" s="49">
        <v>5342.5</v>
      </c>
      <c r="BP484" s="49">
        <v>7028.41</v>
      </c>
      <c r="BQ484" s="49">
        <v>1193.8</v>
      </c>
      <c r="BR484" s="49">
        <v>264.74</v>
      </c>
      <c r="BS484" s="49">
        <v>370.93</v>
      </c>
      <c r="BT484" s="49">
        <v>5.2088999999999999</v>
      </c>
      <c r="BU484" s="41"/>
      <c r="BV484" s="41"/>
      <c r="BW484" s="41"/>
      <c r="BX484" s="41"/>
      <c r="BY484" s="41"/>
      <c r="BZ484" s="41"/>
      <c r="CA484" s="41"/>
      <c r="CB484" s="41"/>
      <c r="CC484" s="41"/>
      <c r="CD484" s="41"/>
      <c r="CE484" s="41"/>
      <c r="CF484" s="41"/>
      <c r="CG484" s="41"/>
      <c r="CH484" s="41"/>
      <c r="CI484" s="41"/>
      <c r="CJ484" s="41"/>
      <c r="CK484" s="41"/>
    </row>
    <row r="485" spans="1:89">
      <c r="A485" s="41" t="s">
        <v>614</v>
      </c>
      <c r="B485" s="51">
        <v>21.95</v>
      </c>
      <c r="C485" s="51">
        <v>21.95</v>
      </c>
      <c r="D485" s="51">
        <v>21.26</v>
      </c>
      <c r="E485" s="51">
        <v>22.64</v>
      </c>
      <c r="F485" s="51">
        <v>25.6</v>
      </c>
      <c r="G485" s="51">
        <v>22.5</v>
      </c>
      <c r="H485" s="51">
        <v>2.72</v>
      </c>
      <c r="I485" s="51">
        <v>2.4700000000000002</v>
      </c>
      <c r="J485" s="51">
        <v>3.57</v>
      </c>
      <c r="K485" s="51">
        <v>47.190940188730004</v>
      </c>
      <c r="L485" s="51">
        <v>1.0215000000000001</v>
      </c>
      <c r="M485" s="51">
        <v>2.0768</v>
      </c>
      <c r="N485" s="51">
        <v>1.2901</v>
      </c>
      <c r="O485" s="51">
        <v>2.0558000000000001</v>
      </c>
      <c r="P485" s="51">
        <v>1.8664000000000001</v>
      </c>
      <c r="Q485" s="51">
        <v>2.306</v>
      </c>
      <c r="R485" s="51">
        <v>1.9950000000000001</v>
      </c>
      <c r="S485" s="51">
        <v>690</v>
      </c>
      <c r="T485" s="51">
        <v>854.76</v>
      </c>
      <c r="U485" s="51">
        <v>379.2</v>
      </c>
      <c r="V485" s="51">
        <v>888.15</v>
      </c>
      <c r="W485" s="51">
        <v>381</v>
      </c>
      <c r="X485" s="51">
        <v>684</v>
      </c>
      <c r="Y485" s="51">
        <v>203</v>
      </c>
      <c r="Z485" s="51">
        <v>399.53</v>
      </c>
      <c r="AA485" s="51">
        <v>187.62</v>
      </c>
      <c r="AB485" s="51" t="s">
        <v>1574</v>
      </c>
      <c r="AC485" s="51" t="s">
        <v>1574</v>
      </c>
      <c r="AD485" s="51">
        <v>72.290000000000006</v>
      </c>
      <c r="AE485" s="51">
        <v>85.8</v>
      </c>
      <c r="AF485" s="51">
        <v>78.430000000000007</v>
      </c>
      <c r="AG485" s="51">
        <v>217</v>
      </c>
      <c r="AH485" s="51">
        <v>190.25</v>
      </c>
      <c r="AI485" s="51">
        <v>169.75</v>
      </c>
      <c r="AJ485" s="51" t="s">
        <v>1574</v>
      </c>
      <c r="AK485" s="51">
        <v>98.67</v>
      </c>
      <c r="AL485" s="51">
        <v>108.1</v>
      </c>
      <c r="AM485" s="51">
        <v>0.76549</v>
      </c>
      <c r="AN485" s="51">
        <v>0.32724999999999999</v>
      </c>
      <c r="AO485" s="51">
        <v>0.51798999999999995</v>
      </c>
      <c r="AP485" s="51">
        <v>1.8527626479999999</v>
      </c>
      <c r="AQ485" s="51">
        <v>1.2934505540000001</v>
      </c>
      <c r="AR485" s="51">
        <v>2.7218</v>
      </c>
      <c r="AS485" s="51">
        <v>12.12541</v>
      </c>
      <c r="AT485" s="51">
        <v>0.60609999999999997</v>
      </c>
      <c r="AU485" s="51">
        <v>0.4284</v>
      </c>
      <c r="AV485" s="51">
        <v>0.14879999999999999</v>
      </c>
      <c r="AW485" s="51">
        <v>2929.71</v>
      </c>
      <c r="AX485" s="51">
        <v>269.27999999999997</v>
      </c>
      <c r="AY485" s="51">
        <v>198.38</v>
      </c>
      <c r="AZ485" s="51">
        <v>481.44400561412999</v>
      </c>
      <c r="BA485" s="51">
        <v>643.35664335664001</v>
      </c>
      <c r="BB485" s="51">
        <v>462.38</v>
      </c>
      <c r="BC485" s="51">
        <v>1.0457000000000001</v>
      </c>
      <c r="BD485" s="51">
        <v>0.67930000000000001</v>
      </c>
      <c r="BE485" s="51">
        <v>0.64729999999999999</v>
      </c>
      <c r="BF485" s="51">
        <v>44</v>
      </c>
      <c r="BG485" s="51">
        <v>157</v>
      </c>
      <c r="BH485" s="51">
        <v>145.13</v>
      </c>
      <c r="BI485" s="51">
        <v>65.375</v>
      </c>
      <c r="BJ485" s="51">
        <v>112.5</v>
      </c>
      <c r="BK485" s="51">
        <v>1474.41</v>
      </c>
      <c r="BL485" s="51">
        <v>27.59</v>
      </c>
      <c r="BM485" s="51">
        <v>1724.12</v>
      </c>
      <c r="BN485" s="51">
        <v>497.1</v>
      </c>
      <c r="BO485" s="51">
        <v>5430.7</v>
      </c>
      <c r="BP485" s="51">
        <v>7321.19</v>
      </c>
      <c r="BQ485" s="51">
        <v>1148.7</v>
      </c>
      <c r="BR485" s="51">
        <v>310.72000000000003</v>
      </c>
      <c r="BS485" s="51">
        <v>421.14</v>
      </c>
      <c r="BT485" s="51">
        <v>5.4123000000000001</v>
      </c>
      <c r="BU485" s="41"/>
      <c r="BV485" s="41"/>
      <c r="BW485" s="41"/>
      <c r="BX485" s="41"/>
      <c r="BY485" s="41"/>
      <c r="BZ485" s="41"/>
      <c r="CA485" s="41"/>
      <c r="CB485" s="41"/>
      <c r="CC485" s="41"/>
      <c r="CD485" s="41"/>
      <c r="CE485" s="41"/>
      <c r="CF485" s="41"/>
      <c r="CG485" s="41"/>
      <c r="CH485" s="41"/>
      <c r="CI485" s="41"/>
      <c r="CJ485" s="41"/>
      <c r="CK485" s="41"/>
    </row>
    <row r="486" spans="1:89">
      <c r="A486" s="48" t="s">
        <v>615</v>
      </c>
      <c r="B486" s="49">
        <v>24.163333333330002</v>
      </c>
      <c r="C486" s="49">
        <v>24.59</v>
      </c>
      <c r="D486" s="49">
        <v>23.05</v>
      </c>
      <c r="E486" s="49">
        <v>24.85</v>
      </c>
      <c r="F486" s="49">
        <v>25.1</v>
      </c>
      <c r="G486" s="49">
        <v>23.5</v>
      </c>
      <c r="H486" s="49">
        <v>2.36</v>
      </c>
      <c r="I486" s="49">
        <v>2.5099999999999998</v>
      </c>
      <c r="J486" s="49">
        <v>3.73</v>
      </c>
      <c r="K486" s="49">
        <v>43.117883868040003</v>
      </c>
      <c r="L486" s="49">
        <v>0.92210000000000003</v>
      </c>
      <c r="M486" s="49">
        <v>2.4996</v>
      </c>
      <c r="N486" s="49">
        <v>1.39</v>
      </c>
      <c r="O486" s="49">
        <v>1.9539</v>
      </c>
      <c r="P486" s="49">
        <v>1.8395999999999999</v>
      </c>
      <c r="Q486" s="49">
        <v>2.21</v>
      </c>
      <c r="R486" s="49">
        <v>1.8120000000000001</v>
      </c>
      <c r="S486" s="49">
        <v>703</v>
      </c>
      <c r="T486" s="49">
        <v>916.36</v>
      </c>
      <c r="U486" s="49">
        <v>376.36</v>
      </c>
      <c r="V486" s="49">
        <v>924.94</v>
      </c>
      <c r="W486" s="49">
        <v>370</v>
      </c>
      <c r="X486" s="49">
        <v>693</v>
      </c>
      <c r="Y486" s="49">
        <v>198</v>
      </c>
      <c r="Z486" s="49">
        <v>387.31</v>
      </c>
      <c r="AA486" s="49">
        <v>183.36</v>
      </c>
      <c r="AB486" s="49" t="s">
        <v>1574</v>
      </c>
      <c r="AC486" s="49" t="s">
        <v>1574</v>
      </c>
      <c r="AD486" s="49">
        <v>73.14</v>
      </c>
      <c r="AE486" s="49">
        <v>85.43</v>
      </c>
      <c r="AF486" s="49">
        <v>79.37</v>
      </c>
      <c r="AG486" s="49">
        <v>228</v>
      </c>
      <c r="AH486" s="49">
        <v>199.2</v>
      </c>
      <c r="AI486" s="49">
        <v>172</v>
      </c>
      <c r="AJ486" s="49" t="s">
        <v>1574</v>
      </c>
      <c r="AK486" s="49">
        <v>96.91</v>
      </c>
      <c r="AL486" s="49">
        <v>108.8</v>
      </c>
      <c r="AM486" s="49">
        <v>0.72504999999999997</v>
      </c>
      <c r="AN486" s="49">
        <v>0.33241999999999999</v>
      </c>
      <c r="AO486" s="49">
        <v>0.34037000000000001</v>
      </c>
      <c r="AP486" s="49">
        <v>1.927058342</v>
      </c>
      <c r="AQ486" s="49">
        <v>1.2897027000000001</v>
      </c>
      <c r="AR486" s="49">
        <v>2.6656</v>
      </c>
      <c r="AS486" s="49">
        <v>12.676565</v>
      </c>
      <c r="AT486" s="49">
        <v>0.59350000000000003</v>
      </c>
      <c r="AU486" s="49">
        <v>0.3836</v>
      </c>
      <c r="AV486" s="49">
        <v>0.14349999999999999</v>
      </c>
      <c r="AW486" s="49">
        <v>2961.74</v>
      </c>
      <c r="AX486" s="49">
        <v>307.48</v>
      </c>
      <c r="AY486" s="49">
        <v>198.59</v>
      </c>
      <c r="AZ486" s="49">
        <v>504.58860260493998</v>
      </c>
      <c r="BA486" s="49">
        <v>643.35664335664001</v>
      </c>
      <c r="BB486" s="49">
        <v>466.86</v>
      </c>
      <c r="BC486" s="49">
        <v>1.0187999999999999</v>
      </c>
      <c r="BD486" s="49">
        <v>0.76390000000000002</v>
      </c>
      <c r="BE486" s="49">
        <v>0.74050000000000005</v>
      </c>
      <c r="BF486" s="49">
        <v>44</v>
      </c>
      <c r="BG486" s="49">
        <v>148.30000000000001</v>
      </c>
      <c r="BH486" s="49">
        <v>138</v>
      </c>
      <c r="BI486" s="49">
        <v>66</v>
      </c>
      <c r="BJ486" s="49">
        <v>112.5</v>
      </c>
      <c r="BK486" s="49">
        <v>1472.76</v>
      </c>
      <c r="BL486" s="49">
        <v>27.59</v>
      </c>
      <c r="BM486" s="49">
        <v>1727.55</v>
      </c>
      <c r="BN486" s="49">
        <v>478.3</v>
      </c>
      <c r="BO486" s="49">
        <v>5842.1</v>
      </c>
      <c r="BP486" s="49">
        <v>7949.55</v>
      </c>
      <c r="BQ486" s="49">
        <v>1147.2</v>
      </c>
      <c r="BR486" s="49">
        <v>293.18</v>
      </c>
      <c r="BS486" s="49">
        <v>434.02</v>
      </c>
      <c r="BT486" s="49">
        <v>5.1538000000000004</v>
      </c>
      <c r="BU486" s="41"/>
      <c r="BV486" s="41"/>
      <c r="BW486" s="41"/>
      <c r="BX486" s="41"/>
      <c r="BY486" s="41"/>
      <c r="BZ486" s="41"/>
      <c r="CA486" s="41"/>
      <c r="CB486" s="41"/>
      <c r="CC486" s="41"/>
      <c r="CD486" s="41"/>
      <c r="CE486" s="41"/>
      <c r="CF486" s="41"/>
      <c r="CG486" s="41"/>
      <c r="CH486" s="41"/>
      <c r="CI486" s="41"/>
      <c r="CJ486" s="41"/>
      <c r="CK486" s="41"/>
    </row>
    <row r="487" spans="1:89">
      <c r="A487" s="41" t="s">
        <v>616</v>
      </c>
      <c r="B487" s="51">
        <v>25.1</v>
      </c>
      <c r="C487" s="51">
        <v>25.59</v>
      </c>
      <c r="D487" s="51">
        <v>23.63</v>
      </c>
      <c r="E487" s="51">
        <v>26.08</v>
      </c>
      <c r="F487" s="51">
        <v>25.1</v>
      </c>
      <c r="G487" s="51">
        <v>22.58</v>
      </c>
      <c r="H487" s="51">
        <v>2.36</v>
      </c>
      <c r="I487" s="51">
        <v>2.66</v>
      </c>
      <c r="J487" s="51">
        <v>3.94</v>
      </c>
      <c r="K487" s="51">
        <v>43.97325348519</v>
      </c>
      <c r="L487" s="51">
        <v>0.91879999999999995</v>
      </c>
      <c r="M487" s="51">
        <v>2.7439</v>
      </c>
      <c r="N487" s="51">
        <v>1.4724999999999999</v>
      </c>
      <c r="O487" s="51">
        <v>1.8636999999999999</v>
      </c>
      <c r="P487" s="51">
        <v>1.7823</v>
      </c>
      <c r="Q487" s="51">
        <v>1.9823</v>
      </c>
      <c r="R487" s="51">
        <v>1.8267</v>
      </c>
      <c r="S487" s="51">
        <v>703</v>
      </c>
      <c r="T487" s="51">
        <v>913.33</v>
      </c>
      <c r="U487" s="51">
        <v>438.08</v>
      </c>
      <c r="V487" s="51">
        <v>765.61</v>
      </c>
      <c r="W487" s="51">
        <v>354</v>
      </c>
      <c r="X487" s="51">
        <v>681</v>
      </c>
      <c r="Y487" s="51">
        <v>199</v>
      </c>
      <c r="Z487" s="51">
        <v>374.67</v>
      </c>
      <c r="AA487" s="51">
        <v>183.5</v>
      </c>
      <c r="AB487" s="51" t="s">
        <v>1574</v>
      </c>
      <c r="AC487" s="51" t="s">
        <v>1574</v>
      </c>
      <c r="AD487" s="51">
        <v>72.36</v>
      </c>
      <c r="AE487" s="51">
        <v>87.18</v>
      </c>
      <c r="AF487" s="51">
        <v>81</v>
      </c>
      <c r="AG487" s="51">
        <v>233.75</v>
      </c>
      <c r="AH487" s="51">
        <v>198.75</v>
      </c>
      <c r="AI487" s="51">
        <v>155.25</v>
      </c>
      <c r="AJ487" s="51" t="s">
        <v>1574</v>
      </c>
      <c r="AK487" s="51">
        <v>92.06</v>
      </c>
      <c r="AL487" s="51">
        <v>102.16</v>
      </c>
      <c r="AM487" s="51">
        <v>0.72648000000000001</v>
      </c>
      <c r="AN487" s="51">
        <v>0.34964000000000001</v>
      </c>
      <c r="AO487" s="51">
        <v>0.33906999999999998</v>
      </c>
      <c r="AP487" s="51">
        <v>1.9391837519999999</v>
      </c>
      <c r="AQ487" s="51">
        <v>1.2897027000000001</v>
      </c>
      <c r="AR487" s="51">
        <v>2.6139000000000001</v>
      </c>
      <c r="AS487" s="51">
        <v>13.558413</v>
      </c>
      <c r="AT487" s="51">
        <v>0.59</v>
      </c>
      <c r="AU487" s="51">
        <v>0.3896</v>
      </c>
      <c r="AV487" s="51">
        <v>0.1318</v>
      </c>
      <c r="AW487" s="51">
        <v>3083.62</v>
      </c>
      <c r="AX487" s="51">
        <v>300.54000000000002</v>
      </c>
      <c r="AY487" s="51">
        <v>199.49</v>
      </c>
      <c r="AZ487" s="51">
        <v>493.19544410709</v>
      </c>
      <c r="BA487" s="51">
        <v>643.35664335664001</v>
      </c>
      <c r="BB487" s="51">
        <v>467.47</v>
      </c>
      <c r="BC487" s="51">
        <v>0.97440000000000004</v>
      </c>
      <c r="BD487" s="51">
        <v>0.69579999999999997</v>
      </c>
      <c r="BE487" s="51">
        <v>0.65410000000000001</v>
      </c>
      <c r="BF487" s="51">
        <v>44</v>
      </c>
      <c r="BG487" s="51">
        <v>147.5</v>
      </c>
      <c r="BH487" s="51">
        <v>138</v>
      </c>
      <c r="BI487" s="51">
        <v>66.833333333330003</v>
      </c>
      <c r="BJ487" s="51">
        <v>112.5</v>
      </c>
      <c r="BK487" s="51">
        <v>1554.48</v>
      </c>
      <c r="BL487" s="51">
        <v>27.59</v>
      </c>
      <c r="BM487" s="51">
        <v>1764.75</v>
      </c>
      <c r="BN487" s="51">
        <v>479.1</v>
      </c>
      <c r="BO487" s="51">
        <v>5721.3</v>
      </c>
      <c r="BP487" s="51">
        <v>8083.38</v>
      </c>
      <c r="BQ487" s="51">
        <v>1183.8</v>
      </c>
      <c r="BR487" s="51">
        <v>283.07</v>
      </c>
      <c r="BS487" s="51">
        <v>439.13</v>
      </c>
      <c r="BT487" s="51">
        <v>5.1573000000000002</v>
      </c>
      <c r="BU487" s="41"/>
      <c r="BV487" s="41"/>
      <c r="BW487" s="41"/>
      <c r="BX487" s="41"/>
      <c r="BY487" s="41"/>
      <c r="BZ487" s="41"/>
      <c r="CA487" s="41"/>
      <c r="CB487" s="41"/>
      <c r="CC487" s="41"/>
      <c r="CD487" s="41"/>
      <c r="CE487" s="41"/>
      <c r="CF487" s="41"/>
      <c r="CG487" s="41"/>
      <c r="CH487" s="41"/>
      <c r="CI487" s="41"/>
      <c r="CJ487" s="41"/>
      <c r="CK487" s="41"/>
    </row>
    <row r="488" spans="1:89">
      <c r="A488" s="48" t="s">
        <v>617</v>
      </c>
      <c r="B488" s="49">
        <v>25.31</v>
      </c>
      <c r="C488" s="49">
        <v>25.38</v>
      </c>
      <c r="D488" s="49">
        <v>23.28</v>
      </c>
      <c r="E488" s="49">
        <v>27.27</v>
      </c>
      <c r="F488" s="49">
        <v>25.1</v>
      </c>
      <c r="G488" s="49">
        <v>22.78</v>
      </c>
      <c r="H488" s="49">
        <v>2.42</v>
      </c>
      <c r="I488" s="49">
        <v>3.36</v>
      </c>
      <c r="J488" s="49">
        <v>4.1500000000000004</v>
      </c>
      <c r="K488" s="49">
        <v>48.171910295080004</v>
      </c>
      <c r="L488" s="49">
        <v>0.91849999999999998</v>
      </c>
      <c r="M488" s="49">
        <v>2.4496000000000002</v>
      </c>
      <c r="N488" s="49">
        <v>1.1724000000000001</v>
      </c>
      <c r="O488" s="49">
        <v>1.8548</v>
      </c>
      <c r="P488" s="49">
        <v>1.8272999999999999</v>
      </c>
      <c r="Q488" s="49">
        <v>1.8612</v>
      </c>
      <c r="R488" s="49">
        <v>1.8759999999999999</v>
      </c>
      <c r="S488" s="49">
        <v>654</v>
      </c>
      <c r="T488" s="49">
        <v>875</v>
      </c>
      <c r="U488" s="49">
        <v>444.26</v>
      </c>
      <c r="V488" s="49">
        <v>676.08</v>
      </c>
      <c r="W488" s="49">
        <v>348</v>
      </c>
      <c r="X488" s="49">
        <v>628</v>
      </c>
      <c r="Y488" s="49">
        <v>208</v>
      </c>
      <c r="Z488" s="49">
        <v>369.79</v>
      </c>
      <c r="AA488" s="49">
        <v>195.1</v>
      </c>
      <c r="AB488" s="49" t="s">
        <v>1574</v>
      </c>
      <c r="AC488" s="49" t="s">
        <v>1574</v>
      </c>
      <c r="AD488" s="49">
        <v>73.13</v>
      </c>
      <c r="AE488" s="49">
        <v>93.29</v>
      </c>
      <c r="AF488" s="49">
        <v>89.34</v>
      </c>
      <c r="AG488" s="49">
        <v>241.4</v>
      </c>
      <c r="AH488" s="49">
        <v>201.6</v>
      </c>
      <c r="AI488" s="49">
        <v>158.19999999999999</v>
      </c>
      <c r="AJ488" s="49" t="s">
        <v>1574</v>
      </c>
      <c r="AK488" s="49">
        <v>98.56</v>
      </c>
      <c r="AL488" s="49">
        <v>105.83</v>
      </c>
      <c r="AM488" s="49">
        <v>0.88546000000000002</v>
      </c>
      <c r="AN488" s="49">
        <v>0.48226000000000002</v>
      </c>
      <c r="AO488" s="49">
        <v>0.34889999999999999</v>
      </c>
      <c r="AP488" s="49">
        <v>1.9493250040000001</v>
      </c>
      <c r="AQ488" s="49">
        <v>1.283750226</v>
      </c>
      <c r="AR488" s="49">
        <v>2.7269000000000001</v>
      </c>
      <c r="AS488" s="49">
        <v>13.999337000000001</v>
      </c>
      <c r="AT488" s="49">
        <v>0.60009999999999997</v>
      </c>
      <c r="AU488" s="49">
        <v>0.39</v>
      </c>
      <c r="AV488" s="49">
        <v>0.1241</v>
      </c>
      <c r="AW488" s="49">
        <v>3038.81</v>
      </c>
      <c r="AX488" s="49">
        <v>301.32</v>
      </c>
      <c r="AY488" s="49">
        <v>193.08</v>
      </c>
      <c r="AZ488" s="49">
        <v>509.92814648845001</v>
      </c>
      <c r="BA488" s="49">
        <v>643.35664335664001</v>
      </c>
      <c r="BB488" s="49">
        <v>456.44</v>
      </c>
      <c r="BC488" s="49">
        <v>1.0457000000000001</v>
      </c>
      <c r="BD488" s="49">
        <v>0.70689999999999997</v>
      </c>
      <c r="BE488" s="49">
        <v>0.64470000000000005</v>
      </c>
      <c r="BF488" s="49">
        <v>44</v>
      </c>
      <c r="BG488" s="49">
        <v>147.19999999999999</v>
      </c>
      <c r="BH488" s="49">
        <v>138</v>
      </c>
      <c r="BI488" s="49">
        <v>77.400000000000006</v>
      </c>
      <c r="BJ488" s="49">
        <v>112.5</v>
      </c>
      <c r="BK488" s="49">
        <v>1680.28</v>
      </c>
      <c r="BL488" s="49">
        <v>28.79</v>
      </c>
      <c r="BM488" s="49">
        <v>1843.98</v>
      </c>
      <c r="BN488" s="49">
        <v>472.1</v>
      </c>
      <c r="BO488" s="49">
        <v>5927.8</v>
      </c>
      <c r="BP488" s="49">
        <v>8309.5</v>
      </c>
      <c r="BQ488" s="49">
        <v>1178.8</v>
      </c>
      <c r="BR488" s="49">
        <v>284.32</v>
      </c>
      <c r="BS488" s="49">
        <v>441</v>
      </c>
      <c r="BT488" s="49">
        <v>5.1882000000000001</v>
      </c>
      <c r="BU488" s="41"/>
      <c r="BV488" s="41"/>
      <c r="BW488" s="41"/>
      <c r="BX488" s="41"/>
      <c r="BY488" s="41"/>
      <c r="BZ488" s="41"/>
      <c r="CA488" s="41"/>
      <c r="CB488" s="41"/>
      <c r="CC488" s="41"/>
      <c r="CD488" s="41"/>
      <c r="CE488" s="41"/>
      <c r="CF488" s="41"/>
      <c r="CG488" s="41"/>
      <c r="CH488" s="41"/>
      <c r="CI488" s="41"/>
      <c r="CJ488" s="41"/>
      <c r="CK488" s="41"/>
    </row>
    <row r="489" spans="1:89">
      <c r="A489" s="41" t="s">
        <v>618</v>
      </c>
      <c r="B489" s="51">
        <v>27.220966666670002</v>
      </c>
      <c r="C489" s="51">
        <v>27.704799999999999</v>
      </c>
      <c r="D489" s="51">
        <v>24.677099999999999</v>
      </c>
      <c r="E489" s="51">
        <v>29.280999999999999</v>
      </c>
      <c r="F489" s="51">
        <v>25.1</v>
      </c>
      <c r="G489" s="51">
        <v>23.62</v>
      </c>
      <c r="H489" s="51">
        <v>2.65</v>
      </c>
      <c r="I489" s="51">
        <v>3.46</v>
      </c>
      <c r="J489" s="51">
        <v>4.21</v>
      </c>
      <c r="K489" s="51">
        <v>51.480932963329998</v>
      </c>
      <c r="L489" s="51">
        <v>0.8569</v>
      </c>
      <c r="M489" s="51">
        <v>2.2805</v>
      </c>
      <c r="N489" s="51">
        <v>1.0771999999999999</v>
      </c>
      <c r="O489" s="51">
        <v>1.8122</v>
      </c>
      <c r="P489" s="51">
        <v>1.8080000000000001</v>
      </c>
      <c r="Q489" s="51">
        <v>1.5236000000000001</v>
      </c>
      <c r="R489" s="51">
        <v>2.105</v>
      </c>
      <c r="S489" s="51">
        <v>591</v>
      </c>
      <c r="T489" s="51">
        <v>880</v>
      </c>
      <c r="U489" s="51">
        <v>426.97</v>
      </c>
      <c r="V489" s="51">
        <v>687.63</v>
      </c>
      <c r="W489" s="51">
        <v>332</v>
      </c>
      <c r="X489" s="51">
        <v>580</v>
      </c>
      <c r="Y489" s="51">
        <v>214</v>
      </c>
      <c r="Z489" s="51">
        <v>357.94</v>
      </c>
      <c r="AA489" s="51">
        <v>203.33</v>
      </c>
      <c r="AB489" s="51" t="s">
        <v>1574</v>
      </c>
      <c r="AC489" s="51" t="s">
        <v>1574</v>
      </c>
      <c r="AD489" s="51">
        <v>73.36</v>
      </c>
      <c r="AE489" s="51">
        <v>95.15</v>
      </c>
      <c r="AF489" s="51">
        <v>89.89</v>
      </c>
      <c r="AG489" s="51">
        <v>241</v>
      </c>
      <c r="AH489" s="51">
        <v>199</v>
      </c>
      <c r="AI489" s="51">
        <v>156.66666666667001</v>
      </c>
      <c r="AJ489" s="51" t="s">
        <v>1574</v>
      </c>
      <c r="AK489" s="51">
        <v>100.06</v>
      </c>
      <c r="AL489" s="51">
        <v>107.93</v>
      </c>
      <c r="AM489" s="51">
        <v>0.91962999999999995</v>
      </c>
      <c r="AN489" s="51">
        <v>0.57870999999999995</v>
      </c>
      <c r="AO489" s="51">
        <v>0.32358999999999999</v>
      </c>
      <c r="AP489" s="51">
        <v>1.9616708759999999</v>
      </c>
      <c r="AQ489" s="51">
        <v>1.2705225060000001</v>
      </c>
      <c r="AR489" s="51">
        <v>2.6978</v>
      </c>
      <c r="AS489" s="51">
        <v>14.109567999999999</v>
      </c>
      <c r="AT489" s="51">
        <v>0.58509999999999995</v>
      </c>
      <c r="AU489" s="51">
        <v>0.3765</v>
      </c>
      <c r="AV489" s="51">
        <v>0.1173</v>
      </c>
      <c r="AW489" s="51">
        <v>2985.46</v>
      </c>
      <c r="AX489" s="51">
        <v>292.31</v>
      </c>
      <c r="AY489" s="51">
        <v>184.11</v>
      </c>
      <c r="AZ489" s="51">
        <v>494.68587446970997</v>
      </c>
      <c r="BA489" s="51">
        <v>643.35664335664001</v>
      </c>
      <c r="BB489" s="51">
        <v>439.12</v>
      </c>
      <c r="BC489" s="51">
        <v>1.1845000000000001</v>
      </c>
      <c r="BD489" s="51">
        <v>0.73040000000000005</v>
      </c>
      <c r="BE489" s="51">
        <v>0.7369</v>
      </c>
      <c r="BF489" s="51">
        <v>44</v>
      </c>
      <c r="BG489" s="51">
        <v>144.5</v>
      </c>
      <c r="BH489" s="51">
        <v>138</v>
      </c>
      <c r="BI489" s="51">
        <v>90.125</v>
      </c>
      <c r="BJ489" s="51">
        <v>112.5</v>
      </c>
      <c r="BK489" s="51">
        <v>1670.27</v>
      </c>
      <c r="BL489" s="51">
        <v>28.79</v>
      </c>
      <c r="BM489" s="51">
        <v>1800.83</v>
      </c>
      <c r="BN489" s="51">
        <v>452.4</v>
      </c>
      <c r="BO489" s="51">
        <v>5642.1</v>
      </c>
      <c r="BP489" s="51">
        <v>9653.33</v>
      </c>
      <c r="BQ489" s="51">
        <v>1094.9000000000001</v>
      </c>
      <c r="BR489" s="51">
        <v>299.86</v>
      </c>
      <c r="BS489" s="51">
        <v>519.71</v>
      </c>
      <c r="BT489" s="51">
        <v>5.2466999999999997</v>
      </c>
      <c r="BU489" s="41"/>
      <c r="BV489" s="41"/>
      <c r="BW489" s="41"/>
      <c r="BX489" s="41"/>
      <c r="BY489" s="41"/>
      <c r="BZ489" s="41"/>
      <c r="CA489" s="41"/>
      <c r="CB489" s="41"/>
      <c r="CC489" s="41"/>
      <c r="CD489" s="41"/>
      <c r="CE489" s="41"/>
      <c r="CF489" s="41"/>
      <c r="CG489" s="41"/>
      <c r="CH489" s="41"/>
      <c r="CI489" s="41"/>
      <c r="CJ489" s="41"/>
      <c r="CK489" s="41"/>
    </row>
    <row r="490" spans="1:89">
      <c r="A490" s="48" t="s">
        <v>619</v>
      </c>
      <c r="B490" s="49">
        <v>27.49</v>
      </c>
      <c r="C490" s="49">
        <v>27.47</v>
      </c>
      <c r="D490" s="49">
        <v>25.08</v>
      </c>
      <c r="E490" s="49">
        <v>29.92</v>
      </c>
      <c r="F490" s="49">
        <v>25.1</v>
      </c>
      <c r="G490" s="49">
        <v>24.4</v>
      </c>
      <c r="H490" s="49">
        <v>2.79</v>
      </c>
      <c r="I490" s="49">
        <v>3.51</v>
      </c>
      <c r="J490" s="49">
        <v>4.46</v>
      </c>
      <c r="K490" s="49">
        <v>53.588077321390003</v>
      </c>
      <c r="L490" s="49">
        <v>0.92589999999999995</v>
      </c>
      <c r="M490" s="49">
        <v>2.2206999999999999</v>
      </c>
      <c r="N490" s="49">
        <v>1.0196000000000001</v>
      </c>
      <c r="O490" s="49">
        <v>1.7514000000000001</v>
      </c>
      <c r="P490" s="49">
        <v>1.8245</v>
      </c>
      <c r="Q490" s="49">
        <v>1.3671</v>
      </c>
      <c r="R490" s="49">
        <v>2.0625</v>
      </c>
      <c r="S490" s="49">
        <v>552</v>
      </c>
      <c r="T490" s="49">
        <v>880</v>
      </c>
      <c r="U490" s="49">
        <v>407.39</v>
      </c>
      <c r="V490" s="49">
        <v>733.28</v>
      </c>
      <c r="W490" s="49">
        <v>349</v>
      </c>
      <c r="X490" s="49">
        <v>556</v>
      </c>
      <c r="Y490" s="49">
        <v>221</v>
      </c>
      <c r="Z490" s="49">
        <v>363.49</v>
      </c>
      <c r="AA490" s="49">
        <v>204.74</v>
      </c>
      <c r="AB490" s="49" t="s">
        <v>1574</v>
      </c>
      <c r="AC490" s="49" t="s">
        <v>1574</v>
      </c>
      <c r="AD490" s="49">
        <v>74.400000000000006</v>
      </c>
      <c r="AE490" s="49">
        <v>95.05</v>
      </c>
      <c r="AF490" s="49">
        <v>91.73</v>
      </c>
      <c r="AG490" s="49">
        <v>225.75</v>
      </c>
      <c r="AH490" s="49">
        <v>187.5</v>
      </c>
      <c r="AI490" s="49">
        <v>151.5</v>
      </c>
      <c r="AJ490" s="49" t="s">
        <v>1574</v>
      </c>
      <c r="AK490" s="49">
        <v>97.19</v>
      </c>
      <c r="AL490" s="49">
        <v>105.7</v>
      </c>
      <c r="AM490" s="49">
        <v>0.86436000000000002</v>
      </c>
      <c r="AN490" s="49">
        <v>0.48226000000000002</v>
      </c>
      <c r="AO490" s="49">
        <v>0.29918</v>
      </c>
      <c r="AP490" s="49">
        <v>1.983717076</v>
      </c>
      <c r="AQ490" s="49">
        <v>1.2621449499999999</v>
      </c>
      <c r="AR490" s="49">
        <v>2.6998000000000002</v>
      </c>
      <c r="AS490" s="49">
        <v>14.440261</v>
      </c>
      <c r="AT490" s="49">
        <v>0.57779999999999998</v>
      </c>
      <c r="AU490" s="49">
        <v>0.40539999999999998</v>
      </c>
      <c r="AV490" s="49">
        <v>0.11269999999999999</v>
      </c>
      <c r="AW490" s="49">
        <v>3030.14</v>
      </c>
      <c r="AX490" s="49">
        <v>286.74</v>
      </c>
      <c r="AY490" s="49">
        <v>190.87</v>
      </c>
      <c r="AZ490" s="49">
        <v>499.96323799721</v>
      </c>
      <c r="BA490" s="49">
        <v>636.36363636364001</v>
      </c>
      <c r="BB490" s="49">
        <v>448.84</v>
      </c>
      <c r="BC490" s="49">
        <v>1.2632000000000001</v>
      </c>
      <c r="BD490" s="49">
        <v>0.65549999999999997</v>
      </c>
      <c r="BE490" s="49">
        <v>0.68220000000000003</v>
      </c>
      <c r="BF490" s="49">
        <v>44</v>
      </c>
      <c r="BG490" s="49">
        <v>143</v>
      </c>
      <c r="BH490" s="49">
        <v>138</v>
      </c>
      <c r="BI490" s="49">
        <v>88.75</v>
      </c>
      <c r="BJ490" s="49">
        <v>112.5</v>
      </c>
      <c r="BK490" s="49">
        <v>1577.05</v>
      </c>
      <c r="BL490" s="49">
        <v>28.79</v>
      </c>
      <c r="BM490" s="49">
        <v>1739.39</v>
      </c>
      <c r="BN490" s="49">
        <v>441.3</v>
      </c>
      <c r="BO490" s="49">
        <v>5457.8</v>
      </c>
      <c r="BP490" s="49">
        <v>10280.11</v>
      </c>
      <c r="BQ490" s="49">
        <v>1116.4000000000001</v>
      </c>
      <c r="BR490" s="49">
        <v>286.39</v>
      </c>
      <c r="BS490" s="49">
        <v>479.33</v>
      </c>
      <c r="BT490" s="49">
        <v>5.0648999999999997</v>
      </c>
      <c r="BU490" s="41"/>
      <c r="BV490" s="41"/>
      <c r="BW490" s="41"/>
      <c r="BX490" s="41"/>
      <c r="BY490" s="41"/>
      <c r="BZ490" s="41"/>
      <c r="CA490" s="41"/>
      <c r="CB490" s="41"/>
      <c r="CC490" s="41"/>
      <c r="CD490" s="41"/>
      <c r="CE490" s="41"/>
      <c r="CF490" s="41"/>
      <c r="CG490" s="41"/>
      <c r="CH490" s="41"/>
      <c r="CI490" s="41"/>
      <c r="CJ490" s="41"/>
      <c r="CK490" s="41"/>
    </row>
    <row r="491" spans="1:89">
      <c r="A491" s="41" t="s">
        <v>620</v>
      </c>
      <c r="B491" s="51">
        <v>23.47</v>
      </c>
      <c r="C491" s="51">
        <v>22.54</v>
      </c>
      <c r="D491" s="51">
        <v>22.03</v>
      </c>
      <c r="E491" s="51">
        <v>25.84</v>
      </c>
      <c r="F491" s="51">
        <v>25.1</v>
      </c>
      <c r="G491" s="51">
        <v>24.94</v>
      </c>
      <c r="H491" s="51">
        <v>3.03</v>
      </c>
      <c r="I491" s="51">
        <v>3.68</v>
      </c>
      <c r="J491" s="51">
        <v>4.6399999999999997</v>
      </c>
      <c r="K491" s="51">
        <v>57.432611077339999</v>
      </c>
      <c r="L491" s="51">
        <v>0.91200000000000003</v>
      </c>
      <c r="M491" s="51">
        <v>2.0857999999999999</v>
      </c>
      <c r="N491" s="51">
        <v>0.98</v>
      </c>
      <c r="O491" s="51">
        <v>1.7887999999999999</v>
      </c>
      <c r="P491" s="51">
        <v>1.8110999999999999</v>
      </c>
      <c r="Q491" s="51">
        <v>1.5254000000000001</v>
      </c>
      <c r="R491" s="51">
        <v>2.0299999999999998</v>
      </c>
      <c r="S491" s="51">
        <v>550</v>
      </c>
      <c r="T491" s="51">
        <v>866.67</v>
      </c>
      <c r="U491" s="51">
        <v>390.98</v>
      </c>
      <c r="V491" s="51">
        <v>789.81</v>
      </c>
      <c r="W491" s="51">
        <v>372</v>
      </c>
      <c r="X491" s="51">
        <v>557</v>
      </c>
      <c r="Y491" s="51">
        <v>229</v>
      </c>
      <c r="Z491" s="51">
        <v>366.24</v>
      </c>
      <c r="AA491" s="51">
        <v>198.65</v>
      </c>
      <c r="AB491" s="51" t="s">
        <v>1574</v>
      </c>
      <c r="AC491" s="51" t="s">
        <v>1574</v>
      </c>
      <c r="AD491" s="51">
        <v>76.95</v>
      </c>
      <c r="AE491" s="51">
        <v>95.2</v>
      </c>
      <c r="AF491" s="51">
        <v>90.58</v>
      </c>
      <c r="AG491" s="51">
        <v>214.75</v>
      </c>
      <c r="AH491" s="51">
        <v>179.75</v>
      </c>
      <c r="AI491" s="51">
        <v>148</v>
      </c>
      <c r="AJ491" s="51" t="s">
        <v>1574</v>
      </c>
      <c r="AK491" s="51">
        <v>95.19</v>
      </c>
      <c r="AL491" s="51">
        <v>105.11</v>
      </c>
      <c r="AM491" s="51">
        <v>0.83696000000000004</v>
      </c>
      <c r="AN491" s="51">
        <v>0.47709000000000001</v>
      </c>
      <c r="AO491" s="51">
        <v>0.33749000000000001</v>
      </c>
      <c r="AP491" s="51">
        <v>1.9771032159999999</v>
      </c>
      <c r="AQ491" s="51">
        <v>1.2621449499999999</v>
      </c>
      <c r="AR491" s="51">
        <v>2.7042999999999999</v>
      </c>
      <c r="AS491" s="51">
        <v>14.660723000000001</v>
      </c>
      <c r="AT491" s="51">
        <v>0.57940000000000003</v>
      </c>
      <c r="AU491" s="51">
        <v>0.4279</v>
      </c>
      <c r="AV491" s="51">
        <v>0.13250000000000001</v>
      </c>
      <c r="AW491" s="51">
        <v>3048.4</v>
      </c>
      <c r="AX491" s="51">
        <v>281.41000000000003</v>
      </c>
      <c r="AY491" s="51">
        <v>194.19</v>
      </c>
      <c r="AZ491" s="51">
        <v>490.67005325213</v>
      </c>
      <c r="BA491" s="51">
        <v>636.36363636364001</v>
      </c>
      <c r="BB491" s="51">
        <v>455.05</v>
      </c>
      <c r="BC491" s="51">
        <v>1.2939000000000001</v>
      </c>
      <c r="BD491" s="51">
        <v>0.64410000000000001</v>
      </c>
      <c r="BE491" s="51">
        <v>0.7036</v>
      </c>
      <c r="BF491" s="51">
        <v>44</v>
      </c>
      <c r="BG491" s="51">
        <v>143</v>
      </c>
      <c r="BH491" s="51">
        <v>138</v>
      </c>
      <c r="BI491" s="51">
        <v>83.25</v>
      </c>
      <c r="BJ491" s="51">
        <v>112.5</v>
      </c>
      <c r="BK491" s="51">
        <v>1457.14</v>
      </c>
      <c r="BL491" s="51">
        <v>28.79</v>
      </c>
      <c r="BM491" s="51">
        <v>1678.75</v>
      </c>
      <c r="BN491" s="51">
        <v>421.1</v>
      </c>
      <c r="BO491" s="51">
        <v>5384.4</v>
      </c>
      <c r="BP491" s="51">
        <v>9727.5</v>
      </c>
      <c r="BQ491" s="51">
        <v>1127.5999999999999</v>
      </c>
      <c r="BR491" s="51">
        <v>279.69</v>
      </c>
      <c r="BS491" s="51">
        <v>497.55</v>
      </c>
      <c r="BT491" s="51">
        <v>5.0644999999999998</v>
      </c>
      <c r="BU491" s="41"/>
      <c r="BV491" s="41"/>
      <c r="BW491" s="41"/>
      <c r="BX491" s="41"/>
      <c r="BY491" s="41"/>
      <c r="BZ491" s="41"/>
      <c r="CA491" s="41"/>
      <c r="CB491" s="41"/>
      <c r="CC491" s="41"/>
      <c r="CD491" s="41"/>
      <c r="CE491" s="41"/>
      <c r="CF491" s="41"/>
      <c r="CG491" s="41"/>
      <c r="CH491" s="41"/>
      <c r="CI491" s="41"/>
      <c r="CJ491" s="41"/>
      <c r="CK491" s="41"/>
    </row>
    <row r="492" spans="1:89">
      <c r="A492" s="48" t="s">
        <v>621</v>
      </c>
      <c r="B492" s="49">
        <v>27.18666666667</v>
      </c>
      <c r="C492" s="49">
        <v>27.34</v>
      </c>
      <c r="D492" s="49">
        <v>25.39</v>
      </c>
      <c r="E492" s="49">
        <v>28.83</v>
      </c>
      <c r="F492" s="49">
        <v>25.6</v>
      </c>
      <c r="G492" s="49">
        <v>26.05</v>
      </c>
      <c r="H492" s="49">
        <v>3.58</v>
      </c>
      <c r="I492" s="49">
        <v>3.55</v>
      </c>
      <c r="J492" s="49">
        <v>4.53</v>
      </c>
      <c r="K492" s="49">
        <v>63.418925452410001</v>
      </c>
      <c r="L492" s="49">
        <v>0.92159999999999997</v>
      </c>
      <c r="M492" s="49">
        <v>2.0756000000000001</v>
      </c>
      <c r="N492" s="49">
        <v>0.97709999999999997</v>
      </c>
      <c r="O492" s="49">
        <v>1.9766999999999999</v>
      </c>
      <c r="P492" s="49">
        <v>1.7101999999999999</v>
      </c>
      <c r="Q492" s="49">
        <v>2.2002999999999999</v>
      </c>
      <c r="R492" s="49">
        <v>2.0099999999999998</v>
      </c>
      <c r="S492" s="49">
        <v>481</v>
      </c>
      <c r="T492" s="49">
        <v>853.33</v>
      </c>
      <c r="U492" s="49">
        <v>374.92</v>
      </c>
      <c r="V492" s="49">
        <v>793.66</v>
      </c>
      <c r="W492" s="49">
        <v>324</v>
      </c>
      <c r="X492" s="49">
        <v>483</v>
      </c>
      <c r="Y492" s="49">
        <v>229</v>
      </c>
      <c r="Z492" s="49">
        <v>337.97</v>
      </c>
      <c r="AA492" s="49">
        <v>202.14</v>
      </c>
      <c r="AB492" s="49" t="s">
        <v>1574</v>
      </c>
      <c r="AC492" s="49" t="s">
        <v>1574</v>
      </c>
      <c r="AD492" s="49">
        <v>78.260000000000005</v>
      </c>
      <c r="AE492" s="49">
        <v>96.35</v>
      </c>
      <c r="AF492" s="49">
        <v>95.02</v>
      </c>
      <c r="AG492" s="49">
        <v>198.6</v>
      </c>
      <c r="AH492" s="49">
        <v>168.8</v>
      </c>
      <c r="AI492" s="49">
        <v>143.6</v>
      </c>
      <c r="AJ492" s="49" t="s">
        <v>1574</v>
      </c>
      <c r="AK492" s="49">
        <v>104.28</v>
      </c>
      <c r="AL492" s="49">
        <v>112.14</v>
      </c>
      <c r="AM492" s="49">
        <v>0.70333000000000001</v>
      </c>
      <c r="AN492" s="49">
        <v>0.41509000000000001</v>
      </c>
      <c r="AO492" s="49">
        <v>0.41102</v>
      </c>
      <c r="AP492" s="49">
        <v>1.986142158</v>
      </c>
      <c r="AQ492" s="49">
        <v>1.2733885119999999</v>
      </c>
      <c r="AR492" s="49">
        <v>2.5644999999999998</v>
      </c>
      <c r="AS492" s="49">
        <v>14.881185</v>
      </c>
      <c r="AT492" s="49">
        <v>0.55469999999999997</v>
      </c>
      <c r="AU492" s="49">
        <v>0.42149999999999999</v>
      </c>
      <c r="AV492" s="49">
        <v>0.15260000000000001</v>
      </c>
      <c r="AW492" s="49">
        <v>2985.18</v>
      </c>
      <c r="AX492" s="49">
        <v>269.19</v>
      </c>
      <c r="AY492" s="49">
        <v>189.5</v>
      </c>
      <c r="AZ492" s="49">
        <v>469.35394809498001</v>
      </c>
      <c r="BA492" s="49">
        <v>629.37062937063001</v>
      </c>
      <c r="BB492" s="49">
        <v>444.04</v>
      </c>
      <c r="BC492" s="49">
        <v>1.3335999999999999</v>
      </c>
      <c r="BD492" s="49">
        <v>0.61709999999999998</v>
      </c>
      <c r="BE492" s="49">
        <v>0.68769999999999998</v>
      </c>
      <c r="BF492" s="49">
        <v>44</v>
      </c>
      <c r="BG492" s="49">
        <v>143</v>
      </c>
      <c r="BH492" s="49">
        <v>138</v>
      </c>
      <c r="BI492" s="49">
        <v>91</v>
      </c>
      <c r="BJ492" s="49">
        <v>112.5</v>
      </c>
      <c r="BK492" s="49">
        <v>1466.79</v>
      </c>
      <c r="BL492" s="49">
        <v>28.79</v>
      </c>
      <c r="BM492" s="49">
        <v>1785.62</v>
      </c>
      <c r="BN492" s="49">
        <v>412.1</v>
      </c>
      <c r="BO492" s="49">
        <v>5451.2</v>
      </c>
      <c r="BP492" s="49">
        <v>10130.24</v>
      </c>
      <c r="BQ492" s="49">
        <v>1156.9000000000001</v>
      </c>
      <c r="BR492" s="49">
        <v>275.19</v>
      </c>
      <c r="BS492" s="49">
        <v>525.89</v>
      </c>
      <c r="BT492" s="49">
        <v>4.9795999999999996</v>
      </c>
      <c r="BU492" s="41"/>
      <c r="BV492" s="41"/>
      <c r="BW492" s="41"/>
      <c r="BX492" s="41"/>
      <c r="BY492" s="41"/>
      <c r="BZ492" s="41"/>
      <c r="CA492" s="41"/>
      <c r="CB492" s="41"/>
      <c r="CC492" s="41"/>
      <c r="CD492" s="41"/>
      <c r="CE492" s="41"/>
      <c r="CF492" s="41"/>
      <c r="CG492" s="41"/>
      <c r="CH492" s="41"/>
      <c r="CI492" s="41"/>
      <c r="CJ492" s="41"/>
      <c r="CK492" s="41"/>
    </row>
    <row r="493" spans="1:89">
      <c r="A493" s="41" t="s">
        <v>622</v>
      </c>
      <c r="B493" s="51">
        <v>29.620766666670001</v>
      </c>
      <c r="C493" s="51">
        <v>29.677299999999999</v>
      </c>
      <c r="D493" s="51">
        <v>27.324100000000001</v>
      </c>
      <c r="E493" s="51">
        <v>31.860900000000001</v>
      </c>
      <c r="F493" s="51">
        <v>25.6</v>
      </c>
      <c r="G493" s="51">
        <v>27</v>
      </c>
      <c r="H493" s="51">
        <v>4.28</v>
      </c>
      <c r="I493" s="51">
        <v>3.6</v>
      </c>
      <c r="J493" s="51">
        <v>4.74</v>
      </c>
      <c r="K493" s="51">
        <v>72.299258912159999</v>
      </c>
      <c r="L493" s="51">
        <v>0.94820000000000004</v>
      </c>
      <c r="M493" s="51">
        <v>1.9056999999999999</v>
      </c>
      <c r="N493" s="51">
        <v>0.94089999999999996</v>
      </c>
      <c r="O493" s="51">
        <v>1.8638999999999999</v>
      </c>
      <c r="P493" s="51">
        <v>1.5749</v>
      </c>
      <c r="Q493" s="51">
        <v>1.9693000000000001</v>
      </c>
      <c r="R493" s="51">
        <v>2.0474999999999999</v>
      </c>
      <c r="S493" s="51">
        <v>437</v>
      </c>
      <c r="T493" s="51">
        <v>837.27</v>
      </c>
      <c r="U493" s="51">
        <v>424.17</v>
      </c>
      <c r="V493" s="51">
        <v>783.14</v>
      </c>
      <c r="W493" s="51">
        <v>315</v>
      </c>
      <c r="X493" s="51">
        <v>436</v>
      </c>
      <c r="Y493" s="51">
        <v>211</v>
      </c>
      <c r="Z493" s="51">
        <v>330.17</v>
      </c>
      <c r="AA493" s="51">
        <v>198.5</v>
      </c>
      <c r="AB493" s="51" t="s">
        <v>1574</v>
      </c>
      <c r="AC493" s="51" t="s">
        <v>1574</v>
      </c>
      <c r="AD493" s="51">
        <v>78.48</v>
      </c>
      <c r="AE493" s="51">
        <v>84.33</v>
      </c>
      <c r="AF493" s="51">
        <v>79.760000000000005</v>
      </c>
      <c r="AG493" s="51">
        <v>196</v>
      </c>
      <c r="AH493" s="51">
        <v>166.75</v>
      </c>
      <c r="AI493" s="51">
        <v>139.5</v>
      </c>
      <c r="AJ493" s="51" t="s">
        <v>1574</v>
      </c>
      <c r="AK493" s="51">
        <v>99.28</v>
      </c>
      <c r="AL493" s="51">
        <v>113.51</v>
      </c>
      <c r="AM493" s="51">
        <v>0.62180999999999997</v>
      </c>
      <c r="AN493" s="51">
        <v>0.39215</v>
      </c>
      <c r="AO493" s="51">
        <v>0.42648999999999998</v>
      </c>
      <c r="AP493" s="51">
        <v>1.9325698920000001</v>
      </c>
      <c r="AQ493" s="51">
        <v>1.3033713440000001</v>
      </c>
      <c r="AR493" s="51">
        <v>2.5728</v>
      </c>
      <c r="AS493" s="51">
        <v>14.660723000000001</v>
      </c>
      <c r="AT493" s="51">
        <v>0.5514</v>
      </c>
      <c r="AU493" s="51">
        <v>0.42030000000000001</v>
      </c>
      <c r="AV493" s="51">
        <v>0.1845</v>
      </c>
      <c r="AW493" s="51">
        <v>2969.94</v>
      </c>
      <c r="AX493" s="51">
        <v>282.14</v>
      </c>
      <c r="AY493" s="51">
        <v>194.18</v>
      </c>
      <c r="AZ493" s="51">
        <v>506.40237285683003</v>
      </c>
      <c r="BA493" s="51">
        <v>629.37062937063001</v>
      </c>
      <c r="BB493" s="51">
        <v>450</v>
      </c>
      <c r="BC493" s="51">
        <v>1.3110999999999999</v>
      </c>
      <c r="BD493" s="51">
        <v>0.59570000000000001</v>
      </c>
      <c r="BE493" s="51">
        <v>0.66979999999999995</v>
      </c>
      <c r="BF493" s="51">
        <v>44</v>
      </c>
      <c r="BG493" s="51">
        <v>142</v>
      </c>
      <c r="BH493" s="51">
        <v>138</v>
      </c>
      <c r="BI493" s="51">
        <v>105.125</v>
      </c>
      <c r="BJ493" s="51">
        <v>112.5</v>
      </c>
      <c r="BK493" s="51">
        <v>1506.31</v>
      </c>
      <c r="BL493" s="51">
        <v>28.79</v>
      </c>
      <c r="BM493" s="51">
        <v>1753.18</v>
      </c>
      <c r="BN493" s="51">
        <v>419.6</v>
      </c>
      <c r="BO493" s="51">
        <v>5456.8</v>
      </c>
      <c r="BP493" s="51">
        <v>8410.91</v>
      </c>
      <c r="BQ493" s="51">
        <v>1117.9000000000001</v>
      </c>
      <c r="BR493" s="51">
        <v>285.73</v>
      </c>
      <c r="BS493" s="51">
        <v>559.73</v>
      </c>
      <c r="BT493" s="51">
        <v>4.9976000000000003</v>
      </c>
      <c r="BU493" s="41"/>
      <c r="BV493" s="41"/>
      <c r="BW493" s="41"/>
      <c r="BX493" s="41"/>
      <c r="BY493" s="41"/>
      <c r="BZ493" s="41"/>
      <c r="CA493" s="41"/>
      <c r="CB493" s="41"/>
      <c r="CC493" s="41"/>
      <c r="CD493" s="41"/>
      <c r="CE493" s="41"/>
      <c r="CF493" s="41"/>
      <c r="CG493" s="41"/>
      <c r="CH493" s="41"/>
      <c r="CI493" s="41"/>
      <c r="CJ493" s="41"/>
      <c r="CK493" s="41"/>
    </row>
    <row r="494" spans="1:89">
      <c r="A494" s="48" t="s">
        <v>623</v>
      </c>
      <c r="B494" s="49">
        <v>28.176666666669998</v>
      </c>
      <c r="C494" s="49">
        <v>28.53</v>
      </c>
      <c r="D494" s="49">
        <v>26.027100000000001</v>
      </c>
      <c r="E494" s="49">
        <v>29.972899999999999</v>
      </c>
      <c r="F494" s="49">
        <v>25.6</v>
      </c>
      <c r="G494" s="49">
        <v>27</v>
      </c>
      <c r="H494" s="49">
        <v>3.96</v>
      </c>
      <c r="I494" s="49">
        <v>3.96</v>
      </c>
      <c r="J494" s="49">
        <v>4.8600000000000003</v>
      </c>
      <c r="K494" s="49">
        <v>70.206108911550004</v>
      </c>
      <c r="L494" s="49">
        <v>0.96709999999999996</v>
      </c>
      <c r="M494" s="49">
        <v>1.9257</v>
      </c>
      <c r="N494" s="49">
        <v>0.89990000000000003</v>
      </c>
      <c r="O494" s="49">
        <v>2.0482999999999998</v>
      </c>
      <c r="P494" s="49">
        <v>1.6748000000000001</v>
      </c>
      <c r="Q494" s="49">
        <v>2.3601999999999999</v>
      </c>
      <c r="R494" s="49">
        <v>2.11</v>
      </c>
      <c r="S494" s="49">
        <v>400</v>
      </c>
      <c r="T494" s="49">
        <v>860</v>
      </c>
      <c r="U494" s="49">
        <v>429.73</v>
      </c>
      <c r="V494" s="49">
        <v>771.62</v>
      </c>
      <c r="W494" s="49">
        <v>312</v>
      </c>
      <c r="X494" s="49">
        <v>401</v>
      </c>
      <c r="Y494" s="49">
        <v>197</v>
      </c>
      <c r="Z494" s="49">
        <v>339.3</v>
      </c>
      <c r="AA494" s="49">
        <v>190</v>
      </c>
      <c r="AB494" s="49" t="s">
        <v>1574</v>
      </c>
      <c r="AC494" s="49" t="s">
        <v>1574</v>
      </c>
      <c r="AD494" s="49">
        <v>78.680000000000007</v>
      </c>
      <c r="AE494" s="49">
        <v>75.27</v>
      </c>
      <c r="AF494" s="49">
        <v>73.72</v>
      </c>
      <c r="AG494" s="49">
        <v>189</v>
      </c>
      <c r="AH494" s="49">
        <v>165.6</v>
      </c>
      <c r="AI494" s="49">
        <v>142.80000000000001</v>
      </c>
      <c r="AJ494" s="49" t="s">
        <v>1574</v>
      </c>
      <c r="AK494" s="49">
        <v>91.17</v>
      </c>
      <c r="AL494" s="49">
        <v>108.98</v>
      </c>
      <c r="AM494" s="49">
        <v>0.63543000000000005</v>
      </c>
      <c r="AN494" s="49">
        <v>0.30658000000000002</v>
      </c>
      <c r="AO494" s="49">
        <v>0.40178000000000003</v>
      </c>
      <c r="AP494" s="49">
        <v>1.8999415159999999</v>
      </c>
      <c r="AQ494" s="49">
        <v>1.3174809119999999</v>
      </c>
      <c r="AR494" s="49">
        <v>2.5764999999999998</v>
      </c>
      <c r="AS494" s="49">
        <v>14.770954</v>
      </c>
      <c r="AT494" s="49">
        <v>0.55149999999999999</v>
      </c>
      <c r="AU494" s="49">
        <v>0.41510000000000002</v>
      </c>
      <c r="AV494" s="49">
        <v>0.21249999999999999</v>
      </c>
      <c r="AW494" s="49">
        <v>2934.73</v>
      </c>
      <c r="AX494" s="49">
        <v>279.3</v>
      </c>
      <c r="AY494" s="49">
        <v>191.07</v>
      </c>
      <c r="AZ494" s="49">
        <v>501.31056905910998</v>
      </c>
      <c r="BA494" s="49">
        <v>604.89510489510997</v>
      </c>
      <c r="BB494" s="49">
        <v>443.83</v>
      </c>
      <c r="BC494" s="49">
        <v>1.2873000000000001</v>
      </c>
      <c r="BD494" s="49">
        <v>0.57899999999999996</v>
      </c>
      <c r="BE494" s="49">
        <v>0.64829999999999999</v>
      </c>
      <c r="BF494" s="49">
        <v>44</v>
      </c>
      <c r="BG494" s="49">
        <v>140.30000000000001</v>
      </c>
      <c r="BH494" s="49">
        <v>140.25</v>
      </c>
      <c r="BI494" s="49">
        <v>121.7</v>
      </c>
      <c r="BJ494" s="49">
        <v>112.5</v>
      </c>
      <c r="BK494" s="49">
        <v>1563.5</v>
      </c>
      <c r="BL494" s="49">
        <v>28.79</v>
      </c>
      <c r="BM494" s="49">
        <v>1799.36</v>
      </c>
      <c r="BN494" s="49">
        <v>452.1</v>
      </c>
      <c r="BO494" s="49">
        <v>5343.8</v>
      </c>
      <c r="BP494" s="49">
        <v>8164.41</v>
      </c>
      <c r="BQ494" s="49">
        <v>1136.2</v>
      </c>
      <c r="BR494" s="49">
        <v>281.58999999999997</v>
      </c>
      <c r="BS494" s="49">
        <v>560.29</v>
      </c>
      <c r="BT494" s="49">
        <v>4.9691999999999998</v>
      </c>
      <c r="BU494" s="41"/>
      <c r="BV494" s="41"/>
      <c r="BW494" s="41"/>
      <c r="BX494" s="41"/>
      <c r="BY494" s="41"/>
      <c r="BZ494" s="41"/>
      <c r="CA494" s="41"/>
      <c r="CB494" s="41"/>
      <c r="CC494" s="41"/>
      <c r="CD494" s="41"/>
      <c r="CE494" s="41"/>
      <c r="CF494" s="41"/>
      <c r="CG494" s="41"/>
      <c r="CH494" s="41"/>
      <c r="CI494" s="41"/>
      <c r="CJ494" s="41"/>
      <c r="CK494" s="41"/>
    </row>
    <row r="495" spans="1:89">
      <c r="A495" s="41" t="s">
        <v>624</v>
      </c>
      <c r="B495" s="51">
        <v>29.262899999999998</v>
      </c>
      <c r="C495" s="51">
        <v>29.43</v>
      </c>
      <c r="D495" s="51">
        <v>27.0504</v>
      </c>
      <c r="E495" s="51">
        <v>31.308299999999999</v>
      </c>
      <c r="F495" s="51">
        <v>25.6</v>
      </c>
      <c r="G495" s="51">
        <v>27</v>
      </c>
      <c r="H495" s="51">
        <v>4.41</v>
      </c>
      <c r="I495" s="51">
        <v>4.01</v>
      </c>
      <c r="J495" s="51">
        <v>4.84</v>
      </c>
      <c r="K495" s="51">
        <v>75.894775487410001</v>
      </c>
      <c r="L495" s="51">
        <v>0.88649999999999995</v>
      </c>
      <c r="M495" s="51">
        <v>1.6958</v>
      </c>
      <c r="N495" s="51">
        <v>0.84330000000000005</v>
      </c>
      <c r="O495" s="51">
        <v>1.9513</v>
      </c>
      <c r="P495" s="51">
        <v>1.7564</v>
      </c>
      <c r="Q495" s="51">
        <v>1.9974000000000001</v>
      </c>
      <c r="R495" s="51">
        <v>2.1</v>
      </c>
      <c r="S495" s="51">
        <v>371</v>
      </c>
      <c r="T495" s="51">
        <v>864.55</v>
      </c>
      <c r="U495" s="51">
        <v>407.3</v>
      </c>
      <c r="V495" s="51">
        <v>754.36</v>
      </c>
      <c r="W495" s="51">
        <v>306</v>
      </c>
      <c r="X495" s="51">
        <v>366</v>
      </c>
      <c r="Y495" s="51">
        <v>198</v>
      </c>
      <c r="Z495" s="51">
        <v>328.92</v>
      </c>
      <c r="AA495" s="51">
        <v>190.26</v>
      </c>
      <c r="AB495" s="51" t="s">
        <v>1574</v>
      </c>
      <c r="AC495" s="51" t="s">
        <v>1574</v>
      </c>
      <c r="AD495" s="51">
        <v>75.13</v>
      </c>
      <c r="AE495" s="51">
        <v>75.58</v>
      </c>
      <c r="AF495" s="51">
        <v>76.81</v>
      </c>
      <c r="AG495" s="51">
        <v>186.5</v>
      </c>
      <c r="AH495" s="51">
        <v>164.25</v>
      </c>
      <c r="AI495" s="51">
        <v>143.75</v>
      </c>
      <c r="AJ495" s="51" t="s">
        <v>1574</v>
      </c>
      <c r="AK495" s="51">
        <v>90.87</v>
      </c>
      <c r="AL495" s="51">
        <v>108.36</v>
      </c>
      <c r="AM495" s="51">
        <v>0.62136999999999998</v>
      </c>
      <c r="AN495" s="51">
        <v>0.33413999999999999</v>
      </c>
      <c r="AO495" s="51">
        <v>0.39232</v>
      </c>
      <c r="AP495" s="51">
        <v>1.8858319480000001</v>
      </c>
      <c r="AQ495" s="51">
        <v>1.3265198540000001</v>
      </c>
      <c r="AR495" s="51">
        <v>2.5808</v>
      </c>
      <c r="AS495" s="51">
        <v>14.109567999999999</v>
      </c>
      <c r="AT495" s="51">
        <v>0.55069999999999997</v>
      </c>
      <c r="AU495" s="51">
        <v>0.4163</v>
      </c>
      <c r="AV495" s="51">
        <v>0.23019999999999999</v>
      </c>
      <c r="AW495" s="51">
        <v>2970.09</v>
      </c>
      <c r="AX495" s="51">
        <v>278.19</v>
      </c>
      <c r="AY495" s="51">
        <v>191.08</v>
      </c>
      <c r="AZ495" s="51">
        <v>506.45191203429999</v>
      </c>
      <c r="BA495" s="51">
        <v>604.89510489510997</v>
      </c>
      <c r="BB495" s="51">
        <v>443.86</v>
      </c>
      <c r="BC495" s="51">
        <v>1.3424</v>
      </c>
      <c r="BD495" s="51">
        <v>0.60729999999999995</v>
      </c>
      <c r="BE495" s="51">
        <v>0.66080000000000005</v>
      </c>
      <c r="BF495" s="51">
        <v>44</v>
      </c>
      <c r="BG495" s="51">
        <v>148.625</v>
      </c>
      <c r="BH495" s="51">
        <v>142.5</v>
      </c>
      <c r="BI495" s="51">
        <v>133.375</v>
      </c>
      <c r="BJ495" s="51">
        <v>112.5</v>
      </c>
      <c r="BK495" s="51">
        <v>1527.63</v>
      </c>
      <c r="BL495" s="51">
        <v>28.79</v>
      </c>
      <c r="BM495" s="51">
        <v>1855.86</v>
      </c>
      <c r="BN495" s="51">
        <v>473.1</v>
      </c>
      <c r="BO495" s="51">
        <v>5304.8</v>
      </c>
      <c r="BP495" s="51">
        <v>8006.71</v>
      </c>
      <c r="BQ495" s="51">
        <v>1169.8</v>
      </c>
      <c r="BR495" s="51">
        <v>274.47000000000003</v>
      </c>
      <c r="BS495" s="51">
        <v>577.61</v>
      </c>
      <c r="BT495" s="51">
        <v>4.8864000000000001</v>
      </c>
      <c r="BU495" s="41"/>
      <c r="BV495" s="41"/>
      <c r="BW495" s="41"/>
      <c r="BX495" s="41"/>
      <c r="BY495" s="41"/>
      <c r="BZ495" s="41"/>
      <c r="CA495" s="41"/>
      <c r="CB495" s="41"/>
      <c r="CC495" s="41"/>
      <c r="CD495" s="41"/>
      <c r="CE495" s="41"/>
      <c r="CF495" s="41"/>
      <c r="CG495" s="41"/>
      <c r="CH495" s="41"/>
      <c r="CI495" s="41"/>
      <c r="CJ495" s="41"/>
      <c r="CK495" s="41"/>
    </row>
    <row r="496" spans="1:89">
      <c r="A496" s="48" t="s">
        <v>625</v>
      </c>
      <c r="B496" s="49">
        <v>32.082833333330001</v>
      </c>
      <c r="C496" s="49">
        <v>32.621000000000002</v>
      </c>
      <c r="D496" s="49">
        <v>29.741499999999998</v>
      </c>
      <c r="E496" s="49">
        <v>33.886000000000003</v>
      </c>
      <c r="F496" s="49">
        <v>27.15</v>
      </c>
      <c r="G496" s="49">
        <v>27</v>
      </c>
      <c r="H496" s="49">
        <v>5.0599999999999996</v>
      </c>
      <c r="I496" s="49">
        <v>4.03</v>
      </c>
      <c r="J496" s="49">
        <v>4.9000000000000004</v>
      </c>
      <c r="K496" s="49">
        <v>83.923697013430001</v>
      </c>
      <c r="L496" s="49">
        <v>0.88270000000000004</v>
      </c>
      <c r="M496" s="49">
        <v>1.6707000000000001</v>
      </c>
      <c r="N496" s="49">
        <v>0.85609999999999997</v>
      </c>
      <c r="O496" s="49">
        <v>1.9611000000000001</v>
      </c>
      <c r="P496" s="49">
        <v>1.8755999999999999</v>
      </c>
      <c r="Q496" s="49">
        <v>1.9003000000000001</v>
      </c>
      <c r="R496" s="49">
        <v>2.1074999999999999</v>
      </c>
      <c r="S496" s="49">
        <v>332</v>
      </c>
      <c r="T496" s="49">
        <v>880</v>
      </c>
      <c r="U496" s="49">
        <v>395.19</v>
      </c>
      <c r="V496" s="49">
        <v>760.59</v>
      </c>
      <c r="W496" s="49">
        <v>288</v>
      </c>
      <c r="X496" s="49">
        <v>326</v>
      </c>
      <c r="Y496" s="49">
        <v>209</v>
      </c>
      <c r="Z496" s="49">
        <v>312.49</v>
      </c>
      <c r="AA496" s="49">
        <v>206.52</v>
      </c>
      <c r="AB496" s="49" t="s">
        <v>1574</v>
      </c>
      <c r="AC496" s="49" t="s">
        <v>1574</v>
      </c>
      <c r="AD496" s="49">
        <v>73.209999999999994</v>
      </c>
      <c r="AE496" s="49">
        <v>80.430000000000007</v>
      </c>
      <c r="AF496" s="49">
        <v>82.7</v>
      </c>
      <c r="AG496" s="49">
        <v>179</v>
      </c>
      <c r="AH496" s="49">
        <v>161</v>
      </c>
      <c r="AI496" s="49">
        <v>143.66666666667001</v>
      </c>
      <c r="AJ496" s="49" t="s">
        <v>1574</v>
      </c>
      <c r="AK496" s="49">
        <v>97.88</v>
      </c>
      <c r="AL496" s="49">
        <v>117.49</v>
      </c>
      <c r="AM496" s="49">
        <v>0.57616000000000001</v>
      </c>
      <c r="AN496" s="49">
        <v>0.42163</v>
      </c>
      <c r="AO496" s="49">
        <v>0.36470999999999998</v>
      </c>
      <c r="AP496" s="49">
        <v>1.8117567160000001</v>
      </c>
      <c r="AQ496" s="49">
        <v>1.36025054</v>
      </c>
      <c r="AR496" s="49">
        <v>2.4817</v>
      </c>
      <c r="AS496" s="49">
        <v>13.558413</v>
      </c>
      <c r="AT496" s="49">
        <v>0.52449999999999997</v>
      </c>
      <c r="AU496" s="49">
        <v>0.43140000000000001</v>
      </c>
      <c r="AV496" s="49">
        <v>0.22109999999999999</v>
      </c>
      <c r="AW496" s="49">
        <v>2938.45</v>
      </c>
      <c r="AX496" s="49">
        <v>259.19</v>
      </c>
      <c r="AY496" s="49">
        <v>193.57</v>
      </c>
      <c r="AZ496" s="49">
        <v>471.85736350029998</v>
      </c>
      <c r="BA496" s="49">
        <v>541.95804195803998</v>
      </c>
      <c r="BB496" s="49">
        <v>459.01</v>
      </c>
      <c r="BC496" s="49">
        <v>1.3591</v>
      </c>
      <c r="BD496" s="49">
        <v>0.60489999999999999</v>
      </c>
      <c r="BE496" s="49">
        <v>0.65720000000000001</v>
      </c>
      <c r="BF496" s="49">
        <v>44</v>
      </c>
      <c r="BG496" s="49">
        <v>157.5</v>
      </c>
      <c r="BH496" s="49">
        <v>142.5</v>
      </c>
      <c r="BI496" s="49">
        <v>113.875</v>
      </c>
      <c r="BJ496" s="49">
        <v>112.5</v>
      </c>
      <c r="BK496" s="49">
        <v>1601.21</v>
      </c>
      <c r="BL496" s="49">
        <v>28.79</v>
      </c>
      <c r="BM496" s="49">
        <v>1960.41</v>
      </c>
      <c r="BN496" s="49">
        <v>487.1</v>
      </c>
      <c r="BO496" s="49">
        <v>5474.3</v>
      </c>
      <c r="BP496" s="49">
        <v>8637.98</v>
      </c>
      <c r="BQ496" s="49">
        <v>1224.4000000000001</v>
      </c>
      <c r="BR496" s="49">
        <v>273.68</v>
      </c>
      <c r="BS496" s="49">
        <v>591.9</v>
      </c>
      <c r="BT496" s="49">
        <v>4.8903999999999996</v>
      </c>
      <c r="BU496" s="41"/>
      <c r="BV496" s="41"/>
      <c r="BW496" s="41"/>
      <c r="BX496" s="41"/>
      <c r="BY496" s="41"/>
      <c r="BZ496" s="41"/>
      <c r="CA496" s="41"/>
      <c r="CB496" s="41"/>
      <c r="CC496" s="41"/>
      <c r="CD496" s="41"/>
      <c r="CE496" s="41"/>
      <c r="CF496" s="41"/>
      <c r="CG496" s="41"/>
      <c r="CH496" s="41"/>
      <c r="CI496" s="41"/>
      <c r="CJ496" s="41"/>
      <c r="CK496" s="41"/>
    </row>
    <row r="497" spans="1:89">
      <c r="A497" s="41" t="s">
        <v>626</v>
      </c>
      <c r="B497" s="51">
        <v>31.40016666667</v>
      </c>
      <c r="C497" s="51">
        <v>30.932300000000001</v>
      </c>
      <c r="D497" s="51">
        <v>30.222300000000001</v>
      </c>
      <c r="E497" s="51">
        <v>33.045900000000003</v>
      </c>
      <c r="F497" s="51">
        <v>27.15</v>
      </c>
      <c r="G497" s="51">
        <v>28.18</v>
      </c>
      <c r="H497" s="51">
        <v>5.0199999999999996</v>
      </c>
      <c r="I497" s="51">
        <v>4.3099999999999996</v>
      </c>
      <c r="J497" s="51">
        <v>5.04</v>
      </c>
      <c r="K497" s="51">
        <v>84.863923536049995</v>
      </c>
      <c r="L497" s="51">
        <v>0.87770000000000004</v>
      </c>
      <c r="M497" s="51">
        <v>1.6900999999999999</v>
      </c>
      <c r="N497" s="51">
        <v>0.79669999999999996</v>
      </c>
      <c r="O497" s="51">
        <v>1.8917999999999999</v>
      </c>
      <c r="P497" s="51">
        <v>1.9144000000000001</v>
      </c>
      <c r="Q497" s="51">
        <v>1.7950999999999999</v>
      </c>
      <c r="R497" s="51">
        <v>1.966</v>
      </c>
      <c r="S497" s="51">
        <v>340</v>
      </c>
      <c r="T497" s="51">
        <v>871.82</v>
      </c>
      <c r="U497" s="51">
        <v>379.2</v>
      </c>
      <c r="V497" s="51">
        <v>754.58</v>
      </c>
      <c r="W497" s="51">
        <v>255</v>
      </c>
      <c r="X497" s="51">
        <v>318</v>
      </c>
      <c r="Y497" s="51">
        <v>203</v>
      </c>
      <c r="Z497" s="51">
        <v>314.02</v>
      </c>
      <c r="AA497" s="51">
        <v>205.32</v>
      </c>
      <c r="AB497" s="51" t="s">
        <v>1574</v>
      </c>
      <c r="AC497" s="51" t="s">
        <v>1574</v>
      </c>
      <c r="AD497" s="51">
        <v>76.150000000000006</v>
      </c>
      <c r="AE497" s="51">
        <v>85.03</v>
      </c>
      <c r="AF497" s="51">
        <v>89.92</v>
      </c>
      <c r="AG497" s="51">
        <v>187.5</v>
      </c>
      <c r="AH497" s="51">
        <v>163.25</v>
      </c>
      <c r="AI497" s="51">
        <v>136.75</v>
      </c>
      <c r="AJ497" s="51" t="s">
        <v>1574</v>
      </c>
      <c r="AK497" s="51">
        <v>104.33</v>
      </c>
      <c r="AL497" s="51">
        <v>128.18</v>
      </c>
      <c r="AM497" s="51">
        <v>0.56006999999999996</v>
      </c>
      <c r="AN497" s="51">
        <v>0.38235999999999998</v>
      </c>
      <c r="AO497" s="51">
        <v>0.37984000000000001</v>
      </c>
      <c r="AP497" s="51">
        <v>1.8199138100000001</v>
      </c>
      <c r="AQ497" s="51">
        <v>1.356502686</v>
      </c>
      <c r="AR497" s="51">
        <v>2.5352000000000001</v>
      </c>
      <c r="AS497" s="51">
        <v>13.007258</v>
      </c>
      <c r="AT497" s="51">
        <v>0.53069999999999995</v>
      </c>
      <c r="AU497" s="51">
        <v>0.47599999999999998</v>
      </c>
      <c r="AV497" s="51">
        <v>0.23699999999999999</v>
      </c>
      <c r="AW497" s="51">
        <v>2970.72</v>
      </c>
      <c r="AX497" s="51">
        <v>254.12</v>
      </c>
      <c r="AY497" s="51">
        <v>189.44</v>
      </c>
      <c r="AZ497" s="51">
        <v>462.62510425354998</v>
      </c>
      <c r="BA497" s="51">
        <v>538.46153846154004</v>
      </c>
      <c r="BB497" s="51">
        <v>452</v>
      </c>
      <c r="BC497" s="51">
        <v>1.3425</v>
      </c>
      <c r="BD497" s="51">
        <v>0.60560000000000003</v>
      </c>
      <c r="BE497" s="51">
        <v>0.66339999999999999</v>
      </c>
      <c r="BF497" s="51">
        <v>44</v>
      </c>
      <c r="BG497" s="51">
        <v>155.9</v>
      </c>
      <c r="BH497" s="51">
        <v>141.25</v>
      </c>
      <c r="BI497" s="51">
        <v>111.1</v>
      </c>
      <c r="BJ497" s="51">
        <v>112.5</v>
      </c>
      <c r="BK497" s="51">
        <v>1500.24</v>
      </c>
      <c r="BL497" s="51">
        <v>28.79</v>
      </c>
      <c r="BM497" s="51">
        <v>1898.59</v>
      </c>
      <c r="BN497" s="51">
        <v>486.1</v>
      </c>
      <c r="BO497" s="51">
        <v>5282.3</v>
      </c>
      <c r="BP497" s="51">
        <v>7678.07</v>
      </c>
      <c r="BQ497" s="51">
        <v>1095.9000000000001</v>
      </c>
      <c r="BR497" s="51">
        <v>270</v>
      </c>
      <c r="BS497" s="51">
        <v>579.72</v>
      </c>
      <c r="BT497" s="51">
        <v>4.8301999999999996</v>
      </c>
      <c r="BU497" s="41"/>
      <c r="BV497" s="41"/>
      <c r="BW497" s="41"/>
      <c r="BX497" s="41"/>
      <c r="BY497" s="41"/>
      <c r="BZ497" s="41"/>
      <c r="CA497" s="41"/>
      <c r="CB497" s="41"/>
      <c r="CC497" s="41"/>
      <c r="CD497" s="41"/>
      <c r="CE497" s="41"/>
      <c r="CF497" s="41"/>
      <c r="CG497" s="41"/>
      <c r="CH497" s="41"/>
      <c r="CI497" s="41"/>
      <c r="CJ497" s="41"/>
      <c r="CK497" s="41"/>
    </row>
    <row r="498" spans="1:89">
      <c r="A498" s="48" t="s">
        <v>627</v>
      </c>
      <c r="B498" s="49">
        <v>32.331000000000003</v>
      </c>
      <c r="C498" s="49">
        <v>32.524090909089999</v>
      </c>
      <c r="D498" s="49">
        <v>30.100909090910001</v>
      </c>
      <c r="E498" s="49">
        <v>34.368000000000002</v>
      </c>
      <c r="F498" s="49">
        <v>27.15</v>
      </c>
      <c r="G498" s="49">
        <v>26.17</v>
      </c>
      <c r="H498" s="49">
        <v>5.55</v>
      </c>
      <c r="I498" s="49">
        <v>4.3899999999999997</v>
      </c>
      <c r="J498" s="49">
        <v>5.13</v>
      </c>
      <c r="K498" s="49">
        <v>91.741203471290007</v>
      </c>
      <c r="L498" s="49">
        <v>0.87960000000000005</v>
      </c>
      <c r="M498" s="49">
        <v>1.5771999999999999</v>
      </c>
      <c r="N498" s="49">
        <v>0.72330000000000005</v>
      </c>
      <c r="O498" s="49">
        <v>1.8187</v>
      </c>
      <c r="P498" s="49">
        <v>1.8724000000000001</v>
      </c>
      <c r="Q498" s="49">
        <v>1.5786</v>
      </c>
      <c r="R498" s="49">
        <v>2.0049999999999999</v>
      </c>
      <c r="S498" s="49">
        <v>367</v>
      </c>
      <c r="T498" s="49">
        <v>899.52</v>
      </c>
      <c r="U498" s="49">
        <v>376.36</v>
      </c>
      <c r="V498" s="49">
        <v>769.61</v>
      </c>
      <c r="W498" s="49">
        <v>257</v>
      </c>
      <c r="X498" s="49">
        <v>354</v>
      </c>
      <c r="Y498" s="49">
        <v>206</v>
      </c>
      <c r="Z498" s="49">
        <v>316.77999999999997</v>
      </c>
      <c r="AA498" s="49">
        <v>214.64</v>
      </c>
      <c r="AB498" s="49" t="s">
        <v>1574</v>
      </c>
      <c r="AC498" s="49" t="s">
        <v>1574</v>
      </c>
      <c r="AD498" s="49">
        <v>82.46</v>
      </c>
      <c r="AE498" s="49">
        <v>89.17</v>
      </c>
      <c r="AF498" s="49">
        <v>96.12</v>
      </c>
      <c r="AG498" s="49">
        <v>185</v>
      </c>
      <c r="AH498" s="49">
        <v>158</v>
      </c>
      <c r="AI498" s="49">
        <v>127.75</v>
      </c>
      <c r="AJ498" s="49" t="s">
        <v>1574</v>
      </c>
      <c r="AK498" s="49">
        <v>103.21</v>
      </c>
      <c r="AL498" s="49">
        <v>127.73</v>
      </c>
      <c r="AM498" s="49">
        <v>0.61048999999999998</v>
      </c>
      <c r="AN498" s="49">
        <v>0.3679</v>
      </c>
      <c r="AO498" s="49">
        <v>0.36420999999999998</v>
      </c>
      <c r="AP498" s="49">
        <v>1.96762335</v>
      </c>
      <c r="AQ498" s="49">
        <v>1.3558413</v>
      </c>
      <c r="AR498" s="49">
        <v>2.5920999999999998</v>
      </c>
      <c r="AS498" s="49">
        <v>13.007258</v>
      </c>
      <c r="AT498" s="49">
        <v>0.52129999999999999</v>
      </c>
      <c r="AU498" s="49">
        <v>0.47989999999999999</v>
      </c>
      <c r="AV498" s="49">
        <v>0.21890000000000001</v>
      </c>
      <c r="AW498" s="49">
        <v>2948.7</v>
      </c>
      <c r="AX498" s="49">
        <v>254.56</v>
      </c>
      <c r="AY498" s="49">
        <v>188.11</v>
      </c>
      <c r="AZ498" s="49">
        <v>469.94934990339999</v>
      </c>
      <c r="BA498" s="49">
        <v>517.48251748252005</v>
      </c>
      <c r="BB498" s="49">
        <v>449.99</v>
      </c>
      <c r="BC498" s="49">
        <v>1.4105000000000001</v>
      </c>
      <c r="BD498" s="49">
        <v>0.60150000000000003</v>
      </c>
      <c r="BE498" s="49">
        <v>0.63370000000000004</v>
      </c>
      <c r="BF498" s="49">
        <v>44</v>
      </c>
      <c r="BG498" s="49">
        <v>153.5</v>
      </c>
      <c r="BH498" s="49">
        <v>129</v>
      </c>
      <c r="BI498" s="49">
        <v>99.375</v>
      </c>
      <c r="BJ498" s="49">
        <v>112.5</v>
      </c>
      <c r="BK498" s="49">
        <v>1473.86</v>
      </c>
      <c r="BL498" s="49">
        <v>28.79</v>
      </c>
      <c r="BM498" s="49">
        <v>1795.11</v>
      </c>
      <c r="BN498" s="49">
        <v>468</v>
      </c>
      <c r="BO498" s="49">
        <v>5269.5</v>
      </c>
      <c r="BP498" s="49">
        <v>7339.77</v>
      </c>
      <c r="BQ498" s="49">
        <v>1059</v>
      </c>
      <c r="BR498" s="49">
        <v>266.01</v>
      </c>
      <c r="BS498" s="49">
        <v>593.34</v>
      </c>
      <c r="BT498" s="49">
        <v>4.6814</v>
      </c>
      <c r="BU498" s="41"/>
      <c r="BV498" s="41"/>
      <c r="BW498" s="41"/>
      <c r="BX498" s="41"/>
      <c r="BY498" s="41"/>
      <c r="BZ498" s="41"/>
      <c r="CA498" s="41"/>
      <c r="CB498" s="41"/>
      <c r="CC498" s="41"/>
      <c r="CD498" s="41"/>
      <c r="CE498" s="41"/>
      <c r="CF498" s="41"/>
      <c r="CG498" s="41"/>
      <c r="CH498" s="41"/>
      <c r="CI498" s="41"/>
      <c r="CJ498" s="41"/>
      <c r="CK498" s="41"/>
    </row>
    <row r="499" spans="1:89">
      <c r="A499" s="41" t="s">
        <v>628</v>
      </c>
      <c r="B499" s="51">
        <v>25.204666666670001</v>
      </c>
      <c r="C499" s="51">
        <v>25.125499999999999</v>
      </c>
      <c r="D499" s="51">
        <v>22.085999999999999</v>
      </c>
      <c r="E499" s="51">
        <v>28.4025</v>
      </c>
      <c r="F499" s="51">
        <v>30.75</v>
      </c>
      <c r="G499" s="51">
        <v>34.700000000000003</v>
      </c>
      <c r="H499" s="51">
        <v>8.9499999999999993</v>
      </c>
      <c r="I499" s="51">
        <v>4.4400000000000004</v>
      </c>
      <c r="J499" s="51">
        <v>5.05</v>
      </c>
      <c r="K499" s="51">
        <v>133.21217067412999</v>
      </c>
      <c r="L499" s="51">
        <v>0.89280000000000004</v>
      </c>
      <c r="M499" s="51">
        <v>1.4585999999999999</v>
      </c>
      <c r="N499" s="51">
        <v>0.66979999999999995</v>
      </c>
      <c r="O499" s="51">
        <v>1.7959000000000001</v>
      </c>
      <c r="P499" s="51">
        <v>1.8705000000000001</v>
      </c>
      <c r="Q499" s="51">
        <v>1.5936999999999999</v>
      </c>
      <c r="R499" s="51">
        <v>1.9233</v>
      </c>
      <c r="S499" s="51">
        <v>329</v>
      </c>
      <c r="T499" s="51">
        <v>880</v>
      </c>
      <c r="U499" s="51">
        <v>438.08</v>
      </c>
      <c r="V499" s="51">
        <v>806.79</v>
      </c>
      <c r="W499" s="51">
        <v>265</v>
      </c>
      <c r="X499" s="51">
        <v>317</v>
      </c>
      <c r="Y499" s="51">
        <v>217</v>
      </c>
      <c r="Z499" s="51">
        <v>320.57</v>
      </c>
      <c r="AA499" s="51">
        <v>235.15</v>
      </c>
      <c r="AB499" s="51" t="s">
        <v>1574</v>
      </c>
      <c r="AC499" s="51" t="s">
        <v>1574</v>
      </c>
      <c r="AD499" s="51">
        <v>86.6</v>
      </c>
      <c r="AE499" s="51">
        <v>97.56</v>
      </c>
      <c r="AF499" s="51">
        <v>100.45</v>
      </c>
      <c r="AG499" s="51">
        <v>184.25</v>
      </c>
      <c r="AH499" s="51">
        <v>158.25</v>
      </c>
      <c r="AI499" s="51">
        <v>129.5</v>
      </c>
      <c r="AJ499" s="51" t="s">
        <v>1574</v>
      </c>
      <c r="AK499" s="51">
        <v>104.95</v>
      </c>
      <c r="AL499" s="51">
        <v>128.09</v>
      </c>
      <c r="AM499" s="51">
        <v>0.71403000000000005</v>
      </c>
      <c r="AN499" s="51">
        <v>0.44780999999999999</v>
      </c>
      <c r="AO499" s="51">
        <v>0.30902000000000002</v>
      </c>
      <c r="AP499" s="51">
        <v>1.93014481</v>
      </c>
      <c r="AQ499" s="51">
        <v>1.3558413</v>
      </c>
      <c r="AR499" s="51">
        <v>2.6892999999999998</v>
      </c>
      <c r="AS499" s="51">
        <v>13.007258</v>
      </c>
      <c r="AT499" s="51">
        <v>0.53469751170000002</v>
      </c>
      <c r="AU499" s="51">
        <v>0.4708</v>
      </c>
      <c r="AV499" s="51">
        <v>0.22090000000000001</v>
      </c>
      <c r="AW499" s="51">
        <v>2893.94</v>
      </c>
      <c r="AX499" s="51">
        <v>266.63</v>
      </c>
      <c r="AY499" s="51">
        <v>180.16</v>
      </c>
      <c r="AZ499" s="51">
        <v>485.41034265868001</v>
      </c>
      <c r="BA499" s="51">
        <v>510.48951048951</v>
      </c>
      <c r="BB499" s="51">
        <v>436.7</v>
      </c>
      <c r="BC499" s="51">
        <v>1.452</v>
      </c>
      <c r="BD499" s="51">
        <v>0.60260000000000002</v>
      </c>
      <c r="BE499" s="51">
        <v>0.6179</v>
      </c>
      <c r="BF499" s="51">
        <v>44</v>
      </c>
      <c r="BG499" s="51">
        <v>153.5</v>
      </c>
      <c r="BH499" s="51">
        <v>129</v>
      </c>
      <c r="BI499" s="51">
        <v>96</v>
      </c>
      <c r="BJ499" s="51">
        <v>112.5</v>
      </c>
      <c r="BK499" s="51">
        <v>1565.41</v>
      </c>
      <c r="BL499" s="51">
        <v>28.79</v>
      </c>
      <c r="BM499" s="51">
        <v>1850.55</v>
      </c>
      <c r="BN499" s="51">
        <v>462.3</v>
      </c>
      <c r="BO499" s="51">
        <v>5233.7</v>
      </c>
      <c r="BP499" s="51">
        <v>7314.34</v>
      </c>
      <c r="BQ499" s="51">
        <v>1059.8</v>
      </c>
      <c r="BR499" s="51">
        <v>271.45</v>
      </c>
      <c r="BS499" s="51">
        <v>609.5</v>
      </c>
      <c r="BT499" s="51">
        <v>4.6398000000000001</v>
      </c>
      <c r="BU499" s="41"/>
      <c r="BV499" s="41"/>
      <c r="BW499" s="41"/>
      <c r="BX499" s="41"/>
      <c r="BY499" s="41"/>
      <c r="BZ499" s="41"/>
      <c r="CA499" s="41"/>
      <c r="CB499" s="41"/>
      <c r="CC499" s="41"/>
      <c r="CD499" s="41"/>
      <c r="CE499" s="41"/>
      <c r="CF499" s="41"/>
      <c r="CG499" s="41"/>
      <c r="CH499" s="41"/>
      <c r="CI499" s="41"/>
      <c r="CJ499" s="41"/>
      <c r="CK499" s="41"/>
    </row>
    <row r="500" spans="1:89">
      <c r="A500" s="48" t="s">
        <v>629</v>
      </c>
      <c r="B500" s="49">
        <v>25.957272727269999</v>
      </c>
      <c r="C500" s="49">
        <v>25.636363636359999</v>
      </c>
      <c r="D500" s="49">
        <v>22.68545454545</v>
      </c>
      <c r="E500" s="49">
        <v>29.55</v>
      </c>
      <c r="F500" s="49">
        <v>32.1</v>
      </c>
      <c r="G500" s="49">
        <v>34.950000000000003</v>
      </c>
      <c r="H500" s="49">
        <v>8.17</v>
      </c>
      <c r="I500" s="49">
        <v>4.6500000000000004</v>
      </c>
      <c r="J500" s="49">
        <v>4.88</v>
      </c>
      <c r="K500" s="49">
        <v>124.62349996137</v>
      </c>
      <c r="L500" s="49">
        <v>0.996</v>
      </c>
      <c r="M500" s="49">
        <v>1.4545999999999999</v>
      </c>
      <c r="N500" s="49">
        <v>0.71430000000000005</v>
      </c>
      <c r="O500" s="49">
        <v>1.8451</v>
      </c>
      <c r="P500" s="49">
        <v>1.8511</v>
      </c>
      <c r="Q500" s="49">
        <v>1.8123</v>
      </c>
      <c r="R500" s="49">
        <v>1.8720000000000001</v>
      </c>
      <c r="S500" s="49">
        <v>319</v>
      </c>
      <c r="T500" s="49">
        <v>907.27</v>
      </c>
      <c r="U500" s="49">
        <v>485.75</v>
      </c>
      <c r="V500" s="49">
        <v>815.71</v>
      </c>
      <c r="W500" s="49">
        <v>254</v>
      </c>
      <c r="X500" s="49">
        <v>304</v>
      </c>
      <c r="Y500" s="49">
        <v>210</v>
      </c>
      <c r="Z500" s="49">
        <v>304.81</v>
      </c>
      <c r="AA500" s="49">
        <v>223.35</v>
      </c>
      <c r="AB500" s="49" t="s">
        <v>1574</v>
      </c>
      <c r="AC500" s="49" t="s">
        <v>1574</v>
      </c>
      <c r="AD500" s="49">
        <v>85.75</v>
      </c>
      <c r="AE500" s="49">
        <v>95.15</v>
      </c>
      <c r="AF500" s="49">
        <v>101.08</v>
      </c>
      <c r="AG500" s="49">
        <v>184.4</v>
      </c>
      <c r="AH500" s="49">
        <v>158.19999999999999</v>
      </c>
      <c r="AI500" s="49">
        <v>134.19999999999999</v>
      </c>
      <c r="AJ500" s="49" t="s">
        <v>1574</v>
      </c>
      <c r="AK500" s="49">
        <v>110.37</v>
      </c>
      <c r="AL500" s="49">
        <v>132.84</v>
      </c>
      <c r="AM500" s="49">
        <v>0.80764999999999998</v>
      </c>
      <c r="AN500" s="49">
        <v>0.53461999999999998</v>
      </c>
      <c r="AO500" s="49">
        <v>0.34893000000000002</v>
      </c>
      <c r="AP500" s="49">
        <v>1.9255151079999999</v>
      </c>
      <c r="AQ500" s="49">
        <v>1.3567231479999999</v>
      </c>
      <c r="AR500" s="49">
        <v>2.7774000000000001</v>
      </c>
      <c r="AS500" s="49">
        <v>13.778874999999999</v>
      </c>
      <c r="AT500" s="49">
        <v>0.53021110999999999</v>
      </c>
      <c r="AU500" s="49">
        <v>0.47310000000000002</v>
      </c>
      <c r="AV500" s="49">
        <v>0.22750000000000001</v>
      </c>
      <c r="AW500" s="49">
        <v>2909.81</v>
      </c>
      <c r="AX500" s="49">
        <v>278.89</v>
      </c>
      <c r="AY500" s="49">
        <v>171.87</v>
      </c>
      <c r="AZ500" s="49">
        <v>507.71585074583999</v>
      </c>
      <c r="BA500" s="49">
        <v>496.5034965035</v>
      </c>
      <c r="BB500" s="49">
        <v>427</v>
      </c>
      <c r="BC500" s="49">
        <v>1.4148000000000001</v>
      </c>
      <c r="BD500" s="49">
        <v>0.59860000000000002</v>
      </c>
      <c r="BE500" s="49">
        <v>0.60880000000000001</v>
      </c>
      <c r="BF500" s="49">
        <v>44</v>
      </c>
      <c r="BG500" s="49">
        <v>154.5</v>
      </c>
      <c r="BH500" s="49">
        <v>129</v>
      </c>
      <c r="BI500" s="49">
        <v>121</v>
      </c>
      <c r="BJ500" s="49">
        <v>112.5</v>
      </c>
      <c r="BK500" s="49">
        <v>1615.65</v>
      </c>
      <c r="BL500" s="49">
        <v>30.03</v>
      </c>
      <c r="BM500" s="49">
        <v>1787.5</v>
      </c>
      <c r="BN500" s="49">
        <v>478.1</v>
      </c>
      <c r="BO500" s="49">
        <v>5170.5</v>
      </c>
      <c r="BP500" s="49">
        <v>6994.77</v>
      </c>
      <c r="BQ500" s="49">
        <v>1033.0999999999999</v>
      </c>
      <c r="BR500" s="49">
        <v>265.49</v>
      </c>
      <c r="BS500" s="49">
        <v>620.47</v>
      </c>
      <c r="BT500" s="49">
        <v>4.6570999999999998</v>
      </c>
      <c r="BU500" s="41"/>
      <c r="BV500" s="41"/>
      <c r="BW500" s="41"/>
      <c r="BX500" s="41"/>
      <c r="BY500" s="41"/>
      <c r="BZ500" s="41"/>
      <c r="CA500" s="41"/>
      <c r="CB500" s="41"/>
      <c r="CC500" s="41"/>
      <c r="CD500" s="41"/>
      <c r="CE500" s="41"/>
      <c r="CF500" s="41"/>
      <c r="CG500" s="41"/>
      <c r="CH500" s="41"/>
      <c r="CI500" s="41"/>
      <c r="CJ500" s="41"/>
      <c r="CK500" s="41"/>
    </row>
    <row r="501" spans="1:89">
      <c r="A501" s="41" t="s">
        <v>630</v>
      </c>
      <c r="B501" s="51">
        <v>27.23883333333</v>
      </c>
      <c r="C501" s="51">
        <v>27.405999999999999</v>
      </c>
      <c r="D501" s="51">
        <v>24.742000000000001</v>
      </c>
      <c r="E501" s="51">
        <v>29.5685</v>
      </c>
      <c r="F501" s="51">
        <v>32.1</v>
      </c>
      <c r="G501" s="51">
        <v>34.35</v>
      </c>
      <c r="H501" s="51">
        <v>5.63</v>
      </c>
      <c r="I501" s="51">
        <v>4.59</v>
      </c>
      <c r="J501" s="51">
        <v>4.8</v>
      </c>
      <c r="K501" s="51">
        <v>93.439894737740005</v>
      </c>
      <c r="L501" s="51">
        <v>0.89259999999999995</v>
      </c>
      <c r="M501" s="51">
        <v>1.4813000000000001</v>
      </c>
      <c r="N501" s="51">
        <v>0.69620000000000004</v>
      </c>
      <c r="O501" s="51">
        <v>1.7043999999999999</v>
      </c>
      <c r="P501" s="51">
        <v>1.7850999999999999</v>
      </c>
      <c r="Q501" s="51">
        <v>1.6054999999999999</v>
      </c>
      <c r="R501" s="51">
        <v>1.7224999999999999</v>
      </c>
      <c r="S501" s="51">
        <v>285</v>
      </c>
      <c r="T501" s="51">
        <v>983.33</v>
      </c>
      <c r="U501" s="51">
        <v>460.29</v>
      </c>
      <c r="V501" s="51">
        <v>811.08</v>
      </c>
      <c r="W501" s="51">
        <v>240</v>
      </c>
      <c r="X501" s="51">
        <v>269</v>
      </c>
      <c r="Y501" s="51">
        <v>200</v>
      </c>
      <c r="Z501" s="51">
        <v>303.77999999999997</v>
      </c>
      <c r="AA501" s="51">
        <v>202.2</v>
      </c>
      <c r="AB501" s="51" t="s">
        <v>1574</v>
      </c>
      <c r="AC501" s="51" t="s">
        <v>1574</v>
      </c>
      <c r="AD501" s="51">
        <v>82.31</v>
      </c>
      <c r="AE501" s="51">
        <v>91.97</v>
      </c>
      <c r="AF501" s="51">
        <v>97.69</v>
      </c>
      <c r="AG501" s="51">
        <v>184.5</v>
      </c>
      <c r="AH501" s="51">
        <v>156.25</v>
      </c>
      <c r="AI501" s="51">
        <v>134.25</v>
      </c>
      <c r="AJ501" s="51" t="s">
        <v>1574</v>
      </c>
      <c r="AK501" s="51">
        <v>106.74</v>
      </c>
      <c r="AL501" s="51">
        <v>128.11000000000001</v>
      </c>
      <c r="AM501" s="51">
        <v>0.91783000000000003</v>
      </c>
      <c r="AN501" s="51">
        <v>0.68722000000000005</v>
      </c>
      <c r="AO501" s="51">
        <v>0.40716999999999998</v>
      </c>
      <c r="AP501" s="51">
        <v>1.9219877160000001</v>
      </c>
      <c r="AQ501" s="51">
        <v>1.3617937739999999</v>
      </c>
      <c r="AR501" s="51">
        <v>2.8584000000000001</v>
      </c>
      <c r="AS501" s="51">
        <v>13.999337000000001</v>
      </c>
      <c r="AT501" s="51">
        <v>0.53153388199999996</v>
      </c>
      <c r="AU501" s="51">
        <v>0.47489999999999999</v>
      </c>
      <c r="AV501" s="51">
        <v>0.21759999999999999</v>
      </c>
      <c r="AW501" s="51">
        <v>2975.29</v>
      </c>
      <c r="AX501" s="51">
        <v>274</v>
      </c>
      <c r="AY501" s="51">
        <v>173.43</v>
      </c>
      <c r="AZ501" s="51">
        <v>492.13290400595997</v>
      </c>
      <c r="BA501" s="51">
        <v>500</v>
      </c>
      <c r="BB501" s="51">
        <v>439.51</v>
      </c>
      <c r="BC501" s="51">
        <v>1.3325</v>
      </c>
      <c r="BD501" s="51">
        <v>0.57110000000000005</v>
      </c>
      <c r="BE501" s="51">
        <v>0.60189999999999999</v>
      </c>
      <c r="BF501" s="51">
        <v>44</v>
      </c>
      <c r="BG501" s="51">
        <v>159</v>
      </c>
      <c r="BH501" s="51">
        <v>129</v>
      </c>
      <c r="BI501" s="51">
        <v>105.25</v>
      </c>
      <c r="BJ501" s="51">
        <v>112.5</v>
      </c>
      <c r="BK501" s="51">
        <v>1604.36</v>
      </c>
      <c r="BL501" s="51">
        <v>30.03</v>
      </c>
      <c r="BM501" s="51">
        <v>1765.65</v>
      </c>
      <c r="BN501" s="51">
        <v>501.8</v>
      </c>
      <c r="BO501" s="51">
        <v>5121.8</v>
      </c>
      <c r="BP501" s="51">
        <v>6524.13</v>
      </c>
      <c r="BQ501" s="51">
        <v>1020.9</v>
      </c>
      <c r="BR501" s="51">
        <v>261.87</v>
      </c>
      <c r="BS501" s="51">
        <v>600.91999999999996</v>
      </c>
      <c r="BT501" s="51">
        <v>4.5574000000000003</v>
      </c>
      <c r="BU501" s="41"/>
      <c r="BV501" s="41"/>
      <c r="BW501" s="41"/>
      <c r="BX501" s="41"/>
      <c r="BY501" s="41"/>
      <c r="BZ501" s="41"/>
      <c r="CA501" s="41"/>
      <c r="CB501" s="41"/>
      <c r="CC501" s="41"/>
      <c r="CD501" s="41"/>
      <c r="CE501" s="41"/>
      <c r="CF501" s="41"/>
      <c r="CG501" s="41"/>
      <c r="CH501" s="41"/>
      <c r="CI501" s="41"/>
      <c r="CJ501" s="41"/>
      <c r="CK501" s="41"/>
    </row>
    <row r="502" spans="1:89">
      <c r="A502" s="48" t="s">
        <v>631</v>
      </c>
      <c r="B502" s="49">
        <v>25.02257575758</v>
      </c>
      <c r="C502" s="49">
        <v>24.395454545450001</v>
      </c>
      <c r="D502" s="49">
        <v>23.433636363640002</v>
      </c>
      <c r="E502" s="49">
        <v>27.238636363640001</v>
      </c>
      <c r="F502" s="49">
        <v>32.6</v>
      </c>
      <c r="G502" s="49">
        <v>35.5</v>
      </c>
      <c r="H502" s="49">
        <v>5.16</v>
      </c>
      <c r="I502" s="49">
        <v>4.57</v>
      </c>
      <c r="J502" s="49">
        <v>4.87</v>
      </c>
      <c r="K502" s="49">
        <v>87.684854578550002</v>
      </c>
      <c r="L502" s="49">
        <v>1.1244000000000001</v>
      </c>
      <c r="M502" s="49">
        <v>1.4661</v>
      </c>
      <c r="N502" s="49">
        <v>0.67290000000000005</v>
      </c>
      <c r="O502" s="49">
        <v>1.5774999999999999</v>
      </c>
      <c r="P502" s="49">
        <v>1.7584</v>
      </c>
      <c r="Q502" s="49">
        <v>1.3017000000000001</v>
      </c>
      <c r="R502" s="49">
        <v>1.6725000000000001</v>
      </c>
      <c r="S502" s="49">
        <v>289</v>
      </c>
      <c r="T502" s="49">
        <v>954.76</v>
      </c>
      <c r="U502" s="49">
        <v>431.31</v>
      </c>
      <c r="V502" s="49">
        <v>780.64</v>
      </c>
      <c r="W502" s="49">
        <v>254</v>
      </c>
      <c r="X502" s="49">
        <v>278</v>
      </c>
      <c r="Y502" s="49">
        <v>195</v>
      </c>
      <c r="Z502" s="49">
        <v>327.63</v>
      </c>
      <c r="AA502" s="49">
        <v>205.27</v>
      </c>
      <c r="AB502" s="49" t="s">
        <v>1574</v>
      </c>
      <c r="AC502" s="49" t="s">
        <v>1574</v>
      </c>
      <c r="AD502" s="49">
        <v>83.07</v>
      </c>
      <c r="AE502" s="49">
        <v>90.25</v>
      </c>
      <c r="AF502" s="49">
        <v>95.6</v>
      </c>
      <c r="AG502" s="49">
        <v>175</v>
      </c>
      <c r="AH502" s="49">
        <v>146.25</v>
      </c>
      <c r="AI502" s="49">
        <v>125.5</v>
      </c>
      <c r="AJ502" s="49" t="s">
        <v>1574</v>
      </c>
      <c r="AK502" s="49">
        <v>103.49</v>
      </c>
      <c r="AL502" s="49">
        <v>130.19999999999999</v>
      </c>
      <c r="AM502" s="49">
        <v>1.0052000000000001</v>
      </c>
      <c r="AN502" s="49">
        <v>0.54081999999999997</v>
      </c>
      <c r="AO502" s="49">
        <v>0.55481000000000003</v>
      </c>
      <c r="AP502" s="49">
        <v>1.9817329180000001</v>
      </c>
      <c r="AQ502" s="49">
        <v>1.3668644000000001</v>
      </c>
      <c r="AR502" s="49">
        <v>2.9390999999999998</v>
      </c>
      <c r="AS502" s="49">
        <v>13.889106</v>
      </c>
      <c r="AT502" s="49">
        <v>0.52839229850000002</v>
      </c>
      <c r="AU502" s="49">
        <v>0.47510000000000002</v>
      </c>
      <c r="AV502" s="49">
        <v>0.2044</v>
      </c>
      <c r="AW502" s="49">
        <v>3032.72</v>
      </c>
      <c r="AX502" s="49">
        <v>268.45999999999998</v>
      </c>
      <c r="AY502" s="49">
        <v>166.15</v>
      </c>
      <c r="AZ502" s="49">
        <v>481.85472768324001</v>
      </c>
      <c r="BA502" s="49">
        <v>500</v>
      </c>
      <c r="BB502" s="49">
        <v>421.06</v>
      </c>
      <c r="BC502" s="49">
        <v>1.2029000000000001</v>
      </c>
      <c r="BD502" s="49">
        <v>0.51819999999999999</v>
      </c>
      <c r="BE502" s="49">
        <v>0.57430000000000003</v>
      </c>
      <c r="BF502" s="49">
        <v>44</v>
      </c>
      <c r="BG502" s="49">
        <v>159.125</v>
      </c>
      <c r="BH502" s="49">
        <v>129</v>
      </c>
      <c r="BI502" s="49">
        <v>98.875</v>
      </c>
      <c r="BJ502" s="49">
        <v>112.5</v>
      </c>
      <c r="BK502" s="49">
        <v>1509.17</v>
      </c>
      <c r="BL502" s="49">
        <v>30.03</v>
      </c>
      <c r="BM502" s="49">
        <v>1738.77</v>
      </c>
      <c r="BN502" s="49">
        <v>498.4</v>
      </c>
      <c r="BO502" s="49">
        <v>5046.3999999999996</v>
      </c>
      <c r="BP502" s="49">
        <v>6133.52</v>
      </c>
      <c r="BQ502" s="49">
        <v>1004.7</v>
      </c>
      <c r="BR502" s="49">
        <v>263.02999999999997</v>
      </c>
      <c r="BS502" s="49">
        <v>584.23</v>
      </c>
      <c r="BT502" s="49">
        <v>4.4039999999999999</v>
      </c>
      <c r="BU502" s="41"/>
      <c r="BV502" s="41"/>
      <c r="BW502" s="41"/>
      <c r="BX502" s="41"/>
      <c r="BY502" s="41"/>
      <c r="BZ502" s="41"/>
      <c r="CA502" s="41"/>
      <c r="CB502" s="41"/>
      <c r="CC502" s="41"/>
      <c r="CD502" s="41"/>
      <c r="CE502" s="41"/>
      <c r="CF502" s="41"/>
      <c r="CG502" s="41"/>
      <c r="CH502" s="41"/>
      <c r="CI502" s="41"/>
      <c r="CJ502" s="41"/>
      <c r="CK502" s="41"/>
    </row>
    <row r="503" spans="1:89">
      <c r="A503" s="41" t="s">
        <v>632</v>
      </c>
      <c r="B503" s="51">
        <v>25.718</v>
      </c>
      <c r="C503" s="51">
        <v>25.640999999999998</v>
      </c>
      <c r="D503" s="51">
        <v>24.092500000000001</v>
      </c>
      <c r="E503" s="51">
        <v>27.420500000000001</v>
      </c>
      <c r="F503" s="51">
        <v>33.5</v>
      </c>
      <c r="G503" s="51">
        <v>35.53</v>
      </c>
      <c r="H503" s="51">
        <v>5.17</v>
      </c>
      <c r="I503" s="51">
        <v>4.4800000000000004</v>
      </c>
      <c r="J503" s="51">
        <v>4.7300000000000004</v>
      </c>
      <c r="K503" s="51">
        <v>87.283581620749999</v>
      </c>
      <c r="L503" s="51">
        <v>1.0843</v>
      </c>
      <c r="M503" s="51">
        <v>1.4579</v>
      </c>
      <c r="N503" s="51">
        <v>0.62809999999999999</v>
      </c>
      <c r="O503" s="51">
        <v>1.5975999999999999</v>
      </c>
      <c r="P503" s="51">
        <v>1.6529</v>
      </c>
      <c r="Q503" s="51">
        <v>1.7048000000000001</v>
      </c>
      <c r="R503" s="51">
        <v>1.4350000000000001</v>
      </c>
      <c r="S503" s="51">
        <v>293</v>
      </c>
      <c r="T503" s="51">
        <v>950</v>
      </c>
      <c r="U503" s="51">
        <v>419.93</v>
      </c>
      <c r="V503" s="51">
        <v>744.85</v>
      </c>
      <c r="W503" s="51">
        <v>251</v>
      </c>
      <c r="X503" s="51">
        <v>281</v>
      </c>
      <c r="Y503" s="51">
        <v>186</v>
      </c>
      <c r="Z503" s="51">
        <v>326.01</v>
      </c>
      <c r="AA503" s="51">
        <v>198.19</v>
      </c>
      <c r="AB503" s="51" t="s">
        <v>1574</v>
      </c>
      <c r="AC503" s="51" t="s">
        <v>1574</v>
      </c>
      <c r="AD503" s="51">
        <v>84.72</v>
      </c>
      <c r="AE503" s="51">
        <v>87.99</v>
      </c>
      <c r="AF503" s="51">
        <v>94.3</v>
      </c>
      <c r="AG503" s="51">
        <v>163.75</v>
      </c>
      <c r="AH503" s="51">
        <v>139</v>
      </c>
      <c r="AI503" s="51">
        <v>120.75</v>
      </c>
      <c r="AJ503" s="51" t="s">
        <v>1574</v>
      </c>
      <c r="AK503" s="51">
        <v>101.09</v>
      </c>
      <c r="AL503" s="51">
        <v>129.66999999999999</v>
      </c>
      <c r="AM503" s="51">
        <v>0.91424000000000005</v>
      </c>
      <c r="AN503" s="51">
        <v>0.55115999999999998</v>
      </c>
      <c r="AO503" s="51">
        <v>0.62971999999999995</v>
      </c>
      <c r="AP503" s="51">
        <v>1.9771032159999999</v>
      </c>
      <c r="AQ503" s="51">
        <v>1.3681871720000001</v>
      </c>
      <c r="AR503" s="51">
        <v>3.0045000000000002</v>
      </c>
      <c r="AS503" s="51">
        <v>14.770954</v>
      </c>
      <c r="AT503" s="51">
        <v>0.56029976376000001</v>
      </c>
      <c r="AU503" s="51">
        <v>0.47410000000000002</v>
      </c>
      <c r="AV503" s="51">
        <v>0.19389999999999999</v>
      </c>
      <c r="AW503" s="51">
        <v>3032.72</v>
      </c>
      <c r="AX503" s="51">
        <v>265.14</v>
      </c>
      <c r="AY503" s="51">
        <v>162.52000000000001</v>
      </c>
      <c r="AZ503" s="51">
        <v>469.10055068326</v>
      </c>
      <c r="BA503" s="51">
        <v>500</v>
      </c>
      <c r="BB503" s="51">
        <v>411.86</v>
      </c>
      <c r="BC503" s="51">
        <v>1.1274</v>
      </c>
      <c r="BD503" s="51">
        <v>0.51200000000000001</v>
      </c>
      <c r="BE503" s="51">
        <v>0.57850000000000001</v>
      </c>
      <c r="BF503" s="51">
        <v>44</v>
      </c>
      <c r="BG503" s="51">
        <v>151.30000000000001</v>
      </c>
      <c r="BH503" s="51">
        <v>129</v>
      </c>
      <c r="BI503" s="51">
        <v>95.3</v>
      </c>
      <c r="BJ503" s="51">
        <v>112.5</v>
      </c>
      <c r="BK503" s="51">
        <v>1496.91</v>
      </c>
      <c r="BL503" s="51">
        <v>30.03</v>
      </c>
      <c r="BM503" s="51">
        <v>1664.16</v>
      </c>
      <c r="BN503" s="51">
        <v>477.5</v>
      </c>
      <c r="BO503" s="51">
        <v>4949.2</v>
      </c>
      <c r="BP503" s="51">
        <v>6329.87</v>
      </c>
      <c r="BQ503" s="51">
        <v>969.4</v>
      </c>
      <c r="BR503" s="51">
        <v>260.48</v>
      </c>
      <c r="BS503" s="51">
        <v>594.86</v>
      </c>
      <c r="BT503" s="51">
        <v>4.3650000000000002</v>
      </c>
      <c r="BU503" s="41"/>
      <c r="BV503" s="41"/>
      <c r="BW503" s="41"/>
      <c r="BX503" s="41"/>
      <c r="BY503" s="41"/>
      <c r="BZ503" s="41"/>
      <c r="CA503" s="41"/>
      <c r="CB503" s="41"/>
      <c r="CC503" s="41"/>
      <c r="CD503" s="41"/>
      <c r="CE503" s="41"/>
      <c r="CF503" s="41"/>
      <c r="CG503" s="41"/>
      <c r="CH503" s="41"/>
      <c r="CI503" s="41"/>
      <c r="CJ503" s="41"/>
      <c r="CK503" s="41"/>
    </row>
    <row r="504" spans="1:89">
      <c r="A504" s="48" t="s">
        <v>633</v>
      </c>
      <c r="B504" s="49">
        <v>27.546825396829998</v>
      </c>
      <c r="C504" s="49">
        <v>28.45047619048</v>
      </c>
      <c r="D504" s="49">
        <v>25.58</v>
      </c>
      <c r="E504" s="49">
        <v>28.61</v>
      </c>
      <c r="F504" s="49">
        <v>33.799999999999997</v>
      </c>
      <c r="G504" s="49">
        <v>34.75</v>
      </c>
      <c r="H504" s="49">
        <v>4.21</v>
      </c>
      <c r="I504" s="49">
        <v>4.3600000000000003</v>
      </c>
      <c r="J504" s="49">
        <v>4.66</v>
      </c>
      <c r="K504" s="49">
        <v>75.008042293030002</v>
      </c>
      <c r="L504" s="49">
        <v>1.0773999999999999</v>
      </c>
      <c r="M504" s="49">
        <v>1.526</v>
      </c>
      <c r="N504" s="49">
        <v>0.6512</v>
      </c>
      <c r="O504" s="49">
        <v>1.5940000000000001</v>
      </c>
      <c r="P504" s="49">
        <v>1.4877</v>
      </c>
      <c r="Q504" s="49">
        <v>1.8317000000000001</v>
      </c>
      <c r="R504" s="49">
        <v>1.4624999999999999</v>
      </c>
      <c r="S504" s="49">
        <v>295</v>
      </c>
      <c r="T504" s="49">
        <v>949</v>
      </c>
      <c r="U504" s="49">
        <v>407.18</v>
      </c>
      <c r="V504" s="49">
        <v>727.53</v>
      </c>
      <c r="W504" s="49">
        <v>234</v>
      </c>
      <c r="X504" s="49">
        <v>292</v>
      </c>
      <c r="Y504" s="49">
        <v>184</v>
      </c>
      <c r="Z504" s="49">
        <v>295.17</v>
      </c>
      <c r="AA504" s="49">
        <v>196.96</v>
      </c>
      <c r="AB504" s="49" t="s">
        <v>1574</v>
      </c>
      <c r="AC504" s="49" t="s">
        <v>1574</v>
      </c>
      <c r="AD504" s="49">
        <v>89.73</v>
      </c>
      <c r="AE504" s="49">
        <v>84.09</v>
      </c>
      <c r="AF504" s="49">
        <v>94.84</v>
      </c>
      <c r="AG504" s="49">
        <v>164.33</v>
      </c>
      <c r="AH504" s="49">
        <v>141.66999999999999</v>
      </c>
      <c r="AI504" s="49">
        <v>123</v>
      </c>
      <c r="AJ504" s="49" t="s">
        <v>1574</v>
      </c>
      <c r="AK504" s="49">
        <v>102.55</v>
      </c>
      <c r="AL504" s="49">
        <v>134.86000000000001</v>
      </c>
      <c r="AM504" s="49">
        <v>0.75485999999999998</v>
      </c>
      <c r="AN504" s="49">
        <v>0.63658000000000003</v>
      </c>
      <c r="AO504" s="49">
        <v>0.73433999999999999</v>
      </c>
      <c r="AP504" s="49">
        <v>2.0077474340000001</v>
      </c>
      <c r="AQ504" s="49">
        <v>1.3897924479999999</v>
      </c>
      <c r="AR504" s="49">
        <v>2.919</v>
      </c>
      <c r="AS504" s="49">
        <v>15.211878</v>
      </c>
      <c r="AT504" s="49">
        <v>0.52123830660000003</v>
      </c>
      <c r="AU504" s="49">
        <v>0.47070000000000001</v>
      </c>
      <c r="AV504" s="49">
        <v>0.21129999999999999</v>
      </c>
      <c r="AW504" s="49">
        <v>3060.66</v>
      </c>
      <c r="AX504" s="49">
        <v>259.8</v>
      </c>
      <c r="AY504" s="49">
        <v>165.05</v>
      </c>
      <c r="AZ504" s="49">
        <v>452.98906164648002</v>
      </c>
      <c r="BA504" s="49">
        <v>482.51748251748</v>
      </c>
      <c r="BB504" s="49">
        <v>410.07</v>
      </c>
      <c r="BC504" s="49">
        <v>1.1013999999999999</v>
      </c>
      <c r="BD504" s="49">
        <v>0.51400000000000001</v>
      </c>
      <c r="BE504" s="49">
        <v>0.60819999999999996</v>
      </c>
      <c r="BF504" s="49">
        <v>44</v>
      </c>
      <c r="BG504" s="49">
        <v>142</v>
      </c>
      <c r="BH504" s="49">
        <v>125.5</v>
      </c>
      <c r="BI504" s="49">
        <v>85</v>
      </c>
      <c r="BJ504" s="49">
        <v>112.5</v>
      </c>
      <c r="BK504" s="49">
        <v>1538.77</v>
      </c>
      <c r="BL504" s="49">
        <v>30.03</v>
      </c>
      <c r="BM504" s="49">
        <v>1682.21</v>
      </c>
      <c r="BN504" s="49">
        <v>466.7</v>
      </c>
      <c r="BO504" s="49">
        <v>4945</v>
      </c>
      <c r="BP504" s="49">
        <v>7060.83</v>
      </c>
      <c r="BQ504" s="49">
        <v>938</v>
      </c>
      <c r="BR504" s="49">
        <v>272.36</v>
      </c>
      <c r="BS504" s="49">
        <v>610.70000000000005</v>
      </c>
      <c r="BT504" s="49">
        <v>4.4333</v>
      </c>
      <c r="BU504" s="41"/>
      <c r="BV504" s="41"/>
      <c r="BW504" s="41"/>
      <c r="BX504" s="41"/>
      <c r="BY504" s="41"/>
      <c r="BZ504" s="41"/>
      <c r="CA504" s="41"/>
      <c r="CB504" s="41"/>
      <c r="CC504" s="41"/>
      <c r="CD504" s="41"/>
      <c r="CE504" s="41"/>
      <c r="CF504" s="41"/>
      <c r="CG504" s="41"/>
      <c r="CH504" s="41"/>
      <c r="CI504" s="41"/>
      <c r="CJ504" s="41"/>
      <c r="CK504" s="41"/>
    </row>
    <row r="505" spans="1:89">
      <c r="A505" s="41" t="s">
        <v>634</v>
      </c>
      <c r="B505" s="51">
        <v>26.966031746030001</v>
      </c>
      <c r="C505" s="51">
        <v>27.724285714290001</v>
      </c>
      <c r="D505" s="51">
        <v>25.613809523810001</v>
      </c>
      <c r="E505" s="51">
        <v>27.56</v>
      </c>
      <c r="F505" s="51">
        <v>33.9</v>
      </c>
      <c r="G505" s="51">
        <v>34.75</v>
      </c>
      <c r="H505" s="51">
        <v>3.71</v>
      </c>
      <c r="I505" s="51">
        <v>4.33</v>
      </c>
      <c r="J505" s="51">
        <v>4.6900000000000004</v>
      </c>
      <c r="K505" s="51">
        <v>68.814061457180003</v>
      </c>
      <c r="L505" s="51">
        <v>0.97330000000000005</v>
      </c>
      <c r="M505" s="51">
        <v>1.4088000000000001</v>
      </c>
      <c r="N505" s="51">
        <v>0.6431</v>
      </c>
      <c r="O505" s="51">
        <v>1.6087</v>
      </c>
      <c r="P505" s="51">
        <v>1.4448000000000001</v>
      </c>
      <c r="Q505" s="51">
        <v>1.9563999999999999</v>
      </c>
      <c r="R505" s="51">
        <v>1.425</v>
      </c>
      <c r="S505" s="51">
        <v>317</v>
      </c>
      <c r="T505" s="51">
        <v>930</v>
      </c>
      <c r="U505" s="51">
        <v>415.87</v>
      </c>
      <c r="V505" s="51">
        <v>727.53</v>
      </c>
      <c r="W505" s="51">
        <v>255</v>
      </c>
      <c r="X505" s="51">
        <v>312</v>
      </c>
      <c r="Y505" s="51">
        <v>188</v>
      </c>
      <c r="Z505" s="51">
        <v>286.89</v>
      </c>
      <c r="AA505" s="51">
        <v>206.88</v>
      </c>
      <c r="AB505" s="51" t="s">
        <v>1574</v>
      </c>
      <c r="AC505" s="51" t="s">
        <v>1574</v>
      </c>
      <c r="AD505" s="51">
        <v>95.06</v>
      </c>
      <c r="AE505" s="51">
        <v>83.31</v>
      </c>
      <c r="AF505" s="51">
        <v>89.54</v>
      </c>
      <c r="AG505" s="51">
        <v>168</v>
      </c>
      <c r="AH505" s="51">
        <v>148.5</v>
      </c>
      <c r="AI505" s="51">
        <v>129.75</v>
      </c>
      <c r="AJ505" s="51" t="s">
        <v>1574</v>
      </c>
      <c r="AK505" s="51">
        <v>97.42</v>
      </c>
      <c r="AL505" s="51">
        <v>127.23</v>
      </c>
      <c r="AM505" s="51">
        <v>0.83545000000000003</v>
      </c>
      <c r="AN505" s="51">
        <v>0.60972000000000004</v>
      </c>
      <c r="AO505" s="51">
        <v>0.83055809616999998</v>
      </c>
      <c r="AP505" s="51">
        <v>2.0529421440000002</v>
      </c>
      <c r="AQ505" s="51">
        <v>1.400815548</v>
      </c>
      <c r="AR505" s="51">
        <v>2.8142</v>
      </c>
      <c r="AS505" s="51">
        <v>14.219799</v>
      </c>
      <c r="AT505" s="51">
        <v>0.51205826891999995</v>
      </c>
      <c r="AU505" s="51">
        <v>0.46389999999999998</v>
      </c>
      <c r="AV505" s="51">
        <v>0.1993</v>
      </c>
      <c r="AW505" s="51">
        <v>3050.33</v>
      </c>
      <c r="AX505" s="51">
        <v>253.62</v>
      </c>
      <c r="AY505" s="51">
        <v>164.75</v>
      </c>
      <c r="AZ505" s="51">
        <v>455.20757465404</v>
      </c>
      <c r="BA505" s="51">
        <v>475.52447552448001</v>
      </c>
      <c r="BB505" s="51">
        <v>409.32</v>
      </c>
      <c r="BC505" s="51">
        <v>1.0465</v>
      </c>
      <c r="BD505" s="51">
        <v>0.51400000000000001</v>
      </c>
      <c r="BE505" s="51">
        <v>0.62029999999999996</v>
      </c>
      <c r="BF505" s="51">
        <v>44</v>
      </c>
      <c r="BG505" s="51">
        <v>133.125</v>
      </c>
      <c r="BH505" s="51">
        <v>122.5</v>
      </c>
      <c r="BI505" s="51">
        <v>87.5</v>
      </c>
      <c r="BJ505" s="51">
        <v>112.5</v>
      </c>
      <c r="BK505" s="51">
        <v>1466.13</v>
      </c>
      <c r="BL505" s="51">
        <v>30.03</v>
      </c>
      <c r="BM505" s="51">
        <v>1608.45</v>
      </c>
      <c r="BN505" s="51">
        <v>444.1</v>
      </c>
      <c r="BO505" s="51">
        <v>4828.3</v>
      </c>
      <c r="BP505" s="51">
        <v>6641.19</v>
      </c>
      <c r="BQ505" s="51">
        <v>894.9</v>
      </c>
      <c r="BR505" s="51">
        <v>270.23</v>
      </c>
      <c r="BS505" s="51">
        <v>579.72</v>
      </c>
      <c r="BT505" s="51">
        <v>4.3738000000000001</v>
      </c>
      <c r="BU505" s="41"/>
      <c r="BV505" s="41"/>
      <c r="BW505" s="41"/>
      <c r="BX505" s="41"/>
      <c r="BY505" s="41"/>
      <c r="BZ505" s="41"/>
      <c r="CA505" s="41"/>
      <c r="CB505" s="41"/>
      <c r="CC505" s="41"/>
      <c r="CD505" s="41"/>
      <c r="CE505" s="41"/>
      <c r="CF505" s="41"/>
      <c r="CG505" s="41"/>
      <c r="CH505" s="41"/>
      <c r="CI505" s="41"/>
      <c r="CJ505" s="41"/>
      <c r="CK505" s="41"/>
    </row>
    <row r="506" spans="1:89">
      <c r="A506" s="48" t="s">
        <v>635</v>
      </c>
      <c r="B506" s="49">
        <v>24.80367965368</v>
      </c>
      <c r="C506" s="49">
        <v>24.53818181818</v>
      </c>
      <c r="D506" s="49">
        <v>23.43</v>
      </c>
      <c r="E506" s="49">
        <v>26.442857142859999</v>
      </c>
      <c r="F506" s="49">
        <v>34</v>
      </c>
      <c r="G506" s="49">
        <v>34.35</v>
      </c>
      <c r="H506" s="49">
        <v>3.1</v>
      </c>
      <c r="I506" s="49">
        <v>3.75</v>
      </c>
      <c r="J506" s="49">
        <v>4.66</v>
      </c>
      <c r="K506" s="49">
        <v>58.628975134549997</v>
      </c>
      <c r="L506" s="49">
        <v>0.96640000000000004</v>
      </c>
      <c r="M506" s="49">
        <v>1.2946</v>
      </c>
      <c r="N506" s="49">
        <v>0.60470000000000002</v>
      </c>
      <c r="O506" s="49">
        <v>1.6841999999999999</v>
      </c>
      <c r="P506" s="49">
        <v>1.4357</v>
      </c>
      <c r="Q506" s="49">
        <v>2.0809000000000002</v>
      </c>
      <c r="R506" s="49">
        <v>1.536</v>
      </c>
      <c r="S506" s="49">
        <v>358</v>
      </c>
      <c r="T506" s="49">
        <v>930</v>
      </c>
      <c r="U506" s="49">
        <v>443.35</v>
      </c>
      <c r="V506" s="49">
        <v>723.02</v>
      </c>
      <c r="W506" s="49">
        <v>330</v>
      </c>
      <c r="X506" s="49">
        <v>352</v>
      </c>
      <c r="Y506" s="49">
        <v>208</v>
      </c>
      <c r="Z506" s="49">
        <v>421.36</v>
      </c>
      <c r="AA506" s="49">
        <v>209.09</v>
      </c>
      <c r="AB506" s="49" t="s">
        <v>1574</v>
      </c>
      <c r="AC506" s="49" t="s">
        <v>1574</v>
      </c>
      <c r="AD506" s="49">
        <v>101.98</v>
      </c>
      <c r="AE506" s="49">
        <v>91.73</v>
      </c>
      <c r="AF506" s="49">
        <v>94.47</v>
      </c>
      <c r="AG506" s="49">
        <v>169.4</v>
      </c>
      <c r="AH506" s="49">
        <v>152.4</v>
      </c>
      <c r="AI506" s="49">
        <v>137.19999999999999</v>
      </c>
      <c r="AJ506" s="49" t="s">
        <v>1574</v>
      </c>
      <c r="AK506" s="49">
        <v>107.98</v>
      </c>
      <c r="AL506" s="49">
        <v>123.79</v>
      </c>
      <c r="AM506" s="49">
        <v>0.63499000000000005</v>
      </c>
      <c r="AN506" s="49">
        <v>0.69755999999999996</v>
      </c>
      <c r="AO506" s="49">
        <v>0.96294125248999995</v>
      </c>
      <c r="AP506" s="49">
        <v>2.1228285979999999</v>
      </c>
      <c r="AQ506" s="49">
        <v>1.416909274</v>
      </c>
      <c r="AR506" s="49">
        <v>2.7582</v>
      </c>
      <c r="AS506" s="49">
        <v>15.983495</v>
      </c>
      <c r="AT506" s="49">
        <v>0.51693929760000001</v>
      </c>
      <c r="AU506" s="49">
        <v>0.4632</v>
      </c>
      <c r="AV506" s="49">
        <v>0.1938</v>
      </c>
      <c r="AW506" s="49">
        <v>3065.2</v>
      </c>
      <c r="AX506" s="49">
        <v>255.79</v>
      </c>
      <c r="AY506" s="49">
        <v>159.29</v>
      </c>
      <c r="AZ506" s="49">
        <v>459.11875434523</v>
      </c>
      <c r="BA506" s="49">
        <v>465.03496503497001</v>
      </c>
      <c r="BB506" s="49">
        <v>393.1</v>
      </c>
      <c r="BC506" s="49">
        <v>1.0035000000000001</v>
      </c>
      <c r="BD506" s="49">
        <v>0.504</v>
      </c>
      <c r="BE506" s="49">
        <v>0.6048</v>
      </c>
      <c r="BF506" s="49">
        <v>44</v>
      </c>
      <c r="BG506" s="49">
        <v>135</v>
      </c>
      <c r="BH506" s="49">
        <v>123.75</v>
      </c>
      <c r="BI506" s="49">
        <v>87.5</v>
      </c>
      <c r="BJ506" s="49">
        <v>112.5</v>
      </c>
      <c r="BK506" s="49">
        <v>1416.39</v>
      </c>
      <c r="BL506" s="49">
        <v>30.03</v>
      </c>
      <c r="BM506" s="49">
        <v>1525.21</v>
      </c>
      <c r="BN506" s="49">
        <v>461.6</v>
      </c>
      <c r="BO506" s="49">
        <v>4350.8999999999996</v>
      </c>
      <c r="BP506" s="49">
        <v>5937.05</v>
      </c>
      <c r="BQ506" s="49">
        <v>852.4</v>
      </c>
      <c r="BR506" s="49">
        <v>267.52999999999997</v>
      </c>
      <c r="BS506" s="49">
        <v>530.84</v>
      </c>
      <c r="BT506" s="49">
        <v>4.2542999999999997</v>
      </c>
      <c r="BU506" s="41"/>
      <c r="BV506" s="41"/>
      <c r="BW506" s="41"/>
      <c r="BX506" s="41"/>
      <c r="BY506" s="41"/>
      <c r="BZ506" s="41"/>
      <c r="CA506" s="41"/>
      <c r="CB506" s="41"/>
      <c r="CC506" s="41"/>
      <c r="CD506" s="41"/>
      <c r="CE506" s="41"/>
      <c r="CF506" s="41"/>
      <c r="CG506" s="41"/>
      <c r="CH506" s="41"/>
      <c r="CI506" s="41"/>
      <c r="CJ506" s="41"/>
      <c r="CK506" s="41"/>
    </row>
    <row r="507" spans="1:89">
      <c r="A507" s="41" t="s">
        <v>636</v>
      </c>
      <c r="B507" s="51">
        <v>25.821159420290002</v>
      </c>
      <c r="C507" s="51">
        <v>25.697826086959999</v>
      </c>
      <c r="D507" s="51">
        <v>24.32043478261</v>
      </c>
      <c r="E507" s="51">
        <v>27.445217391300002</v>
      </c>
      <c r="F507" s="51">
        <v>33.799999999999997</v>
      </c>
      <c r="G507" s="51">
        <v>34.15</v>
      </c>
      <c r="H507" s="51">
        <v>2.95</v>
      </c>
      <c r="I507" s="51">
        <v>3.79</v>
      </c>
      <c r="J507" s="51">
        <v>4.54</v>
      </c>
      <c r="K507" s="51">
        <v>56.916328793410003</v>
      </c>
      <c r="L507" s="51">
        <v>1.0322</v>
      </c>
      <c r="M507" s="51">
        <v>1.3166</v>
      </c>
      <c r="N507" s="51">
        <v>0.56920000000000004</v>
      </c>
      <c r="O507" s="51">
        <v>1.5808</v>
      </c>
      <c r="P507" s="51">
        <v>1.518</v>
      </c>
      <c r="Q507" s="51">
        <v>1.7493000000000001</v>
      </c>
      <c r="R507" s="51">
        <v>1.4750000000000001</v>
      </c>
      <c r="S507" s="51">
        <v>363</v>
      </c>
      <c r="T507" s="51">
        <v>847.5</v>
      </c>
      <c r="U507" s="51">
        <v>492.13</v>
      </c>
      <c r="V507" s="51">
        <v>738.07</v>
      </c>
      <c r="W507" s="51">
        <v>362</v>
      </c>
      <c r="X507" s="51">
        <v>350</v>
      </c>
      <c r="Y507" s="51">
        <v>212</v>
      </c>
      <c r="Z507" s="51">
        <v>427.49</v>
      </c>
      <c r="AA507" s="51">
        <v>202.57</v>
      </c>
      <c r="AB507" s="51" t="s">
        <v>1574</v>
      </c>
      <c r="AC507" s="51" t="s">
        <v>1574</v>
      </c>
      <c r="AD507" s="51">
        <v>99.39</v>
      </c>
      <c r="AE507" s="51">
        <v>93.14</v>
      </c>
      <c r="AF507" s="51">
        <v>95.13</v>
      </c>
      <c r="AG507" s="51">
        <v>168.25</v>
      </c>
      <c r="AH507" s="51">
        <v>153</v>
      </c>
      <c r="AI507" s="51">
        <v>140.75</v>
      </c>
      <c r="AJ507" s="51" t="s">
        <v>1574</v>
      </c>
      <c r="AK507" s="51">
        <v>105.91</v>
      </c>
      <c r="AL507" s="51">
        <v>121.92</v>
      </c>
      <c r="AM507" s="51">
        <v>0.69635999999999998</v>
      </c>
      <c r="AN507" s="51">
        <v>0.68342999999999998</v>
      </c>
      <c r="AO507" s="51">
        <v>0.78457564731999996</v>
      </c>
      <c r="AP507" s="51">
        <v>2.209690626</v>
      </c>
      <c r="AQ507" s="51">
        <v>1.4457897959999999</v>
      </c>
      <c r="AR507" s="51">
        <v>2.7684000000000002</v>
      </c>
      <c r="AS507" s="51">
        <v>14.219799</v>
      </c>
      <c r="AT507" s="51">
        <v>0.52536094600000005</v>
      </c>
      <c r="AU507" s="51">
        <v>0.46939999999999998</v>
      </c>
      <c r="AV507" s="51">
        <v>0.17879999999999999</v>
      </c>
      <c r="AW507" s="51">
        <v>3047.8</v>
      </c>
      <c r="AX507" s="51">
        <v>267.62</v>
      </c>
      <c r="AY507" s="51">
        <v>158.99</v>
      </c>
      <c r="AZ507" s="51">
        <v>480.34035545185998</v>
      </c>
      <c r="BA507" s="51">
        <v>475.52447552448001</v>
      </c>
      <c r="BB507" s="51">
        <v>402.94</v>
      </c>
      <c r="BC507" s="51">
        <v>0.95499999999999996</v>
      </c>
      <c r="BD507" s="51">
        <v>0.52929999999999999</v>
      </c>
      <c r="BE507" s="51">
        <v>0.58560000000000001</v>
      </c>
      <c r="BF507" s="51">
        <v>44</v>
      </c>
      <c r="BG507" s="51">
        <v>135</v>
      </c>
      <c r="BH507" s="51">
        <v>125</v>
      </c>
      <c r="BI507" s="51">
        <v>88.75</v>
      </c>
      <c r="BJ507" s="51">
        <v>112.5</v>
      </c>
      <c r="BK507" s="51">
        <v>1377.08</v>
      </c>
      <c r="BL507" s="51">
        <v>30.03</v>
      </c>
      <c r="BM507" s="51">
        <v>1464.43</v>
      </c>
      <c r="BN507" s="51">
        <v>483</v>
      </c>
      <c r="BO507" s="51">
        <v>3895.7</v>
      </c>
      <c r="BP507" s="51">
        <v>5520.8</v>
      </c>
      <c r="BQ507" s="51">
        <v>828.1</v>
      </c>
      <c r="BR507" s="51">
        <v>272.39</v>
      </c>
      <c r="BS507" s="51">
        <v>451.7</v>
      </c>
      <c r="BT507" s="51">
        <v>4.2207999999999997</v>
      </c>
      <c r="BU507" s="41"/>
      <c r="BV507" s="41"/>
      <c r="BW507" s="41"/>
      <c r="BX507" s="41"/>
      <c r="BY507" s="41"/>
      <c r="BZ507" s="41"/>
      <c r="CA507" s="41"/>
      <c r="CB507" s="41"/>
      <c r="CC507" s="41"/>
      <c r="CD507" s="41"/>
      <c r="CE507" s="41"/>
      <c r="CF507" s="41"/>
      <c r="CG507" s="41"/>
      <c r="CH507" s="41"/>
      <c r="CI507" s="41"/>
      <c r="CJ507" s="41"/>
      <c r="CK507" s="41"/>
    </row>
    <row r="508" spans="1:89">
      <c r="A508" s="48" t="s">
        <v>637</v>
      </c>
      <c r="B508" s="49">
        <v>25.207666666670001</v>
      </c>
      <c r="C508" s="49">
        <v>25.544</v>
      </c>
      <c r="D508" s="49">
        <v>23.963999999999999</v>
      </c>
      <c r="E508" s="49">
        <v>26.114999999999998</v>
      </c>
      <c r="F508" s="49">
        <v>32.799999999999997</v>
      </c>
      <c r="G508" s="49">
        <v>33.06</v>
      </c>
      <c r="H508" s="49">
        <v>2.15</v>
      </c>
      <c r="I508" s="49">
        <v>3.79</v>
      </c>
      <c r="J508" s="49">
        <v>4.54</v>
      </c>
      <c r="K508" s="49">
        <v>47.201630414470003</v>
      </c>
      <c r="L508" s="49">
        <v>1.0243</v>
      </c>
      <c r="M508" s="49">
        <v>1.2802</v>
      </c>
      <c r="N508" s="49">
        <v>0.53510000000000002</v>
      </c>
      <c r="O508" s="49">
        <v>1.5274000000000001</v>
      </c>
      <c r="P508" s="49">
        <v>1.5811999999999999</v>
      </c>
      <c r="Q508" s="49">
        <v>1.6135999999999999</v>
      </c>
      <c r="R508" s="49">
        <v>1.3875</v>
      </c>
      <c r="S508" s="49">
        <v>322</v>
      </c>
      <c r="T508" s="49">
        <v>807</v>
      </c>
      <c r="U508" s="49">
        <v>498.98</v>
      </c>
      <c r="V508" s="49">
        <v>749.57</v>
      </c>
      <c r="W508" s="49">
        <v>310</v>
      </c>
      <c r="X508" s="49">
        <v>316</v>
      </c>
      <c r="Y508" s="49">
        <v>202</v>
      </c>
      <c r="Z508" s="49">
        <v>385.09</v>
      </c>
      <c r="AA508" s="49">
        <v>204.25</v>
      </c>
      <c r="AB508" s="49" t="s">
        <v>1574</v>
      </c>
      <c r="AC508" s="49" t="s">
        <v>1574</v>
      </c>
      <c r="AD508" s="49">
        <v>99.61</v>
      </c>
      <c r="AE508" s="49">
        <v>90.08</v>
      </c>
      <c r="AF508" s="49">
        <v>94.63</v>
      </c>
      <c r="AG508" s="49">
        <v>173</v>
      </c>
      <c r="AH508" s="49">
        <v>161</v>
      </c>
      <c r="AI508" s="49">
        <v>148.33333333332999</v>
      </c>
      <c r="AJ508" s="49" t="s">
        <v>1574</v>
      </c>
      <c r="AK508" s="49">
        <v>107.57</v>
      </c>
      <c r="AL508" s="49">
        <v>122.03</v>
      </c>
      <c r="AM508" s="49">
        <v>0.72677000000000003</v>
      </c>
      <c r="AN508" s="49">
        <v>0.57181999999999999</v>
      </c>
      <c r="AO508" s="49">
        <v>0.57753841367000003</v>
      </c>
      <c r="AP508" s="49">
        <v>2.3591638619999999</v>
      </c>
      <c r="AQ508" s="49">
        <v>1.4656313759999999</v>
      </c>
      <c r="AR508" s="49">
        <v>2.9903</v>
      </c>
      <c r="AS508" s="49">
        <v>13.007258</v>
      </c>
      <c r="AT508" s="49">
        <v>0.53478128725999996</v>
      </c>
      <c r="AU508" s="49">
        <v>0.47089999999999999</v>
      </c>
      <c r="AV508" s="49">
        <v>0.16619999999999999</v>
      </c>
      <c r="AW508" s="49">
        <v>3049.57</v>
      </c>
      <c r="AX508" s="49">
        <v>270.79000000000002</v>
      </c>
      <c r="AY508" s="49">
        <v>156.31</v>
      </c>
      <c r="AZ508" s="49">
        <v>486.03685548041</v>
      </c>
      <c r="BA508" s="49">
        <v>489.51048951049</v>
      </c>
      <c r="BB508" s="49">
        <v>411.85</v>
      </c>
      <c r="BC508" s="49">
        <v>0.90969999999999995</v>
      </c>
      <c r="BD508" s="49">
        <v>0.49349999999999999</v>
      </c>
      <c r="BE508" s="49">
        <v>0.57969999999999999</v>
      </c>
      <c r="BF508" s="49">
        <v>44</v>
      </c>
      <c r="BG508" s="49">
        <v>135</v>
      </c>
      <c r="BH508" s="49">
        <v>124.38</v>
      </c>
      <c r="BI508" s="49">
        <v>94.5</v>
      </c>
      <c r="BJ508" s="49">
        <v>112.5</v>
      </c>
      <c r="BK508" s="49">
        <v>1344.56</v>
      </c>
      <c r="BL508" s="49">
        <v>30.03</v>
      </c>
      <c r="BM508" s="49">
        <v>1426.33</v>
      </c>
      <c r="BN508" s="49">
        <v>464.8</v>
      </c>
      <c r="BO508" s="49">
        <v>3694.5</v>
      </c>
      <c r="BP508" s="49">
        <v>5027</v>
      </c>
      <c r="BQ508" s="49">
        <v>798.6</v>
      </c>
      <c r="BR508" s="49">
        <v>283.42</v>
      </c>
      <c r="BS508" s="49">
        <v>457.9</v>
      </c>
      <c r="BT508" s="49">
        <v>4.3529999999999998</v>
      </c>
      <c r="BU508" s="41"/>
      <c r="BV508" s="41"/>
      <c r="BW508" s="41"/>
      <c r="BX508" s="41"/>
      <c r="BY508" s="41"/>
      <c r="BZ508" s="41"/>
      <c r="CA508" s="41"/>
      <c r="CB508" s="41"/>
      <c r="CC508" s="41"/>
      <c r="CD508" s="41"/>
      <c r="CE508" s="41"/>
      <c r="CF508" s="41"/>
      <c r="CG508" s="41"/>
      <c r="CH508" s="41"/>
      <c r="CI508" s="41"/>
      <c r="CJ508" s="41"/>
      <c r="CK508" s="41"/>
    </row>
    <row r="509" spans="1:89">
      <c r="A509" s="41" t="s">
        <v>638</v>
      </c>
      <c r="B509" s="51">
        <v>20.731884057969999</v>
      </c>
      <c r="C509" s="51">
        <v>20.478260869570001</v>
      </c>
      <c r="D509" s="51">
        <v>19.541739130429999</v>
      </c>
      <c r="E509" s="51">
        <v>22.175652173909999</v>
      </c>
      <c r="F509" s="51">
        <v>32.4</v>
      </c>
      <c r="G509" s="51">
        <v>33.03</v>
      </c>
      <c r="H509" s="51">
        <v>2.4500000000000002</v>
      </c>
      <c r="I509" s="51">
        <v>3.52</v>
      </c>
      <c r="J509" s="51">
        <v>4.59</v>
      </c>
      <c r="K509" s="51">
        <v>49.594944465810002</v>
      </c>
      <c r="L509" s="51">
        <v>1.0849</v>
      </c>
      <c r="M509" s="51">
        <v>1.2434000000000001</v>
      </c>
      <c r="N509" s="51">
        <v>0.51239999999999997</v>
      </c>
      <c r="O509" s="51">
        <v>1.4541999999999999</v>
      </c>
      <c r="P509" s="51">
        <v>1.6073999999999999</v>
      </c>
      <c r="Q509" s="51">
        <v>1.3734</v>
      </c>
      <c r="R509" s="51">
        <v>1.3819999999999999</v>
      </c>
      <c r="S509" s="51">
        <v>307</v>
      </c>
      <c r="T509" s="51">
        <v>713.91</v>
      </c>
      <c r="U509" s="51">
        <v>491.98</v>
      </c>
      <c r="V509" s="51">
        <v>761.6</v>
      </c>
      <c r="W509" s="51">
        <v>277</v>
      </c>
      <c r="X509" s="51">
        <v>281.64999999999998</v>
      </c>
      <c r="Y509" s="51">
        <v>187</v>
      </c>
      <c r="Z509" s="51">
        <v>373.03</v>
      </c>
      <c r="AA509" s="51">
        <v>203.7</v>
      </c>
      <c r="AB509" s="51" t="s">
        <v>1574</v>
      </c>
      <c r="AC509" s="51" t="s">
        <v>1574</v>
      </c>
      <c r="AD509" s="51">
        <v>101.79</v>
      </c>
      <c r="AE509" s="51">
        <v>86.56</v>
      </c>
      <c r="AF509" s="51">
        <v>94.96</v>
      </c>
      <c r="AG509" s="51">
        <v>170.6</v>
      </c>
      <c r="AH509" s="51">
        <v>158.19999999999999</v>
      </c>
      <c r="AI509" s="51">
        <v>146.19999999999999</v>
      </c>
      <c r="AJ509" s="51" t="s">
        <v>1574</v>
      </c>
      <c r="AK509" s="51">
        <v>115.01</v>
      </c>
      <c r="AL509" s="51">
        <v>123.34</v>
      </c>
      <c r="AM509" s="51">
        <v>0.68661000000000005</v>
      </c>
      <c r="AN509" s="51">
        <v>0.48364000000000001</v>
      </c>
      <c r="AO509" s="51">
        <v>0.42363003261999999</v>
      </c>
      <c r="AP509" s="51">
        <v>2.2714199860000002</v>
      </c>
      <c r="AQ509" s="51">
        <v>1.4484353400000001</v>
      </c>
      <c r="AR509" s="51">
        <v>3.0076999999999998</v>
      </c>
      <c r="AS509" s="51">
        <v>11.904947999999999</v>
      </c>
      <c r="AT509" s="51">
        <v>0.53065203400000005</v>
      </c>
      <c r="AU509" s="51">
        <v>0.46639999999999998</v>
      </c>
      <c r="AV509" s="51">
        <v>0.1497</v>
      </c>
      <c r="AW509" s="51">
        <v>2992.43</v>
      </c>
      <c r="AX509" s="51">
        <v>269.26</v>
      </c>
      <c r="AY509" s="51">
        <v>149.63999999999999</v>
      </c>
      <c r="AZ509" s="51">
        <v>469.47708537579001</v>
      </c>
      <c r="BA509" s="51">
        <v>461.53846153846001</v>
      </c>
      <c r="BB509" s="51">
        <v>404.02</v>
      </c>
      <c r="BC509" s="51">
        <v>0.82010000000000005</v>
      </c>
      <c r="BD509" s="51">
        <v>0.48209999999999997</v>
      </c>
      <c r="BE509" s="51">
        <v>0.53790000000000004</v>
      </c>
      <c r="BF509" s="51">
        <v>44</v>
      </c>
      <c r="BG509" s="51">
        <v>135.9</v>
      </c>
      <c r="BH509" s="51">
        <v>124.38</v>
      </c>
      <c r="BI509" s="51">
        <v>96.1</v>
      </c>
      <c r="BJ509" s="51">
        <v>112.5</v>
      </c>
      <c r="BK509" s="51">
        <v>1282.5</v>
      </c>
      <c r="BL509" s="51">
        <v>30.03</v>
      </c>
      <c r="BM509" s="51">
        <v>1377.28</v>
      </c>
      <c r="BN509" s="51">
        <v>468.1</v>
      </c>
      <c r="BO509" s="51">
        <v>3750.7</v>
      </c>
      <c r="BP509" s="51">
        <v>4825.33</v>
      </c>
      <c r="BQ509" s="51">
        <v>761.5</v>
      </c>
      <c r="BR509" s="51">
        <v>283.06</v>
      </c>
      <c r="BS509" s="51">
        <v>431.39</v>
      </c>
      <c r="BT509" s="51">
        <v>4.4012000000000002</v>
      </c>
      <c r="BU509" s="41"/>
      <c r="BV509" s="41"/>
      <c r="BW509" s="41"/>
      <c r="BX509" s="41"/>
      <c r="BY509" s="41"/>
      <c r="BZ509" s="41"/>
      <c r="CA509" s="41"/>
      <c r="CB509" s="41"/>
      <c r="CC509" s="41"/>
      <c r="CD509" s="41"/>
      <c r="CE509" s="41"/>
      <c r="CF509" s="41"/>
      <c r="CG509" s="41"/>
      <c r="CH509" s="41"/>
      <c r="CI509" s="41"/>
      <c r="CJ509" s="41"/>
      <c r="CK509" s="41"/>
    </row>
    <row r="510" spans="1:89">
      <c r="A510" s="48" t="s">
        <v>639</v>
      </c>
      <c r="B510" s="49">
        <v>18.688181818179999</v>
      </c>
      <c r="C510" s="49">
        <v>18.942272727270002</v>
      </c>
      <c r="D510" s="49">
        <v>17.532272727270001</v>
      </c>
      <c r="E510" s="49">
        <v>19.59</v>
      </c>
      <c r="F510" s="49">
        <v>29.4</v>
      </c>
      <c r="G510" s="49">
        <v>31.5</v>
      </c>
      <c r="H510" s="49">
        <v>2.36</v>
      </c>
      <c r="I510" s="49">
        <v>3.46</v>
      </c>
      <c r="J510" s="49">
        <v>4.38</v>
      </c>
      <c r="K510" s="49">
        <v>48.074528796099997</v>
      </c>
      <c r="L510" s="49">
        <v>1.2316</v>
      </c>
      <c r="M510" s="49">
        <v>1.2974000000000001</v>
      </c>
      <c r="N510" s="49">
        <v>0.52210000000000001</v>
      </c>
      <c r="O510" s="49">
        <v>1.4948999999999999</v>
      </c>
      <c r="P510" s="49">
        <v>1.6678999999999999</v>
      </c>
      <c r="Q510" s="49">
        <v>1.4141999999999999</v>
      </c>
      <c r="R510" s="49">
        <v>1.4025000000000001</v>
      </c>
      <c r="S510" s="49">
        <v>330</v>
      </c>
      <c r="T510" s="49">
        <v>714.29</v>
      </c>
      <c r="U510" s="49">
        <v>503.93</v>
      </c>
      <c r="V510" s="49">
        <v>759.59</v>
      </c>
      <c r="W510" s="49">
        <v>323</v>
      </c>
      <c r="X510" s="49">
        <v>318.77</v>
      </c>
      <c r="Y510" s="49">
        <v>189</v>
      </c>
      <c r="Z510" s="49">
        <v>390.69</v>
      </c>
      <c r="AA510" s="49">
        <v>207.77</v>
      </c>
      <c r="AB510" s="49" t="s">
        <v>1574</v>
      </c>
      <c r="AC510" s="49" t="s">
        <v>1574</v>
      </c>
      <c r="AD510" s="49">
        <v>100.97</v>
      </c>
      <c r="AE510" s="49">
        <v>89.54</v>
      </c>
      <c r="AF510" s="49">
        <v>94.69</v>
      </c>
      <c r="AG510" s="49">
        <v>173.5</v>
      </c>
      <c r="AH510" s="49">
        <v>159.25</v>
      </c>
      <c r="AI510" s="49">
        <v>135</v>
      </c>
      <c r="AJ510" s="49" t="s">
        <v>1574</v>
      </c>
      <c r="AK510" s="49">
        <v>116.36</v>
      </c>
      <c r="AL510" s="49">
        <v>125.27</v>
      </c>
      <c r="AM510" s="49">
        <v>0.65076999999999996</v>
      </c>
      <c r="AN510" s="49">
        <v>0.49603999999999998</v>
      </c>
      <c r="AO510" s="49">
        <v>0.46599531073</v>
      </c>
      <c r="AP510" s="49">
        <v>2.2831044720000002</v>
      </c>
      <c r="AQ510" s="49">
        <v>1.418232046</v>
      </c>
      <c r="AR510" s="49">
        <v>3.0272000000000001</v>
      </c>
      <c r="AS510" s="49">
        <v>11.684486</v>
      </c>
      <c r="AT510" s="49">
        <v>0.52611272141999998</v>
      </c>
      <c r="AU510" s="49">
        <v>0.47020000000000001</v>
      </c>
      <c r="AV510" s="49">
        <v>0.16950000000000001</v>
      </c>
      <c r="AW510" s="49">
        <v>2965.41</v>
      </c>
      <c r="AX510" s="49">
        <v>264.05</v>
      </c>
      <c r="AY510" s="49">
        <v>142.5</v>
      </c>
      <c r="AZ510" s="49">
        <v>453.61606477907998</v>
      </c>
      <c r="BA510" s="49">
        <v>461.53846153846001</v>
      </c>
      <c r="BB510" s="49">
        <v>400.63</v>
      </c>
      <c r="BC510" s="49">
        <v>0.83779999999999999</v>
      </c>
      <c r="BD510" s="49">
        <v>0.46700000000000003</v>
      </c>
      <c r="BE510" s="49">
        <v>0.51380000000000003</v>
      </c>
      <c r="BF510" s="49">
        <v>44</v>
      </c>
      <c r="BG510" s="49">
        <v>140.5</v>
      </c>
      <c r="BH510" s="49">
        <v>130</v>
      </c>
      <c r="BI510" s="49">
        <v>96.5</v>
      </c>
      <c r="BJ510" s="49">
        <v>112.5</v>
      </c>
      <c r="BK510" s="49">
        <v>1327.46</v>
      </c>
      <c r="BL510" s="49">
        <v>30.03</v>
      </c>
      <c r="BM510" s="49">
        <v>1427.73</v>
      </c>
      <c r="BN510" s="49">
        <v>486.5</v>
      </c>
      <c r="BO510" s="49">
        <v>4041.8</v>
      </c>
      <c r="BP510" s="49">
        <v>5078.41</v>
      </c>
      <c r="BQ510" s="49">
        <v>772.9</v>
      </c>
      <c r="BR510" s="49">
        <v>276.16000000000003</v>
      </c>
      <c r="BS510" s="49">
        <v>429.89</v>
      </c>
      <c r="BT510" s="49">
        <v>4.1226000000000003</v>
      </c>
      <c r="BU510" s="41"/>
      <c r="BV510" s="41"/>
      <c r="BW510" s="41"/>
      <c r="BX510" s="41"/>
      <c r="BY510" s="41"/>
      <c r="BZ510" s="41"/>
      <c r="CA510" s="41"/>
      <c r="CB510" s="41"/>
      <c r="CC510" s="41"/>
      <c r="CD510" s="41"/>
      <c r="CE510" s="41"/>
      <c r="CF510" s="41"/>
      <c r="CG510" s="41"/>
      <c r="CH510" s="41"/>
      <c r="CI510" s="41"/>
      <c r="CJ510" s="41"/>
      <c r="CK510" s="41"/>
    </row>
    <row r="511" spans="1:89">
      <c r="A511" s="41" t="s">
        <v>640</v>
      </c>
      <c r="B511" s="51">
        <v>18.51978947368</v>
      </c>
      <c r="C511" s="51">
        <v>18.60473684211</v>
      </c>
      <c r="D511" s="51">
        <v>17.641999999999999</v>
      </c>
      <c r="E511" s="51">
        <v>19.31263157895</v>
      </c>
      <c r="F511" s="51">
        <v>27.35</v>
      </c>
      <c r="G511" s="51">
        <v>30.45</v>
      </c>
      <c r="H511" s="51">
        <v>2.41</v>
      </c>
      <c r="I511" s="51">
        <v>3.4</v>
      </c>
      <c r="J511" s="51">
        <v>4.2699999999999996</v>
      </c>
      <c r="K511" s="51">
        <v>48.321934751610002</v>
      </c>
      <c r="L511" s="51">
        <v>1.3373999999999999</v>
      </c>
      <c r="M511" s="51">
        <v>1.2504999999999999</v>
      </c>
      <c r="N511" s="51">
        <v>0.53680000000000005</v>
      </c>
      <c r="O511" s="51">
        <v>1.5088999999999999</v>
      </c>
      <c r="P511" s="51">
        <v>1.6091</v>
      </c>
      <c r="Q511" s="51">
        <v>1.49</v>
      </c>
      <c r="R511" s="51">
        <v>1.4275</v>
      </c>
      <c r="S511" s="51">
        <v>339</v>
      </c>
      <c r="T511" s="51">
        <v>710</v>
      </c>
      <c r="U511" s="51">
        <v>533.19000000000005</v>
      </c>
      <c r="V511" s="51">
        <v>771.62</v>
      </c>
      <c r="W511" s="51">
        <v>359.5</v>
      </c>
      <c r="X511" s="51">
        <v>309.19</v>
      </c>
      <c r="Y511" s="51">
        <v>189</v>
      </c>
      <c r="Z511" s="51">
        <v>396.87</v>
      </c>
      <c r="AA511" s="51">
        <v>195.38</v>
      </c>
      <c r="AB511" s="51" t="s">
        <v>1574</v>
      </c>
      <c r="AC511" s="51" t="s">
        <v>1574</v>
      </c>
      <c r="AD511" s="51">
        <v>102.86</v>
      </c>
      <c r="AE511" s="51">
        <v>91.88</v>
      </c>
      <c r="AF511" s="51">
        <v>95.87</v>
      </c>
      <c r="AG511" s="51">
        <v>179.33</v>
      </c>
      <c r="AH511" s="51">
        <v>163</v>
      </c>
      <c r="AI511" s="51">
        <v>134.33333333332999</v>
      </c>
      <c r="AJ511" s="51" t="s">
        <v>1574</v>
      </c>
      <c r="AK511" s="51">
        <v>118.2</v>
      </c>
      <c r="AL511" s="51">
        <v>122.44</v>
      </c>
      <c r="AM511" s="51">
        <v>0.69608999999999999</v>
      </c>
      <c r="AN511" s="51">
        <v>0.50636999999999999</v>
      </c>
      <c r="AO511" s="51">
        <v>0.42575876385</v>
      </c>
      <c r="AP511" s="51">
        <v>2.1633936060000001</v>
      </c>
      <c r="AQ511" s="51">
        <v>1.393981226</v>
      </c>
      <c r="AR511" s="51">
        <v>3.0771999999999999</v>
      </c>
      <c r="AS511" s="51">
        <v>11.464024</v>
      </c>
      <c r="AT511" s="51">
        <v>0.52622956627999995</v>
      </c>
      <c r="AU511" s="51">
        <v>0.47239999999999999</v>
      </c>
      <c r="AV511" s="51">
        <v>0.17269999999999999</v>
      </c>
      <c r="AW511" s="51">
        <v>2873.44</v>
      </c>
      <c r="AX511" s="51">
        <v>265.20999999999998</v>
      </c>
      <c r="AY511" s="51">
        <v>138.13</v>
      </c>
      <c r="AZ511" s="51">
        <v>455.61494417017002</v>
      </c>
      <c r="BA511" s="51">
        <v>468.53146853147001</v>
      </c>
      <c r="BB511" s="51">
        <v>386.33</v>
      </c>
      <c r="BC511" s="51">
        <v>0.94530000000000003</v>
      </c>
      <c r="BD511" s="51">
        <v>0.47939999999999999</v>
      </c>
      <c r="BE511" s="51">
        <v>0.48770000000000002</v>
      </c>
      <c r="BF511" s="51">
        <v>44</v>
      </c>
      <c r="BG511" s="51">
        <v>141.66666666667001</v>
      </c>
      <c r="BH511" s="51">
        <v>131</v>
      </c>
      <c r="BI511" s="51">
        <v>101.16666666667</v>
      </c>
      <c r="BJ511" s="51">
        <v>112.5</v>
      </c>
      <c r="BK511" s="51">
        <v>1344.63</v>
      </c>
      <c r="BL511" s="51">
        <v>30.03</v>
      </c>
      <c r="BM511" s="51">
        <v>1471.74</v>
      </c>
      <c r="BN511" s="51">
        <v>483.3</v>
      </c>
      <c r="BO511" s="51">
        <v>4018.5</v>
      </c>
      <c r="BP511" s="51">
        <v>5263.82</v>
      </c>
      <c r="BQ511" s="51">
        <v>754.7</v>
      </c>
      <c r="BR511" s="51">
        <v>275.85000000000002</v>
      </c>
      <c r="BS511" s="51">
        <v>461.73</v>
      </c>
      <c r="BT511" s="51">
        <v>4.3695000000000004</v>
      </c>
      <c r="BU511" s="41"/>
      <c r="BV511" s="41"/>
      <c r="BW511" s="41"/>
      <c r="BX511" s="41"/>
      <c r="BY511" s="41"/>
      <c r="BZ511" s="41"/>
      <c r="CA511" s="41"/>
      <c r="CB511" s="41"/>
      <c r="CC511" s="41"/>
      <c r="CD511" s="41"/>
      <c r="CE511" s="41"/>
      <c r="CF511" s="41"/>
      <c r="CG511" s="41"/>
      <c r="CH511" s="41"/>
      <c r="CI511" s="41"/>
      <c r="CJ511" s="41"/>
      <c r="CK511" s="41"/>
    </row>
    <row r="512" spans="1:89">
      <c r="A512" s="48" t="s">
        <v>641</v>
      </c>
      <c r="B512" s="49">
        <v>19.154812409809999</v>
      </c>
      <c r="C512" s="49">
        <v>19.484999999999999</v>
      </c>
      <c r="D512" s="49">
        <v>18.291818181819998</v>
      </c>
      <c r="E512" s="49">
        <v>19.68761904762</v>
      </c>
      <c r="F512" s="49">
        <v>27.35</v>
      </c>
      <c r="G512" s="49">
        <v>29.7</v>
      </c>
      <c r="H512" s="49">
        <v>2.25</v>
      </c>
      <c r="I512" s="49">
        <v>3.06</v>
      </c>
      <c r="J512" s="49">
        <v>4.21</v>
      </c>
      <c r="K512" s="49">
        <v>44.721994817990002</v>
      </c>
      <c r="L512" s="49">
        <v>1.3859999999999999</v>
      </c>
      <c r="M512" s="49">
        <v>1.2842</v>
      </c>
      <c r="N512" s="49">
        <v>0.50290000000000001</v>
      </c>
      <c r="O512" s="49">
        <v>1.4679</v>
      </c>
      <c r="P512" s="49">
        <v>1.6556999999999999</v>
      </c>
      <c r="Q512" s="49">
        <v>1.2904</v>
      </c>
      <c r="R512" s="49">
        <v>1.4575</v>
      </c>
      <c r="S512" s="49">
        <v>362</v>
      </c>
      <c r="T512" s="49">
        <v>685.91</v>
      </c>
      <c r="U512" s="49">
        <v>587.55999999999995</v>
      </c>
      <c r="V512" s="49">
        <v>684.39</v>
      </c>
      <c r="W512" s="49">
        <v>373.8</v>
      </c>
      <c r="X512" s="49">
        <v>328.57</v>
      </c>
      <c r="Y512" s="49">
        <v>188</v>
      </c>
      <c r="Z512" s="49">
        <v>389.18</v>
      </c>
      <c r="AA512" s="49">
        <v>206.39</v>
      </c>
      <c r="AB512" s="49" t="s">
        <v>1574</v>
      </c>
      <c r="AC512" s="49" t="s">
        <v>1574</v>
      </c>
      <c r="AD512" s="49">
        <v>99.27</v>
      </c>
      <c r="AE512" s="49">
        <v>91.98</v>
      </c>
      <c r="AF512" s="49">
        <v>95.42</v>
      </c>
      <c r="AG512" s="49">
        <v>191.75</v>
      </c>
      <c r="AH512" s="49">
        <v>173.5</v>
      </c>
      <c r="AI512" s="49">
        <v>142.5</v>
      </c>
      <c r="AJ512" s="49" t="s">
        <v>1574</v>
      </c>
      <c r="AK512" s="49">
        <v>121.68</v>
      </c>
      <c r="AL512" s="49">
        <v>125.31</v>
      </c>
      <c r="AM512" s="49">
        <v>0.75443000000000005</v>
      </c>
      <c r="AN512" s="49">
        <v>0.42852000000000001</v>
      </c>
      <c r="AO512" s="49">
        <v>0.44370590128999998</v>
      </c>
      <c r="AP512" s="49">
        <v>2.207706468</v>
      </c>
      <c r="AQ512" s="49">
        <v>1.387587828</v>
      </c>
      <c r="AR512" s="49">
        <v>3.1181999999999999</v>
      </c>
      <c r="AS512" s="49">
        <v>11.794717</v>
      </c>
      <c r="AT512" s="49">
        <v>0.52403817399999997</v>
      </c>
      <c r="AU512" s="49">
        <v>0.46739999999999998</v>
      </c>
      <c r="AV512" s="49">
        <v>0.17130000000000001</v>
      </c>
      <c r="AW512" s="49">
        <v>2840.58</v>
      </c>
      <c r="AX512" s="49">
        <v>262.52</v>
      </c>
      <c r="AY512" s="49">
        <v>133.28</v>
      </c>
      <c r="AZ512" s="49">
        <v>450.38041707615997</v>
      </c>
      <c r="BA512" s="49">
        <v>468.53146853147001</v>
      </c>
      <c r="BB512" s="49">
        <v>369.35</v>
      </c>
      <c r="BC512" s="49">
        <v>0.95650000000000002</v>
      </c>
      <c r="BD512" s="49">
        <v>0.53879999999999995</v>
      </c>
      <c r="BE512" s="49">
        <v>0.56720000000000004</v>
      </c>
      <c r="BF512" s="49">
        <v>44</v>
      </c>
      <c r="BG512" s="49">
        <v>146</v>
      </c>
      <c r="BH512" s="49">
        <v>131</v>
      </c>
      <c r="BI512" s="49">
        <v>104.125</v>
      </c>
      <c r="BJ512" s="49">
        <v>112.5</v>
      </c>
      <c r="BK512" s="49">
        <v>1368.59</v>
      </c>
      <c r="BL512" s="49">
        <v>29.31</v>
      </c>
      <c r="BM512" s="49">
        <v>1503.96</v>
      </c>
      <c r="BN512" s="49">
        <v>513.1</v>
      </c>
      <c r="BO512" s="49">
        <v>3861.9</v>
      </c>
      <c r="BP512" s="49">
        <v>6043.18</v>
      </c>
      <c r="BQ512" s="49">
        <v>793.2</v>
      </c>
      <c r="BR512" s="49">
        <v>281.51</v>
      </c>
      <c r="BS512" s="49">
        <v>472.11</v>
      </c>
      <c r="BT512" s="49">
        <v>4.5148999999999999</v>
      </c>
      <c r="BU512" s="41"/>
      <c r="BV512" s="41"/>
      <c r="BW512" s="41"/>
      <c r="BX512" s="41"/>
      <c r="BY512" s="41"/>
      <c r="BZ512" s="41"/>
      <c r="CA512" s="41"/>
      <c r="CB512" s="41"/>
      <c r="CC512" s="41"/>
      <c r="CD512" s="41"/>
      <c r="CE512" s="41"/>
      <c r="CF512" s="41"/>
      <c r="CG512" s="41"/>
      <c r="CH512" s="41"/>
      <c r="CI512" s="41"/>
      <c r="CJ512" s="41"/>
      <c r="CK512" s="41"/>
    </row>
    <row r="513" spans="1:89">
      <c r="A513" s="41" t="s">
        <v>642</v>
      </c>
      <c r="B513" s="51">
        <v>19.97523684211</v>
      </c>
      <c r="C513" s="51">
        <v>20.291499999999999</v>
      </c>
      <c r="D513" s="51">
        <v>18.911052631579999</v>
      </c>
      <c r="E513" s="51">
        <v>20.723157894740002</v>
      </c>
      <c r="F513" s="51">
        <v>28.1</v>
      </c>
      <c r="G513" s="51">
        <v>28.95</v>
      </c>
      <c r="H513" s="51">
        <v>2.31</v>
      </c>
      <c r="I513" s="51">
        <v>3.03</v>
      </c>
      <c r="J513" s="51">
        <v>4.12</v>
      </c>
      <c r="K513" s="51">
        <v>45.247003556709998</v>
      </c>
      <c r="L513" s="51">
        <v>1.4905999999999999</v>
      </c>
      <c r="M513" s="51">
        <v>1.3033999999999999</v>
      </c>
      <c r="N513" s="51">
        <v>0.5373</v>
      </c>
      <c r="O513" s="51">
        <v>1.4547000000000001</v>
      </c>
      <c r="P513" s="51">
        <v>1.7023999999999999</v>
      </c>
      <c r="Q513" s="51">
        <v>1.1568000000000001</v>
      </c>
      <c r="R513" s="51">
        <v>1.5049999999999999</v>
      </c>
      <c r="S513" s="51">
        <v>376</v>
      </c>
      <c r="T513" s="51">
        <v>651</v>
      </c>
      <c r="U513" s="51">
        <v>621.95000000000005</v>
      </c>
      <c r="V513" s="51">
        <v>617.29</v>
      </c>
      <c r="W513" s="51">
        <v>352.98</v>
      </c>
      <c r="X513" s="51">
        <v>356</v>
      </c>
      <c r="Y513" s="51">
        <v>187</v>
      </c>
      <c r="Z513" s="51">
        <v>364.92</v>
      </c>
      <c r="AA513" s="51">
        <v>197.15</v>
      </c>
      <c r="AB513" s="51">
        <v>423.45</v>
      </c>
      <c r="AC513" s="51">
        <v>578</v>
      </c>
      <c r="AD513" s="51">
        <v>99.01</v>
      </c>
      <c r="AE513" s="51">
        <v>90.82</v>
      </c>
      <c r="AF513" s="51">
        <v>92.87</v>
      </c>
      <c r="AG513" s="51">
        <v>195.33</v>
      </c>
      <c r="AH513" s="51">
        <v>172.33</v>
      </c>
      <c r="AI513" s="51">
        <v>143.75</v>
      </c>
      <c r="AJ513" s="51" t="s">
        <v>1574</v>
      </c>
      <c r="AK513" s="51">
        <v>113.38</v>
      </c>
      <c r="AL513" s="51">
        <v>123.28</v>
      </c>
      <c r="AM513" s="51">
        <v>0.86912999999999996</v>
      </c>
      <c r="AN513" s="51">
        <v>0.51671</v>
      </c>
      <c r="AO513" s="51">
        <v>0.45461764374000002</v>
      </c>
      <c r="AP513" s="51">
        <v>2.2328391359999999</v>
      </c>
      <c r="AQ513" s="51">
        <v>1.387146904</v>
      </c>
      <c r="AR513" s="51">
        <v>3.1095999999999999</v>
      </c>
      <c r="AS513" s="51">
        <v>11.904947999999999</v>
      </c>
      <c r="AT513" s="51">
        <v>0.52006985800000005</v>
      </c>
      <c r="AU513" s="51">
        <v>0.46039999999999998</v>
      </c>
      <c r="AV513" s="51">
        <v>0.14369999999999999</v>
      </c>
      <c r="AW513" s="51">
        <v>2785.51</v>
      </c>
      <c r="AX513" s="51">
        <v>220.53761915829</v>
      </c>
      <c r="AY513" s="51">
        <v>134.58000000000001</v>
      </c>
      <c r="AZ513" s="51">
        <v>443.70798185580003</v>
      </c>
      <c r="BA513" s="51">
        <v>486.01398601399001</v>
      </c>
      <c r="BB513" s="51">
        <v>366.99</v>
      </c>
      <c r="BC513" s="51">
        <v>0.94359999999999999</v>
      </c>
      <c r="BD513" s="51">
        <v>0.58309999999999995</v>
      </c>
      <c r="BE513" s="51">
        <v>0.62439999999999996</v>
      </c>
      <c r="BF513" s="51">
        <v>44</v>
      </c>
      <c r="BG513" s="51">
        <v>150.25</v>
      </c>
      <c r="BH513" s="51">
        <v>138</v>
      </c>
      <c r="BI513" s="51">
        <v>99.625</v>
      </c>
      <c r="BJ513" s="51">
        <v>112.5</v>
      </c>
      <c r="BK513" s="51">
        <v>1369.34</v>
      </c>
      <c r="BL513" s="51">
        <v>29.31</v>
      </c>
      <c r="BM513" s="51">
        <v>1561.9</v>
      </c>
      <c r="BN513" s="51">
        <v>480</v>
      </c>
      <c r="BO513" s="51">
        <v>3730.8</v>
      </c>
      <c r="BP513" s="51">
        <v>6029.25</v>
      </c>
      <c r="BQ513" s="51">
        <v>771.3</v>
      </c>
      <c r="BR513" s="51">
        <v>295.5</v>
      </c>
      <c r="BS513" s="51">
        <v>471.15</v>
      </c>
      <c r="BT513" s="51">
        <v>4.4231999999999996</v>
      </c>
      <c r="BU513" s="41"/>
      <c r="BV513" s="41"/>
      <c r="BW513" s="41"/>
      <c r="BX513" s="41"/>
      <c r="BY513" s="41"/>
      <c r="BZ513" s="41"/>
      <c r="CA513" s="41"/>
      <c r="CB513" s="41"/>
      <c r="CC513" s="41"/>
      <c r="CD513" s="41"/>
      <c r="CE513" s="41"/>
      <c r="CF513" s="41"/>
      <c r="CG513" s="41"/>
      <c r="CH513" s="41"/>
      <c r="CI513" s="41"/>
      <c r="CJ513" s="41"/>
      <c r="CK513" s="41"/>
    </row>
    <row r="514" spans="1:89">
      <c r="A514" s="48" t="s">
        <v>643</v>
      </c>
      <c r="B514" s="49">
        <v>23.64066666667</v>
      </c>
      <c r="C514" s="49">
        <v>23.6905</v>
      </c>
      <c r="D514" s="49">
        <v>22.854500000000002</v>
      </c>
      <c r="E514" s="49">
        <v>24.376999999999999</v>
      </c>
      <c r="F514" s="49">
        <v>27.8</v>
      </c>
      <c r="G514" s="49">
        <v>28.35</v>
      </c>
      <c r="H514" s="49">
        <v>3.03</v>
      </c>
      <c r="I514" s="49">
        <v>2.97</v>
      </c>
      <c r="J514" s="49">
        <v>3.99</v>
      </c>
      <c r="K514" s="49">
        <v>53.616919522800004</v>
      </c>
      <c r="L514" s="49">
        <v>1.5927</v>
      </c>
      <c r="M514" s="49">
        <v>1.4213</v>
      </c>
      <c r="N514" s="49">
        <v>0.64149999999999996</v>
      </c>
      <c r="O514" s="49">
        <v>1.4218999999999999</v>
      </c>
      <c r="P514" s="49">
        <v>1.7</v>
      </c>
      <c r="Q514" s="49">
        <v>1.0256000000000001</v>
      </c>
      <c r="R514" s="49">
        <v>1.54</v>
      </c>
      <c r="S514" s="49">
        <v>366</v>
      </c>
      <c r="T514" s="49">
        <v>640</v>
      </c>
      <c r="U514" s="49">
        <v>623.36</v>
      </c>
      <c r="V514" s="49">
        <v>598.91999999999996</v>
      </c>
      <c r="W514" s="49">
        <v>359</v>
      </c>
      <c r="X514" s="49">
        <v>353.24</v>
      </c>
      <c r="Y514" s="49">
        <v>191</v>
      </c>
      <c r="Z514" s="49">
        <v>359.21</v>
      </c>
      <c r="AA514" s="49">
        <v>189.95</v>
      </c>
      <c r="AB514" s="49">
        <v>415.85</v>
      </c>
      <c r="AC514" s="49">
        <v>557</v>
      </c>
      <c r="AD514" s="49">
        <v>98.95</v>
      </c>
      <c r="AE514" s="49">
        <v>89.61</v>
      </c>
      <c r="AF514" s="49">
        <v>91.66</v>
      </c>
      <c r="AG514" s="49">
        <v>189</v>
      </c>
      <c r="AH514" s="49">
        <v>171.5</v>
      </c>
      <c r="AI514" s="49">
        <v>151.25</v>
      </c>
      <c r="AJ514" s="49" t="s">
        <v>1574</v>
      </c>
      <c r="AK514" s="49">
        <v>116.62</v>
      </c>
      <c r="AL514" s="49">
        <v>122.54</v>
      </c>
      <c r="AM514" s="49">
        <v>0.91105999999999998</v>
      </c>
      <c r="AN514" s="49">
        <v>0.57181999999999999</v>
      </c>
      <c r="AO514" s="49">
        <v>0.59033406731000004</v>
      </c>
      <c r="AP514" s="49">
        <v>2.3481407619999999</v>
      </c>
      <c r="AQ514" s="49">
        <v>1.3829581259999999</v>
      </c>
      <c r="AR514" s="49">
        <v>3.1036999999999999</v>
      </c>
      <c r="AS514" s="49">
        <v>11.904947999999999</v>
      </c>
      <c r="AT514" s="49">
        <v>0.52006985800000005</v>
      </c>
      <c r="AU514" s="49">
        <v>0.4456</v>
      </c>
      <c r="AV514" s="49">
        <v>0.1477</v>
      </c>
      <c r="AW514" s="49">
        <v>2756.25</v>
      </c>
      <c r="AX514" s="49">
        <v>221.05557967547</v>
      </c>
      <c r="AY514" s="49">
        <v>143.81</v>
      </c>
      <c r="AZ514" s="49">
        <v>446.64151784760998</v>
      </c>
      <c r="BA514" s="49">
        <v>486.01398601399001</v>
      </c>
      <c r="BB514" s="49">
        <v>373.49</v>
      </c>
      <c r="BC514" s="49">
        <v>0.92679999999999996</v>
      </c>
      <c r="BD514" s="49">
        <v>0.68140000000000001</v>
      </c>
      <c r="BE514" s="49">
        <v>0.67059999999999997</v>
      </c>
      <c r="BF514" s="49">
        <v>44</v>
      </c>
      <c r="BG514" s="49">
        <v>149.75</v>
      </c>
      <c r="BH514" s="49">
        <v>138</v>
      </c>
      <c r="BI514" s="49">
        <v>90.25</v>
      </c>
      <c r="BJ514" s="49">
        <v>112.5</v>
      </c>
      <c r="BK514" s="49">
        <v>1405</v>
      </c>
      <c r="BL514" s="49">
        <v>29.31</v>
      </c>
      <c r="BM514" s="49">
        <v>1604.88</v>
      </c>
      <c r="BN514" s="49">
        <v>480.2</v>
      </c>
      <c r="BO514" s="49">
        <v>3842.8</v>
      </c>
      <c r="BP514" s="49">
        <v>6537.5</v>
      </c>
      <c r="BQ514" s="49">
        <v>819.3</v>
      </c>
      <c r="BR514" s="49">
        <v>294.06</v>
      </c>
      <c r="BS514" s="49">
        <v>512.04999999999995</v>
      </c>
      <c r="BT514" s="49">
        <v>4.5392999999999999</v>
      </c>
      <c r="BU514" s="41"/>
      <c r="BV514" s="41"/>
      <c r="BW514" s="41"/>
      <c r="BX514" s="41"/>
      <c r="BY514" s="41"/>
      <c r="BZ514" s="41"/>
      <c r="CA514" s="41"/>
      <c r="CB514" s="41"/>
      <c r="CC514" s="41"/>
      <c r="CD514" s="41"/>
      <c r="CE514" s="41"/>
      <c r="CF514" s="41"/>
      <c r="CG514" s="41"/>
      <c r="CH514" s="41"/>
      <c r="CI514" s="41"/>
      <c r="CJ514" s="41"/>
      <c r="CK514" s="41"/>
    </row>
    <row r="515" spans="1:89">
      <c r="A515" s="41" t="s">
        <v>644</v>
      </c>
      <c r="B515" s="51">
        <v>25.434242424240001</v>
      </c>
      <c r="C515" s="51">
        <v>25.654090909090002</v>
      </c>
      <c r="D515" s="51">
        <v>24.405454545449999</v>
      </c>
      <c r="E515" s="51">
        <v>26.243181818179998</v>
      </c>
      <c r="F515" s="51">
        <v>27.087499999999999</v>
      </c>
      <c r="G515" s="51">
        <v>26.83</v>
      </c>
      <c r="H515" s="51">
        <v>3.42</v>
      </c>
      <c r="I515" s="51">
        <v>2.81</v>
      </c>
      <c r="J515" s="51">
        <v>3.96</v>
      </c>
      <c r="K515" s="51">
        <v>57.571874577510002</v>
      </c>
      <c r="L515" s="51">
        <v>1.5681</v>
      </c>
      <c r="M515" s="51">
        <v>1.4424999999999999</v>
      </c>
      <c r="N515" s="51">
        <v>0.64680000000000004</v>
      </c>
      <c r="O515" s="51">
        <v>1.4778</v>
      </c>
      <c r="P515" s="51">
        <v>1.5976999999999999</v>
      </c>
      <c r="Q515" s="51">
        <v>1.3456999999999999</v>
      </c>
      <c r="R515" s="51">
        <v>1.49</v>
      </c>
      <c r="S515" s="51">
        <v>411</v>
      </c>
      <c r="T515" s="51">
        <v>631</v>
      </c>
      <c r="U515" s="51">
        <v>642.16999999999996</v>
      </c>
      <c r="V515" s="51">
        <v>590.24</v>
      </c>
      <c r="W515" s="51">
        <v>360.07</v>
      </c>
      <c r="X515" s="51">
        <v>405</v>
      </c>
      <c r="Y515" s="51">
        <v>195</v>
      </c>
      <c r="Z515" s="51">
        <v>370.86</v>
      </c>
      <c r="AA515" s="51">
        <v>185.59</v>
      </c>
      <c r="AB515" s="51">
        <v>410.77</v>
      </c>
      <c r="AC515" s="51">
        <v>552</v>
      </c>
      <c r="AD515" s="51">
        <v>95.82</v>
      </c>
      <c r="AE515" s="51">
        <v>87.13</v>
      </c>
      <c r="AF515" s="51">
        <v>88.9</v>
      </c>
      <c r="AG515" s="51">
        <v>190.2</v>
      </c>
      <c r="AH515" s="51">
        <v>171.6</v>
      </c>
      <c r="AI515" s="51">
        <v>148.4</v>
      </c>
      <c r="AJ515" s="51" t="s">
        <v>1574</v>
      </c>
      <c r="AK515" s="51">
        <v>112.99</v>
      </c>
      <c r="AL515" s="51">
        <v>123.72</v>
      </c>
      <c r="AM515" s="51">
        <v>0.86348000000000003</v>
      </c>
      <c r="AN515" s="51">
        <v>0.54427000000000003</v>
      </c>
      <c r="AO515" s="51">
        <v>0.57916412250000004</v>
      </c>
      <c r="AP515" s="51">
        <v>2.2537830259999998</v>
      </c>
      <c r="AQ515" s="51">
        <v>1.3778874999999999</v>
      </c>
      <c r="AR515" s="51">
        <v>3.1478000000000002</v>
      </c>
      <c r="AS515" s="51">
        <v>11.243562000000001</v>
      </c>
      <c r="AT515" s="51">
        <v>0.52690418000000006</v>
      </c>
      <c r="AU515" s="51">
        <v>0.43440000000000001</v>
      </c>
      <c r="AV515" s="51">
        <v>0.15190000000000001</v>
      </c>
      <c r="AW515" s="51">
        <v>2733.82</v>
      </c>
      <c r="AX515" s="51">
        <v>223.56202639986</v>
      </c>
      <c r="AY515" s="51">
        <v>143.94</v>
      </c>
      <c r="AZ515" s="51">
        <v>451.74271824994997</v>
      </c>
      <c r="BA515" s="51">
        <v>503.4965034965</v>
      </c>
      <c r="BB515" s="51">
        <v>373.84</v>
      </c>
      <c r="BC515" s="51">
        <v>0.91269999999999996</v>
      </c>
      <c r="BD515" s="51">
        <v>0.64219999999999999</v>
      </c>
      <c r="BE515" s="51">
        <v>0.67400000000000004</v>
      </c>
      <c r="BF515" s="51">
        <v>44</v>
      </c>
      <c r="BG515" s="51">
        <v>147.80000000000001</v>
      </c>
      <c r="BH515" s="51">
        <v>132</v>
      </c>
      <c r="BI515" s="51">
        <v>84.7</v>
      </c>
      <c r="BJ515" s="51">
        <v>112.5</v>
      </c>
      <c r="BK515" s="51">
        <v>1369.99</v>
      </c>
      <c r="BL515" s="51">
        <v>29.31</v>
      </c>
      <c r="BM515" s="51">
        <v>1590.33</v>
      </c>
      <c r="BN515" s="51">
        <v>472.4</v>
      </c>
      <c r="BO515" s="51">
        <v>4023.6</v>
      </c>
      <c r="BP515" s="51">
        <v>6958.21</v>
      </c>
      <c r="BQ515" s="51">
        <v>808.2</v>
      </c>
      <c r="BR515" s="51">
        <v>302.68</v>
      </c>
      <c r="BS515" s="51">
        <v>539.20000000000005</v>
      </c>
      <c r="BT515" s="51">
        <v>4.5757000000000003</v>
      </c>
      <c r="BU515" s="41"/>
      <c r="BV515" s="41"/>
      <c r="BW515" s="41"/>
      <c r="BX515" s="41"/>
      <c r="BY515" s="41"/>
      <c r="BZ515" s="41"/>
      <c r="CA515" s="41"/>
      <c r="CB515" s="41"/>
      <c r="CC515" s="41"/>
      <c r="CD515" s="41"/>
      <c r="CE515" s="41"/>
      <c r="CF515" s="41"/>
      <c r="CG515" s="41"/>
      <c r="CH515" s="41"/>
      <c r="CI515" s="41"/>
      <c r="CJ515" s="41"/>
      <c r="CK515" s="41"/>
    </row>
    <row r="516" spans="1:89">
      <c r="A516" s="48" t="s">
        <v>645</v>
      </c>
      <c r="B516" s="49">
        <v>25.672345191040002</v>
      </c>
      <c r="C516" s="49">
        <v>25.387272727269998</v>
      </c>
      <c r="D516" s="49">
        <v>24.585217391299999</v>
      </c>
      <c r="E516" s="49">
        <v>27.044545454550001</v>
      </c>
      <c r="F516" s="49">
        <v>26.875</v>
      </c>
      <c r="G516" s="49">
        <v>25.75</v>
      </c>
      <c r="H516" s="49">
        <v>3.49</v>
      </c>
      <c r="I516" s="49">
        <v>2.83</v>
      </c>
      <c r="J516" s="49">
        <v>4.01</v>
      </c>
      <c r="K516" s="49">
        <v>58.550864837909998</v>
      </c>
      <c r="L516" s="49">
        <v>1.6021000000000001</v>
      </c>
      <c r="M516" s="49">
        <v>1.3535999999999999</v>
      </c>
      <c r="N516" s="49">
        <v>0.62429999999999997</v>
      </c>
      <c r="O516" s="49">
        <v>1.4614</v>
      </c>
      <c r="P516" s="49">
        <v>1.4779</v>
      </c>
      <c r="Q516" s="49">
        <v>1.5164</v>
      </c>
      <c r="R516" s="49">
        <v>1.39</v>
      </c>
      <c r="S516" s="49">
        <v>420</v>
      </c>
      <c r="T516" s="49">
        <v>618.17999999999995</v>
      </c>
      <c r="U516" s="49">
        <v>676.43</v>
      </c>
      <c r="V516" s="49">
        <v>599.55999999999995</v>
      </c>
      <c r="W516" s="49">
        <v>384.91</v>
      </c>
      <c r="X516" s="49">
        <v>418.3</v>
      </c>
      <c r="Y516" s="49">
        <v>197</v>
      </c>
      <c r="Z516" s="49">
        <v>399.89</v>
      </c>
      <c r="AA516" s="49">
        <v>187.17</v>
      </c>
      <c r="AB516" s="49">
        <v>414.82</v>
      </c>
      <c r="AC516" s="49">
        <v>574</v>
      </c>
      <c r="AD516" s="49">
        <v>97.55</v>
      </c>
      <c r="AE516" s="49">
        <v>90.27</v>
      </c>
      <c r="AF516" s="49">
        <v>89.84</v>
      </c>
      <c r="AG516" s="49">
        <v>197.5</v>
      </c>
      <c r="AH516" s="49">
        <v>177</v>
      </c>
      <c r="AI516" s="49">
        <v>148</v>
      </c>
      <c r="AJ516" s="49" t="s">
        <v>1574</v>
      </c>
      <c r="AK516" s="49">
        <v>110.91</v>
      </c>
      <c r="AL516" s="49">
        <v>121.46</v>
      </c>
      <c r="AM516" s="49">
        <v>0.84397</v>
      </c>
      <c r="AN516" s="49">
        <v>0.62556</v>
      </c>
      <c r="AO516" s="49">
        <v>0.63550864900000004</v>
      </c>
      <c r="AP516" s="49">
        <v>2.1164352000000002</v>
      </c>
      <c r="AQ516" s="49">
        <v>1.3966267699999999</v>
      </c>
      <c r="AR516" s="49">
        <v>3.1842000000000001</v>
      </c>
      <c r="AS516" s="49">
        <v>11.023099999999999</v>
      </c>
      <c r="AT516" s="49">
        <v>0.53367236340000002</v>
      </c>
      <c r="AU516" s="49">
        <v>0.43709999999999999</v>
      </c>
      <c r="AV516" s="49">
        <v>0.13400000000000001</v>
      </c>
      <c r="AW516" s="49">
        <v>2766.3</v>
      </c>
      <c r="AX516" s="49">
        <v>225.66296809171001</v>
      </c>
      <c r="AY516" s="49">
        <v>153.43</v>
      </c>
      <c r="AZ516" s="49">
        <v>472.21759301971002</v>
      </c>
      <c r="BA516" s="49">
        <v>503.4965034965</v>
      </c>
      <c r="BB516" s="49">
        <v>391.35</v>
      </c>
      <c r="BC516" s="49">
        <v>0.87849999999999995</v>
      </c>
      <c r="BD516" s="49">
        <v>0.68140000000000001</v>
      </c>
      <c r="BE516" s="49">
        <v>0.7046</v>
      </c>
      <c r="BF516" s="49">
        <v>44</v>
      </c>
      <c r="BG516" s="49">
        <v>143.875</v>
      </c>
      <c r="BH516" s="49">
        <v>136.1</v>
      </c>
      <c r="BI516" s="49">
        <v>85.5</v>
      </c>
      <c r="BJ516" s="49">
        <v>112.5</v>
      </c>
      <c r="BK516" s="49">
        <v>1343.3</v>
      </c>
      <c r="BL516" s="49">
        <v>29.31</v>
      </c>
      <c r="BM516" s="49">
        <v>1595.68</v>
      </c>
      <c r="BN516" s="49">
        <v>451.9</v>
      </c>
      <c r="BO516" s="49">
        <v>4149.8</v>
      </c>
      <c r="BP516" s="49">
        <v>6761.36</v>
      </c>
      <c r="BQ516" s="49">
        <v>769.5</v>
      </c>
      <c r="BR516" s="49">
        <v>314.49</v>
      </c>
      <c r="BS516" s="49">
        <v>533.85</v>
      </c>
      <c r="BT516" s="49">
        <v>4.6992000000000003</v>
      </c>
      <c r="BU516" s="41"/>
      <c r="BV516" s="41"/>
      <c r="BW516" s="41"/>
      <c r="BX516" s="41"/>
      <c r="BY516" s="41"/>
      <c r="BZ516" s="41"/>
      <c r="CA516" s="41"/>
      <c r="CB516" s="41"/>
      <c r="CC516" s="41"/>
      <c r="CD516" s="41"/>
      <c r="CE516" s="41"/>
      <c r="CF516" s="41"/>
      <c r="CG516" s="41"/>
      <c r="CH516" s="41"/>
      <c r="CI516" s="41"/>
      <c r="CJ516" s="41"/>
      <c r="CK516" s="41"/>
    </row>
    <row r="517" spans="1:89">
      <c r="A517" s="41" t="s">
        <v>646</v>
      </c>
      <c r="B517" s="51">
        <v>24.48805750487</v>
      </c>
      <c r="C517" s="51">
        <v>24.127894736839998</v>
      </c>
      <c r="D517" s="51">
        <v>23.82777777778</v>
      </c>
      <c r="E517" s="51">
        <v>25.508500000000002</v>
      </c>
      <c r="F517" s="51">
        <v>24.9</v>
      </c>
      <c r="G517" s="51">
        <v>24.38</v>
      </c>
      <c r="H517" s="51">
        <v>3.22</v>
      </c>
      <c r="I517" s="51">
        <v>2.9</v>
      </c>
      <c r="J517" s="51">
        <v>4.0599999999999996</v>
      </c>
      <c r="K517" s="51">
        <v>55.638806906749998</v>
      </c>
      <c r="L517" s="51">
        <v>1.6591</v>
      </c>
      <c r="M517" s="51">
        <v>1.2911999999999999</v>
      </c>
      <c r="N517" s="51">
        <v>0.62660000000000005</v>
      </c>
      <c r="O517" s="51">
        <v>1.5378000000000001</v>
      </c>
      <c r="P517" s="51">
        <v>1.4256</v>
      </c>
      <c r="Q517" s="51">
        <v>1.7354000000000001</v>
      </c>
      <c r="R517" s="51">
        <v>1.4524999999999999</v>
      </c>
      <c r="S517" s="51">
        <v>446</v>
      </c>
      <c r="T517" s="51">
        <v>700.56</v>
      </c>
      <c r="U517" s="51">
        <v>674.16</v>
      </c>
      <c r="V517" s="51">
        <v>645.95000000000005</v>
      </c>
      <c r="W517" s="51">
        <v>426.13</v>
      </c>
      <c r="X517" s="51">
        <v>439</v>
      </c>
      <c r="Y517" s="51">
        <v>200</v>
      </c>
      <c r="Z517" s="51">
        <v>456.81</v>
      </c>
      <c r="AA517" s="51">
        <v>187.35</v>
      </c>
      <c r="AB517" s="51">
        <v>451.04</v>
      </c>
      <c r="AC517" s="51">
        <v>595</v>
      </c>
      <c r="AD517" s="51">
        <v>104.11</v>
      </c>
      <c r="AE517" s="51">
        <v>94.09</v>
      </c>
      <c r="AF517" s="51">
        <v>88.74</v>
      </c>
      <c r="AG517" s="51">
        <v>202.67</v>
      </c>
      <c r="AH517" s="51">
        <v>182.33</v>
      </c>
      <c r="AI517" s="51">
        <v>149</v>
      </c>
      <c r="AJ517" s="51" t="s">
        <v>1574</v>
      </c>
      <c r="AK517" s="51">
        <v>115.44</v>
      </c>
      <c r="AL517" s="51">
        <v>132.03</v>
      </c>
      <c r="AM517" s="51">
        <v>0.66457999999999995</v>
      </c>
      <c r="AN517" s="51">
        <v>0.64761000000000002</v>
      </c>
      <c r="AO517" s="51">
        <v>0.63547215496999998</v>
      </c>
      <c r="AP517" s="51">
        <v>2.0569104600000001</v>
      </c>
      <c r="AQ517" s="51">
        <v>1.4065475599999999</v>
      </c>
      <c r="AR517" s="51">
        <v>3.2433000000000001</v>
      </c>
      <c r="AS517" s="51">
        <v>10.141252</v>
      </c>
      <c r="AT517" s="51">
        <v>0.54264296217999997</v>
      </c>
      <c r="AU517" s="51">
        <v>0.44069999999999998</v>
      </c>
      <c r="AV517" s="51">
        <v>0.1268</v>
      </c>
      <c r="AW517" s="51">
        <v>2775.45</v>
      </c>
      <c r="AX517" s="51">
        <v>236.96869950569999</v>
      </c>
      <c r="AY517" s="51">
        <v>163.55000000000001</v>
      </c>
      <c r="AZ517" s="51">
        <v>496.64046825177002</v>
      </c>
      <c r="BA517" s="51">
        <v>524.47552447552005</v>
      </c>
      <c r="BB517" s="51">
        <v>404.54</v>
      </c>
      <c r="BC517" s="51">
        <v>0.95679999999999998</v>
      </c>
      <c r="BD517" s="51">
        <v>0.83140000000000003</v>
      </c>
      <c r="BE517" s="51">
        <v>0.84119999999999995</v>
      </c>
      <c r="BF517" s="51">
        <v>44</v>
      </c>
      <c r="BG517" s="51">
        <v>149.5</v>
      </c>
      <c r="BH517" s="51">
        <v>128.88</v>
      </c>
      <c r="BI517" s="51">
        <v>92.75</v>
      </c>
      <c r="BJ517" s="51">
        <v>112.5</v>
      </c>
      <c r="BK517" s="51">
        <v>1353.97</v>
      </c>
      <c r="BL517" s="51">
        <v>29.31</v>
      </c>
      <c r="BM517" s="51">
        <v>1647.53</v>
      </c>
      <c r="BN517" s="51">
        <v>440</v>
      </c>
      <c r="BO517" s="51">
        <v>4286.1000000000004</v>
      </c>
      <c r="BP517" s="51">
        <v>7119.86</v>
      </c>
      <c r="BQ517" s="51">
        <v>767.1</v>
      </c>
      <c r="BR517" s="51">
        <v>321.18</v>
      </c>
      <c r="BS517" s="51">
        <v>554.70000000000005</v>
      </c>
      <c r="BT517" s="51">
        <v>4.9043999999999999</v>
      </c>
      <c r="BU517" s="41"/>
      <c r="BV517" s="41"/>
      <c r="BW517" s="41"/>
      <c r="BX517" s="41"/>
      <c r="BY517" s="41"/>
      <c r="BZ517" s="41"/>
      <c r="CA517" s="41"/>
      <c r="CB517" s="41"/>
      <c r="CC517" s="41"/>
      <c r="CD517" s="41"/>
      <c r="CE517" s="41"/>
      <c r="CF517" s="41"/>
      <c r="CG517" s="41"/>
      <c r="CH517" s="41"/>
      <c r="CI517" s="41"/>
      <c r="CJ517" s="41"/>
      <c r="CK517" s="41"/>
    </row>
    <row r="518" spans="1:89">
      <c r="A518" s="48" t="s">
        <v>647</v>
      </c>
      <c r="B518" s="49">
        <v>25.754748102139999</v>
      </c>
      <c r="C518" s="49">
        <v>25.76782608696</v>
      </c>
      <c r="D518" s="49">
        <v>24.57260869565</v>
      </c>
      <c r="E518" s="49">
        <v>26.92380952381</v>
      </c>
      <c r="F518" s="49">
        <v>23.15</v>
      </c>
      <c r="G518" s="49">
        <v>22.73</v>
      </c>
      <c r="H518" s="49">
        <v>2.98</v>
      </c>
      <c r="I518" s="49">
        <v>2.95</v>
      </c>
      <c r="J518" s="49">
        <v>4.5599999999999996</v>
      </c>
      <c r="K518" s="49">
        <v>53.300843057069997</v>
      </c>
      <c r="L518" s="49">
        <v>1.8711</v>
      </c>
      <c r="M518" s="49">
        <v>1.2452000000000001</v>
      </c>
      <c r="N518" s="49">
        <v>0.63049999999999995</v>
      </c>
      <c r="O518" s="49">
        <v>1.5774999999999999</v>
      </c>
      <c r="P518" s="49">
        <v>1.3913</v>
      </c>
      <c r="Q518" s="49">
        <v>1.8611</v>
      </c>
      <c r="R518" s="49">
        <v>1.48</v>
      </c>
      <c r="S518" s="49">
        <v>445</v>
      </c>
      <c r="T518" s="49">
        <v>728.7</v>
      </c>
      <c r="U518" s="49">
        <v>657.82</v>
      </c>
      <c r="V518" s="49">
        <v>704.52</v>
      </c>
      <c r="W518" s="49">
        <v>422.22</v>
      </c>
      <c r="X518" s="49">
        <v>432.61</v>
      </c>
      <c r="Y518" s="49">
        <v>218</v>
      </c>
      <c r="Z518" s="49">
        <v>489.63</v>
      </c>
      <c r="AA518" s="49">
        <v>190.96</v>
      </c>
      <c r="AB518" s="49">
        <v>477.29</v>
      </c>
      <c r="AC518" s="49" t="s">
        <v>1574</v>
      </c>
      <c r="AD518" s="49">
        <v>114.23</v>
      </c>
      <c r="AE518" s="49">
        <v>98.69</v>
      </c>
      <c r="AF518" s="49">
        <v>100.81</v>
      </c>
      <c r="AG518" s="49">
        <v>199.6</v>
      </c>
      <c r="AH518" s="49">
        <v>181</v>
      </c>
      <c r="AI518" s="49">
        <v>152.4</v>
      </c>
      <c r="AJ518" s="49" t="s">
        <v>1574</v>
      </c>
      <c r="AK518" s="49">
        <v>123.5</v>
      </c>
      <c r="AL518" s="49">
        <v>149.31</v>
      </c>
      <c r="AM518" s="49">
        <v>0.65066000000000002</v>
      </c>
      <c r="AN518" s="49">
        <v>0.53681999999999996</v>
      </c>
      <c r="AO518" s="49">
        <v>0.65346502594</v>
      </c>
      <c r="AP518" s="49">
        <v>2.1267969139999998</v>
      </c>
      <c r="AQ518" s="49">
        <v>1.415586502</v>
      </c>
      <c r="AR518" s="49">
        <v>3.39</v>
      </c>
      <c r="AS518" s="49">
        <v>10.031021000000001</v>
      </c>
      <c r="AT518" s="49">
        <v>0.56803797996000005</v>
      </c>
      <c r="AU518" s="49">
        <v>0.45700000000000002</v>
      </c>
      <c r="AV518" s="49">
        <v>0.1409</v>
      </c>
      <c r="AW518" s="49">
        <v>2770.95</v>
      </c>
      <c r="AX518" s="49">
        <v>242.61191217238999</v>
      </c>
      <c r="AY518" s="49">
        <v>178.82</v>
      </c>
      <c r="AZ518" s="49">
        <v>515.86104473549005</v>
      </c>
      <c r="BA518" s="49">
        <v>541.95804195803998</v>
      </c>
      <c r="BB518" s="49">
        <v>431.96</v>
      </c>
      <c r="BC518" s="49">
        <v>1.0267999999999999</v>
      </c>
      <c r="BD518" s="49">
        <v>0.81279999999999997</v>
      </c>
      <c r="BE518" s="49">
        <v>0.83069999999999999</v>
      </c>
      <c r="BF518" s="49">
        <v>44</v>
      </c>
      <c r="BG518" s="49">
        <v>160.5</v>
      </c>
      <c r="BH518" s="49">
        <v>127.38</v>
      </c>
      <c r="BI518" s="49">
        <v>94.2</v>
      </c>
      <c r="BJ518" s="49">
        <v>112.5</v>
      </c>
      <c r="BK518" s="49">
        <v>1338.09</v>
      </c>
      <c r="BL518" s="49">
        <v>29.31</v>
      </c>
      <c r="BM518" s="49">
        <v>1589.46</v>
      </c>
      <c r="BN518" s="49">
        <v>446.1</v>
      </c>
      <c r="BO518" s="49">
        <v>4331.3</v>
      </c>
      <c r="BP518" s="49">
        <v>7142.72</v>
      </c>
      <c r="BQ518" s="49">
        <v>794.9</v>
      </c>
      <c r="BR518" s="49">
        <v>313.29000000000002</v>
      </c>
      <c r="BS518" s="49">
        <v>526.20000000000005</v>
      </c>
      <c r="BT518" s="49">
        <v>4.9185999999999996</v>
      </c>
      <c r="BU518" s="41"/>
      <c r="BV518" s="41"/>
      <c r="BW518" s="41"/>
      <c r="BX518" s="41"/>
      <c r="BY518" s="41"/>
      <c r="BZ518" s="41"/>
      <c r="CA518" s="41"/>
      <c r="CB518" s="41"/>
      <c r="CC518" s="41"/>
      <c r="CD518" s="41"/>
      <c r="CE518" s="41"/>
      <c r="CF518" s="41"/>
      <c r="CG518" s="41"/>
      <c r="CH518" s="41"/>
      <c r="CI518" s="41"/>
      <c r="CJ518" s="41"/>
      <c r="CK518" s="41"/>
    </row>
    <row r="519" spans="1:89">
      <c r="A519" s="41" t="s">
        <v>648</v>
      </c>
      <c r="B519" s="51">
        <v>26.775800865800001</v>
      </c>
      <c r="C519" s="51">
        <v>26.632857142860001</v>
      </c>
      <c r="D519" s="51">
        <v>25.32409090909</v>
      </c>
      <c r="E519" s="51">
        <v>28.370454545449999</v>
      </c>
      <c r="F519" s="51">
        <v>22.25</v>
      </c>
      <c r="G519" s="51">
        <v>21.25</v>
      </c>
      <c r="H519" s="51">
        <v>3.09</v>
      </c>
      <c r="I519" s="51">
        <v>3.01</v>
      </c>
      <c r="J519" s="51">
        <v>4.3499999999999996</v>
      </c>
      <c r="K519" s="51">
        <v>54.779578668859997</v>
      </c>
      <c r="L519" s="51">
        <v>1.9587000000000001</v>
      </c>
      <c r="M519" s="51">
        <v>1.1963999999999999</v>
      </c>
      <c r="N519" s="51">
        <v>0.61460000000000004</v>
      </c>
      <c r="O519" s="51">
        <v>1.5177</v>
      </c>
      <c r="P519" s="51">
        <v>1.5012000000000001</v>
      </c>
      <c r="Q519" s="51">
        <v>1.5569</v>
      </c>
      <c r="R519" s="51">
        <v>1.4950000000000001</v>
      </c>
      <c r="S519" s="51">
        <v>443</v>
      </c>
      <c r="T519" s="51">
        <v>730.95</v>
      </c>
      <c r="U519" s="51">
        <v>649.12</v>
      </c>
      <c r="V519" s="51">
        <v>758.59</v>
      </c>
      <c r="W519" s="51">
        <v>446.09</v>
      </c>
      <c r="X519" s="51">
        <v>433.36</v>
      </c>
      <c r="Y519" s="51">
        <v>227</v>
      </c>
      <c r="Z519" s="51">
        <v>502.75</v>
      </c>
      <c r="AA519" s="51">
        <v>189.82</v>
      </c>
      <c r="AB519" s="51">
        <v>521.14</v>
      </c>
      <c r="AC519" s="51">
        <v>610</v>
      </c>
      <c r="AD519" s="51">
        <v>120.99</v>
      </c>
      <c r="AE519" s="51">
        <v>108.93</v>
      </c>
      <c r="AF519" s="51">
        <v>113.78</v>
      </c>
      <c r="AG519" s="51">
        <v>190.33</v>
      </c>
      <c r="AH519" s="51">
        <v>175</v>
      </c>
      <c r="AI519" s="51">
        <v>148.33333333332999</v>
      </c>
      <c r="AJ519" s="51" t="s">
        <v>1574</v>
      </c>
      <c r="AK519" s="51">
        <v>130.05000000000001</v>
      </c>
      <c r="AL519" s="51">
        <v>161.26</v>
      </c>
      <c r="AM519" s="51">
        <v>0.79147000000000001</v>
      </c>
      <c r="AN519" s="51">
        <v>0.42026000000000002</v>
      </c>
      <c r="AO519" s="51">
        <v>0.63759621852000004</v>
      </c>
      <c r="AP519" s="51">
        <v>2.0954913099999999</v>
      </c>
      <c r="AQ519" s="51">
        <v>1.4133818819999999</v>
      </c>
      <c r="AR519" s="51">
        <v>3.3654999999999999</v>
      </c>
      <c r="AS519" s="51">
        <v>9.259404</v>
      </c>
      <c r="AT519" s="51">
        <v>0.56173717599999995</v>
      </c>
      <c r="AU519" s="51">
        <v>0.46100000000000002</v>
      </c>
      <c r="AV519" s="51">
        <v>0.13869999999999999</v>
      </c>
      <c r="AW519" s="51">
        <v>2722.29</v>
      </c>
      <c r="AX519" s="51">
        <v>236.82934250994001</v>
      </c>
      <c r="AY519" s="51">
        <v>181.94</v>
      </c>
      <c r="AZ519" s="51">
        <v>508.41800566402998</v>
      </c>
      <c r="BA519" s="51">
        <v>559.44055944056004</v>
      </c>
      <c r="BB519" s="51">
        <v>432.75</v>
      </c>
      <c r="BC519" s="51">
        <v>1.0889</v>
      </c>
      <c r="BD519" s="51">
        <v>0.8306</v>
      </c>
      <c r="BE519" s="51">
        <v>0.8629</v>
      </c>
      <c r="BF519" s="51">
        <v>44</v>
      </c>
      <c r="BG519" s="51">
        <v>162.5</v>
      </c>
      <c r="BH519" s="51">
        <v>133.30000000000001</v>
      </c>
      <c r="BI519" s="51">
        <v>105</v>
      </c>
      <c r="BJ519" s="51">
        <v>112.5</v>
      </c>
      <c r="BK519" s="51">
        <v>1291.5999999999999</v>
      </c>
      <c r="BL519" s="51">
        <v>29.31</v>
      </c>
      <c r="BM519" s="51">
        <v>1479.55</v>
      </c>
      <c r="BN519" s="51">
        <v>423.2</v>
      </c>
      <c r="BO519" s="51">
        <v>3834</v>
      </c>
      <c r="BP519" s="51">
        <v>6717.14</v>
      </c>
      <c r="BQ519" s="51">
        <v>747.6</v>
      </c>
      <c r="BR519" s="51">
        <v>310.26</v>
      </c>
      <c r="BS519" s="51">
        <v>544.84</v>
      </c>
      <c r="BT519" s="51">
        <v>4.5403000000000002</v>
      </c>
      <c r="BU519" s="41"/>
      <c r="BV519" s="41"/>
      <c r="BW519" s="41"/>
      <c r="BX519" s="41"/>
      <c r="BY519" s="41"/>
      <c r="BZ519" s="41"/>
      <c r="CA519" s="41"/>
      <c r="CB519" s="41"/>
      <c r="CC519" s="41"/>
      <c r="CD519" s="41"/>
      <c r="CE519" s="41"/>
      <c r="CF519" s="41"/>
      <c r="CG519" s="41"/>
      <c r="CH519" s="41"/>
      <c r="CI519" s="41"/>
      <c r="CJ519" s="41"/>
      <c r="CK519" s="41"/>
    </row>
    <row r="520" spans="1:89">
      <c r="A520" s="48" t="s">
        <v>649</v>
      </c>
      <c r="B520" s="49">
        <v>28.280793650789999</v>
      </c>
      <c r="C520" s="49">
        <v>28.342380952380001</v>
      </c>
      <c r="D520" s="49">
        <v>26.83</v>
      </c>
      <c r="E520" s="49">
        <v>29.67</v>
      </c>
      <c r="F520" s="49">
        <v>22.7</v>
      </c>
      <c r="G520" s="49">
        <v>23.08</v>
      </c>
      <c r="H520" s="49">
        <v>3.57</v>
      </c>
      <c r="I520" s="49">
        <v>3.08</v>
      </c>
      <c r="J520" s="49">
        <v>4.46</v>
      </c>
      <c r="K520" s="49">
        <v>61.015700113290002</v>
      </c>
      <c r="L520" s="49">
        <v>2.1608999999999998</v>
      </c>
      <c r="M520" s="49">
        <v>1.3374999999999999</v>
      </c>
      <c r="N520" s="49">
        <v>0.70720000000000005</v>
      </c>
      <c r="O520" s="49">
        <v>1.5771999999999999</v>
      </c>
      <c r="P520" s="49">
        <v>1.6096999999999999</v>
      </c>
      <c r="Q520" s="49">
        <v>1.5595000000000001</v>
      </c>
      <c r="R520" s="49">
        <v>1.5625</v>
      </c>
      <c r="S520" s="49">
        <v>410</v>
      </c>
      <c r="T520" s="49">
        <v>742.86</v>
      </c>
      <c r="U520" s="49">
        <v>646.16</v>
      </c>
      <c r="V520" s="49">
        <v>794.71</v>
      </c>
      <c r="W520" s="49">
        <v>424.76</v>
      </c>
      <c r="X520" s="49">
        <v>414.57</v>
      </c>
      <c r="Y520" s="49">
        <v>236</v>
      </c>
      <c r="Z520" s="49">
        <v>505.67</v>
      </c>
      <c r="AA520" s="49">
        <v>202.1</v>
      </c>
      <c r="AB520" s="49">
        <v>525.01</v>
      </c>
      <c r="AC520" s="49" t="s">
        <v>1574</v>
      </c>
      <c r="AD520" s="49">
        <v>119.75</v>
      </c>
      <c r="AE520" s="49">
        <v>114.14</v>
      </c>
      <c r="AF520" s="49">
        <v>117.01</v>
      </c>
      <c r="AG520" s="49">
        <v>186.6</v>
      </c>
      <c r="AH520" s="49">
        <v>172.2</v>
      </c>
      <c r="AI520" s="49">
        <v>148.80000000000001</v>
      </c>
      <c r="AJ520" s="49" t="s">
        <v>1574</v>
      </c>
      <c r="AK520" s="49">
        <v>151.84</v>
      </c>
      <c r="AL520" s="49">
        <v>187.84</v>
      </c>
      <c r="AM520" s="49">
        <v>0.67896000000000001</v>
      </c>
      <c r="AN520" s="49">
        <v>0.48570999999999998</v>
      </c>
      <c r="AO520" s="49">
        <v>0.62668446167000003</v>
      </c>
      <c r="AP520" s="49">
        <v>2.0372893419999998</v>
      </c>
      <c r="AQ520" s="49">
        <v>1.411838648</v>
      </c>
      <c r="AR520" s="49">
        <v>3.4352999999999998</v>
      </c>
      <c r="AS520" s="49">
        <v>9.1491729999999993</v>
      </c>
      <c r="AT520" s="49">
        <v>0.56859354419999997</v>
      </c>
      <c r="AU520" s="49">
        <v>0.47439999999999999</v>
      </c>
      <c r="AV520" s="49">
        <v>0.15340000000000001</v>
      </c>
      <c r="AW520" s="49">
        <v>2670.53</v>
      </c>
      <c r="AX520" s="49">
        <v>235.65223080313001</v>
      </c>
      <c r="AY520" s="49">
        <v>181.95</v>
      </c>
      <c r="AZ520" s="49">
        <v>509.91529756477001</v>
      </c>
      <c r="BA520" s="49">
        <v>566.43356643357004</v>
      </c>
      <c r="BB520" s="49">
        <v>427.45</v>
      </c>
      <c r="BC520" s="49">
        <v>1.0806</v>
      </c>
      <c r="BD520" s="49">
        <v>0.89549999999999996</v>
      </c>
      <c r="BE520" s="49">
        <v>0.88939999999999997</v>
      </c>
      <c r="BF520" s="49">
        <v>44</v>
      </c>
      <c r="BG520" s="49">
        <v>160.9</v>
      </c>
      <c r="BH520" s="49">
        <v>135.5</v>
      </c>
      <c r="BI520" s="49">
        <v>93</v>
      </c>
      <c r="BJ520" s="49">
        <v>112.5</v>
      </c>
      <c r="BK520" s="49">
        <v>1301.25</v>
      </c>
      <c r="BL520" s="49">
        <v>29.31</v>
      </c>
      <c r="BM520" s="49">
        <v>1478.71</v>
      </c>
      <c r="BN520" s="49">
        <v>421.3</v>
      </c>
      <c r="BO520" s="49">
        <v>3957.4</v>
      </c>
      <c r="BP520" s="49">
        <v>6640.24</v>
      </c>
      <c r="BQ520" s="49">
        <v>756.2</v>
      </c>
      <c r="BR520" s="49">
        <v>319.14</v>
      </c>
      <c r="BS520" s="49">
        <v>556.33000000000004</v>
      </c>
      <c r="BT520" s="49">
        <v>4.5536000000000003</v>
      </c>
      <c r="BU520" s="41"/>
      <c r="BV520" s="41"/>
      <c r="BW520" s="41"/>
      <c r="BX520" s="41"/>
      <c r="BY520" s="41"/>
      <c r="BZ520" s="41"/>
      <c r="CA520" s="41"/>
      <c r="CB520" s="41"/>
      <c r="CC520" s="41"/>
      <c r="CD520" s="41"/>
      <c r="CE520" s="41"/>
      <c r="CF520" s="41"/>
      <c r="CG520" s="41"/>
      <c r="CH520" s="41"/>
      <c r="CI520" s="41"/>
      <c r="CJ520" s="41"/>
      <c r="CK520" s="41"/>
    </row>
    <row r="521" spans="1:89">
      <c r="A521" s="41" t="s">
        <v>650</v>
      </c>
      <c r="B521" s="51">
        <v>27.526811594200002</v>
      </c>
      <c r="C521" s="51">
        <v>27.54869565217</v>
      </c>
      <c r="D521" s="51">
        <v>26.18086956522</v>
      </c>
      <c r="E521" s="51">
        <v>28.850869565219998</v>
      </c>
      <c r="F521" s="51">
        <v>24.5</v>
      </c>
      <c r="G521" s="51">
        <v>27.35</v>
      </c>
      <c r="H521" s="51">
        <v>4.12</v>
      </c>
      <c r="I521" s="51">
        <v>3.28</v>
      </c>
      <c r="J521" s="51">
        <v>4.54</v>
      </c>
      <c r="K521" s="51">
        <v>68.699549253870003</v>
      </c>
      <c r="L521" s="51">
        <v>2.2014999999999998</v>
      </c>
      <c r="M521" s="51">
        <v>1.4491000000000001</v>
      </c>
      <c r="N521" s="51">
        <v>0.73480000000000001</v>
      </c>
      <c r="O521" s="51">
        <v>1.5753999999999999</v>
      </c>
      <c r="P521" s="51">
        <v>1.6113</v>
      </c>
      <c r="Q521" s="51">
        <v>1.5699000000000001</v>
      </c>
      <c r="R521" s="51">
        <v>1.5449999999999999</v>
      </c>
      <c r="S521" s="51">
        <v>434</v>
      </c>
      <c r="T521" s="51">
        <v>778.46</v>
      </c>
      <c r="U521" s="51">
        <v>637.64</v>
      </c>
      <c r="V521" s="51">
        <v>816.19</v>
      </c>
      <c r="W521" s="51">
        <v>427.24</v>
      </c>
      <c r="X521" s="51">
        <v>423.09</v>
      </c>
      <c r="Y521" s="51">
        <v>229</v>
      </c>
      <c r="Z521" s="51">
        <v>528.57000000000005</v>
      </c>
      <c r="AA521" s="51">
        <v>201.83</v>
      </c>
      <c r="AB521" s="51">
        <v>539.30999999999995</v>
      </c>
      <c r="AC521" s="51" t="s">
        <v>1574</v>
      </c>
      <c r="AD521" s="51">
        <v>120.61</v>
      </c>
      <c r="AE521" s="51">
        <v>109.7</v>
      </c>
      <c r="AF521" s="51">
        <v>113.56</v>
      </c>
      <c r="AG521" s="51">
        <v>186.25</v>
      </c>
      <c r="AH521" s="51">
        <v>174</v>
      </c>
      <c r="AI521" s="51">
        <v>157.25</v>
      </c>
      <c r="AJ521" s="51" t="s">
        <v>1574</v>
      </c>
      <c r="AK521" s="51">
        <v>156.82</v>
      </c>
      <c r="AL521" s="51">
        <v>190.32</v>
      </c>
      <c r="AM521" s="51">
        <v>0.68383000000000005</v>
      </c>
      <c r="AN521" s="51">
        <v>0.54427000000000003</v>
      </c>
      <c r="AO521" s="51">
        <v>0.61427933462999995</v>
      </c>
      <c r="AP521" s="51">
        <v>1.90479168</v>
      </c>
      <c r="AQ521" s="51">
        <v>1.3889106</v>
      </c>
      <c r="AR521" s="51">
        <v>3.4662999999999999</v>
      </c>
      <c r="AS521" s="51">
        <v>9.4798659999999995</v>
      </c>
      <c r="AT521" s="51">
        <v>0.56936516120000003</v>
      </c>
      <c r="AU521" s="51">
        <v>0.48130000000000001</v>
      </c>
      <c r="AV521" s="51">
        <v>0.1656</v>
      </c>
      <c r="AW521" s="51">
        <v>2687.8</v>
      </c>
      <c r="AX521" s="51">
        <v>237.33366348394</v>
      </c>
      <c r="AY521" s="51">
        <v>179.88</v>
      </c>
      <c r="AZ521" s="51">
        <v>505.11798172819999</v>
      </c>
      <c r="BA521" s="51">
        <v>566.43356643357004</v>
      </c>
      <c r="BB521" s="51">
        <v>415.78</v>
      </c>
      <c r="BC521" s="51">
        <v>1.0928</v>
      </c>
      <c r="BD521" s="51">
        <v>0.83130000000000004</v>
      </c>
      <c r="BE521" s="51">
        <v>0.82650000000000001</v>
      </c>
      <c r="BF521" s="51">
        <v>44</v>
      </c>
      <c r="BG521" s="51">
        <v>156.25</v>
      </c>
      <c r="BH521" s="51">
        <v>133.1</v>
      </c>
      <c r="BI521" s="51">
        <v>92.25</v>
      </c>
      <c r="BJ521" s="51">
        <v>112.5</v>
      </c>
      <c r="BK521" s="51">
        <v>1310.58</v>
      </c>
      <c r="BL521" s="51">
        <v>29.31</v>
      </c>
      <c r="BM521" s="51">
        <v>1483.76</v>
      </c>
      <c r="BN521" s="51">
        <v>418.2</v>
      </c>
      <c r="BO521" s="51">
        <v>4241.5</v>
      </c>
      <c r="BP521" s="51">
        <v>6804.46</v>
      </c>
      <c r="BQ521" s="51">
        <v>754.7</v>
      </c>
      <c r="BR521" s="51">
        <v>316.56</v>
      </c>
      <c r="BS521" s="51">
        <v>580.20000000000005</v>
      </c>
      <c r="BT521" s="51">
        <v>4.4013</v>
      </c>
      <c r="BU521" s="41"/>
      <c r="BV521" s="41"/>
      <c r="BW521" s="41"/>
      <c r="BX521" s="41"/>
      <c r="BY521" s="41"/>
      <c r="BZ521" s="41"/>
      <c r="CA521" s="41"/>
      <c r="CB521" s="41"/>
      <c r="CC521" s="41"/>
      <c r="CD521" s="41"/>
      <c r="CE521" s="41"/>
      <c r="CF521" s="41"/>
      <c r="CG521" s="41"/>
      <c r="CH521" s="41"/>
      <c r="CI521" s="41"/>
      <c r="CJ521" s="41"/>
      <c r="CK521" s="41"/>
    </row>
    <row r="522" spans="1:89">
      <c r="A522" s="48" t="s">
        <v>651</v>
      </c>
      <c r="B522" s="49">
        <v>24.542481203009999</v>
      </c>
      <c r="C522" s="49">
        <v>24.184761904759998</v>
      </c>
      <c r="D522" s="49">
        <v>23.15952380952</v>
      </c>
      <c r="E522" s="49">
        <v>26.28315789474</v>
      </c>
      <c r="F522" s="49">
        <v>24.5</v>
      </c>
      <c r="G522" s="49">
        <v>26.98</v>
      </c>
      <c r="H522" s="49">
        <v>4.04</v>
      </c>
      <c r="I522" s="49">
        <v>3.34</v>
      </c>
      <c r="J522" s="49">
        <v>4.5599999999999996</v>
      </c>
      <c r="K522" s="49">
        <v>68.026867641129996</v>
      </c>
      <c r="L522" s="49">
        <v>1.8118000000000001</v>
      </c>
      <c r="M522" s="49">
        <v>1.5404</v>
      </c>
      <c r="N522" s="49">
        <v>0.83579999999999999</v>
      </c>
      <c r="O522" s="49">
        <v>1.5224</v>
      </c>
      <c r="P522" s="49">
        <v>1.5367</v>
      </c>
      <c r="Q522" s="49">
        <v>1.5154000000000001</v>
      </c>
      <c r="R522" s="49">
        <v>1.5149999999999999</v>
      </c>
      <c r="S522" s="49">
        <v>457</v>
      </c>
      <c r="T522" s="49">
        <v>826.67</v>
      </c>
      <c r="U522" s="49">
        <v>626.9</v>
      </c>
      <c r="V522" s="49">
        <v>870.83</v>
      </c>
      <c r="W522" s="49">
        <v>465.02</v>
      </c>
      <c r="X522" s="49">
        <v>456.48</v>
      </c>
      <c r="Y522" s="49">
        <v>243</v>
      </c>
      <c r="Z522" s="49">
        <v>582</v>
      </c>
      <c r="AA522" s="49">
        <v>205.71</v>
      </c>
      <c r="AB522" s="49">
        <v>593.04</v>
      </c>
      <c r="AC522" s="49" t="s">
        <v>1574</v>
      </c>
      <c r="AD522" s="49">
        <v>120.13</v>
      </c>
      <c r="AE522" s="49">
        <v>108.93</v>
      </c>
      <c r="AF522" s="49">
        <v>115.05</v>
      </c>
      <c r="AG522" s="49">
        <v>186.75</v>
      </c>
      <c r="AH522" s="49">
        <v>175.25</v>
      </c>
      <c r="AI522" s="49">
        <v>158.25</v>
      </c>
      <c r="AJ522" s="49" t="s">
        <v>1574</v>
      </c>
      <c r="AK522" s="49">
        <v>160.02000000000001</v>
      </c>
      <c r="AL522" s="49">
        <v>177.38</v>
      </c>
      <c r="AM522" s="49">
        <v>0.64905999999999997</v>
      </c>
      <c r="AN522" s="49">
        <v>0.39613999999999999</v>
      </c>
      <c r="AO522" s="49">
        <v>0.47679760845000002</v>
      </c>
      <c r="AP522" s="49">
        <v>1.912728312</v>
      </c>
      <c r="AQ522" s="49">
        <v>1.36465978</v>
      </c>
      <c r="AR522" s="49">
        <v>3.5108999999999999</v>
      </c>
      <c r="AS522" s="49">
        <v>9.4798659999999995</v>
      </c>
      <c r="AT522" s="49">
        <v>0.57511921939999999</v>
      </c>
      <c r="AU522" s="49">
        <v>0.49159999999999998</v>
      </c>
      <c r="AV522" s="49">
        <v>0.1726</v>
      </c>
      <c r="AW522" s="49">
        <v>2706.18</v>
      </c>
      <c r="AX522" s="49">
        <v>243.71723688208999</v>
      </c>
      <c r="AY522" s="49">
        <v>183.47</v>
      </c>
      <c r="AZ522" s="49">
        <v>515.87846649563005</v>
      </c>
      <c r="BA522" s="49">
        <v>552.44755244755004</v>
      </c>
      <c r="BB522" s="49">
        <v>424.07</v>
      </c>
      <c r="BC522" s="49">
        <v>1.1484000000000001</v>
      </c>
      <c r="BD522" s="49">
        <v>0.84030000000000005</v>
      </c>
      <c r="BE522" s="49">
        <v>0.83989999999999998</v>
      </c>
      <c r="BF522" s="49">
        <v>44</v>
      </c>
      <c r="BG522" s="49">
        <v>151.5</v>
      </c>
      <c r="BH522" s="49">
        <v>132</v>
      </c>
      <c r="BI522" s="49">
        <v>92.25</v>
      </c>
      <c r="BJ522" s="49">
        <v>112.5</v>
      </c>
      <c r="BK522" s="49">
        <v>1372.2</v>
      </c>
      <c r="BL522" s="49">
        <v>29.31</v>
      </c>
      <c r="BM522" s="49">
        <v>1582.29</v>
      </c>
      <c r="BN522" s="49">
        <v>442.2</v>
      </c>
      <c r="BO522" s="49">
        <v>4230</v>
      </c>
      <c r="BP522" s="49">
        <v>7313.93</v>
      </c>
      <c r="BQ522" s="49">
        <v>765.3</v>
      </c>
      <c r="BR522" s="49">
        <v>319.07</v>
      </c>
      <c r="BS522" s="49">
        <v>588.1</v>
      </c>
      <c r="BT522" s="49">
        <v>4.5107999999999997</v>
      </c>
      <c r="BU522" s="41"/>
      <c r="BV522" s="41"/>
      <c r="BW522" s="41"/>
      <c r="BX522" s="41"/>
      <c r="BY522" s="41"/>
      <c r="BZ522" s="41"/>
      <c r="CA522" s="41"/>
      <c r="CB522" s="41"/>
      <c r="CC522" s="41"/>
      <c r="CD522" s="41"/>
      <c r="CE522" s="41"/>
      <c r="CF522" s="41"/>
      <c r="CG522" s="41"/>
      <c r="CH522" s="41"/>
      <c r="CI522" s="41"/>
      <c r="CJ522" s="41"/>
      <c r="CK522" s="41"/>
    </row>
    <row r="523" spans="1:89">
      <c r="A523" s="41" t="s">
        <v>652</v>
      </c>
      <c r="B523" s="51">
        <v>27.88698412698</v>
      </c>
      <c r="C523" s="51">
        <v>28.52095238095</v>
      </c>
      <c r="D523" s="51">
        <v>25.704285714289998</v>
      </c>
      <c r="E523" s="51">
        <v>29.435714285709999</v>
      </c>
      <c r="F523" s="51">
        <v>24.5</v>
      </c>
      <c r="G523" s="51">
        <v>26.94</v>
      </c>
      <c r="H523" s="51">
        <v>4.74</v>
      </c>
      <c r="I523" s="51">
        <v>3.36</v>
      </c>
      <c r="J523" s="51">
        <v>4.5599999999999996</v>
      </c>
      <c r="K523" s="51">
        <v>76.622308170500006</v>
      </c>
      <c r="L523" s="51">
        <v>2.0316999999999998</v>
      </c>
      <c r="M523" s="51">
        <v>1.4145000000000001</v>
      </c>
      <c r="N523" s="51">
        <v>0.83909999999999996</v>
      </c>
      <c r="O523" s="51">
        <v>1.4802999999999999</v>
      </c>
      <c r="P523" s="51">
        <v>1.5347</v>
      </c>
      <c r="Q523" s="51">
        <v>1.4336</v>
      </c>
      <c r="R523" s="51">
        <v>1.4724999999999999</v>
      </c>
      <c r="S523" s="51">
        <v>482</v>
      </c>
      <c r="T523" s="51">
        <v>945.88</v>
      </c>
      <c r="U523" s="51">
        <v>622.73</v>
      </c>
      <c r="V523" s="51">
        <v>952</v>
      </c>
      <c r="W523" s="51">
        <v>488.52</v>
      </c>
      <c r="X523" s="51">
        <v>489.95</v>
      </c>
      <c r="Y523" s="51">
        <v>241</v>
      </c>
      <c r="Z523" s="51">
        <v>591.03</v>
      </c>
      <c r="AA523" s="51">
        <v>204.43</v>
      </c>
      <c r="AB523" s="51">
        <v>616.49</v>
      </c>
      <c r="AC523" s="51" t="s">
        <v>1574</v>
      </c>
      <c r="AD523" s="51">
        <v>117.19</v>
      </c>
      <c r="AE523" s="51">
        <v>106.96</v>
      </c>
      <c r="AF523" s="51">
        <v>113.26</v>
      </c>
      <c r="AG523" s="51">
        <v>186.5</v>
      </c>
      <c r="AH523" s="51">
        <v>174</v>
      </c>
      <c r="AI523" s="51">
        <v>154.25</v>
      </c>
      <c r="AJ523" s="51" t="s">
        <v>1574</v>
      </c>
      <c r="AK523" s="51">
        <v>146.24</v>
      </c>
      <c r="AL523" s="51">
        <v>162.47999999999999</v>
      </c>
      <c r="AM523" s="51">
        <v>0.75246000000000002</v>
      </c>
      <c r="AN523" s="51">
        <v>0.62522</v>
      </c>
      <c r="AO523" s="51">
        <v>0.42675972763999998</v>
      </c>
      <c r="AP523" s="51">
        <v>2.0101725159999999</v>
      </c>
      <c r="AQ523" s="51">
        <v>1.3556208380000001</v>
      </c>
      <c r="AR523" s="51">
        <v>3.5661999999999998</v>
      </c>
      <c r="AS523" s="51">
        <v>9.259404</v>
      </c>
      <c r="AT523" s="51">
        <v>0.57981506000000005</v>
      </c>
      <c r="AU523" s="51">
        <v>0.48559999999999998</v>
      </c>
      <c r="AV523" s="51">
        <v>0.17530000000000001</v>
      </c>
      <c r="AW523" s="51">
        <v>2718.02</v>
      </c>
      <c r="AX523" s="51">
        <v>245.85784664094001</v>
      </c>
      <c r="AY523" s="51">
        <v>182.22</v>
      </c>
      <c r="AZ523" s="51">
        <v>519.60944416659004</v>
      </c>
      <c r="BA523" s="51">
        <v>563</v>
      </c>
      <c r="BB523" s="51">
        <v>421.19</v>
      </c>
      <c r="BC523" s="51">
        <v>1.2182999999999999</v>
      </c>
      <c r="BD523" s="51">
        <v>0.84960000000000002</v>
      </c>
      <c r="BE523" s="51">
        <v>0.84740000000000004</v>
      </c>
      <c r="BF523" s="51">
        <v>44</v>
      </c>
      <c r="BG523" s="51">
        <v>147.5</v>
      </c>
      <c r="BH523" s="51">
        <v>131.5</v>
      </c>
      <c r="BI523" s="51">
        <v>99.375</v>
      </c>
      <c r="BJ523" s="51">
        <v>112.5</v>
      </c>
      <c r="BK523" s="51">
        <v>1375.07</v>
      </c>
      <c r="BL523" s="51">
        <v>29.31</v>
      </c>
      <c r="BM523" s="51">
        <v>1595.68</v>
      </c>
      <c r="BN523" s="51">
        <v>443.6</v>
      </c>
      <c r="BO523" s="51">
        <v>4236.8</v>
      </c>
      <c r="BP523" s="51">
        <v>7193.16</v>
      </c>
      <c r="BQ523" s="51">
        <v>797.7</v>
      </c>
      <c r="BR523" s="51">
        <v>331.92</v>
      </c>
      <c r="BS523" s="51">
        <v>595.44000000000005</v>
      </c>
      <c r="BT523" s="51">
        <v>4.6313000000000004</v>
      </c>
      <c r="BU523" s="41"/>
      <c r="BV523" s="41"/>
      <c r="BW523" s="41"/>
      <c r="BX523" s="41"/>
      <c r="BY523" s="41"/>
      <c r="BZ523" s="41"/>
      <c r="CA523" s="41"/>
      <c r="CB523" s="41"/>
      <c r="CC523" s="41"/>
      <c r="CD523" s="41"/>
      <c r="CE523" s="41"/>
      <c r="CF523" s="41"/>
      <c r="CG523" s="41"/>
      <c r="CH523" s="41"/>
      <c r="CI523" s="41"/>
      <c r="CJ523" s="41"/>
      <c r="CK523" s="41"/>
    </row>
    <row r="524" spans="1:89">
      <c r="A524" s="48" t="s">
        <v>653</v>
      </c>
      <c r="B524" s="49">
        <v>30.750317460320002</v>
      </c>
      <c r="C524" s="49">
        <v>31.246666666669999</v>
      </c>
      <c r="D524" s="49">
        <v>28.054761904759999</v>
      </c>
      <c r="E524" s="49">
        <v>32.949523809520002</v>
      </c>
      <c r="F524" s="49">
        <v>24.9</v>
      </c>
      <c r="G524" s="49">
        <v>27.462499999999999</v>
      </c>
      <c r="H524" s="49">
        <v>5.405869</v>
      </c>
      <c r="I524" s="49">
        <v>3.61</v>
      </c>
      <c r="J524" s="49">
        <v>4.6900000000000004</v>
      </c>
      <c r="K524" s="49">
        <v>85.984771118099999</v>
      </c>
      <c r="L524" s="49">
        <v>2.1784349999999999</v>
      </c>
      <c r="M524" s="49">
        <v>1.4455690000000001</v>
      </c>
      <c r="N524" s="49">
        <v>0.90786250000000002</v>
      </c>
      <c r="O524" s="49">
        <v>1.5180579999999999</v>
      </c>
      <c r="P524" s="49">
        <v>1.5926800000000001</v>
      </c>
      <c r="Q524" s="49">
        <v>1.4539949999999999</v>
      </c>
      <c r="R524" s="49">
        <v>1.5075000000000001</v>
      </c>
      <c r="S524" s="49">
        <v>494</v>
      </c>
      <c r="T524" s="49">
        <v>960</v>
      </c>
      <c r="U524" s="49">
        <v>639.75</v>
      </c>
      <c r="V524" s="49">
        <v>970.03</v>
      </c>
      <c r="W524" s="49">
        <v>486.11</v>
      </c>
      <c r="X524" s="49">
        <v>491.65</v>
      </c>
      <c r="Y524" s="49">
        <v>244</v>
      </c>
      <c r="Z524" s="49">
        <v>540.72</v>
      </c>
      <c r="AA524" s="49">
        <v>206.2</v>
      </c>
      <c r="AB524" s="49">
        <v>623.72</v>
      </c>
      <c r="AC524" s="49">
        <v>612</v>
      </c>
      <c r="AD524" s="49">
        <v>113.7</v>
      </c>
      <c r="AE524" s="49">
        <v>106.1361</v>
      </c>
      <c r="AF524" s="49">
        <v>110.7822</v>
      </c>
      <c r="AG524" s="49">
        <v>200.75</v>
      </c>
      <c r="AH524" s="49">
        <v>185.25</v>
      </c>
      <c r="AI524" s="49">
        <v>152</v>
      </c>
      <c r="AJ524" s="49" t="s">
        <v>1574</v>
      </c>
      <c r="AK524" s="49">
        <v>137.5316</v>
      </c>
      <c r="AL524" s="49">
        <v>149.608</v>
      </c>
      <c r="AM524" s="49">
        <v>0.89289039999999997</v>
      </c>
      <c r="AN524" s="49">
        <v>0.56080019999999997</v>
      </c>
      <c r="AO524" s="49">
        <v>0.5471338</v>
      </c>
      <c r="AP524" s="49">
        <v>2.0394939619999999</v>
      </c>
      <c r="AQ524" s="49">
        <v>1.372816874</v>
      </c>
      <c r="AR524" s="49">
        <v>3.5962670000000001</v>
      </c>
      <c r="AS524" s="49">
        <v>9.5900970000000001</v>
      </c>
      <c r="AT524" s="49">
        <v>0.58995631199999998</v>
      </c>
      <c r="AU524" s="49">
        <v>0.4859927</v>
      </c>
      <c r="AV524" s="49">
        <v>0.18055840000000001</v>
      </c>
      <c r="AW524" s="49">
        <v>2655.74</v>
      </c>
      <c r="AX524" s="49">
        <v>260.18159613444999</v>
      </c>
      <c r="AY524" s="49">
        <v>187.77950000000001</v>
      </c>
      <c r="AZ524" s="49">
        <v>536.29433525449997</v>
      </c>
      <c r="BA524" s="49">
        <v>552.44755244755004</v>
      </c>
      <c r="BB524" s="49">
        <v>421.39080000000001</v>
      </c>
      <c r="BC524" s="49">
        <v>1.2501150000000001</v>
      </c>
      <c r="BD524" s="49">
        <v>0.90310000000000001</v>
      </c>
      <c r="BE524" s="49">
        <v>0.90642460000000002</v>
      </c>
      <c r="BF524" s="49">
        <v>44</v>
      </c>
      <c r="BG524" s="49">
        <v>149.75</v>
      </c>
      <c r="BH524" s="49">
        <v>128.6</v>
      </c>
      <c r="BI524" s="49">
        <v>112</v>
      </c>
      <c r="BJ524" s="49">
        <v>112.5</v>
      </c>
      <c r="BK524" s="49">
        <v>1378.2840000000001</v>
      </c>
      <c r="BL524" s="49">
        <v>31.95</v>
      </c>
      <c r="BM524" s="49">
        <v>1647.66</v>
      </c>
      <c r="BN524" s="49">
        <v>444.65899999999999</v>
      </c>
      <c r="BO524" s="49">
        <v>4435.68</v>
      </c>
      <c r="BP524" s="49">
        <v>8026.02</v>
      </c>
      <c r="BQ524" s="49">
        <v>781.40899999999999</v>
      </c>
      <c r="BR524" s="49">
        <v>356.85899999999998</v>
      </c>
      <c r="BS524" s="49">
        <v>627.91</v>
      </c>
      <c r="BT524" s="49">
        <v>4.8061999999999996</v>
      </c>
      <c r="BU524" s="41"/>
      <c r="BV524" s="41"/>
      <c r="BW524" s="41"/>
      <c r="BX524" s="41"/>
      <c r="BY524" s="41"/>
      <c r="BZ524" s="41"/>
      <c r="CA524" s="41"/>
      <c r="CB524" s="41"/>
      <c r="CC524" s="41"/>
      <c r="CD524" s="41"/>
      <c r="CE524" s="41"/>
      <c r="CF524" s="41"/>
      <c r="CG524" s="41"/>
      <c r="CH524" s="41"/>
      <c r="CI524" s="41"/>
      <c r="CJ524" s="41"/>
      <c r="CK524" s="41"/>
    </row>
    <row r="525" spans="1:89">
      <c r="A525" s="41" t="s">
        <v>654</v>
      </c>
      <c r="B525" s="51">
        <v>32.883377192979999</v>
      </c>
      <c r="C525" s="51">
        <v>32.648499999999999</v>
      </c>
      <c r="D525" s="51">
        <v>30.199000000000002</v>
      </c>
      <c r="E525" s="51">
        <v>35.802631578949999</v>
      </c>
      <c r="F525" s="51">
        <v>25.15</v>
      </c>
      <c r="G525" s="51">
        <v>27</v>
      </c>
      <c r="H525" s="51">
        <v>7.7736840000000003</v>
      </c>
      <c r="I525" s="51">
        <v>3.67</v>
      </c>
      <c r="J525" s="51">
        <v>4.8</v>
      </c>
      <c r="K525" s="51">
        <v>115.09779448892</v>
      </c>
      <c r="L525" s="51">
        <v>2.282</v>
      </c>
      <c r="M525" s="51">
        <v>1.4640880000000001</v>
      </c>
      <c r="N525" s="51">
        <v>0.89661900000000005</v>
      </c>
      <c r="O525" s="51">
        <v>1.473034</v>
      </c>
      <c r="P525" s="51">
        <v>1.4886200000000001</v>
      </c>
      <c r="Q525" s="51">
        <v>1.500481</v>
      </c>
      <c r="R525" s="51">
        <v>1.43</v>
      </c>
      <c r="S525" s="51">
        <v>477</v>
      </c>
      <c r="T525" s="51">
        <v>977</v>
      </c>
      <c r="U525" s="51">
        <v>629.46</v>
      </c>
      <c r="V525" s="51">
        <v>1016.45</v>
      </c>
      <c r="W525" s="51">
        <v>476.95</v>
      </c>
      <c r="X525" s="51">
        <v>472.75</v>
      </c>
      <c r="Y525" s="51">
        <v>243</v>
      </c>
      <c r="Z525" s="51">
        <v>522.42999999999995</v>
      </c>
      <c r="AA525" s="51">
        <v>214.05</v>
      </c>
      <c r="AB525" s="51">
        <v>585.76</v>
      </c>
      <c r="AC525" s="51">
        <v>595</v>
      </c>
      <c r="AD525" s="51">
        <v>114.15</v>
      </c>
      <c r="AE525" s="51">
        <v>105.8507</v>
      </c>
      <c r="AF525" s="51">
        <v>109.2114</v>
      </c>
      <c r="AG525" s="51">
        <v>198.75</v>
      </c>
      <c r="AH525" s="51">
        <v>182</v>
      </c>
      <c r="AI525" s="51">
        <v>150.25</v>
      </c>
      <c r="AJ525" s="51" t="s">
        <v>1574</v>
      </c>
      <c r="AK525" s="51">
        <v>140.77420000000001</v>
      </c>
      <c r="AL525" s="51">
        <v>150.8382</v>
      </c>
      <c r="AM525" s="51">
        <v>0.98959470000000005</v>
      </c>
      <c r="AN525" s="51">
        <v>0.46159230000000001</v>
      </c>
      <c r="AO525" s="51">
        <v>0.50506269999999998</v>
      </c>
      <c r="AP525" s="51">
        <v>1.9923150940000001</v>
      </c>
      <c r="AQ525" s="51">
        <v>1.3917766060000001</v>
      </c>
      <c r="AR525" s="51">
        <v>3.5818050000000001</v>
      </c>
      <c r="AS525" s="51">
        <v>10.141252</v>
      </c>
      <c r="AT525" s="51">
        <v>0.58979537473999999</v>
      </c>
      <c r="AU525" s="51">
        <v>0.4890215</v>
      </c>
      <c r="AV525" s="51">
        <v>0.19863629999999999</v>
      </c>
      <c r="AW525" s="51">
        <v>2651.2</v>
      </c>
      <c r="AX525" s="51">
        <v>263.93183017872002</v>
      </c>
      <c r="AY525" s="51">
        <v>186.8075</v>
      </c>
      <c r="AZ525" s="51">
        <v>544.01846742539999</v>
      </c>
      <c r="BA525" s="51">
        <v>548.95104895104998</v>
      </c>
      <c r="BB525" s="51">
        <v>419.20949999999999</v>
      </c>
      <c r="BC525" s="51">
        <v>1.2928519999999999</v>
      </c>
      <c r="BD525" s="51">
        <v>0.94</v>
      </c>
      <c r="BE525" s="51">
        <v>0.98630839999999997</v>
      </c>
      <c r="BF525" s="51">
        <v>44</v>
      </c>
      <c r="BG525" s="51">
        <v>155.25</v>
      </c>
      <c r="BH525" s="51">
        <v>136</v>
      </c>
      <c r="BI525" s="51">
        <v>132.125</v>
      </c>
      <c r="BJ525" s="51">
        <v>112.5</v>
      </c>
      <c r="BK525" s="51">
        <v>1422.16</v>
      </c>
      <c r="BL525" s="51">
        <v>31.95</v>
      </c>
      <c r="BM525" s="51">
        <v>1683.8</v>
      </c>
      <c r="BN525" s="51">
        <v>475.82499999999999</v>
      </c>
      <c r="BO525" s="51">
        <v>4570.75</v>
      </c>
      <c r="BP525" s="51">
        <v>8623</v>
      </c>
      <c r="BQ525" s="51">
        <v>785.15</v>
      </c>
      <c r="BR525" s="51">
        <v>358.97</v>
      </c>
      <c r="BS525" s="51">
        <v>681.7</v>
      </c>
      <c r="BT525" s="51">
        <v>4.6551</v>
      </c>
      <c r="BU525" s="41"/>
      <c r="BV525" s="41"/>
      <c r="BW525" s="41"/>
      <c r="BX525" s="41"/>
      <c r="BY525" s="41"/>
      <c r="BZ525" s="41"/>
      <c r="CA525" s="41"/>
      <c r="CB525" s="41"/>
      <c r="CC525" s="41"/>
      <c r="CD525" s="41"/>
      <c r="CE525" s="41"/>
      <c r="CF525" s="41"/>
      <c r="CG525" s="41"/>
      <c r="CH525" s="41"/>
      <c r="CI525" s="41"/>
      <c r="CJ525" s="41"/>
      <c r="CK525" s="41"/>
    </row>
    <row r="526" spans="1:89">
      <c r="A526" s="48" t="s">
        <v>655</v>
      </c>
      <c r="B526" s="49">
        <v>30.359206349210002</v>
      </c>
      <c r="C526" s="49">
        <v>30.33904761905</v>
      </c>
      <c r="D526" s="49">
        <v>27.42285714286</v>
      </c>
      <c r="E526" s="49">
        <v>33.315714285710001</v>
      </c>
      <c r="F526" s="49">
        <v>24.4</v>
      </c>
      <c r="G526" s="49">
        <v>25.75</v>
      </c>
      <c r="H526" s="49">
        <v>5.9468569999999996</v>
      </c>
      <c r="I526" s="49">
        <v>3.74</v>
      </c>
      <c r="J526" s="49">
        <v>4.78</v>
      </c>
      <c r="K526" s="49">
        <v>93.233181055049997</v>
      </c>
      <c r="L526" s="49">
        <v>1.946807</v>
      </c>
      <c r="M526" s="49">
        <v>1.361353</v>
      </c>
      <c r="N526" s="49">
        <v>0.8194572</v>
      </c>
      <c r="O526" s="49">
        <v>1.394671</v>
      </c>
      <c r="P526" s="49">
        <v>1.465689</v>
      </c>
      <c r="Q526" s="49">
        <v>1.2108239999999999</v>
      </c>
      <c r="R526" s="49">
        <v>1.5075000000000001</v>
      </c>
      <c r="S526" s="49">
        <v>441</v>
      </c>
      <c r="T526" s="49">
        <v>1022.38</v>
      </c>
      <c r="U526" s="49">
        <v>620.42999999999995</v>
      </c>
      <c r="V526" s="49">
        <v>1039.32</v>
      </c>
      <c r="W526" s="49">
        <v>453.55</v>
      </c>
      <c r="X526" s="49">
        <v>429.14</v>
      </c>
      <c r="Y526" s="49">
        <v>241</v>
      </c>
      <c r="Z526" s="49">
        <v>522.52</v>
      </c>
      <c r="AA526" s="49">
        <v>213.19</v>
      </c>
      <c r="AB526" s="49">
        <v>551.91999999999996</v>
      </c>
      <c r="AC526" s="49">
        <v>565</v>
      </c>
      <c r="AD526" s="49">
        <v>113.65</v>
      </c>
      <c r="AE526" s="49">
        <v>105.60469999999999</v>
      </c>
      <c r="AF526" s="49">
        <v>106.7863</v>
      </c>
      <c r="AG526" s="49">
        <v>197</v>
      </c>
      <c r="AH526" s="49">
        <v>180.25</v>
      </c>
      <c r="AI526" s="49">
        <v>147</v>
      </c>
      <c r="AJ526" s="49" t="s">
        <v>1574</v>
      </c>
      <c r="AK526" s="49">
        <v>129.36070000000001</v>
      </c>
      <c r="AL526" s="49">
        <v>141.80869999999999</v>
      </c>
      <c r="AM526" s="49">
        <v>1.0073240000000001</v>
      </c>
      <c r="AN526" s="49">
        <v>0.48570540000000001</v>
      </c>
      <c r="AO526" s="49">
        <v>0.63315849999999996</v>
      </c>
      <c r="AP526" s="49">
        <v>2.01502268</v>
      </c>
      <c r="AQ526" s="49">
        <v>1.4078703319999999</v>
      </c>
      <c r="AR526" s="49">
        <v>3.5219529999999999</v>
      </c>
      <c r="AS526" s="49">
        <v>10.141252</v>
      </c>
      <c r="AT526" s="49">
        <v>0.57875243316000002</v>
      </c>
      <c r="AU526" s="49">
        <v>0.49052800000000002</v>
      </c>
      <c r="AV526" s="49">
        <v>0.1814402</v>
      </c>
      <c r="AW526" s="49">
        <v>2660.52</v>
      </c>
      <c r="AX526" s="49">
        <v>264.69603172030997</v>
      </c>
      <c r="AY526" s="49">
        <v>184.1771</v>
      </c>
      <c r="AZ526" s="49">
        <v>545.59546240632994</v>
      </c>
      <c r="BA526" s="49">
        <v>559.44055944056004</v>
      </c>
      <c r="BB526" s="49">
        <v>421.81099999999998</v>
      </c>
      <c r="BC526" s="49">
        <v>1.3495029999999999</v>
      </c>
      <c r="BD526" s="49">
        <v>0.94579999999999997</v>
      </c>
      <c r="BE526" s="49">
        <v>1.0636699999999999</v>
      </c>
      <c r="BF526" s="49">
        <v>44</v>
      </c>
      <c r="BG526" s="49">
        <v>177.2</v>
      </c>
      <c r="BH526" s="49">
        <v>143.75</v>
      </c>
      <c r="BI526" s="49">
        <v>138.9</v>
      </c>
      <c r="BJ526" s="49">
        <v>112.5</v>
      </c>
      <c r="BK526" s="49">
        <v>1389.2739999999999</v>
      </c>
      <c r="BL526" s="49">
        <v>31.95</v>
      </c>
      <c r="BM526" s="49">
        <v>1658.9760000000001</v>
      </c>
      <c r="BN526" s="49">
        <v>456.66699999999997</v>
      </c>
      <c r="BO526" s="49">
        <v>4604.5240000000003</v>
      </c>
      <c r="BP526" s="49">
        <v>8378.81</v>
      </c>
      <c r="BQ526" s="49">
        <v>790.952</v>
      </c>
      <c r="BR526" s="49">
        <v>340.55</v>
      </c>
      <c r="BS526" s="49">
        <v>674.33</v>
      </c>
      <c r="BT526" s="49">
        <v>4.5282999999999998</v>
      </c>
      <c r="BU526" s="41"/>
      <c r="BV526" s="41"/>
      <c r="BW526" s="41"/>
      <c r="BX526" s="41"/>
      <c r="BY526" s="41"/>
      <c r="BZ526" s="41"/>
      <c r="CA526" s="41"/>
      <c r="CB526" s="41"/>
      <c r="CC526" s="41"/>
      <c r="CD526" s="41"/>
      <c r="CE526" s="41"/>
      <c r="CF526" s="41"/>
      <c r="CG526" s="41"/>
      <c r="CH526" s="41"/>
      <c r="CI526" s="41"/>
      <c r="CJ526" s="41"/>
      <c r="CK526" s="41"/>
    </row>
    <row r="527" spans="1:89">
      <c r="A527" s="41" t="s">
        <v>656</v>
      </c>
      <c r="B527" s="51">
        <v>25.555968253970001</v>
      </c>
      <c r="C527" s="51">
        <v>25.015999999999998</v>
      </c>
      <c r="D527" s="51">
        <v>23.43047619048</v>
      </c>
      <c r="E527" s="51">
        <v>28.22142857143</v>
      </c>
      <c r="F527" s="51">
        <v>23.45</v>
      </c>
      <c r="G527" s="51">
        <v>23.824999999999999</v>
      </c>
      <c r="H527" s="51">
        <v>5.2893179999999997</v>
      </c>
      <c r="I527" s="51">
        <v>4.03</v>
      </c>
      <c r="J527" s="51">
        <v>4.78</v>
      </c>
      <c r="K527" s="51">
        <v>86.627091726320003</v>
      </c>
      <c r="L527" s="51">
        <v>1.9242269999999999</v>
      </c>
      <c r="M527" s="51">
        <v>1.426169</v>
      </c>
      <c r="N527" s="51">
        <v>0.82496879999999995</v>
      </c>
      <c r="O527" s="51">
        <v>1.4410179999999999</v>
      </c>
      <c r="P527" s="51">
        <v>1.4336089999999999</v>
      </c>
      <c r="Q527" s="51">
        <v>1.3869450000000001</v>
      </c>
      <c r="R527" s="51">
        <v>1.5024999999999999</v>
      </c>
      <c r="S527" s="51">
        <v>421</v>
      </c>
      <c r="T527" s="51">
        <v>1050</v>
      </c>
      <c r="U527" s="51">
        <v>601.91999999999996</v>
      </c>
      <c r="V527" s="51">
        <v>1064.23</v>
      </c>
      <c r="W527" s="51">
        <v>443.02</v>
      </c>
      <c r="X527" s="51">
        <v>395.23</v>
      </c>
      <c r="Y527" s="51">
        <v>251</v>
      </c>
      <c r="Z527" s="51">
        <v>540.9</v>
      </c>
      <c r="AA527" s="51">
        <v>217.55</v>
      </c>
      <c r="AB527" s="51">
        <v>557.22</v>
      </c>
      <c r="AC527" s="51">
        <v>578</v>
      </c>
      <c r="AD527" s="51">
        <v>114.59</v>
      </c>
      <c r="AE527" s="51">
        <v>105.45699999999999</v>
      </c>
      <c r="AF527" s="51">
        <v>106.8138</v>
      </c>
      <c r="AG527" s="51">
        <v>195</v>
      </c>
      <c r="AH527" s="51">
        <v>178.6</v>
      </c>
      <c r="AI527" s="51">
        <v>141.4</v>
      </c>
      <c r="AJ527" s="51" t="s">
        <v>1574</v>
      </c>
      <c r="AK527" s="51">
        <v>125.80110000000001</v>
      </c>
      <c r="AL527" s="51">
        <v>138.6155</v>
      </c>
      <c r="AM527" s="51">
        <v>0.89217740000000001</v>
      </c>
      <c r="AN527" s="51">
        <v>0.38443060000000001</v>
      </c>
      <c r="AO527" s="51">
        <v>0.67375589999999996</v>
      </c>
      <c r="AP527" s="51">
        <v>1.9691665840000001</v>
      </c>
      <c r="AQ527" s="51">
        <v>1.400595086</v>
      </c>
      <c r="AR527" s="51">
        <v>3.5025949999999999</v>
      </c>
      <c r="AS527" s="51">
        <v>11.464024</v>
      </c>
      <c r="AT527" s="51">
        <v>0.57575855919999996</v>
      </c>
      <c r="AU527" s="51">
        <v>0.48187980000000002</v>
      </c>
      <c r="AV527" s="51">
        <v>0.17085810000000001</v>
      </c>
      <c r="AW527" s="51">
        <v>2617.6370000000002</v>
      </c>
      <c r="AX527" s="51">
        <v>265.72379909111999</v>
      </c>
      <c r="AY527" s="51">
        <v>180.00059999999999</v>
      </c>
      <c r="AZ527" s="51">
        <v>542.29249338624004</v>
      </c>
      <c r="BA527" s="51">
        <v>559.44055944056004</v>
      </c>
      <c r="BB527" s="51">
        <v>417.39890000000003</v>
      </c>
      <c r="BC527" s="51">
        <v>1.339858</v>
      </c>
      <c r="BD527" s="51">
        <v>0.878</v>
      </c>
      <c r="BE527" s="51">
        <v>0.99802919999999995</v>
      </c>
      <c r="BF527" s="51">
        <v>44</v>
      </c>
      <c r="BG527" s="51">
        <v>181.5</v>
      </c>
      <c r="BH527" s="51">
        <v>145</v>
      </c>
      <c r="BI527" s="51">
        <v>118.625</v>
      </c>
      <c r="BJ527" s="51">
        <v>112.5</v>
      </c>
      <c r="BK527" s="51">
        <v>1332.0129999999999</v>
      </c>
      <c r="BL527" s="51">
        <v>31.95</v>
      </c>
      <c r="BM527" s="51">
        <v>1587.4749999999999</v>
      </c>
      <c r="BN527" s="51">
        <v>437.375</v>
      </c>
      <c r="BO527" s="51">
        <v>4565.75</v>
      </c>
      <c r="BP527" s="51">
        <v>7910.125</v>
      </c>
      <c r="BQ527" s="51">
        <v>754.65</v>
      </c>
      <c r="BR527" s="51">
        <v>328.18</v>
      </c>
      <c r="BS527" s="51">
        <v>624.91</v>
      </c>
      <c r="BT527" s="51">
        <v>4.4931999999999999</v>
      </c>
      <c r="BU527" s="41"/>
      <c r="BV527" s="41"/>
      <c r="BW527" s="41"/>
      <c r="BX527" s="41"/>
      <c r="BY527" s="41"/>
      <c r="BZ527" s="41"/>
      <c r="CA527" s="41"/>
      <c r="CB527" s="41"/>
      <c r="CC527" s="41"/>
      <c r="CD527" s="41"/>
      <c r="CE527" s="41"/>
      <c r="CF527" s="41"/>
      <c r="CG527" s="41"/>
      <c r="CH527" s="41"/>
      <c r="CI527" s="41"/>
      <c r="CJ527" s="41"/>
      <c r="CK527" s="41"/>
    </row>
    <row r="528" spans="1:89">
      <c r="A528" s="48" t="s">
        <v>657</v>
      </c>
      <c r="B528" s="49">
        <v>26.064912698410001</v>
      </c>
      <c r="C528" s="49">
        <v>25.8095</v>
      </c>
      <c r="D528" s="49">
        <v>24.252857142860002</v>
      </c>
      <c r="E528" s="49">
        <v>28.13238095238</v>
      </c>
      <c r="F528" s="49">
        <v>23.3</v>
      </c>
      <c r="G528" s="49">
        <v>23.65</v>
      </c>
      <c r="H528" s="49">
        <v>5.838044</v>
      </c>
      <c r="I528" s="49">
        <v>4.04</v>
      </c>
      <c r="J528" s="49">
        <v>4.74</v>
      </c>
      <c r="K528" s="49">
        <v>93.310916165009999</v>
      </c>
      <c r="L528" s="49">
        <v>1.7355499999999999</v>
      </c>
      <c r="M528" s="49">
        <v>1.4607810000000001</v>
      </c>
      <c r="N528" s="49">
        <v>0.83334629999999998</v>
      </c>
      <c r="O528" s="49">
        <v>1.4623980000000001</v>
      </c>
      <c r="P528" s="49">
        <v>1.4444410000000001</v>
      </c>
      <c r="Q528" s="49">
        <v>1.4202520000000001</v>
      </c>
      <c r="R528" s="49">
        <v>1.5225</v>
      </c>
      <c r="S528" s="49">
        <v>440</v>
      </c>
      <c r="T528" s="49">
        <v>1050</v>
      </c>
      <c r="U528" s="49">
        <v>630.08610051993003</v>
      </c>
      <c r="V528" s="49">
        <v>1147.4100000000001</v>
      </c>
      <c r="W528" s="49">
        <v>453.82</v>
      </c>
      <c r="X528" s="49">
        <v>409.23</v>
      </c>
      <c r="Y528" s="49">
        <v>250</v>
      </c>
      <c r="Z528" s="49">
        <v>549.24</v>
      </c>
      <c r="AA528" s="49">
        <v>222.05</v>
      </c>
      <c r="AB528" s="49">
        <v>607.16999999999996</v>
      </c>
      <c r="AC528" s="49">
        <v>595</v>
      </c>
      <c r="AD528" s="49">
        <v>115.5</v>
      </c>
      <c r="AE528" s="49">
        <v>107.4943</v>
      </c>
      <c r="AF528" s="49">
        <v>104.962</v>
      </c>
      <c r="AG528" s="49">
        <v>198</v>
      </c>
      <c r="AH528" s="49">
        <v>180.75</v>
      </c>
      <c r="AI528" s="49">
        <v>142.5</v>
      </c>
      <c r="AJ528" s="49" t="s">
        <v>1574</v>
      </c>
      <c r="AK528" s="49">
        <v>129.154</v>
      </c>
      <c r="AL528" s="49">
        <v>141.96180000000001</v>
      </c>
      <c r="AM528" s="49">
        <v>0.89256670000000005</v>
      </c>
      <c r="AN528" s="49">
        <v>0.2962458</v>
      </c>
      <c r="AO528" s="49">
        <v>0.68479860000000004</v>
      </c>
      <c r="AP528" s="49">
        <v>1.87613162</v>
      </c>
      <c r="AQ528" s="49">
        <v>1.4241845200000001</v>
      </c>
      <c r="AR528" s="49">
        <v>3.74403</v>
      </c>
      <c r="AS528" s="49">
        <v>11.904947999999999</v>
      </c>
      <c r="AT528" s="49">
        <v>0.59338153417999995</v>
      </c>
      <c r="AU528" s="49">
        <v>0.48164649999999998</v>
      </c>
      <c r="AV528" s="49">
        <v>0.1580713</v>
      </c>
      <c r="AW528" s="49">
        <v>2589.7399999999998</v>
      </c>
      <c r="AX528" s="49">
        <v>283.39753154966002</v>
      </c>
      <c r="AY528" s="49">
        <v>183.876</v>
      </c>
      <c r="AZ528" s="49">
        <v>578.36372293150998</v>
      </c>
      <c r="BA528" s="49">
        <v>552.44755244755004</v>
      </c>
      <c r="BB528" s="49">
        <v>426.3854</v>
      </c>
      <c r="BC528" s="49">
        <v>1.275874</v>
      </c>
      <c r="BD528" s="49">
        <v>0.83699999999999997</v>
      </c>
      <c r="BE528" s="49">
        <v>0.99965400000000004</v>
      </c>
      <c r="BF528" s="49">
        <v>44</v>
      </c>
      <c r="BG528" s="49">
        <v>178.4375</v>
      </c>
      <c r="BH528" s="49">
        <v>146</v>
      </c>
      <c r="BI528" s="49">
        <v>128.125</v>
      </c>
      <c r="BJ528" s="49">
        <v>112.5</v>
      </c>
      <c r="BK528" s="49">
        <v>1398.4880000000001</v>
      </c>
      <c r="BL528" s="49">
        <v>31.95</v>
      </c>
      <c r="BM528" s="49">
        <v>1648.2750000000001</v>
      </c>
      <c r="BN528" s="49">
        <v>463.5</v>
      </c>
      <c r="BO528" s="49">
        <v>4736.75</v>
      </c>
      <c r="BP528" s="49">
        <v>8330.625</v>
      </c>
      <c r="BQ528" s="49">
        <v>775.65</v>
      </c>
      <c r="BR528" s="49">
        <v>355.68299999999999</v>
      </c>
      <c r="BS528" s="49">
        <v>650.36</v>
      </c>
      <c r="BT528" s="49">
        <v>4.7412999999999998</v>
      </c>
      <c r="BU528" s="41"/>
      <c r="BV528" s="41"/>
      <c r="BW528" s="41"/>
      <c r="BX528" s="41"/>
      <c r="BY528" s="41"/>
      <c r="BZ528" s="41"/>
      <c r="CA528" s="41"/>
      <c r="CB528" s="41"/>
      <c r="CC528" s="41"/>
      <c r="CD528" s="41"/>
      <c r="CE528" s="41"/>
      <c r="CF528" s="41"/>
      <c r="CG528" s="41"/>
      <c r="CH528" s="41"/>
      <c r="CI528" s="41"/>
      <c r="CJ528" s="41"/>
      <c r="CK528" s="41"/>
    </row>
    <row r="529" spans="1:89">
      <c r="A529" s="41" t="s">
        <v>658</v>
      </c>
      <c r="B529" s="51">
        <v>27.91714285714</v>
      </c>
      <c r="C529" s="51">
        <v>27.545714285710002</v>
      </c>
      <c r="D529" s="51">
        <v>25.495714285710001</v>
      </c>
      <c r="E529" s="51">
        <v>30.71</v>
      </c>
      <c r="F529" s="51">
        <v>24.1</v>
      </c>
      <c r="G529" s="51">
        <v>26.75</v>
      </c>
      <c r="H529" s="51">
        <v>5.7719050000000003</v>
      </c>
      <c r="I529" s="51">
        <v>4.05</v>
      </c>
      <c r="J529" s="51">
        <v>4.7699999999999996</v>
      </c>
      <c r="K529" s="51">
        <v>92.575630166470006</v>
      </c>
      <c r="L529" s="51">
        <v>1.5710949999999999</v>
      </c>
      <c r="M529" s="51">
        <v>1.3456999999999999</v>
      </c>
      <c r="N529" s="51">
        <v>0.75420050000000005</v>
      </c>
      <c r="O529" s="51">
        <v>1.49152</v>
      </c>
      <c r="P529" s="51">
        <v>1.431108</v>
      </c>
      <c r="Q529" s="51">
        <v>1.540951</v>
      </c>
      <c r="R529" s="51">
        <v>1.5024999999999999</v>
      </c>
      <c r="S529" s="51">
        <v>459</v>
      </c>
      <c r="T529" s="51">
        <v>1037.6199999999999</v>
      </c>
      <c r="U529" s="51">
        <v>657.20901213171999</v>
      </c>
      <c r="V529" s="51">
        <v>1234.5899999999999</v>
      </c>
      <c r="W529" s="51">
        <v>466.21</v>
      </c>
      <c r="X529" s="51">
        <v>435.14</v>
      </c>
      <c r="Y529" s="51">
        <v>239</v>
      </c>
      <c r="Z529" s="51">
        <v>545.85</v>
      </c>
      <c r="AA529" s="51">
        <v>219</v>
      </c>
      <c r="AB529" s="51">
        <v>612.27</v>
      </c>
      <c r="AC529" s="51">
        <v>609</v>
      </c>
      <c r="AD529" s="51">
        <v>111.48</v>
      </c>
      <c r="AE529" s="51">
        <v>107.327</v>
      </c>
      <c r="AF529" s="51">
        <v>97.581990000000005</v>
      </c>
      <c r="AG529" s="51">
        <v>203.4</v>
      </c>
      <c r="AH529" s="51">
        <v>186.2</v>
      </c>
      <c r="AI529" s="51">
        <v>151.19999999999999</v>
      </c>
      <c r="AJ529" s="51" t="s">
        <v>1574</v>
      </c>
      <c r="AK529" s="51">
        <v>126.2834</v>
      </c>
      <c r="AL529" s="51">
        <v>131.3528</v>
      </c>
      <c r="AM529" s="51">
        <v>0.69174599999999997</v>
      </c>
      <c r="AN529" s="51">
        <v>0.30830229999999997</v>
      </c>
      <c r="AO529" s="51">
        <v>0.71944280000000005</v>
      </c>
      <c r="AP529" s="51">
        <v>1.872383766</v>
      </c>
      <c r="AQ529" s="51">
        <v>1.454828738</v>
      </c>
      <c r="AR529" s="51">
        <v>4.0269550000000001</v>
      </c>
      <c r="AS529" s="51">
        <v>12.015179</v>
      </c>
      <c r="AT529" s="51">
        <v>0.60715234799999995</v>
      </c>
      <c r="AU529" s="51">
        <v>0.47673330000000003</v>
      </c>
      <c r="AV529" s="51">
        <v>0.1483709</v>
      </c>
      <c r="AW529" s="51">
        <v>2589.77</v>
      </c>
      <c r="AX529" s="51">
        <v>285.70429022891</v>
      </c>
      <c r="AY529" s="51">
        <v>182.33750000000001</v>
      </c>
      <c r="AZ529" s="51">
        <v>572.08267478285995</v>
      </c>
      <c r="BA529" s="51">
        <v>552.44755244755004</v>
      </c>
      <c r="BB529" s="51">
        <v>422.81799999999998</v>
      </c>
      <c r="BC529" s="51">
        <v>1.2850060000000001</v>
      </c>
      <c r="BD529" s="51">
        <v>0.84430000000000005</v>
      </c>
      <c r="BE529" s="51">
        <v>1.0305690000000001</v>
      </c>
      <c r="BF529" s="51">
        <v>44</v>
      </c>
      <c r="BG529" s="51">
        <v>171.3</v>
      </c>
      <c r="BH529" s="51">
        <v>148.25</v>
      </c>
      <c r="BI529" s="51">
        <v>133.9</v>
      </c>
      <c r="BJ529" s="51">
        <v>112.5</v>
      </c>
      <c r="BK529" s="51">
        <v>1409.845</v>
      </c>
      <c r="BL529" s="51">
        <v>31.95</v>
      </c>
      <c r="BM529" s="51">
        <v>1686.5</v>
      </c>
      <c r="BN529" s="51">
        <v>468.024</v>
      </c>
      <c r="BO529" s="51">
        <v>4694.7619999999997</v>
      </c>
      <c r="BP529" s="51">
        <v>8874.7620000000006</v>
      </c>
      <c r="BQ529" s="51">
        <v>790.69</v>
      </c>
      <c r="BR529" s="51">
        <v>356.35199999999998</v>
      </c>
      <c r="BS529" s="51">
        <v>661.67</v>
      </c>
      <c r="BT529" s="51">
        <v>4.5262000000000002</v>
      </c>
      <c r="BU529" s="41"/>
      <c r="BV529" s="41"/>
      <c r="BW529" s="41"/>
      <c r="BX529" s="41"/>
      <c r="BY529" s="41"/>
      <c r="BZ529" s="41"/>
      <c r="CA529" s="41"/>
      <c r="CB529" s="41"/>
      <c r="CC529" s="41"/>
      <c r="CD529" s="41"/>
      <c r="CE529" s="41"/>
      <c r="CF529" s="41"/>
      <c r="CG529" s="41"/>
      <c r="CH529" s="41"/>
      <c r="CI529" s="41"/>
      <c r="CJ529" s="41"/>
      <c r="CK529" s="41"/>
    </row>
    <row r="530" spans="1:89">
      <c r="A530" s="48" t="s">
        <v>659</v>
      </c>
      <c r="B530" s="49">
        <v>28.591587615280002</v>
      </c>
      <c r="C530" s="49">
        <v>28.398260869569999</v>
      </c>
      <c r="D530" s="49">
        <v>26.626956521739999</v>
      </c>
      <c r="E530" s="49">
        <v>30.749545454549999</v>
      </c>
      <c r="F530" s="49">
        <v>24.35</v>
      </c>
      <c r="G530" s="49">
        <v>29.5</v>
      </c>
      <c r="H530" s="49">
        <v>5.0049999999999999</v>
      </c>
      <c r="I530" s="49">
        <v>4.04</v>
      </c>
      <c r="J530" s="49">
        <v>4.75</v>
      </c>
      <c r="K530" s="49">
        <v>83.201727110419995</v>
      </c>
      <c r="L530" s="49">
        <v>1.5601739999999999</v>
      </c>
      <c r="M530" s="49">
        <v>1.3878079999999999</v>
      </c>
      <c r="N530" s="49">
        <v>0.77933319999999995</v>
      </c>
      <c r="O530" s="49">
        <v>1.6270089999999999</v>
      </c>
      <c r="P530" s="49">
        <v>1.4943</v>
      </c>
      <c r="Q530" s="49">
        <v>1.8407249999999999</v>
      </c>
      <c r="R530" s="49">
        <v>1.546</v>
      </c>
      <c r="S530" s="49">
        <v>439</v>
      </c>
      <c r="T530" s="49">
        <v>1023.18</v>
      </c>
      <c r="U530" s="49">
        <v>643.64755632582001</v>
      </c>
      <c r="V530" s="49">
        <v>1261.43</v>
      </c>
      <c r="W530" s="49">
        <v>457.72</v>
      </c>
      <c r="X530" s="49">
        <v>414.65</v>
      </c>
      <c r="Y530" s="49">
        <v>230</v>
      </c>
      <c r="Z530" s="49">
        <v>531.41</v>
      </c>
      <c r="AA530" s="49">
        <v>210.98</v>
      </c>
      <c r="AB530" s="49">
        <v>582.55999999999995</v>
      </c>
      <c r="AC530" s="49">
        <v>575</v>
      </c>
      <c r="AD530" s="49">
        <v>96.62</v>
      </c>
      <c r="AE530" s="49">
        <v>96.805909999999997</v>
      </c>
      <c r="AF530" s="49">
        <v>89.772130000000004</v>
      </c>
      <c r="AG530" s="49">
        <v>198.5</v>
      </c>
      <c r="AH530" s="49">
        <v>182.25</v>
      </c>
      <c r="AI530" s="49">
        <v>150.25</v>
      </c>
      <c r="AJ530" s="49" t="s">
        <v>1574</v>
      </c>
      <c r="AK530" s="49">
        <v>128.95189999999999</v>
      </c>
      <c r="AL530" s="49">
        <v>131.6174</v>
      </c>
      <c r="AM530" s="49">
        <v>0.63269710000000001</v>
      </c>
      <c r="AN530" s="49">
        <v>0.2962458</v>
      </c>
      <c r="AO530" s="49">
        <v>0.74964810000000004</v>
      </c>
      <c r="AP530" s="49">
        <v>1.91030323</v>
      </c>
      <c r="AQ530" s="49">
        <v>1.4881184999999999</v>
      </c>
      <c r="AR530" s="49">
        <v>3.9406249999999998</v>
      </c>
      <c r="AS530" s="49">
        <v>12.015179</v>
      </c>
      <c r="AT530" s="49">
        <v>0.59414509000000004</v>
      </c>
      <c r="AU530" s="49">
        <v>0.4706864</v>
      </c>
      <c r="AV530" s="49">
        <v>0.15079600000000001</v>
      </c>
      <c r="AW530" s="49">
        <v>2625.1</v>
      </c>
      <c r="AX530" s="49">
        <v>278.58637314654999</v>
      </c>
      <c r="AY530" s="49">
        <v>181.6653</v>
      </c>
      <c r="AZ530" s="49">
        <v>556.93604449681004</v>
      </c>
      <c r="BA530" s="49">
        <v>552.44755244755004</v>
      </c>
      <c r="BB530" s="49">
        <v>421.25909999999999</v>
      </c>
      <c r="BC530" s="49">
        <v>1.327469</v>
      </c>
      <c r="BD530" s="49">
        <v>0.87519999999999998</v>
      </c>
      <c r="BE530" s="49">
        <v>1.0045580000000001</v>
      </c>
      <c r="BF530" s="49">
        <v>44</v>
      </c>
      <c r="BG530" s="49">
        <v>176.375</v>
      </c>
      <c r="BH530" s="49">
        <v>150.9</v>
      </c>
      <c r="BI530" s="49">
        <v>142.75</v>
      </c>
      <c r="BJ530" s="49">
        <v>112.5</v>
      </c>
      <c r="BK530" s="49">
        <v>1436.087</v>
      </c>
      <c r="BL530" s="49">
        <v>31.95</v>
      </c>
      <c r="BM530" s="49">
        <v>1710</v>
      </c>
      <c r="BN530" s="49">
        <v>514.78300000000002</v>
      </c>
      <c r="BO530" s="49">
        <v>4739.348</v>
      </c>
      <c r="BP530" s="49">
        <v>8797.3909999999996</v>
      </c>
      <c r="BQ530" s="49">
        <v>827.54300000000001</v>
      </c>
      <c r="BR530" s="49">
        <v>351.02</v>
      </c>
      <c r="BS530" s="49">
        <v>681.52</v>
      </c>
      <c r="BT530" s="49">
        <v>4.7969999999999997</v>
      </c>
      <c r="BU530" s="41"/>
      <c r="BV530" s="41"/>
      <c r="BW530" s="41"/>
      <c r="BX530" s="41"/>
      <c r="BY530" s="41"/>
      <c r="BZ530" s="41"/>
      <c r="CA530" s="41"/>
      <c r="CB530" s="41"/>
      <c r="CC530" s="41"/>
      <c r="CD530" s="41"/>
      <c r="CE530" s="41"/>
      <c r="CF530" s="41"/>
      <c r="CG530" s="41"/>
      <c r="CH530" s="41"/>
      <c r="CI530" s="41"/>
      <c r="CJ530" s="41"/>
      <c r="CK530" s="41"/>
    </row>
    <row r="531" spans="1:89">
      <c r="A531" s="41" t="s">
        <v>660</v>
      </c>
      <c r="B531" s="51">
        <v>29.675555555559999</v>
      </c>
      <c r="C531" s="51">
        <v>29.825714285709999</v>
      </c>
      <c r="D531" s="51">
        <v>27.617142857139999</v>
      </c>
      <c r="E531" s="51">
        <v>31.58380952381</v>
      </c>
      <c r="F531" s="51">
        <v>25.324999999999999</v>
      </c>
      <c r="G531" s="51">
        <v>30.1875</v>
      </c>
      <c r="H531" s="51">
        <v>4.9707140000000001</v>
      </c>
      <c r="I531" s="51">
        <v>3.98</v>
      </c>
      <c r="J531" s="51">
        <v>4.67</v>
      </c>
      <c r="K531" s="51">
        <v>82.445941554140006</v>
      </c>
      <c r="L531" s="51">
        <v>1.5522739999999999</v>
      </c>
      <c r="M531" s="51">
        <v>1.4085319999999999</v>
      </c>
      <c r="N531" s="51">
        <v>0.80027700000000002</v>
      </c>
      <c r="O531" s="51">
        <v>1.533023</v>
      </c>
      <c r="P531" s="51">
        <v>1.5542</v>
      </c>
      <c r="Q531" s="51">
        <v>1.4948680000000001</v>
      </c>
      <c r="R531" s="51">
        <v>1.55</v>
      </c>
      <c r="S531" s="51">
        <v>421</v>
      </c>
      <c r="T531" s="51">
        <v>1020</v>
      </c>
      <c r="U531" s="51">
        <v>622.78377816291004</v>
      </c>
      <c r="V531" s="51">
        <v>1299.68</v>
      </c>
      <c r="W531" s="51">
        <v>439.36</v>
      </c>
      <c r="X531" s="51">
        <v>401.48</v>
      </c>
      <c r="Y531" s="51">
        <v>237</v>
      </c>
      <c r="Z531" s="51">
        <v>515.69000000000005</v>
      </c>
      <c r="AA531" s="51">
        <v>212.6</v>
      </c>
      <c r="AB531" s="51">
        <v>553.48</v>
      </c>
      <c r="AC531" s="51">
        <v>543</v>
      </c>
      <c r="AD531" s="51">
        <v>88.07</v>
      </c>
      <c r="AE531" s="51">
        <v>100.6591</v>
      </c>
      <c r="AF531" s="51">
        <v>104.0856</v>
      </c>
      <c r="AG531" s="51">
        <v>195</v>
      </c>
      <c r="AH531" s="51">
        <v>178.5</v>
      </c>
      <c r="AI531" s="51">
        <v>150</v>
      </c>
      <c r="AJ531" s="51" t="s">
        <v>1574</v>
      </c>
      <c r="AK531" s="51">
        <v>144.173</v>
      </c>
      <c r="AL531" s="51">
        <v>148.71719999999999</v>
      </c>
      <c r="AM531" s="51">
        <v>0.48523480000000002</v>
      </c>
      <c r="AN531" s="51">
        <v>0.28591169999999999</v>
      </c>
      <c r="AO531" s="51">
        <v>0.79319589999999995</v>
      </c>
      <c r="AP531" s="51">
        <v>2.1098213399999999</v>
      </c>
      <c r="AQ531" s="51">
        <v>1.5101647</v>
      </c>
      <c r="AR531" s="51">
        <v>3.9185439999999998</v>
      </c>
      <c r="AS531" s="51">
        <v>11.49158175</v>
      </c>
      <c r="AT531" s="51">
        <v>0.58283538940000001</v>
      </c>
      <c r="AU531" s="51">
        <v>0.4685762</v>
      </c>
      <c r="AV531" s="51">
        <v>0.1505755</v>
      </c>
      <c r="AW531" s="51">
        <v>2674.65</v>
      </c>
      <c r="AX531" s="51">
        <v>272.81635561889999</v>
      </c>
      <c r="AY531" s="51">
        <v>181.459</v>
      </c>
      <c r="AZ531" s="51">
        <v>534.50245301917005</v>
      </c>
      <c r="BA531" s="51">
        <v>559.44055944056004</v>
      </c>
      <c r="BB531" s="51">
        <v>420.78089999999997</v>
      </c>
      <c r="BC531" s="51">
        <v>1.3349499009500001</v>
      </c>
      <c r="BD531" s="51">
        <v>0.94769999999999999</v>
      </c>
      <c r="BE531" s="51">
        <v>1.050699</v>
      </c>
      <c r="BF531" s="51">
        <v>44</v>
      </c>
      <c r="BG531" s="51">
        <v>175.625</v>
      </c>
      <c r="BH531" s="51">
        <v>150</v>
      </c>
      <c r="BI531" s="51">
        <v>141.5</v>
      </c>
      <c r="BJ531" s="51">
        <v>112.5</v>
      </c>
      <c r="BK531" s="51">
        <v>1456.3130000000001</v>
      </c>
      <c r="BL531" s="51">
        <v>31.95</v>
      </c>
      <c r="BM531" s="51">
        <v>1760.2750000000001</v>
      </c>
      <c r="BN531" s="51">
        <v>496.52499999999998</v>
      </c>
      <c r="BO531" s="51">
        <v>4822.5</v>
      </c>
      <c r="BP531" s="51">
        <v>9351.375</v>
      </c>
      <c r="BQ531" s="51">
        <v>817.875</v>
      </c>
      <c r="BR531" s="51">
        <v>359.76799999999997</v>
      </c>
      <c r="BS531" s="51">
        <v>692.19</v>
      </c>
      <c r="BT531" s="51">
        <v>4.9893000000000001</v>
      </c>
      <c r="BU531" s="41"/>
      <c r="BV531" s="41"/>
      <c r="BW531" s="41"/>
      <c r="BX531" s="41"/>
      <c r="BY531" s="41"/>
      <c r="BZ531" s="41"/>
      <c r="CA531" s="41"/>
      <c r="CB531" s="41"/>
      <c r="CC531" s="41"/>
      <c r="CD531" s="41"/>
      <c r="CE531" s="41"/>
      <c r="CF531" s="41"/>
      <c r="CG531" s="41"/>
      <c r="CH531" s="41"/>
      <c r="CI531" s="41"/>
      <c r="CJ531" s="41"/>
      <c r="CK531" s="41"/>
    </row>
    <row r="532" spans="1:89">
      <c r="A532" s="48" t="s">
        <v>661</v>
      </c>
      <c r="B532" s="49">
        <v>26.882330447329998</v>
      </c>
      <c r="C532" s="49">
        <v>27.098181818179999</v>
      </c>
      <c r="D532" s="49">
        <v>25.265000000000001</v>
      </c>
      <c r="E532" s="49">
        <v>28.28380952381</v>
      </c>
      <c r="F532" s="49">
        <v>26.7</v>
      </c>
      <c r="G532" s="49">
        <v>34.137500000000003</v>
      </c>
      <c r="H532" s="49">
        <v>4.6127269999999996</v>
      </c>
      <c r="I532" s="49">
        <v>3.97</v>
      </c>
      <c r="J532" s="49">
        <v>4.7</v>
      </c>
      <c r="K532" s="49">
        <v>78.071556992189997</v>
      </c>
      <c r="L532" s="49">
        <v>1.6378630000000001</v>
      </c>
      <c r="M532" s="49">
        <v>1.464099</v>
      </c>
      <c r="N532" s="49">
        <v>0.82342559999999998</v>
      </c>
      <c r="O532" s="49">
        <v>1.5275829999999999</v>
      </c>
      <c r="P532" s="49">
        <v>1.6101639999999999</v>
      </c>
      <c r="Q532" s="49">
        <v>1.397586</v>
      </c>
      <c r="R532" s="49">
        <v>1.575</v>
      </c>
      <c r="S532" s="49">
        <v>431</v>
      </c>
      <c r="T532" s="49">
        <v>1014.54545454545</v>
      </c>
      <c r="U532" s="49">
        <v>627.47812824956998</v>
      </c>
      <c r="V532" s="49">
        <v>1329.79</v>
      </c>
      <c r="W532" s="49">
        <v>440.91</v>
      </c>
      <c r="X532" s="49">
        <v>429.27</v>
      </c>
      <c r="Y532" s="49">
        <v>264</v>
      </c>
      <c r="Z532" s="49">
        <v>558.02</v>
      </c>
      <c r="AA532" s="49">
        <v>229.82</v>
      </c>
      <c r="AB532" s="49">
        <v>564.09</v>
      </c>
      <c r="AC532" s="49">
        <v>545</v>
      </c>
      <c r="AD532" s="49">
        <v>90.63</v>
      </c>
      <c r="AE532" s="49">
        <v>104.0791</v>
      </c>
      <c r="AF532" s="49">
        <v>109.12869999999999</v>
      </c>
      <c r="AG532" s="49">
        <v>197.6</v>
      </c>
      <c r="AH532" s="49">
        <v>180</v>
      </c>
      <c r="AI532" s="49">
        <v>154.6</v>
      </c>
      <c r="AJ532" s="49" t="s">
        <v>1574</v>
      </c>
      <c r="AK532" s="49">
        <v>138.3629</v>
      </c>
      <c r="AL532" s="49">
        <v>145.62299999999999</v>
      </c>
      <c r="AM532" s="49">
        <v>0.71866419999999998</v>
      </c>
      <c r="AN532" s="49">
        <v>0.311747</v>
      </c>
      <c r="AO532" s="49">
        <v>0.78299439999999998</v>
      </c>
      <c r="AP532" s="49">
        <v>2.2681130559999998</v>
      </c>
      <c r="AQ532" s="49">
        <v>1.5266993499999999</v>
      </c>
      <c r="AR532" s="49">
        <v>3.9770650000000001</v>
      </c>
      <c r="AS532" s="49">
        <v>10.618919666669999</v>
      </c>
      <c r="AT532" s="49">
        <v>0.58841307799999998</v>
      </c>
      <c r="AU532" s="49">
        <v>0.4666341</v>
      </c>
      <c r="AV532" s="49">
        <v>0.13183629999999999</v>
      </c>
      <c r="AW532" s="49">
        <v>2687.01</v>
      </c>
      <c r="AX532" s="49">
        <v>274.80847531771002</v>
      </c>
      <c r="AY532" s="49">
        <v>187.18790000000001</v>
      </c>
      <c r="AZ532" s="49">
        <v>532.78770027871997</v>
      </c>
      <c r="BA532" s="49">
        <v>545.45454545455004</v>
      </c>
      <c r="BB532" s="49">
        <v>434.06549999999999</v>
      </c>
      <c r="BC532" s="49">
        <v>1.413111</v>
      </c>
      <c r="BD532" s="49">
        <v>1.0869</v>
      </c>
      <c r="BE532" s="49">
        <v>1.1128739999999999</v>
      </c>
      <c r="BF532" s="49">
        <v>44</v>
      </c>
      <c r="BG532" s="49">
        <v>171.3</v>
      </c>
      <c r="BH532" s="49">
        <v>153.625</v>
      </c>
      <c r="BI532" s="49">
        <v>146.80000000000001</v>
      </c>
      <c r="BJ532" s="49">
        <v>112.5</v>
      </c>
      <c r="BK532" s="49">
        <v>1415.568</v>
      </c>
      <c r="BL532" s="49">
        <v>31.95</v>
      </c>
      <c r="BM532" s="49">
        <v>1789.5229999999999</v>
      </c>
      <c r="BN532" s="49">
        <v>521.27300000000002</v>
      </c>
      <c r="BO532" s="49">
        <v>4911.5910000000003</v>
      </c>
      <c r="BP532" s="49">
        <v>9965.3410000000003</v>
      </c>
      <c r="BQ532" s="49">
        <v>818.18200000000002</v>
      </c>
      <c r="BR532" s="49">
        <v>378.94499999999999</v>
      </c>
      <c r="BS532" s="49">
        <v>705.25</v>
      </c>
      <c r="BT532" s="49">
        <v>5.1707999999999998</v>
      </c>
      <c r="BU532" s="41"/>
      <c r="BV532" s="41"/>
      <c r="BW532" s="41"/>
      <c r="BX532" s="41"/>
      <c r="BY532" s="41"/>
      <c r="BZ532" s="41"/>
      <c r="CA532" s="41"/>
      <c r="CB532" s="41"/>
      <c r="CC532" s="41"/>
      <c r="CD532" s="41"/>
      <c r="CE532" s="41"/>
      <c r="CF532" s="41"/>
      <c r="CG532" s="41"/>
      <c r="CH532" s="41"/>
      <c r="CI532" s="41"/>
      <c r="CJ532" s="41"/>
      <c r="CK532" s="41"/>
    </row>
    <row r="533" spans="1:89">
      <c r="A533" s="41" t="s">
        <v>662</v>
      </c>
      <c r="B533" s="51">
        <v>29.014492753620001</v>
      </c>
      <c r="C533" s="51">
        <v>29.59043478261</v>
      </c>
      <c r="D533" s="51">
        <v>27.13130434783</v>
      </c>
      <c r="E533" s="51">
        <v>30.32173913043</v>
      </c>
      <c r="F533" s="51">
        <v>27.5</v>
      </c>
      <c r="G533" s="51">
        <v>36.6875</v>
      </c>
      <c r="H533" s="51">
        <v>4.6356520000000003</v>
      </c>
      <c r="I533" s="51">
        <v>3.88</v>
      </c>
      <c r="J533" s="51">
        <v>4.62</v>
      </c>
      <c r="K533" s="51">
        <v>77.867886775420004</v>
      </c>
      <c r="L533" s="51">
        <v>1.4828349999999999</v>
      </c>
      <c r="M533" s="51">
        <v>1.4175709999999999</v>
      </c>
      <c r="N533" s="51">
        <v>0.79101770000000005</v>
      </c>
      <c r="O533" s="51">
        <v>1.600061</v>
      </c>
      <c r="P533" s="51">
        <v>1.6755949999999999</v>
      </c>
      <c r="Q533" s="51">
        <v>1.454588</v>
      </c>
      <c r="R533" s="51">
        <v>1.67</v>
      </c>
      <c r="S533" s="51">
        <v>487</v>
      </c>
      <c r="T533" s="51">
        <v>920</v>
      </c>
      <c r="U533" s="51">
        <v>650.94987868283999</v>
      </c>
      <c r="V533" s="51">
        <v>1359.2</v>
      </c>
      <c r="W533" s="51">
        <v>515.07000000000005</v>
      </c>
      <c r="X533" s="51">
        <v>500.7</v>
      </c>
      <c r="Y533" s="51">
        <v>310</v>
      </c>
      <c r="Z533" s="51">
        <v>608.26</v>
      </c>
      <c r="AA533" s="51">
        <v>277.04000000000002</v>
      </c>
      <c r="AB533" s="51">
        <v>615.82000000000005</v>
      </c>
      <c r="AC533" s="51">
        <v>615</v>
      </c>
      <c r="AD533" s="51">
        <v>95.702830000000006</v>
      </c>
      <c r="AE533" s="51">
        <v>105.38809999999999</v>
      </c>
      <c r="AF533" s="51">
        <v>108.2689</v>
      </c>
      <c r="AG533" s="51">
        <v>195.75</v>
      </c>
      <c r="AH533" s="51">
        <v>181.5</v>
      </c>
      <c r="AI533" s="51">
        <v>157</v>
      </c>
      <c r="AJ533" s="51" t="s">
        <v>1574</v>
      </c>
      <c r="AK533" s="51">
        <v>142.82259999999999</v>
      </c>
      <c r="AL533" s="51">
        <v>147.45580000000001</v>
      </c>
      <c r="AM533" s="51">
        <v>0.68626580000000004</v>
      </c>
      <c r="AN533" s="51">
        <v>0.32794319999999999</v>
      </c>
      <c r="AO533" s="51">
        <v>0.83614929999999998</v>
      </c>
      <c r="AP533" s="51">
        <v>2.3287401060000001</v>
      </c>
      <c r="AQ533" s="51">
        <v>1.51228452692</v>
      </c>
      <c r="AR533" s="51">
        <v>4.1609119999999997</v>
      </c>
      <c r="AS533" s="51">
        <v>10.2073906</v>
      </c>
      <c r="AT533" s="51">
        <v>0.61266389799999998</v>
      </c>
      <c r="AU533" s="51">
        <v>0.463507</v>
      </c>
      <c r="AV533" s="51">
        <v>0.1320567</v>
      </c>
      <c r="AW533" s="51">
        <v>2685.64</v>
      </c>
      <c r="AX533" s="51">
        <v>292.28826637983002</v>
      </c>
      <c r="AY533" s="51">
        <v>196.77199999999999</v>
      </c>
      <c r="AZ533" s="51">
        <v>549.50501737812999</v>
      </c>
      <c r="BA533" s="51">
        <v>545.45454545455004</v>
      </c>
      <c r="BB533" s="51">
        <v>456.28969999999998</v>
      </c>
      <c r="BC533" s="51">
        <v>1.5994520000000001</v>
      </c>
      <c r="BD533" s="51">
        <v>1.2938000000000001</v>
      </c>
      <c r="BE533" s="51">
        <v>1.2996190000000001</v>
      </c>
      <c r="BF533" s="51">
        <v>44</v>
      </c>
      <c r="BG533" s="51">
        <v>166.375</v>
      </c>
      <c r="BH533" s="51">
        <v>164</v>
      </c>
      <c r="BI533" s="51">
        <v>150.625</v>
      </c>
      <c r="BJ533" s="51">
        <v>112.5</v>
      </c>
      <c r="BK533" s="51">
        <v>1474.25</v>
      </c>
      <c r="BL533" s="51">
        <v>31.95</v>
      </c>
      <c r="BM533" s="51">
        <v>1920.5429999999999</v>
      </c>
      <c r="BN533" s="51">
        <v>587.32600000000002</v>
      </c>
      <c r="BO533" s="51">
        <v>5236.7389999999996</v>
      </c>
      <c r="BP533" s="51">
        <v>11047.17</v>
      </c>
      <c r="BQ533" s="51">
        <v>897.95699999999999</v>
      </c>
      <c r="BR533" s="51">
        <v>378.92</v>
      </c>
      <c r="BS533" s="51">
        <v>732.48</v>
      </c>
      <c r="BT533" s="51">
        <v>5.0022000000000002</v>
      </c>
      <c r="BU533" s="41"/>
      <c r="BV533" s="41"/>
      <c r="BW533" s="41"/>
      <c r="BX533" s="41"/>
      <c r="BY533" s="41"/>
      <c r="BZ533" s="41"/>
      <c r="CA533" s="41"/>
      <c r="CB533" s="41"/>
      <c r="CC533" s="41"/>
      <c r="CD533" s="41"/>
      <c r="CE533" s="41"/>
      <c r="CF533" s="41"/>
      <c r="CG533" s="41"/>
      <c r="CH533" s="41"/>
      <c r="CI533" s="41"/>
      <c r="CJ533" s="41"/>
      <c r="CK533" s="41"/>
    </row>
    <row r="534" spans="1:89">
      <c r="A534" s="48" t="s">
        <v>663</v>
      </c>
      <c r="B534" s="49">
        <v>29.122740740739999</v>
      </c>
      <c r="C534" s="49">
        <v>28.771999999999998</v>
      </c>
      <c r="D534" s="49">
        <v>27.504000000000001</v>
      </c>
      <c r="E534" s="49">
        <v>31.092222222219998</v>
      </c>
      <c r="F534" s="49">
        <v>29.912500000000001</v>
      </c>
      <c r="G534" s="49">
        <v>39.1875</v>
      </c>
      <c r="H534" s="49">
        <v>4.5274999999999999</v>
      </c>
      <c r="I534" s="49">
        <v>3.9</v>
      </c>
      <c r="J534" s="49">
        <v>4.72</v>
      </c>
      <c r="K534" s="49">
        <v>76.717385558260005</v>
      </c>
      <c r="L534" s="49">
        <v>1.5056689999999999</v>
      </c>
      <c r="M534" s="49">
        <v>1.3730370000000001</v>
      </c>
      <c r="N534" s="49">
        <v>0.75199579999999999</v>
      </c>
      <c r="O534" s="49">
        <v>1.5648599999999999</v>
      </c>
      <c r="P534" s="49">
        <v>1.672971</v>
      </c>
      <c r="Q534" s="49">
        <v>1.3991100000000001</v>
      </c>
      <c r="R534" s="49">
        <v>1.6225000000000001</v>
      </c>
      <c r="S534" s="49">
        <v>515</v>
      </c>
      <c r="T534" s="49">
        <v>931.5</v>
      </c>
      <c r="U534" s="49">
        <v>675.98641247833996</v>
      </c>
      <c r="V534" s="49">
        <v>1388.91</v>
      </c>
      <c r="W534" s="49">
        <v>548</v>
      </c>
      <c r="X534" s="49">
        <v>521.75</v>
      </c>
      <c r="Y534" s="49">
        <v>327</v>
      </c>
      <c r="Z534" s="49">
        <v>630.62</v>
      </c>
      <c r="AA534" s="49">
        <v>292.89999999999998</v>
      </c>
      <c r="AB534" s="49">
        <v>620.32000000000005</v>
      </c>
      <c r="AC534" s="49">
        <v>628</v>
      </c>
      <c r="AD534" s="49">
        <v>101.6431</v>
      </c>
      <c r="AE534" s="49">
        <v>108.4834</v>
      </c>
      <c r="AF534" s="49">
        <v>114.2269</v>
      </c>
      <c r="AG534" s="49">
        <v>193.4</v>
      </c>
      <c r="AH534" s="49">
        <v>179.8</v>
      </c>
      <c r="AI534" s="49">
        <v>158.4</v>
      </c>
      <c r="AJ534" s="49" t="s">
        <v>1574</v>
      </c>
      <c r="AK534" s="49">
        <v>160.93729999999999</v>
      </c>
      <c r="AL534" s="49">
        <v>160.5453</v>
      </c>
      <c r="AM534" s="49">
        <v>0.75361579999999995</v>
      </c>
      <c r="AN534" s="49">
        <v>0.40820659999999998</v>
      </c>
      <c r="AO534" s="49">
        <v>0.66098210000000002</v>
      </c>
      <c r="AP534" s="49">
        <v>2.5906489619999999</v>
      </c>
      <c r="AQ534" s="49">
        <v>1.50694962917</v>
      </c>
      <c r="AR534" s="49">
        <v>4.2165879999999998</v>
      </c>
      <c r="AS534" s="49">
        <v>10.003463249999999</v>
      </c>
      <c r="AT534" s="49">
        <v>0.61332528399999997</v>
      </c>
      <c r="AU534" s="49">
        <v>0.45958979999999999</v>
      </c>
      <c r="AV534" s="49">
        <v>0.13404089999999999</v>
      </c>
      <c r="AW534" s="49">
        <v>2642.11</v>
      </c>
      <c r="AX534" s="49">
        <v>298.32586543748999</v>
      </c>
      <c r="AY534" s="49">
        <v>197.46289999999999</v>
      </c>
      <c r="AZ534" s="49">
        <v>549.85783588079005</v>
      </c>
      <c r="BA534" s="49">
        <v>545.45454545455004</v>
      </c>
      <c r="BB534" s="49">
        <v>457.89179999999999</v>
      </c>
      <c r="BC534" s="49">
        <v>1.6970609999999999</v>
      </c>
      <c r="BD534" s="49">
        <v>1.2621</v>
      </c>
      <c r="BE534" s="49">
        <v>1.281393</v>
      </c>
      <c r="BF534" s="49">
        <v>44</v>
      </c>
      <c r="BG534" s="49">
        <v>169.375</v>
      </c>
      <c r="BH534" s="49">
        <v>163</v>
      </c>
      <c r="BI534" s="49">
        <v>153.5</v>
      </c>
      <c r="BJ534" s="49">
        <v>112.5</v>
      </c>
      <c r="BK534" s="49">
        <v>1508.338</v>
      </c>
      <c r="BL534" s="49">
        <v>31.95</v>
      </c>
      <c r="BM534" s="49">
        <v>2055.4250000000002</v>
      </c>
      <c r="BN534" s="49">
        <v>622.32500000000005</v>
      </c>
      <c r="BO534" s="49">
        <v>5362.75</v>
      </c>
      <c r="BP534" s="49">
        <v>12086.5</v>
      </c>
      <c r="BQ534" s="49">
        <v>914.52499999999998</v>
      </c>
      <c r="BR534" s="49">
        <v>389.91</v>
      </c>
      <c r="BS534" s="49">
        <v>760.38</v>
      </c>
      <c r="BT534" s="49">
        <v>5.1776999999999997</v>
      </c>
      <c r="BU534" s="41"/>
      <c r="BV534" s="41"/>
      <c r="BW534" s="41"/>
      <c r="BX534" s="41"/>
      <c r="BY534" s="41"/>
      <c r="BZ534" s="41"/>
      <c r="CA534" s="41"/>
      <c r="CB534" s="41"/>
      <c r="CC534" s="41"/>
      <c r="CD534" s="41"/>
      <c r="CE534" s="41"/>
      <c r="CF534" s="41"/>
      <c r="CG534" s="41"/>
      <c r="CH534" s="41"/>
      <c r="CI534" s="41"/>
      <c r="CJ534" s="41"/>
      <c r="CK534" s="41"/>
    </row>
    <row r="535" spans="1:89">
      <c r="A535" s="41" t="s">
        <v>664</v>
      </c>
      <c r="B535" s="51">
        <v>29.969206349210001</v>
      </c>
      <c r="C535" s="51">
        <v>29.926666666669998</v>
      </c>
      <c r="D535" s="51">
        <v>27.857619047619998</v>
      </c>
      <c r="E535" s="51">
        <v>32.123333333330002</v>
      </c>
      <c r="F535" s="51">
        <v>34</v>
      </c>
      <c r="G535" s="51">
        <v>38.6875</v>
      </c>
      <c r="H535" s="51">
        <v>6.1265219999999996</v>
      </c>
      <c r="I535" s="51">
        <v>3.97</v>
      </c>
      <c r="J535" s="51">
        <v>4.75</v>
      </c>
      <c r="K535" s="51">
        <v>96.488008987320001</v>
      </c>
      <c r="L535" s="51">
        <v>1.633597</v>
      </c>
      <c r="M535" s="51">
        <v>1.4299170000000001</v>
      </c>
      <c r="N535" s="51">
        <v>0.79145860000000001</v>
      </c>
      <c r="O535" s="51">
        <v>1.566468</v>
      </c>
      <c r="P535" s="51">
        <v>1.6296809999999999</v>
      </c>
      <c r="Q535" s="51">
        <v>1.4822219999999999</v>
      </c>
      <c r="R535" s="51">
        <v>1.5874999999999999</v>
      </c>
      <c r="S535" s="51">
        <v>583</v>
      </c>
      <c r="T535" s="51">
        <v>960</v>
      </c>
      <c r="U535" s="51">
        <v>684.33192374350006</v>
      </c>
      <c r="V535" s="51">
        <v>1402.33</v>
      </c>
      <c r="W535" s="51">
        <v>539.72</v>
      </c>
      <c r="X535" s="51">
        <v>583.48</v>
      </c>
      <c r="Y535" s="51">
        <v>332</v>
      </c>
      <c r="Z535" s="51">
        <v>637.36</v>
      </c>
      <c r="AA535" s="51">
        <v>276.3</v>
      </c>
      <c r="AB535" s="51">
        <v>648.66999999999996</v>
      </c>
      <c r="AC535" s="51">
        <v>660</v>
      </c>
      <c r="AD535" s="51">
        <v>101.15</v>
      </c>
      <c r="AE535" s="51">
        <v>111.1555</v>
      </c>
      <c r="AF535" s="51">
        <v>116.7953</v>
      </c>
      <c r="AG535" s="51">
        <v>198.25</v>
      </c>
      <c r="AH535" s="51">
        <v>185.5</v>
      </c>
      <c r="AI535" s="51">
        <v>163</v>
      </c>
      <c r="AJ535" s="51">
        <v>197</v>
      </c>
      <c r="AK535" s="51">
        <v>158.76939999999999</v>
      </c>
      <c r="AL535" s="51">
        <v>165.5735</v>
      </c>
      <c r="AM535" s="51">
        <v>0.84201720000000002</v>
      </c>
      <c r="AN535" s="51">
        <v>0.37031399999999998</v>
      </c>
      <c r="AO535" s="51">
        <v>0.58295399999999997</v>
      </c>
      <c r="AP535" s="51">
        <v>2.5478793340000001</v>
      </c>
      <c r="AQ535" s="51">
        <v>1.5207638346200001</v>
      </c>
      <c r="AR535" s="51">
        <v>4.4180099999999998</v>
      </c>
      <c r="AS535" s="51">
        <v>9.7370716666699995</v>
      </c>
      <c r="AT535" s="51">
        <v>0.63956026200000005</v>
      </c>
      <c r="AU535" s="51">
        <v>0.44974249999999999</v>
      </c>
      <c r="AV535" s="51">
        <v>0.13838300000000001</v>
      </c>
      <c r="AW535" s="51">
        <v>2674.11</v>
      </c>
      <c r="AX535" s="51">
        <v>313.36405529953998</v>
      </c>
      <c r="AY535" s="51">
        <v>196.43960000000001</v>
      </c>
      <c r="AZ535" s="51">
        <v>577.31880828432998</v>
      </c>
      <c r="BA535" s="51">
        <v>538.46153846154004</v>
      </c>
      <c r="BB535" s="51">
        <v>463.2396</v>
      </c>
      <c r="BC535" s="51">
        <v>1.6240859999999999</v>
      </c>
      <c r="BD535" s="51">
        <v>1.2350000000000001</v>
      </c>
      <c r="BE535" s="51">
        <v>1.2587250000000001</v>
      </c>
      <c r="BF535" s="51">
        <v>44</v>
      </c>
      <c r="BG535" s="51">
        <v>187.5</v>
      </c>
      <c r="BH535" s="51">
        <v>162.875</v>
      </c>
      <c r="BI535" s="51">
        <v>159.375</v>
      </c>
      <c r="BJ535" s="51">
        <v>112.5</v>
      </c>
      <c r="BK535" s="51">
        <v>1554.905</v>
      </c>
      <c r="BL535" s="51">
        <v>31.95</v>
      </c>
      <c r="BM535" s="51">
        <v>2201.2860000000001</v>
      </c>
      <c r="BN535" s="51">
        <v>692.07100000000003</v>
      </c>
      <c r="BO535" s="51">
        <v>6057.6189999999997</v>
      </c>
      <c r="BP535" s="51">
        <v>14162.5</v>
      </c>
      <c r="BQ535" s="51">
        <v>977.76199999999994</v>
      </c>
      <c r="BR535" s="51">
        <v>406.95299999999997</v>
      </c>
      <c r="BS535" s="51">
        <v>807.87</v>
      </c>
      <c r="BT535" s="51">
        <v>5.6276000000000002</v>
      </c>
      <c r="BU535" s="41"/>
      <c r="BV535" s="41"/>
      <c r="BW535" s="41"/>
      <c r="BX535" s="41"/>
      <c r="BY535" s="41"/>
      <c r="BZ535" s="41"/>
      <c r="CA535" s="41"/>
      <c r="CB535" s="41"/>
      <c r="CC535" s="41"/>
      <c r="CD535" s="41"/>
      <c r="CE535" s="41"/>
      <c r="CF535" s="41"/>
      <c r="CG535" s="41"/>
      <c r="CH535" s="41"/>
      <c r="CI535" s="41"/>
      <c r="CJ535" s="41"/>
      <c r="CK535" s="41"/>
    </row>
    <row r="536" spans="1:89">
      <c r="A536" s="48" t="s">
        <v>665</v>
      </c>
      <c r="B536" s="49">
        <v>31.367719298250002</v>
      </c>
      <c r="C536" s="49">
        <v>31.175238095240001</v>
      </c>
      <c r="D536" s="49">
        <v>28.684761904759998</v>
      </c>
      <c r="E536" s="49">
        <v>34.243157894740001</v>
      </c>
      <c r="F536" s="49">
        <v>37.75</v>
      </c>
      <c r="G536" s="49">
        <v>41.25</v>
      </c>
      <c r="H536" s="49">
        <v>6.0947727272699996</v>
      </c>
      <c r="I536" s="49">
        <v>3.87</v>
      </c>
      <c r="J536" s="49">
        <v>4.75</v>
      </c>
      <c r="K536" s="49">
        <v>95.627068487979997</v>
      </c>
      <c r="L536" s="49">
        <v>1.6286777272699999</v>
      </c>
      <c r="M536" s="49">
        <v>1.6034201260000001</v>
      </c>
      <c r="N536" s="49">
        <v>0.878320608</v>
      </c>
      <c r="O536" s="49">
        <v>1.54076168667</v>
      </c>
      <c r="P536" s="49">
        <v>1.6407151684800001</v>
      </c>
      <c r="Q536" s="49">
        <v>1.3515698915300001</v>
      </c>
      <c r="R536" s="49">
        <v>1.63</v>
      </c>
      <c r="S536" s="49">
        <v>584</v>
      </c>
      <c r="T536" s="49">
        <v>992.38</v>
      </c>
      <c r="U536" s="49">
        <v>682</v>
      </c>
      <c r="V536" s="49">
        <v>1433</v>
      </c>
      <c r="W536" s="49">
        <v>527.23</v>
      </c>
      <c r="X536" s="49">
        <v>569.45000000000005</v>
      </c>
      <c r="Y536" s="49">
        <v>350</v>
      </c>
      <c r="Z536" s="49">
        <v>656.97</v>
      </c>
      <c r="AA536" s="49">
        <v>293.45</v>
      </c>
      <c r="AB536" s="49">
        <v>675.49</v>
      </c>
      <c r="AC536" s="49">
        <v>689</v>
      </c>
      <c r="AD536" s="49">
        <v>98.548308980000002</v>
      </c>
      <c r="AE536" s="49">
        <v>115.520475</v>
      </c>
      <c r="AF536" s="49">
        <v>121.66746625</v>
      </c>
      <c r="AG536" s="49">
        <v>212.75</v>
      </c>
      <c r="AH536" s="49">
        <v>198</v>
      </c>
      <c r="AI536" s="49">
        <v>171</v>
      </c>
      <c r="AJ536" s="49">
        <v>198.8175</v>
      </c>
      <c r="AK536" s="49">
        <v>155.88501997500001</v>
      </c>
      <c r="AL536" s="49">
        <v>166.32713871052999</v>
      </c>
      <c r="AM536" s="49">
        <v>0.94188143658000001</v>
      </c>
      <c r="AN536" s="49">
        <v>0.42715287499999999</v>
      </c>
      <c r="AO536" s="49">
        <v>0.71826741462999999</v>
      </c>
      <c r="AP536" s="49">
        <v>2.5406040879999998</v>
      </c>
      <c r="AQ536" s="49">
        <v>1.5322108999999999</v>
      </c>
      <c r="AR536" s="49">
        <v>4.3905380000000003</v>
      </c>
      <c r="AS536" s="49">
        <v>10.196367499999999</v>
      </c>
      <c r="AT536" s="49">
        <v>0.66557477799999998</v>
      </c>
      <c r="AU536" s="49">
        <v>0.45123930094999998</v>
      </c>
      <c r="AV536" s="49">
        <v>0.12808842200000001</v>
      </c>
      <c r="AW536" s="49">
        <v>2768.31</v>
      </c>
      <c r="AX536" s="49">
        <v>315.30224873563998</v>
      </c>
      <c r="AY536" s="49">
        <v>199.06499052487001</v>
      </c>
      <c r="AZ536" s="49">
        <v>592.77021726590999</v>
      </c>
      <c r="BA536" s="49">
        <v>538.46153846154004</v>
      </c>
      <c r="BB536" s="49">
        <v>469.43067447799001</v>
      </c>
      <c r="BC536" s="49">
        <v>1.6735070000000001</v>
      </c>
      <c r="BD536" s="49">
        <v>1.21</v>
      </c>
      <c r="BE536" s="49">
        <v>1.2419</v>
      </c>
      <c r="BF536" s="49">
        <v>44</v>
      </c>
      <c r="BG536" s="49">
        <v>204.25</v>
      </c>
      <c r="BH536" s="49">
        <v>171.625</v>
      </c>
      <c r="BI536" s="49">
        <v>160.25</v>
      </c>
      <c r="BJ536" s="49">
        <v>112.5</v>
      </c>
      <c r="BK536" s="49">
        <v>1606.4880000000001</v>
      </c>
      <c r="BL536" s="49">
        <v>37.9</v>
      </c>
      <c r="BM536" s="49">
        <v>2423.5709999999999</v>
      </c>
      <c r="BN536" s="49">
        <v>758.38099999999997</v>
      </c>
      <c r="BO536" s="49">
        <v>6485</v>
      </c>
      <c r="BP536" s="49">
        <v>15326.548000000001</v>
      </c>
      <c r="BQ536" s="49">
        <v>1017</v>
      </c>
      <c r="BR536" s="49">
        <v>413.78800000000001</v>
      </c>
      <c r="BS536" s="49">
        <v>849.93</v>
      </c>
      <c r="BT536" s="49">
        <v>6.3005000000000004</v>
      </c>
      <c r="BU536" s="41"/>
      <c r="BV536" s="41"/>
      <c r="BW536" s="41"/>
      <c r="BX536" s="41"/>
      <c r="BY536" s="41"/>
      <c r="BZ536" s="41"/>
      <c r="CA536" s="41"/>
      <c r="CB536" s="41"/>
      <c r="CC536" s="41"/>
      <c r="CD536" s="41"/>
      <c r="CE536" s="41"/>
      <c r="CF536" s="41"/>
      <c r="CG536" s="41"/>
      <c r="CH536" s="41"/>
      <c r="CI536" s="41"/>
      <c r="CJ536" s="41"/>
      <c r="CK536" s="41"/>
    </row>
    <row r="537" spans="1:89">
      <c r="A537" s="41" t="s">
        <v>666</v>
      </c>
      <c r="B537" s="51">
        <v>31.331333333330001</v>
      </c>
      <c r="C537" s="51">
        <v>30.866</v>
      </c>
      <c r="D537" s="51">
        <v>28.398</v>
      </c>
      <c r="E537" s="51">
        <v>34.729999999999997</v>
      </c>
      <c r="F537" s="51">
        <v>41.75</v>
      </c>
      <c r="G537" s="51">
        <v>42.25</v>
      </c>
      <c r="H537" s="51">
        <v>5.3795000000000002</v>
      </c>
      <c r="I537" s="51">
        <v>3.89</v>
      </c>
      <c r="J537" s="51">
        <v>4.8099999999999996</v>
      </c>
      <c r="K537" s="51">
        <v>87.076974075950005</v>
      </c>
      <c r="L537" s="51">
        <v>1.5688465</v>
      </c>
      <c r="M537" s="51">
        <v>1.680140902</v>
      </c>
      <c r="N537" s="51">
        <v>0.81681170999999997</v>
      </c>
      <c r="O537" s="51">
        <v>1.5642991722099999</v>
      </c>
      <c r="P537" s="51">
        <v>1.6625247727200001</v>
      </c>
      <c r="Q537" s="51">
        <v>1.3828727438999999</v>
      </c>
      <c r="R537" s="51">
        <v>1.6475</v>
      </c>
      <c r="S537" s="51">
        <v>642</v>
      </c>
      <c r="T537" s="51">
        <v>1000</v>
      </c>
      <c r="U537" s="51">
        <v>685</v>
      </c>
      <c r="V537" s="51">
        <v>1433</v>
      </c>
      <c r="W537" s="51">
        <v>564.13</v>
      </c>
      <c r="X537" s="51">
        <v>614</v>
      </c>
      <c r="Y537" s="51">
        <v>368</v>
      </c>
      <c r="Z537" s="51">
        <v>682.08</v>
      </c>
      <c r="AA537" s="51">
        <v>298.85000000000002</v>
      </c>
      <c r="AB537" s="51">
        <v>704.51</v>
      </c>
      <c r="AC537" s="51">
        <v>731</v>
      </c>
      <c r="AD537" s="51">
        <v>95.567376609999997</v>
      </c>
      <c r="AE537" s="51">
        <v>123.54170499999999</v>
      </c>
      <c r="AF537" s="51">
        <v>126.18693725</v>
      </c>
      <c r="AG537" s="51">
        <v>213.25</v>
      </c>
      <c r="AH537" s="51">
        <v>200</v>
      </c>
      <c r="AI537" s="51">
        <v>181.75</v>
      </c>
      <c r="AJ537" s="51">
        <v>204.07</v>
      </c>
      <c r="AK537" s="51">
        <v>157.49255553750001</v>
      </c>
      <c r="AL537" s="51">
        <v>161.39146718750001</v>
      </c>
      <c r="AM537" s="51">
        <v>0.97138530563000003</v>
      </c>
      <c r="AN537" s="51">
        <v>0.4960485</v>
      </c>
      <c r="AO537" s="51">
        <v>0.83105370364999998</v>
      </c>
      <c r="AP537" s="51">
        <v>2.392674086</v>
      </c>
      <c r="AQ537" s="51">
        <v>1.5783075</v>
      </c>
      <c r="AR537" s="51">
        <v>4.7341125000000002</v>
      </c>
      <c r="AS537" s="51">
        <v>10.3065985</v>
      </c>
      <c r="AT537" s="51">
        <v>0.68278985588999996</v>
      </c>
      <c r="AU537" s="51">
        <v>0.45516120388999998</v>
      </c>
      <c r="AV537" s="51">
        <v>0.12874980799999999</v>
      </c>
      <c r="AW537" s="51">
        <v>2779.65</v>
      </c>
      <c r="AX537" s="51">
        <v>325.61139070837999</v>
      </c>
      <c r="AY537" s="51">
        <v>198.99698419484</v>
      </c>
      <c r="AZ537" s="51">
        <v>594.32430504683998</v>
      </c>
      <c r="BA537" s="51">
        <v>552.44755244755004</v>
      </c>
      <c r="BB537" s="51">
        <v>469.27030344895002</v>
      </c>
      <c r="BC537" s="51">
        <v>1.6295448729999999</v>
      </c>
      <c r="BD537" s="51">
        <v>1.2462</v>
      </c>
      <c r="BE537" s="51">
        <v>1.2763</v>
      </c>
      <c r="BF537" s="51">
        <v>44</v>
      </c>
      <c r="BG537" s="51">
        <v>211.5</v>
      </c>
      <c r="BH537" s="51">
        <v>177.125</v>
      </c>
      <c r="BI537" s="51">
        <v>134.5</v>
      </c>
      <c r="BJ537" s="51">
        <v>112.5</v>
      </c>
      <c r="BK537" s="51">
        <v>1685.625</v>
      </c>
      <c r="BL537" s="51">
        <v>37.9</v>
      </c>
      <c r="BM537" s="51">
        <v>2759.5250000000001</v>
      </c>
      <c r="BN537" s="51">
        <v>888.47500000000002</v>
      </c>
      <c r="BO537" s="51">
        <v>6672.75</v>
      </c>
      <c r="BP537" s="51">
        <v>15145.125</v>
      </c>
      <c r="BQ537" s="51">
        <v>1087.675</v>
      </c>
      <c r="BR537" s="51">
        <v>404.87799999999999</v>
      </c>
      <c r="BS537" s="51">
        <v>846.32</v>
      </c>
      <c r="BT537" s="51">
        <v>6.4405999999999999</v>
      </c>
      <c r="BU537" s="41"/>
      <c r="BV537" s="41"/>
      <c r="BW537" s="41"/>
      <c r="BX537" s="41"/>
      <c r="BY537" s="41"/>
      <c r="BZ537" s="41"/>
      <c r="CA537" s="41"/>
      <c r="CB537" s="41"/>
      <c r="CC537" s="41"/>
      <c r="CD537" s="41"/>
      <c r="CE537" s="41"/>
      <c r="CF537" s="41"/>
      <c r="CG537" s="41"/>
      <c r="CH537" s="41"/>
      <c r="CI537" s="41"/>
      <c r="CJ537" s="41"/>
      <c r="CK537" s="41"/>
    </row>
    <row r="538" spans="1:89">
      <c r="A538" s="48" t="s">
        <v>667</v>
      </c>
      <c r="B538" s="49">
        <v>33.665072463770002</v>
      </c>
      <c r="C538" s="49">
        <v>33.799130434779997</v>
      </c>
      <c r="D538" s="49">
        <v>30.464782608699998</v>
      </c>
      <c r="E538" s="49">
        <v>36.731304347829997</v>
      </c>
      <c r="F538" s="49">
        <v>48.9375</v>
      </c>
      <c r="G538" s="49">
        <v>42.5</v>
      </c>
      <c r="H538" s="49">
        <v>5.3968695652200003</v>
      </c>
      <c r="I538" s="49">
        <v>3.86</v>
      </c>
      <c r="J538" s="49">
        <v>4.88</v>
      </c>
      <c r="K538" s="49">
        <v>87.192704599310005</v>
      </c>
      <c r="L538" s="49">
        <v>1.5040169565199999</v>
      </c>
      <c r="M538" s="49">
        <v>1.7209263720000001</v>
      </c>
      <c r="N538" s="49">
        <v>0.80909553999999995</v>
      </c>
      <c r="O538" s="49">
        <v>1.51311921301</v>
      </c>
      <c r="P538" s="49">
        <v>1.7202056801100001</v>
      </c>
      <c r="Q538" s="49">
        <v>1.22715195891</v>
      </c>
      <c r="R538" s="49">
        <v>1.5920000000000001</v>
      </c>
      <c r="S538" s="49">
        <v>685</v>
      </c>
      <c r="T538" s="49">
        <v>980.43</v>
      </c>
      <c r="U538" s="49">
        <v>663</v>
      </c>
      <c r="V538" s="49">
        <v>1356.32</v>
      </c>
      <c r="W538" s="49">
        <v>583.52</v>
      </c>
      <c r="X538" s="49">
        <v>678.7</v>
      </c>
      <c r="Y538" s="49">
        <v>413</v>
      </c>
      <c r="Z538" s="49">
        <v>689.43</v>
      </c>
      <c r="AA538" s="49">
        <v>329.09</v>
      </c>
      <c r="AB538" s="49">
        <v>687.6</v>
      </c>
      <c r="AC538" s="49">
        <v>712</v>
      </c>
      <c r="AD538" s="49">
        <v>103.0294701</v>
      </c>
      <c r="AE538" s="49">
        <v>127.84757999999999</v>
      </c>
      <c r="AF538" s="49">
        <v>130.17056311111</v>
      </c>
      <c r="AG538" s="49">
        <v>237.8</v>
      </c>
      <c r="AH538" s="49">
        <v>225.6</v>
      </c>
      <c r="AI538" s="49">
        <v>207.4</v>
      </c>
      <c r="AJ538" s="49">
        <v>225.80199999999999</v>
      </c>
      <c r="AK538" s="49">
        <v>156.50506940624999</v>
      </c>
      <c r="AL538" s="49">
        <v>166.27980421800001</v>
      </c>
      <c r="AM538" s="49">
        <v>1.0601109795400001</v>
      </c>
      <c r="AN538" s="49">
        <v>0.50810523437999999</v>
      </c>
      <c r="AO538" s="49">
        <v>0.93472322607000002</v>
      </c>
      <c r="AP538" s="49">
        <v>2.3384404339999998</v>
      </c>
      <c r="AQ538" s="49">
        <v>1.6093725999999999</v>
      </c>
      <c r="AR538" s="49">
        <v>4.6332195</v>
      </c>
      <c r="AS538" s="49">
        <v>10.520446639999999</v>
      </c>
      <c r="AT538" s="49">
        <v>0.66826711690999996</v>
      </c>
      <c r="AU538" s="49">
        <v>0.46581703539000002</v>
      </c>
      <c r="AV538" s="49">
        <v>0.142418452</v>
      </c>
      <c r="AW538" s="49">
        <v>2773.99</v>
      </c>
      <c r="AX538" s="49">
        <v>315.71848945561999</v>
      </c>
      <c r="AY538" s="49">
        <v>195.19632371399001</v>
      </c>
      <c r="AZ538" s="49">
        <v>539.47865420561004</v>
      </c>
      <c r="BA538" s="49">
        <v>552.44755244755004</v>
      </c>
      <c r="BB538" s="49">
        <v>460.30766964639002</v>
      </c>
      <c r="BC538" s="49">
        <v>1.58737432652</v>
      </c>
      <c r="BD538" s="49">
        <v>1.2705</v>
      </c>
      <c r="BE538" s="49">
        <v>1.33</v>
      </c>
      <c r="BF538" s="49">
        <v>44</v>
      </c>
      <c r="BG538" s="49">
        <v>205.3</v>
      </c>
      <c r="BH538" s="49">
        <v>177.5</v>
      </c>
      <c r="BI538" s="49">
        <v>130.5</v>
      </c>
      <c r="BJ538" s="49">
        <v>112.5</v>
      </c>
      <c r="BK538" s="49">
        <v>1655.989</v>
      </c>
      <c r="BL538" s="49">
        <v>37.9</v>
      </c>
      <c r="BM538" s="49">
        <v>3008.7170000000001</v>
      </c>
      <c r="BN538" s="49">
        <v>886.47799999999995</v>
      </c>
      <c r="BO538" s="49">
        <v>7619.7830000000004</v>
      </c>
      <c r="BP538" s="49">
        <v>13715</v>
      </c>
      <c r="BQ538" s="49">
        <v>1105.7829999999999</v>
      </c>
      <c r="BR538" s="49">
        <v>406.66699999999997</v>
      </c>
      <c r="BS538" s="49">
        <v>899.76</v>
      </c>
      <c r="BT538" s="49">
        <v>7.2253999999999996</v>
      </c>
      <c r="BU538" s="41"/>
      <c r="BV538" s="41"/>
      <c r="BW538" s="41"/>
      <c r="BX538" s="41"/>
      <c r="BY538" s="41"/>
      <c r="BZ538" s="41"/>
      <c r="CA538" s="41"/>
      <c r="CB538" s="41"/>
      <c r="CC538" s="41"/>
      <c r="CD538" s="41"/>
      <c r="CE538" s="41"/>
      <c r="CF538" s="41"/>
      <c r="CG538" s="41"/>
      <c r="CH538" s="41"/>
      <c r="CI538" s="41"/>
      <c r="CJ538" s="41"/>
      <c r="CK538" s="41"/>
    </row>
    <row r="539" spans="1:89">
      <c r="A539" s="41" t="s">
        <v>668</v>
      </c>
      <c r="B539" s="51">
        <v>33.711392496389998</v>
      </c>
      <c r="C539" s="51">
        <v>33.362272727270003</v>
      </c>
      <c r="D539" s="51">
        <v>31.066666666669999</v>
      </c>
      <c r="E539" s="51">
        <v>36.705238095239999</v>
      </c>
      <c r="F539" s="51">
        <v>53.25</v>
      </c>
      <c r="G539" s="51">
        <v>47.25</v>
      </c>
      <c r="H539" s="51">
        <v>5.7165217391300001</v>
      </c>
      <c r="I539" s="51">
        <v>3.92</v>
      </c>
      <c r="J539" s="51">
        <v>4.91</v>
      </c>
      <c r="K539" s="51">
        <v>91.379923335040004</v>
      </c>
      <c r="L539" s="51">
        <v>1.4377704545500001</v>
      </c>
      <c r="M539" s="51">
        <v>1.6631653280000001</v>
      </c>
      <c r="N539" s="51">
        <v>0.80182029399999999</v>
      </c>
      <c r="O539" s="51">
        <v>1.6738649165399999</v>
      </c>
      <c r="P539" s="51">
        <v>1.72282557679</v>
      </c>
      <c r="Q539" s="51">
        <v>1.7587691728399999</v>
      </c>
      <c r="R539" s="51">
        <v>1.54</v>
      </c>
      <c r="S539" s="51">
        <v>736</v>
      </c>
      <c r="T539" s="51">
        <v>970</v>
      </c>
      <c r="U539" s="51">
        <v>652</v>
      </c>
      <c r="V539" s="51">
        <v>1322.77</v>
      </c>
      <c r="W539" s="51">
        <v>575.04999999999995</v>
      </c>
      <c r="X539" s="51">
        <v>737.05</v>
      </c>
      <c r="Y539" s="51">
        <v>358</v>
      </c>
      <c r="Z539" s="51">
        <v>672.46</v>
      </c>
      <c r="AA539" s="51">
        <v>332</v>
      </c>
      <c r="AB539" s="51">
        <v>644.98</v>
      </c>
      <c r="AC539" s="51">
        <v>696</v>
      </c>
      <c r="AD539" s="51">
        <v>112.5311284</v>
      </c>
      <c r="AE539" s="51">
        <v>133.49688800000001</v>
      </c>
      <c r="AF539" s="51">
        <v>128.59548459999999</v>
      </c>
      <c r="AG539" s="51">
        <v>240.75</v>
      </c>
      <c r="AH539" s="51">
        <v>229.25</v>
      </c>
      <c r="AI539" s="51">
        <v>215</v>
      </c>
      <c r="AJ539" s="51">
        <v>240.71</v>
      </c>
      <c r="AK539" s="51">
        <v>157.24453576499999</v>
      </c>
      <c r="AL539" s="51">
        <v>166.58442673929</v>
      </c>
      <c r="AM539" s="51">
        <v>0.88026416742000002</v>
      </c>
      <c r="AN539" s="51">
        <v>0.52911839999999999</v>
      </c>
      <c r="AO539" s="51">
        <v>0.85892470104999996</v>
      </c>
      <c r="AP539" s="51">
        <v>2.4290503160000001</v>
      </c>
      <c r="AQ539" s="51">
        <v>1.6471660857099999</v>
      </c>
      <c r="AR539" s="51">
        <v>4.5741540000000001</v>
      </c>
      <c r="AS539" s="51">
        <v>10.692406999999999</v>
      </c>
      <c r="AT539" s="51">
        <v>0.65974445740999998</v>
      </c>
      <c r="AU539" s="51">
        <v>0.46398852448</v>
      </c>
      <c r="AV539" s="51">
        <v>0.145063996</v>
      </c>
      <c r="AW539" s="51">
        <v>2765.33</v>
      </c>
      <c r="AX539" s="51">
        <v>308.71968252826002</v>
      </c>
      <c r="AY539" s="51">
        <v>197.95914618825</v>
      </c>
      <c r="AZ539" s="51">
        <v>527.37370267505003</v>
      </c>
      <c r="BA539" s="51">
        <v>552.44755244755004</v>
      </c>
      <c r="BB539" s="51">
        <v>466.82289672944</v>
      </c>
      <c r="BC539" s="51">
        <v>1.52900418</v>
      </c>
      <c r="BD539" s="51">
        <v>1.2718</v>
      </c>
      <c r="BE539" s="51">
        <v>1.3708</v>
      </c>
      <c r="BF539" s="51">
        <v>44</v>
      </c>
      <c r="BG539" s="51">
        <v>199.375</v>
      </c>
      <c r="BH539" s="51">
        <v>177.5</v>
      </c>
      <c r="BI539" s="51">
        <v>128.375</v>
      </c>
      <c r="BJ539" s="51">
        <v>112.5</v>
      </c>
      <c r="BK539" s="51">
        <v>1729.7380000000001</v>
      </c>
      <c r="BL539" s="51">
        <v>37.9</v>
      </c>
      <c r="BM539" s="51">
        <v>2948.7249999999999</v>
      </c>
      <c r="BN539" s="51">
        <v>753.67499999999995</v>
      </c>
      <c r="BO539" s="51">
        <v>8955.75</v>
      </c>
      <c r="BP539" s="51">
        <v>12848.125</v>
      </c>
      <c r="BQ539" s="51">
        <v>1032.7249999999999</v>
      </c>
      <c r="BR539" s="51">
        <v>403.26</v>
      </c>
      <c r="BS539" s="51">
        <v>880.64</v>
      </c>
      <c r="BT539" s="51">
        <v>7.1486000000000001</v>
      </c>
      <c r="BU539" s="41"/>
      <c r="BV539" s="41"/>
      <c r="BW539" s="41"/>
      <c r="BX539" s="41"/>
      <c r="BY539" s="41"/>
      <c r="BZ539" s="41"/>
      <c r="CA539" s="41"/>
      <c r="CB539" s="41"/>
      <c r="CC539" s="41"/>
      <c r="CD539" s="41"/>
      <c r="CE539" s="41"/>
      <c r="CF539" s="41"/>
      <c r="CG539" s="41"/>
      <c r="CH539" s="41"/>
      <c r="CI539" s="41"/>
      <c r="CJ539" s="41"/>
      <c r="CK539" s="41"/>
    </row>
    <row r="540" spans="1:89">
      <c r="A540" s="48" t="s">
        <v>669</v>
      </c>
      <c r="B540" s="49">
        <v>37.557898913949998</v>
      </c>
      <c r="C540" s="49">
        <v>37.916315789469998</v>
      </c>
      <c r="D540" s="49">
        <v>34.47238095238</v>
      </c>
      <c r="E540" s="49">
        <v>40.284999999999997</v>
      </c>
      <c r="F540" s="49">
        <v>56.4375</v>
      </c>
      <c r="G540" s="49">
        <v>52.5625</v>
      </c>
      <c r="H540" s="49">
        <v>6.3359523809500002</v>
      </c>
      <c r="I540" s="49">
        <v>3.95</v>
      </c>
      <c r="J540" s="49">
        <v>4.91</v>
      </c>
      <c r="K540" s="49">
        <v>99.044519821690002</v>
      </c>
      <c r="L540" s="49">
        <v>1.4195747619000001</v>
      </c>
      <c r="M540" s="49">
        <v>1.6973369380000001</v>
      </c>
      <c r="N540" s="49">
        <v>0.80600907200000005</v>
      </c>
      <c r="O540" s="49">
        <v>1.6686323783100001</v>
      </c>
      <c r="P540" s="49">
        <v>1.71572338035</v>
      </c>
      <c r="Q540" s="49">
        <v>1.7676737546000001</v>
      </c>
      <c r="R540" s="49">
        <v>1.5225</v>
      </c>
      <c r="S540" s="49">
        <v>716</v>
      </c>
      <c r="T540" s="49">
        <v>982</v>
      </c>
      <c r="U540" s="49">
        <v>643</v>
      </c>
      <c r="V540" s="49">
        <v>1322.77</v>
      </c>
      <c r="W540" s="49">
        <v>537.16999999999996</v>
      </c>
      <c r="X540" s="49">
        <v>724.29</v>
      </c>
      <c r="Y540" s="49">
        <v>316</v>
      </c>
      <c r="Z540" s="49">
        <v>627.96</v>
      </c>
      <c r="AA540" s="49">
        <v>294.29000000000002</v>
      </c>
      <c r="AB540" s="49">
        <v>700.61</v>
      </c>
      <c r="AC540" s="49">
        <v>684</v>
      </c>
      <c r="AD540" s="49">
        <v>111.55951829999999</v>
      </c>
      <c r="AE540" s="49">
        <v>128.216655</v>
      </c>
      <c r="AF540" s="49">
        <v>118.55344049999999</v>
      </c>
      <c r="AG540" s="49">
        <v>232</v>
      </c>
      <c r="AH540" s="49">
        <v>222</v>
      </c>
      <c r="AI540" s="49">
        <v>212.8</v>
      </c>
      <c r="AJ540" s="49">
        <v>236.14250000000001</v>
      </c>
      <c r="AK540" s="49">
        <v>148.30663803749999</v>
      </c>
      <c r="AL540" s="49">
        <v>163.73438647875</v>
      </c>
      <c r="AM540" s="49">
        <v>0.91759307847000005</v>
      </c>
      <c r="AN540" s="49">
        <v>0.55633217187999995</v>
      </c>
      <c r="AO540" s="49">
        <v>0.87275104317999996</v>
      </c>
      <c r="AP540" s="49">
        <v>2.6750859079999998</v>
      </c>
      <c r="AQ540" s="49">
        <v>1.6885384999999999</v>
      </c>
      <c r="AR540" s="49">
        <v>4.4881174799999997</v>
      </c>
      <c r="AS540" s="49">
        <v>10.59540372</v>
      </c>
      <c r="AT540" s="49">
        <v>0.65361912373999997</v>
      </c>
      <c r="AU540" s="49">
        <v>0.45755785789999998</v>
      </c>
      <c r="AV540" s="49">
        <v>0.139772908</v>
      </c>
      <c r="AW540" s="49">
        <v>2769.73</v>
      </c>
      <c r="AX540" s="49">
        <v>319.40545598503002</v>
      </c>
      <c r="AY540" s="49">
        <v>188.43297750395001</v>
      </c>
      <c r="AZ540" s="49">
        <v>563.93999147596003</v>
      </c>
      <c r="BA540" s="49">
        <v>587.41258741259003</v>
      </c>
      <c r="BB540" s="49">
        <v>444.35849563675998</v>
      </c>
      <c r="BC540" s="49">
        <v>1.5415017985699999</v>
      </c>
      <c r="BD540" s="49">
        <v>1.2390000000000001</v>
      </c>
      <c r="BE540" s="49">
        <v>1.3473999999999999</v>
      </c>
      <c r="BF540" s="49">
        <v>44</v>
      </c>
      <c r="BG540" s="49">
        <v>191.1</v>
      </c>
      <c r="BH540" s="49">
        <v>177.5</v>
      </c>
      <c r="BI540" s="49">
        <v>135.9</v>
      </c>
      <c r="BJ540" s="49">
        <v>112.5</v>
      </c>
      <c r="BK540" s="49">
        <v>1623.2239999999999</v>
      </c>
      <c r="BL540" s="49">
        <v>37.9</v>
      </c>
      <c r="BM540" s="49">
        <v>2733.5</v>
      </c>
      <c r="BN540" s="49">
        <v>808.89499999999998</v>
      </c>
      <c r="BO540" s="49">
        <v>9459.4740000000002</v>
      </c>
      <c r="BP540" s="49">
        <v>11118.289000000001</v>
      </c>
      <c r="BQ540" s="49">
        <v>1028.289</v>
      </c>
      <c r="BR540" s="49">
        <v>383.779</v>
      </c>
      <c r="BS540" s="49">
        <v>809.83</v>
      </c>
      <c r="BT540" s="49">
        <v>5.8673999999999999</v>
      </c>
      <c r="BU540" s="41"/>
      <c r="BV540" s="41"/>
      <c r="BW540" s="41"/>
      <c r="BX540" s="41"/>
      <c r="BY540" s="41"/>
      <c r="BZ540" s="41"/>
      <c r="CA540" s="41"/>
      <c r="CB540" s="41"/>
      <c r="CC540" s="41"/>
      <c r="CD540" s="41"/>
      <c r="CE540" s="41"/>
      <c r="CF540" s="41"/>
      <c r="CG540" s="41"/>
      <c r="CH540" s="41"/>
      <c r="CI540" s="41"/>
      <c r="CJ540" s="41"/>
      <c r="CK540" s="41"/>
    </row>
    <row r="541" spans="1:89">
      <c r="A541" s="41" t="s">
        <v>670</v>
      </c>
      <c r="B541" s="51">
        <v>35.542741702740003</v>
      </c>
      <c r="C541" s="51">
        <v>35.191363636360002</v>
      </c>
      <c r="D541" s="51">
        <v>33.405909090910001</v>
      </c>
      <c r="E541" s="51">
        <v>38.030952380949998</v>
      </c>
      <c r="F541" s="51">
        <v>59.55</v>
      </c>
      <c r="G541" s="51">
        <v>62.55</v>
      </c>
      <c r="H541" s="51">
        <v>6.2715909090900004</v>
      </c>
      <c r="I541" s="51">
        <v>4.01</v>
      </c>
      <c r="J541" s="51">
        <v>5.04</v>
      </c>
      <c r="K541" s="51">
        <v>98.636267038699998</v>
      </c>
      <c r="L541" s="51">
        <v>1.4047940909100001</v>
      </c>
      <c r="M541" s="51">
        <v>1.8124181020000001</v>
      </c>
      <c r="N541" s="51">
        <v>0.87898199399999999</v>
      </c>
      <c r="O541" s="51">
        <v>1.6730369971400001</v>
      </c>
      <c r="P541" s="51">
        <v>1.5322760721899999</v>
      </c>
      <c r="Q541" s="51">
        <v>1.98183491923</v>
      </c>
      <c r="R541" s="51">
        <v>1.5049999999999999</v>
      </c>
      <c r="S541" s="51">
        <v>658</v>
      </c>
      <c r="T541" s="51">
        <v>1017.27</v>
      </c>
      <c r="U541" s="51">
        <v>645</v>
      </c>
      <c r="V541" s="51">
        <v>1264.6500000000001</v>
      </c>
      <c r="W541" s="51">
        <v>471.2</v>
      </c>
      <c r="X541" s="51">
        <v>639.45000000000005</v>
      </c>
      <c r="Y541" s="51">
        <v>295</v>
      </c>
      <c r="Z541" s="51">
        <v>581.74</v>
      </c>
      <c r="AA541" s="51">
        <v>254.23</v>
      </c>
      <c r="AB541" s="51">
        <v>699.96</v>
      </c>
      <c r="AC541" s="51">
        <v>632</v>
      </c>
      <c r="AD541" s="51">
        <v>114.0480505</v>
      </c>
      <c r="AE541" s="51">
        <v>123.32026</v>
      </c>
      <c r="AF541" s="51">
        <v>115.85278099999999</v>
      </c>
      <c r="AG541" s="51">
        <v>229</v>
      </c>
      <c r="AH541" s="51">
        <v>219.75</v>
      </c>
      <c r="AI541" s="51">
        <v>212.5</v>
      </c>
      <c r="AJ541" s="51">
        <v>230.74199999999999</v>
      </c>
      <c r="AK541" s="51">
        <v>137.21464265624999</v>
      </c>
      <c r="AL541" s="51">
        <v>154.74334165714001</v>
      </c>
      <c r="AM541" s="51">
        <v>0.85126968218999999</v>
      </c>
      <c r="AN541" s="51">
        <v>0.60352567499999998</v>
      </c>
      <c r="AO541" s="51">
        <v>0.92082175495999996</v>
      </c>
      <c r="AP541" s="51">
        <v>2.762829784</v>
      </c>
      <c r="AQ541" s="51">
        <v>1.7554286750000001</v>
      </c>
      <c r="AR541" s="51">
        <v>4.5523024999999997</v>
      </c>
      <c r="AS541" s="51">
        <v>10.39919254</v>
      </c>
      <c r="AT541" s="51">
        <v>0.66819166194000001</v>
      </c>
      <c r="AU541" s="51">
        <v>0.44158538600000002</v>
      </c>
      <c r="AV541" s="51">
        <v>0.152780166</v>
      </c>
      <c r="AW541" s="51">
        <v>2768.78</v>
      </c>
      <c r="AX541" s="51">
        <v>323.16599504781999</v>
      </c>
      <c r="AY541" s="51">
        <v>198.6160623056</v>
      </c>
      <c r="AZ541" s="51">
        <v>570.47127287529997</v>
      </c>
      <c r="BA541" s="51">
        <v>590.90909090908997</v>
      </c>
      <c r="BB541" s="51">
        <v>456.75949237576998</v>
      </c>
      <c r="BC541" s="51">
        <v>1.4226312649999999</v>
      </c>
      <c r="BD541" s="51">
        <v>1.196</v>
      </c>
      <c r="BE541" s="51">
        <v>1.3676999999999999</v>
      </c>
      <c r="BF541" s="51">
        <v>44</v>
      </c>
      <c r="BG541" s="51">
        <v>190.625</v>
      </c>
      <c r="BH541" s="51">
        <v>177.5</v>
      </c>
      <c r="BI541" s="51">
        <v>158.25</v>
      </c>
      <c r="BJ541" s="51">
        <v>112.5</v>
      </c>
      <c r="BK541" s="51">
        <v>1677.7159999999999</v>
      </c>
      <c r="BL541" s="51">
        <v>37.9</v>
      </c>
      <c r="BM541" s="51">
        <v>2686.7049999999999</v>
      </c>
      <c r="BN541" s="51">
        <v>870.31799999999998</v>
      </c>
      <c r="BO541" s="51">
        <v>9204.7729999999992</v>
      </c>
      <c r="BP541" s="51">
        <v>13533.522999999999</v>
      </c>
      <c r="BQ541" s="51">
        <v>1021.455</v>
      </c>
      <c r="BR541" s="51">
        <v>392.37299999999999</v>
      </c>
      <c r="BS541" s="51">
        <v>807.55</v>
      </c>
      <c r="BT541" s="51">
        <v>5.8617999999999997</v>
      </c>
      <c r="BU541" s="41"/>
      <c r="BV541" s="41"/>
      <c r="BW541" s="41"/>
      <c r="BX541" s="41"/>
      <c r="BY541" s="41"/>
      <c r="BZ541" s="41"/>
      <c r="CA541" s="41"/>
      <c r="CB541" s="41"/>
      <c r="CC541" s="41"/>
      <c r="CD541" s="41"/>
      <c r="CE541" s="41"/>
      <c r="CF541" s="41"/>
      <c r="CG541" s="41"/>
      <c r="CH541" s="41"/>
      <c r="CI541" s="41"/>
      <c r="CJ541" s="41"/>
      <c r="CK541" s="41"/>
    </row>
    <row r="542" spans="1:89">
      <c r="A542" s="48" t="s">
        <v>671</v>
      </c>
      <c r="B542" s="49">
        <v>37.891998557000001</v>
      </c>
      <c r="C542" s="49">
        <v>38.370454545450002</v>
      </c>
      <c r="D542" s="49">
        <v>34.483636363640002</v>
      </c>
      <c r="E542" s="49">
        <v>40.821904761900001</v>
      </c>
      <c r="F542" s="49">
        <v>61.375</v>
      </c>
      <c r="G542" s="49">
        <v>68.5</v>
      </c>
      <c r="H542" s="49">
        <v>5.9286363636399999</v>
      </c>
      <c r="I542" s="49">
        <v>4.28</v>
      </c>
      <c r="J542" s="49">
        <v>5.07</v>
      </c>
      <c r="K542" s="49">
        <v>95.775539448109996</v>
      </c>
      <c r="L542" s="49">
        <v>1.56356590909</v>
      </c>
      <c r="M542" s="49">
        <v>1.652142228</v>
      </c>
      <c r="N542" s="49">
        <v>0.79410412399999997</v>
      </c>
      <c r="O542" s="49">
        <v>1.71424358542</v>
      </c>
      <c r="P542" s="49">
        <v>1.6297166348600001</v>
      </c>
      <c r="Q542" s="49">
        <v>1.9805141213999999</v>
      </c>
      <c r="R542" s="49">
        <v>1.5325</v>
      </c>
      <c r="S542" s="49">
        <v>669</v>
      </c>
      <c r="T542" s="49">
        <v>1039.0899999999999</v>
      </c>
      <c r="U542" s="49">
        <v>638</v>
      </c>
      <c r="V542" s="49">
        <v>1247.1099999999999</v>
      </c>
      <c r="W542" s="49">
        <v>454.77</v>
      </c>
      <c r="X542" s="49">
        <v>637.73</v>
      </c>
      <c r="Y542" s="49">
        <v>279</v>
      </c>
      <c r="Z542" s="49">
        <v>605.08000000000004</v>
      </c>
      <c r="AA542" s="49">
        <v>227.55</v>
      </c>
      <c r="AB542" s="49">
        <v>650.91999999999996</v>
      </c>
      <c r="AC542" s="49">
        <v>624</v>
      </c>
      <c r="AD542" s="49">
        <v>103.9693504</v>
      </c>
      <c r="AE542" s="49">
        <v>104.84682599999999</v>
      </c>
      <c r="AF542" s="49">
        <v>96.727702500000007</v>
      </c>
      <c r="AG542" s="49">
        <v>230.75</v>
      </c>
      <c r="AH542" s="49">
        <v>221</v>
      </c>
      <c r="AI542" s="49">
        <v>210</v>
      </c>
      <c r="AJ542" s="49">
        <v>228.96250000000001</v>
      </c>
      <c r="AK542" s="49">
        <v>131.63419777499999</v>
      </c>
      <c r="AL542" s="49">
        <v>150.60093028929001</v>
      </c>
      <c r="AM542" s="49">
        <v>0.72329842283000001</v>
      </c>
      <c r="AN542" s="49">
        <v>0.60352567499999998</v>
      </c>
      <c r="AO542" s="49">
        <v>0.99418147587000005</v>
      </c>
      <c r="AP542" s="49">
        <v>2.8135360440000001</v>
      </c>
      <c r="AQ542" s="49">
        <v>1.7843643124999999</v>
      </c>
      <c r="AR542" s="49">
        <v>4.5871765</v>
      </c>
      <c r="AS542" s="49">
        <v>10.496195820000001</v>
      </c>
      <c r="AT542" s="49">
        <v>0.67328674098999997</v>
      </c>
      <c r="AU542" s="49">
        <v>0.44888162838000001</v>
      </c>
      <c r="AV542" s="49">
        <v>0.174385442</v>
      </c>
      <c r="AW542" s="49">
        <v>2732.03</v>
      </c>
      <c r="AX542" s="49">
        <v>326.54688170724</v>
      </c>
      <c r="AY542" s="49">
        <v>200.44612204402</v>
      </c>
      <c r="AZ542" s="49">
        <v>588.69822750728997</v>
      </c>
      <c r="BA542" s="49">
        <v>594.40559440559002</v>
      </c>
      <c r="BB542" s="49">
        <v>457.18967336540999</v>
      </c>
      <c r="BC542" s="49">
        <v>1.2562826650000001</v>
      </c>
      <c r="BD542" s="49">
        <v>1.1457999999999999</v>
      </c>
      <c r="BE542" s="49">
        <v>1.2764</v>
      </c>
      <c r="BF542" s="49">
        <v>44</v>
      </c>
      <c r="BG542" s="49">
        <v>201.5</v>
      </c>
      <c r="BH542" s="49">
        <v>191.5</v>
      </c>
      <c r="BI542" s="49">
        <v>185</v>
      </c>
      <c r="BJ542" s="49">
        <v>112.5</v>
      </c>
      <c r="BK542" s="49">
        <v>1709.2729999999999</v>
      </c>
      <c r="BL542" s="49">
        <v>37.9</v>
      </c>
      <c r="BM542" s="49">
        <v>2808.4319999999998</v>
      </c>
      <c r="BN542" s="49">
        <v>939.59100000000001</v>
      </c>
      <c r="BO542" s="49">
        <v>9044.3179999999993</v>
      </c>
      <c r="BP542" s="49">
        <v>15023.295</v>
      </c>
      <c r="BQ542" s="49">
        <v>988.31799999999998</v>
      </c>
      <c r="BR542" s="49">
        <v>398.09100000000001</v>
      </c>
      <c r="BS542" s="49">
        <v>809.52</v>
      </c>
      <c r="BT542" s="49">
        <v>6.3140999999999998</v>
      </c>
      <c r="BU542" s="41"/>
      <c r="BV542" s="41"/>
      <c r="BW542" s="41"/>
      <c r="BX542" s="41"/>
      <c r="BY542" s="41"/>
      <c r="BZ542" s="41"/>
      <c r="CA542" s="41"/>
      <c r="CB542" s="41"/>
      <c r="CC542" s="41"/>
      <c r="CD542" s="41"/>
      <c r="CE542" s="41"/>
      <c r="CF542" s="41"/>
      <c r="CG542" s="41"/>
      <c r="CH542" s="41"/>
      <c r="CI542" s="41"/>
      <c r="CJ542" s="41"/>
      <c r="CK542" s="41"/>
    </row>
    <row r="543" spans="1:89">
      <c r="A543" s="41" t="s">
        <v>672</v>
      </c>
      <c r="B543" s="51">
        <v>42.084069264070003</v>
      </c>
      <c r="C543" s="51">
        <v>43.03</v>
      </c>
      <c r="D543" s="51">
        <v>38.29857142857</v>
      </c>
      <c r="E543" s="51">
        <v>44.92363636364</v>
      </c>
      <c r="F543" s="51">
        <v>59.25</v>
      </c>
      <c r="G543" s="51">
        <v>63.625</v>
      </c>
      <c r="H543" s="51">
        <v>5.3956818181799999</v>
      </c>
      <c r="I543" s="51">
        <v>4.34</v>
      </c>
      <c r="J543" s="51">
        <v>5.16</v>
      </c>
      <c r="K543" s="51">
        <v>89.649886436040006</v>
      </c>
      <c r="L543" s="51">
        <v>1.7283118181799999</v>
      </c>
      <c r="M543" s="51">
        <v>1.622820782</v>
      </c>
      <c r="N543" s="51">
        <v>0.74758664200000002</v>
      </c>
      <c r="O543" s="51">
        <v>1.77239706663</v>
      </c>
      <c r="P543" s="51">
        <v>1.8181290537899999</v>
      </c>
      <c r="Q543" s="51">
        <v>1.9250621461099999</v>
      </c>
      <c r="R543" s="51">
        <v>1.5740000000000001</v>
      </c>
      <c r="S543" s="51">
        <v>627</v>
      </c>
      <c r="T543" s="51">
        <v>1001.36</v>
      </c>
      <c r="U543" s="51">
        <v>624</v>
      </c>
      <c r="V543" s="51">
        <v>1234.5899999999999</v>
      </c>
      <c r="W543" s="51">
        <v>458.14</v>
      </c>
      <c r="X543" s="51">
        <v>640.67999999999995</v>
      </c>
      <c r="Y543" s="51">
        <v>265</v>
      </c>
      <c r="Z543" s="51">
        <v>604.65</v>
      </c>
      <c r="AA543" s="51">
        <v>217.41</v>
      </c>
      <c r="AB543" s="51">
        <v>667.68</v>
      </c>
      <c r="AC543" s="51">
        <v>632</v>
      </c>
      <c r="AD543" s="51">
        <v>87.772291980000006</v>
      </c>
      <c r="AE543" s="51">
        <v>104.054545</v>
      </c>
      <c r="AF543" s="51">
        <v>103.065985</v>
      </c>
      <c r="AG543" s="51">
        <v>239</v>
      </c>
      <c r="AH543" s="51">
        <v>228.2</v>
      </c>
      <c r="AI543" s="51">
        <v>212.4</v>
      </c>
      <c r="AJ543" s="51">
        <v>232.715</v>
      </c>
      <c r="AK543" s="51">
        <v>129.13103525624999</v>
      </c>
      <c r="AL543" s="51">
        <v>141.29480849743001</v>
      </c>
      <c r="AM543" s="51">
        <v>0.59770201151000002</v>
      </c>
      <c r="AN543" s="51">
        <v>0.54772021874999999</v>
      </c>
      <c r="AO543" s="51">
        <v>0.93559182502000005</v>
      </c>
      <c r="AP543" s="51">
        <v>2.919798728</v>
      </c>
      <c r="AQ543" s="51">
        <v>1.7659924791699999</v>
      </c>
      <c r="AR543" s="51">
        <v>4.5323745000000004</v>
      </c>
      <c r="AS543" s="51">
        <v>9.7863081800000007</v>
      </c>
      <c r="AT543" s="51">
        <v>0.66526790091999999</v>
      </c>
      <c r="AU543" s="51">
        <v>0.44312861999999997</v>
      </c>
      <c r="AV543" s="51">
        <v>0.166969902</v>
      </c>
      <c r="AW543" s="51">
        <v>2723.65</v>
      </c>
      <c r="AX543" s="51">
        <v>331.79599999999999</v>
      </c>
      <c r="AY543" s="51">
        <v>198.64573061482</v>
      </c>
      <c r="AZ543" s="51">
        <v>584.39318460225002</v>
      </c>
      <c r="BA543" s="51">
        <v>594.40559440559002</v>
      </c>
      <c r="BB543" s="51">
        <v>453.08323138960998</v>
      </c>
      <c r="BC543" s="51">
        <v>1.1949541450000001</v>
      </c>
      <c r="BD543" s="51">
        <v>1.1388</v>
      </c>
      <c r="BE543" s="51">
        <v>1.2339</v>
      </c>
      <c r="BF543" s="51">
        <v>44</v>
      </c>
      <c r="BG543" s="51">
        <v>208.1</v>
      </c>
      <c r="BH543" s="51">
        <v>195</v>
      </c>
      <c r="BI543" s="51">
        <v>196.2</v>
      </c>
      <c r="BJ543" s="51">
        <v>125.9</v>
      </c>
      <c r="BK543" s="51">
        <v>1692.19</v>
      </c>
      <c r="BL543" s="51">
        <v>37.9</v>
      </c>
      <c r="BM543" s="51">
        <v>2846.0949999999998</v>
      </c>
      <c r="BN543" s="51">
        <v>921.81</v>
      </c>
      <c r="BO543" s="51">
        <v>9021.9050000000007</v>
      </c>
      <c r="BP543" s="51">
        <v>13679.523999999999</v>
      </c>
      <c r="BQ543" s="51">
        <v>975.81</v>
      </c>
      <c r="BR543" s="51">
        <v>400.51</v>
      </c>
      <c r="BS543" s="51">
        <v>848.68</v>
      </c>
      <c r="BT543" s="51">
        <v>6.66</v>
      </c>
      <c r="BU543" s="41"/>
      <c r="BV543" s="41"/>
      <c r="BW543" s="41"/>
      <c r="BX543" s="41"/>
      <c r="BY543" s="41"/>
      <c r="BZ543" s="41"/>
      <c r="CA543" s="41"/>
      <c r="CB543" s="41"/>
      <c r="CC543" s="41"/>
      <c r="CD543" s="41"/>
      <c r="CE543" s="41"/>
      <c r="CF543" s="41"/>
      <c r="CG543" s="41"/>
      <c r="CH543" s="41"/>
      <c r="CI543" s="41"/>
      <c r="CJ543" s="41"/>
      <c r="CK543" s="41"/>
    </row>
    <row r="544" spans="1:89">
      <c r="A544" s="48" t="s">
        <v>673</v>
      </c>
      <c r="B544" s="49">
        <v>41.596825396829999</v>
      </c>
      <c r="C544" s="49">
        <v>43.38136363636</v>
      </c>
      <c r="D544" s="49">
        <v>35.47863636364</v>
      </c>
      <c r="E544" s="49">
        <v>45.93047619048</v>
      </c>
      <c r="F544" s="49">
        <v>55.375</v>
      </c>
      <c r="G544" s="49">
        <v>61</v>
      </c>
      <c r="H544" s="49">
        <v>5.13886363636</v>
      </c>
      <c r="I544" s="49">
        <v>4.41</v>
      </c>
      <c r="J544" s="49">
        <v>5.43</v>
      </c>
      <c r="K544" s="49">
        <v>87.046948939109996</v>
      </c>
      <c r="L544" s="49">
        <v>1.5452627272699999</v>
      </c>
      <c r="M544" s="49">
        <v>1.774057714</v>
      </c>
      <c r="N544" s="49">
        <v>0.75486188799999998</v>
      </c>
      <c r="O544" s="49">
        <v>1.8049141720599999</v>
      </c>
      <c r="P544" s="49">
        <v>1.8885582808100001</v>
      </c>
      <c r="Q544" s="49">
        <v>1.8911842353599999</v>
      </c>
      <c r="R544" s="49">
        <v>1.635</v>
      </c>
      <c r="S544" s="49">
        <v>657</v>
      </c>
      <c r="T544" s="49">
        <v>1000</v>
      </c>
      <c r="U544" s="49">
        <v>625</v>
      </c>
      <c r="V544" s="49">
        <v>1213.5899999999999</v>
      </c>
      <c r="W544" s="49">
        <v>468.09</v>
      </c>
      <c r="X544" s="49">
        <v>669.09</v>
      </c>
      <c r="Y544" s="49">
        <v>260</v>
      </c>
      <c r="Z544" s="49">
        <v>601.6</v>
      </c>
      <c r="AA544" s="49">
        <v>220.55</v>
      </c>
      <c r="AB544" s="49">
        <v>657.92</v>
      </c>
      <c r="AC544" s="49">
        <v>657</v>
      </c>
      <c r="AD544" s="49">
        <v>85.371468809999996</v>
      </c>
      <c r="AE544" s="49">
        <v>97.868848</v>
      </c>
      <c r="AF544" s="49">
        <v>99.670870199999996</v>
      </c>
      <c r="AG544" s="49">
        <v>235.25</v>
      </c>
      <c r="AH544" s="49">
        <v>224.5</v>
      </c>
      <c r="AI544" s="49">
        <v>206.25</v>
      </c>
      <c r="AJ544" s="49">
        <v>224.172</v>
      </c>
      <c r="AK544" s="49">
        <v>138.19294287</v>
      </c>
      <c r="AL544" s="49">
        <v>151.03485553499999</v>
      </c>
      <c r="AM544" s="49">
        <v>0.79540872683999997</v>
      </c>
      <c r="AN544" s="49">
        <v>0.53876378749999998</v>
      </c>
      <c r="AO544" s="49">
        <v>0.90129637544999996</v>
      </c>
      <c r="AP544" s="49">
        <v>2.9332469099999998</v>
      </c>
      <c r="AQ544" s="49">
        <v>1.7231109499999999</v>
      </c>
      <c r="AR544" s="49">
        <v>4.51294298</v>
      </c>
      <c r="AS544" s="49">
        <v>9.4071135399999992</v>
      </c>
      <c r="AT544" s="49">
        <v>0.65547411345999995</v>
      </c>
      <c r="AU544" s="49">
        <v>0.45366880323999997</v>
      </c>
      <c r="AV544" s="49">
        <v>0.16953527800000001</v>
      </c>
      <c r="AW544" s="49">
        <v>2675.17</v>
      </c>
      <c r="AX544" s="49">
        <v>339.28537499999999</v>
      </c>
      <c r="AY544" s="49">
        <v>199.27141631781001</v>
      </c>
      <c r="AZ544" s="49">
        <v>610.86308692332</v>
      </c>
      <c r="BA544" s="49">
        <v>594.40559440559002</v>
      </c>
      <c r="BB544" s="49">
        <v>454.51033329243</v>
      </c>
      <c r="BC544" s="49">
        <v>1.2409505350000001</v>
      </c>
      <c r="BD544" s="49">
        <v>1.145</v>
      </c>
      <c r="BE544" s="49">
        <v>1.2438</v>
      </c>
      <c r="BF544" s="49">
        <v>44</v>
      </c>
      <c r="BG544" s="49">
        <v>208.5</v>
      </c>
      <c r="BH544" s="49">
        <v>195</v>
      </c>
      <c r="BI544" s="49">
        <v>218.125</v>
      </c>
      <c r="BJ544" s="49">
        <v>143.5</v>
      </c>
      <c r="BK544" s="49">
        <v>1723.6020000000001</v>
      </c>
      <c r="BL544" s="49">
        <v>37.9</v>
      </c>
      <c r="BM544" s="49">
        <v>2894.864</v>
      </c>
      <c r="BN544" s="49">
        <v>935.45500000000004</v>
      </c>
      <c r="BO544" s="49">
        <v>9019.5450000000001</v>
      </c>
      <c r="BP544" s="49">
        <v>13270.909</v>
      </c>
      <c r="BQ544" s="49">
        <v>975.18200000000002</v>
      </c>
      <c r="BR544" s="49">
        <v>405.27499999999998</v>
      </c>
      <c r="BS544" s="49">
        <v>847.89</v>
      </c>
      <c r="BT544" s="49">
        <v>6.4034000000000004</v>
      </c>
      <c r="BU544" s="41"/>
      <c r="BV544" s="41"/>
      <c r="BW544" s="41"/>
      <c r="BX544" s="41"/>
      <c r="BY544" s="41"/>
      <c r="BZ544" s="41"/>
      <c r="CA544" s="41"/>
      <c r="CB544" s="41"/>
      <c r="CC544" s="41"/>
      <c r="CD544" s="41"/>
      <c r="CE544" s="41"/>
      <c r="CF544" s="41"/>
      <c r="CG544" s="41"/>
      <c r="CH544" s="41"/>
      <c r="CI544" s="41"/>
      <c r="CJ544" s="41"/>
      <c r="CK544" s="41"/>
    </row>
    <row r="545" spans="1:89">
      <c r="A545" s="41" t="s">
        <v>674</v>
      </c>
      <c r="B545" s="51">
        <v>46.881111111110002</v>
      </c>
      <c r="C545" s="51">
        <v>49.8180952381</v>
      </c>
      <c r="D545" s="51">
        <v>37.579047619050002</v>
      </c>
      <c r="E545" s="51">
        <v>53.246190476190002</v>
      </c>
      <c r="F545" s="51">
        <v>56.625</v>
      </c>
      <c r="G545" s="51">
        <v>59.6875</v>
      </c>
      <c r="H545" s="51">
        <v>6.4116666666700004</v>
      </c>
      <c r="I545" s="51">
        <v>4.83</v>
      </c>
      <c r="J545" s="51">
        <v>5.55</v>
      </c>
      <c r="K545" s="51">
        <v>104.58103855245</v>
      </c>
      <c r="L545" s="51">
        <v>1.4803352380999999</v>
      </c>
      <c r="M545" s="51">
        <v>1.77582141</v>
      </c>
      <c r="N545" s="51">
        <v>0.69820315399999999</v>
      </c>
      <c r="O545" s="51">
        <v>1.79067220847</v>
      </c>
      <c r="P545" s="51">
        <v>1.99650553739</v>
      </c>
      <c r="Q545" s="51">
        <v>1.8655110880100001</v>
      </c>
      <c r="R545" s="51">
        <v>1.51</v>
      </c>
      <c r="S545" s="51">
        <v>642</v>
      </c>
      <c r="T545" s="51">
        <v>960</v>
      </c>
      <c r="U545" s="51">
        <v>629</v>
      </c>
      <c r="V545" s="51">
        <v>1212.54</v>
      </c>
      <c r="W545" s="51">
        <v>451.26</v>
      </c>
      <c r="X545" s="51">
        <v>657.05</v>
      </c>
      <c r="Y545" s="51">
        <v>249</v>
      </c>
      <c r="Z545" s="51">
        <v>583.49</v>
      </c>
      <c r="AA545" s="51">
        <v>214.86</v>
      </c>
      <c r="AB545" s="51">
        <v>668.92</v>
      </c>
      <c r="AC545" s="51">
        <v>701</v>
      </c>
      <c r="AD545" s="51">
        <v>87.888384439999996</v>
      </c>
      <c r="AE545" s="51">
        <v>93.794259999999994</v>
      </c>
      <c r="AF545" s="51">
        <v>93.779023249999995</v>
      </c>
      <c r="AG545" s="51">
        <v>244</v>
      </c>
      <c r="AH545" s="51">
        <v>230.25</v>
      </c>
      <c r="AI545" s="51">
        <v>201.25</v>
      </c>
      <c r="AJ545" s="51">
        <v>222.14500000000001</v>
      </c>
      <c r="AK545" s="51">
        <v>141.44016470624999</v>
      </c>
      <c r="AL545" s="51">
        <v>150.14600866071001</v>
      </c>
      <c r="AM545" s="51">
        <v>0.77469636266999997</v>
      </c>
      <c r="AN545" s="51">
        <v>0.4960485</v>
      </c>
      <c r="AO545" s="51">
        <v>0.92119898145000001</v>
      </c>
      <c r="AP545" s="51">
        <v>2.7932535399999998</v>
      </c>
      <c r="AQ545" s="51">
        <v>1.6755112000000001</v>
      </c>
      <c r="AR545" s="51">
        <v>4.5782100000000003</v>
      </c>
      <c r="AS545" s="51">
        <v>9.4115227800000003</v>
      </c>
      <c r="AT545" s="51">
        <v>0.6603098717</v>
      </c>
      <c r="AU545" s="51">
        <v>0.47150522886000001</v>
      </c>
      <c r="AV545" s="51">
        <v>0.18629039</v>
      </c>
      <c r="AW545" s="51">
        <v>2705.79</v>
      </c>
      <c r="AX545" s="51">
        <v>346.96935000000002</v>
      </c>
      <c r="AY545" s="51">
        <v>197.95618905283999</v>
      </c>
      <c r="AZ545" s="51">
        <v>624.35228722088004</v>
      </c>
      <c r="BA545" s="51">
        <v>601.39860139860002</v>
      </c>
      <c r="BB545" s="51">
        <v>459.03565788991</v>
      </c>
      <c r="BC545" s="51">
        <v>1.15858030095</v>
      </c>
      <c r="BD545" s="51">
        <v>1.2129000000000001</v>
      </c>
      <c r="BE545" s="51">
        <v>1.2655000000000001</v>
      </c>
      <c r="BF545" s="51">
        <v>44</v>
      </c>
      <c r="BG545" s="51">
        <v>211.75</v>
      </c>
      <c r="BH545" s="51">
        <v>195</v>
      </c>
      <c r="BI545" s="51">
        <v>242.125</v>
      </c>
      <c r="BJ545" s="51">
        <v>146</v>
      </c>
      <c r="BK545" s="51">
        <v>1819.57</v>
      </c>
      <c r="BL545" s="51">
        <v>37.9</v>
      </c>
      <c r="BM545" s="51">
        <v>3012.2379999999998</v>
      </c>
      <c r="BN545" s="51">
        <v>932.76199999999994</v>
      </c>
      <c r="BO545" s="51">
        <v>9045.2379999999994</v>
      </c>
      <c r="BP545" s="51">
        <v>14404.286</v>
      </c>
      <c r="BQ545" s="51">
        <v>1064.952</v>
      </c>
      <c r="BR545" s="51">
        <v>420.464</v>
      </c>
      <c r="BS545" s="51">
        <v>841.43</v>
      </c>
      <c r="BT545" s="51">
        <v>7.0949999999999998</v>
      </c>
      <c r="BU545" s="41"/>
      <c r="BV545" s="41"/>
      <c r="BW545" s="41"/>
      <c r="BX545" s="41"/>
      <c r="BY545" s="41"/>
      <c r="BZ545" s="41"/>
      <c r="CA545" s="41"/>
      <c r="CB545" s="41"/>
      <c r="CC545" s="41"/>
      <c r="CD545" s="41"/>
      <c r="CE545" s="41"/>
      <c r="CF545" s="41"/>
      <c r="CG545" s="41"/>
      <c r="CH545" s="41"/>
      <c r="CI545" s="41"/>
      <c r="CJ545" s="41"/>
      <c r="CK545" s="41"/>
    </row>
    <row r="546" spans="1:89">
      <c r="A546" s="48" t="s">
        <v>675</v>
      </c>
      <c r="B546" s="49">
        <v>42.12554545455</v>
      </c>
      <c r="C546" s="49">
        <v>43.053636363640003</v>
      </c>
      <c r="D546" s="49">
        <v>34.8765</v>
      </c>
      <c r="E546" s="49">
        <v>48.4465</v>
      </c>
      <c r="F546" s="49">
        <v>52.825000000000003</v>
      </c>
      <c r="G546" s="49">
        <v>60.75</v>
      </c>
      <c r="H546" s="49">
        <v>6.0870454545500001</v>
      </c>
      <c r="I546" s="49">
        <v>4.96</v>
      </c>
      <c r="J546" s="49">
        <v>5.45</v>
      </c>
      <c r="K546" s="49">
        <v>101.18930910025</v>
      </c>
      <c r="L546" s="49">
        <v>1.65912545455</v>
      </c>
      <c r="M546" s="49">
        <v>1.990110474</v>
      </c>
      <c r="N546" s="49">
        <v>0.72113120200000003</v>
      </c>
      <c r="O546" s="49">
        <v>1.78179003826</v>
      </c>
      <c r="P546" s="49">
        <v>2.0355573955100001</v>
      </c>
      <c r="Q546" s="49">
        <v>1.8573127192600001</v>
      </c>
      <c r="R546" s="49">
        <v>1.4524999999999999</v>
      </c>
      <c r="S546" s="49">
        <v>659</v>
      </c>
      <c r="T546" s="49">
        <v>956.36</v>
      </c>
      <c r="U546" s="49">
        <v>643</v>
      </c>
      <c r="V546" s="49">
        <v>1225.57</v>
      </c>
      <c r="W546" s="49">
        <v>454.61</v>
      </c>
      <c r="X546" s="49">
        <v>664.91</v>
      </c>
      <c r="Y546" s="49">
        <v>260</v>
      </c>
      <c r="Z546" s="49">
        <v>561.19000000000005</v>
      </c>
      <c r="AA546" s="49">
        <v>214.36</v>
      </c>
      <c r="AB546" s="49">
        <v>684.68</v>
      </c>
      <c r="AC546" s="49">
        <v>727</v>
      </c>
      <c r="AD546" s="49">
        <v>95.533337709999998</v>
      </c>
      <c r="AE546" s="49">
        <v>93.745050000000006</v>
      </c>
      <c r="AF546" s="49">
        <v>92.346020249999995</v>
      </c>
      <c r="AG546" s="49">
        <v>259.2</v>
      </c>
      <c r="AH546" s="49">
        <v>244.8</v>
      </c>
      <c r="AI546" s="49">
        <v>211.6</v>
      </c>
      <c r="AJ546" s="49">
        <v>233.07</v>
      </c>
      <c r="AK546" s="49">
        <v>140.82011527500001</v>
      </c>
      <c r="AL546" s="49">
        <v>156.56866837624</v>
      </c>
      <c r="AM546" s="49">
        <v>1.0873207871799999</v>
      </c>
      <c r="AN546" s="49">
        <v>0.49260371874999997</v>
      </c>
      <c r="AO546" s="49">
        <v>0.71534033093000005</v>
      </c>
      <c r="AP546" s="49">
        <v>2.765475328</v>
      </c>
      <c r="AQ546" s="49">
        <v>1.6470348583300001</v>
      </c>
      <c r="AR546" s="49">
        <v>4.7145676500000002</v>
      </c>
      <c r="AS546" s="49">
        <v>9.7863081800000007</v>
      </c>
      <c r="AT546" s="49">
        <v>0.678582036</v>
      </c>
      <c r="AU546" s="49">
        <v>0.45064532437999999</v>
      </c>
      <c r="AV546" s="49">
        <v>0.17989699200000001</v>
      </c>
      <c r="AW546" s="49">
        <v>2711.83</v>
      </c>
      <c r="AX546" s="49">
        <v>360.913725</v>
      </c>
      <c r="AY546" s="49">
        <v>202.12980610298999</v>
      </c>
      <c r="AZ546" s="49">
        <v>610.50188715112995</v>
      </c>
      <c r="BA546" s="49">
        <v>608.39160839161002</v>
      </c>
      <c r="BB546" s="49">
        <v>476.65805504447002</v>
      </c>
      <c r="BC546" s="49">
        <v>1.0830696799999999</v>
      </c>
      <c r="BD546" s="49">
        <v>1.2162999999999999</v>
      </c>
      <c r="BE546" s="49">
        <v>1.2284999999999999</v>
      </c>
      <c r="BF546" s="49">
        <v>44</v>
      </c>
      <c r="BG546" s="49">
        <v>213.8</v>
      </c>
      <c r="BH546" s="49">
        <v>198.5</v>
      </c>
      <c r="BI546" s="49">
        <v>224.5</v>
      </c>
      <c r="BJ546" s="49">
        <v>151.19999999999999</v>
      </c>
      <c r="BK546" s="49">
        <v>1813.8979999999999</v>
      </c>
      <c r="BL546" s="49">
        <v>37.9</v>
      </c>
      <c r="BM546" s="49">
        <v>3122.7950000000001</v>
      </c>
      <c r="BN546" s="49">
        <v>967.79499999999996</v>
      </c>
      <c r="BO546" s="49">
        <v>9070.4549999999999</v>
      </c>
      <c r="BP546" s="49">
        <v>14045.455</v>
      </c>
      <c r="BQ546" s="49">
        <v>1095.636</v>
      </c>
      <c r="BR546" s="49">
        <v>439.375</v>
      </c>
      <c r="BS546" s="49">
        <v>854.41</v>
      </c>
      <c r="BT546" s="49">
        <v>7.4926000000000004</v>
      </c>
      <c r="BU546" s="41"/>
      <c r="BV546" s="41"/>
      <c r="BW546" s="41"/>
      <c r="BX546" s="41"/>
      <c r="BY546" s="41"/>
      <c r="BZ546" s="41"/>
      <c r="CA546" s="41"/>
      <c r="CB546" s="41"/>
      <c r="CC546" s="41"/>
      <c r="CD546" s="41"/>
      <c r="CE546" s="41"/>
      <c r="CF546" s="41"/>
      <c r="CG546" s="41"/>
      <c r="CH546" s="41"/>
      <c r="CI546" s="41"/>
      <c r="CJ546" s="41"/>
      <c r="CK546" s="41"/>
    </row>
    <row r="547" spans="1:89">
      <c r="A547" s="41" t="s">
        <v>676</v>
      </c>
      <c r="B547" s="51">
        <v>39.044944444439999</v>
      </c>
      <c r="C547" s="51">
        <v>39.64428571429</v>
      </c>
      <c r="D547" s="51">
        <v>34.261499999999998</v>
      </c>
      <c r="E547" s="51">
        <v>43.22904761905</v>
      </c>
      <c r="F547" s="51">
        <v>52.25</v>
      </c>
      <c r="G547" s="51">
        <v>54.287500000000001</v>
      </c>
      <c r="H547" s="51">
        <v>6.5813043478299997</v>
      </c>
      <c r="I547" s="51">
        <v>5.01</v>
      </c>
      <c r="J547" s="51">
        <v>5.57</v>
      </c>
      <c r="K547" s="51">
        <v>107.51027709708001</v>
      </c>
      <c r="L547" s="51">
        <v>1.6579017391299999</v>
      </c>
      <c r="M547" s="51">
        <v>2.2954503439999998</v>
      </c>
      <c r="N547" s="51">
        <v>0.80953646400000001</v>
      </c>
      <c r="O547" s="51">
        <v>1.72949901677</v>
      </c>
      <c r="P547" s="51">
        <v>2.0085007322499999</v>
      </c>
      <c r="Q547" s="51">
        <v>1.6699963180599999</v>
      </c>
      <c r="R547" s="51">
        <v>1.51</v>
      </c>
      <c r="S547" s="51">
        <v>654</v>
      </c>
      <c r="T547" s="51">
        <v>958.82</v>
      </c>
      <c r="U547" s="51">
        <v>654</v>
      </c>
      <c r="V547" s="51">
        <v>1233.6300000000001</v>
      </c>
      <c r="W547" s="51">
        <v>446.2</v>
      </c>
      <c r="X547" s="51">
        <v>657</v>
      </c>
      <c r="Y547" s="51">
        <v>265</v>
      </c>
      <c r="Z547" s="51">
        <v>552.05999999999995</v>
      </c>
      <c r="AA547" s="51">
        <v>222</v>
      </c>
      <c r="AB547" s="51">
        <v>709.72</v>
      </c>
      <c r="AC547" s="51">
        <v>724</v>
      </c>
      <c r="AD547" s="51">
        <v>92.043884910000003</v>
      </c>
      <c r="AE547" s="51">
        <v>95.388664000000006</v>
      </c>
      <c r="AF547" s="51">
        <v>90.692555249999998</v>
      </c>
      <c r="AG547" s="51">
        <v>278.25</v>
      </c>
      <c r="AH547" s="51">
        <v>261.75</v>
      </c>
      <c r="AI547" s="51">
        <v>219.75</v>
      </c>
      <c r="AJ547" s="51">
        <v>238.512</v>
      </c>
      <c r="AK547" s="51">
        <v>139.46059948499999</v>
      </c>
      <c r="AL547" s="51">
        <v>153.87432469999999</v>
      </c>
      <c r="AM547" s="51">
        <v>1.10297976328</v>
      </c>
      <c r="AN547" s="51">
        <v>0.4960485</v>
      </c>
      <c r="AO547" s="51">
        <v>0.68612775677000004</v>
      </c>
      <c r="AP547" s="51">
        <v>2.713005372</v>
      </c>
      <c r="AQ547" s="51">
        <v>1.623151475</v>
      </c>
      <c r="AR547" s="51">
        <v>4.8890010000000004</v>
      </c>
      <c r="AS547" s="51">
        <v>9.8105589999999996</v>
      </c>
      <c r="AT547" s="51">
        <v>0.70514239333999995</v>
      </c>
      <c r="AU547" s="51">
        <v>0.45296542447999999</v>
      </c>
      <c r="AV547" s="51">
        <v>0.18188114999999999</v>
      </c>
      <c r="AW547" s="51">
        <v>2708.32</v>
      </c>
      <c r="AX547" s="51">
        <v>362.21039999999999</v>
      </c>
      <c r="AY547" s="51">
        <v>190.35106839772001</v>
      </c>
      <c r="AZ547" s="51">
        <v>629.64584184298997</v>
      </c>
      <c r="BA547" s="51">
        <v>608.39160839161002</v>
      </c>
      <c r="BB547" s="51">
        <v>510.41929500501999</v>
      </c>
      <c r="BC547" s="51">
        <v>1.07125361391</v>
      </c>
      <c r="BD547" s="51">
        <v>1.1869000000000001</v>
      </c>
      <c r="BE547" s="51">
        <v>1.1822999999999999</v>
      </c>
      <c r="BF547" s="51">
        <v>44</v>
      </c>
      <c r="BG547" s="51">
        <v>211.125</v>
      </c>
      <c r="BH547" s="51">
        <v>202</v>
      </c>
      <c r="BI547" s="51">
        <v>185.25</v>
      </c>
      <c r="BJ547" s="51">
        <v>152.5</v>
      </c>
      <c r="BK547" s="51">
        <v>1849.1790000000001</v>
      </c>
      <c r="BL547" s="51">
        <v>37.9</v>
      </c>
      <c r="BM547" s="51">
        <v>3145.4520000000002</v>
      </c>
      <c r="BN547" s="51">
        <v>974.90499999999997</v>
      </c>
      <c r="BO547" s="51">
        <v>8553.81</v>
      </c>
      <c r="BP547" s="51">
        <v>13768.81</v>
      </c>
      <c r="BQ547" s="51">
        <v>1180.2139999999999</v>
      </c>
      <c r="BR547" s="51">
        <v>442.07900000000001</v>
      </c>
      <c r="BS547" s="51">
        <v>848.24</v>
      </c>
      <c r="BT547" s="51">
        <v>7.085</v>
      </c>
      <c r="BU547" s="41"/>
      <c r="BV547" s="41"/>
      <c r="BW547" s="41"/>
      <c r="BX547" s="41"/>
      <c r="BY547" s="41"/>
      <c r="BZ547" s="41"/>
      <c r="CA547" s="41"/>
      <c r="CB547" s="41"/>
      <c r="CC547" s="41"/>
      <c r="CD547" s="41"/>
      <c r="CE547" s="41"/>
      <c r="CF547" s="41"/>
      <c r="CG547" s="41"/>
      <c r="CH547" s="41"/>
      <c r="CI547" s="41"/>
      <c r="CJ547" s="41"/>
      <c r="CK547" s="41"/>
    </row>
    <row r="548" spans="1:89">
      <c r="A548" s="48" t="s">
        <v>677</v>
      </c>
      <c r="B548" s="49">
        <v>42.97227777778</v>
      </c>
      <c r="C548" s="49">
        <v>44.283333333329999</v>
      </c>
      <c r="D548" s="49">
        <v>37.813499999999998</v>
      </c>
      <c r="E548" s="49">
        <v>46.82</v>
      </c>
      <c r="F548" s="49">
        <v>53.045000000000002</v>
      </c>
      <c r="G548" s="49">
        <v>51.417499999999997</v>
      </c>
      <c r="H548" s="49">
        <v>6.1545238095199997</v>
      </c>
      <c r="I548" s="49">
        <v>5.46</v>
      </c>
      <c r="J548" s="49">
        <v>5.42</v>
      </c>
      <c r="K548" s="49">
        <v>104.36538530458</v>
      </c>
      <c r="L548" s="49">
        <v>1.55230857143</v>
      </c>
      <c r="M548" s="49">
        <v>2.3624707919999999</v>
      </c>
      <c r="N548" s="49">
        <v>0.81482755200000001</v>
      </c>
      <c r="O548" s="49">
        <v>1.6165425333800001</v>
      </c>
      <c r="P548" s="49">
        <v>1.9525863539699999</v>
      </c>
      <c r="Q548" s="49">
        <v>1.3890412461599999</v>
      </c>
      <c r="R548" s="49">
        <v>1.508</v>
      </c>
      <c r="S548" s="49">
        <v>646</v>
      </c>
      <c r="T548" s="49">
        <v>945.5</v>
      </c>
      <c r="U548" s="49">
        <v>711.45483535529002</v>
      </c>
      <c r="V548" s="49">
        <v>1234.5899999999999</v>
      </c>
      <c r="W548" s="49">
        <v>418.86</v>
      </c>
      <c r="X548" s="49">
        <v>641.19000000000005</v>
      </c>
      <c r="Y548" s="49">
        <v>261.5</v>
      </c>
      <c r="Z548" s="49">
        <v>519.98</v>
      </c>
      <c r="AA548" s="49">
        <v>231.81</v>
      </c>
      <c r="AB548" s="49">
        <v>683.88</v>
      </c>
      <c r="AC548" s="49">
        <v>699</v>
      </c>
      <c r="AD548" s="49">
        <v>90.714802680000005</v>
      </c>
      <c r="AE548" s="49">
        <v>96.254760000000005</v>
      </c>
      <c r="AF548" s="49">
        <v>89.976053750000005</v>
      </c>
      <c r="AG548" s="49">
        <v>287</v>
      </c>
      <c r="AH548" s="49">
        <v>268.60000000000002</v>
      </c>
      <c r="AI548" s="49">
        <v>226.2</v>
      </c>
      <c r="AJ548" s="49">
        <v>255.32249999999999</v>
      </c>
      <c r="AK548" s="49">
        <v>142.47358042499999</v>
      </c>
      <c r="AL548" s="49">
        <v>153.59313355875</v>
      </c>
      <c r="AM548" s="49">
        <v>1.1534024226899999</v>
      </c>
      <c r="AN548" s="49">
        <v>0.58905759375</v>
      </c>
      <c r="AO548" s="49">
        <v>0.64012466938000001</v>
      </c>
      <c r="AP548" s="49">
        <v>2.692502406</v>
      </c>
      <c r="AQ548" s="49">
        <v>1.6183915</v>
      </c>
      <c r="AR548" s="49">
        <v>4.7614904999999998</v>
      </c>
      <c r="AS548" s="49">
        <v>9.7973312799999999</v>
      </c>
      <c r="AT548" s="49">
        <v>0.68673678712999997</v>
      </c>
      <c r="AU548" s="49">
        <v>0.45465878259999998</v>
      </c>
      <c r="AV548" s="49">
        <v>0.19224286400000001</v>
      </c>
      <c r="AW548" s="49">
        <v>2695.5755321975898</v>
      </c>
      <c r="AX548" s="49">
        <v>353.97269999999997</v>
      </c>
      <c r="AY548" s="49">
        <v>191.43493508715</v>
      </c>
      <c r="AZ548" s="49">
        <v>603.43216542676998</v>
      </c>
      <c r="BA548" s="49">
        <v>636.36363636364001</v>
      </c>
      <c r="BB548" s="49">
        <v>513.32564313408</v>
      </c>
      <c r="BC548" s="49">
        <v>1.12955280429</v>
      </c>
      <c r="BD548" s="49">
        <v>1.1875</v>
      </c>
      <c r="BE548" s="49">
        <v>1.1833</v>
      </c>
      <c r="BF548" s="49">
        <v>44</v>
      </c>
      <c r="BG548" s="49">
        <v>208.6</v>
      </c>
      <c r="BH548" s="49">
        <v>202</v>
      </c>
      <c r="BI548" s="49">
        <v>184.6</v>
      </c>
      <c r="BJ548" s="49">
        <v>152.5</v>
      </c>
      <c r="BK548" s="49">
        <v>1834.425</v>
      </c>
      <c r="BL548" s="49">
        <v>65</v>
      </c>
      <c r="BM548" s="49">
        <v>3170</v>
      </c>
      <c r="BN548" s="49">
        <v>953.15</v>
      </c>
      <c r="BO548" s="49">
        <v>7735.75</v>
      </c>
      <c r="BP548" s="49">
        <v>14505</v>
      </c>
      <c r="BQ548" s="49">
        <v>1246.375</v>
      </c>
      <c r="BR548" s="49">
        <v>424.03</v>
      </c>
      <c r="BS548" s="49">
        <v>859.07</v>
      </c>
      <c r="BT548" s="49">
        <v>6.6189999999999998</v>
      </c>
      <c r="BU548" s="41"/>
      <c r="BV548" s="41"/>
      <c r="BW548" s="41"/>
      <c r="BX548" s="41"/>
      <c r="BY548" s="41"/>
      <c r="BZ548" s="41"/>
      <c r="CA548" s="41"/>
      <c r="CB548" s="41"/>
      <c r="CC548" s="41"/>
      <c r="CD548" s="41"/>
      <c r="CE548" s="41"/>
      <c r="CF548" s="41"/>
      <c r="CG548" s="41"/>
      <c r="CH548" s="41"/>
      <c r="CI548" s="41"/>
      <c r="CJ548" s="41"/>
      <c r="CK548" s="41"/>
    </row>
    <row r="549" spans="1:89">
      <c r="A549" s="41" t="s">
        <v>678</v>
      </c>
      <c r="B549" s="51">
        <v>44.818210526320001</v>
      </c>
      <c r="C549" s="51">
        <v>45.557000000000002</v>
      </c>
      <c r="D549" s="51">
        <v>40.935000000000002</v>
      </c>
      <c r="E549" s="51">
        <v>47.962631578950003</v>
      </c>
      <c r="F549" s="51">
        <v>49.897500000000001</v>
      </c>
      <c r="G549" s="51">
        <v>46.625</v>
      </c>
      <c r="H549" s="51">
        <v>6.1447500000000002</v>
      </c>
      <c r="I549" s="51">
        <v>5.49</v>
      </c>
      <c r="J549" s="51">
        <v>5.58</v>
      </c>
      <c r="K549" s="51">
        <v>104.49771651608999</v>
      </c>
      <c r="L549" s="51">
        <v>1.633594</v>
      </c>
      <c r="M549" s="51">
        <v>2.664503732</v>
      </c>
      <c r="N549" s="51">
        <v>0.90918528799999998</v>
      </c>
      <c r="O549" s="51">
        <v>1.5911781143499999</v>
      </c>
      <c r="P549" s="51">
        <v>1.9111318772300001</v>
      </c>
      <c r="Q549" s="51">
        <v>1.3799024658300001</v>
      </c>
      <c r="R549" s="51">
        <v>1.4824999999999999</v>
      </c>
      <c r="S549" s="51">
        <v>646</v>
      </c>
      <c r="T549" s="51">
        <v>912</v>
      </c>
      <c r="U549" s="51">
        <v>714.58440207972001</v>
      </c>
      <c r="V549" s="51">
        <v>1234.5899999999999</v>
      </c>
      <c r="W549" s="51">
        <v>422.63</v>
      </c>
      <c r="X549" s="51">
        <v>649.4</v>
      </c>
      <c r="Y549" s="51">
        <v>261</v>
      </c>
      <c r="Z549" s="51">
        <v>495.73</v>
      </c>
      <c r="AA549" s="51">
        <v>236.9</v>
      </c>
      <c r="AB549" s="51">
        <v>647.24</v>
      </c>
      <c r="AC549" s="51">
        <v>695</v>
      </c>
      <c r="AD549" s="51">
        <v>87.375633620000002</v>
      </c>
      <c r="AE549" s="51">
        <v>94.138729999999995</v>
      </c>
      <c r="AF549" s="51">
        <v>92.290904749999996</v>
      </c>
      <c r="AG549" s="51">
        <v>290</v>
      </c>
      <c r="AH549" s="51">
        <v>270.5</v>
      </c>
      <c r="AI549" s="51">
        <v>231.75</v>
      </c>
      <c r="AJ549" s="51">
        <v>265.64249999999998</v>
      </c>
      <c r="AK549" s="51">
        <v>141.62388305625001</v>
      </c>
      <c r="AL549" s="51">
        <v>151.16867984890001</v>
      </c>
      <c r="AM549" s="51">
        <v>1.31046465419</v>
      </c>
      <c r="AN549" s="51">
        <v>0.89047595313000005</v>
      </c>
      <c r="AO549" s="51">
        <v>0.74235825838000002</v>
      </c>
      <c r="AP549" s="51">
        <v>2.6991162659999999</v>
      </c>
      <c r="AQ549" s="51">
        <v>1.62590725</v>
      </c>
      <c r="AR549" s="51">
        <v>4.7851166999999997</v>
      </c>
      <c r="AS549" s="51">
        <v>9.7003280000000007</v>
      </c>
      <c r="AT549" s="51">
        <v>0.69016270152000003</v>
      </c>
      <c r="AU549" s="51">
        <v>0.44886063199999998</v>
      </c>
      <c r="AV549" s="51">
        <v>0.20062041999999999</v>
      </c>
      <c r="AW549" s="51">
        <v>2734.0313352263702</v>
      </c>
      <c r="AX549" s="51">
        <v>351.43740000000003</v>
      </c>
      <c r="AY549" s="51">
        <v>191.02458315934001</v>
      </c>
      <c r="AZ549" s="51">
        <v>598.57452320778998</v>
      </c>
      <c r="BA549" s="51">
        <v>636.36363636364001</v>
      </c>
      <c r="BB549" s="51">
        <v>514.86898729561005</v>
      </c>
      <c r="BC549" s="51">
        <v>1.1556066885</v>
      </c>
      <c r="BD549" s="51">
        <v>1.2162999999999999</v>
      </c>
      <c r="BE549" s="51">
        <v>1.2586999999999999</v>
      </c>
      <c r="BF549" s="51">
        <v>44</v>
      </c>
      <c r="BG549" s="51">
        <v>207.125</v>
      </c>
      <c r="BH549" s="51">
        <v>202</v>
      </c>
      <c r="BI549" s="51">
        <v>185.75</v>
      </c>
      <c r="BJ549" s="51">
        <v>152.5</v>
      </c>
      <c r="BK549" s="51">
        <v>1882.85</v>
      </c>
      <c r="BL549" s="51">
        <v>65</v>
      </c>
      <c r="BM549" s="51">
        <v>3253.7</v>
      </c>
      <c r="BN549" s="51">
        <v>977.55</v>
      </c>
      <c r="BO549" s="51">
        <v>8088.75</v>
      </c>
      <c r="BP549" s="51">
        <v>15349.5</v>
      </c>
      <c r="BQ549" s="51">
        <v>1326.175</v>
      </c>
      <c r="BR549" s="51">
        <v>423.35</v>
      </c>
      <c r="BS549" s="51">
        <v>864.32</v>
      </c>
      <c r="BT549" s="51">
        <v>7.03</v>
      </c>
      <c r="BU549" s="41"/>
      <c r="BV549" s="41"/>
      <c r="BW549" s="41"/>
      <c r="BX549" s="41"/>
      <c r="BY549" s="41"/>
      <c r="BZ549" s="41"/>
      <c r="CA549" s="41"/>
      <c r="CB549" s="41"/>
      <c r="CC549" s="41"/>
      <c r="CD549" s="41"/>
      <c r="CE549" s="41"/>
      <c r="CF549" s="41"/>
      <c r="CG549" s="41"/>
      <c r="CH549" s="41"/>
      <c r="CI549" s="41"/>
      <c r="CJ549" s="41"/>
      <c r="CK549" s="41"/>
    </row>
    <row r="550" spans="1:89">
      <c r="A550" s="48" t="s">
        <v>679</v>
      </c>
      <c r="B550" s="49">
        <v>50.942878787879998</v>
      </c>
      <c r="C550" s="49">
        <v>53.084090909090001</v>
      </c>
      <c r="D550" s="49">
        <v>45.57636363636</v>
      </c>
      <c r="E550" s="49">
        <v>54.168181818180003</v>
      </c>
      <c r="F550" s="49">
        <v>50.924999999999997</v>
      </c>
      <c r="G550" s="49">
        <v>45.3</v>
      </c>
      <c r="H550" s="49">
        <v>6.9680434782600003</v>
      </c>
      <c r="I550" s="49">
        <v>5.52</v>
      </c>
      <c r="J550" s="49">
        <v>5.59</v>
      </c>
      <c r="K550" s="49">
        <v>114.64467040197999</v>
      </c>
      <c r="L550" s="49">
        <v>1.75514869565</v>
      </c>
      <c r="M550" s="49">
        <v>2.9768983859999998</v>
      </c>
      <c r="N550" s="49">
        <v>1.091507362</v>
      </c>
      <c r="O550" s="49">
        <v>1.58881973252</v>
      </c>
      <c r="P550" s="49">
        <v>1.9413533380900001</v>
      </c>
      <c r="Q550" s="49">
        <v>1.33760585946</v>
      </c>
      <c r="R550" s="49">
        <v>1.4875</v>
      </c>
      <c r="S550" s="49">
        <v>710</v>
      </c>
      <c r="T550" s="49">
        <v>907.39</v>
      </c>
      <c r="U550" s="49">
        <v>691.63424610052004</v>
      </c>
      <c r="V550" s="49">
        <v>1234.5899999999999</v>
      </c>
      <c r="W550" s="49">
        <v>458.13</v>
      </c>
      <c r="X550" s="49">
        <v>722.61</v>
      </c>
      <c r="Y550" s="49">
        <v>290</v>
      </c>
      <c r="Z550" s="49">
        <v>543.69000000000005</v>
      </c>
      <c r="AA550" s="49">
        <v>254.65</v>
      </c>
      <c r="AB550" s="49">
        <v>663.64</v>
      </c>
      <c r="AC550" s="49">
        <v>714</v>
      </c>
      <c r="AD550" s="49">
        <v>94.168641980000004</v>
      </c>
      <c r="AE550" s="49">
        <v>99.876615999999999</v>
      </c>
      <c r="AF550" s="49">
        <v>96.430078800000004</v>
      </c>
      <c r="AG550" s="49">
        <v>292.75</v>
      </c>
      <c r="AH550" s="49">
        <v>272.5</v>
      </c>
      <c r="AI550" s="49">
        <v>230</v>
      </c>
      <c r="AJ550" s="49">
        <v>262.916</v>
      </c>
      <c r="AK550" s="49">
        <v>152.15553747000001</v>
      </c>
      <c r="AL550" s="49">
        <v>150.985863975</v>
      </c>
      <c r="AM550" s="49">
        <v>1.3895049101500001</v>
      </c>
      <c r="AN550" s="49">
        <v>0.79229968750000002</v>
      </c>
      <c r="AO550" s="49">
        <v>1.1090619290199999</v>
      </c>
      <c r="AP550" s="49">
        <v>2.7487202160000002</v>
      </c>
      <c r="AQ550" s="49">
        <v>1.628663025</v>
      </c>
      <c r="AR550" s="49">
        <v>4.7974091799999998</v>
      </c>
      <c r="AS550" s="49">
        <v>9.7003280000000007</v>
      </c>
      <c r="AT550" s="49">
        <v>0.69675992173000001</v>
      </c>
      <c r="AU550" s="49">
        <v>0.45418178300000001</v>
      </c>
      <c r="AV550" s="49">
        <v>0.195770256</v>
      </c>
      <c r="AW550" s="49">
        <v>2769.4137539717399</v>
      </c>
      <c r="AX550" s="49">
        <v>355.87889999999999</v>
      </c>
      <c r="AY550" s="49">
        <v>193.65402770198</v>
      </c>
      <c r="AZ550" s="49">
        <v>593.49495335371</v>
      </c>
      <c r="BA550" s="49">
        <v>646.85314685314995</v>
      </c>
      <c r="BB550" s="49">
        <v>517.50643559609</v>
      </c>
      <c r="BC550" s="49">
        <v>1.24311812087</v>
      </c>
      <c r="BD550" s="49">
        <v>1.2225999999999999</v>
      </c>
      <c r="BE550" s="49">
        <v>1.3183</v>
      </c>
      <c r="BF550" s="49">
        <v>44</v>
      </c>
      <c r="BG550" s="49">
        <v>210.625</v>
      </c>
      <c r="BH550" s="49">
        <v>202</v>
      </c>
      <c r="BI550" s="49">
        <v>217.125</v>
      </c>
      <c r="BJ550" s="49">
        <v>152.5</v>
      </c>
      <c r="BK550" s="49">
        <v>1979.85</v>
      </c>
      <c r="BL550" s="49">
        <v>65</v>
      </c>
      <c r="BM550" s="49">
        <v>3379.49</v>
      </c>
      <c r="BN550" s="49">
        <v>1004</v>
      </c>
      <c r="BO550" s="49">
        <v>8407.39</v>
      </c>
      <c r="BP550" s="49">
        <v>16190.65</v>
      </c>
      <c r="BQ550" s="49">
        <v>1372.15</v>
      </c>
      <c r="BR550" s="49">
        <v>433.85</v>
      </c>
      <c r="BS550" s="49">
        <v>866.83</v>
      </c>
      <c r="BT550" s="49">
        <v>7.2282000000000002</v>
      </c>
      <c r="BU550" s="41"/>
      <c r="BV550" s="41"/>
      <c r="BW550" s="41"/>
      <c r="BX550" s="41"/>
      <c r="BY550" s="41"/>
      <c r="BZ550" s="41"/>
      <c r="CA550" s="41"/>
      <c r="CB550" s="41"/>
      <c r="CC550" s="41"/>
      <c r="CD550" s="41"/>
      <c r="CE550" s="41"/>
      <c r="CF550" s="41"/>
      <c r="CG550" s="41"/>
      <c r="CH550" s="41"/>
      <c r="CI550" s="41"/>
      <c r="CJ550" s="41"/>
      <c r="CK550" s="41"/>
    </row>
    <row r="551" spans="1:89">
      <c r="A551" s="41" t="s">
        <v>680</v>
      </c>
      <c r="B551" s="51">
        <v>50.640476190480001</v>
      </c>
      <c r="C551" s="51">
        <v>51.857142857139998</v>
      </c>
      <c r="D551" s="51">
        <v>47.101428571429999</v>
      </c>
      <c r="E551" s="51">
        <v>52.962857142860003</v>
      </c>
      <c r="F551" s="51">
        <v>51.25</v>
      </c>
      <c r="G551" s="51">
        <v>46.25</v>
      </c>
      <c r="H551" s="51">
        <v>7.15261904762</v>
      </c>
      <c r="I551" s="51">
        <v>5.86</v>
      </c>
      <c r="J551" s="51">
        <v>5.67</v>
      </c>
      <c r="K551" s="51">
        <v>118.55659052214</v>
      </c>
      <c r="L551" s="51">
        <v>1.58567904762</v>
      </c>
      <c r="M551" s="51">
        <v>2.855644286</v>
      </c>
      <c r="N551" s="51">
        <v>1.11884465</v>
      </c>
      <c r="O551" s="51">
        <v>1.7286086707499999</v>
      </c>
      <c r="P551" s="51">
        <v>1.88550020958</v>
      </c>
      <c r="Q551" s="51">
        <v>1.8328258026799999</v>
      </c>
      <c r="R551" s="51">
        <v>1.4675</v>
      </c>
      <c r="S551" s="51">
        <v>679</v>
      </c>
      <c r="T551" s="51">
        <v>900</v>
      </c>
      <c r="U551" s="51">
        <v>680.15916811091995</v>
      </c>
      <c r="V551" s="51">
        <v>1223.04</v>
      </c>
      <c r="W551" s="51">
        <v>457.86</v>
      </c>
      <c r="X551" s="51">
        <v>684.33</v>
      </c>
      <c r="Y551" s="51">
        <v>283</v>
      </c>
      <c r="Z551" s="51">
        <v>545.88</v>
      </c>
      <c r="AA551" s="51">
        <v>242.86</v>
      </c>
      <c r="AB551" s="51">
        <v>651.70000000000005</v>
      </c>
      <c r="AC551" s="51">
        <v>695</v>
      </c>
      <c r="AD551" s="51">
        <v>93.327237550000007</v>
      </c>
      <c r="AE551" s="51">
        <v>96.279364999999999</v>
      </c>
      <c r="AF551" s="51">
        <v>93.007406250000003</v>
      </c>
      <c r="AG551" s="51">
        <v>297.25</v>
      </c>
      <c r="AH551" s="51">
        <v>276.25</v>
      </c>
      <c r="AI551" s="51">
        <v>225.5</v>
      </c>
      <c r="AJ551" s="51">
        <v>259.92500000000001</v>
      </c>
      <c r="AK551" s="51">
        <v>132.13942323750001</v>
      </c>
      <c r="AL551" s="51">
        <v>140.87698047857</v>
      </c>
      <c r="AM551" s="51">
        <v>1.33273013459</v>
      </c>
      <c r="AN551" s="51">
        <v>0.59250237500000003</v>
      </c>
      <c r="AO551" s="51">
        <v>1.1749660453199999</v>
      </c>
      <c r="AP551" s="51">
        <v>2.742988204</v>
      </c>
      <c r="AQ551" s="51">
        <v>1.6314188000000001</v>
      </c>
      <c r="AR551" s="51">
        <v>4.7196977000000002</v>
      </c>
      <c r="AS551" s="51">
        <v>9.6187570600000001</v>
      </c>
      <c r="AT551" s="51">
        <v>0.69274436836999997</v>
      </c>
      <c r="AU551" s="51">
        <v>0.46769438570999999</v>
      </c>
      <c r="AV551" s="51">
        <v>0.18937685800000001</v>
      </c>
      <c r="AW551" s="51">
        <v>2787.2089793068599</v>
      </c>
      <c r="AX551" s="51">
        <v>323.49</v>
      </c>
      <c r="AY551" s="51">
        <v>194.14621533426001</v>
      </c>
      <c r="AZ551" s="51">
        <v>569.24989152301998</v>
      </c>
      <c r="BA551" s="51">
        <v>643.35664335664001</v>
      </c>
      <c r="BB551" s="51">
        <v>507.64021814557998</v>
      </c>
      <c r="BC551" s="51">
        <v>1.2572632914299999</v>
      </c>
      <c r="BD551" s="51">
        <v>1.2095</v>
      </c>
      <c r="BE551" s="51">
        <v>1.3126</v>
      </c>
      <c r="BF551" s="51">
        <v>44</v>
      </c>
      <c r="BG551" s="51">
        <v>214.75</v>
      </c>
      <c r="BH551" s="51">
        <v>202</v>
      </c>
      <c r="BI551" s="51">
        <v>242.125</v>
      </c>
      <c r="BJ551" s="51">
        <v>152.5</v>
      </c>
      <c r="BK551" s="51">
        <v>1894.2860000000001</v>
      </c>
      <c r="BL551" s="51">
        <v>65</v>
      </c>
      <c r="BM551" s="51">
        <v>3394.4760000000001</v>
      </c>
      <c r="BN551" s="51">
        <v>985.76199999999994</v>
      </c>
      <c r="BO551" s="51">
        <v>8143.81</v>
      </c>
      <c r="BP551" s="51">
        <v>16141.905000000001</v>
      </c>
      <c r="BQ551" s="51">
        <v>1300.143</v>
      </c>
      <c r="BR551" s="51">
        <v>429.233</v>
      </c>
      <c r="BS551" s="51">
        <v>864.86</v>
      </c>
      <c r="BT551" s="51">
        <v>7.1188000000000002</v>
      </c>
      <c r="BU551" s="41"/>
      <c r="BV551" s="41"/>
      <c r="BW551" s="41"/>
      <c r="BX551" s="41"/>
      <c r="BY551" s="41"/>
      <c r="BZ551" s="41"/>
      <c r="CA551" s="41"/>
      <c r="CB551" s="41"/>
      <c r="CC551" s="41"/>
      <c r="CD551" s="41"/>
      <c r="CE551" s="41"/>
      <c r="CF551" s="41"/>
      <c r="CG551" s="41"/>
      <c r="CH551" s="41"/>
      <c r="CI551" s="41"/>
      <c r="CJ551" s="41"/>
      <c r="CK551" s="41"/>
    </row>
    <row r="552" spans="1:89">
      <c r="A552" s="48" t="s">
        <v>681</v>
      </c>
      <c r="B552" s="49">
        <v>47.826572871570001</v>
      </c>
      <c r="C552" s="49">
        <v>48.665909090909999</v>
      </c>
      <c r="D552" s="49">
        <v>45</v>
      </c>
      <c r="E552" s="49">
        <v>49.813809523810001</v>
      </c>
      <c r="F552" s="49">
        <v>51.3125</v>
      </c>
      <c r="G552" s="49">
        <v>45.875</v>
      </c>
      <c r="H552" s="49">
        <v>6.4693181818200003</v>
      </c>
      <c r="I552" s="49">
        <v>5.89</v>
      </c>
      <c r="J552" s="49">
        <v>5.74</v>
      </c>
      <c r="K552" s="49">
        <v>110.44905701341</v>
      </c>
      <c r="L552" s="49">
        <v>1.50822772727</v>
      </c>
      <c r="M552" s="49">
        <v>2.8300706940000002</v>
      </c>
      <c r="N552" s="49">
        <v>1.2361304340000001</v>
      </c>
      <c r="O552" s="49">
        <v>1.6077449474800001</v>
      </c>
      <c r="P552" s="49">
        <v>1.76026437012</v>
      </c>
      <c r="Q552" s="49">
        <v>1.6529704723200001</v>
      </c>
      <c r="R552" s="49">
        <v>1.41</v>
      </c>
      <c r="S552" s="49">
        <v>647</v>
      </c>
      <c r="T552" s="49">
        <v>888.57</v>
      </c>
      <c r="U552" s="49">
        <v>670.77046793760996</v>
      </c>
      <c r="V552" s="49">
        <v>1212.54</v>
      </c>
      <c r="W552" s="49">
        <v>450</v>
      </c>
      <c r="X552" s="49">
        <v>648.09</v>
      </c>
      <c r="Y552" s="49">
        <v>283</v>
      </c>
      <c r="Z552" s="49">
        <v>537.98</v>
      </c>
      <c r="AA552" s="49">
        <v>234.32</v>
      </c>
      <c r="AB552" s="49">
        <v>652.57000000000005</v>
      </c>
      <c r="AC552" s="49">
        <v>700</v>
      </c>
      <c r="AD552" s="49">
        <v>88.894833449999993</v>
      </c>
      <c r="AE552" s="49">
        <v>95.418189999999996</v>
      </c>
      <c r="AF552" s="49">
        <v>96.231662999999998</v>
      </c>
      <c r="AG552" s="49">
        <v>293.8</v>
      </c>
      <c r="AH552" s="49">
        <v>272.60000000000002</v>
      </c>
      <c r="AI552" s="49">
        <v>220.4</v>
      </c>
      <c r="AJ552" s="49">
        <v>256.14499999999998</v>
      </c>
      <c r="AK552" s="49">
        <v>133.12690936875001</v>
      </c>
      <c r="AL552" s="49">
        <v>143.33005787571</v>
      </c>
      <c r="AM552" s="49">
        <v>1.4733977901399999</v>
      </c>
      <c r="AN552" s="49">
        <v>0.61833823438000002</v>
      </c>
      <c r="AO552" s="49">
        <v>1.09567832289</v>
      </c>
      <c r="AP552" s="49">
        <v>2.7734119599999998</v>
      </c>
      <c r="AQ552" s="49">
        <v>1.6377782807700001</v>
      </c>
      <c r="AR552" s="49">
        <v>4.5381820833299997</v>
      </c>
      <c r="AS552" s="49">
        <v>9.4798659999999995</v>
      </c>
      <c r="AT552" s="49">
        <v>0.67915527359000005</v>
      </c>
      <c r="AU552" s="49">
        <v>0.48262281257</v>
      </c>
      <c r="AV552" s="49">
        <v>0.18937685800000001</v>
      </c>
      <c r="AW552" s="49">
        <v>2795.5995825803898</v>
      </c>
      <c r="AX552" s="49">
        <v>342.45179999999999</v>
      </c>
      <c r="AY552" s="49">
        <v>202.52077260111</v>
      </c>
      <c r="AZ552" s="49">
        <v>571.12578360808004</v>
      </c>
      <c r="BA552" s="49">
        <v>657.34265734266</v>
      </c>
      <c r="BB552" s="49">
        <v>519.11561406233</v>
      </c>
      <c r="BC552" s="49">
        <v>1.2281236550000001</v>
      </c>
      <c r="BD552" s="49">
        <v>1.2060999999999999</v>
      </c>
      <c r="BE552" s="49">
        <v>1.3593999999999999</v>
      </c>
      <c r="BF552" s="49">
        <v>44</v>
      </c>
      <c r="BG552" s="49">
        <v>217.2</v>
      </c>
      <c r="BH552" s="49">
        <v>201.625</v>
      </c>
      <c r="BI552" s="49">
        <v>256</v>
      </c>
      <c r="BJ552" s="49">
        <v>152.5</v>
      </c>
      <c r="BK552" s="49">
        <v>1743.7</v>
      </c>
      <c r="BL552" s="49">
        <v>65</v>
      </c>
      <c r="BM552" s="49">
        <v>3249.1</v>
      </c>
      <c r="BN552" s="49">
        <v>988.07500000000005</v>
      </c>
      <c r="BO552" s="49">
        <v>8125</v>
      </c>
      <c r="BP552" s="49">
        <v>16931.5</v>
      </c>
      <c r="BQ552" s="49">
        <v>1243.625</v>
      </c>
      <c r="BR552" s="49">
        <v>421.87299999999999</v>
      </c>
      <c r="BS552" s="49">
        <v>866.23</v>
      </c>
      <c r="BT552" s="49">
        <v>7.0224000000000002</v>
      </c>
      <c r="BU552" s="41"/>
      <c r="BV552" s="41"/>
      <c r="BW552" s="41"/>
      <c r="BX552" s="41"/>
      <c r="BY552" s="41"/>
      <c r="BZ552" s="41"/>
      <c r="CA552" s="41"/>
      <c r="CB552" s="41"/>
      <c r="CC552" s="41"/>
      <c r="CD552" s="41"/>
      <c r="CE552" s="41"/>
      <c r="CF552" s="41"/>
      <c r="CG552" s="41"/>
      <c r="CH552" s="41"/>
      <c r="CI552" s="41"/>
      <c r="CJ552" s="41"/>
      <c r="CK552" s="41"/>
    </row>
    <row r="553" spans="1:89">
      <c r="A553" s="41" t="s">
        <v>682</v>
      </c>
      <c r="B553" s="51">
        <v>53.890303030299997</v>
      </c>
      <c r="C553" s="51">
        <v>54.306818181819999</v>
      </c>
      <c r="D553" s="51">
        <v>50.975000000000001</v>
      </c>
      <c r="E553" s="51">
        <v>56.389090909090001</v>
      </c>
      <c r="F553" s="51">
        <v>51</v>
      </c>
      <c r="G553" s="51">
        <v>49.125</v>
      </c>
      <c r="H553" s="51">
        <v>7.1861363636400002</v>
      </c>
      <c r="I553" s="51">
        <v>5.91</v>
      </c>
      <c r="J553" s="51">
        <v>5.68</v>
      </c>
      <c r="K553" s="51">
        <v>119.20807735199</v>
      </c>
      <c r="L553" s="51">
        <v>1.53954636364</v>
      </c>
      <c r="M553" s="51">
        <v>2.6711175919999999</v>
      </c>
      <c r="N553" s="51">
        <v>1.3232129239999999</v>
      </c>
      <c r="O553" s="51">
        <v>1.6432615183399999</v>
      </c>
      <c r="P553" s="51">
        <v>1.64917395044</v>
      </c>
      <c r="Q553" s="51">
        <v>1.88811060458</v>
      </c>
      <c r="R553" s="51">
        <v>1.3925000000000001</v>
      </c>
      <c r="S553" s="51">
        <v>638.75</v>
      </c>
      <c r="T553" s="51">
        <v>870</v>
      </c>
      <c r="U553" s="51">
        <v>672.85684575389996</v>
      </c>
      <c r="V553" s="51">
        <v>1198.51</v>
      </c>
      <c r="W553" s="51">
        <v>451.7</v>
      </c>
      <c r="X553" s="51">
        <v>644</v>
      </c>
      <c r="Y553" s="51">
        <v>306</v>
      </c>
      <c r="Z553" s="51">
        <v>560.15</v>
      </c>
      <c r="AA553" s="51">
        <v>241.45</v>
      </c>
      <c r="AB553" s="51">
        <v>642.01</v>
      </c>
      <c r="AC553" s="51">
        <v>706</v>
      </c>
      <c r="AD553" s="51">
        <v>93.443528150000006</v>
      </c>
      <c r="AE553" s="51">
        <v>97.101172000000005</v>
      </c>
      <c r="AF553" s="51">
        <v>97.069418600000006</v>
      </c>
      <c r="AG553" s="51">
        <v>285</v>
      </c>
      <c r="AH553" s="51">
        <v>262.5</v>
      </c>
      <c r="AI553" s="51">
        <v>210.75</v>
      </c>
      <c r="AJ553" s="51">
        <v>241.488</v>
      </c>
      <c r="AK553" s="51">
        <v>131.06467089</v>
      </c>
      <c r="AL553" s="51">
        <v>141.93077620909</v>
      </c>
      <c r="AM553" s="51">
        <v>1.23199248326</v>
      </c>
      <c r="AN553" s="51">
        <v>0.48571415624999997</v>
      </c>
      <c r="AO553" s="51">
        <v>0.93469437570000002</v>
      </c>
      <c r="AP553" s="51">
        <v>2.782671364</v>
      </c>
      <c r="AQ553" s="51">
        <v>1.6420179346199999</v>
      </c>
      <c r="AR553" s="51">
        <v>4.3896737999999997</v>
      </c>
      <c r="AS553" s="51">
        <v>9.5900970000000001</v>
      </c>
      <c r="AT553" s="51">
        <v>0.66501196280999997</v>
      </c>
      <c r="AU553" s="51">
        <v>0.48259131799999999</v>
      </c>
      <c r="AV553" s="51">
        <v>0.19951811</v>
      </c>
      <c r="AW553" s="51">
        <v>2817.6427991023302</v>
      </c>
      <c r="AX553" s="51">
        <v>328.28219999999999</v>
      </c>
      <c r="AY553" s="51">
        <v>203.12005755441999</v>
      </c>
      <c r="AZ553" s="51">
        <v>547.39109874825999</v>
      </c>
      <c r="BA553" s="51">
        <v>657.34265734266</v>
      </c>
      <c r="BB553" s="51">
        <v>510.90012316834998</v>
      </c>
      <c r="BC553" s="51">
        <v>1.1930501549999999</v>
      </c>
      <c r="BD553" s="51">
        <v>1.2668999999999999</v>
      </c>
      <c r="BE553" s="51">
        <v>1.4553</v>
      </c>
      <c r="BF553" s="51">
        <v>44</v>
      </c>
      <c r="BG553" s="51">
        <v>224.25</v>
      </c>
      <c r="BH553" s="51">
        <v>201.5</v>
      </c>
      <c r="BI553" s="51">
        <v>217.5</v>
      </c>
      <c r="BJ553" s="51">
        <v>152.5</v>
      </c>
      <c r="BK553" s="51">
        <v>1731.2950000000001</v>
      </c>
      <c r="BL553" s="51">
        <v>65</v>
      </c>
      <c r="BM553" s="51">
        <v>3524.0680000000002</v>
      </c>
      <c r="BN553" s="51">
        <v>986.06799999999998</v>
      </c>
      <c r="BO553" s="51">
        <v>7618.8639999999996</v>
      </c>
      <c r="BP553" s="51">
        <v>16159.545</v>
      </c>
      <c r="BQ553" s="51">
        <v>1275.7270000000001</v>
      </c>
      <c r="BR553" s="51">
        <v>430.65699999999998</v>
      </c>
      <c r="BS553" s="51">
        <v>880.09</v>
      </c>
      <c r="BT553" s="51">
        <v>7.3105000000000002</v>
      </c>
      <c r="BU553" s="41"/>
      <c r="BV553" s="41"/>
      <c r="BW553" s="41"/>
      <c r="BX553" s="41"/>
      <c r="BY553" s="41"/>
      <c r="BZ553" s="41"/>
      <c r="CA553" s="41"/>
      <c r="CB553" s="41"/>
      <c r="CC553" s="41"/>
      <c r="CD553" s="41"/>
      <c r="CE553" s="41"/>
      <c r="CF553" s="41"/>
      <c r="CG553" s="41"/>
      <c r="CH553" s="41"/>
      <c r="CI553" s="41"/>
      <c r="CJ553" s="41"/>
      <c r="CK553" s="41"/>
    </row>
    <row r="554" spans="1:89">
      <c r="A554" s="48" t="s">
        <v>683</v>
      </c>
      <c r="B554" s="49">
        <v>56.36580952381</v>
      </c>
      <c r="C554" s="49">
        <v>57.579047619050002</v>
      </c>
      <c r="D554" s="49">
        <v>52.852380952380003</v>
      </c>
      <c r="E554" s="49">
        <v>58.665999999999997</v>
      </c>
      <c r="F554" s="49">
        <v>50.9</v>
      </c>
      <c r="G554" s="49">
        <v>51.3125</v>
      </c>
      <c r="H554" s="49">
        <v>7.6261904761899997</v>
      </c>
      <c r="I554" s="49">
        <v>6.42</v>
      </c>
      <c r="J554" s="49">
        <v>6.03</v>
      </c>
      <c r="K554" s="49">
        <v>127.21346741923</v>
      </c>
      <c r="L554" s="49">
        <v>1.4874842857099999</v>
      </c>
      <c r="M554" s="49">
        <v>2.4235387660000001</v>
      </c>
      <c r="N554" s="49">
        <v>1.2760340560000001</v>
      </c>
      <c r="O554" s="49">
        <v>1.6929398362100001</v>
      </c>
      <c r="P554" s="49">
        <v>1.64326527438</v>
      </c>
      <c r="Q554" s="49">
        <v>1.9830542342599999</v>
      </c>
      <c r="R554" s="49">
        <v>1.4524999999999999</v>
      </c>
      <c r="S554" s="49">
        <v>606</v>
      </c>
      <c r="T554" s="49">
        <v>848.57</v>
      </c>
      <c r="U554" s="49">
        <v>665.55452339687997</v>
      </c>
      <c r="V554" s="49">
        <v>1178.95</v>
      </c>
      <c r="W554" s="49">
        <v>454.52</v>
      </c>
      <c r="X554" s="49">
        <v>614.52</v>
      </c>
      <c r="Y554" s="49">
        <v>298</v>
      </c>
      <c r="Z554" s="49">
        <v>561.26</v>
      </c>
      <c r="AA554" s="49">
        <v>244.52</v>
      </c>
      <c r="AB554" s="49">
        <v>645.33000000000004</v>
      </c>
      <c r="AC554" s="49">
        <v>708</v>
      </c>
      <c r="AD554" s="49">
        <v>96.805338689999999</v>
      </c>
      <c r="AE554" s="49">
        <v>107.52385</v>
      </c>
      <c r="AF554" s="49">
        <v>105.601298</v>
      </c>
      <c r="AG554" s="49">
        <v>276.75</v>
      </c>
      <c r="AH554" s="49">
        <v>256.5</v>
      </c>
      <c r="AI554" s="49">
        <v>207.25</v>
      </c>
      <c r="AJ554" s="49">
        <v>237.285</v>
      </c>
      <c r="AK554" s="49">
        <v>130.85339478750001</v>
      </c>
      <c r="AL554" s="49">
        <v>143.869839885</v>
      </c>
      <c r="AM554" s="49">
        <v>0.90749248180999997</v>
      </c>
      <c r="AN554" s="49">
        <v>0.40131701563</v>
      </c>
      <c r="AO554" s="49">
        <v>0.74868880654000003</v>
      </c>
      <c r="AP554" s="49">
        <v>2.8093472660000001</v>
      </c>
      <c r="AQ554" s="49">
        <v>1.6479534499999999</v>
      </c>
      <c r="AR554" s="49">
        <v>4.2253144499999999</v>
      </c>
      <c r="AS554" s="49">
        <v>9.9075622800000005</v>
      </c>
      <c r="AT554" s="49">
        <v>0.64011217640999996</v>
      </c>
      <c r="AU554" s="49">
        <v>0.48359442009999998</v>
      </c>
      <c r="AV554" s="49">
        <v>0.21252536799999999</v>
      </c>
      <c r="AW554" s="49">
        <v>2791.8627521017402</v>
      </c>
      <c r="AX554" s="49">
        <v>328.294375</v>
      </c>
      <c r="AY554" s="49">
        <v>205.52787579156001</v>
      </c>
      <c r="AZ554" s="49">
        <v>541.30797161247995</v>
      </c>
      <c r="BA554" s="49">
        <v>657.34265734266</v>
      </c>
      <c r="BB554" s="49">
        <v>495.95506200331999</v>
      </c>
      <c r="BC554" s="49">
        <v>1.21275096381</v>
      </c>
      <c r="BD554" s="49">
        <v>1.4523999999999999</v>
      </c>
      <c r="BE554" s="49">
        <v>1.6918</v>
      </c>
      <c r="BF554" s="49">
        <v>44</v>
      </c>
      <c r="BG554" s="49">
        <v>228.25</v>
      </c>
      <c r="BH554" s="49">
        <v>201.25</v>
      </c>
      <c r="BI554" s="49">
        <v>221.875</v>
      </c>
      <c r="BJ554" s="49">
        <v>152.5</v>
      </c>
      <c r="BK554" s="49">
        <v>1778.7860000000001</v>
      </c>
      <c r="BL554" s="49">
        <v>65</v>
      </c>
      <c r="BM554" s="49">
        <v>3614.2139999999999</v>
      </c>
      <c r="BN554" s="49">
        <v>854.476</v>
      </c>
      <c r="BO554" s="49">
        <v>7169.2860000000001</v>
      </c>
      <c r="BP554" s="49">
        <v>14580.714</v>
      </c>
      <c r="BQ554" s="49">
        <v>1194.4290000000001</v>
      </c>
      <c r="BR554" s="49">
        <v>424.47899999999998</v>
      </c>
      <c r="BS554" s="49">
        <v>873.67</v>
      </c>
      <c r="BT554" s="49">
        <v>7.0145</v>
      </c>
      <c r="BU554" s="41"/>
      <c r="BV554" s="41"/>
      <c r="BW554" s="41"/>
      <c r="BX554" s="41"/>
      <c r="BY554" s="41"/>
      <c r="BZ554" s="41"/>
      <c r="CA554" s="41"/>
      <c r="CB554" s="41"/>
      <c r="CC554" s="41"/>
      <c r="CD554" s="41"/>
      <c r="CE554" s="41"/>
      <c r="CF554" s="41"/>
      <c r="CG554" s="41"/>
      <c r="CH554" s="41"/>
      <c r="CI554" s="41"/>
      <c r="CJ554" s="41"/>
      <c r="CK554" s="41"/>
    </row>
    <row r="555" spans="1:89">
      <c r="A555" s="41" t="s">
        <v>684</v>
      </c>
      <c r="B555" s="51">
        <v>61.890520421609999</v>
      </c>
      <c r="C555" s="51">
        <v>64.09</v>
      </c>
      <c r="D555" s="51">
        <v>56.62590909091</v>
      </c>
      <c r="E555" s="51">
        <v>64.955652173909996</v>
      </c>
      <c r="F555" s="51">
        <v>49.125</v>
      </c>
      <c r="G555" s="51">
        <v>49.5</v>
      </c>
      <c r="H555" s="51">
        <v>9.6297826086999994</v>
      </c>
      <c r="I555" s="51">
        <v>6.56</v>
      </c>
      <c r="J555" s="51">
        <v>6.2</v>
      </c>
      <c r="K555" s="51">
        <v>152.32456410104001</v>
      </c>
      <c r="L555" s="51">
        <v>1.4808673912999999</v>
      </c>
      <c r="M555" s="51">
        <v>2.3853988400000001</v>
      </c>
      <c r="N555" s="51">
        <v>1.1457410139999999</v>
      </c>
      <c r="O555" s="51">
        <v>1.6528570091200001</v>
      </c>
      <c r="P555" s="51">
        <v>1.7558325990500001</v>
      </c>
      <c r="Q555" s="51">
        <v>1.70673842832</v>
      </c>
      <c r="R555" s="51">
        <v>1.496</v>
      </c>
      <c r="S555" s="51">
        <v>550</v>
      </c>
      <c r="T555" s="51">
        <v>816.36</v>
      </c>
      <c r="U555" s="51">
        <v>650.94987868283999</v>
      </c>
      <c r="V555" s="51">
        <v>1165.0999999999999</v>
      </c>
      <c r="W555" s="51">
        <v>448.48</v>
      </c>
      <c r="X555" s="51">
        <v>555.22</v>
      </c>
      <c r="Y555" s="51">
        <v>274</v>
      </c>
      <c r="Z555" s="51">
        <v>550.08000000000004</v>
      </c>
      <c r="AA555" s="51">
        <v>238</v>
      </c>
      <c r="AB555" s="51">
        <v>654.16999999999996</v>
      </c>
      <c r="AC555" s="51">
        <v>682</v>
      </c>
      <c r="AD555" s="51">
        <v>98.003967880000005</v>
      </c>
      <c r="AE555" s="51">
        <v>101.66786</v>
      </c>
      <c r="AF555" s="51">
        <v>100.089748</v>
      </c>
      <c r="AG555" s="51">
        <v>282.8</v>
      </c>
      <c r="AH555" s="51">
        <v>261.39999999999998</v>
      </c>
      <c r="AI555" s="51">
        <v>212.8</v>
      </c>
      <c r="AJ555" s="51">
        <v>255.654</v>
      </c>
      <c r="AK555" s="51">
        <v>131.7719865375</v>
      </c>
      <c r="AL555" s="51">
        <v>149.35902467283</v>
      </c>
      <c r="AM555" s="51">
        <v>1.0027137590899999</v>
      </c>
      <c r="AN555" s="51">
        <v>0.40483069249999998</v>
      </c>
      <c r="AO555" s="51">
        <v>0.75739682969</v>
      </c>
      <c r="AP555" s="51">
        <v>2.757318234</v>
      </c>
      <c r="AQ555" s="51">
        <v>1.6479534499999999</v>
      </c>
      <c r="AR555" s="51">
        <v>4.3281295499999999</v>
      </c>
      <c r="AS555" s="51">
        <v>9.6275755400000005</v>
      </c>
      <c r="AT555" s="51">
        <v>0.65569016511</v>
      </c>
      <c r="AU555" s="51">
        <v>0.45169788209</v>
      </c>
      <c r="AV555" s="51">
        <v>0.21891876599999999</v>
      </c>
      <c r="AW555" s="51">
        <v>2746.67708144165</v>
      </c>
      <c r="AX555" s="51">
        <v>334.95699999999999</v>
      </c>
      <c r="AY555" s="51">
        <v>211.94435385391</v>
      </c>
      <c r="AZ555" s="51">
        <v>553.13529466879004</v>
      </c>
      <c r="BA555" s="51">
        <v>664.33566433566</v>
      </c>
      <c r="BB555" s="51">
        <v>510.28840778275998</v>
      </c>
      <c r="BC555" s="51">
        <v>1.1891528573900001</v>
      </c>
      <c r="BD555" s="51">
        <v>1.4393</v>
      </c>
      <c r="BE555" s="51">
        <v>1.5996999999999999</v>
      </c>
      <c r="BF555" s="51">
        <v>44</v>
      </c>
      <c r="BG555" s="51">
        <v>231.5</v>
      </c>
      <c r="BH555" s="51">
        <v>201.375</v>
      </c>
      <c r="BI555" s="51">
        <v>208.5</v>
      </c>
      <c r="BJ555" s="51">
        <v>152.5</v>
      </c>
      <c r="BK555" s="51">
        <v>1867.8409999999999</v>
      </c>
      <c r="BL555" s="51">
        <v>65</v>
      </c>
      <c r="BM555" s="51">
        <v>3797.75</v>
      </c>
      <c r="BN555" s="51">
        <v>887.02300000000002</v>
      </c>
      <c r="BO555" s="51">
        <v>7188.8639999999996</v>
      </c>
      <c r="BP555" s="51">
        <v>14892.727000000001</v>
      </c>
      <c r="BQ555" s="51">
        <v>1298.386</v>
      </c>
      <c r="BR555" s="51">
        <v>437.93</v>
      </c>
      <c r="BS555" s="51">
        <v>898.43</v>
      </c>
      <c r="BT555" s="51">
        <v>7.0334000000000003</v>
      </c>
      <c r="BU555" s="41"/>
      <c r="BV555" s="41"/>
      <c r="BW555" s="41"/>
      <c r="BX555" s="41"/>
      <c r="BY555" s="41"/>
      <c r="BZ555" s="41"/>
      <c r="CA555" s="41"/>
      <c r="CB555" s="41"/>
      <c r="CC555" s="41"/>
      <c r="CD555" s="41"/>
      <c r="CE555" s="41"/>
      <c r="CF555" s="41"/>
      <c r="CG555" s="41"/>
      <c r="CH555" s="41"/>
      <c r="CI555" s="41"/>
      <c r="CJ555" s="41"/>
      <c r="CK555" s="41"/>
    </row>
    <row r="556" spans="1:89">
      <c r="A556" s="48" t="s">
        <v>685</v>
      </c>
      <c r="B556" s="49">
        <v>61.687698412700001</v>
      </c>
      <c r="C556" s="49">
        <v>62.981818181820003</v>
      </c>
      <c r="D556" s="49">
        <v>56.543181818180003</v>
      </c>
      <c r="E556" s="49">
        <v>65.538095238099999</v>
      </c>
      <c r="F556" s="49">
        <v>45.25</v>
      </c>
      <c r="G556" s="49">
        <v>46.625</v>
      </c>
      <c r="H556" s="49">
        <v>12.87568181818</v>
      </c>
      <c r="I556" s="49">
        <v>6.58</v>
      </c>
      <c r="J556" s="49">
        <v>6.39</v>
      </c>
      <c r="K556" s="49">
        <v>191.96453216148001</v>
      </c>
      <c r="L556" s="49">
        <v>1.50483545455</v>
      </c>
      <c r="M556" s="49">
        <v>2.193376438</v>
      </c>
      <c r="N556" s="49">
        <v>1.0333053940000001</v>
      </c>
      <c r="O556" s="49">
        <v>1.6584840431600001</v>
      </c>
      <c r="P556" s="49">
        <v>1.8853180967300001</v>
      </c>
      <c r="Q556" s="49">
        <v>1.56763403277</v>
      </c>
      <c r="R556" s="49">
        <v>1.5225</v>
      </c>
      <c r="S556" s="49">
        <v>559</v>
      </c>
      <c r="T556" s="49">
        <v>806.36</v>
      </c>
      <c r="U556" s="49">
        <v>651.99306759098999</v>
      </c>
      <c r="V556" s="49">
        <v>1168.45</v>
      </c>
      <c r="W556" s="49">
        <v>453.64</v>
      </c>
      <c r="X556" s="49">
        <v>576.14</v>
      </c>
      <c r="Y556" s="49">
        <v>263</v>
      </c>
      <c r="Z556" s="49">
        <v>545.16</v>
      </c>
      <c r="AA556" s="49">
        <v>233.77</v>
      </c>
      <c r="AB556" s="49">
        <v>687.82</v>
      </c>
      <c r="AC556" s="49">
        <v>683</v>
      </c>
      <c r="AD556" s="49">
        <v>97.892251470000005</v>
      </c>
      <c r="AE556" s="49">
        <v>96.353179999999995</v>
      </c>
      <c r="AF556" s="49">
        <v>97.370716666670006</v>
      </c>
      <c r="AG556" s="49">
        <v>285.25</v>
      </c>
      <c r="AH556" s="49">
        <v>264.25</v>
      </c>
      <c r="AI556" s="49">
        <v>215.5</v>
      </c>
      <c r="AJ556" s="49">
        <v>256.9975</v>
      </c>
      <c r="AK556" s="49">
        <v>128.23540829999999</v>
      </c>
      <c r="AL556" s="49">
        <v>159.70865813437999</v>
      </c>
      <c r="AM556" s="49">
        <v>1.1017525028399999</v>
      </c>
      <c r="AN556" s="49">
        <v>0.59422476563000004</v>
      </c>
      <c r="AO556" s="49">
        <v>0.74902874045000001</v>
      </c>
      <c r="AP556" s="49">
        <v>2.7524680699999999</v>
      </c>
      <c r="AQ556" s="49">
        <v>1.6575986625000001</v>
      </c>
      <c r="AR556" s="49">
        <v>4.322076</v>
      </c>
      <c r="AS556" s="49">
        <v>9.6385986399999997</v>
      </c>
      <c r="AT556" s="49">
        <v>0.66119948217000002</v>
      </c>
      <c r="AU556" s="49">
        <v>0.46661307210000003</v>
      </c>
      <c r="AV556" s="49">
        <v>0.227296322</v>
      </c>
      <c r="AW556" s="49">
        <v>2760.72854089986</v>
      </c>
      <c r="AX556" s="49">
        <v>330.9228</v>
      </c>
      <c r="AY556" s="49">
        <v>216.80451653997</v>
      </c>
      <c r="AZ556" s="49">
        <v>545.30840938174003</v>
      </c>
      <c r="BA556" s="49">
        <v>671.32867132867</v>
      </c>
      <c r="BB556" s="49">
        <v>513.24764198725995</v>
      </c>
      <c r="BC556" s="49">
        <v>1.2111032043500001</v>
      </c>
      <c r="BD556" s="49">
        <v>1.5940000000000001</v>
      </c>
      <c r="BE556" s="49">
        <v>1.6960999999999999</v>
      </c>
      <c r="BF556" s="49">
        <v>44</v>
      </c>
      <c r="BG556" s="49">
        <v>240.75</v>
      </c>
      <c r="BH556" s="49">
        <v>201</v>
      </c>
      <c r="BI556" s="49">
        <v>210.375</v>
      </c>
      <c r="BJ556" s="49">
        <v>152.5</v>
      </c>
      <c r="BK556" s="49">
        <v>1839.9090000000001</v>
      </c>
      <c r="BL556" s="49">
        <v>65</v>
      </c>
      <c r="BM556" s="49">
        <v>3857.8409999999999</v>
      </c>
      <c r="BN556" s="49">
        <v>933.06799999999998</v>
      </c>
      <c r="BO556" s="49">
        <v>6783.8639999999996</v>
      </c>
      <c r="BP556" s="49">
        <v>14228.182000000001</v>
      </c>
      <c r="BQ556" s="49">
        <v>1397.5229999999999</v>
      </c>
      <c r="BR556" s="49">
        <v>456.048</v>
      </c>
      <c r="BS556" s="49">
        <v>914.64</v>
      </c>
      <c r="BT556" s="49">
        <v>7.1536</v>
      </c>
      <c r="BU556" s="41"/>
      <c r="BV556" s="41"/>
      <c r="BW556" s="41"/>
      <c r="BX556" s="41"/>
      <c r="BY556" s="41"/>
      <c r="BZ556" s="41"/>
      <c r="CA556" s="41"/>
      <c r="CB556" s="41"/>
      <c r="CC556" s="41"/>
      <c r="CD556" s="41"/>
      <c r="CE556" s="41"/>
      <c r="CF556" s="41"/>
      <c r="CG556" s="41"/>
      <c r="CH556" s="41"/>
      <c r="CI556" s="41"/>
      <c r="CJ556" s="41"/>
      <c r="CK556" s="41"/>
    </row>
    <row r="557" spans="1:89">
      <c r="A557" s="41" t="s">
        <v>686</v>
      </c>
      <c r="B557" s="51">
        <v>58.18507936508</v>
      </c>
      <c r="C557" s="51">
        <v>58.521904761899997</v>
      </c>
      <c r="D557" s="51">
        <v>53.669523809520001</v>
      </c>
      <c r="E557" s="51">
        <v>62.363809523809998</v>
      </c>
      <c r="F557" s="51">
        <v>42.458333333330003</v>
      </c>
      <c r="G557" s="51">
        <v>43.25</v>
      </c>
      <c r="H557" s="51">
        <v>13.522619047619999</v>
      </c>
      <c r="I557" s="51">
        <v>7.28</v>
      </c>
      <c r="J557" s="51">
        <v>6.48</v>
      </c>
      <c r="K557" s="51">
        <v>203.20928736988</v>
      </c>
      <c r="L557" s="51">
        <v>1.4573280952400001</v>
      </c>
      <c r="M557" s="51">
        <v>2.3159533099999998</v>
      </c>
      <c r="N557" s="51">
        <v>1.047855886</v>
      </c>
      <c r="O557" s="51">
        <v>1.6904870601799999</v>
      </c>
      <c r="P557" s="51">
        <v>1.9617537791199999</v>
      </c>
      <c r="Q557" s="51">
        <v>1.5737074014200001</v>
      </c>
      <c r="R557" s="51">
        <v>1.536</v>
      </c>
      <c r="S557" s="51">
        <v>587</v>
      </c>
      <c r="T557" s="51">
        <v>862.38</v>
      </c>
      <c r="U557" s="51">
        <v>656.16582322356999</v>
      </c>
      <c r="V557" s="51">
        <v>1129.08</v>
      </c>
      <c r="W557" s="51">
        <v>467.5</v>
      </c>
      <c r="X557" s="51">
        <v>623.33000000000004</v>
      </c>
      <c r="Y557" s="51">
        <v>257</v>
      </c>
      <c r="Z557" s="51">
        <v>578.62</v>
      </c>
      <c r="AA557" s="51">
        <v>224.67</v>
      </c>
      <c r="AB557" s="51">
        <v>734.38</v>
      </c>
      <c r="AC557" s="51">
        <v>646</v>
      </c>
      <c r="AD557" s="51">
        <v>98.525588330000005</v>
      </c>
      <c r="AE557" s="51">
        <v>101.938515</v>
      </c>
      <c r="AF557" s="51">
        <v>97.3890885</v>
      </c>
      <c r="AG557" s="51">
        <v>286.39999999999998</v>
      </c>
      <c r="AH557" s="51">
        <v>265.2</v>
      </c>
      <c r="AI557" s="51">
        <v>217.4</v>
      </c>
      <c r="AJ557" s="51">
        <v>269.35750000000002</v>
      </c>
      <c r="AK557" s="51">
        <v>135.2626351875</v>
      </c>
      <c r="AL557" s="51">
        <v>167.82671272499999</v>
      </c>
      <c r="AM557" s="51">
        <v>1.0636485494400001</v>
      </c>
      <c r="AN557" s="51">
        <v>0.63039496875000001</v>
      </c>
      <c r="AO557" s="51">
        <v>0.81513578450000002</v>
      </c>
      <c r="AP557" s="51">
        <v>2.699336728</v>
      </c>
      <c r="AQ557" s="51">
        <v>1.6410640125</v>
      </c>
      <c r="AR557" s="51">
        <v>4.1976060000000004</v>
      </c>
      <c r="AS557" s="51">
        <v>9.8524467799999993</v>
      </c>
      <c r="AT557" s="51">
        <v>0.64485608500000002</v>
      </c>
      <c r="AU557" s="51">
        <v>0.47885396218999998</v>
      </c>
      <c r="AV557" s="51">
        <v>0.24515374400000001</v>
      </c>
      <c r="AW557" s="51">
        <v>2770.5633191430602</v>
      </c>
      <c r="AX557" s="51">
        <v>324.40499999999997</v>
      </c>
      <c r="AY557" s="51">
        <v>211.27056471115</v>
      </c>
      <c r="AZ557" s="51">
        <v>534.62676056338</v>
      </c>
      <c r="BA557" s="51">
        <v>671.32867132867</v>
      </c>
      <c r="BB557" s="51">
        <v>496.44216448783999</v>
      </c>
      <c r="BC557" s="51">
        <v>1.2827214033300001</v>
      </c>
      <c r="BD557" s="51">
        <v>1.6295999999999999</v>
      </c>
      <c r="BE557" s="51">
        <v>1.7014</v>
      </c>
      <c r="BF557" s="51">
        <v>44</v>
      </c>
      <c r="BG557" s="51">
        <v>246.375</v>
      </c>
      <c r="BH557" s="51">
        <v>201</v>
      </c>
      <c r="BI557" s="51">
        <v>215.5</v>
      </c>
      <c r="BJ557" s="51">
        <v>152.5</v>
      </c>
      <c r="BK557" s="51">
        <v>1928.7139999999999</v>
      </c>
      <c r="BL557" s="51">
        <v>65</v>
      </c>
      <c r="BM557" s="51">
        <v>4059.7620000000002</v>
      </c>
      <c r="BN557" s="51">
        <v>1004.7619999999999</v>
      </c>
      <c r="BO557" s="51">
        <v>6422.857</v>
      </c>
      <c r="BP557" s="51">
        <v>12402.857</v>
      </c>
      <c r="BQ557" s="51">
        <v>1488.3810000000001</v>
      </c>
      <c r="BR557" s="51">
        <v>469.89800000000002</v>
      </c>
      <c r="BS557" s="51">
        <v>931</v>
      </c>
      <c r="BT557" s="51">
        <v>7.6704999999999997</v>
      </c>
      <c r="BU557" s="41"/>
      <c r="BV557" s="41"/>
      <c r="BW557" s="41"/>
      <c r="BX557" s="41"/>
      <c r="BY557" s="41"/>
      <c r="BZ557" s="41"/>
      <c r="CA557" s="41"/>
      <c r="CB557" s="41"/>
      <c r="CC557" s="41"/>
      <c r="CD557" s="41"/>
      <c r="CE557" s="41"/>
      <c r="CF557" s="41"/>
      <c r="CG557" s="41"/>
      <c r="CH557" s="41"/>
      <c r="CI557" s="41"/>
      <c r="CJ557" s="41"/>
      <c r="CK557" s="41"/>
    </row>
    <row r="558" spans="1:89">
      <c r="A558" s="48" t="s">
        <v>687</v>
      </c>
      <c r="B558" s="49">
        <v>55.042825396829997</v>
      </c>
      <c r="C558" s="49">
        <v>55.534999999999997</v>
      </c>
      <c r="D558" s="49">
        <v>51.310476190480003</v>
      </c>
      <c r="E558" s="49">
        <v>58.283000000000001</v>
      </c>
      <c r="F558" s="49">
        <v>38.0625</v>
      </c>
      <c r="G558" s="49">
        <v>38.083333333330003</v>
      </c>
      <c r="H558" s="49">
        <v>10.430909090909999</v>
      </c>
      <c r="I558" s="49">
        <v>7.46</v>
      </c>
      <c r="J558" s="49">
        <v>6.61</v>
      </c>
      <c r="K558" s="49">
        <v>166.60928950086</v>
      </c>
      <c r="L558" s="49">
        <v>1.44330818182</v>
      </c>
      <c r="M558" s="49">
        <v>2.3752575880000002</v>
      </c>
      <c r="N558" s="49">
        <v>1.13427699</v>
      </c>
      <c r="O558" s="49">
        <v>1.64828688364</v>
      </c>
      <c r="P558" s="49">
        <v>1.8777125565299999</v>
      </c>
      <c r="Q558" s="49">
        <v>1.6021480943799999</v>
      </c>
      <c r="R558" s="49">
        <v>1.4650000000000001</v>
      </c>
      <c r="S558" s="49">
        <v>582</v>
      </c>
      <c r="T558" s="49">
        <v>850</v>
      </c>
      <c r="U558" s="49">
        <v>670.77046793760996</v>
      </c>
      <c r="V558" s="49">
        <v>1036.17</v>
      </c>
      <c r="W558" s="49">
        <v>466.7</v>
      </c>
      <c r="X558" s="49">
        <v>620.23</v>
      </c>
      <c r="Y558" s="49">
        <v>255.75</v>
      </c>
      <c r="Z558" s="49">
        <v>558.92999999999995</v>
      </c>
      <c r="AA558" s="49">
        <v>222.05</v>
      </c>
      <c r="AB558" s="49">
        <v>727.47</v>
      </c>
      <c r="AC558" s="49">
        <v>598</v>
      </c>
      <c r="AD558" s="49">
        <v>98.759818109999998</v>
      </c>
      <c r="AE558" s="49">
        <v>95.368979999999993</v>
      </c>
      <c r="AF558" s="49">
        <v>92.566482250000007</v>
      </c>
      <c r="AG558" s="49">
        <v>277.75</v>
      </c>
      <c r="AH558" s="49">
        <v>257.25</v>
      </c>
      <c r="AI558" s="49">
        <v>209.5</v>
      </c>
      <c r="AJ558" s="49">
        <v>272</v>
      </c>
      <c r="AK558" s="49">
        <v>132.34610638125</v>
      </c>
      <c r="AL558" s="49">
        <v>161.11635164431999</v>
      </c>
      <c r="AM558" s="49">
        <v>1.08695347375</v>
      </c>
      <c r="AN558" s="49">
        <v>0.58905759375</v>
      </c>
      <c r="AO558" s="49">
        <v>0.87953358367000001</v>
      </c>
      <c r="AP558" s="49">
        <v>2.7046278159999999</v>
      </c>
      <c r="AQ558" s="49">
        <v>1.6038610499999999</v>
      </c>
      <c r="AR558" s="49">
        <v>4.0953315999999997</v>
      </c>
      <c r="AS558" s="49">
        <v>9.7488296400000003</v>
      </c>
      <c r="AT558" s="49">
        <v>0.63447555506999997</v>
      </c>
      <c r="AU558" s="49">
        <v>0.47700260630000002</v>
      </c>
      <c r="AV558" s="49">
        <v>0.25088575600000002</v>
      </c>
      <c r="AW558" s="49">
        <v>2860.4276876087301</v>
      </c>
      <c r="AX558" s="49">
        <v>318.21390000000002</v>
      </c>
      <c r="AY558" s="49">
        <v>205.47202751156999</v>
      </c>
      <c r="AZ558" s="49">
        <v>524.42148522767002</v>
      </c>
      <c r="BA558" s="49">
        <v>685.31468531469</v>
      </c>
      <c r="BB558" s="49">
        <v>498.28135160928002</v>
      </c>
      <c r="BC558" s="49">
        <v>1.2517832360000001</v>
      </c>
      <c r="BD558" s="49">
        <v>1.5808</v>
      </c>
      <c r="BE558" s="49">
        <v>1.599</v>
      </c>
      <c r="BF558" s="49">
        <v>44</v>
      </c>
      <c r="BG558" s="49">
        <v>246.125</v>
      </c>
      <c r="BH558" s="49">
        <v>201</v>
      </c>
      <c r="BI558" s="49">
        <v>235</v>
      </c>
      <c r="BJ558" s="49">
        <v>167.5</v>
      </c>
      <c r="BK558" s="49">
        <v>2050.5909999999999</v>
      </c>
      <c r="BL558" s="49">
        <v>65</v>
      </c>
      <c r="BM558" s="49">
        <v>4269.3410000000003</v>
      </c>
      <c r="BN558" s="49">
        <v>1018.409</v>
      </c>
      <c r="BO558" s="49">
        <v>6160</v>
      </c>
      <c r="BP558" s="49">
        <v>12115.682000000001</v>
      </c>
      <c r="BQ558" s="49">
        <v>1610.932</v>
      </c>
      <c r="BR558" s="49">
        <v>476.666</v>
      </c>
      <c r="BS558" s="49">
        <v>962.61</v>
      </c>
      <c r="BT558" s="49">
        <v>7.8724999999999996</v>
      </c>
      <c r="BU558" s="41"/>
      <c r="BV558" s="41"/>
      <c r="BW558" s="41"/>
      <c r="BX558" s="41"/>
      <c r="BY558" s="41"/>
      <c r="BZ558" s="41"/>
      <c r="CA558" s="41"/>
      <c r="CB558" s="41"/>
      <c r="CC558" s="41"/>
      <c r="CD558" s="41"/>
      <c r="CE558" s="41"/>
      <c r="CF558" s="41"/>
      <c r="CG558" s="41"/>
      <c r="CH558" s="41"/>
      <c r="CI558" s="41"/>
      <c r="CJ558" s="41"/>
      <c r="CK558" s="41"/>
    </row>
    <row r="559" spans="1:89">
      <c r="A559" s="41" t="s">
        <v>688</v>
      </c>
      <c r="B559" s="51">
        <v>56.429642857140003</v>
      </c>
      <c r="C559" s="51">
        <v>56.747500000000002</v>
      </c>
      <c r="D559" s="51">
        <v>53.127142857140001</v>
      </c>
      <c r="E559" s="51">
        <v>59.414285714290003</v>
      </c>
      <c r="F559" s="51">
        <v>38.225000000000001</v>
      </c>
      <c r="G559" s="51">
        <v>41</v>
      </c>
      <c r="H559" s="51">
        <v>12.827500000000001</v>
      </c>
      <c r="I559" s="51">
        <v>7.49</v>
      </c>
      <c r="J559" s="51">
        <v>6.49</v>
      </c>
      <c r="K559" s="51">
        <v>195.77330665626999</v>
      </c>
      <c r="L559" s="51">
        <v>1.5091072727299999</v>
      </c>
      <c r="M559" s="51">
        <v>2.3318265739999999</v>
      </c>
      <c r="N559" s="51">
        <v>1.243185218</v>
      </c>
      <c r="O559" s="51">
        <v>1.64575562673</v>
      </c>
      <c r="P559" s="51">
        <v>1.8911393000600001</v>
      </c>
      <c r="Q559" s="51">
        <v>1.5361275801400001</v>
      </c>
      <c r="R559" s="51">
        <v>1.51</v>
      </c>
      <c r="S559" s="51">
        <v>553</v>
      </c>
      <c r="T559" s="51">
        <v>883.53</v>
      </c>
      <c r="U559" s="51">
        <v>682.24554592720995</v>
      </c>
      <c r="V559" s="51">
        <v>1036.17</v>
      </c>
      <c r="W559" s="51">
        <v>456.75</v>
      </c>
      <c r="X559" s="51">
        <v>590.79999999999995</v>
      </c>
      <c r="Y559" s="51">
        <v>264</v>
      </c>
      <c r="Z559" s="51">
        <v>537.66</v>
      </c>
      <c r="AA559" s="51">
        <v>236.14</v>
      </c>
      <c r="AB559" s="51">
        <v>711.64</v>
      </c>
      <c r="AC559" s="51">
        <v>602</v>
      </c>
      <c r="AD559" s="51">
        <v>103.0139082</v>
      </c>
      <c r="AE559" s="51">
        <v>102.140276</v>
      </c>
      <c r="AF559" s="51">
        <v>96.562355999999994</v>
      </c>
      <c r="AG559" s="51">
        <v>280.5</v>
      </c>
      <c r="AH559" s="51">
        <v>257</v>
      </c>
      <c r="AI559" s="51">
        <v>206.75</v>
      </c>
      <c r="AJ559" s="51" t="s">
        <v>1574</v>
      </c>
      <c r="AK559" s="51">
        <v>137.58667231499999</v>
      </c>
      <c r="AL559" s="51">
        <v>164.44104598928999</v>
      </c>
      <c r="AM559" s="51">
        <v>1.0169022940300001</v>
      </c>
      <c r="AN559" s="51">
        <v>0.64589648438000002</v>
      </c>
      <c r="AO559" s="51">
        <v>0.84942023996000005</v>
      </c>
      <c r="AP559" s="51">
        <v>2.652819246</v>
      </c>
      <c r="AQ559" s="51">
        <v>1.5698731583300001</v>
      </c>
      <c r="AR559" s="51">
        <v>4.1016665000000003</v>
      </c>
      <c r="AS559" s="51">
        <v>9.8105589999999996</v>
      </c>
      <c r="AT559" s="51">
        <v>0.63816006666000002</v>
      </c>
      <c r="AU559" s="51">
        <v>0.48281178000000002</v>
      </c>
      <c r="AV559" s="51">
        <v>0.29343492199999999</v>
      </c>
      <c r="AW559" s="51">
        <v>2946.0871956323999</v>
      </c>
      <c r="AX559" s="51">
        <v>320.11739999999998</v>
      </c>
      <c r="AY559" s="51">
        <v>210.52337161222999</v>
      </c>
      <c r="AZ559" s="51">
        <v>527.56918564090995</v>
      </c>
      <c r="BA559" s="51">
        <v>685.31468531469</v>
      </c>
      <c r="BB559" s="51">
        <v>505.73772087779003</v>
      </c>
      <c r="BC559" s="51">
        <v>1.2493781960000001</v>
      </c>
      <c r="BD559" s="51">
        <v>1.6313</v>
      </c>
      <c r="BE559" s="51">
        <v>1.6803999999999999</v>
      </c>
      <c r="BF559" s="51">
        <v>44</v>
      </c>
      <c r="BG559" s="51">
        <v>245.875</v>
      </c>
      <c r="BH559" s="51">
        <v>201</v>
      </c>
      <c r="BI559" s="51">
        <v>213.875</v>
      </c>
      <c r="BJ559" s="51">
        <v>167.5</v>
      </c>
      <c r="BK559" s="51">
        <v>2247.4499999999998</v>
      </c>
      <c r="BL559" s="51">
        <v>65</v>
      </c>
      <c r="BM559" s="51">
        <v>4576.7749999999996</v>
      </c>
      <c r="BN559" s="51">
        <v>1124.075</v>
      </c>
      <c r="BO559" s="51">
        <v>6713.5</v>
      </c>
      <c r="BP559" s="51">
        <v>13429.25</v>
      </c>
      <c r="BQ559" s="51">
        <v>1821.825</v>
      </c>
      <c r="BR559" s="51">
        <v>510.09699999999998</v>
      </c>
      <c r="BS559" s="51">
        <v>976.59</v>
      </c>
      <c r="BT559" s="51">
        <v>8.6270000000000007</v>
      </c>
      <c r="BU559" s="41"/>
      <c r="BV559" s="41"/>
      <c r="BW559" s="41"/>
      <c r="BX559" s="41"/>
      <c r="BY559" s="41"/>
      <c r="BZ559" s="41"/>
      <c r="CA559" s="41"/>
      <c r="CB559" s="41"/>
      <c r="CC559" s="41"/>
      <c r="CD559" s="41"/>
      <c r="CE559" s="41"/>
      <c r="CF559" s="41"/>
      <c r="CG559" s="41"/>
      <c r="CH559" s="41"/>
      <c r="CI559" s="41"/>
      <c r="CJ559" s="41"/>
      <c r="CK559" s="41"/>
    </row>
    <row r="560" spans="1:89">
      <c r="A560" s="48" t="s">
        <v>689</v>
      </c>
      <c r="B560" s="49">
        <v>62.45703968254</v>
      </c>
      <c r="C560" s="49">
        <v>63.574285714289999</v>
      </c>
      <c r="D560" s="49">
        <v>58.31333333333</v>
      </c>
      <c r="E560" s="49">
        <v>65.483500000000006</v>
      </c>
      <c r="F560" s="49">
        <v>43.1875</v>
      </c>
      <c r="G560" s="49">
        <v>44.662500000000001</v>
      </c>
      <c r="H560" s="49">
        <v>8.6609090909099997</v>
      </c>
      <c r="I560" s="49">
        <v>7.96</v>
      </c>
      <c r="J560" s="49">
        <v>6.53</v>
      </c>
      <c r="K560" s="49">
        <v>147.43830600518001</v>
      </c>
      <c r="L560" s="49">
        <v>1.5731036363599999</v>
      </c>
      <c r="M560" s="49">
        <v>2.7381380399999999</v>
      </c>
      <c r="N560" s="49">
        <v>1.397508618</v>
      </c>
      <c r="O560" s="49">
        <v>1.6957843904100001</v>
      </c>
      <c r="P560" s="49">
        <v>1.89495973453</v>
      </c>
      <c r="Q560" s="49">
        <v>1.51239343672</v>
      </c>
      <c r="R560" s="49">
        <v>1.68</v>
      </c>
      <c r="S560" s="49">
        <v>569</v>
      </c>
      <c r="T560" s="49">
        <v>853.33</v>
      </c>
      <c r="U560" s="49">
        <v>655.12263431541999</v>
      </c>
      <c r="V560" s="49">
        <v>1029.1600000000001</v>
      </c>
      <c r="W560" s="49">
        <v>459.05</v>
      </c>
      <c r="X560" s="49">
        <v>606.02</v>
      </c>
      <c r="Y560" s="49">
        <v>257</v>
      </c>
      <c r="Z560" s="49">
        <v>535.83000000000004</v>
      </c>
      <c r="AA560" s="49">
        <v>231.14</v>
      </c>
      <c r="AB560" s="49">
        <v>728.91</v>
      </c>
      <c r="AC560" s="49">
        <v>591</v>
      </c>
      <c r="AD560" s="49">
        <v>103.60208369999999</v>
      </c>
      <c r="AE560" s="49">
        <v>102.65206000000001</v>
      </c>
      <c r="AF560" s="49">
        <v>100.64090299999999</v>
      </c>
      <c r="AG560" s="49">
        <v>291.25</v>
      </c>
      <c r="AH560" s="49">
        <v>266.25</v>
      </c>
      <c r="AI560" s="49">
        <v>211</v>
      </c>
      <c r="AJ560" s="49">
        <v>263.85666666666998</v>
      </c>
      <c r="AK560" s="49">
        <v>144.16149276562999</v>
      </c>
      <c r="AL560" s="49">
        <v>167.16073370625</v>
      </c>
      <c r="AM560" s="49">
        <v>0.94910899868999998</v>
      </c>
      <c r="AN560" s="49">
        <v>0.68551146875000002</v>
      </c>
      <c r="AO560" s="49">
        <v>0.84975109600999998</v>
      </c>
      <c r="AP560" s="49">
        <v>2.6219545659999999</v>
      </c>
      <c r="AQ560" s="49">
        <v>1.5402277</v>
      </c>
      <c r="AR560" s="49">
        <v>4.0183324999999996</v>
      </c>
      <c r="AS560" s="49">
        <v>9.76205736</v>
      </c>
      <c r="AT560" s="49">
        <v>0.64580671224999997</v>
      </c>
      <c r="AU560" s="49">
        <v>0.51542913290000003</v>
      </c>
      <c r="AV560" s="49">
        <v>0.34722765</v>
      </c>
      <c r="AW560" s="49">
        <v>2917.2121956323999</v>
      </c>
      <c r="AX560" s="49">
        <v>323.757925</v>
      </c>
      <c r="AY560" s="49">
        <v>221.00285787816</v>
      </c>
      <c r="AZ560" s="49">
        <v>586.9541822489</v>
      </c>
      <c r="BA560" s="49">
        <v>713.28671328670998</v>
      </c>
      <c r="BB560" s="49">
        <v>519.69600209125997</v>
      </c>
      <c r="BC560" s="49">
        <v>1.2863957699999999</v>
      </c>
      <c r="BD560" s="49">
        <v>1.7615000000000001</v>
      </c>
      <c r="BE560" s="49">
        <v>1.8754</v>
      </c>
      <c r="BF560" s="49">
        <v>44</v>
      </c>
      <c r="BG560" s="49">
        <v>244.3</v>
      </c>
      <c r="BH560" s="49">
        <v>201</v>
      </c>
      <c r="BI560" s="49">
        <v>202.3</v>
      </c>
      <c r="BJ560" s="49">
        <v>167.5</v>
      </c>
      <c r="BK560" s="49">
        <v>2377.857</v>
      </c>
      <c r="BL560" s="49">
        <v>67.2</v>
      </c>
      <c r="BM560" s="49">
        <v>4734.3329999999996</v>
      </c>
      <c r="BN560" s="49">
        <v>1256.3330000000001</v>
      </c>
      <c r="BO560" s="49">
        <v>7051.4290000000001</v>
      </c>
      <c r="BP560" s="49">
        <v>14555.237999999999</v>
      </c>
      <c r="BQ560" s="49">
        <v>2090.31</v>
      </c>
      <c r="BR560" s="49">
        <v>549.86400000000003</v>
      </c>
      <c r="BS560" s="49">
        <v>1026.05</v>
      </c>
      <c r="BT560" s="49">
        <v>9.1390999999999991</v>
      </c>
      <c r="BU560" s="41"/>
      <c r="BV560" s="41"/>
      <c r="BW560" s="41"/>
      <c r="BX560" s="41"/>
      <c r="BY560" s="41"/>
      <c r="BZ560" s="41"/>
      <c r="CA560" s="41"/>
      <c r="CB560" s="41"/>
      <c r="CC560" s="41"/>
      <c r="CD560" s="41"/>
      <c r="CE560" s="41"/>
      <c r="CF560" s="41"/>
      <c r="CG560" s="41"/>
      <c r="CH560" s="41"/>
      <c r="CI560" s="41"/>
      <c r="CJ560" s="41"/>
      <c r="CK560" s="41"/>
    </row>
    <row r="561" spans="1:89">
      <c r="A561" s="41" t="s">
        <v>690</v>
      </c>
      <c r="B561" s="51">
        <v>59.704921052629999</v>
      </c>
      <c r="C561" s="51">
        <v>59.923000000000002</v>
      </c>
      <c r="D561" s="51">
        <v>57.576500000000003</v>
      </c>
      <c r="E561" s="51">
        <v>61.615263157889999</v>
      </c>
      <c r="F561" s="51">
        <v>47.7</v>
      </c>
      <c r="G561" s="51">
        <v>49.4</v>
      </c>
      <c r="H561" s="51">
        <v>7.4878571428600003</v>
      </c>
      <c r="I561" s="51">
        <v>7.95</v>
      </c>
      <c r="J561" s="51">
        <v>7.04</v>
      </c>
      <c r="K561" s="51">
        <v>133.49148094399999</v>
      </c>
      <c r="L561" s="51">
        <v>1.5461039999999999</v>
      </c>
      <c r="M561" s="51">
        <v>2.6261433439999999</v>
      </c>
      <c r="N561" s="51">
        <v>1.3884696759999999</v>
      </c>
      <c r="O561" s="51">
        <v>1.91830763042</v>
      </c>
      <c r="P561" s="51">
        <v>1.94633285956</v>
      </c>
      <c r="Q561" s="51">
        <v>1.4560900317000001</v>
      </c>
      <c r="R561" s="51">
        <v>2.3525</v>
      </c>
      <c r="S561" s="51">
        <v>591</v>
      </c>
      <c r="T561" s="51">
        <v>848</v>
      </c>
      <c r="U561" s="51">
        <v>668.42329289428005</v>
      </c>
      <c r="V561" s="51">
        <v>993.18</v>
      </c>
      <c r="W561" s="51">
        <v>473.9</v>
      </c>
      <c r="X561" s="51">
        <v>621.13</v>
      </c>
      <c r="Y561" s="51">
        <v>257</v>
      </c>
      <c r="Z561" s="51">
        <v>533.27</v>
      </c>
      <c r="AA561" s="51">
        <v>229.6</v>
      </c>
      <c r="AB561" s="51">
        <v>716.23</v>
      </c>
      <c r="AC561" s="51">
        <v>595</v>
      </c>
      <c r="AD561" s="51">
        <v>101.1340387</v>
      </c>
      <c r="AE561" s="51">
        <v>107.13017000000001</v>
      </c>
      <c r="AF561" s="51">
        <v>106.06977975</v>
      </c>
      <c r="AG561" s="51">
        <v>301.5</v>
      </c>
      <c r="AH561" s="51">
        <v>274.75</v>
      </c>
      <c r="AI561" s="51">
        <v>216.75</v>
      </c>
      <c r="AJ561" s="51">
        <v>264.28750000000002</v>
      </c>
      <c r="AK561" s="51">
        <v>149.24819458125</v>
      </c>
      <c r="AL561" s="51">
        <v>179.84092587632</v>
      </c>
      <c r="AM561" s="51">
        <v>1.00339819363</v>
      </c>
      <c r="AN561" s="51">
        <v>0.85430574999999997</v>
      </c>
      <c r="AO561" s="51">
        <v>0.82145759749000002</v>
      </c>
      <c r="AP561" s="51">
        <v>2.6455440000000001</v>
      </c>
      <c r="AQ561" s="51">
        <v>1.5251961999999999</v>
      </c>
      <c r="AR561" s="51">
        <v>3.9770639999999999</v>
      </c>
      <c r="AS561" s="51">
        <v>9.8105589999999996</v>
      </c>
      <c r="AT561" s="51">
        <v>0.63917068980000002</v>
      </c>
      <c r="AU561" s="51">
        <v>0.53197480600000002</v>
      </c>
      <c r="AV561" s="51">
        <v>0.39771344800000002</v>
      </c>
      <c r="AW561" s="51">
        <v>2895.3739883594799</v>
      </c>
      <c r="AX561" s="51">
        <v>316.36759999999998</v>
      </c>
      <c r="AY561" s="51">
        <v>222.53879280040999</v>
      </c>
      <c r="AZ561" s="51">
        <v>578.99064010540997</v>
      </c>
      <c r="BA561" s="51">
        <v>713.28671328670998</v>
      </c>
      <c r="BB561" s="51">
        <v>530.17546687252002</v>
      </c>
      <c r="BC561" s="51">
        <v>1.3150558299999999</v>
      </c>
      <c r="BD561" s="51">
        <v>1.9258999999999999</v>
      </c>
      <c r="BE561" s="51">
        <v>2.0583999999999998</v>
      </c>
      <c r="BF561" s="51">
        <v>44</v>
      </c>
      <c r="BG561" s="51">
        <v>238.125</v>
      </c>
      <c r="BH561" s="51">
        <v>201</v>
      </c>
      <c r="BI561" s="51">
        <v>213.875</v>
      </c>
      <c r="BJ561" s="51">
        <v>167.5</v>
      </c>
      <c r="BK561" s="51">
        <v>2455.3249999999998</v>
      </c>
      <c r="BL561" s="51">
        <v>65.2</v>
      </c>
      <c r="BM561" s="51">
        <v>4982.3999999999996</v>
      </c>
      <c r="BN561" s="51">
        <v>1277.05</v>
      </c>
      <c r="BO561" s="51">
        <v>7826.25</v>
      </c>
      <c r="BP561" s="51">
        <v>14978.75</v>
      </c>
      <c r="BQ561" s="51">
        <v>2219.375</v>
      </c>
      <c r="BR561" s="51">
        <v>554.995</v>
      </c>
      <c r="BS561" s="51">
        <v>1041.5</v>
      </c>
      <c r="BT561" s="51">
        <v>9.5349000000000004</v>
      </c>
      <c r="BU561" s="41"/>
      <c r="BV561" s="41"/>
      <c r="BW561" s="41"/>
      <c r="BX561" s="41"/>
      <c r="BY561" s="41"/>
      <c r="BZ561" s="41"/>
      <c r="CA561" s="41"/>
      <c r="CB561" s="41"/>
      <c r="CC561" s="41"/>
      <c r="CD561" s="41"/>
      <c r="CE561" s="41"/>
      <c r="CF561" s="41"/>
      <c r="CG561" s="41"/>
      <c r="CH561" s="41"/>
      <c r="CI561" s="41"/>
      <c r="CJ561" s="41"/>
      <c r="CK561" s="41"/>
    </row>
    <row r="562" spans="1:89">
      <c r="A562" s="48" t="s">
        <v>691</v>
      </c>
      <c r="B562" s="49">
        <v>60.929275362319999</v>
      </c>
      <c r="C562" s="49">
        <v>62.253043478259997</v>
      </c>
      <c r="D562" s="49">
        <v>57.645217391300001</v>
      </c>
      <c r="E562" s="49">
        <v>62.88956521739</v>
      </c>
      <c r="F562" s="49">
        <v>49.75</v>
      </c>
      <c r="G562" s="49">
        <v>54.5</v>
      </c>
      <c r="H562" s="49">
        <v>6.8989130434800003</v>
      </c>
      <c r="I562" s="49">
        <v>7.99</v>
      </c>
      <c r="J562" s="49">
        <v>6.88</v>
      </c>
      <c r="K562" s="49">
        <v>126.42147292593999</v>
      </c>
      <c r="L562" s="49">
        <v>1.5450552173900001</v>
      </c>
      <c r="M562" s="49">
        <v>2.5057710919999998</v>
      </c>
      <c r="N562" s="49">
        <v>1.3139535200000001</v>
      </c>
      <c r="O562" s="49">
        <v>1.7479933248599999</v>
      </c>
      <c r="P562" s="49">
        <v>1.9403188577999999</v>
      </c>
      <c r="Q562" s="49">
        <v>1.3436611167900001</v>
      </c>
      <c r="R562" s="49">
        <v>1.96</v>
      </c>
      <c r="S562" s="49">
        <v>575</v>
      </c>
      <c r="T562" s="49">
        <v>808.26</v>
      </c>
      <c r="U562" s="49">
        <v>681.20235701905995</v>
      </c>
      <c r="V562" s="49">
        <v>961.89</v>
      </c>
      <c r="W562" s="49">
        <v>472.52</v>
      </c>
      <c r="X562" s="49">
        <v>590</v>
      </c>
      <c r="Y562" s="49">
        <v>257</v>
      </c>
      <c r="Z562" s="49">
        <v>540.6</v>
      </c>
      <c r="AA562" s="49">
        <v>217.78</v>
      </c>
      <c r="AB562" s="49">
        <v>738.57</v>
      </c>
      <c r="AC562" s="49">
        <v>606</v>
      </c>
      <c r="AD562" s="49">
        <v>100.3758447</v>
      </c>
      <c r="AE562" s="49">
        <v>105.250348</v>
      </c>
      <c r="AF562" s="49">
        <v>103.6612324</v>
      </c>
      <c r="AG562" s="49">
        <v>303.5</v>
      </c>
      <c r="AH562" s="49">
        <v>274.5</v>
      </c>
      <c r="AI562" s="49">
        <v>216.5</v>
      </c>
      <c r="AJ562" s="49">
        <v>244.85599999999999</v>
      </c>
      <c r="AK562" s="49">
        <v>142.65729877499999</v>
      </c>
      <c r="AL562" s="49">
        <v>174.43598036624999</v>
      </c>
      <c r="AM562" s="49">
        <v>0.99811618855999995</v>
      </c>
      <c r="AN562" s="49">
        <v>0.8253695875</v>
      </c>
      <c r="AO562" s="49">
        <v>0.80886459757999996</v>
      </c>
      <c r="AP562" s="49">
        <v>2.6186476359999999</v>
      </c>
      <c r="AQ562" s="49">
        <v>1.50634901154</v>
      </c>
      <c r="AR562" s="49">
        <v>3.8790650000000002</v>
      </c>
      <c r="AS562" s="49">
        <v>9.8105589999999996</v>
      </c>
      <c r="AT562" s="49">
        <v>0.63744326654000005</v>
      </c>
      <c r="AU562" s="49">
        <v>0.508385372</v>
      </c>
      <c r="AV562" s="49">
        <v>0.38007648799999999</v>
      </c>
      <c r="AW562" s="49">
        <v>2828.38</v>
      </c>
      <c r="AX562" s="49">
        <v>306.51</v>
      </c>
      <c r="AY562" s="49">
        <v>225.15783085826999</v>
      </c>
      <c r="AZ562" s="49">
        <v>582.93934035731002</v>
      </c>
      <c r="BA562" s="49">
        <v>713.28671328670998</v>
      </c>
      <c r="BB562" s="49">
        <v>537.03037546095004</v>
      </c>
      <c r="BC562" s="49">
        <v>1.2698611200000001</v>
      </c>
      <c r="BD562" s="49">
        <v>1.9127000000000001</v>
      </c>
      <c r="BE562" s="49">
        <v>2.0709</v>
      </c>
      <c r="BF562" s="49">
        <v>44</v>
      </c>
      <c r="BG562" s="49">
        <v>233.625</v>
      </c>
      <c r="BH562" s="49">
        <v>200.6</v>
      </c>
      <c r="BI562" s="49">
        <v>243.125</v>
      </c>
      <c r="BJ562" s="49">
        <v>167.5</v>
      </c>
      <c r="BK562" s="49">
        <v>2429.13</v>
      </c>
      <c r="BL562" s="49">
        <v>66.7</v>
      </c>
      <c r="BM562" s="49">
        <v>5102.848</v>
      </c>
      <c r="BN562" s="49">
        <v>1192.087</v>
      </c>
      <c r="BO562" s="49">
        <v>7939.5649999999996</v>
      </c>
      <c r="BP562" s="49">
        <v>14897.391</v>
      </c>
      <c r="BQ562" s="49">
        <v>2416.913</v>
      </c>
      <c r="BR562" s="49">
        <v>557.09299999999996</v>
      </c>
      <c r="BS562" s="49">
        <v>1041.0899999999999</v>
      </c>
      <c r="BT562" s="49">
        <v>10.383800000000001</v>
      </c>
      <c r="BU562" s="41"/>
      <c r="BV562" s="41"/>
      <c r="BW562" s="41"/>
      <c r="BX562" s="41"/>
      <c r="BY562" s="41"/>
      <c r="BZ562" s="41"/>
      <c r="CA562" s="41"/>
      <c r="CB562" s="41"/>
      <c r="CC562" s="41"/>
      <c r="CD562" s="41"/>
      <c r="CE562" s="41"/>
      <c r="CF562" s="41"/>
      <c r="CG562" s="41"/>
      <c r="CH562" s="41"/>
      <c r="CI562" s="41"/>
      <c r="CJ562" s="41"/>
      <c r="CK562" s="41"/>
    </row>
    <row r="563" spans="1:89">
      <c r="A563" s="41" t="s">
        <v>692</v>
      </c>
      <c r="B563" s="51">
        <v>67.970575048729998</v>
      </c>
      <c r="C563" s="51">
        <v>70.442105263160002</v>
      </c>
      <c r="D563" s="51">
        <v>64.056842105260003</v>
      </c>
      <c r="E563" s="51">
        <v>69.412777777779993</v>
      </c>
      <c r="F563" s="51">
        <v>52.875</v>
      </c>
      <c r="G563" s="51">
        <v>54.875</v>
      </c>
      <c r="H563" s="51">
        <v>7.0940000000000003</v>
      </c>
      <c r="I563" s="51">
        <v>8.24</v>
      </c>
      <c r="J563" s="51">
        <v>6.93</v>
      </c>
      <c r="K563" s="51">
        <v>130.01285440315999</v>
      </c>
      <c r="L563" s="51">
        <v>1.5480175</v>
      </c>
      <c r="M563" s="51">
        <v>2.5445724040000002</v>
      </c>
      <c r="N563" s="51">
        <v>1.33489741</v>
      </c>
      <c r="O563" s="51">
        <v>1.9003512580599999</v>
      </c>
      <c r="P563" s="51">
        <v>1.8880850730900001</v>
      </c>
      <c r="Q563" s="51">
        <v>1.8496353677699999</v>
      </c>
      <c r="R563" s="51">
        <v>1.96333333333</v>
      </c>
      <c r="S563" s="51">
        <v>578</v>
      </c>
      <c r="T563" s="51">
        <v>753</v>
      </c>
      <c r="U563" s="51">
        <v>683.02793760832003</v>
      </c>
      <c r="V563" s="51">
        <v>936.96</v>
      </c>
      <c r="W563" s="51">
        <v>475.9</v>
      </c>
      <c r="X563" s="51">
        <v>573.75</v>
      </c>
      <c r="Y563" s="51">
        <v>258</v>
      </c>
      <c r="Z563" s="51">
        <v>540.44000000000005</v>
      </c>
      <c r="AA563" s="51">
        <v>209.6</v>
      </c>
      <c r="AB563" s="51">
        <v>773.72</v>
      </c>
      <c r="AC563" s="51">
        <v>659</v>
      </c>
      <c r="AD563" s="51">
        <v>102.1245618</v>
      </c>
      <c r="AE563" s="51">
        <v>107.72069</v>
      </c>
      <c r="AF563" s="51">
        <v>109.35466355</v>
      </c>
      <c r="AG563" s="51">
        <v>302.25</v>
      </c>
      <c r="AH563" s="51">
        <v>271.5</v>
      </c>
      <c r="AI563" s="51">
        <v>218.5</v>
      </c>
      <c r="AJ563" s="51">
        <v>244.25</v>
      </c>
      <c r="AK563" s="51">
        <v>140.82011527500001</v>
      </c>
      <c r="AL563" s="51">
        <v>180.34605464494999</v>
      </c>
      <c r="AM563" s="51">
        <v>0.96852244712000002</v>
      </c>
      <c r="AN563" s="51">
        <v>0.73029362499999995</v>
      </c>
      <c r="AO563" s="51">
        <v>0.80033404079000003</v>
      </c>
      <c r="AP563" s="51">
        <v>2.6007902139999999</v>
      </c>
      <c r="AQ563" s="51">
        <v>1.4894963875</v>
      </c>
      <c r="AR563" s="51">
        <v>3.930685</v>
      </c>
      <c r="AS563" s="51">
        <v>9.9075622800000005</v>
      </c>
      <c r="AT563" s="51">
        <v>0.64590118851</v>
      </c>
      <c r="AU563" s="51">
        <v>0.51997703189</v>
      </c>
      <c r="AV563" s="51">
        <v>0.38558803800000002</v>
      </c>
      <c r="AW563" s="51">
        <v>2824.88</v>
      </c>
      <c r="AX563" s="51">
        <v>312.91050000000001</v>
      </c>
      <c r="AY563" s="51">
        <v>229.39044284075001</v>
      </c>
      <c r="AZ563" s="51">
        <v>588.50016821801</v>
      </c>
      <c r="BA563" s="51">
        <v>720.27972027971998</v>
      </c>
      <c r="BB563" s="51">
        <v>545.55466713493001</v>
      </c>
      <c r="BC563" s="51">
        <v>1.24009875</v>
      </c>
      <c r="BD563" s="51">
        <v>1.9409000000000001</v>
      </c>
      <c r="BE563" s="51">
        <v>2.1433</v>
      </c>
      <c r="BF563" s="51">
        <v>44</v>
      </c>
      <c r="BG563" s="51">
        <v>231.75</v>
      </c>
      <c r="BH563" s="51">
        <v>200.5</v>
      </c>
      <c r="BI563" s="51">
        <v>247.5</v>
      </c>
      <c r="BJ563" s="51">
        <v>167.5</v>
      </c>
      <c r="BK563" s="51">
        <v>2621.1109999999999</v>
      </c>
      <c r="BL563" s="51">
        <v>67.3</v>
      </c>
      <c r="BM563" s="51">
        <v>6387.7780000000002</v>
      </c>
      <c r="BN563" s="51">
        <v>1170.4169999999999</v>
      </c>
      <c r="BO563" s="51">
        <v>8853.0560000000005</v>
      </c>
      <c r="BP563" s="51">
        <v>17942.222000000002</v>
      </c>
      <c r="BQ563" s="51">
        <v>3084.7779999999998</v>
      </c>
      <c r="BR563" s="51">
        <v>610.65300000000002</v>
      </c>
      <c r="BS563" s="51">
        <v>1098.75</v>
      </c>
      <c r="BT563" s="51">
        <v>12.6144</v>
      </c>
      <c r="BU563" s="41"/>
      <c r="BV563" s="41"/>
      <c r="BW563" s="41"/>
      <c r="BX563" s="41"/>
      <c r="BY563" s="41"/>
      <c r="BZ563" s="41"/>
      <c r="CA563" s="41"/>
      <c r="CB563" s="41"/>
      <c r="CC563" s="41"/>
      <c r="CD563" s="41"/>
      <c r="CE563" s="41"/>
      <c r="CF563" s="41"/>
      <c r="CG563" s="41"/>
      <c r="CH563" s="41"/>
      <c r="CI563" s="41"/>
      <c r="CJ563" s="41"/>
      <c r="CK563" s="41"/>
    </row>
    <row r="564" spans="1:89">
      <c r="A564" s="48" t="s">
        <v>693</v>
      </c>
      <c r="B564" s="49">
        <v>68.675948616599996</v>
      </c>
      <c r="C564" s="49">
        <v>70.187272727269999</v>
      </c>
      <c r="D564" s="49">
        <v>64.90739130435</v>
      </c>
      <c r="E564" s="49">
        <v>70.933181818180003</v>
      </c>
      <c r="F564" s="49">
        <v>52.6</v>
      </c>
      <c r="G564" s="49">
        <v>50.4</v>
      </c>
      <c r="H564" s="49">
        <v>6.1980434782599998</v>
      </c>
      <c r="I564" s="49">
        <v>8.2799999999999994</v>
      </c>
      <c r="J564" s="49">
        <v>6.92</v>
      </c>
      <c r="K564" s="49">
        <v>119.31630414618</v>
      </c>
      <c r="L564" s="49">
        <v>1.5964169565199999</v>
      </c>
      <c r="M564" s="49">
        <v>2.4109724319999999</v>
      </c>
      <c r="N564" s="49">
        <v>1.3245356960000001</v>
      </c>
      <c r="O564" s="49">
        <v>1.8896593080899999</v>
      </c>
      <c r="P564" s="49">
        <v>1.7460009102</v>
      </c>
      <c r="Q564" s="49">
        <v>1.8529770140699999</v>
      </c>
      <c r="R564" s="49">
        <v>2.0699999999999998</v>
      </c>
      <c r="S564" s="49">
        <v>583</v>
      </c>
      <c r="T564" s="49">
        <v>780</v>
      </c>
      <c r="U564" s="49">
        <v>722.92991334489</v>
      </c>
      <c r="V564" s="49">
        <v>936.96</v>
      </c>
      <c r="W564" s="49">
        <v>483.72</v>
      </c>
      <c r="X564" s="49">
        <v>558.26</v>
      </c>
      <c r="Y564" s="49">
        <v>266</v>
      </c>
      <c r="Z564" s="49">
        <v>588.29</v>
      </c>
      <c r="AA564" s="49">
        <v>212.83</v>
      </c>
      <c r="AB564" s="49">
        <v>828.42</v>
      </c>
      <c r="AC564" s="49">
        <v>679</v>
      </c>
      <c r="AD564" s="49">
        <v>107.4755681</v>
      </c>
      <c r="AE564" s="49">
        <v>110.648685</v>
      </c>
      <c r="AF564" s="49">
        <v>113.758392</v>
      </c>
      <c r="AG564" s="49">
        <v>308</v>
      </c>
      <c r="AH564" s="49">
        <v>276</v>
      </c>
      <c r="AI564" s="49">
        <v>219.4</v>
      </c>
      <c r="AJ564" s="49">
        <v>256.22800000000001</v>
      </c>
      <c r="AK564" s="49">
        <v>150.92462452500001</v>
      </c>
      <c r="AL564" s="49">
        <v>193.16672228570999</v>
      </c>
      <c r="AM564" s="49">
        <v>1.05096415024</v>
      </c>
      <c r="AN564" s="49">
        <v>0.92595720000000004</v>
      </c>
      <c r="AO564" s="49">
        <v>0.80019413668999995</v>
      </c>
      <c r="AP564" s="49">
        <v>2.6151202439999999</v>
      </c>
      <c r="AQ564" s="49">
        <v>1.4950079375000001</v>
      </c>
      <c r="AR564" s="49">
        <v>4.1973642499999997</v>
      </c>
      <c r="AS564" s="49">
        <v>10.33746318</v>
      </c>
      <c r="AT564" s="49">
        <v>0.68359074272999998</v>
      </c>
      <c r="AU564" s="49">
        <v>0.51664267600000002</v>
      </c>
      <c r="AV564" s="49">
        <v>0.37081708400000002</v>
      </c>
      <c r="AW564" s="49">
        <v>2831.11</v>
      </c>
      <c r="AX564" s="49">
        <v>325.62479999999999</v>
      </c>
      <c r="AY564" s="49">
        <v>244.17192270505001</v>
      </c>
      <c r="AZ564" s="49">
        <v>643.19519066147996</v>
      </c>
      <c r="BA564" s="49">
        <v>759.89510489510997</v>
      </c>
      <c r="BB564" s="49">
        <v>576.63424402804003</v>
      </c>
      <c r="BC564" s="49">
        <v>1.1982109700000001</v>
      </c>
      <c r="BD564" s="49">
        <v>2.1543000000000001</v>
      </c>
      <c r="BE564" s="49">
        <v>2.4466999999999999</v>
      </c>
      <c r="BF564" s="49">
        <v>44</v>
      </c>
      <c r="BG564" s="49">
        <v>232.9</v>
      </c>
      <c r="BH564" s="49">
        <v>200.5</v>
      </c>
      <c r="BI564" s="49">
        <v>229.5</v>
      </c>
      <c r="BJ564" s="49">
        <v>167.5</v>
      </c>
      <c r="BK564" s="49">
        <v>2861.4760000000001</v>
      </c>
      <c r="BL564" s="49">
        <v>67.3</v>
      </c>
      <c r="BM564" s="49">
        <v>8045.857</v>
      </c>
      <c r="BN564" s="49">
        <v>1166.857</v>
      </c>
      <c r="BO564" s="49">
        <v>8837.3809999999994</v>
      </c>
      <c r="BP564" s="49">
        <v>21077.143</v>
      </c>
      <c r="BQ564" s="49">
        <v>3565.69</v>
      </c>
      <c r="BR564" s="49">
        <v>675.39300000000003</v>
      </c>
      <c r="BS564" s="49">
        <v>1260.83</v>
      </c>
      <c r="BT564" s="49">
        <v>13.3772</v>
      </c>
      <c r="BU564" s="41"/>
      <c r="BV564" s="41"/>
      <c r="BW564" s="41"/>
      <c r="BX564" s="41"/>
      <c r="BY564" s="41"/>
      <c r="BZ564" s="41"/>
      <c r="CA564" s="41"/>
      <c r="CB564" s="41"/>
      <c r="CC564" s="41"/>
      <c r="CD564" s="41"/>
      <c r="CE564" s="41"/>
      <c r="CF564" s="41"/>
      <c r="CG564" s="41"/>
      <c r="CH564" s="41"/>
      <c r="CI564" s="41"/>
      <c r="CJ564" s="41"/>
      <c r="CK564" s="41"/>
    </row>
    <row r="565" spans="1:89">
      <c r="A565" s="41" t="s">
        <v>694</v>
      </c>
      <c r="B565" s="51">
        <v>68.290151515150001</v>
      </c>
      <c r="C565" s="51">
        <v>68.857727272730003</v>
      </c>
      <c r="D565" s="51">
        <v>65.080909090909998</v>
      </c>
      <c r="E565" s="51">
        <v>70.931818181820006</v>
      </c>
      <c r="F565" s="51">
        <v>52.375</v>
      </c>
      <c r="G565" s="51">
        <v>52.375</v>
      </c>
      <c r="H565" s="51">
        <v>6.1931818181800002</v>
      </c>
      <c r="I565" s="51">
        <v>8.2899999999999991</v>
      </c>
      <c r="J565" s="51">
        <v>7.1</v>
      </c>
      <c r="K565" s="51">
        <v>119.42675585449</v>
      </c>
      <c r="L565" s="51">
        <v>1.607</v>
      </c>
      <c r="M565" s="51">
        <v>2.2740655300000001</v>
      </c>
      <c r="N565" s="51">
        <v>1.327842626</v>
      </c>
      <c r="O565" s="51">
        <v>1.97923213842</v>
      </c>
      <c r="P565" s="51">
        <v>1.7410631992100001</v>
      </c>
      <c r="Q565" s="51">
        <v>2.0716332160499999</v>
      </c>
      <c r="R565" s="51">
        <v>2.125</v>
      </c>
      <c r="S565" s="51">
        <v>575</v>
      </c>
      <c r="T565" s="51">
        <v>795.91</v>
      </c>
      <c r="U565" s="51">
        <v>733.36180242633998</v>
      </c>
      <c r="V565" s="51">
        <v>957.01</v>
      </c>
      <c r="W565" s="51">
        <v>478.16</v>
      </c>
      <c r="X565" s="51">
        <v>534.77</v>
      </c>
      <c r="Y565" s="51">
        <v>267</v>
      </c>
      <c r="Z565" s="51">
        <v>600.54999999999995</v>
      </c>
      <c r="AA565" s="51">
        <v>215.91</v>
      </c>
      <c r="AB565" s="51">
        <v>829.91</v>
      </c>
      <c r="AC565" s="51">
        <v>666</v>
      </c>
      <c r="AD565" s="51">
        <v>106.8823855</v>
      </c>
      <c r="AE565" s="51">
        <v>109.403672</v>
      </c>
      <c r="AF565" s="51">
        <v>111.88446500000001</v>
      </c>
      <c r="AG565" s="51">
        <v>312.5</v>
      </c>
      <c r="AH565" s="51">
        <v>280.5</v>
      </c>
      <c r="AI565" s="51">
        <v>216.5</v>
      </c>
      <c r="AJ565" s="51">
        <v>259.42750000000001</v>
      </c>
      <c r="AK565" s="51">
        <v>140.14035738000001</v>
      </c>
      <c r="AL565" s="51">
        <v>195.164003205</v>
      </c>
      <c r="AM565" s="51">
        <v>0.95436690825000003</v>
      </c>
      <c r="AN565" s="51">
        <v>0.65450843749999998</v>
      </c>
      <c r="AO565" s="51">
        <v>0.66583920377000005</v>
      </c>
      <c r="AP565" s="51">
        <v>2.57499616</v>
      </c>
      <c r="AQ565" s="51">
        <v>1.5207638346200001</v>
      </c>
      <c r="AR565" s="51">
        <v>4.1939624999999996</v>
      </c>
      <c r="AS565" s="51">
        <v>10.48517272</v>
      </c>
      <c r="AT565" s="51">
        <v>0.67401633079000001</v>
      </c>
      <c r="AU565" s="51">
        <v>0.51416748899999998</v>
      </c>
      <c r="AV565" s="51">
        <v>0.33951147999999998</v>
      </c>
      <c r="AW565" s="51">
        <v>2854.88</v>
      </c>
      <c r="AX565" s="51">
        <v>309.92500000000001</v>
      </c>
      <c r="AY565" s="51">
        <v>238.46360007977</v>
      </c>
      <c r="AZ565" s="51">
        <v>621.56715890070996</v>
      </c>
      <c r="BA565" s="51">
        <v>749.26677499752998</v>
      </c>
      <c r="BB565" s="51">
        <v>611.17436280707</v>
      </c>
      <c r="BC565" s="51">
        <v>1.21584793</v>
      </c>
      <c r="BD565" s="51">
        <v>2.3492000000000002</v>
      </c>
      <c r="BE565" s="51">
        <v>2.7031000000000001</v>
      </c>
      <c r="BF565" s="51">
        <v>44</v>
      </c>
      <c r="BG565" s="51">
        <v>232.375</v>
      </c>
      <c r="BH565" s="51">
        <v>200.5</v>
      </c>
      <c r="BI565" s="51">
        <v>210</v>
      </c>
      <c r="BJ565" s="51">
        <v>167.5</v>
      </c>
      <c r="BK565" s="51">
        <v>2477.3409999999999</v>
      </c>
      <c r="BL565" s="51">
        <v>69.3</v>
      </c>
      <c r="BM565" s="51">
        <v>7197.6139999999996</v>
      </c>
      <c r="BN565" s="51">
        <v>963.86400000000003</v>
      </c>
      <c r="BO565" s="51">
        <v>7896.3639999999996</v>
      </c>
      <c r="BP565" s="51">
        <v>20754.544999999998</v>
      </c>
      <c r="BQ565" s="51">
        <v>3225.6819999999998</v>
      </c>
      <c r="BR565" s="51">
        <v>596.14499999999998</v>
      </c>
      <c r="BS565" s="51">
        <v>1188.55</v>
      </c>
      <c r="BT565" s="51">
        <v>10.7964</v>
      </c>
      <c r="BU565" s="41"/>
      <c r="BV565" s="41"/>
      <c r="BW565" s="41"/>
      <c r="BX565" s="41"/>
      <c r="BY565" s="41"/>
      <c r="BZ565" s="41"/>
      <c r="CA565" s="41"/>
      <c r="CB565" s="41"/>
      <c r="CC565" s="41"/>
      <c r="CD565" s="41"/>
      <c r="CE565" s="41"/>
      <c r="CF565" s="41"/>
      <c r="CG565" s="41"/>
      <c r="CH565" s="41"/>
      <c r="CI565" s="41"/>
      <c r="CJ565" s="41"/>
      <c r="CK565" s="41"/>
    </row>
    <row r="566" spans="1:89">
      <c r="A566" s="48" t="s">
        <v>695</v>
      </c>
      <c r="B566" s="49">
        <v>72.450133667499998</v>
      </c>
      <c r="C566" s="49">
        <v>73.897142857139997</v>
      </c>
      <c r="D566" s="49">
        <v>69.04904761905</v>
      </c>
      <c r="E566" s="49">
        <v>74.40421052632</v>
      </c>
      <c r="F566" s="49">
        <v>52.75</v>
      </c>
      <c r="G566" s="49">
        <v>51.68</v>
      </c>
      <c r="H566" s="49">
        <v>6.25</v>
      </c>
      <c r="I566" s="49">
        <v>8.58</v>
      </c>
      <c r="J566" s="49">
        <v>6.86</v>
      </c>
      <c r="K566" s="49">
        <v>121.33277363964</v>
      </c>
      <c r="L566" s="49">
        <v>1.6790833333299999</v>
      </c>
      <c r="M566" s="49">
        <v>2.314851</v>
      </c>
      <c r="N566" s="49">
        <v>1.421759438</v>
      </c>
      <c r="O566" s="49">
        <v>2.0049564280699999</v>
      </c>
      <c r="P566" s="49">
        <v>1.8326320301500001</v>
      </c>
      <c r="Q566" s="49">
        <v>2.03223725407</v>
      </c>
      <c r="R566" s="49">
        <v>2.15</v>
      </c>
      <c r="S566" s="49">
        <v>583.25</v>
      </c>
      <c r="T566" s="49">
        <v>851.43</v>
      </c>
      <c r="U566" s="49">
        <v>759.44152512998005</v>
      </c>
      <c r="V566" s="49">
        <v>990.51</v>
      </c>
      <c r="W566" s="49">
        <v>499.21</v>
      </c>
      <c r="X566" s="49">
        <v>555.71</v>
      </c>
      <c r="Y566" s="49">
        <v>271.75</v>
      </c>
      <c r="Z566" s="49">
        <v>630.01</v>
      </c>
      <c r="AA566" s="49">
        <v>215.38</v>
      </c>
      <c r="AB566" s="49">
        <v>820.58</v>
      </c>
      <c r="AC566" s="49">
        <v>647</v>
      </c>
      <c r="AD566" s="49">
        <v>112.0984874</v>
      </c>
      <c r="AE566" s="49">
        <v>113.99108</v>
      </c>
      <c r="AF566" s="49">
        <v>119.98644349999999</v>
      </c>
      <c r="AG566" s="49">
        <v>315.39999999999998</v>
      </c>
      <c r="AH566" s="49">
        <v>286.60000000000002</v>
      </c>
      <c r="AI566" s="49">
        <v>218.6</v>
      </c>
      <c r="AJ566" s="49">
        <v>257.43</v>
      </c>
      <c r="AK566" s="49">
        <v>143.85146804999999</v>
      </c>
      <c r="AL566" s="49">
        <v>202.42861353947001</v>
      </c>
      <c r="AM566" s="49">
        <v>0.75000462589000005</v>
      </c>
      <c r="AN566" s="49">
        <v>0.55977695312999998</v>
      </c>
      <c r="AO566" s="49">
        <v>0.73440007405999996</v>
      </c>
      <c r="AP566" s="49">
        <v>2.620852256</v>
      </c>
      <c r="AQ566" s="49">
        <v>1.5395596333299999</v>
      </c>
      <c r="AR566" s="49">
        <v>4.1406106500000002</v>
      </c>
      <c r="AS566" s="49">
        <v>10.44548956</v>
      </c>
      <c r="AT566" s="49">
        <v>0.63012455999999994</v>
      </c>
      <c r="AU566" s="49">
        <v>0.49171844479999999</v>
      </c>
      <c r="AV566" s="49">
        <v>0.35384151000000003</v>
      </c>
      <c r="AW566" s="49">
        <v>2955.27</v>
      </c>
      <c r="AX566" s="49">
        <v>312.33611250000001</v>
      </c>
      <c r="AY566" s="49">
        <v>236.11673167315001</v>
      </c>
      <c r="AZ566" s="49">
        <v>621.87794248015996</v>
      </c>
      <c r="BA566" s="49">
        <v>749.62037526562995</v>
      </c>
      <c r="BB566" s="49">
        <v>635.41738709454</v>
      </c>
      <c r="BC566" s="49">
        <v>1.2213594800000001</v>
      </c>
      <c r="BD566" s="49">
        <v>2.3081</v>
      </c>
      <c r="BE566" s="49">
        <v>2.4832999999999998</v>
      </c>
      <c r="BF566" s="49">
        <v>44</v>
      </c>
      <c r="BG566" s="49">
        <v>230.3</v>
      </c>
      <c r="BH566" s="49">
        <v>202</v>
      </c>
      <c r="BI566" s="49">
        <v>205.5</v>
      </c>
      <c r="BJ566" s="49">
        <v>172.5</v>
      </c>
      <c r="BK566" s="49">
        <v>2512.7139999999999</v>
      </c>
      <c r="BL566" s="49">
        <v>70.5</v>
      </c>
      <c r="BM566" s="49">
        <v>7712.0950000000003</v>
      </c>
      <c r="BN566" s="49">
        <v>1052.3810000000001</v>
      </c>
      <c r="BO566" s="49">
        <v>8418.5709999999999</v>
      </c>
      <c r="BP566" s="49">
        <v>26586.19</v>
      </c>
      <c r="BQ566" s="49">
        <v>3339.857</v>
      </c>
      <c r="BR566" s="49">
        <v>633.71</v>
      </c>
      <c r="BS566" s="49">
        <v>1228.83</v>
      </c>
      <c r="BT566" s="49">
        <v>11.2324</v>
      </c>
      <c r="BU566" s="41"/>
      <c r="BV566" s="41"/>
      <c r="BW566" s="41"/>
      <c r="BX566" s="41"/>
      <c r="BY566" s="41"/>
      <c r="BZ566" s="41"/>
      <c r="CA566" s="41"/>
      <c r="CB566" s="41"/>
      <c r="CC566" s="41"/>
      <c r="CD566" s="41"/>
      <c r="CE566" s="41"/>
      <c r="CF566" s="41"/>
      <c r="CG566" s="41"/>
      <c r="CH566" s="41"/>
      <c r="CI566" s="41"/>
      <c r="CJ566" s="41"/>
      <c r="CK566" s="41"/>
    </row>
    <row r="567" spans="1:89">
      <c r="A567" s="41" t="s">
        <v>696</v>
      </c>
      <c r="B567" s="51">
        <v>71.811884057970005</v>
      </c>
      <c r="C567" s="51">
        <v>73.612173913039996</v>
      </c>
      <c r="D567" s="51">
        <v>68.781739130429997</v>
      </c>
      <c r="E567" s="51">
        <v>73.041739130430003</v>
      </c>
      <c r="F567" s="51">
        <v>50.9375</v>
      </c>
      <c r="G567" s="51">
        <v>53.587499999999999</v>
      </c>
      <c r="H567" s="51">
        <v>6.9950000000000001</v>
      </c>
      <c r="I567" s="51">
        <v>8.7100000000000009</v>
      </c>
      <c r="J567" s="51">
        <v>7.23</v>
      </c>
      <c r="K567" s="51">
        <v>131.24827572862</v>
      </c>
      <c r="L567" s="51">
        <v>1.6207134782599999</v>
      </c>
      <c r="M567" s="51">
        <v>2.4632219260000001</v>
      </c>
      <c r="N567" s="51">
        <v>1.622379858</v>
      </c>
      <c r="O567" s="51">
        <v>1.9545238950299999</v>
      </c>
      <c r="P567" s="51">
        <v>1.89781232897</v>
      </c>
      <c r="Q567" s="51">
        <v>1.8782593561100001</v>
      </c>
      <c r="R567" s="51">
        <v>2.0874999999999999</v>
      </c>
      <c r="S567" s="51">
        <v>606</v>
      </c>
      <c r="T567" s="51">
        <v>880</v>
      </c>
      <c r="U567" s="51">
        <v>777.17573656846002</v>
      </c>
      <c r="V567" s="51">
        <v>1041.92</v>
      </c>
      <c r="W567" s="51">
        <v>534.26</v>
      </c>
      <c r="X567" s="51">
        <v>566.85</v>
      </c>
      <c r="Y567" s="51">
        <v>262</v>
      </c>
      <c r="Z567" s="51">
        <v>632.17999999999995</v>
      </c>
      <c r="AA567" s="51">
        <v>222.65</v>
      </c>
      <c r="AB567" s="51">
        <v>809.12</v>
      </c>
      <c r="AC567" s="51">
        <v>666</v>
      </c>
      <c r="AD567" s="51">
        <v>114.5306653</v>
      </c>
      <c r="AE567" s="51">
        <v>116.58833199999999</v>
      </c>
      <c r="AF567" s="51">
        <v>114.4418242</v>
      </c>
      <c r="AG567" s="51">
        <v>312.66666666666998</v>
      </c>
      <c r="AH567" s="51">
        <v>284.33333333333002</v>
      </c>
      <c r="AI567" s="51">
        <v>220</v>
      </c>
      <c r="AJ567" s="51">
        <v>263.62799999999999</v>
      </c>
      <c r="AK567" s="51">
        <v>148.3617535425</v>
      </c>
      <c r="AL567" s="51">
        <v>189.91466889546001</v>
      </c>
      <c r="AM567" s="51">
        <v>0.75785438251000004</v>
      </c>
      <c r="AN567" s="51">
        <v>0.54151961250000002</v>
      </c>
      <c r="AO567" s="51">
        <v>0.83083657723000004</v>
      </c>
      <c r="AP567" s="51">
        <v>2.663842346</v>
      </c>
      <c r="AQ567" s="51">
        <v>1.55256123846</v>
      </c>
      <c r="AR567" s="51">
        <v>4.1168399999999998</v>
      </c>
      <c r="AS567" s="51">
        <v>9.6452124999999995</v>
      </c>
      <c r="AT567" s="51">
        <v>0.63646559999999996</v>
      </c>
      <c r="AU567" s="51">
        <v>0.47150112087000001</v>
      </c>
      <c r="AV567" s="51">
        <v>0.29797835626000002</v>
      </c>
      <c r="AW567" s="51">
        <v>3038.08</v>
      </c>
      <c r="AX567" s="51">
        <v>317.07225</v>
      </c>
      <c r="AY567" s="51">
        <v>240.03379448072999</v>
      </c>
      <c r="AZ567" s="51">
        <v>637.42489104215997</v>
      </c>
      <c r="BA567" s="51">
        <v>769.30412352335998</v>
      </c>
      <c r="BB567" s="51">
        <v>638.58944221801005</v>
      </c>
      <c r="BC567" s="51">
        <v>1.32056738</v>
      </c>
      <c r="BD567" s="51">
        <v>2.1356999999999999</v>
      </c>
      <c r="BE567" s="51">
        <v>2.1756000000000002</v>
      </c>
      <c r="BF567" s="51">
        <v>44</v>
      </c>
      <c r="BG567" s="51">
        <v>228.25</v>
      </c>
      <c r="BH567" s="51">
        <v>202</v>
      </c>
      <c r="BI567" s="51">
        <v>210.5</v>
      </c>
      <c r="BJ567" s="51">
        <v>192.5</v>
      </c>
      <c r="BK567" s="51">
        <v>2459.9319999999998</v>
      </c>
      <c r="BL567" s="51">
        <v>69.8</v>
      </c>
      <c r="BM567" s="51">
        <v>7695.6589999999997</v>
      </c>
      <c r="BN567" s="51">
        <v>1174.136</v>
      </c>
      <c r="BO567" s="51">
        <v>8502.0450000000001</v>
      </c>
      <c r="BP567" s="51">
        <v>30743.635999999999</v>
      </c>
      <c r="BQ567" s="51">
        <v>3347.2950000000001</v>
      </c>
      <c r="BR567" s="51">
        <v>632.59299999999996</v>
      </c>
      <c r="BS567" s="51">
        <v>1233.52</v>
      </c>
      <c r="BT567" s="51">
        <v>12.1874</v>
      </c>
      <c r="BU567" s="41"/>
      <c r="BV567" s="41"/>
      <c r="BW567" s="41"/>
      <c r="BX567" s="41"/>
      <c r="BY567" s="41"/>
      <c r="BZ567" s="41"/>
      <c r="CA567" s="41"/>
      <c r="CB567" s="41"/>
      <c r="CC567" s="41"/>
      <c r="CD567" s="41"/>
      <c r="CE567" s="41"/>
      <c r="CF567" s="41"/>
      <c r="CG567" s="41"/>
      <c r="CH567" s="41"/>
      <c r="CI567" s="41"/>
      <c r="CJ567" s="41"/>
      <c r="CK567" s="41"/>
    </row>
    <row r="568" spans="1:89">
      <c r="A568" s="48" t="s">
        <v>697</v>
      </c>
      <c r="B568" s="49">
        <v>62.121253968250002</v>
      </c>
      <c r="C568" s="49">
        <v>62.771904761899997</v>
      </c>
      <c r="D568" s="49">
        <v>59.772857142859998</v>
      </c>
      <c r="E568" s="49">
        <v>63.819000000000003</v>
      </c>
      <c r="F568" s="49">
        <v>47.1</v>
      </c>
      <c r="G568" s="49">
        <v>48.75</v>
      </c>
      <c r="H568" s="49">
        <v>4.8623809523799997</v>
      </c>
      <c r="I568" s="49">
        <v>8.77</v>
      </c>
      <c r="J568" s="49">
        <v>7.65</v>
      </c>
      <c r="K568" s="49">
        <v>105.9208730834</v>
      </c>
      <c r="L568" s="49">
        <v>1.5687619047600001</v>
      </c>
      <c r="M568" s="49">
        <v>2.421334146</v>
      </c>
      <c r="N568" s="49">
        <v>1.699982482</v>
      </c>
      <c r="O568" s="49">
        <v>1.90713642501</v>
      </c>
      <c r="P568" s="49">
        <v>1.99604264885</v>
      </c>
      <c r="Q568" s="49">
        <v>1.8578666261900001</v>
      </c>
      <c r="R568" s="49">
        <v>1.8674999999999999</v>
      </c>
      <c r="S568" s="49">
        <v>609</v>
      </c>
      <c r="T568" s="49">
        <v>913.47826086957002</v>
      </c>
      <c r="U568" s="49">
        <v>802.21227036394998</v>
      </c>
      <c r="V568" s="49">
        <v>1079.22</v>
      </c>
      <c r="W568" s="49">
        <v>511.24</v>
      </c>
      <c r="X568" s="49">
        <v>543.57000000000005</v>
      </c>
      <c r="Y568" s="49">
        <v>258</v>
      </c>
      <c r="Z568" s="49">
        <v>602.35</v>
      </c>
      <c r="AA568" s="49">
        <v>232.05</v>
      </c>
      <c r="AB568" s="49">
        <v>785.73</v>
      </c>
      <c r="AC568" s="49">
        <v>669</v>
      </c>
      <c r="AD568" s="49">
        <v>115.44458849999999</v>
      </c>
      <c r="AE568" s="49">
        <v>121.74554000000001</v>
      </c>
      <c r="AF568" s="49">
        <v>119.5455195</v>
      </c>
      <c r="AG568" s="49">
        <v>309.2</v>
      </c>
      <c r="AH568" s="49">
        <v>282.8</v>
      </c>
      <c r="AI568" s="49">
        <v>224.4</v>
      </c>
      <c r="AJ568" s="49">
        <v>267.70999999999998</v>
      </c>
      <c r="AK568" s="49">
        <v>166.88515618125001</v>
      </c>
      <c r="AL568" s="49">
        <v>195.9815498625</v>
      </c>
      <c r="AM568" s="49">
        <v>0.79618066241999996</v>
      </c>
      <c r="AN568" s="49">
        <v>0.54427543749999996</v>
      </c>
      <c r="AO568" s="49">
        <v>0.87862546213000003</v>
      </c>
      <c r="AP568" s="49">
        <v>2.6759677559999999</v>
      </c>
      <c r="AQ568" s="49">
        <v>1.5589207192300001</v>
      </c>
      <c r="AR568" s="49">
        <v>3.9989560000000002</v>
      </c>
      <c r="AS568" s="49">
        <v>9.1227175599999999</v>
      </c>
      <c r="AT568" s="49">
        <v>0.63229865142999997</v>
      </c>
      <c r="AU568" s="49">
        <v>0.46653066129999998</v>
      </c>
      <c r="AV568" s="49">
        <v>0.266318096</v>
      </c>
      <c r="AW568" s="49">
        <v>3119.58</v>
      </c>
      <c r="AX568" s="49">
        <v>314.99324999999999</v>
      </c>
      <c r="AY568" s="49">
        <v>246.47282603335</v>
      </c>
      <c r="AZ568" s="49">
        <v>639.49926034058001</v>
      </c>
      <c r="BA568" s="49">
        <v>766.66228243983005</v>
      </c>
      <c r="BB568" s="49">
        <v>640.97907416983003</v>
      </c>
      <c r="BC568" s="49">
        <v>1.29741887</v>
      </c>
      <c r="BD568" s="49">
        <v>1.8115000000000001</v>
      </c>
      <c r="BE568" s="49">
        <v>1.8089999999999999</v>
      </c>
      <c r="BF568" s="49">
        <v>44</v>
      </c>
      <c r="BG568" s="49">
        <v>225.125</v>
      </c>
      <c r="BH568" s="49">
        <v>202</v>
      </c>
      <c r="BI568" s="49">
        <v>215.125</v>
      </c>
      <c r="BJ568" s="49">
        <v>192.5</v>
      </c>
      <c r="BK568" s="49">
        <v>2472.8809999999999</v>
      </c>
      <c r="BL568" s="49">
        <v>70</v>
      </c>
      <c r="BM568" s="49">
        <v>7602.357</v>
      </c>
      <c r="BN568" s="49">
        <v>1342.3810000000001</v>
      </c>
      <c r="BO568" s="49">
        <v>9039.2860000000001</v>
      </c>
      <c r="BP568" s="49">
        <v>30130.714</v>
      </c>
      <c r="BQ568" s="49">
        <v>3403.0239999999999</v>
      </c>
      <c r="BR568" s="49">
        <v>598.18600000000004</v>
      </c>
      <c r="BS568" s="49">
        <v>1183.5999999999999</v>
      </c>
      <c r="BT568" s="49">
        <v>11.6769</v>
      </c>
      <c r="BU568" s="41"/>
      <c r="BV568" s="41"/>
      <c r="BW568" s="41"/>
      <c r="BX568" s="41"/>
      <c r="BY568" s="41"/>
      <c r="BZ568" s="41"/>
      <c r="CA568" s="41"/>
      <c r="CB568" s="41"/>
      <c r="CC568" s="41"/>
      <c r="CD568" s="41"/>
      <c r="CE568" s="41"/>
      <c r="CF568" s="41"/>
      <c r="CG568" s="41"/>
      <c r="CH568" s="41"/>
      <c r="CI568" s="41"/>
      <c r="CJ568" s="41"/>
      <c r="CK568" s="41"/>
    </row>
    <row r="569" spans="1:89">
      <c r="A569" s="41" t="s">
        <v>698</v>
      </c>
      <c r="B569" s="51">
        <v>57.910468975470003</v>
      </c>
      <c r="C569" s="51">
        <v>58.38</v>
      </c>
      <c r="D569" s="51">
        <v>56.500952380949997</v>
      </c>
      <c r="E569" s="51">
        <v>58.850454545449999</v>
      </c>
      <c r="F569" s="51">
        <v>44.05</v>
      </c>
      <c r="G569" s="51">
        <v>49.212499999999999</v>
      </c>
      <c r="H569" s="51">
        <v>5.9625000000000004</v>
      </c>
      <c r="I569" s="51">
        <v>8.9700000000000006</v>
      </c>
      <c r="J569" s="51">
        <v>7.2</v>
      </c>
      <c r="K569" s="51">
        <v>119.92595113195</v>
      </c>
      <c r="L569" s="51">
        <v>1.53022636364</v>
      </c>
      <c r="M569" s="51">
        <v>2.4389711059999999</v>
      </c>
      <c r="N569" s="51">
        <v>1.657212854</v>
      </c>
      <c r="O569" s="51">
        <v>1.85270565144</v>
      </c>
      <c r="P569" s="51">
        <v>1.98287255601</v>
      </c>
      <c r="Q569" s="51">
        <v>1.83924439831</v>
      </c>
      <c r="R569" s="51">
        <v>1.736</v>
      </c>
      <c r="S569" s="51">
        <v>626</v>
      </c>
      <c r="T569" s="51">
        <v>937.39130434782999</v>
      </c>
      <c r="U569" s="51">
        <v>859.58766031196001</v>
      </c>
      <c r="V569" s="51">
        <v>1102.31</v>
      </c>
      <c r="W569" s="51">
        <v>514.17999999999995</v>
      </c>
      <c r="X569" s="51">
        <v>557.61</v>
      </c>
      <c r="Y569" s="51">
        <v>273</v>
      </c>
      <c r="Z569" s="51">
        <v>614.71</v>
      </c>
      <c r="AA569" s="51">
        <v>243.98</v>
      </c>
      <c r="AB569" s="51">
        <v>784.4</v>
      </c>
      <c r="AC569" s="51">
        <v>666</v>
      </c>
      <c r="AD569" s="51">
        <v>136.5974641</v>
      </c>
      <c r="AE569" s="51">
        <v>142.16768999999999</v>
      </c>
      <c r="AF569" s="51">
        <v>138.22967399999999</v>
      </c>
      <c r="AG569" s="51">
        <v>301</v>
      </c>
      <c r="AH569" s="51">
        <v>274.75</v>
      </c>
      <c r="AI569" s="51">
        <v>223.5</v>
      </c>
      <c r="AJ569" s="51">
        <v>283.21249999999998</v>
      </c>
      <c r="AK569" s="51">
        <v>197.772803775</v>
      </c>
      <c r="AL569" s="51">
        <v>212.09408658213999</v>
      </c>
      <c r="AM569" s="51">
        <v>0.78628438544000001</v>
      </c>
      <c r="AN569" s="51">
        <v>0.54944260938</v>
      </c>
      <c r="AO569" s="51">
        <v>1.03599630919</v>
      </c>
      <c r="AP569" s="51">
        <v>2.6900773240000002</v>
      </c>
      <c r="AQ569" s="51">
        <v>1.53542597083</v>
      </c>
      <c r="AR569" s="51">
        <v>3.9750000000000001</v>
      </c>
      <c r="AS569" s="51">
        <v>8.6839981799999997</v>
      </c>
      <c r="AT569" s="51">
        <v>0.62651673817999998</v>
      </c>
      <c r="AU569" s="51">
        <v>0.44794872099999999</v>
      </c>
      <c r="AV569" s="51">
        <v>0.25661776800000002</v>
      </c>
      <c r="AW569" s="51">
        <v>3152.8</v>
      </c>
      <c r="AX569" s="51">
        <v>316.85137500000002</v>
      </c>
      <c r="AY569" s="51">
        <v>245.31882419775999</v>
      </c>
      <c r="AZ569" s="51">
        <v>642.02498238349006</v>
      </c>
      <c r="BA569" s="51">
        <v>762.06954332538999</v>
      </c>
      <c r="BB569" s="51">
        <v>632.07076495731997</v>
      </c>
      <c r="BC569" s="51">
        <v>1.25773571</v>
      </c>
      <c r="BD569" s="51">
        <v>1.7926</v>
      </c>
      <c r="BE569" s="51">
        <v>1.8202</v>
      </c>
      <c r="BF569" s="51">
        <v>44</v>
      </c>
      <c r="BG569" s="51">
        <v>218.5</v>
      </c>
      <c r="BH569" s="51">
        <v>202</v>
      </c>
      <c r="BI569" s="51">
        <v>209.2</v>
      </c>
      <c r="BJ569" s="51">
        <v>192.5</v>
      </c>
      <c r="BK569" s="51">
        <v>2654.5909999999999</v>
      </c>
      <c r="BL569" s="51">
        <v>71.7</v>
      </c>
      <c r="BM569" s="51">
        <v>7500.3860000000004</v>
      </c>
      <c r="BN569" s="51">
        <v>1531.136</v>
      </c>
      <c r="BO569" s="51">
        <v>9768.1820000000007</v>
      </c>
      <c r="BP569" s="51">
        <v>32702.955000000002</v>
      </c>
      <c r="BQ569" s="51">
        <v>3822.9549999999999</v>
      </c>
      <c r="BR569" s="51">
        <v>585.78</v>
      </c>
      <c r="BS569" s="51">
        <v>1082.45</v>
      </c>
      <c r="BT569" s="51">
        <v>11.5586</v>
      </c>
      <c r="BU569" s="41"/>
      <c r="BV569" s="41"/>
      <c r="BW569" s="41"/>
      <c r="BX569" s="41"/>
      <c r="BY569" s="41"/>
      <c r="BZ569" s="41"/>
      <c r="CA569" s="41"/>
      <c r="CB569" s="41"/>
      <c r="CC569" s="41"/>
      <c r="CD569" s="41"/>
      <c r="CE569" s="41"/>
      <c r="CF569" s="41"/>
      <c r="CG569" s="41"/>
      <c r="CH569" s="41"/>
      <c r="CI569" s="41"/>
      <c r="CJ569" s="41"/>
      <c r="CK569" s="41"/>
    </row>
    <row r="570" spans="1:89">
      <c r="A570" s="48" t="s">
        <v>699</v>
      </c>
      <c r="B570" s="49">
        <v>58.143045454549998</v>
      </c>
      <c r="C570" s="49">
        <v>58.48318181818</v>
      </c>
      <c r="D570" s="49">
        <v>56.815454545450002</v>
      </c>
      <c r="E570" s="49">
        <v>59.130499999999998</v>
      </c>
      <c r="F570" s="49">
        <v>46</v>
      </c>
      <c r="G570" s="49">
        <v>48.2</v>
      </c>
      <c r="H570" s="49">
        <v>7.4536363636400003</v>
      </c>
      <c r="I570" s="49">
        <v>8.99</v>
      </c>
      <c r="J570" s="49">
        <v>7.21</v>
      </c>
      <c r="K570" s="49">
        <v>138.13523053887999</v>
      </c>
      <c r="L570" s="49">
        <v>1.58116636364</v>
      </c>
      <c r="M570" s="49">
        <v>2.6955888739999998</v>
      </c>
      <c r="N570" s="49">
        <v>1.6929276980000001</v>
      </c>
      <c r="O570" s="49">
        <v>1.78585838118</v>
      </c>
      <c r="P570" s="49">
        <v>1.92753785838</v>
      </c>
      <c r="Q570" s="49">
        <v>1.7075372851499999</v>
      </c>
      <c r="R570" s="49">
        <v>1.7224999999999999</v>
      </c>
      <c r="S570" s="49">
        <v>656</v>
      </c>
      <c r="T570" s="49">
        <v>1044.52173913043</v>
      </c>
      <c r="U570" s="49">
        <v>848.83</v>
      </c>
      <c r="V570" s="49">
        <v>1102.31</v>
      </c>
      <c r="W570" s="49">
        <v>571.57000000000005</v>
      </c>
      <c r="X570" s="49">
        <v>594.42999999999995</v>
      </c>
      <c r="Y570" s="49">
        <v>300</v>
      </c>
      <c r="Z570" s="49">
        <v>675.67</v>
      </c>
      <c r="AA570" s="49">
        <v>248.32</v>
      </c>
      <c r="AB570" s="49">
        <v>822.39</v>
      </c>
      <c r="AC570" s="49">
        <v>722</v>
      </c>
      <c r="AD570" s="49">
        <v>148.14787559999999</v>
      </c>
      <c r="AE570" s="49">
        <v>164.538556</v>
      </c>
      <c r="AF570" s="49">
        <v>167.0881498</v>
      </c>
      <c r="AG570" s="49">
        <v>296.25</v>
      </c>
      <c r="AH570" s="49">
        <v>273.25</v>
      </c>
      <c r="AI570" s="49">
        <v>220.75</v>
      </c>
      <c r="AJ570" s="49" t="s">
        <v>1574</v>
      </c>
      <c r="AK570" s="49">
        <v>192.94101117</v>
      </c>
      <c r="AL570" s="49">
        <v>209.68065367105001</v>
      </c>
      <c r="AM570" s="49">
        <v>0.85896492276000003</v>
      </c>
      <c r="AN570" s="49">
        <v>0.598014025</v>
      </c>
      <c r="AO570" s="49">
        <v>0.93111678649999996</v>
      </c>
      <c r="AP570" s="49">
        <v>2.77230965</v>
      </c>
      <c r="AQ570" s="49">
        <v>1.5211878000000001</v>
      </c>
      <c r="AR570" s="49">
        <v>3.9476605</v>
      </c>
      <c r="AS570" s="49">
        <v>8.5980179999999997</v>
      </c>
      <c r="AT570" s="49">
        <v>0.63994840364000005</v>
      </c>
      <c r="AU570" s="49">
        <v>0.43561086580000002</v>
      </c>
      <c r="AV570" s="49">
        <v>0.25970423599999998</v>
      </c>
      <c r="AW570" s="49">
        <v>3149.23</v>
      </c>
      <c r="AX570" s="49">
        <v>328.46550000000002</v>
      </c>
      <c r="AY570" s="49">
        <v>256.02106610911</v>
      </c>
      <c r="AZ570" s="49">
        <v>656.75191952834996</v>
      </c>
      <c r="BA570" s="49">
        <v>776.98578452007996</v>
      </c>
      <c r="BB570" s="49">
        <v>639.13010132343004</v>
      </c>
      <c r="BC570" s="49">
        <v>1.2654518800000001</v>
      </c>
      <c r="BD570" s="49">
        <v>1.615</v>
      </c>
      <c r="BE570" s="49">
        <v>1.6243000000000001</v>
      </c>
      <c r="BF570" s="49">
        <v>44</v>
      </c>
      <c r="BG570" s="49">
        <v>219.375</v>
      </c>
      <c r="BH570" s="49">
        <v>202</v>
      </c>
      <c r="BI570" s="49">
        <v>227.375</v>
      </c>
      <c r="BJ570" s="49">
        <v>192.5</v>
      </c>
      <c r="BK570" s="49">
        <v>2702.7950000000001</v>
      </c>
      <c r="BL570" s="49">
        <v>73.5</v>
      </c>
      <c r="BM570" s="49">
        <v>7029.1819999999998</v>
      </c>
      <c r="BN570" s="49">
        <v>1624.5229999999999</v>
      </c>
      <c r="BO570" s="49">
        <v>10079.091</v>
      </c>
      <c r="BP570" s="49">
        <v>32113.864000000001</v>
      </c>
      <c r="BQ570" s="49">
        <v>4382.2269999999999</v>
      </c>
      <c r="BR570" s="49">
        <v>627.827</v>
      </c>
      <c r="BS570" s="49">
        <v>1183</v>
      </c>
      <c r="BT570" s="49">
        <v>12.931100000000001</v>
      </c>
      <c r="BU570" s="41"/>
      <c r="BV570" s="41"/>
      <c r="BW570" s="41"/>
      <c r="BX570" s="41"/>
      <c r="BY570" s="41"/>
      <c r="BZ570" s="41"/>
      <c r="CA570" s="41"/>
      <c r="CB570" s="41"/>
      <c r="CC570" s="41"/>
      <c r="CD570" s="41"/>
      <c r="CE570" s="41"/>
      <c r="CF570" s="41"/>
      <c r="CG570" s="41"/>
      <c r="CH570" s="41"/>
      <c r="CI570" s="41"/>
      <c r="CJ570" s="41"/>
      <c r="CK570" s="41"/>
    </row>
    <row r="571" spans="1:89">
      <c r="A571" s="41" t="s">
        <v>700</v>
      </c>
      <c r="B571" s="51">
        <v>60.994412280699997</v>
      </c>
      <c r="C571" s="51">
        <v>62.314736842110001</v>
      </c>
      <c r="D571" s="51">
        <v>58.669499999999999</v>
      </c>
      <c r="E571" s="51">
        <v>61.999000000000002</v>
      </c>
      <c r="F571" s="51">
        <v>49.75</v>
      </c>
      <c r="G571" s="51">
        <v>50.6875</v>
      </c>
      <c r="H571" s="51">
        <v>6.5780952381000004</v>
      </c>
      <c r="I571" s="51">
        <v>8.92</v>
      </c>
      <c r="J571" s="51">
        <v>7.35</v>
      </c>
      <c r="K571" s="51">
        <v>127.26527920283</v>
      </c>
      <c r="L571" s="51">
        <v>1.70717809524</v>
      </c>
      <c r="M571" s="51">
        <v>2.8316139279999999</v>
      </c>
      <c r="N571" s="51">
        <v>1.6902821539999999</v>
      </c>
      <c r="O571" s="51">
        <v>1.82841654409</v>
      </c>
      <c r="P571" s="51">
        <v>2.1229676157599999</v>
      </c>
      <c r="Q571" s="51">
        <v>1.64894868319</v>
      </c>
      <c r="R571" s="51">
        <v>1.71333333333</v>
      </c>
      <c r="S571" s="51">
        <v>731.66666666667004</v>
      </c>
      <c r="T571" s="51">
        <v>1037.8260869565199</v>
      </c>
      <c r="U571" s="51">
        <v>872.91</v>
      </c>
      <c r="V571" s="51">
        <v>1102.31</v>
      </c>
      <c r="W571" s="51">
        <v>625.88</v>
      </c>
      <c r="X571" s="51">
        <v>640.71</v>
      </c>
      <c r="Y571" s="51">
        <v>297</v>
      </c>
      <c r="Z571" s="51">
        <v>698.12</v>
      </c>
      <c r="AA571" s="51">
        <v>249.1</v>
      </c>
      <c r="AB571" s="51">
        <v>854.31</v>
      </c>
      <c r="AC571" s="51">
        <v>730</v>
      </c>
      <c r="AD571" s="51">
        <v>150.96757869999999</v>
      </c>
      <c r="AE571" s="51">
        <v>160.37539000000001</v>
      </c>
      <c r="AF571" s="51">
        <v>170.61003024999999</v>
      </c>
      <c r="AG571" s="51">
        <v>305</v>
      </c>
      <c r="AH571" s="51">
        <v>280.25</v>
      </c>
      <c r="AI571" s="51">
        <v>228.25</v>
      </c>
      <c r="AJ571" s="51" t="s">
        <v>1574</v>
      </c>
      <c r="AK571" s="51">
        <v>189.84994993124999</v>
      </c>
      <c r="AL571" s="51">
        <v>204.30628759688</v>
      </c>
      <c r="AM571" s="51">
        <v>0.89054303957000003</v>
      </c>
      <c r="AN571" s="51">
        <v>0.65795321875000001</v>
      </c>
      <c r="AO571" s="51">
        <v>0.79280186613000003</v>
      </c>
      <c r="AP571" s="51">
        <v>2.698013956</v>
      </c>
      <c r="AQ571" s="51">
        <v>1.5289958291700001</v>
      </c>
      <c r="AR571" s="51">
        <v>4.0553296000000003</v>
      </c>
      <c r="AS571" s="51">
        <v>8.6399057799999994</v>
      </c>
      <c r="AT571" s="51">
        <v>0.65641138104999996</v>
      </c>
      <c r="AU571" s="51">
        <v>0.43186301179999997</v>
      </c>
      <c r="AV571" s="51">
        <v>0.25507453400000002</v>
      </c>
      <c r="AW571" s="51">
        <v>3063.55</v>
      </c>
      <c r="AX571" s="51">
        <v>336.9264</v>
      </c>
      <c r="AY571" s="51">
        <v>268.46107522045003</v>
      </c>
      <c r="AZ571" s="51">
        <v>674.66427245202999</v>
      </c>
      <c r="BA571" s="51">
        <v>798.17741438088001</v>
      </c>
      <c r="BB571" s="51">
        <v>640.31418082472999</v>
      </c>
      <c r="BC571" s="51">
        <v>1.3106465899999999</v>
      </c>
      <c r="BD571" s="51">
        <v>1.6454</v>
      </c>
      <c r="BE571" s="51">
        <v>1.7347999999999999</v>
      </c>
      <c r="BF571" s="51">
        <v>44</v>
      </c>
      <c r="BG571" s="51">
        <v>223.83333333332999</v>
      </c>
      <c r="BH571" s="51">
        <v>205.5</v>
      </c>
      <c r="BI571" s="51">
        <v>251.66666666667001</v>
      </c>
      <c r="BJ571" s="51">
        <v>192.5</v>
      </c>
      <c r="BK571" s="51">
        <v>2813.6320000000001</v>
      </c>
      <c r="BL571" s="51">
        <v>73.5</v>
      </c>
      <c r="BM571" s="51">
        <v>6675.1049999999996</v>
      </c>
      <c r="BN571" s="51">
        <v>1725.5</v>
      </c>
      <c r="BO571" s="51">
        <v>11158.683999999999</v>
      </c>
      <c r="BP571" s="51">
        <v>34570.262999999999</v>
      </c>
      <c r="BQ571" s="51">
        <v>4405.3950000000004</v>
      </c>
      <c r="BR571" s="51">
        <v>629.79100000000005</v>
      </c>
      <c r="BS571" s="51">
        <v>1121.19</v>
      </c>
      <c r="BT571" s="51">
        <v>13.278600000000001</v>
      </c>
      <c r="BU571" s="41"/>
      <c r="BV571" s="41"/>
      <c r="BW571" s="41"/>
      <c r="BX571" s="41"/>
      <c r="BY571" s="41"/>
      <c r="BZ571" s="41"/>
      <c r="CA571" s="41"/>
      <c r="CB571" s="41"/>
      <c r="CC571" s="41"/>
      <c r="CD571" s="41"/>
      <c r="CE571" s="41"/>
      <c r="CF571" s="41"/>
      <c r="CG571" s="41"/>
      <c r="CH571" s="41"/>
      <c r="CI571" s="41"/>
      <c r="CJ571" s="41"/>
      <c r="CK571" s="41"/>
    </row>
    <row r="572" spans="1:89">
      <c r="A572" s="48" t="s">
        <v>701</v>
      </c>
      <c r="B572" s="49">
        <v>53.516969696970001</v>
      </c>
      <c r="C572" s="49">
        <v>54.299090909089998</v>
      </c>
      <c r="D572" s="49">
        <v>52.011818181819997</v>
      </c>
      <c r="E572" s="49">
        <v>54.24</v>
      </c>
      <c r="F572" s="49">
        <v>51.287500000000001</v>
      </c>
      <c r="G572" s="49">
        <v>50.137500000000003</v>
      </c>
      <c r="H572" s="49">
        <v>6.5843478260900001</v>
      </c>
      <c r="I572" s="49">
        <v>8.59</v>
      </c>
      <c r="J572" s="49">
        <v>7.11</v>
      </c>
      <c r="K572" s="49">
        <v>125.60979724089999</v>
      </c>
      <c r="L572" s="49">
        <v>1.69852217391</v>
      </c>
      <c r="M572" s="49">
        <v>2.7454132859999998</v>
      </c>
      <c r="N572" s="49">
        <v>1.7445158059999999</v>
      </c>
      <c r="O572" s="49">
        <v>1.78778022688</v>
      </c>
      <c r="P572" s="49">
        <v>2.09345272302</v>
      </c>
      <c r="Q572" s="49">
        <v>1.56988795761</v>
      </c>
      <c r="R572" s="49">
        <v>1.7</v>
      </c>
      <c r="S572" s="49">
        <v>731</v>
      </c>
      <c r="T572" s="49">
        <v>1050</v>
      </c>
      <c r="U572" s="49">
        <v>908.36</v>
      </c>
      <c r="V572" s="49">
        <v>1071.6400000000001</v>
      </c>
      <c r="W572" s="49">
        <v>637.59</v>
      </c>
      <c r="X572" s="49">
        <v>649.13</v>
      </c>
      <c r="Y572" s="49">
        <v>306</v>
      </c>
      <c r="Z572" s="49">
        <v>697.33</v>
      </c>
      <c r="AA572" s="49">
        <v>263.87</v>
      </c>
      <c r="AB572" s="49">
        <v>823.02</v>
      </c>
      <c r="AC572" s="49">
        <v>719</v>
      </c>
      <c r="AD572" s="49">
        <v>152.13268619999999</v>
      </c>
      <c r="AE572" s="49">
        <v>164.774764</v>
      </c>
      <c r="AF572" s="49">
        <v>175.05123724000001</v>
      </c>
      <c r="AG572" s="49">
        <v>313</v>
      </c>
      <c r="AH572" s="49">
        <v>286.60000000000002</v>
      </c>
      <c r="AI572" s="49">
        <v>243.8</v>
      </c>
      <c r="AJ572" s="49" t="s">
        <v>1574</v>
      </c>
      <c r="AK572" s="49">
        <v>175.98013309800001</v>
      </c>
      <c r="AL572" s="49">
        <v>196.06615699737</v>
      </c>
      <c r="AM572" s="49">
        <v>0.98503544847000002</v>
      </c>
      <c r="AN572" s="49">
        <v>0.63935140000000001</v>
      </c>
      <c r="AO572" s="49">
        <v>0.79708632003000002</v>
      </c>
      <c r="AP572" s="49">
        <v>2.686990856</v>
      </c>
      <c r="AQ572" s="49">
        <v>1.5702906999999999</v>
      </c>
      <c r="AR572" s="49">
        <v>3.9774805</v>
      </c>
      <c r="AS572" s="49">
        <v>8.7567506399999999</v>
      </c>
      <c r="AT572" s="49">
        <v>0.64573415999999995</v>
      </c>
      <c r="AU572" s="49">
        <v>0.43903904989999998</v>
      </c>
      <c r="AV572" s="49">
        <v>0.24140589000000001</v>
      </c>
      <c r="AW572" s="49">
        <v>3095.78</v>
      </c>
      <c r="AX572" s="49">
        <v>358.74203999999997</v>
      </c>
      <c r="AY572" s="49">
        <v>262.27355254260999</v>
      </c>
      <c r="AZ572" s="49">
        <v>721.83452171614999</v>
      </c>
      <c r="BA572" s="49">
        <v>796.35251184778997</v>
      </c>
      <c r="BB572" s="49">
        <v>622.00184742841998</v>
      </c>
      <c r="BC572" s="49">
        <v>1.30182811</v>
      </c>
      <c r="BD572" s="49">
        <v>1.9395</v>
      </c>
      <c r="BE572" s="49">
        <v>2.0775999999999999</v>
      </c>
      <c r="BF572" s="49">
        <v>44</v>
      </c>
      <c r="BG572" s="49">
        <v>249.2</v>
      </c>
      <c r="BH572" s="49">
        <v>207.5</v>
      </c>
      <c r="BI572" s="49">
        <v>265</v>
      </c>
      <c r="BJ572" s="49">
        <v>192.5</v>
      </c>
      <c r="BK572" s="49">
        <v>2809.3409999999999</v>
      </c>
      <c r="BL572" s="49">
        <v>78.2</v>
      </c>
      <c r="BM572" s="49">
        <v>5669.6589999999997</v>
      </c>
      <c r="BN572" s="49">
        <v>1666.0909999999999</v>
      </c>
      <c r="BO572" s="49">
        <v>11361.817999999999</v>
      </c>
      <c r="BP572" s="49">
        <v>36811.135999999999</v>
      </c>
      <c r="BQ572" s="49">
        <v>3786.6819999999998</v>
      </c>
      <c r="BR572" s="49">
        <v>631.16600000000005</v>
      </c>
      <c r="BS572" s="49">
        <v>1146.6500000000001</v>
      </c>
      <c r="BT572" s="49">
        <v>12.8413</v>
      </c>
      <c r="BU572" s="41"/>
      <c r="BV572" s="41"/>
      <c r="BW572" s="41"/>
      <c r="BX572" s="41"/>
      <c r="BY572" s="41"/>
      <c r="BZ572" s="41"/>
      <c r="CA572" s="41"/>
      <c r="CB572" s="41"/>
      <c r="CC572" s="41"/>
      <c r="CD572" s="41"/>
      <c r="CE572" s="41"/>
      <c r="CF572" s="41"/>
      <c r="CG572" s="41"/>
      <c r="CH572" s="41"/>
      <c r="CI572" s="41"/>
      <c r="CJ572" s="41"/>
      <c r="CK572" s="41"/>
    </row>
    <row r="573" spans="1:89">
      <c r="A573" s="41" t="s">
        <v>702</v>
      </c>
      <c r="B573" s="51">
        <v>57.5625</v>
      </c>
      <c r="C573" s="51">
        <v>57.756999999999998</v>
      </c>
      <c r="D573" s="51">
        <v>55.680500000000002</v>
      </c>
      <c r="E573" s="51">
        <v>59.25</v>
      </c>
      <c r="F573" s="51">
        <v>52.9</v>
      </c>
      <c r="G573" s="51">
        <v>51.637500000000003</v>
      </c>
      <c r="H573" s="51">
        <v>7.9725000000000001</v>
      </c>
      <c r="I573" s="51">
        <v>8.56</v>
      </c>
      <c r="J573" s="51">
        <v>6.89</v>
      </c>
      <c r="K573" s="51">
        <v>142.17497896166</v>
      </c>
      <c r="L573" s="51">
        <v>1.815393</v>
      </c>
      <c r="M573" s="51">
        <v>2.6902977859999999</v>
      </c>
      <c r="N573" s="51">
        <v>1.7434134960000001</v>
      </c>
      <c r="O573" s="51">
        <v>1.77864031727</v>
      </c>
      <c r="P573" s="51">
        <v>2.2775688073399998</v>
      </c>
      <c r="Q573" s="51">
        <v>1.40835214447</v>
      </c>
      <c r="R573" s="51">
        <v>1.65</v>
      </c>
      <c r="S573" s="51">
        <v>763</v>
      </c>
      <c r="T573" s="51">
        <v>1050</v>
      </c>
      <c r="U573" s="51">
        <v>916.75</v>
      </c>
      <c r="V573" s="51">
        <v>1016.33</v>
      </c>
      <c r="W573" s="51">
        <v>645.20000000000005</v>
      </c>
      <c r="X573" s="51">
        <v>676.75</v>
      </c>
      <c r="Y573" s="51">
        <v>325</v>
      </c>
      <c r="Z573" s="51">
        <v>715.04</v>
      </c>
      <c r="AA573" s="51">
        <v>283.45</v>
      </c>
      <c r="AB573" s="51">
        <v>790.39</v>
      </c>
      <c r="AC573" s="51">
        <v>709</v>
      </c>
      <c r="AD573" s="51">
        <v>151.0319169</v>
      </c>
      <c r="AE573" s="51">
        <v>177.3489032</v>
      </c>
      <c r="AF573" s="51">
        <v>180.63994894000001</v>
      </c>
      <c r="AG573" s="51">
        <v>315</v>
      </c>
      <c r="AH573" s="51">
        <v>291.75</v>
      </c>
      <c r="AI573" s="51">
        <v>257.5</v>
      </c>
      <c r="AJ573" s="51">
        <v>303</v>
      </c>
      <c r="AK573" s="51">
        <v>176.461475175</v>
      </c>
      <c r="AL573" s="51">
        <v>199.98225866842</v>
      </c>
      <c r="AM573" s="51">
        <v>1.06883832492</v>
      </c>
      <c r="AN573" s="51">
        <v>0.65450843749999998</v>
      </c>
      <c r="AO573" s="51">
        <v>0.84181642324999995</v>
      </c>
      <c r="AP573" s="51">
        <v>2.7114621379999999</v>
      </c>
      <c r="AQ573" s="51">
        <v>1.6264083</v>
      </c>
      <c r="AR573" s="51">
        <v>3.9431535000000002</v>
      </c>
      <c r="AS573" s="51">
        <v>8.8184799999999992</v>
      </c>
      <c r="AT573" s="51">
        <v>0.64952625600000002</v>
      </c>
      <c r="AU573" s="51">
        <v>0.45692489989000001</v>
      </c>
      <c r="AV573" s="51">
        <v>0.233028334</v>
      </c>
      <c r="AW573" s="51">
        <v>3182.84</v>
      </c>
      <c r="AX573" s="51">
        <v>375.22379999999998</v>
      </c>
      <c r="AY573" s="51">
        <v>262.56124574499</v>
      </c>
      <c r="AZ573" s="51">
        <v>720.93192923486004</v>
      </c>
      <c r="BA573" s="51">
        <v>795.35674097785</v>
      </c>
      <c r="BB573" s="51">
        <v>622.68413392523996</v>
      </c>
      <c r="BC573" s="51">
        <v>1.2753726700000001</v>
      </c>
      <c r="BD573" s="51">
        <v>2.1173999999999999</v>
      </c>
      <c r="BE573" s="51">
        <v>2.2787999999999999</v>
      </c>
      <c r="BF573" s="51">
        <v>44</v>
      </c>
      <c r="BG573" s="51">
        <v>317.625</v>
      </c>
      <c r="BH573" s="51">
        <v>215</v>
      </c>
      <c r="BI573" s="51">
        <v>299.375</v>
      </c>
      <c r="BJ573" s="51">
        <v>192.5</v>
      </c>
      <c r="BK573" s="51">
        <v>2832.2</v>
      </c>
      <c r="BL573" s="51">
        <v>82.66</v>
      </c>
      <c r="BM573" s="51">
        <v>5676.45</v>
      </c>
      <c r="BN573" s="51">
        <v>1779.6</v>
      </c>
      <c r="BO573" s="51">
        <v>12933.25</v>
      </c>
      <c r="BP573" s="51">
        <v>41184.25</v>
      </c>
      <c r="BQ573" s="51">
        <v>3309.5</v>
      </c>
      <c r="BR573" s="51">
        <v>664.745</v>
      </c>
      <c r="BS573" s="51">
        <v>1204.55</v>
      </c>
      <c r="BT573" s="51">
        <v>13.91</v>
      </c>
      <c r="BU573" s="41"/>
      <c r="BV573" s="41"/>
      <c r="BW573" s="41"/>
      <c r="BX573" s="41"/>
      <c r="BY573" s="41"/>
      <c r="BZ573" s="41"/>
      <c r="CA573" s="41"/>
      <c r="CB573" s="41"/>
      <c r="CC573" s="41"/>
      <c r="CD573" s="41"/>
      <c r="CE573" s="41"/>
      <c r="CF573" s="41"/>
      <c r="CG573" s="41"/>
      <c r="CH573" s="41"/>
      <c r="CI573" s="41"/>
      <c r="CJ573" s="41"/>
      <c r="CK573" s="41"/>
    </row>
    <row r="574" spans="1:89">
      <c r="A574" s="48" t="s">
        <v>703</v>
      </c>
      <c r="B574" s="49">
        <v>60.59984848485</v>
      </c>
      <c r="C574" s="49">
        <v>62.143636363639999</v>
      </c>
      <c r="D574" s="49">
        <v>59.05409090909</v>
      </c>
      <c r="E574" s="49">
        <v>60.601818181820001</v>
      </c>
      <c r="F574" s="49">
        <v>55.38</v>
      </c>
      <c r="G574" s="49">
        <v>53.475000000000001</v>
      </c>
      <c r="H574" s="49">
        <v>7.12318181818</v>
      </c>
      <c r="I574" s="49">
        <v>8.3699999999999992</v>
      </c>
      <c r="J574" s="49">
        <v>6.86</v>
      </c>
      <c r="K574" s="49">
        <v>130.93781192981001</v>
      </c>
      <c r="L574" s="49">
        <v>1.92399818182</v>
      </c>
      <c r="M574" s="49">
        <v>2.581169096</v>
      </c>
      <c r="N574" s="49">
        <v>1.6975574</v>
      </c>
      <c r="O574" s="49">
        <v>1.77221736896</v>
      </c>
      <c r="P574" s="49">
        <v>2.42113553127</v>
      </c>
      <c r="Q574" s="49">
        <v>1.26551657562</v>
      </c>
      <c r="R574" s="49">
        <v>1.63</v>
      </c>
      <c r="S574" s="49">
        <v>769</v>
      </c>
      <c r="T574" s="49">
        <v>1050</v>
      </c>
      <c r="U574" s="49">
        <v>936.76</v>
      </c>
      <c r="V574" s="49">
        <v>1055.21</v>
      </c>
      <c r="W574" s="49">
        <v>660.93</v>
      </c>
      <c r="X574" s="49">
        <v>701.14</v>
      </c>
      <c r="Y574" s="49">
        <v>322</v>
      </c>
      <c r="Z574" s="49">
        <v>719.03</v>
      </c>
      <c r="AA574" s="49">
        <v>279.08999999999997</v>
      </c>
      <c r="AB574" s="49">
        <v>771.51</v>
      </c>
      <c r="AC574" s="49">
        <v>713</v>
      </c>
      <c r="AD574" s="49">
        <v>157.0577883</v>
      </c>
      <c r="AE574" s="49">
        <v>170.50674480000001</v>
      </c>
      <c r="AF574" s="49">
        <v>169.96076966000001</v>
      </c>
      <c r="AG574" s="49">
        <v>318.66666666666998</v>
      </c>
      <c r="AH574" s="49">
        <v>299.33333333333002</v>
      </c>
      <c r="AI574" s="49">
        <v>262.33333333333002</v>
      </c>
      <c r="AJ574" s="49">
        <v>304.93</v>
      </c>
      <c r="AK574" s="49">
        <v>168.54321429000001</v>
      </c>
      <c r="AL574" s="49">
        <v>199.09820044285999</v>
      </c>
      <c r="AM574" s="49">
        <v>1.0551475380399999</v>
      </c>
      <c r="AN574" s="49">
        <v>0.64761887500000004</v>
      </c>
      <c r="AO574" s="49">
        <v>0.81134080288999999</v>
      </c>
      <c r="AP574" s="49">
        <v>2.6891954760000001</v>
      </c>
      <c r="AQ574" s="49">
        <v>1.6835665423099999</v>
      </c>
      <c r="AR574" s="49">
        <v>3.9043364999999999</v>
      </c>
      <c r="AS574" s="49">
        <v>9.0257142800000008</v>
      </c>
      <c r="AT574" s="49">
        <v>0.65785578545000001</v>
      </c>
      <c r="AU574" s="49">
        <v>0.45916222000000001</v>
      </c>
      <c r="AV574" s="49">
        <v>0.230162328</v>
      </c>
      <c r="AW574" s="49">
        <v>3298.14</v>
      </c>
      <c r="AX574" s="49">
        <v>380.04539999999997</v>
      </c>
      <c r="AY574" s="49">
        <v>269.65970421302001</v>
      </c>
      <c r="AZ574" s="49">
        <v>717.39524032860004</v>
      </c>
      <c r="BA574" s="49">
        <v>791.45494491602005</v>
      </c>
      <c r="BB574" s="49">
        <v>643.78213048398004</v>
      </c>
      <c r="BC574" s="49">
        <v>1.28749808</v>
      </c>
      <c r="BD574" s="49">
        <v>2.0525000000000002</v>
      </c>
      <c r="BE574" s="49">
        <v>2.2349000000000001</v>
      </c>
      <c r="BF574" s="49">
        <v>44</v>
      </c>
      <c r="BG574" s="49">
        <v>387</v>
      </c>
      <c r="BH574" s="49">
        <v>254.5</v>
      </c>
      <c r="BI574" s="49">
        <v>318.125</v>
      </c>
      <c r="BJ574" s="49">
        <v>192.5</v>
      </c>
      <c r="BK574" s="49">
        <v>2761.7269999999999</v>
      </c>
      <c r="BL574" s="49">
        <v>88.55</v>
      </c>
      <c r="BM574" s="49">
        <v>6452.4769999999999</v>
      </c>
      <c r="BN574" s="49">
        <v>1914.0450000000001</v>
      </c>
      <c r="BO574" s="49">
        <v>13892.955</v>
      </c>
      <c r="BP574" s="49">
        <v>46324.773000000001</v>
      </c>
      <c r="BQ574" s="49">
        <v>3271.2950000000001</v>
      </c>
      <c r="BR574" s="49">
        <v>654.89499999999998</v>
      </c>
      <c r="BS574" s="49">
        <v>1218.77</v>
      </c>
      <c r="BT574" s="49">
        <v>13.1843</v>
      </c>
      <c r="BU574" s="41"/>
      <c r="BV574" s="41"/>
      <c r="BW574" s="41"/>
      <c r="BX574" s="41"/>
      <c r="BY574" s="41"/>
      <c r="BZ574" s="41"/>
      <c r="CA574" s="41"/>
      <c r="CB574" s="41"/>
      <c r="CC574" s="41"/>
      <c r="CD574" s="41"/>
      <c r="CE574" s="41"/>
      <c r="CF574" s="41"/>
      <c r="CG574" s="41"/>
      <c r="CH574" s="41"/>
      <c r="CI574" s="41"/>
      <c r="CJ574" s="41"/>
      <c r="CK574" s="41"/>
    </row>
    <row r="575" spans="1:89">
      <c r="A575" s="41" t="s">
        <v>704</v>
      </c>
      <c r="B575" s="51">
        <v>65.057640350880007</v>
      </c>
      <c r="C575" s="51">
        <v>67.398421052629999</v>
      </c>
      <c r="D575" s="51">
        <v>63.838000000000001</v>
      </c>
      <c r="E575" s="51">
        <v>63.936500000000002</v>
      </c>
      <c r="F575" s="51">
        <v>56.12</v>
      </c>
      <c r="G575" s="51">
        <v>51.36</v>
      </c>
      <c r="H575" s="51">
        <v>7.5873809523800002</v>
      </c>
      <c r="I575" s="51">
        <v>8</v>
      </c>
      <c r="J575" s="51">
        <v>7.09</v>
      </c>
      <c r="K575" s="51">
        <v>134.97160900674001</v>
      </c>
      <c r="L575" s="51">
        <v>1.9779780952399999</v>
      </c>
      <c r="M575" s="51">
        <v>2.52649452</v>
      </c>
      <c r="N575" s="51">
        <v>1.7544365959999999</v>
      </c>
      <c r="O575" s="51">
        <v>1.9807797714099999</v>
      </c>
      <c r="P575" s="51">
        <v>2.34303556928</v>
      </c>
      <c r="Q575" s="51">
        <v>2.0118037449599999</v>
      </c>
      <c r="R575" s="51">
        <v>1.5874999999999999</v>
      </c>
      <c r="S575" s="51">
        <v>827.5</v>
      </c>
      <c r="T575" s="51">
        <v>1050</v>
      </c>
      <c r="U575" s="51">
        <v>978.16</v>
      </c>
      <c r="V575" s="51">
        <v>1078.17</v>
      </c>
      <c r="W575" s="51">
        <v>743.45</v>
      </c>
      <c r="X575" s="51">
        <v>797.26</v>
      </c>
      <c r="Y575" s="51">
        <v>319.75</v>
      </c>
      <c r="Z575" s="51">
        <v>753.7</v>
      </c>
      <c r="AA575" s="51">
        <v>264.76</v>
      </c>
      <c r="AB575" s="51">
        <v>808.43</v>
      </c>
      <c r="AC575" s="51">
        <v>755</v>
      </c>
      <c r="AD575" s="51">
        <v>157.1170037</v>
      </c>
      <c r="AE575" s="51">
        <v>152.74784</v>
      </c>
      <c r="AF575" s="51">
        <v>149.5173284</v>
      </c>
      <c r="AG575" s="51">
        <v>316.5</v>
      </c>
      <c r="AH575" s="51">
        <v>296</v>
      </c>
      <c r="AI575" s="51">
        <v>258.5</v>
      </c>
      <c r="AJ575" s="51">
        <v>302.25</v>
      </c>
      <c r="AK575" s="51">
        <v>175.2673059</v>
      </c>
      <c r="AL575" s="51">
        <v>198.30779161020001</v>
      </c>
      <c r="AM575" s="51">
        <v>1.11985616985</v>
      </c>
      <c r="AN575" s="51">
        <v>0.64761887500000004</v>
      </c>
      <c r="AO575" s="51">
        <v>0.85583967140999995</v>
      </c>
      <c r="AP575" s="51">
        <v>2.6942661019999998</v>
      </c>
      <c r="AQ575" s="51">
        <v>1.7217234269199999</v>
      </c>
      <c r="AR575" s="51">
        <v>3.9998999999999998</v>
      </c>
      <c r="AS575" s="51">
        <v>9.4247505</v>
      </c>
      <c r="AT575" s="51">
        <v>0.67148272420999999</v>
      </c>
      <c r="AU575" s="51">
        <v>0.46089785719999998</v>
      </c>
      <c r="AV575" s="51">
        <v>0.214289064</v>
      </c>
      <c r="AW575" s="51">
        <v>3361.26</v>
      </c>
      <c r="AX575" s="51">
        <v>387.9092</v>
      </c>
      <c r="AY575" s="51">
        <v>266.04299296184001</v>
      </c>
      <c r="AZ575" s="51">
        <v>733.12613785956</v>
      </c>
      <c r="BA575" s="51">
        <v>808.80980864934997</v>
      </c>
      <c r="BB575" s="51">
        <v>635.14764027930005</v>
      </c>
      <c r="BC575" s="51">
        <v>1.2599403300000001</v>
      </c>
      <c r="BD575" s="51">
        <v>2.165</v>
      </c>
      <c r="BE575" s="51">
        <v>2.3184</v>
      </c>
      <c r="BF575" s="51">
        <v>44</v>
      </c>
      <c r="BG575" s="51">
        <v>404.6</v>
      </c>
      <c r="BH575" s="51">
        <v>300</v>
      </c>
      <c r="BI575" s="51">
        <v>291</v>
      </c>
      <c r="BJ575" s="51">
        <v>192.5</v>
      </c>
      <c r="BK575" s="51">
        <v>2814.7890000000002</v>
      </c>
      <c r="BL575" s="51">
        <v>91.26</v>
      </c>
      <c r="BM575" s="51">
        <v>7766.4740000000002</v>
      </c>
      <c r="BN575" s="51">
        <v>2000.9469999999999</v>
      </c>
      <c r="BO575" s="51">
        <v>14052.895</v>
      </c>
      <c r="BP575" s="51">
        <v>50266.841999999997</v>
      </c>
      <c r="BQ575" s="51">
        <v>3557.4740000000002</v>
      </c>
      <c r="BR575" s="51">
        <v>679.36800000000005</v>
      </c>
      <c r="BS575" s="51">
        <v>1275.81</v>
      </c>
      <c r="BT575" s="51">
        <v>13.7233</v>
      </c>
      <c r="BU575" s="41"/>
      <c r="BV575" s="41"/>
      <c r="BW575" s="41"/>
      <c r="BX575" s="41"/>
      <c r="BY575" s="41"/>
      <c r="BZ575" s="41"/>
      <c r="CA575" s="41"/>
      <c r="CB575" s="41"/>
      <c r="CC575" s="41"/>
      <c r="CD575" s="41"/>
      <c r="CE575" s="41"/>
      <c r="CF575" s="41"/>
      <c r="CG575" s="41"/>
      <c r="CH575" s="41"/>
      <c r="CI575" s="41"/>
      <c r="CJ575" s="41"/>
      <c r="CK575" s="41"/>
    </row>
    <row r="576" spans="1:89">
      <c r="A576" s="48" t="s">
        <v>705</v>
      </c>
      <c r="B576" s="49">
        <v>65.157259552040003</v>
      </c>
      <c r="C576" s="49">
        <v>67.476086956520007</v>
      </c>
      <c r="D576" s="49">
        <v>64.544782608700004</v>
      </c>
      <c r="E576" s="49">
        <v>63.450909090910002</v>
      </c>
      <c r="F576" s="49">
        <v>56</v>
      </c>
      <c r="G576" s="49">
        <v>50.25</v>
      </c>
      <c r="H576" s="49">
        <v>7.61347826087</v>
      </c>
      <c r="I576" s="49">
        <v>7.98</v>
      </c>
      <c r="J576" s="49">
        <v>7.22</v>
      </c>
      <c r="K576" s="49">
        <v>135.28151314111</v>
      </c>
      <c r="L576" s="49">
        <v>2.00386304348</v>
      </c>
      <c r="M576" s="49">
        <v>2.496511688</v>
      </c>
      <c r="N576" s="49">
        <v>1.849896642</v>
      </c>
      <c r="O576" s="49">
        <v>1.9413833954499999</v>
      </c>
      <c r="P576" s="49">
        <v>2.2767814212299999</v>
      </c>
      <c r="Q576" s="49">
        <v>1.9973687651200001</v>
      </c>
      <c r="R576" s="49">
        <v>1.55</v>
      </c>
      <c r="S576" s="49">
        <v>894</v>
      </c>
      <c r="T576" s="49">
        <v>1080.5633802816899</v>
      </c>
      <c r="U576" s="49">
        <v>1200.17</v>
      </c>
      <c r="V576" s="49">
        <v>1169.4100000000001</v>
      </c>
      <c r="W576" s="49">
        <v>816.09</v>
      </c>
      <c r="X576" s="49">
        <v>866.85</v>
      </c>
      <c r="Y576" s="49">
        <v>334</v>
      </c>
      <c r="Z576" s="49">
        <v>788.7</v>
      </c>
      <c r="AA576" s="49">
        <v>268.26</v>
      </c>
      <c r="AB576" s="49">
        <v>844.71</v>
      </c>
      <c r="AC576" s="49">
        <v>831</v>
      </c>
      <c r="AD576" s="49">
        <v>161.68943419999999</v>
      </c>
      <c r="AE576" s="49">
        <v>160.22775999999999</v>
      </c>
      <c r="AF576" s="49">
        <v>150.00895865999999</v>
      </c>
      <c r="AG576" s="49">
        <v>317.60000000000002</v>
      </c>
      <c r="AH576" s="49">
        <v>295.8</v>
      </c>
      <c r="AI576" s="49">
        <v>255.4</v>
      </c>
      <c r="AJ576" s="49">
        <v>300.35500000000002</v>
      </c>
      <c r="AK576" s="49">
        <v>180.7788564</v>
      </c>
      <c r="AL576" s="49">
        <v>195.72128219999999</v>
      </c>
      <c r="AM576" s="49">
        <v>1.03756976509</v>
      </c>
      <c r="AN576" s="49">
        <v>0.68895625000000005</v>
      </c>
      <c r="AO576" s="49">
        <v>0.88683983232999997</v>
      </c>
      <c r="AP576" s="49">
        <v>2.699336728</v>
      </c>
      <c r="AQ576" s="49">
        <v>1.7530587085</v>
      </c>
      <c r="AR576" s="49">
        <v>3.9870561000000002</v>
      </c>
      <c r="AS576" s="49">
        <v>9.6782818000000006</v>
      </c>
      <c r="AT576" s="49">
        <v>0.67124228727000002</v>
      </c>
      <c r="AU576" s="49">
        <v>0.46321070399999997</v>
      </c>
      <c r="AV576" s="49">
        <v>0.20789566600000001</v>
      </c>
      <c r="AW576" s="49">
        <v>3397.24</v>
      </c>
      <c r="AX576" s="49">
        <v>373.587445</v>
      </c>
      <c r="AY576" s="49">
        <v>261.94534536608001</v>
      </c>
      <c r="AZ576" s="49">
        <v>724.04713333111999</v>
      </c>
      <c r="BA576" s="49">
        <v>806.21267564569996</v>
      </c>
      <c r="BB576" s="49">
        <v>641.10263026021005</v>
      </c>
      <c r="BC576" s="49">
        <v>1.22466641</v>
      </c>
      <c r="BD576" s="49">
        <v>2.2191999999999998</v>
      </c>
      <c r="BE576" s="49">
        <v>2.3689</v>
      </c>
      <c r="BF576" s="49">
        <v>44</v>
      </c>
      <c r="BG576" s="49">
        <v>392</v>
      </c>
      <c r="BH576" s="49">
        <v>338.125</v>
      </c>
      <c r="BI576" s="49">
        <v>293.125</v>
      </c>
      <c r="BJ576" s="49">
        <v>192.5</v>
      </c>
      <c r="BK576" s="49">
        <v>2792.75</v>
      </c>
      <c r="BL576" s="49">
        <v>102.02</v>
      </c>
      <c r="BM576" s="49">
        <v>7681.42</v>
      </c>
      <c r="BN576" s="49">
        <v>2101.25</v>
      </c>
      <c r="BO576" s="49">
        <v>14140</v>
      </c>
      <c r="BP576" s="49">
        <v>52179.048000000003</v>
      </c>
      <c r="BQ576" s="49">
        <v>3831.26</v>
      </c>
      <c r="BR576" s="49">
        <v>667.31</v>
      </c>
      <c r="BS576" s="49">
        <v>1300.6500000000001</v>
      </c>
      <c r="BT576" s="49">
        <v>13.1478</v>
      </c>
      <c r="BU576" s="41"/>
      <c r="BV576" s="41"/>
      <c r="BW576" s="41"/>
      <c r="BX576" s="41"/>
      <c r="BY576" s="41"/>
      <c r="BZ576" s="41"/>
      <c r="CA576" s="41"/>
      <c r="CB576" s="41"/>
      <c r="CC576" s="41"/>
      <c r="CD576" s="41"/>
      <c r="CE576" s="41"/>
      <c r="CF576" s="41"/>
      <c r="CG576" s="41"/>
      <c r="CH576" s="41"/>
      <c r="CI576" s="41"/>
      <c r="CJ576" s="41"/>
      <c r="CK576" s="41"/>
    </row>
    <row r="577" spans="1:89">
      <c r="A577" s="41" t="s">
        <v>706</v>
      </c>
      <c r="B577" s="51">
        <v>68.188095238100004</v>
      </c>
      <c r="C577" s="51">
        <v>71.316190476190002</v>
      </c>
      <c r="D577" s="51">
        <v>65.75619047619</v>
      </c>
      <c r="E577" s="51">
        <v>67.491904761900003</v>
      </c>
      <c r="F577" s="51">
        <v>61.6</v>
      </c>
      <c r="G577" s="51">
        <v>56.78</v>
      </c>
      <c r="H577" s="51">
        <v>7.3041428571400004</v>
      </c>
      <c r="I577" s="51">
        <v>8.0299999999999994</v>
      </c>
      <c r="J577" s="51">
        <v>7.11</v>
      </c>
      <c r="K577" s="51">
        <v>131.68831222938999</v>
      </c>
      <c r="L577" s="51">
        <v>2.0169833333299998</v>
      </c>
      <c r="M577" s="51">
        <v>2.6307730459999998</v>
      </c>
      <c r="N577" s="51">
        <v>2.0432418160000001</v>
      </c>
      <c r="O577" s="51">
        <v>2.07378019691</v>
      </c>
      <c r="P577" s="51">
        <v>2.3133990029699998</v>
      </c>
      <c r="Q577" s="51">
        <v>2.2504415877500001</v>
      </c>
      <c r="R577" s="51">
        <v>1.6575</v>
      </c>
      <c r="S577" s="51">
        <v>979</v>
      </c>
      <c r="T577" s="51">
        <v>1107.1830985915501</v>
      </c>
      <c r="U577" s="51">
        <v>1354.38</v>
      </c>
      <c r="V577" s="51">
        <v>1268.18</v>
      </c>
      <c r="W577" s="51">
        <v>833.19</v>
      </c>
      <c r="X577" s="51">
        <v>968.33</v>
      </c>
      <c r="Y577" s="51">
        <v>361</v>
      </c>
      <c r="Z577" s="51">
        <v>835.55</v>
      </c>
      <c r="AA577" s="51">
        <v>278.14</v>
      </c>
      <c r="AB577" s="51">
        <v>867.68</v>
      </c>
      <c r="AC577" s="51">
        <v>916</v>
      </c>
      <c r="AD577" s="51">
        <v>184.44876289999999</v>
      </c>
      <c r="AE577" s="51">
        <v>165.24717999999999</v>
      </c>
      <c r="AF577" s="51">
        <v>154.78637019999999</v>
      </c>
      <c r="AG577" s="51">
        <v>323.25</v>
      </c>
      <c r="AH577" s="51">
        <v>300.5</v>
      </c>
      <c r="AI577" s="51">
        <v>257</v>
      </c>
      <c r="AJ577" s="51">
        <v>302.48599999999999</v>
      </c>
      <c r="AK577" s="51">
        <v>205.02967860000001</v>
      </c>
      <c r="AL577" s="51">
        <v>223.03918018749999</v>
      </c>
      <c r="AM577" s="51">
        <v>0.97681993892999996</v>
      </c>
      <c r="AN577" s="51">
        <v>0.77852056250000001</v>
      </c>
      <c r="AO577" s="51">
        <v>0.93534291432000005</v>
      </c>
      <c r="AP577" s="51">
        <v>2.6790542240000002</v>
      </c>
      <c r="AQ577" s="51">
        <v>1.78023065</v>
      </c>
      <c r="AR577" s="51">
        <v>3.9912570000000001</v>
      </c>
      <c r="AS577" s="51">
        <v>9.9340177199999999</v>
      </c>
      <c r="AT577" s="51">
        <v>0.66663462857</v>
      </c>
      <c r="AU577" s="51">
        <v>0.47010896951999998</v>
      </c>
      <c r="AV577" s="51">
        <v>0.204809198</v>
      </c>
      <c r="AW577" s="51">
        <v>3409.32</v>
      </c>
      <c r="AX577" s="51">
        <v>356.94540000000001</v>
      </c>
      <c r="AY577" s="51">
        <v>257.91078620019999</v>
      </c>
      <c r="AZ577" s="51">
        <v>718.07803283791998</v>
      </c>
      <c r="BA577" s="51">
        <v>807.06212916332004</v>
      </c>
      <c r="BB577" s="51">
        <v>642.64574316515996</v>
      </c>
      <c r="BC577" s="51">
        <v>1.33599972</v>
      </c>
      <c r="BD577" s="51">
        <v>2.1097999999999999</v>
      </c>
      <c r="BE577" s="51">
        <v>2.2342</v>
      </c>
      <c r="BF577" s="51">
        <v>44</v>
      </c>
      <c r="BG577" s="51">
        <v>387.875</v>
      </c>
      <c r="BH577" s="51">
        <v>355</v>
      </c>
      <c r="BI577" s="51">
        <v>291.875</v>
      </c>
      <c r="BJ577" s="51">
        <v>192.5</v>
      </c>
      <c r="BK577" s="51">
        <v>2676.93</v>
      </c>
      <c r="BL577" s="51">
        <v>103.21</v>
      </c>
      <c r="BM577" s="51">
        <v>7474.38</v>
      </c>
      <c r="BN577" s="51">
        <v>2425.1999999999998</v>
      </c>
      <c r="BO577" s="51">
        <v>14099.76</v>
      </c>
      <c r="BP577" s="51">
        <v>41718.571000000004</v>
      </c>
      <c r="BQ577" s="51">
        <v>3602.85</v>
      </c>
      <c r="BR577" s="51">
        <v>655.66</v>
      </c>
      <c r="BS577" s="51">
        <v>1286.24</v>
      </c>
      <c r="BT577" s="51">
        <v>13.144299999999999</v>
      </c>
      <c r="BU577" s="41"/>
      <c r="BV577" s="41"/>
      <c r="BW577" s="41"/>
      <c r="BX577" s="41"/>
      <c r="BY577" s="41"/>
      <c r="BZ577" s="41"/>
      <c r="CA577" s="41"/>
      <c r="CB577" s="41"/>
      <c r="CC577" s="41"/>
      <c r="CD577" s="41"/>
      <c r="CE577" s="41"/>
      <c r="CF577" s="41"/>
      <c r="CG577" s="41"/>
      <c r="CH577" s="41"/>
      <c r="CI577" s="41"/>
      <c r="CJ577" s="41"/>
      <c r="CK577" s="41"/>
    </row>
    <row r="578" spans="1:89">
      <c r="A578" s="48" t="s">
        <v>707</v>
      </c>
      <c r="B578" s="49">
        <v>73.601695526699999</v>
      </c>
      <c r="C578" s="49">
        <v>77.204090909089999</v>
      </c>
      <c r="D578" s="49">
        <v>69.459090909089994</v>
      </c>
      <c r="E578" s="49">
        <v>74.141904761899994</v>
      </c>
      <c r="F578" s="49">
        <v>67.31</v>
      </c>
      <c r="G578" s="49">
        <v>58.06</v>
      </c>
      <c r="H578" s="49">
        <v>6.2209090909100002</v>
      </c>
      <c r="I578" s="49">
        <v>8.1300000000000008</v>
      </c>
      <c r="J578" s="49">
        <v>7.26</v>
      </c>
      <c r="K578" s="49">
        <v>119.11122194066</v>
      </c>
      <c r="L578" s="49">
        <v>2.1584677272700001</v>
      </c>
      <c r="M578" s="49">
        <v>2.5932945059999999</v>
      </c>
      <c r="N578" s="49">
        <v>2.0394939619999999</v>
      </c>
      <c r="O578" s="49">
        <v>2.1296823164499998</v>
      </c>
      <c r="P578" s="49">
        <v>2.4856505459</v>
      </c>
      <c r="Q578" s="49">
        <v>2.2673964034399998</v>
      </c>
      <c r="R578" s="49">
        <v>1.6359999999999999</v>
      </c>
      <c r="S578" s="49">
        <v>929</v>
      </c>
      <c r="T578" s="49">
        <v>1186.0563380281701</v>
      </c>
      <c r="U578" s="49">
        <v>1382.65</v>
      </c>
      <c r="V578" s="49">
        <v>1404.95</v>
      </c>
      <c r="W578" s="49">
        <v>854.52</v>
      </c>
      <c r="X578" s="49">
        <v>919.55</v>
      </c>
      <c r="Y578" s="49">
        <v>375.5</v>
      </c>
      <c r="Z578" s="49">
        <v>887.12</v>
      </c>
      <c r="AA578" s="49">
        <v>301.41000000000003</v>
      </c>
      <c r="AB578" s="49">
        <v>925.81</v>
      </c>
      <c r="AC578" s="49">
        <v>999</v>
      </c>
      <c r="AD578" s="49">
        <v>177.9077053</v>
      </c>
      <c r="AE578" s="49">
        <v>146.84263999999999</v>
      </c>
      <c r="AF578" s="49">
        <v>138.47218219999999</v>
      </c>
      <c r="AG578" s="49">
        <v>328.8</v>
      </c>
      <c r="AH578" s="49">
        <v>306.8</v>
      </c>
      <c r="AI578" s="49">
        <v>260.39999999999998</v>
      </c>
      <c r="AJ578" s="49">
        <v>302.71249999999998</v>
      </c>
      <c r="AK578" s="49">
        <v>225.60613380000001</v>
      </c>
      <c r="AL578" s="49">
        <v>238.40670983625</v>
      </c>
      <c r="AM578" s="49">
        <v>0.95436986192999995</v>
      </c>
      <c r="AN578" s="49">
        <v>0.73373840624999997</v>
      </c>
      <c r="AO578" s="49">
        <v>1.1424840065799999</v>
      </c>
      <c r="AP578" s="49">
        <v>2.673322212</v>
      </c>
      <c r="AQ578" s="49">
        <v>1.7894165666699999</v>
      </c>
      <c r="AR578" s="49">
        <v>4.0869330000000001</v>
      </c>
      <c r="AS578" s="49">
        <v>10.189753639999999</v>
      </c>
      <c r="AT578" s="49">
        <v>0.68139055636000001</v>
      </c>
      <c r="AU578" s="49">
        <v>0.46557375124</v>
      </c>
      <c r="AV578" s="49">
        <v>0.22443031599999999</v>
      </c>
      <c r="AW578" s="49">
        <v>3364.03</v>
      </c>
      <c r="AX578" s="49">
        <v>364.84559999999999</v>
      </c>
      <c r="AY578" s="49">
        <v>263.05015633851002</v>
      </c>
      <c r="AZ578" s="49">
        <v>744.48250741374</v>
      </c>
      <c r="BA578" s="49">
        <v>826.40853463655003</v>
      </c>
      <c r="BB578" s="49">
        <v>645.61973737669996</v>
      </c>
      <c r="BC578" s="49">
        <v>1.49583467</v>
      </c>
      <c r="BD578" s="49">
        <v>2.0400999999999998</v>
      </c>
      <c r="BE578" s="49">
        <v>2.0760000000000001</v>
      </c>
      <c r="BF578" s="49">
        <v>44</v>
      </c>
      <c r="BG578" s="49">
        <v>398.5</v>
      </c>
      <c r="BH578" s="49">
        <v>355</v>
      </c>
      <c r="BI578" s="49">
        <v>269.5</v>
      </c>
      <c r="BJ578" s="49">
        <v>192.5</v>
      </c>
      <c r="BK578" s="49">
        <v>2732.44</v>
      </c>
      <c r="BL578" s="49">
        <v>106.09</v>
      </c>
      <c r="BM578" s="49">
        <v>7972.57</v>
      </c>
      <c r="BN578" s="49">
        <v>3082.76</v>
      </c>
      <c r="BO578" s="49">
        <v>14737.84</v>
      </c>
      <c r="BP578" s="49">
        <v>33425.682000000001</v>
      </c>
      <c r="BQ578" s="49">
        <v>3545.58</v>
      </c>
      <c r="BR578" s="49">
        <v>665.38</v>
      </c>
      <c r="BS578" s="49">
        <v>1303.02</v>
      </c>
      <c r="BT578" s="49">
        <v>12.9093</v>
      </c>
      <c r="BU578" s="41"/>
      <c r="BV578" s="41"/>
      <c r="BW578" s="41"/>
      <c r="BX578" s="41"/>
      <c r="BY578" s="41"/>
      <c r="BZ578" s="41"/>
      <c r="CA578" s="41"/>
      <c r="CB578" s="41"/>
      <c r="CC578" s="41"/>
      <c r="CD578" s="41"/>
      <c r="CE578" s="41"/>
      <c r="CF578" s="41"/>
      <c r="CG578" s="41"/>
      <c r="CH578" s="41"/>
      <c r="CI578" s="41"/>
      <c r="CJ578" s="41"/>
      <c r="CK578" s="41"/>
    </row>
    <row r="579" spans="1:89">
      <c r="A579" s="41" t="s">
        <v>708</v>
      </c>
      <c r="B579" s="51">
        <v>70.126811594200007</v>
      </c>
      <c r="C579" s="51">
        <v>70.79652173913</v>
      </c>
      <c r="D579" s="51">
        <v>67.205652173909996</v>
      </c>
      <c r="E579" s="51">
        <v>72.378260869569999</v>
      </c>
      <c r="F579" s="51">
        <v>69.349999999999994</v>
      </c>
      <c r="G579" s="51">
        <v>60.18</v>
      </c>
      <c r="H579" s="51">
        <v>6.1954347826099996</v>
      </c>
      <c r="I579" s="51">
        <v>8.34</v>
      </c>
      <c r="J579" s="51">
        <v>7.7</v>
      </c>
      <c r="K579" s="51">
        <v>120.09830951473</v>
      </c>
      <c r="L579" s="51">
        <v>1.9052273913</v>
      </c>
      <c r="M579" s="51">
        <v>2.7158713780000001</v>
      </c>
      <c r="N579" s="51">
        <v>1.927719728</v>
      </c>
      <c r="O579" s="51">
        <v>2.0686367617900001</v>
      </c>
      <c r="P579" s="51">
        <v>2.5460704123600002</v>
      </c>
      <c r="Q579" s="51">
        <v>2.0473398729999999</v>
      </c>
      <c r="R579" s="51">
        <v>1.6125</v>
      </c>
      <c r="S579" s="51">
        <v>910</v>
      </c>
      <c r="T579" s="51">
        <v>1303.38028169014</v>
      </c>
      <c r="U579" s="51">
        <v>1360.33</v>
      </c>
      <c r="V579" s="51">
        <v>1472.3</v>
      </c>
      <c r="W579" s="51">
        <v>830.65</v>
      </c>
      <c r="X579" s="51">
        <v>904.02</v>
      </c>
      <c r="Y579" s="51">
        <v>385</v>
      </c>
      <c r="Z579" s="51">
        <v>921.79</v>
      </c>
      <c r="AA579" s="51">
        <v>316.74</v>
      </c>
      <c r="AB579" s="51">
        <v>958.29</v>
      </c>
      <c r="AC579" s="51">
        <v>1114</v>
      </c>
      <c r="AD579" s="51">
        <v>158.88335710000001</v>
      </c>
      <c r="AE579" s="51">
        <v>151.17312000000001</v>
      </c>
      <c r="AF579" s="51">
        <v>150.28453615999999</v>
      </c>
      <c r="AG579" s="51">
        <v>327.5</v>
      </c>
      <c r="AH579" s="51">
        <v>306.5</v>
      </c>
      <c r="AI579" s="51">
        <v>264.5</v>
      </c>
      <c r="AJ579" s="51">
        <v>310</v>
      </c>
      <c r="AK579" s="51">
        <v>253.8987597</v>
      </c>
      <c r="AL579" s="51">
        <v>259.72730786209002</v>
      </c>
      <c r="AM579" s="51">
        <v>0.93596854456</v>
      </c>
      <c r="AN579" s="51">
        <v>0.69722372499999996</v>
      </c>
      <c r="AO579" s="51">
        <v>1.23112627922</v>
      </c>
      <c r="AP579" s="51">
        <v>2.692502406</v>
      </c>
      <c r="AQ579" s="51">
        <v>1.7908297846200001</v>
      </c>
      <c r="AR579" s="51">
        <v>4.1114369999999996</v>
      </c>
      <c r="AS579" s="51">
        <v>10.068499539999999</v>
      </c>
      <c r="AT579" s="51">
        <v>0.67667321454999996</v>
      </c>
      <c r="AU579" s="51">
        <v>0.48060715999999998</v>
      </c>
      <c r="AV579" s="51">
        <v>0.21627322199999999</v>
      </c>
      <c r="AW579" s="51">
        <v>3307.6</v>
      </c>
      <c r="AX579" s="51">
        <v>371.1995</v>
      </c>
      <c r="AY579" s="51">
        <v>270.93356373415003</v>
      </c>
      <c r="AZ579" s="51">
        <v>744.85181656971997</v>
      </c>
      <c r="BA579" s="51">
        <v>816.73533189993998</v>
      </c>
      <c r="BB579" s="51">
        <v>646.82332641961</v>
      </c>
      <c r="BC579" s="51">
        <v>1.4682769200000001</v>
      </c>
      <c r="BD579" s="51">
        <v>2.0684999999999998</v>
      </c>
      <c r="BE579" s="51">
        <v>2.1133999999999999</v>
      </c>
      <c r="BF579" s="51">
        <v>44</v>
      </c>
      <c r="BG579" s="51">
        <v>401.625</v>
      </c>
      <c r="BH579" s="51">
        <v>377.5</v>
      </c>
      <c r="BI579" s="51">
        <v>260.625</v>
      </c>
      <c r="BJ579" s="51">
        <v>192.5</v>
      </c>
      <c r="BK579" s="51">
        <v>2515.7730000000001</v>
      </c>
      <c r="BL579" s="51">
        <v>121.89</v>
      </c>
      <c r="BM579" s="51">
        <v>7513.5</v>
      </c>
      <c r="BN579" s="51">
        <v>3119.4549999999999</v>
      </c>
      <c r="BO579" s="51">
        <v>15174.317999999999</v>
      </c>
      <c r="BP579" s="51">
        <v>27652.273000000001</v>
      </c>
      <c r="BQ579" s="51">
        <v>3252.5230000000001</v>
      </c>
      <c r="BR579" s="51">
        <v>665.41099999999994</v>
      </c>
      <c r="BS579" s="51">
        <v>1263.6099999999999</v>
      </c>
      <c r="BT579" s="51">
        <v>12.334300000000001</v>
      </c>
      <c r="BU579" s="41"/>
      <c r="BV579" s="41"/>
      <c r="BW579" s="41"/>
      <c r="BX579" s="41"/>
      <c r="BY579" s="41"/>
      <c r="BZ579" s="41"/>
      <c r="CA579" s="41"/>
      <c r="CB579" s="41"/>
      <c r="CC579" s="41"/>
      <c r="CD579" s="41"/>
      <c r="CE579" s="41"/>
      <c r="CF579" s="41"/>
      <c r="CG579" s="41"/>
      <c r="CH579" s="41"/>
      <c r="CI579" s="41"/>
      <c r="CJ579" s="41"/>
      <c r="CK579" s="41"/>
    </row>
    <row r="580" spans="1:89">
      <c r="A580" s="48" t="s">
        <v>709</v>
      </c>
      <c r="B580" s="49">
        <v>76.76243859649</v>
      </c>
      <c r="C580" s="49">
        <v>77.126999999999995</v>
      </c>
      <c r="D580" s="49">
        <v>73.254000000000005</v>
      </c>
      <c r="E580" s="49">
        <v>79.90631578947</v>
      </c>
      <c r="F580" s="49">
        <v>68.44</v>
      </c>
      <c r="G580" s="49">
        <v>62.81</v>
      </c>
      <c r="H580" s="49">
        <v>6.0964999999999998</v>
      </c>
      <c r="I580" s="49">
        <v>8.5399999999999991</v>
      </c>
      <c r="J580" s="49">
        <v>8.09</v>
      </c>
      <c r="K580" s="49">
        <v>120.1119247221</v>
      </c>
      <c r="L580" s="49">
        <v>1.93431</v>
      </c>
      <c r="M580" s="49">
        <v>2.8227954479999999</v>
      </c>
      <c r="N580" s="49">
        <v>2.0454464360000002</v>
      </c>
      <c r="O580" s="49">
        <v>2.1325659095399998</v>
      </c>
      <c r="P580" s="49">
        <v>2.6080653756699999</v>
      </c>
      <c r="Q580" s="49">
        <v>2.0246323529399999</v>
      </c>
      <c r="R580" s="49">
        <v>1.7649999999999999</v>
      </c>
      <c r="S580" s="49">
        <v>930</v>
      </c>
      <c r="T580" s="49">
        <v>1417.25352112676</v>
      </c>
      <c r="U580" s="49">
        <v>1220.96</v>
      </c>
      <c r="V580" s="49">
        <v>1523.39</v>
      </c>
      <c r="W580" s="49">
        <v>851.63</v>
      </c>
      <c r="X580" s="49">
        <v>926.63</v>
      </c>
      <c r="Y580" s="49">
        <v>426</v>
      </c>
      <c r="Z580" s="49">
        <v>977.48</v>
      </c>
      <c r="AA580" s="49">
        <v>363.75</v>
      </c>
      <c r="AB580" s="49">
        <v>1044.75</v>
      </c>
      <c r="AC580" s="49">
        <v>1279</v>
      </c>
      <c r="AD580" s="49">
        <v>184.65565799999999</v>
      </c>
      <c r="AE580" s="49">
        <v>159.44040000000001</v>
      </c>
      <c r="AF580" s="49">
        <v>163.30502188</v>
      </c>
      <c r="AG580" s="49">
        <v>325</v>
      </c>
      <c r="AH580" s="49">
        <v>306.25</v>
      </c>
      <c r="AI580" s="49">
        <v>272.25</v>
      </c>
      <c r="AJ580" s="49">
        <v>315.25</v>
      </c>
      <c r="AK580" s="49">
        <v>322.9768593</v>
      </c>
      <c r="AL580" s="49">
        <v>326.54486304474</v>
      </c>
      <c r="AM580" s="49">
        <v>1.1071666040000001</v>
      </c>
      <c r="AN580" s="49">
        <v>0.66485182812999999</v>
      </c>
      <c r="AO580" s="49">
        <v>1.0322203731699999</v>
      </c>
      <c r="AP580" s="49">
        <v>2.6920614820000002</v>
      </c>
      <c r="AQ580" s="49">
        <v>1.7981431875</v>
      </c>
      <c r="AR580" s="49">
        <v>4.2953580000000002</v>
      </c>
      <c r="AS580" s="49">
        <v>9.9207900000000002</v>
      </c>
      <c r="AT580" s="49">
        <v>0.69037563599999996</v>
      </c>
      <c r="AU580" s="49">
        <v>0.46307462936999999</v>
      </c>
      <c r="AV580" s="49">
        <v>0.21517091199999999</v>
      </c>
      <c r="AW580" s="49">
        <v>3302.92</v>
      </c>
      <c r="AX580" s="49">
        <v>378.666</v>
      </c>
      <c r="AY580" s="49">
        <v>274.96005367452</v>
      </c>
      <c r="AZ580" s="49">
        <v>779.38832506981998</v>
      </c>
      <c r="BA580" s="49">
        <v>819.62103523733003</v>
      </c>
      <c r="BB580" s="49">
        <v>647.74159892188004</v>
      </c>
      <c r="BC580" s="49">
        <v>1.5024485299999999</v>
      </c>
      <c r="BD580" s="49">
        <v>2.1111</v>
      </c>
      <c r="BE580" s="49">
        <v>2.1623000000000001</v>
      </c>
      <c r="BF580" s="49">
        <v>57.75</v>
      </c>
      <c r="BG580" s="49">
        <v>399.625</v>
      </c>
      <c r="BH580" s="49">
        <v>392.5</v>
      </c>
      <c r="BI580" s="49">
        <v>305</v>
      </c>
      <c r="BJ580" s="49">
        <v>197.5</v>
      </c>
      <c r="BK580" s="49">
        <v>2391.25</v>
      </c>
      <c r="BL580" s="49">
        <v>148.65</v>
      </c>
      <c r="BM580" s="49">
        <v>7648.9750000000004</v>
      </c>
      <c r="BN580" s="49">
        <v>3226.55</v>
      </c>
      <c r="BO580" s="49">
        <v>15023</v>
      </c>
      <c r="BP580" s="49">
        <v>29537.5</v>
      </c>
      <c r="BQ580" s="49">
        <v>2881.4</v>
      </c>
      <c r="BR580" s="49">
        <v>712.65300000000002</v>
      </c>
      <c r="BS580" s="49">
        <v>1307.6500000000001</v>
      </c>
      <c r="BT580" s="49">
        <v>12.833500000000001</v>
      </c>
      <c r="BU580" s="41"/>
      <c r="BV580" s="41"/>
      <c r="BW580" s="41"/>
      <c r="BX580" s="41"/>
      <c r="BY580" s="41"/>
      <c r="BZ580" s="41"/>
      <c r="CA580" s="41"/>
      <c r="CB580" s="41"/>
      <c r="CC580" s="41"/>
      <c r="CD580" s="41"/>
      <c r="CE580" s="41"/>
      <c r="CF580" s="41"/>
      <c r="CG580" s="41"/>
      <c r="CH580" s="41"/>
      <c r="CI580" s="41"/>
      <c r="CJ580" s="41"/>
      <c r="CK580" s="41"/>
    </row>
    <row r="581" spans="1:89">
      <c r="A581" s="41" t="s">
        <v>710</v>
      </c>
      <c r="B581" s="51">
        <v>81.967246376809996</v>
      </c>
      <c r="C581" s="51">
        <v>82.857826086960003</v>
      </c>
      <c r="D581" s="51">
        <v>77.14</v>
      </c>
      <c r="E581" s="51">
        <v>85.903913043480003</v>
      </c>
      <c r="F581" s="51">
        <v>74.81</v>
      </c>
      <c r="G581" s="51">
        <v>73.12</v>
      </c>
      <c r="H581" s="51">
        <v>6.7980434782600003</v>
      </c>
      <c r="I581" s="51">
        <v>9.16</v>
      </c>
      <c r="J581" s="51">
        <v>8.5500000000000007</v>
      </c>
      <c r="K581" s="51">
        <v>131.89013899842001</v>
      </c>
      <c r="L581" s="51">
        <v>1.91149782609</v>
      </c>
      <c r="M581" s="51">
        <v>2.9605841979999998</v>
      </c>
      <c r="N581" s="51">
        <v>2.0084088200000001</v>
      </c>
      <c r="O581" s="51">
        <v>2.2487123634000001</v>
      </c>
      <c r="P581" s="51">
        <v>2.9005072269399998</v>
      </c>
      <c r="Q581" s="51">
        <v>2.0956298632500001</v>
      </c>
      <c r="R581" s="51">
        <v>1.75</v>
      </c>
      <c r="S581" s="51">
        <v>1010</v>
      </c>
      <c r="T581" s="51">
        <v>1395.0704225352099</v>
      </c>
      <c r="U581" s="51">
        <v>1215.1199999999999</v>
      </c>
      <c r="V581" s="51">
        <v>1633.34</v>
      </c>
      <c r="W581" s="51">
        <v>926.2</v>
      </c>
      <c r="X581" s="51">
        <v>999.67</v>
      </c>
      <c r="Y581" s="51">
        <v>450</v>
      </c>
      <c r="Z581" s="51">
        <v>1007.69</v>
      </c>
      <c r="AA581" s="51">
        <v>401.91</v>
      </c>
      <c r="AB581" s="51">
        <v>1146.97</v>
      </c>
      <c r="AC581" s="51">
        <v>1358</v>
      </c>
      <c r="AD581" s="51">
        <v>197.10726639999999</v>
      </c>
      <c r="AE581" s="51">
        <v>164.16455999999999</v>
      </c>
      <c r="AF581" s="51">
        <v>163.19038164</v>
      </c>
      <c r="AG581" s="51">
        <v>329.2</v>
      </c>
      <c r="AH581" s="51">
        <v>313.39999999999998</v>
      </c>
      <c r="AI581" s="51">
        <v>293.2</v>
      </c>
      <c r="AJ581" s="51">
        <v>323</v>
      </c>
      <c r="AK581" s="51">
        <v>325.54891620000001</v>
      </c>
      <c r="AL581" s="51">
        <v>335.14620304891002</v>
      </c>
      <c r="AM581" s="51">
        <v>1.1042907291499999</v>
      </c>
      <c r="AN581" s="51">
        <v>0.65865113750000004</v>
      </c>
      <c r="AO581" s="51">
        <v>0.97450733665</v>
      </c>
      <c r="AP581" s="51">
        <v>2.6702357440000002</v>
      </c>
      <c r="AQ581" s="51">
        <v>1.7603042769199999</v>
      </c>
      <c r="AR581" s="51">
        <v>4.3930305000000001</v>
      </c>
      <c r="AS581" s="51">
        <v>9.9207900000000002</v>
      </c>
      <c r="AT581" s="51">
        <v>0.70682111999999997</v>
      </c>
      <c r="AU581" s="51">
        <v>0.44707776538999999</v>
      </c>
      <c r="AV581" s="51">
        <v>0.22046199999999999</v>
      </c>
      <c r="AW581" s="51">
        <v>3280.16</v>
      </c>
      <c r="AX581" s="51">
        <v>387.69878260870001</v>
      </c>
      <c r="AY581" s="51">
        <v>271.68201359109003</v>
      </c>
      <c r="AZ581" s="51">
        <v>801.24117730584999</v>
      </c>
      <c r="BA581" s="51">
        <v>812.95099860546998</v>
      </c>
      <c r="BB581" s="51">
        <v>647.99653295935002</v>
      </c>
      <c r="BC581" s="51">
        <v>1.52008549</v>
      </c>
      <c r="BD581" s="51">
        <v>2.2627999999999999</v>
      </c>
      <c r="BE581" s="51">
        <v>2.3317000000000001</v>
      </c>
      <c r="BF581" s="51">
        <v>71.5</v>
      </c>
      <c r="BG581" s="51">
        <v>406</v>
      </c>
      <c r="BH581" s="51">
        <v>402.9</v>
      </c>
      <c r="BI581" s="51">
        <v>323.75</v>
      </c>
      <c r="BJ581" s="51">
        <v>202.5</v>
      </c>
      <c r="BK581" s="51">
        <v>2442.37</v>
      </c>
      <c r="BL581" s="51">
        <v>168.11</v>
      </c>
      <c r="BM581" s="51">
        <v>8008.4350000000004</v>
      </c>
      <c r="BN581" s="51">
        <v>3719.7170000000001</v>
      </c>
      <c r="BO581" s="51">
        <v>16071.304</v>
      </c>
      <c r="BP581" s="51">
        <v>31055.435000000001</v>
      </c>
      <c r="BQ581" s="51">
        <v>2975.326</v>
      </c>
      <c r="BR581" s="51">
        <v>754.60400000000004</v>
      </c>
      <c r="BS581" s="51">
        <v>1410.7</v>
      </c>
      <c r="BT581" s="51">
        <v>13.670400000000001</v>
      </c>
      <c r="BU581" s="41"/>
      <c r="BV581" s="41"/>
      <c r="BW581" s="41"/>
      <c r="BX581" s="41"/>
      <c r="BY581" s="41"/>
      <c r="BZ581" s="41"/>
      <c r="CA581" s="41"/>
      <c r="CB581" s="41"/>
      <c r="CC581" s="41"/>
      <c r="CD581" s="41"/>
      <c r="CE581" s="41"/>
      <c r="CF581" s="41"/>
      <c r="CG581" s="41"/>
      <c r="CH581" s="41"/>
      <c r="CI581" s="41"/>
      <c r="CJ581" s="41"/>
      <c r="CK581" s="41"/>
    </row>
    <row r="582" spans="1:89">
      <c r="A582" s="48" t="s">
        <v>711</v>
      </c>
      <c r="B582" s="49">
        <v>91.338261183260002</v>
      </c>
      <c r="C582" s="49">
        <v>92.528181818180002</v>
      </c>
      <c r="D582" s="49">
        <v>86.731363636360001</v>
      </c>
      <c r="E582" s="49">
        <v>94.755238095240003</v>
      </c>
      <c r="F582" s="49">
        <v>84.6</v>
      </c>
      <c r="G582" s="49">
        <v>89.75</v>
      </c>
      <c r="H582" s="49">
        <v>7.1377272727300003</v>
      </c>
      <c r="I582" s="49">
        <v>9.4700000000000006</v>
      </c>
      <c r="J582" s="49">
        <v>9.14</v>
      </c>
      <c r="K582" s="49">
        <v>137.88849896107001</v>
      </c>
      <c r="L582" s="49">
        <v>1.96833909091</v>
      </c>
      <c r="M582" s="49">
        <v>2.8880522000000002</v>
      </c>
      <c r="N582" s="49">
        <v>2.0412576580000001</v>
      </c>
      <c r="O582" s="49">
        <v>2.2063212515099999</v>
      </c>
      <c r="P582" s="49">
        <v>2.91316303297</v>
      </c>
      <c r="Q582" s="49">
        <v>1.9983007215599999</v>
      </c>
      <c r="R582" s="49">
        <v>1.7075</v>
      </c>
      <c r="S582" s="49">
        <v>1131</v>
      </c>
      <c r="T582" s="49">
        <v>1605.0704225352099</v>
      </c>
      <c r="U582" s="49">
        <v>1241.4000000000001</v>
      </c>
      <c r="V582" s="49">
        <v>1829.84</v>
      </c>
      <c r="W582" s="49">
        <v>998.57</v>
      </c>
      <c r="X582" s="49">
        <v>1115</v>
      </c>
      <c r="Y582" s="49">
        <v>489</v>
      </c>
      <c r="Z582" s="49">
        <v>1141.52</v>
      </c>
      <c r="AA582" s="49">
        <v>408.59</v>
      </c>
      <c r="AB582" s="49">
        <v>1252.43</v>
      </c>
      <c r="AC582" s="49">
        <v>1401</v>
      </c>
      <c r="AD582" s="49">
        <v>187.60857279999999</v>
      </c>
      <c r="AE582" s="49">
        <v>171.2508</v>
      </c>
      <c r="AF582" s="49">
        <v>170.09745609999999</v>
      </c>
      <c r="AG582" s="49">
        <v>342</v>
      </c>
      <c r="AH582" s="49">
        <v>327.75</v>
      </c>
      <c r="AI582" s="49">
        <v>311.25</v>
      </c>
      <c r="AJ582" s="49">
        <v>320</v>
      </c>
      <c r="AK582" s="49">
        <v>307.65107454299999</v>
      </c>
      <c r="AL582" s="49">
        <v>321.81330974999997</v>
      </c>
      <c r="AM582" s="49">
        <v>1.0450027266699999</v>
      </c>
      <c r="AN582" s="49">
        <v>0.65107251563000001</v>
      </c>
      <c r="AO582" s="49">
        <v>1.04569953201</v>
      </c>
      <c r="AP582" s="49">
        <v>2.7213829280000001</v>
      </c>
      <c r="AQ582" s="49">
        <v>1.7145513458299999</v>
      </c>
      <c r="AR582" s="49">
        <v>4.4321111999999996</v>
      </c>
      <c r="AS582" s="49">
        <v>10.117001180000001</v>
      </c>
      <c r="AT582" s="49">
        <v>0.72930003429000001</v>
      </c>
      <c r="AU582" s="49">
        <v>0.44175073250000002</v>
      </c>
      <c r="AV582" s="49">
        <v>0.22266662000000001</v>
      </c>
      <c r="AW582" s="49">
        <v>3348.08</v>
      </c>
      <c r="AX582" s="49">
        <v>422.05</v>
      </c>
      <c r="AY582" s="49">
        <v>279.40619632255999</v>
      </c>
      <c r="AZ582" s="49">
        <v>865.97753520875006</v>
      </c>
      <c r="BA582" s="49">
        <v>806.26766707363004</v>
      </c>
      <c r="BB582" s="49">
        <v>647.15901685759002</v>
      </c>
      <c r="BC582" s="49">
        <v>1.5366201399999999</v>
      </c>
      <c r="BD582" s="49">
        <v>2.3732000000000002</v>
      </c>
      <c r="BE582" s="49">
        <v>2.4826999999999999</v>
      </c>
      <c r="BF582" s="49">
        <v>71.5</v>
      </c>
      <c r="BG582" s="49">
        <v>447</v>
      </c>
      <c r="BH582" s="49">
        <v>423.75</v>
      </c>
      <c r="BI582" s="49">
        <v>366.25</v>
      </c>
      <c r="BJ582" s="49">
        <v>202.5</v>
      </c>
      <c r="BK582" s="49">
        <v>2506.886</v>
      </c>
      <c r="BL582" s="49">
        <v>195.09</v>
      </c>
      <c r="BM582" s="49">
        <v>6966.7049999999999</v>
      </c>
      <c r="BN582" s="49">
        <v>3328.1819999999998</v>
      </c>
      <c r="BO582" s="49">
        <v>16691.817999999999</v>
      </c>
      <c r="BP582" s="49">
        <v>30610.226999999999</v>
      </c>
      <c r="BQ582" s="49">
        <v>2541.3180000000002</v>
      </c>
      <c r="BR582" s="49">
        <v>806.24800000000005</v>
      </c>
      <c r="BS582" s="49">
        <v>1448.73</v>
      </c>
      <c r="BT582" s="49">
        <v>14.701599999999999</v>
      </c>
      <c r="BU582" s="41"/>
      <c r="BV582" s="41"/>
      <c r="BW582" s="41"/>
      <c r="BX582" s="41"/>
      <c r="BY582" s="41"/>
      <c r="BZ582" s="41"/>
      <c r="CA582" s="41"/>
      <c r="CB582" s="41"/>
      <c r="CC582" s="41"/>
      <c r="CD582" s="41"/>
      <c r="CE582" s="41"/>
      <c r="CF582" s="41"/>
      <c r="CG582" s="41"/>
      <c r="CH582" s="41"/>
      <c r="CI582" s="41"/>
      <c r="CJ582" s="41"/>
      <c r="CK582" s="41"/>
    </row>
    <row r="583" spans="1:89">
      <c r="A583" s="41" t="s">
        <v>712</v>
      </c>
      <c r="B583" s="51">
        <v>89.519941520469999</v>
      </c>
      <c r="C583" s="51">
        <v>91.45</v>
      </c>
      <c r="D583" s="51">
        <v>85.753157894739999</v>
      </c>
      <c r="E583" s="51">
        <v>91.356666666669994</v>
      </c>
      <c r="F583" s="51">
        <v>91</v>
      </c>
      <c r="G583" s="51">
        <v>94.25</v>
      </c>
      <c r="H583" s="51">
        <v>7.1497619047600001</v>
      </c>
      <c r="I583" s="51">
        <v>9.49</v>
      </c>
      <c r="J583" s="51">
        <v>9.18</v>
      </c>
      <c r="K583" s="51">
        <v>138.15681919782</v>
      </c>
      <c r="L583" s="51">
        <v>2.1126499999999999</v>
      </c>
      <c r="M583" s="51">
        <v>3.0331161959999999</v>
      </c>
      <c r="N583" s="51">
        <v>2.0148022179999998</v>
      </c>
      <c r="O583" s="51">
        <v>2.31271599986</v>
      </c>
      <c r="P583" s="51">
        <v>3.08663577527</v>
      </c>
      <c r="Q583" s="51">
        <v>2.1181788909799999</v>
      </c>
      <c r="R583" s="51">
        <v>1.7333333333300001</v>
      </c>
      <c r="S583" s="51">
        <v>1153</v>
      </c>
      <c r="T583" s="51">
        <v>1676.0563380281701</v>
      </c>
      <c r="U583" s="51">
        <v>1282.8399999999999</v>
      </c>
      <c r="V583" s="51">
        <v>1978.91</v>
      </c>
      <c r="W583" s="51">
        <v>1002.22</v>
      </c>
      <c r="X583" s="51">
        <v>1136.53</v>
      </c>
      <c r="Y583" s="51">
        <v>503.99</v>
      </c>
      <c r="Z583" s="51">
        <v>1187.73</v>
      </c>
      <c r="AA583" s="51">
        <v>433.28</v>
      </c>
      <c r="AB583" s="51">
        <v>1336.75</v>
      </c>
      <c r="AC583" s="51">
        <v>1469</v>
      </c>
      <c r="AD583" s="51">
        <v>198.9344557</v>
      </c>
      <c r="AE583" s="51">
        <v>180.25426160000001</v>
      </c>
      <c r="AF583" s="51">
        <v>187.00909612000001</v>
      </c>
      <c r="AG583" s="51">
        <v>360.66666666666998</v>
      </c>
      <c r="AH583" s="51">
        <v>347.33333333333002</v>
      </c>
      <c r="AI583" s="51">
        <v>331.66666666666998</v>
      </c>
      <c r="AJ583" s="51" t="s">
        <v>1574</v>
      </c>
      <c r="AK583" s="51">
        <v>345.30966192599999</v>
      </c>
      <c r="AL583" s="51">
        <v>368.62006231324</v>
      </c>
      <c r="AM583" s="51">
        <v>1.0540338950199999</v>
      </c>
      <c r="AN583" s="51">
        <v>0.64762768749999999</v>
      </c>
      <c r="AO583" s="51">
        <v>0.92586666736000001</v>
      </c>
      <c r="AP583" s="51">
        <v>2.7346106479999999</v>
      </c>
      <c r="AQ583" s="51">
        <v>1.6945511</v>
      </c>
      <c r="AR583" s="51">
        <v>4.31325</v>
      </c>
      <c r="AS583" s="51">
        <v>10.29998464</v>
      </c>
      <c r="AT583" s="51">
        <v>0.72391942588000002</v>
      </c>
      <c r="AU583" s="51">
        <v>0.44551889221000002</v>
      </c>
      <c r="AV583" s="51">
        <v>0.23523295399999999</v>
      </c>
      <c r="AW583" s="51">
        <v>3433.31</v>
      </c>
      <c r="AX583" s="51">
        <v>418.94499999999999</v>
      </c>
      <c r="AY583" s="51">
        <v>275.34225348266</v>
      </c>
      <c r="AZ583" s="51">
        <v>846.71017478693</v>
      </c>
      <c r="BA583" s="51">
        <v>788.32880710744996</v>
      </c>
      <c r="BB583" s="51">
        <v>645.90850371954002</v>
      </c>
      <c r="BC583" s="51">
        <v>1.53331321</v>
      </c>
      <c r="BD583" s="51">
        <v>2.4087999999999998</v>
      </c>
      <c r="BE583" s="51">
        <v>2.4777999999999998</v>
      </c>
      <c r="BF583" s="51">
        <v>71.5</v>
      </c>
      <c r="BG583" s="51">
        <v>512.5</v>
      </c>
      <c r="BH583" s="51">
        <v>446.875</v>
      </c>
      <c r="BI583" s="51">
        <v>401.66666666666998</v>
      </c>
      <c r="BJ583" s="51">
        <v>202.5</v>
      </c>
      <c r="BK583" s="51">
        <v>2381.694</v>
      </c>
      <c r="BL583" s="51">
        <v>190.12</v>
      </c>
      <c r="BM583" s="51">
        <v>6587.6670000000004</v>
      </c>
      <c r="BN583" s="51">
        <v>2596.0279999999998</v>
      </c>
      <c r="BO583" s="51">
        <v>16263.056</v>
      </c>
      <c r="BP583" s="51">
        <v>25991.944</v>
      </c>
      <c r="BQ583" s="51">
        <v>2353.0830000000001</v>
      </c>
      <c r="BR583" s="51">
        <v>803.20299999999997</v>
      </c>
      <c r="BS583" s="51">
        <v>1492.9</v>
      </c>
      <c r="BT583" s="51">
        <v>14.303599999999999</v>
      </c>
      <c r="BU583" s="41"/>
      <c r="BV583" s="41"/>
      <c r="BW583" s="41"/>
      <c r="BX583" s="41"/>
      <c r="BY583" s="41"/>
      <c r="BZ583" s="41"/>
      <c r="CA583" s="41"/>
      <c r="CB583" s="41"/>
      <c r="CC583" s="41"/>
      <c r="CD583" s="41"/>
      <c r="CE583" s="41"/>
      <c r="CF583" s="41"/>
      <c r="CG583" s="41"/>
      <c r="CH583" s="41"/>
      <c r="CI583" s="41"/>
      <c r="CJ583" s="41"/>
      <c r="CK583" s="41"/>
    </row>
    <row r="584" spans="1:89">
      <c r="A584" s="48" t="s">
        <v>713</v>
      </c>
      <c r="B584" s="49">
        <v>90.689935064940002</v>
      </c>
      <c r="C584" s="49">
        <v>91.920454545449999</v>
      </c>
      <c r="D584" s="49">
        <v>87.17363636364</v>
      </c>
      <c r="E584" s="49">
        <v>92.975714285709998</v>
      </c>
      <c r="F584" s="49">
        <v>91.75</v>
      </c>
      <c r="G584" s="49">
        <v>100.62</v>
      </c>
      <c r="H584" s="49">
        <v>8</v>
      </c>
      <c r="I584" s="49">
        <v>10.7</v>
      </c>
      <c r="J584" s="49">
        <v>9.94</v>
      </c>
      <c r="K584" s="49">
        <v>154.74877960389</v>
      </c>
      <c r="L584" s="49">
        <v>2.20146</v>
      </c>
      <c r="M584" s="49">
        <v>3.0833815320000002</v>
      </c>
      <c r="N584" s="49">
        <v>2.187203502</v>
      </c>
      <c r="O584" s="49">
        <v>2.3771791213200002</v>
      </c>
      <c r="P584" s="49">
        <v>3.0526702872899998</v>
      </c>
      <c r="Q584" s="49">
        <v>1.9363670766800001</v>
      </c>
      <c r="R584" s="49">
        <v>2.1425000000000001</v>
      </c>
      <c r="S584" s="49">
        <v>1285</v>
      </c>
      <c r="T584" s="49">
        <v>1750</v>
      </c>
      <c r="U584" s="49">
        <v>1229.94</v>
      </c>
      <c r="V584" s="49">
        <v>1984.16</v>
      </c>
      <c r="W584" s="49">
        <v>1122.1500000000001</v>
      </c>
      <c r="X584" s="49">
        <v>1278.18</v>
      </c>
      <c r="Y584" s="49">
        <v>528.5</v>
      </c>
      <c r="Z584" s="49">
        <v>1280.2</v>
      </c>
      <c r="AA584" s="49">
        <v>447.9</v>
      </c>
      <c r="AB584" s="49">
        <v>1390.42</v>
      </c>
      <c r="AC584" s="49">
        <v>1709</v>
      </c>
      <c r="AD584" s="49">
        <v>205.48559940404999</v>
      </c>
      <c r="AE584" s="49">
        <v>206.662316</v>
      </c>
      <c r="AF584" s="49">
        <v>212.67307754000001</v>
      </c>
      <c r="AG584" s="49">
        <v>375.6</v>
      </c>
      <c r="AH584" s="49">
        <v>364.4</v>
      </c>
      <c r="AI584" s="49">
        <v>358</v>
      </c>
      <c r="AJ584" s="49" t="s">
        <v>1574</v>
      </c>
      <c r="AK584" s="49">
        <v>343.81052018999998</v>
      </c>
      <c r="AL584" s="49">
        <v>370.6609570425</v>
      </c>
      <c r="AM584" s="49">
        <v>1.1694385624200001</v>
      </c>
      <c r="AN584" s="49">
        <v>0.68896562500000003</v>
      </c>
      <c r="AO584" s="49">
        <v>1.0296482380600001</v>
      </c>
      <c r="AP584" s="49">
        <v>2.7652548659999998</v>
      </c>
      <c r="AQ584" s="49">
        <v>1.70306895</v>
      </c>
      <c r="AR584" s="49">
        <v>4.293946</v>
      </c>
      <c r="AS584" s="49">
        <v>10.471945</v>
      </c>
      <c r="AT584" s="49">
        <v>0.73118572364000001</v>
      </c>
      <c r="AU584" s="49">
        <v>0.44618359343000003</v>
      </c>
      <c r="AV584" s="49">
        <v>0.26389301399999998</v>
      </c>
      <c r="AW584" s="49">
        <v>3438.78</v>
      </c>
      <c r="AX584" s="49">
        <v>483.85424999999998</v>
      </c>
      <c r="AY584" s="49">
        <v>287.07700063685002</v>
      </c>
      <c r="AZ584" s="49">
        <v>954.91651440531996</v>
      </c>
      <c r="BA584" s="49">
        <v>812.61574921680995</v>
      </c>
      <c r="BB584" s="49">
        <v>640.92560804334005</v>
      </c>
      <c r="BC584" s="49">
        <v>1.61488415</v>
      </c>
      <c r="BD584" s="49">
        <v>2.5345</v>
      </c>
      <c r="BE584" s="49">
        <v>2.6236000000000002</v>
      </c>
      <c r="BF584" s="49">
        <v>71.5</v>
      </c>
      <c r="BG584" s="49">
        <v>593.875</v>
      </c>
      <c r="BH584" s="49">
        <v>539.20000000000005</v>
      </c>
      <c r="BI584" s="49">
        <v>376.625</v>
      </c>
      <c r="BJ584" s="49">
        <v>230.625</v>
      </c>
      <c r="BK584" s="49">
        <v>2445.5230000000001</v>
      </c>
      <c r="BL584" s="49">
        <v>193.37</v>
      </c>
      <c r="BM584" s="49">
        <v>7061.0230000000001</v>
      </c>
      <c r="BN584" s="49">
        <v>2608.136</v>
      </c>
      <c r="BO584" s="49">
        <v>16337.272999999999</v>
      </c>
      <c r="BP584" s="49">
        <v>27689.544999999998</v>
      </c>
      <c r="BQ584" s="49">
        <v>2340.114</v>
      </c>
      <c r="BR584" s="49">
        <v>889.59500000000003</v>
      </c>
      <c r="BS584" s="49">
        <v>1583.3</v>
      </c>
      <c r="BT584" s="49">
        <v>15.908899999999999</v>
      </c>
      <c r="BU584" s="41"/>
      <c r="BV584" s="41"/>
      <c r="BW584" s="41"/>
      <c r="BX584" s="41"/>
      <c r="BY584" s="41"/>
      <c r="BZ584" s="41"/>
      <c r="CA584" s="41"/>
      <c r="CB584" s="41"/>
      <c r="CC584" s="41"/>
      <c r="CD584" s="41"/>
      <c r="CE584" s="41"/>
      <c r="CF584" s="41"/>
      <c r="CG584" s="41"/>
      <c r="CH584" s="41"/>
      <c r="CI584" s="41"/>
      <c r="CJ584" s="41"/>
      <c r="CK584" s="41"/>
    </row>
    <row r="585" spans="1:89">
      <c r="A585" s="41" t="s">
        <v>714</v>
      </c>
      <c r="B585" s="51">
        <v>93.387590643270002</v>
      </c>
      <c r="C585" s="51">
        <v>94.816666666670002</v>
      </c>
      <c r="D585" s="51">
        <v>89.962105263159998</v>
      </c>
      <c r="E585" s="51">
        <v>95.384</v>
      </c>
      <c r="F585" s="51">
        <v>132</v>
      </c>
      <c r="G585" s="51">
        <v>115</v>
      </c>
      <c r="H585" s="51">
        <v>8.5500000000000007</v>
      </c>
      <c r="I585" s="51">
        <v>10.84</v>
      </c>
      <c r="J585" s="51">
        <v>10.46</v>
      </c>
      <c r="K585" s="51">
        <v>162.44548780026</v>
      </c>
      <c r="L585" s="51">
        <v>2.5034999999999998</v>
      </c>
      <c r="M585" s="51">
        <v>3.4676467980000001</v>
      </c>
      <c r="N585" s="51">
        <v>2.5452337900000002</v>
      </c>
      <c r="O585" s="51">
        <v>2.39684047172</v>
      </c>
      <c r="P585" s="51">
        <v>3.0425644300100001</v>
      </c>
      <c r="Q585" s="51">
        <v>1.7312903184699999</v>
      </c>
      <c r="R585" s="51">
        <v>2.4166666666699999</v>
      </c>
      <c r="S585" s="51">
        <v>1382</v>
      </c>
      <c r="T585" s="51">
        <v>1721.43</v>
      </c>
      <c r="U585" s="51">
        <v>1255.48</v>
      </c>
      <c r="V585" s="51">
        <v>1984.16</v>
      </c>
      <c r="W585" s="51">
        <v>1268.6300000000001</v>
      </c>
      <c r="X585" s="51">
        <v>1391.67</v>
      </c>
      <c r="Y585" s="51">
        <v>574.01</v>
      </c>
      <c r="Z585" s="51">
        <v>1414.17</v>
      </c>
      <c r="AA585" s="51">
        <v>458.05</v>
      </c>
      <c r="AB585" s="51">
        <v>1429.55</v>
      </c>
      <c r="AC585" s="51">
        <v>1839</v>
      </c>
      <c r="AD585" s="51">
        <v>216.38691209000001</v>
      </c>
      <c r="AE585" s="51">
        <v>220.06711999999999</v>
      </c>
      <c r="AF585" s="51">
        <v>218.49547896000001</v>
      </c>
      <c r="AG585" s="51">
        <v>464.75</v>
      </c>
      <c r="AH585" s="51" t="s">
        <v>1574</v>
      </c>
      <c r="AI585" s="51">
        <v>432.75</v>
      </c>
      <c r="AJ585" s="51" t="s">
        <v>1574</v>
      </c>
      <c r="AK585" s="51">
        <v>388.7480286</v>
      </c>
      <c r="AL585" s="51">
        <v>424.99565905499998</v>
      </c>
      <c r="AM585" s="51">
        <v>1.4510740387800001</v>
      </c>
      <c r="AN585" s="51">
        <v>0.79231046875</v>
      </c>
      <c r="AO585" s="51">
        <v>1.04903404216</v>
      </c>
      <c r="AP585" s="51">
        <v>2.8931228259999999</v>
      </c>
      <c r="AQ585" s="51">
        <v>1.7448648708300001</v>
      </c>
      <c r="AR585" s="51">
        <v>4.5190796874999997</v>
      </c>
      <c r="AS585" s="51">
        <v>10.471945</v>
      </c>
      <c r="AT585" s="51">
        <v>0.73269956570999994</v>
      </c>
      <c r="AU585" s="51">
        <v>0.44401046799999999</v>
      </c>
      <c r="AV585" s="51">
        <v>0.29784416200000002</v>
      </c>
      <c r="AW585" s="51">
        <v>3387.51</v>
      </c>
      <c r="AX585" s="51">
        <v>545.69079999999997</v>
      </c>
      <c r="AY585" s="51">
        <v>288.39714122430001</v>
      </c>
      <c r="AZ585" s="51">
        <v>1082.9640675342901</v>
      </c>
      <c r="BA585" s="51">
        <v>855.83776287721003</v>
      </c>
      <c r="BB585" s="51">
        <v>639.20719644657004</v>
      </c>
      <c r="BC585" s="51">
        <v>1.65456731</v>
      </c>
      <c r="BD585" s="51">
        <v>2.7212999999999998</v>
      </c>
      <c r="BE585" s="51">
        <v>2.79</v>
      </c>
      <c r="BF585" s="51">
        <v>71.5</v>
      </c>
      <c r="BG585" s="51">
        <v>692.5</v>
      </c>
      <c r="BH585" s="51">
        <v>729.375</v>
      </c>
      <c r="BI585" s="51">
        <v>328.125</v>
      </c>
      <c r="BJ585" s="51">
        <v>240</v>
      </c>
      <c r="BK585" s="51">
        <v>2776.9290000000001</v>
      </c>
      <c r="BL585" s="51">
        <v>186.12</v>
      </c>
      <c r="BM585" s="51">
        <v>7887.69</v>
      </c>
      <c r="BN585" s="51">
        <v>3079.8809999999999</v>
      </c>
      <c r="BO585" s="51">
        <v>17210</v>
      </c>
      <c r="BP585" s="51">
        <v>27955.475999999999</v>
      </c>
      <c r="BQ585" s="51">
        <v>2438.143</v>
      </c>
      <c r="BR585" s="51">
        <v>922.298</v>
      </c>
      <c r="BS585" s="51">
        <v>1999.67</v>
      </c>
      <c r="BT585" s="51">
        <v>17.568999999999999</v>
      </c>
      <c r="BU585" s="41"/>
      <c r="BV585" s="41"/>
      <c r="BW585" s="41"/>
      <c r="BX585" s="41"/>
      <c r="BY585" s="41"/>
      <c r="BZ585" s="41"/>
      <c r="CA585" s="41"/>
      <c r="CB585" s="41"/>
      <c r="CC585" s="41"/>
      <c r="CD585" s="41"/>
      <c r="CE585" s="41"/>
      <c r="CF585" s="41"/>
      <c r="CG585" s="41"/>
      <c r="CH585" s="41"/>
      <c r="CI585" s="41"/>
      <c r="CJ585" s="41"/>
      <c r="CK585" s="41"/>
    </row>
    <row r="586" spans="1:89">
      <c r="A586" s="48" t="s">
        <v>715</v>
      </c>
      <c r="B586" s="49">
        <v>101.84283333333001</v>
      </c>
      <c r="C586" s="49">
        <v>103.2775</v>
      </c>
      <c r="D586" s="49">
        <v>96.778499999999994</v>
      </c>
      <c r="E586" s="49">
        <v>105.4725</v>
      </c>
      <c r="F586" s="49">
        <v>118.25</v>
      </c>
      <c r="G586" s="49">
        <v>111</v>
      </c>
      <c r="H586" s="49">
        <v>9.4014285714299994</v>
      </c>
      <c r="I586" s="49">
        <v>11.04</v>
      </c>
      <c r="J586" s="49">
        <v>10.96</v>
      </c>
      <c r="K586" s="49">
        <v>174.07424402601001</v>
      </c>
      <c r="L586" s="49">
        <v>2.7264900000000001</v>
      </c>
      <c r="M586" s="49">
        <v>3.3045049180000001</v>
      </c>
      <c r="N586" s="49">
        <v>2.6878727040000001</v>
      </c>
      <c r="O586" s="49">
        <v>2.2625991784499999</v>
      </c>
      <c r="P586" s="49">
        <v>3.0610970010799998</v>
      </c>
      <c r="Q586" s="49">
        <v>1.6317005342599999</v>
      </c>
      <c r="R586" s="49">
        <v>2.0950000000000002</v>
      </c>
      <c r="S586" s="49">
        <v>1471</v>
      </c>
      <c r="T586" s="49">
        <v>1700</v>
      </c>
      <c r="U586" s="49">
        <v>1271.44</v>
      </c>
      <c r="V586" s="49">
        <v>2075.4899999999998</v>
      </c>
      <c r="W586" s="49">
        <v>1377.22</v>
      </c>
      <c r="X586" s="49">
        <v>1456.39</v>
      </c>
      <c r="Y586" s="49">
        <v>558.86</v>
      </c>
      <c r="Z586" s="49">
        <v>1488.74</v>
      </c>
      <c r="AA586" s="49">
        <v>465.95</v>
      </c>
      <c r="AB586" s="49">
        <v>1510.12</v>
      </c>
      <c r="AC586" s="49">
        <v>1863</v>
      </c>
      <c r="AD586" s="49">
        <v>228.62588944442999</v>
      </c>
      <c r="AE586" s="49">
        <v>234.35770400000001</v>
      </c>
      <c r="AF586" s="49">
        <v>224.93296935999999</v>
      </c>
      <c r="AG586" s="49">
        <v>594</v>
      </c>
      <c r="AH586" s="49" t="s">
        <v>1574</v>
      </c>
      <c r="AI586" s="49">
        <v>537.6</v>
      </c>
      <c r="AJ586" s="49" t="s">
        <v>1574</v>
      </c>
      <c r="AK586" s="49">
        <v>419.61271140000002</v>
      </c>
      <c r="AL586" s="49">
        <v>439.71609184875001</v>
      </c>
      <c r="AM586" s="49">
        <v>1.6429097635300001</v>
      </c>
      <c r="AN586" s="49">
        <v>1.0265587812500001</v>
      </c>
      <c r="AO586" s="49">
        <v>1.2307682279200001</v>
      </c>
      <c r="AP586" s="49">
        <v>3.010629072</v>
      </c>
      <c r="AQ586" s="49">
        <v>1.7908297846200001</v>
      </c>
      <c r="AR586" s="49">
        <v>4.7936369250000004</v>
      </c>
      <c r="AS586" s="49">
        <v>10.471945</v>
      </c>
      <c r="AT586" s="49">
        <v>0.77139999999999997</v>
      </c>
      <c r="AU586" s="49">
        <v>0.45525402999999998</v>
      </c>
      <c r="AV586" s="49">
        <v>0.29100984000000002</v>
      </c>
      <c r="AW586" s="49">
        <v>3348.3</v>
      </c>
      <c r="AX586" s="49">
        <v>562.83562500000005</v>
      </c>
      <c r="AY586" s="49">
        <v>304.85272754597003</v>
      </c>
      <c r="AZ586" s="49">
        <v>1068.7182267599501</v>
      </c>
      <c r="BA586" s="49">
        <v>912.45484122925996</v>
      </c>
      <c r="BB586" s="49">
        <v>640.93660085325996</v>
      </c>
      <c r="BC586" s="49">
        <v>1.7681052399999999</v>
      </c>
      <c r="BD586" s="49">
        <v>2.6960999999999999</v>
      </c>
      <c r="BE586" s="49">
        <v>2.7919999999999998</v>
      </c>
      <c r="BF586" s="49">
        <v>71.5</v>
      </c>
      <c r="BG586" s="49">
        <v>862.2</v>
      </c>
      <c r="BH586" s="49">
        <v>875.625</v>
      </c>
      <c r="BI586" s="49">
        <v>371</v>
      </c>
      <c r="BJ586" s="49">
        <v>240</v>
      </c>
      <c r="BK586" s="49">
        <v>3005.2890000000002</v>
      </c>
      <c r="BL586" s="49">
        <v>197.12</v>
      </c>
      <c r="BM586" s="49">
        <v>8439.2890000000007</v>
      </c>
      <c r="BN586" s="49">
        <v>3008.5790000000002</v>
      </c>
      <c r="BO586" s="49">
        <v>19803.947</v>
      </c>
      <c r="BP586" s="49">
        <v>31225.262999999999</v>
      </c>
      <c r="BQ586" s="49">
        <v>2511.4740000000002</v>
      </c>
      <c r="BR586" s="49">
        <v>968.43399999999997</v>
      </c>
      <c r="BS586" s="49">
        <v>2025.19</v>
      </c>
      <c r="BT586" s="49">
        <v>19.317399999999999</v>
      </c>
      <c r="BU586" s="41"/>
      <c r="BV586" s="41"/>
      <c r="BW586" s="41"/>
      <c r="BX586" s="41"/>
      <c r="BY586" s="41"/>
      <c r="BZ586" s="41"/>
      <c r="CA586" s="41"/>
      <c r="CB586" s="41"/>
      <c r="CC586" s="41"/>
      <c r="CD586" s="41"/>
      <c r="CE586" s="41"/>
      <c r="CF586" s="41"/>
      <c r="CG586" s="41"/>
      <c r="CH586" s="41"/>
      <c r="CI586" s="41"/>
      <c r="CJ586" s="41"/>
      <c r="CK586" s="41"/>
    </row>
    <row r="587" spans="1:89">
      <c r="A587" s="41" t="s">
        <v>716</v>
      </c>
      <c r="B587" s="51">
        <v>108.75818181818001</v>
      </c>
      <c r="C587" s="51">
        <v>110.18772727273</v>
      </c>
      <c r="D587" s="51">
        <v>103.46863636364</v>
      </c>
      <c r="E587" s="51">
        <v>112.61818181818001</v>
      </c>
      <c r="F587" s="51">
        <v>123</v>
      </c>
      <c r="G587" s="51">
        <v>108.75</v>
      </c>
      <c r="H587" s="51">
        <v>10.132272727269999</v>
      </c>
      <c r="I587" s="51">
        <v>12.19</v>
      </c>
      <c r="J587" s="51">
        <v>11.42</v>
      </c>
      <c r="K587" s="51">
        <v>188.72787272514</v>
      </c>
      <c r="L587" s="51">
        <v>2.6074999999999999</v>
      </c>
      <c r="M587" s="51">
        <v>3.1019003399999998</v>
      </c>
      <c r="N587" s="51">
        <v>2.453521598</v>
      </c>
      <c r="O587" s="51">
        <v>2.4878840074099999</v>
      </c>
      <c r="P587" s="51">
        <v>2.9162492579400001</v>
      </c>
      <c r="Q587" s="51">
        <v>2.3524027642899998</v>
      </c>
      <c r="R587" s="51">
        <v>2.1949999999999998</v>
      </c>
      <c r="S587" s="51">
        <v>1443</v>
      </c>
      <c r="T587" s="51">
        <v>1700</v>
      </c>
      <c r="U587" s="51">
        <v>1288.71</v>
      </c>
      <c r="V587" s="51">
        <v>2126.46</v>
      </c>
      <c r="W587" s="51">
        <v>1320.11</v>
      </c>
      <c r="X587" s="51">
        <v>1425.91</v>
      </c>
      <c r="Y587" s="51">
        <v>549.11</v>
      </c>
      <c r="Z587" s="51">
        <v>1422.23</v>
      </c>
      <c r="AA587" s="51">
        <v>516.14</v>
      </c>
      <c r="AB587" s="51">
        <v>1471.49</v>
      </c>
      <c r="AC587" s="51">
        <v>1838</v>
      </c>
      <c r="AD587" s="51">
        <v>237.77293359887</v>
      </c>
      <c r="AE587" s="51">
        <v>246.44368</v>
      </c>
      <c r="AF587" s="51">
        <v>240.28373841999999</v>
      </c>
      <c r="AG587" s="51">
        <v>907</v>
      </c>
      <c r="AH587" s="51" t="s">
        <v>1574</v>
      </c>
      <c r="AI587" s="51">
        <v>762.66666666667004</v>
      </c>
      <c r="AJ587" s="51" t="s">
        <v>1574</v>
      </c>
      <c r="AK587" s="51">
        <v>323.42780434090997</v>
      </c>
      <c r="AL587" s="51">
        <v>362.22924711170998</v>
      </c>
      <c r="AM587" s="51">
        <v>1.4404226894400001</v>
      </c>
      <c r="AN587" s="51">
        <v>0.96730773749999999</v>
      </c>
      <c r="AO587" s="51">
        <v>1.2337172406800001</v>
      </c>
      <c r="AP587" s="51">
        <v>3.164952472</v>
      </c>
      <c r="AQ587" s="51">
        <v>1.80863633077</v>
      </c>
      <c r="AR587" s="51">
        <v>4.8931440999999998</v>
      </c>
      <c r="AS587" s="51">
        <v>10.471945</v>
      </c>
      <c r="AT587" s="51">
        <v>0.78220450285999998</v>
      </c>
      <c r="AU587" s="51">
        <v>0.451576323</v>
      </c>
      <c r="AV587" s="51">
        <v>0.276900272</v>
      </c>
      <c r="AW587" s="51">
        <v>3410.54</v>
      </c>
      <c r="AX587" s="51">
        <v>558.94394999999997</v>
      </c>
      <c r="AY587" s="51">
        <v>291.75731683686001</v>
      </c>
      <c r="AZ587" s="51">
        <v>1020.85467527063</v>
      </c>
      <c r="BA587" s="51">
        <v>940.97487459694003</v>
      </c>
      <c r="BB587" s="51">
        <v>646.56118194894998</v>
      </c>
      <c r="BC587" s="51">
        <v>1.6622834799999999</v>
      </c>
      <c r="BD587" s="51">
        <v>2.7039</v>
      </c>
      <c r="BE587" s="51">
        <v>2.835</v>
      </c>
      <c r="BF587" s="51">
        <v>160.375</v>
      </c>
      <c r="BG587" s="51">
        <v>953.5</v>
      </c>
      <c r="BH587" s="51">
        <v>1029</v>
      </c>
      <c r="BI587" s="51">
        <v>462.5</v>
      </c>
      <c r="BJ587" s="51">
        <v>393</v>
      </c>
      <c r="BK587" s="51">
        <v>2959.2730000000001</v>
      </c>
      <c r="BL587" s="51">
        <v>195.95</v>
      </c>
      <c r="BM587" s="51">
        <v>8684.9320000000007</v>
      </c>
      <c r="BN587" s="51">
        <v>2822.75</v>
      </c>
      <c r="BO587" s="51">
        <v>21658.635999999999</v>
      </c>
      <c r="BP587" s="51">
        <v>28763.182000000001</v>
      </c>
      <c r="BQ587" s="51">
        <v>2263.7950000000001</v>
      </c>
      <c r="BR587" s="51">
        <v>909.70500000000004</v>
      </c>
      <c r="BS587" s="51">
        <v>1988.41</v>
      </c>
      <c r="BT587" s="51">
        <v>17.5</v>
      </c>
      <c r="BU587" s="41"/>
      <c r="BV587" s="41"/>
      <c r="BW587" s="41"/>
      <c r="BX587" s="41"/>
      <c r="BY587" s="41"/>
      <c r="BZ587" s="41"/>
      <c r="CA587" s="41"/>
      <c r="CB587" s="41"/>
      <c r="CC587" s="41"/>
      <c r="CD587" s="41"/>
      <c r="CE587" s="41"/>
      <c r="CF587" s="41"/>
      <c r="CG587" s="41"/>
      <c r="CH587" s="41"/>
      <c r="CI587" s="41"/>
      <c r="CJ587" s="41"/>
      <c r="CK587" s="41"/>
    </row>
    <row r="588" spans="1:89">
      <c r="A588" s="48" t="s">
        <v>717</v>
      </c>
      <c r="B588" s="49">
        <v>122.63260894661001</v>
      </c>
      <c r="C588" s="49">
        <v>123.93619047619001</v>
      </c>
      <c r="D588" s="49">
        <v>118.94863636364001</v>
      </c>
      <c r="E588" s="49">
        <v>125.01300000000001</v>
      </c>
      <c r="F588" s="49">
        <v>133.19999999999999</v>
      </c>
      <c r="G588" s="49">
        <v>120.7</v>
      </c>
      <c r="H588" s="49">
        <v>11.23045454545</v>
      </c>
      <c r="I588" s="49">
        <v>12.38</v>
      </c>
      <c r="J588" s="49">
        <v>11.63</v>
      </c>
      <c r="K588" s="49">
        <v>203.10903264896001</v>
      </c>
      <c r="L588" s="49">
        <v>2.6842299999999999</v>
      </c>
      <c r="M588" s="49">
        <v>3.12945809</v>
      </c>
      <c r="N588" s="49">
        <v>2.4003902560000001</v>
      </c>
      <c r="O588" s="49">
        <v>2.4837585927400001</v>
      </c>
      <c r="P588" s="49">
        <v>2.93651906909</v>
      </c>
      <c r="Q588" s="49">
        <v>2.3722567091200002</v>
      </c>
      <c r="R588" s="49">
        <v>2.1425000000000001</v>
      </c>
      <c r="S588" s="49">
        <v>1502</v>
      </c>
      <c r="T588" s="49">
        <v>1700</v>
      </c>
      <c r="U588" s="49">
        <v>1265.54</v>
      </c>
      <c r="V588" s="49">
        <v>2253.2199999999998</v>
      </c>
      <c r="W588" s="49">
        <v>1326.45</v>
      </c>
      <c r="X588" s="49">
        <v>1432.5</v>
      </c>
      <c r="Y588" s="49">
        <v>566.12</v>
      </c>
      <c r="Z588" s="49">
        <v>1437.87</v>
      </c>
      <c r="AA588" s="49">
        <v>504.35</v>
      </c>
      <c r="AB588" s="49">
        <v>1524.95</v>
      </c>
      <c r="AC588" s="49">
        <v>1962</v>
      </c>
      <c r="AD588" s="49">
        <v>238.41479700855001</v>
      </c>
      <c r="AE588" s="49">
        <v>243.45564880000001</v>
      </c>
      <c r="AF588" s="49">
        <v>238.24068557142999</v>
      </c>
      <c r="AG588" s="49">
        <v>901.8</v>
      </c>
      <c r="AH588" s="49" t="s">
        <v>1574</v>
      </c>
      <c r="AI588" s="49">
        <v>727.4</v>
      </c>
      <c r="AJ588" s="49" t="s">
        <v>1574</v>
      </c>
      <c r="AK588" s="49">
        <v>255.10027770900001</v>
      </c>
      <c r="AL588" s="49">
        <v>328.76171271686002</v>
      </c>
      <c r="AM588" s="49">
        <v>1.24676206296</v>
      </c>
      <c r="AN588" s="49">
        <v>0.92321393750000003</v>
      </c>
      <c r="AO588" s="49">
        <v>1.31769130901</v>
      </c>
      <c r="AP588" s="49">
        <v>3.512621046</v>
      </c>
      <c r="AQ588" s="49">
        <v>1.8399391083300001</v>
      </c>
      <c r="AR588" s="49">
        <v>4.9529844000000001</v>
      </c>
      <c r="AS588" s="49">
        <v>10.471945</v>
      </c>
      <c r="AT588" s="49">
        <v>0.77287176000000002</v>
      </c>
      <c r="AU588" s="49">
        <v>0.45928533513999997</v>
      </c>
      <c r="AV588" s="49">
        <v>0.26609763400000003</v>
      </c>
      <c r="AW588" s="49">
        <v>3485.76</v>
      </c>
      <c r="AX588" s="49">
        <v>552.27350000000001</v>
      </c>
      <c r="AY588" s="49">
        <v>282.97231647983</v>
      </c>
      <c r="AZ588" s="49">
        <v>1048.3744906193699</v>
      </c>
      <c r="BA588" s="49">
        <v>933.58398750853996</v>
      </c>
      <c r="BB588" s="49">
        <v>648.17526659209</v>
      </c>
      <c r="BC588" s="49">
        <v>1.6336234199999999</v>
      </c>
      <c r="BD588" s="49">
        <v>2.9603000000000002</v>
      </c>
      <c r="BE588" s="49">
        <v>3.0485000000000002</v>
      </c>
      <c r="BF588" s="49">
        <v>190</v>
      </c>
      <c r="BG588" s="49">
        <v>997.5</v>
      </c>
      <c r="BH588" s="49">
        <v>1037</v>
      </c>
      <c r="BI588" s="49">
        <v>633.75</v>
      </c>
      <c r="BJ588" s="49">
        <v>546</v>
      </c>
      <c r="BK588" s="49">
        <v>2902.9</v>
      </c>
      <c r="BL588" s="49">
        <v>192.95</v>
      </c>
      <c r="BM588" s="49">
        <v>8382.75</v>
      </c>
      <c r="BN588" s="49">
        <v>2234.625</v>
      </c>
      <c r="BO588" s="49">
        <v>24062.25</v>
      </c>
      <c r="BP588" s="49">
        <v>25735</v>
      </c>
      <c r="BQ588" s="49">
        <v>2182.1</v>
      </c>
      <c r="BR588" s="49">
        <v>888.66300000000001</v>
      </c>
      <c r="BS588" s="49">
        <v>2052.4499999999998</v>
      </c>
      <c r="BT588" s="49">
        <v>17.059999999999999</v>
      </c>
      <c r="BU588" s="41"/>
      <c r="BV588" s="41"/>
      <c r="BW588" s="41"/>
      <c r="BX588" s="41"/>
      <c r="BY588" s="41"/>
      <c r="BZ588" s="41"/>
      <c r="CA588" s="41"/>
      <c r="CB588" s="41"/>
      <c r="CC588" s="41"/>
      <c r="CD588" s="41"/>
      <c r="CE588" s="41"/>
      <c r="CF588" s="41"/>
      <c r="CG588" s="41"/>
      <c r="CH588" s="41"/>
      <c r="CI588" s="41"/>
      <c r="CJ588" s="41"/>
      <c r="CK588" s="41"/>
    </row>
    <row r="589" spans="1:89">
      <c r="A589" s="41" t="s">
        <v>718</v>
      </c>
      <c r="B589" s="51">
        <v>131.52111111111</v>
      </c>
      <c r="C589" s="51">
        <v>133.04857142857</v>
      </c>
      <c r="D589" s="51">
        <v>127.58761904762</v>
      </c>
      <c r="E589" s="51">
        <v>133.92714285714001</v>
      </c>
      <c r="F589" s="51">
        <v>159.75</v>
      </c>
      <c r="G589" s="51">
        <v>142.38</v>
      </c>
      <c r="H589" s="51">
        <v>12.67619047619</v>
      </c>
      <c r="I589" s="51">
        <v>12.63</v>
      </c>
      <c r="J589" s="51">
        <v>12.07</v>
      </c>
      <c r="K589" s="51">
        <v>222.15173377391</v>
      </c>
      <c r="L589" s="51">
        <v>3.0011800000000002</v>
      </c>
      <c r="M589" s="51">
        <v>3.2220521299999998</v>
      </c>
      <c r="N589" s="51">
        <v>2.4546239079999999</v>
      </c>
      <c r="O589" s="51">
        <v>2.6692371082099999</v>
      </c>
      <c r="P589" s="51">
        <v>3.1012610677299999</v>
      </c>
      <c r="Q589" s="51">
        <v>2.5964502568899999</v>
      </c>
      <c r="R589" s="51">
        <v>2.31</v>
      </c>
      <c r="S589" s="51">
        <v>1551</v>
      </c>
      <c r="T589" s="51">
        <v>1700</v>
      </c>
      <c r="U589" s="51">
        <v>1233.45</v>
      </c>
      <c r="V589" s="51">
        <v>2332.6999999999998</v>
      </c>
      <c r="W589" s="51">
        <v>1293.21</v>
      </c>
      <c r="X589" s="51">
        <v>1396.67</v>
      </c>
      <c r="Y589" s="51">
        <v>634.85</v>
      </c>
      <c r="Z589" s="51">
        <v>1535.16</v>
      </c>
      <c r="AA589" s="51">
        <v>534.37</v>
      </c>
      <c r="AB589" s="51">
        <v>1591.88</v>
      </c>
      <c r="AC589" s="51">
        <v>2045</v>
      </c>
      <c r="AD589" s="51">
        <v>241.00849152487001</v>
      </c>
      <c r="AE589" s="51">
        <v>287.11082399999998</v>
      </c>
      <c r="AF589" s="51">
        <v>262.19325198000001</v>
      </c>
      <c r="AG589" s="51">
        <v>757</v>
      </c>
      <c r="AH589" s="51" t="s">
        <v>1574</v>
      </c>
      <c r="AI589" s="51">
        <v>591</v>
      </c>
      <c r="AJ589" s="51">
        <v>780</v>
      </c>
      <c r="AK589" s="51">
        <v>254.74386411</v>
      </c>
      <c r="AL589" s="51">
        <v>348.55307816786001</v>
      </c>
      <c r="AM589" s="51">
        <v>1.10180884127</v>
      </c>
      <c r="AN589" s="51">
        <v>0.86809668750000002</v>
      </c>
      <c r="AO589" s="51">
        <v>1.41442612393</v>
      </c>
      <c r="AP589" s="51">
        <v>3.6570236559999998</v>
      </c>
      <c r="AQ589" s="51">
        <v>1.88961371923</v>
      </c>
      <c r="AR589" s="51">
        <v>4.9492799999999999</v>
      </c>
      <c r="AS589" s="51">
        <v>10.734294780000001</v>
      </c>
      <c r="AT589" s="51">
        <v>0.77266121142999999</v>
      </c>
      <c r="AU589" s="51">
        <v>0.47946285723999998</v>
      </c>
      <c r="AV589" s="51">
        <v>0.267420406</v>
      </c>
      <c r="AW589" s="51">
        <v>3565.33</v>
      </c>
      <c r="AX589" s="51">
        <v>552.13149999999996</v>
      </c>
      <c r="AY589" s="51">
        <v>272.28845584228998</v>
      </c>
      <c r="AZ589" s="51">
        <v>1087.5408792899</v>
      </c>
      <c r="BA589" s="51">
        <v>932.88574817563995</v>
      </c>
      <c r="BB589" s="51">
        <v>647.30489182898998</v>
      </c>
      <c r="BC589" s="51">
        <v>1.69865971</v>
      </c>
      <c r="BD589" s="51">
        <v>3.1709999999999998</v>
      </c>
      <c r="BE589" s="51">
        <v>3.2225000000000001</v>
      </c>
      <c r="BF589" s="51">
        <v>190</v>
      </c>
      <c r="BG589" s="51">
        <v>1004.1</v>
      </c>
      <c r="BH589" s="51">
        <v>1043.125</v>
      </c>
      <c r="BI589" s="51">
        <v>642</v>
      </c>
      <c r="BJ589" s="51">
        <v>546</v>
      </c>
      <c r="BK589" s="51">
        <v>2957.857</v>
      </c>
      <c r="BL589" s="51">
        <v>183.93</v>
      </c>
      <c r="BM589" s="51">
        <v>8260.5949999999993</v>
      </c>
      <c r="BN589" s="51">
        <v>1863.048</v>
      </c>
      <c r="BO589" s="51">
        <v>22229.286</v>
      </c>
      <c r="BP589" s="51">
        <v>22549.047999999999</v>
      </c>
      <c r="BQ589" s="51">
        <v>1894.4760000000001</v>
      </c>
      <c r="BR589" s="51">
        <v>889.48800000000006</v>
      </c>
      <c r="BS589" s="51">
        <v>2039.24</v>
      </c>
      <c r="BT589" s="51">
        <v>16.969000000000001</v>
      </c>
      <c r="BU589" s="41"/>
      <c r="BV589" s="41"/>
      <c r="BW589" s="41"/>
      <c r="BX589" s="41"/>
      <c r="BY589" s="41"/>
      <c r="BZ589" s="41"/>
      <c r="CA589" s="41"/>
      <c r="CB589" s="41"/>
      <c r="CC589" s="41"/>
      <c r="CD589" s="41"/>
      <c r="CE589" s="41"/>
      <c r="CF589" s="41"/>
      <c r="CG589" s="41"/>
      <c r="CH589" s="41"/>
      <c r="CI589" s="41"/>
      <c r="CJ589" s="41"/>
      <c r="CK589" s="41"/>
    </row>
    <row r="590" spans="1:89">
      <c r="A590" s="48" t="s">
        <v>719</v>
      </c>
      <c r="B590" s="49">
        <v>132.82518445323001</v>
      </c>
      <c r="C590" s="49">
        <v>133.87304347826</v>
      </c>
      <c r="D590" s="49">
        <v>131.2247826087</v>
      </c>
      <c r="E590" s="49">
        <v>133.37772727273</v>
      </c>
      <c r="F590" s="49">
        <v>180</v>
      </c>
      <c r="G590" s="49">
        <v>167.75</v>
      </c>
      <c r="H590" s="49">
        <v>11.148782608699999</v>
      </c>
      <c r="I590" s="49">
        <v>14.37</v>
      </c>
      <c r="J590" s="49">
        <v>12.35</v>
      </c>
      <c r="K590" s="49">
        <v>212.06546065897999</v>
      </c>
      <c r="L590" s="49">
        <v>2.9671599999999998</v>
      </c>
      <c r="M590" s="49">
        <v>3.2487280319999998</v>
      </c>
      <c r="N590" s="49">
        <v>2.5403836260000001</v>
      </c>
      <c r="O590" s="49">
        <v>2.7591517808099999</v>
      </c>
      <c r="P590" s="49">
        <v>3.1203618026200002</v>
      </c>
      <c r="Q590" s="49">
        <v>2.7445935398199999</v>
      </c>
      <c r="R590" s="49">
        <v>2.4125000000000001</v>
      </c>
      <c r="S590" s="49">
        <v>1436</v>
      </c>
      <c r="T590" s="49">
        <v>1700</v>
      </c>
      <c r="U590" s="49">
        <v>1148.55</v>
      </c>
      <c r="V590" s="49">
        <v>2425.08</v>
      </c>
      <c r="W590" s="49">
        <v>1213.48</v>
      </c>
      <c r="X590" s="49">
        <v>1253.48</v>
      </c>
      <c r="Y590" s="49">
        <v>637.25</v>
      </c>
      <c r="Z590" s="49">
        <v>1506.98</v>
      </c>
      <c r="AA590" s="49">
        <v>521.57000000000005</v>
      </c>
      <c r="AB590" s="49">
        <v>1549.44</v>
      </c>
      <c r="AC590" s="49">
        <v>1692</v>
      </c>
      <c r="AD590" s="49">
        <v>248.14718443813999</v>
      </c>
      <c r="AE590" s="49">
        <v>265.34032000000002</v>
      </c>
      <c r="AF590" s="49">
        <v>218.818556</v>
      </c>
      <c r="AG590" s="49">
        <v>731.75</v>
      </c>
      <c r="AH590" s="49">
        <v>700</v>
      </c>
      <c r="AI590" s="49">
        <v>546.5</v>
      </c>
      <c r="AJ590" s="49">
        <v>698</v>
      </c>
      <c r="AK590" s="49">
        <v>245.44771560000001</v>
      </c>
      <c r="AL590" s="49">
        <v>328.18360435568002</v>
      </c>
      <c r="AM590" s="49">
        <v>1.1034223940000001</v>
      </c>
      <c r="AN590" s="49">
        <v>0.72203597500000005</v>
      </c>
      <c r="AO590" s="49">
        <v>1.4316917420499999</v>
      </c>
      <c r="AP590" s="49">
        <v>3.92642822</v>
      </c>
      <c r="AQ590" s="49">
        <v>1.9455771500000001</v>
      </c>
      <c r="AR590" s="49">
        <v>5.0132880000000002</v>
      </c>
      <c r="AS590" s="49">
        <v>11.1884465</v>
      </c>
      <c r="AT590" s="49">
        <v>0.78317064000000003</v>
      </c>
      <c r="AU590" s="49">
        <v>0.52379766999999999</v>
      </c>
      <c r="AV590" s="49">
        <v>0.31371742600000002</v>
      </c>
      <c r="AW590" s="49">
        <v>3654.88</v>
      </c>
      <c r="AX590" s="49">
        <v>559.62199999999996</v>
      </c>
      <c r="AY590" s="49">
        <v>275.76173439204001</v>
      </c>
      <c r="AZ590" s="49">
        <v>1056.6423145931701</v>
      </c>
      <c r="BA590" s="49">
        <v>932.77336587189995</v>
      </c>
      <c r="BB590" s="49">
        <v>647.86837262018003</v>
      </c>
      <c r="BC590" s="49">
        <v>1.7041712600000001</v>
      </c>
      <c r="BD590" s="49">
        <v>3.1960000000000002</v>
      </c>
      <c r="BE590" s="49">
        <v>3.1951999999999998</v>
      </c>
      <c r="BF590" s="49">
        <v>240</v>
      </c>
      <c r="BG590" s="49">
        <v>1075.75</v>
      </c>
      <c r="BH590" s="49">
        <v>1112.5</v>
      </c>
      <c r="BI590" s="49">
        <v>733.75</v>
      </c>
      <c r="BJ590" s="49">
        <v>546</v>
      </c>
      <c r="BK590" s="49">
        <v>3071.239</v>
      </c>
      <c r="BL590" s="49">
        <v>180.5</v>
      </c>
      <c r="BM590" s="49">
        <v>8414.0429999999997</v>
      </c>
      <c r="BN590" s="49">
        <v>1944.913</v>
      </c>
      <c r="BO590" s="49">
        <v>23139.348000000002</v>
      </c>
      <c r="BP590" s="49">
        <v>20160.217000000001</v>
      </c>
      <c r="BQ590" s="49">
        <v>1852.37</v>
      </c>
      <c r="BR590" s="49">
        <v>939.77200000000005</v>
      </c>
      <c r="BS590" s="49">
        <v>1904.43</v>
      </c>
      <c r="BT590" s="49">
        <v>18.033899999999999</v>
      </c>
      <c r="BU590" s="41"/>
      <c r="BV590" s="41"/>
      <c r="BW590" s="41"/>
      <c r="BX590" s="41"/>
      <c r="BY590" s="41"/>
      <c r="BZ590" s="41"/>
      <c r="CA590" s="41"/>
      <c r="CB590" s="41"/>
      <c r="CC590" s="41"/>
      <c r="CD590" s="41"/>
      <c r="CE590" s="41"/>
      <c r="CF590" s="41"/>
      <c r="CG590" s="41"/>
      <c r="CH590" s="41"/>
      <c r="CI590" s="41"/>
      <c r="CJ590" s="41"/>
      <c r="CK590" s="41"/>
    </row>
    <row r="591" spans="1:89">
      <c r="A591" s="41" t="s">
        <v>720</v>
      </c>
      <c r="B591" s="51">
        <v>114.56682539683</v>
      </c>
      <c r="C591" s="51">
        <v>113.84904761905</v>
      </c>
      <c r="D591" s="51">
        <v>113.21095238095</v>
      </c>
      <c r="E591" s="51">
        <v>116.64047619048</v>
      </c>
      <c r="F591" s="51">
        <v>158.4</v>
      </c>
      <c r="G591" s="51">
        <v>156.9</v>
      </c>
      <c r="H591" s="51">
        <v>8.25</v>
      </c>
      <c r="I591" s="51">
        <v>14.64</v>
      </c>
      <c r="J591" s="51">
        <v>13.25</v>
      </c>
      <c r="K591" s="51">
        <v>178.75777949734001</v>
      </c>
      <c r="L591" s="51">
        <v>2.8157800000000002</v>
      </c>
      <c r="M591" s="51">
        <v>3.2282250659999998</v>
      </c>
      <c r="N591" s="51">
        <v>2.481520272</v>
      </c>
      <c r="O591" s="51">
        <v>2.7420665187800002</v>
      </c>
      <c r="P591" s="51">
        <v>2.9964193684099998</v>
      </c>
      <c r="Q591" s="51">
        <v>2.6297801879199998</v>
      </c>
      <c r="R591" s="51">
        <v>2.6</v>
      </c>
      <c r="S591" s="51">
        <v>1193</v>
      </c>
      <c r="T591" s="51">
        <v>1620</v>
      </c>
      <c r="U591" s="51">
        <v>1104.21</v>
      </c>
      <c r="V591" s="51">
        <v>2427.1799999999998</v>
      </c>
      <c r="W591" s="51">
        <v>963.57</v>
      </c>
      <c r="X591" s="51">
        <v>1064.29</v>
      </c>
      <c r="Y591" s="51">
        <v>557.28</v>
      </c>
      <c r="Z591" s="51">
        <v>1329.64</v>
      </c>
      <c r="AA591" s="51">
        <v>441.67</v>
      </c>
      <c r="AB591" s="51">
        <v>1352.83</v>
      </c>
      <c r="AC591" s="51">
        <v>1319</v>
      </c>
      <c r="AD591" s="51">
        <v>212.25341426404</v>
      </c>
      <c r="AE591" s="51">
        <v>235.02696</v>
      </c>
      <c r="AF591" s="51">
        <v>209.33969210000001</v>
      </c>
      <c r="AG591" s="51">
        <v>693.5</v>
      </c>
      <c r="AH591" s="51">
        <v>657.5</v>
      </c>
      <c r="AI591" s="51">
        <v>468.75</v>
      </c>
      <c r="AJ591" s="51">
        <v>607.5</v>
      </c>
      <c r="AK591" s="51">
        <v>255.3685065</v>
      </c>
      <c r="AL591" s="51">
        <v>329.34415053552999</v>
      </c>
      <c r="AM591" s="51">
        <v>1.1584417810500001</v>
      </c>
      <c r="AN591" s="51">
        <v>0.79920012500000004</v>
      </c>
      <c r="AO591" s="51">
        <v>1.1318525629</v>
      </c>
      <c r="AP591" s="51">
        <v>3.83824342</v>
      </c>
      <c r="AQ591" s="51">
        <v>1.94924021092</v>
      </c>
      <c r="AR591" s="51">
        <v>4.7637071999999998</v>
      </c>
      <c r="AS591" s="51">
        <v>11.230334279999999</v>
      </c>
      <c r="AT591" s="51">
        <v>0.74397692570999996</v>
      </c>
      <c r="AU591" s="51">
        <v>0.51267913190000003</v>
      </c>
      <c r="AV591" s="51">
        <v>0.32209498199999997</v>
      </c>
      <c r="AW591" s="51">
        <v>3704.49</v>
      </c>
      <c r="AX591" s="51">
        <v>554.08979999999997</v>
      </c>
      <c r="AY591" s="51">
        <v>272.94851080369</v>
      </c>
      <c r="AZ591" s="51">
        <v>957.04103651996002</v>
      </c>
      <c r="BA591" s="51">
        <v>879.39373032903995</v>
      </c>
      <c r="BB591" s="51">
        <v>649.25260455986995</v>
      </c>
      <c r="BC591" s="51">
        <v>1.7206009281000001</v>
      </c>
      <c r="BD591" s="51">
        <v>2.9138000000000002</v>
      </c>
      <c r="BE591" s="51">
        <v>2.9264999999999999</v>
      </c>
      <c r="BF591" s="51">
        <v>290</v>
      </c>
      <c r="BG591" s="51">
        <v>1065</v>
      </c>
      <c r="BH591" s="51">
        <v>1131.5</v>
      </c>
      <c r="BI591" s="51">
        <v>785</v>
      </c>
      <c r="BJ591" s="51">
        <v>546</v>
      </c>
      <c r="BK591" s="51">
        <v>2764.375</v>
      </c>
      <c r="BL591" s="51">
        <v>178.74</v>
      </c>
      <c r="BM591" s="51">
        <v>7634.7</v>
      </c>
      <c r="BN591" s="51">
        <v>1923.575</v>
      </c>
      <c r="BO591" s="51">
        <v>20026.25</v>
      </c>
      <c r="BP591" s="51">
        <v>18927.75</v>
      </c>
      <c r="BQ591" s="51">
        <v>1723.2750000000001</v>
      </c>
      <c r="BR591" s="51">
        <v>839.02499999999998</v>
      </c>
      <c r="BS591" s="51">
        <v>1485.55</v>
      </c>
      <c r="BT591" s="51">
        <v>14.635</v>
      </c>
      <c r="BU591" s="41"/>
      <c r="BV591" s="41"/>
      <c r="BW591" s="41"/>
      <c r="BX591" s="41"/>
      <c r="BY591" s="41"/>
      <c r="BZ591" s="41"/>
      <c r="CA591" s="41"/>
      <c r="CB591" s="41"/>
      <c r="CC591" s="41"/>
      <c r="CD591" s="41"/>
      <c r="CE591" s="41"/>
      <c r="CF591" s="41"/>
      <c r="CG591" s="41"/>
      <c r="CH591" s="41"/>
      <c r="CI591" s="41"/>
      <c r="CJ591" s="41"/>
      <c r="CK591" s="41"/>
    </row>
    <row r="592" spans="1:89">
      <c r="A592" s="48" t="s">
        <v>721</v>
      </c>
      <c r="B592" s="49">
        <v>99.656767676770002</v>
      </c>
      <c r="C592" s="49">
        <v>99.064090909089998</v>
      </c>
      <c r="D592" s="49">
        <v>95.969545454550001</v>
      </c>
      <c r="E592" s="49">
        <v>103.93666666667001</v>
      </c>
      <c r="F592" s="49">
        <v>150</v>
      </c>
      <c r="G592" s="49">
        <v>147.75</v>
      </c>
      <c r="H592" s="49">
        <v>7.6944999999999997</v>
      </c>
      <c r="I592" s="49">
        <v>14.85</v>
      </c>
      <c r="J592" s="49">
        <v>14.39</v>
      </c>
      <c r="K592" s="49">
        <v>173.78281327379</v>
      </c>
      <c r="L592" s="49">
        <v>2.6957200000000001</v>
      </c>
      <c r="M592" s="49">
        <v>3.1585590739999998</v>
      </c>
      <c r="N592" s="49">
        <v>2.3232285560000001</v>
      </c>
      <c r="O592" s="49">
        <v>2.6686575287699998</v>
      </c>
      <c r="P592" s="49">
        <v>2.98045665267</v>
      </c>
      <c r="Q592" s="49">
        <v>2.4535159336299999</v>
      </c>
      <c r="R592" s="49">
        <v>2.5720000000000001</v>
      </c>
      <c r="S592" s="49">
        <v>1110</v>
      </c>
      <c r="T592" s="49">
        <v>1616.36</v>
      </c>
      <c r="U592" s="49">
        <v>1122.6099999999999</v>
      </c>
      <c r="V592" s="49">
        <v>2313.85</v>
      </c>
      <c r="W592" s="49">
        <v>826.02</v>
      </c>
      <c r="X592" s="49">
        <v>994.09</v>
      </c>
      <c r="Y592" s="49">
        <v>525.48</v>
      </c>
      <c r="Z592" s="49">
        <v>1201.02</v>
      </c>
      <c r="AA592" s="49">
        <v>413.14</v>
      </c>
      <c r="AB592" s="49">
        <v>1238.29</v>
      </c>
      <c r="AC592" s="49">
        <v>1176</v>
      </c>
      <c r="AD592" s="49">
        <v>189.45928555680001</v>
      </c>
      <c r="AE592" s="49">
        <v>233.84592000000001</v>
      </c>
      <c r="AF592" s="49">
        <v>216.01087222000001</v>
      </c>
      <c r="AG592" s="49">
        <v>683.8</v>
      </c>
      <c r="AH592" s="49">
        <v>651</v>
      </c>
      <c r="AI592" s="49">
        <v>420.4</v>
      </c>
      <c r="AJ592" s="49">
        <v>561.78499999999997</v>
      </c>
      <c r="AK592" s="49">
        <v>223.7689503</v>
      </c>
      <c r="AL592" s="49">
        <v>295.55033419286002</v>
      </c>
      <c r="AM592" s="49">
        <v>1.1068470999</v>
      </c>
      <c r="AN592" s="49">
        <v>0.80264495312999995</v>
      </c>
      <c r="AO592" s="49">
        <v>0.92397093374000006</v>
      </c>
      <c r="AP592" s="49">
        <v>3.5578157560000001</v>
      </c>
      <c r="AQ592" s="49">
        <v>1.9489688730800001</v>
      </c>
      <c r="AR592" s="49">
        <v>4.5418922249999998</v>
      </c>
      <c r="AS592" s="49">
        <v>10.59540372</v>
      </c>
      <c r="AT592" s="49">
        <v>0.71387676</v>
      </c>
      <c r="AU592" s="49">
        <v>0.50924622362000005</v>
      </c>
      <c r="AV592" s="49">
        <v>0.29828508599999998</v>
      </c>
      <c r="AW592" s="49">
        <v>3748.63</v>
      </c>
      <c r="AX592" s="49">
        <v>531.67150000000004</v>
      </c>
      <c r="AY592" s="49">
        <v>284.47124764633998</v>
      </c>
      <c r="AZ592" s="49">
        <v>909.77018780338994</v>
      </c>
      <c r="BA592" s="49">
        <v>888.75544555624003</v>
      </c>
      <c r="BB592" s="49">
        <v>648.81777644546003</v>
      </c>
      <c r="BC592" s="49">
        <v>1.6226003200000001</v>
      </c>
      <c r="BD592" s="49">
        <v>2.8073000000000001</v>
      </c>
      <c r="BE592" s="49">
        <v>2.8313000000000001</v>
      </c>
      <c r="BF592" s="49">
        <v>278</v>
      </c>
      <c r="BG592" s="49">
        <v>980</v>
      </c>
      <c r="BH592" s="49">
        <v>1079.25</v>
      </c>
      <c r="BI592" s="49">
        <v>744.5</v>
      </c>
      <c r="BJ592" s="49">
        <v>546</v>
      </c>
      <c r="BK592" s="49">
        <v>2525.8180000000002</v>
      </c>
      <c r="BL592" s="49">
        <v>139.63999999999999</v>
      </c>
      <c r="BM592" s="49">
        <v>6990.8639999999996</v>
      </c>
      <c r="BN592" s="49">
        <v>1868.364</v>
      </c>
      <c r="BO592" s="49">
        <v>18368.864000000001</v>
      </c>
      <c r="BP592" s="49">
        <v>17794.544999999998</v>
      </c>
      <c r="BQ592" s="49">
        <v>1735.4770000000001</v>
      </c>
      <c r="BR592" s="49">
        <v>829.93200000000002</v>
      </c>
      <c r="BS592" s="49">
        <v>1223.18</v>
      </c>
      <c r="BT592" s="49">
        <v>12.372999999999999</v>
      </c>
      <c r="BU592" s="41"/>
      <c r="BV592" s="41"/>
      <c r="BW592" s="41"/>
      <c r="BX592" s="41"/>
      <c r="BY592" s="41"/>
      <c r="BZ592" s="41"/>
      <c r="CA592" s="41"/>
      <c r="CB592" s="41"/>
      <c r="CC592" s="41"/>
      <c r="CD592" s="41"/>
      <c r="CE592" s="41"/>
      <c r="CF592" s="41"/>
      <c r="CG592" s="41"/>
      <c r="CH592" s="41"/>
      <c r="CI592" s="41"/>
      <c r="CJ592" s="41"/>
      <c r="CK592" s="41"/>
    </row>
    <row r="593" spans="1:89">
      <c r="A593" s="41" t="s">
        <v>722</v>
      </c>
      <c r="B593" s="51">
        <v>72.692753623190001</v>
      </c>
      <c r="C593" s="51">
        <v>72.84260869565</v>
      </c>
      <c r="D593" s="51">
        <v>68.620869565220005</v>
      </c>
      <c r="E593" s="51">
        <v>76.614782608699997</v>
      </c>
      <c r="F593" s="51">
        <v>108</v>
      </c>
      <c r="G593" s="51">
        <v>109.7</v>
      </c>
      <c r="H593" s="51">
        <v>6.7335000000000003</v>
      </c>
      <c r="I593" s="51">
        <v>15.93</v>
      </c>
      <c r="J593" s="51">
        <v>15.01</v>
      </c>
      <c r="K593" s="51">
        <v>167.66736836214</v>
      </c>
      <c r="L593" s="51">
        <v>2.27393</v>
      </c>
      <c r="M593" s="51">
        <v>2.7246898580000001</v>
      </c>
      <c r="N593" s="51">
        <v>1.957041174</v>
      </c>
      <c r="O593" s="51">
        <v>2.3049551821800001</v>
      </c>
      <c r="P593" s="51">
        <v>2.3671224688499999</v>
      </c>
      <c r="Q593" s="51">
        <v>2.3227430776800002</v>
      </c>
      <c r="R593" s="51">
        <v>2.2250000000000001</v>
      </c>
      <c r="S593" s="51">
        <v>856</v>
      </c>
      <c r="T593" s="51">
        <v>1489.13</v>
      </c>
      <c r="U593" s="51">
        <v>1154.02</v>
      </c>
      <c r="V593" s="51">
        <v>2119.44</v>
      </c>
      <c r="W593" s="51">
        <v>635.75</v>
      </c>
      <c r="X593" s="51">
        <v>750.65</v>
      </c>
      <c r="Y593" s="51">
        <v>399.87</v>
      </c>
      <c r="Z593" s="51">
        <v>942.53</v>
      </c>
      <c r="AA593" s="51">
        <v>350.96</v>
      </c>
      <c r="AB593" s="51">
        <v>1040.68</v>
      </c>
      <c r="AC593" s="51">
        <v>950</v>
      </c>
      <c r="AD593" s="51">
        <v>143.36741545013001</v>
      </c>
      <c r="AE593" s="51">
        <v>183.06120000000001</v>
      </c>
      <c r="AF593" s="51">
        <v>163.62593786957001</v>
      </c>
      <c r="AG593" s="51">
        <v>609.25</v>
      </c>
      <c r="AH593" s="51">
        <v>487.5</v>
      </c>
      <c r="AI593" s="51">
        <v>348.25</v>
      </c>
      <c r="AJ593" s="51">
        <v>478.572</v>
      </c>
      <c r="AK593" s="51">
        <v>185.92297020000001</v>
      </c>
      <c r="AL593" s="51">
        <v>237.38407758586999</v>
      </c>
      <c r="AM593" s="51">
        <v>0.94203309070999997</v>
      </c>
      <c r="AN593" s="51">
        <v>0.80746771250000005</v>
      </c>
      <c r="AO593" s="51">
        <v>0.90982506563999999</v>
      </c>
      <c r="AP593" s="51">
        <v>3.1140257500000001</v>
      </c>
      <c r="AQ593" s="51">
        <v>1.92982986429</v>
      </c>
      <c r="AR593" s="51">
        <v>4.3146509999999996</v>
      </c>
      <c r="AS593" s="51">
        <v>10.361713999999999</v>
      </c>
      <c r="AT593" s="51">
        <v>0.52608921390999996</v>
      </c>
      <c r="AU593" s="51">
        <v>0.47192287426000001</v>
      </c>
      <c r="AV593" s="51">
        <v>0.26234977999999998</v>
      </c>
      <c r="AW593" s="51">
        <v>3804.36</v>
      </c>
      <c r="AX593" s="51">
        <v>492.91770000000002</v>
      </c>
      <c r="AY593" s="51">
        <v>304.44857531829001</v>
      </c>
      <c r="AZ593" s="51">
        <v>822.20852382447003</v>
      </c>
      <c r="BA593" s="51">
        <v>861.69599039057005</v>
      </c>
      <c r="BB593" s="51">
        <v>643.85210936316003</v>
      </c>
      <c r="BC593" s="51">
        <v>1.37347826</v>
      </c>
      <c r="BD593" s="51">
        <v>1.8623000000000001</v>
      </c>
      <c r="BE593" s="51">
        <v>1.9160999999999999</v>
      </c>
      <c r="BF593" s="51">
        <v>450</v>
      </c>
      <c r="BG593" s="51">
        <v>910</v>
      </c>
      <c r="BH593" s="51">
        <v>965</v>
      </c>
      <c r="BI593" s="51">
        <v>575</v>
      </c>
      <c r="BJ593" s="51">
        <v>546</v>
      </c>
      <c r="BK593" s="51">
        <v>2121.413</v>
      </c>
      <c r="BL593" s="51">
        <v>88.67</v>
      </c>
      <c r="BM593" s="51">
        <v>4925.6959999999999</v>
      </c>
      <c r="BN593" s="51">
        <v>1480.1089999999999</v>
      </c>
      <c r="BO593" s="51">
        <v>14401.739</v>
      </c>
      <c r="BP593" s="51">
        <v>12139.782999999999</v>
      </c>
      <c r="BQ593" s="51">
        <v>1302.1089999999999</v>
      </c>
      <c r="BR593" s="51">
        <v>806.62</v>
      </c>
      <c r="BS593" s="51">
        <v>912.57</v>
      </c>
      <c r="BT593" s="51">
        <v>10.4413</v>
      </c>
      <c r="BU593" s="41"/>
      <c r="BV593" s="41"/>
      <c r="BW593" s="41"/>
      <c r="BX593" s="41"/>
      <c r="BY593" s="41"/>
      <c r="BZ593" s="41"/>
      <c r="CA593" s="41"/>
      <c r="CB593" s="41"/>
      <c r="CC593" s="41"/>
      <c r="CD593" s="41"/>
      <c r="CE593" s="41"/>
      <c r="CF593" s="41"/>
      <c r="CG593" s="41"/>
      <c r="CH593" s="41"/>
      <c r="CI593" s="41"/>
      <c r="CJ593" s="41"/>
      <c r="CK593" s="41"/>
    </row>
    <row r="594" spans="1:89">
      <c r="A594" s="48" t="s">
        <v>723</v>
      </c>
      <c r="B594" s="49">
        <v>53.972728070179997</v>
      </c>
      <c r="C594" s="49">
        <v>53.241</v>
      </c>
      <c r="D594" s="49">
        <v>51.383499999999998</v>
      </c>
      <c r="E594" s="49">
        <v>57.293684210530003</v>
      </c>
      <c r="F594" s="49">
        <v>92.25</v>
      </c>
      <c r="G594" s="49">
        <v>89.38</v>
      </c>
      <c r="H594" s="49">
        <v>6.6745000000000001</v>
      </c>
      <c r="I594" s="49">
        <v>15.81</v>
      </c>
      <c r="J594" s="49">
        <v>15.06</v>
      </c>
      <c r="K594" s="49">
        <v>166.41430737438</v>
      </c>
      <c r="L594" s="49">
        <v>2.0545900000000001</v>
      </c>
      <c r="M594" s="49">
        <v>2.6872113180000001</v>
      </c>
      <c r="N594" s="49">
        <v>2.0009131120000001</v>
      </c>
      <c r="O594" s="49">
        <v>1.96734080153</v>
      </c>
      <c r="P594" s="49">
        <v>1.97986455161</v>
      </c>
      <c r="Q594" s="49">
        <v>2.1946578529699998</v>
      </c>
      <c r="R594" s="49">
        <v>1.7275</v>
      </c>
      <c r="S594" s="49">
        <v>719</v>
      </c>
      <c r="T594" s="49">
        <v>1265</v>
      </c>
      <c r="U594" s="49">
        <v>1187.5899999999999</v>
      </c>
      <c r="V594" s="49">
        <v>1933.45</v>
      </c>
      <c r="W594" s="49">
        <v>581.25</v>
      </c>
      <c r="X594" s="49">
        <v>514.5</v>
      </c>
      <c r="Y594" s="49">
        <v>371.76</v>
      </c>
      <c r="Z594" s="49">
        <v>825.64</v>
      </c>
      <c r="AA594" s="49">
        <v>333.7</v>
      </c>
      <c r="AB594" s="49">
        <v>974.82</v>
      </c>
      <c r="AC594" s="49">
        <v>835</v>
      </c>
      <c r="AD594" s="49">
        <v>130.08774094130001</v>
      </c>
      <c r="AE594" s="49">
        <v>163.77088000000001</v>
      </c>
      <c r="AF594" s="49">
        <v>150.75412022</v>
      </c>
      <c r="AG594" s="49">
        <v>552</v>
      </c>
      <c r="AH594" s="49">
        <v>440.25</v>
      </c>
      <c r="AI594" s="49">
        <v>307</v>
      </c>
      <c r="AJ594" s="49">
        <v>431.07</v>
      </c>
      <c r="AK594" s="49">
        <v>182.98347659999999</v>
      </c>
      <c r="AL594" s="49">
        <v>226.8462326625</v>
      </c>
      <c r="AM594" s="49">
        <v>0.88292644682999999</v>
      </c>
      <c r="AN594" s="49">
        <v>0.90254496875000001</v>
      </c>
      <c r="AO594" s="49">
        <v>0.85333830754999995</v>
      </c>
      <c r="AP594" s="49">
        <v>2.7282172500000001</v>
      </c>
      <c r="AQ594" s="49">
        <v>1.916365935</v>
      </c>
      <c r="AR594" s="49">
        <v>4.0542480000000003</v>
      </c>
      <c r="AS594" s="49">
        <v>9.9626777799999999</v>
      </c>
      <c r="AT594" s="49">
        <v>0.50279260349999999</v>
      </c>
      <c r="AU594" s="49">
        <v>0.43362554746999998</v>
      </c>
      <c r="AV594" s="49">
        <v>0.26697948199999999</v>
      </c>
      <c r="AW594" s="49">
        <v>3740.82</v>
      </c>
      <c r="AX594" s="49">
        <v>451.98599999999999</v>
      </c>
      <c r="AY594" s="49">
        <v>315.96597694114001</v>
      </c>
      <c r="AZ594" s="49">
        <v>756.66021691458002</v>
      </c>
      <c r="BA594" s="49">
        <v>872.32760116585996</v>
      </c>
      <c r="BB594" s="49">
        <v>646.48729833474999</v>
      </c>
      <c r="BC594" s="49">
        <v>1.21143869</v>
      </c>
      <c r="BD594" s="49">
        <v>1.6161000000000001</v>
      </c>
      <c r="BE594" s="49">
        <v>1.6513</v>
      </c>
      <c r="BF594" s="49">
        <v>450</v>
      </c>
      <c r="BG594" s="49">
        <v>710</v>
      </c>
      <c r="BH594" s="49">
        <v>606</v>
      </c>
      <c r="BI594" s="49">
        <v>287.5</v>
      </c>
      <c r="BJ594" s="49">
        <v>546</v>
      </c>
      <c r="BK594" s="49">
        <v>1852.425</v>
      </c>
      <c r="BL594" s="49">
        <v>64.95</v>
      </c>
      <c r="BM594" s="49">
        <v>3717</v>
      </c>
      <c r="BN594" s="49">
        <v>1291.0999999999999</v>
      </c>
      <c r="BO594" s="49">
        <v>13643.5</v>
      </c>
      <c r="BP594" s="49">
        <v>10701.5</v>
      </c>
      <c r="BQ594" s="49">
        <v>1152.5999999999999</v>
      </c>
      <c r="BR594" s="49">
        <v>760.86300000000006</v>
      </c>
      <c r="BS594" s="49">
        <v>840.3</v>
      </c>
      <c r="BT594" s="49">
        <v>9.8651999999999997</v>
      </c>
      <c r="BU594" s="41"/>
      <c r="BV594" s="41"/>
      <c r="BW594" s="41"/>
      <c r="BX594" s="41"/>
      <c r="BY594" s="41"/>
      <c r="BZ594" s="41"/>
      <c r="CA594" s="41"/>
      <c r="CB594" s="41"/>
      <c r="CC594" s="41"/>
      <c r="CD594" s="41"/>
      <c r="CE594" s="41"/>
      <c r="CF594" s="41"/>
      <c r="CG594" s="41"/>
      <c r="CH594" s="41"/>
      <c r="CI594" s="41"/>
      <c r="CJ594" s="41"/>
      <c r="CK594" s="41"/>
    </row>
    <row r="595" spans="1:89">
      <c r="A595" s="41" t="s">
        <v>724</v>
      </c>
      <c r="B595" s="51">
        <v>41.338924963929998</v>
      </c>
      <c r="C595" s="51">
        <v>41.580909090909998</v>
      </c>
      <c r="D595" s="51">
        <v>40.996818181819997</v>
      </c>
      <c r="E595" s="51">
        <v>41.439047619050001</v>
      </c>
      <c r="F595" s="51">
        <v>78.650000000000006</v>
      </c>
      <c r="G595" s="51">
        <v>77.25</v>
      </c>
      <c r="H595" s="51">
        <v>5.7948000000000004</v>
      </c>
      <c r="I595" s="51">
        <v>15.5</v>
      </c>
      <c r="J595" s="51">
        <v>13.78</v>
      </c>
      <c r="K595" s="51">
        <v>153.39085829468999</v>
      </c>
      <c r="L595" s="51">
        <v>2.39385588235</v>
      </c>
      <c r="M595" s="51">
        <v>2.622836414</v>
      </c>
      <c r="N595" s="51">
        <v>1.8190319619999999</v>
      </c>
      <c r="O595" s="51">
        <v>1.92601276103</v>
      </c>
      <c r="P595" s="51">
        <v>1.9164806479000001</v>
      </c>
      <c r="Q595" s="51">
        <v>2.0890576352000001</v>
      </c>
      <c r="R595" s="51">
        <v>1.7725</v>
      </c>
      <c r="S595" s="51">
        <v>740</v>
      </c>
      <c r="T595" s="51">
        <v>1250</v>
      </c>
      <c r="U595" s="51">
        <v>1180.83</v>
      </c>
      <c r="V595" s="51">
        <v>1761.69</v>
      </c>
      <c r="W595" s="51">
        <v>587.24</v>
      </c>
      <c r="X595" s="51">
        <v>540.24</v>
      </c>
      <c r="Y595" s="51">
        <v>359.35</v>
      </c>
      <c r="Z595" s="51">
        <v>745.55</v>
      </c>
      <c r="AA595" s="51">
        <v>317.86</v>
      </c>
      <c r="AB595" s="51">
        <v>838.02</v>
      </c>
      <c r="AC595" s="51">
        <v>759</v>
      </c>
      <c r="AD595" s="51">
        <v>115.17666870908</v>
      </c>
      <c r="AE595" s="51">
        <v>158.25935999999999</v>
      </c>
      <c r="AF595" s="51">
        <v>138.60005016</v>
      </c>
      <c r="AG595" s="51">
        <v>531.79999999999995</v>
      </c>
      <c r="AH595" s="51">
        <v>422</v>
      </c>
      <c r="AI595" s="51">
        <v>287</v>
      </c>
      <c r="AJ595" s="51">
        <v>413</v>
      </c>
      <c r="AK595" s="51">
        <v>179.3091096</v>
      </c>
      <c r="AL595" s="51">
        <v>220.1354096</v>
      </c>
      <c r="AM595" s="51">
        <v>1.00643896098</v>
      </c>
      <c r="AN595" s="51">
        <v>0.83020357813000001</v>
      </c>
      <c r="AO595" s="51">
        <v>0.76172000244000004</v>
      </c>
      <c r="AP595" s="51">
        <v>2.6565671000000002</v>
      </c>
      <c r="AQ595" s="51">
        <v>1.91847869583</v>
      </c>
      <c r="AR595" s="51">
        <v>3.9309599999999998</v>
      </c>
      <c r="AS595" s="51">
        <v>9.7135557200000004</v>
      </c>
      <c r="AT595" s="51">
        <v>0.5301947145</v>
      </c>
      <c r="AU595" s="51">
        <v>0.43594356299999998</v>
      </c>
      <c r="AV595" s="51">
        <v>0.25904284999999999</v>
      </c>
      <c r="AW595" s="51">
        <v>3775.49</v>
      </c>
      <c r="AX595" s="51">
        <v>476.62299999999999</v>
      </c>
      <c r="AY595" s="51">
        <v>326.62278045521998</v>
      </c>
      <c r="AZ595" s="51">
        <v>733.65049357675002</v>
      </c>
      <c r="BA595" s="51">
        <v>845.80048065115</v>
      </c>
      <c r="BB595" s="51">
        <v>646.06910749384997</v>
      </c>
      <c r="BC595" s="51">
        <v>1.2224617900000001</v>
      </c>
      <c r="BD595" s="51">
        <v>1.1773</v>
      </c>
      <c r="BE595" s="51">
        <v>1.2031000000000001</v>
      </c>
      <c r="BF595" s="51">
        <v>450</v>
      </c>
      <c r="BG595" s="51">
        <v>495</v>
      </c>
      <c r="BH595" s="51">
        <v>405</v>
      </c>
      <c r="BI595" s="51">
        <v>240</v>
      </c>
      <c r="BJ595" s="51">
        <v>546</v>
      </c>
      <c r="BK595" s="51">
        <v>1490.4290000000001</v>
      </c>
      <c r="BL595" s="51">
        <v>69.98</v>
      </c>
      <c r="BM595" s="51">
        <v>3071.9760000000001</v>
      </c>
      <c r="BN595" s="51">
        <v>962.88099999999997</v>
      </c>
      <c r="BO595" s="51">
        <v>11240</v>
      </c>
      <c r="BP595" s="51">
        <v>9686.4290000000001</v>
      </c>
      <c r="BQ595" s="51">
        <v>1100.5709999999999</v>
      </c>
      <c r="BR595" s="51">
        <v>816.09199999999998</v>
      </c>
      <c r="BS595" s="51">
        <v>839.7</v>
      </c>
      <c r="BT595" s="51">
        <v>10.2857</v>
      </c>
      <c r="BU595" s="41"/>
      <c r="BV595" s="41"/>
      <c r="BW595" s="41"/>
      <c r="BX595" s="41"/>
      <c r="BY595" s="41"/>
      <c r="BZ595" s="41"/>
      <c r="CA595" s="41"/>
      <c r="CB595" s="41"/>
      <c r="CC595" s="41"/>
      <c r="CD595" s="41"/>
      <c r="CE595" s="41"/>
      <c r="CF595" s="41"/>
      <c r="CG595" s="41"/>
      <c r="CH595" s="41"/>
      <c r="CI595" s="41"/>
      <c r="CJ595" s="41"/>
      <c r="CK595" s="41"/>
    </row>
    <row r="596" spans="1:89">
      <c r="A596" s="48" t="s">
        <v>725</v>
      </c>
      <c r="B596" s="49">
        <v>43.855214285709998</v>
      </c>
      <c r="C596" s="49">
        <v>44.86</v>
      </c>
      <c r="D596" s="49">
        <v>44.967142857139997</v>
      </c>
      <c r="E596" s="49">
        <v>41.738500000000002</v>
      </c>
      <c r="F596" s="49">
        <v>79.400000000000006</v>
      </c>
      <c r="G596" s="49">
        <v>76.400000000000006</v>
      </c>
      <c r="H596" s="49">
        <v>5.2413999999999996</v>
      </c>
      <c r="I596" s="49">
        <v>13.89</v>
      </c>
      <c r="J596" s="49">
        <v>12.71</v>
      </c>
      <c r="K596" s="49">
        <v>138.29190146841</v>
      </c>
      <c r="L596" s="49">
        <v>2.6259228819999998</v>
      </c>
      <c r="M596" s="49">
        <v>2.8285274600000001</v>
      </c>
      <c r="N596" s="49">
        <v>1.8241025879999999</v>
      </c>
      <c r="O596" s="49">
        <v>2.1858171945899998</v>
      </c>
      <c r="P596" s="49">
        <v>2.4594367732200002</v>
      </c>
      <c r="Q596" s="49">
        <v>1.9055148105399999</v>
      </c>
      <c r="R596" s="49">
        <v>2.1924999999999999</v>
      </c>
      <c r="S596" s="49">
        <v>734</v>
      </c>
      <c r="T596" s="49">
        <v>1195.45</v>
      </c>
      <c r="U596" s="49">
        <v>1192.2</v>
      </c>
      <c r="V596" s="49">
        <v>1619.87</v>
      </c>
      <c r="W596" s="49">
        <v>658.55</v>
      </c>
      <c r="X596" s="49">
        <v>556</v>
      </c>
      <c r="Y596" s="49">
        <v>400.92</v>
      </c>
      <c r="Z596" s="49">
        <v>789.89</v>
      </c>
      <c r="AA596" s="49">
        <v>382.67</v>
      </c>
      <c r="AB596" s="49">
        <v>831.74</v>
      </c>
      <c r="AC596" s="49">
        <v>817</v>
      </c>
      <c r="AD596" s="49">
        <v>121.39498219577</v>
      </c>
      <c r="AE596" s="49">
        <v>172.82552000000001</v>
      </c>
      <c r="AF596" s="49">
        <v>153.25636392000001</v>
      </c>
      <c r="AG596" s="49">
        <v>580</v>
      </c>
      <c r="AH596" s="49">
        <v>464</v>
      </c>
      <c r="AI596" s="49">
        <v>318.60000000000002</v>
      </c>
      <c r="AJ596" s="49">
        <v>386.79</v>
      </c>
      <c r="AK596" s="49">
        <v>195.1088877</v>
      </c>
      <c r="AL596" s="49">
        <v>239.11426721842</v>
      </c>
      <c r="AM596" s="49">
        <v>1.0277110227499999</v>
      </c>
      <c r="AN596" s="49">
        <v>0.81986909375000006</v>
      </c>
      <c r="AO596" s="49">
        <v>0.78288590259000002</v>
      </c>
      <c r="AP596" s="49">
        <v>2.6360641340000002</v>
      </c>
      <c r="AQ596" s="49">
        <v>1.92353095</v>
      </c>
      <c r="AR596" s="49">
        <v>3.8074080000000001</v>
      </c>
      <c r="AS596" s="49">
        <v>9.7378065399999993</v>
      </c>
      <c r="AT596" s="49">
        <v>0.5230983615</v>
      </c>
      <c r="AU596" s="49">
        <v>0.44417581449999999</v>
      </c>
      <c r="AV596" s="49">
        <v>0.27756165799999999</v>
      </c>
      <c r="AW596" s="49">
        <v>3828.99166666667</v>
      </c>
      <c r="AX596" s="49">
        <v>470.233</v>
      </c>
      <c r="AY596" s="49">
        <v>329.65248684648998</v>
      </c>
      <c r="AZ596" s="49">
        <v>697.55312275643996</v>
      </c>
      <c r="BA596" s="49">
        <v>818.44849999999997</v>
      </c>
      <c r="BB596" s="49">
        <v>574.69867001466002</v>
      </c>
      <c r="BC596" s="49">
        <v>1.2720657399999999</v>
      </c>
      <c r="BD596" s="49">
        <v>1.4079470000000001</v>
      </c>
      <c r="BE596" s="49">
        <v>1.487368</v>
      </c>
      <c r="BF596" s="49">
        <v>450</v>
      </c>
      <c r="BG596" s="49">
        <v>308.875</v>
      </c>
      <c r="BH596" s="49">
        <v>350</v>
      </c>
      <c r="BI596" s="49">
        <v>273.75</v>
      </c>
      <c r="BJ596" s="49">
        <v>546</v>
      </c>
      <c r="BK596" s="49">
        <v>1413.1189999999999</v>
      </c>
      <c r="BL596" s="49">
        <v>72.510000000000005</v>
      </c>
      <c r="BM596" s="49">
        <v>3220.69</v>
      </c>
      <c r="BN596" s="49">
        <v>1132.7380000000001</v>
      </c>
      <c r="BO596" s="49">
        <v>11372.857</v>
      </c>
      <c r="BP596" s="49">
        <v>11306.905000000001</v>
      </c>
      <c r="BQ596" s="49">
        <v>1187.405</v>
      </c>
      <c r="BR596" s="49">
        <v>858.69</v>
      </c>
      <c r="BS596" s="49">
        <v>947.41</v>
      </c>
      <c r="BT596" s="49">
        <v>11.2682</v>
      </c>
      <c r="BU596" s="41"/>
      <c r="BV596" s="41"/>
      <c r="BW596" s="41"/>
      <c r="BX596" s="41"/>
      <c r="BY596" s="41"/>
      <c r="BZ596" s="41"/>
      <c r="CA596" s="41"/>
      <c r="CB596" s="41"/>
      <c r="CC596" s="41"/>
      <c r="CD596" s="41"/>
      <c r="CE596" s="41"/>
      <c r="CF596" s="41"/>
      <c r="CG596" s="41"/>
      <c r="CH596" s="41"/>
      <c r="CI596" s="41"/>
      <c r="CJ596" s="41"/>
      <c r="CK596" s="41"/>
    </row>
    <row r="597" spans="1:89">
      <c r="A597" s="41" t="s">
        <v>726</v>
      </c>
      <c r="B597" s="51">
        <v>41.843675438600002</v>
      </c>
      <c r="C597" s="51">
        <v>43.2425</v>
      </c>
      <c r="D597" s="51">
        <v>43.137999999999998</v>
      </c>
      <c r="E597" s="51">
        <v>39.150526315790003</v>
      </c>
      <c r="F597" s="51">
        <v>75.38</v>
      </c>
      <c r="G597" s="51">
        <v>69.06</v>
      </c>
      <c r="H597" s="51">
        <v>4.5190000000000001</v>
      </c>
      <c r="I597" s="51">
        <v>11.04</v>
      </c>
      <c r="J597" s="51">
        <v>10.52</v>
      </c>
      <c r="K597" s="51">
        <v>114.48699546667</v>
      </c>
      <c r="L597" s="51">
        <v>2.6475281580000001</v>
      </c>
      <c r="M597" s="51">
        <v>2.8545419760000001</v>
      </c>
      <c r="N597" s="51">
        <v>1.768546164</v>
      </c>
      <c r="O597" s="51">
        <v>2.1351868488100001</v>
      </c>
      <c r="P597" s="51">
        <v>2.54270987133</v>
      </c>
      <c r="Q597" s="51">
        <v>1.7453506751000001</v>
      </c>
      <c r="R597" s="51">
        <v>2.1175000000000002</v>
      </c>
      <c r="S597" s="51">
        <v>673</v>
      </c>
      <c r="T597" s="51">
        <v>1110</v>
      </c>
      <c r="U597" s="51">
        <v>1192.07</v>
      </c>
      <c r="V597" s="51">
        <v>1543.24</v>
      </c>
      <c r="W597" s="51">
        <v>655.66</v>
      </c>
      <c r="X597" s="51">
        <v>565.25</v>
      </c>
      <c r="Y597" s="51">
        <v>374.45</v>
      </c>
      <c r="Z597" s="51">
        <v>747.64</v>
      </c>
      <c r="AA597" s="51">
        <v>396</v>
      </c>
      <c r="AB597" s="51">
        <v>802.4</v>
      </c>
      <c r="AC597" s="51">
        <v>805</v>
      </c>
      <c r="AD597" s="51">
        <v>112.53437575821</v>
      </c>
      <c r="AE597" s="51">
        <v>163.37719999999999</v>
      </c>
      <c r="AF597" s="51">
        <v>144.12923712</v>
      </c>
      <c r="AG597" s="51">
        <v>590.75</v>
      </c>
      <c r="AH597" s="51">
        <v>472.75</v>
      </c>
      <c r="AI597" s="51">
        <v>319.5</v>
      </c>
      <c r="AJ597" s="51">
        <v>418.09333333333001</v>
      </c>
      <c r="AK597" s="51">
        <v>183.3509133</v>
      </c>
      <c r="AL597" s="51">
        <v>224.68754204999999</v>
      </c>
      <c r="AM597" s="51">
        <v>1.0671496649200001</v>
      </c>
      <c r="AN597" s="51">
        <v>0.94388290625000004</v>
      </c>
      <c r="AO597" s="51">
        <v>0.76646124725999998</v>
      </c>
      <c r="AP597" s="51">
        <v>2.5359743859999999</v>
      </c>
      <c r="AQ597" s="51">
        <v>1.9114055400000001</v>
      </c>
      <c r="AR597" s="51">
        <v>3.8027880000000001</v>
      </c>
      <c r="AS597" s="51">
        <v>9.9207900000000002</v>
      </c>
      <c r="AT597" s="51">
        <v>0.504867803</v>
      </c>
      <c r="AU597" s="51">
        <v>0.43494831947000001</v>
      </c>
      <c r="AV597" s="51">
        <v>0.29255307400000002</v>
      </c>
      <c r="AW597" s="51">
        <v>4097.5</v>
      </c>
      <c r="AX597" s="51">
        <v>421.89510000000001</v>
      </c>
      <c r="AY597" s="51">
        <v>322.45407424049</v>
      </c>
      <c r="AZ597" s="51">
        <v>690.19541757658999</v>
      </c>
      <c r="BA597" s="51">
        <v>806.65200000000004</v>
      </c>
      <c r="BB597" s="51">
        <v>572.95990329302003</v>
      </c>
      <c r="BC597" s="51">
        <v>1.2169502400000001</v>
      </c>
      <c r="BD597" s="51">
        <v>1.2977000000000001</v>
      </c>
      <c r="BE597" s="51">
        <v>1.46315</v>
      </c>
      <c r="BF597" s="51">
        <v>450</v>
      </c>
      <c r="BG597" s="51">
        <v>313.75</v>
      </c>
      <c r="BH597" s="51">
        <v>320</v>
      </c>
      <c r="BI597" s="51">
        <v>281.25</v>
      </c>
      <c r="BJ597" s="51">
        <v>580.125</v>
      </c>
      <c r="BK597" s="51">
        <v>1330.2</v>
      </c>
      <c r="BL597" s="51">
        <v>75.59</v>
      </c>
      <c r="BM597" s="51">
        <v>3314.7249999999999</v>
      </c>
      <c r="BN597" s="51">
        <v>1100.5250000000001</v>
      </c>
      <c r="BO597" s="51">
        <v>11039.25</v>
      </c>
      <c r="BP597" s="51">
        <v>10408.75</v>
      </c>
      <c r="BQ597" s="51">
        <v>1112.075</v>
      </c>
      <c r="BR597" s="51">
        <v>943</v>
      </c>
      <c r="BS597" s="51">
        <v>1033.25</v>
      </c>
      <c r="BT597" s="51">
        <v>13.4125</v>
      </c>
      <c r="BU597" s="41"/>
      <c r="BV597" s="41"/>
      <c r="BW597" s="41"/>
      <c r="BX597" s="41"/>
      <c r="BY597" s="41"/>
      <c r="BZ597" s="41"/>
      <c r="CA597" s="41"/>
      <c r="CB597" s="41"/>
      <c r="CC597" s="41"/>
      <c r="CD597" s="41"/>
      <c r="CE597" s="41"/>
      <c r="CF597" s="41"/>
      <c r="CG597" s="41"/>
      <c r="CH597" s="41"/>
      <c r="CI597" s="41"/>
      <c r="CJ597" s="41"/>
      <c r="CK597" s="41"/>
    </row>
    <row r="598" spans="1:89">
      <c r="A598" s="48" t="s">
        <v>727</v>
      </c>
      <c r="B598" s="49">
        <v>46.645303030299999</v>
      </c>
      <c r="C598" s="49">
        <v>46.839090909089997</v>
      </c>
      <c r="D598" s="49">
        <v>45.575909090910002</v>
      </c>
      <c r="E598" s="49">
        <v>47.520909090910003</v>
      </c>
      <c r="F598" s="49">
        <v>61</v>
      </c>
      <c r="G598" s="49">
        <v>58.56</v>
      </c>
      <c r="H598" s="49">
        <v>3.9502000000000002</v>
      </c>
      <c r="I598" s="49">
        <v>10.9</v>
      </c>
      <c r="J598" s="49">
        <v>9.48</v>
      </c>
      <c r="K598" s="49">
        <v>106.20969493210001</v>
      </c>
      <c r="L598" s="49">
        <v>2.5099598699999999</v>
      </c>
      <c r="M598" s="49">
        <v>2.8333776240000002</v>
      </c>
      <c r="N598" s="49">
        <v>1.6823455220000001</v>
      </c>
      <c r="O598" s="49">
        <v>2.21858600382</v>
      </c>
      <c r="P598" s="49">
        <v>2.8473854739000002</v>
      </c>
      <c r="Q598" s="49">
        <v>1.67037253755</v>
      </c>
      <c r="R598" s="49">
        <v>2.1379999999999999</v>
      </c>
      <c r="S598" s="49">
        <v>625</v>
      </c>
      <c r="T598" s="49">
        <v>1100</v>
      </c>
      <c r="U598" s="49">
        <v>1253.7</v>
      </c>
      <c r="V598" s="49">
        <v>1535.22</v>
      </c>
      <c r="W598" s="49">
        <v>660.48</v>
      </c>
      <c r="X598" s="49">
        <v>586.25</v>
      </c>
      <c r="Y598" s="49">
        <v>372.75</v>
      </c>
      <c r="Z598" s="49">
        <v>730.71</v>
      </c>
      <c r="AA598" s="49">
        <v>366.91</v>
      </c>
      <c r="AB598" s="49">
        <v>776.9</v>
      </c>
      <c r="AC598" s="49">
        <v>757</v>
      </c>
      <c r="AD598" s="49">
        <v>114.84506035755</v>
      </c>
      <c r="AE598" s="49">
        <v>164.55824000000001</v>
      </c>
      <c r="AF598" s="49">
        <v>138.58902706000001</v>
      </c>
      <c r="AG598" s="49">
        <v>588.25</v>
      </c>
      <c r="AH598" s="49">
        <v>471.5</v>
      </c>
      <c r="AI598" s="49">
        <v>332</v>
      </c>
      <c r="AJ598" s="49" t="s">
        <v>1574</v>
      </c>
      <c r="AK598" s="49">
        <v>183.71834999999999</v>
      </c>
      <c r="AL598" s="49">
        <v>230.98173272099999</v>
      </c>
      <c r="AM598" s="49">
        <v>1.3309435726700001</v>
      </c>
      <c r="AN598" s="49">
        <v>0.90943462500000005</v>
      </c>
      <c r="AO598" s="49">
        <v>0.84705326174999995</v>
      </c>
      <c r="AP598" s="49">
        <v>2.6129156240000002</v>
      </c>
      <c r="AQ598" s="49">
        <v>1.89003768462</v>
      </c>
      <c r="AR598" s="49">
        <v>3.7458431999999999</v>
      </c>
      <c r="AS598" s="49">
        <v>10.031021000000001</v>
      </c>
      <c r="AT598" s="49">
        <v>0.51533731999999999</v>
      </c>
      <c r="AU598" s="49">
        <v>0.43548259700000003</v>
      </c>
      <c r="AV598" s="49">
        <v>0.29541908</v>
      </c>
      <c r="AW598" s="49">
        <v>4203.6000000000004</v>
      </c>
      <c r="AX598" s="49">
        <v>388.23155000000003</v>
      </c>
      <c r="AY598" s="49">
        <v>288.56913615090002</v>
      </c>
      <c r="AZ598" s="49">
        <v>679.86009517238995</v>
      </c>
      <c r="BA598" s="49">
        <v>815.85599999999999</v>
      </c>
      <c r="BB598" s="49">
        <v>570.78559738134004</v>
      </c>
      <c r="BC598" s="49">
        <v>1.1353793000000001</v>
      </c>
      <c r="BD598" s="49">
        <v>1.2775000000000001</v>
      </c>
      <c r="BE598" s="49">
        <v>1.4308179999999999</v>
      </c>
      <c r="BF598" s="49">
        <v>450</v>
      </c>
      <c r="BG598" s="49">
        <v>317.8</v>
      </c>
      <c r="BH598" s="49">
        <v>295</v>
      </c>
      <c r="BI598" s="49">
        <v>268.5</v>
      </c>
      <c r="BJ598" s="49">
        <v>682.5</v>
      </c>
      <c r="BK598" s="49">
        <v>1335.8409999999999</v>
      </c>
      <c r="BL598" s="49">
        <v>64.069999999999993</v>
      </c>
      <c r="BM598" s="49">
        <v>3749.75</v>
      </c>
      <c r="BN598" s="49">
        <v>1238.9090000000001</v>
      </c>
      <c r="BO598" s="49">
        <v>10675.909</v>
      </c>
      <c r="BP598" s="49">
        <v>9696.3639999999996</v>
      </c>
      <c r="BQ598" s="49">
        <v>1216.75</v>
      </c>
      <c r="BR598" s="49">
        <v>924.27300000000002</v>
      </c>
      <c r="BS598" s="49">
        <v>1081.77</v>
      </c>
      <c r="BT598" s="49">
        <v>13.1168</v>
      </c>
      <c r="BU598" s="41"/>
      <c r="BV598" s="41"/>
      <c r="BW598" s="41"/>
      <c r="BX598" s="41"/>
      <c r="BY598" s="41"/>
      <c r="BZ598" s="41"/>
      <c r="CA598" s="41"/>
      <c r="CB598" s="41"/>
      <c r="CC598" s="41"/>
      <c r="CD598" s="41"/>
      <c r="CE598" s="41"/>
      <c r="CF598" s="41"/>
      <c r="CG598" s="41"/>
      <c r="CH598" s="41"/>
      <c r="CI598" s="41"/>
      <c r="CJ598" s="41"/>
      <c r="CK598" s="41"/>
    </row>
    <row r="599" spans="1:89">
      <c r="A599" s="41" t="s">
        <v>728</v>
      </c>
      <c r="B599" s="51">
        <v>50.278095238100001</v>
      </c>
      <c r="C599" s="51">
        <v>50.845238095239999</v>
      </c>
      <c r="D599" s="51">
        <v>50.18</v>
      </c>
      <c r="E599" s="51">
        <v>49.809047619049998</v>
      </c>
      <c r="F599" s="51">
        <v>63.56</v>
      </c>
      <c r="G599" s="51">
        <v>62.88</v>
      </c>
      <c r="H599" s="51">
        <v>3.4998</v>
      </c>
      <c r="I599" s="51">
        <v>8.51</v>
      </c>
      <c r="J599" s="51">
        <v>8.1199999999999992</v>
      </c>
      <c r="K599" s="51">
        <v>88.456933772349998</v>
      </c>
      <c r="L599" s="51">
        <v>2.55515458</v>
      </c>
      <c r="M599" s="51">
        <v>2.9735914559999999</v>
      </c>
      <c r="N599" s="51">
        <v>1.665149486</v>
      </c>
      <c r="O599" s="51">
        <v>2.5089199608000001</v>
      </c>
      <c r="P599" s="51">
        <v>2.8729398820899998</v>
      </c>
      <c r="Q599" s="51">
        <v>2.4438200003200001</v>
      </c>
      <c r="R599" s="51">
        <v>2.21</v>
      </c>
      <c r="S599" s="51">
        <v>747</v>
      </c>
      <c r="T599" s="51">
        <v>1100</v>
      </c>
      <c r="U599" s="51">
        <v>1274.23</v>
      </c>
      <c r="V599" s="51">
        <v>1433</v>
      </c>
      <c r="W599" s="51">
        <v>799.7</v>
      </c>
      <c r="X599" s="51">
        <v>713.5</v>
      </c>
      <c r="Y599" s="51">
        <v>387.55</v>
      </c>
      <c r="Z599" s="51">
        <v>809.08</v>
      </c>
      <c r="AA599" s="51">
        <v>395.57</v>
      </c>
      <c r="AB599" s="51">
        <v>830.19</v>
      </c>
      <c r="AC599" s="51">
        <v>843</v>
      </c>
      <c r="AD599" s="51">
        <v>111.2902032696</v>
      </c>
      <c r="AE599" s="51">
        <v>168.49503999999999</v>
      </c>
      <c r="AF599" s="51">
        <v>154.14482577999999</v>
      </c>
      <c r="AG599" s="51">
        <v>549.66666666667004</v>
      </c>
      <c r="AH599" s="51">
        <v>446</v>
      </c>
      <c r="AI599" s="51">
        <v>335.66666666666998</v>
      </c>
      <c r="AJ599" s="51">
        <v>430</v>
      </c>
      <c r="AK599" s="51">
        <v>182.6160399</v>
      </c>
      <c r="AL599" s="51">
        <v>233.47312851685999</v>
      </c>
      <c r="AM599" s="51">
        <v>1.29158948728</v>
      </c>
      <c r="AN599" s="51">
        <v>0.8901435875</v>
      </c>
      <c r="AO599" s="51">
        <v>0.90452286280000005</v>
      </c>
      <c r="AP599" s="51">
        <v>2.6373869060000001</v>
      </c>
      <c r="AQ599" s="51">
        <v>1.8824063076899999</v>
      </c>
      <c r="AR599" s="51">
        <v>4.0435121250000003</v>
      </c>
      <c r="AS599" s="51">
        <v>10.031021000000001</v>
      </c>
      <c r="AT599" s="51">
        <v>0.52088494699999999</v>
      </c>
      <c r="AU599" s="51">
        <v>0.468261288</v>
      </c>
      <c r="AV599" s="51">
        <v>0.30093062999999998</v>
      </c>
      <c r="AW599" s="51">
        <v>4191.1750000000002</v>
      </c>
      <c r="AX599" s="51">
        <v>382.51</v>
      </c>
      <c r="AY599" s="51">
        <v>283.13029886185001</v>
      </c>
      <c r="AZ599" s="51">
        <v>684.28014264979004</v>
      </c>
      <c r="BA599" s="51">
        <v>815.68349999999998</v>
      </c>
      <c r="BB599" s="51">
        <v>567.71685761048002</v>
      </c>
      <c r="BC599" s="51">
        <v>1.2522241599999999</v>
      </c>
      <c r="BD599" s="51">
        <v>1.4830000000000001</v>
      </c>
      <c r="BE599" s="51">
        <v>1.62381</v>
      </c>
      <c r="BF599" s="51">
        <v>315</v>
      </c>
      <c r="BG599" s="51">
        <v>300.625</v>
      </c>
      <c r="BH599" s="51">
        <v>278</v>
      </c>
      <c r="BI599" s="51">
        <v>245.625</v>
      </c>
      <c r="BJ599" s="51">
        <v>682.5</v>
      </c>
      <c r="BK599" s="51">
        <v>1420.85</v>
      </c>
      <c r="BL599" s="51">
        <v>59.78</v>
      </c>
      <c r="BM599" s="51">
        <v>4406.55</v>
      </c>
      <c r="BN599" s="51">
        <v>1383.1</v>
      </c>
      <c r="BO599" s="51">
        <v>11743.5</v>
      </c>
      <c r="BP599" s="51">
        <v>11166</v>
      </c>
      <c r="BQ599" s="51">
        <v>1378.85</v>
      </c>
      <c r="BR599" s="51">
        <v>890.2</v>
      </c>
      <c r="BS599" s="51">
        <v>1165.45</v>
      </c>
      <c r="BT599" s="51">
        <v>12.4793</v>
      </c>
      <c r="BU599" s="41"/>
      <c r="BV599" s="41"/>
      <c r="BW599" s="41"/>
      <c r="BX599" s="41"/>
      <c r="BY599" s="41"/>
      <c r="BZ599" s="41"/>
      <c r="CA599" s="41"/>
      <c r="CB599" s="41"/>
      <c r="CC599" s="41"/>
      <c r="CD599" s="41"/>
      <c r="CE599" s="41"/>
      <c r="CF599" s="41"/>
      <c r="CG599" s="41"/>
      <c r="CH599" s="41"/>
      <c r="CI599" s="41"/>
      <c r="CJ599" s="41"/>
      <c r="CK599" s="41"/>
    </row>
    <row r="600" spans="1:89">
      <c r="A600" s="48" t="s">
        <v>729</v>
      </c>
      <c r="B600" s="49">
        <v>58.153888888890002</v>
      </c>
      <c r="C600" s="49">
        <v>57.940952380950002</v>
      </c>
      <c r="D600" s="49">
        <v>57.39571428571</v>
      </c>
      <c r="E600" s="49">
        <v>59.125</v>
      </c>
      <c r="F600" s="49">
        <v>64.5</v>
      </c>
      <c r="G600" s="49">
        <v>58.03</v>
      </c>
      <c r="H600" s="49">
        <v>3.81</v>
      </c>
      <c r="I600" s="49">
        <v>8.09</v>
      </c>
      <c r="J600" s="49">
        <v>7.5</v>
      </c>
      <c r="K600" s="49">
        <v>89.807093329910003</v>
      </c>
      <c r="L600" s="49">
        <v>2.480858886</v>
      </c>
      <c r="M600" s="49">
        <v>3.3287557379999999</v>
      </c>
      <c r="N600" s="49">
        <v>1.667133644</v>
      </c>
      <c r="O600" s="49">
        <v>2.69362024588</v>
      </c>
      <c r="P600" s="49">
        <v>2.9646676565100001</v>
      </c>
      <c r="Q600" s="49">
        <v>2.8936930811399999</v>
      </c>
      <c r="R600" s="49">
        <v>2.2225000000000001</v>
      </c>
      <c r="S600" s="49">
        <v>842.5</v>
      </c>
      <c r="T600" s="49">
        <v>1100</v>
      </c>
      <c r="U600" s="49">
        <v>1258.71</v>
      </c>
      <c r="V600" s="49">
        <v>1406.55</v>
      </c>
      <c r="W600" s="49">
        <v>872.61</v>
      </c>
      <c r="X600" s="49">
        <v>826.84</v>
      </c>
      <c r="Y600" s="49">
        <v>425.72</v>
      </c>
      <c r="Z600" s="49">
        <v>889.62</v>
      </c>
      <c r="AA600" s="49">
        <v>447.37</v>
      </c>
      <c r="AB600" s="49">
        <v>947.07</v>
      </c>
      <c r="AC600" s="49">
        <v>941</v>
      </c>
      <c r="AD600" s="49">
        <v>128.70362325137</v>
      </c>
      <c r="AE600" s="49">
        <v>179.91175999999999</v>
      </c>
      <c r="AF600" s="49">
        <v>160.08407206000001</v>
      </c>
      <c r="AG600" s="49">
        <v>533</v>
      </c>
      <c r="AH600" s="49">
        <v>454</v>
      </c>
      <c r="AI600" s="49">
        <v>322.39999999999998</v>
      </c>
      <c r="AJ600" s="49">
        <v>405.17750000000001</v>
      </c>
      <c r="AK600" s="49">
        <v>202.4576217</v>
      </c>
      <c r="AL600" s="49">
        <v>261.48173459625002</v>
      </c>
      <c r="AM600" s="49">
        <v>1.2867547096900001</v>
      </c>
      <c r="AN600" s="49">
        <v>0.83020357813000001</v>
      </c>
      <c r="AO600" s="49">
        <v>0.88823791277999997</v>
      </c>
      <c r="AP600" s="49">
        <v>2.7244693959999999</v>
      </c>
      <c r="AQ600" s="49">
        <v>1.9171714692299999</v>
      </c>
      <c r="AR600" s="49">
        <v>4.2771074999999996</v>
      </c>
      <c r="AS600" s="49">
        <v>9.8789022200000005</v>
      </c>
      <c r="AT600" s="49">
        <v>0.53835024571000001</v>
      </c>
      <c r="AU600" s="49">
        <v>0.47676009809999997</v>
      </c>
      <c r="AV600" s="49">
        <v>0.35362104799999999</v>
      </c>
      <c r="AW600" s="49">
        <v>4226.7250000000004</v>
      </c>
      <c r="AX600" s="49">
        <v>395.35700000000003</v>
      </c>
      <c r="AY600" s="49">
        <v>291.06493490753002</v>
      </c>
      <c r="AZ600" s="49">
        <v>717.61650940063998</v>
      </c>
      <c r="BA600" s="49">
        <v>855.42150000000004</v>
      </c>
      <c r="BB600" s="49">
        <v>565.91391462903005</v>
      </c>
      <c r="BC600" s="49">
        <v>1.36576209</v>
      </c>
      <c r="BD600" s="49">
        <v>1.56165</v>
      </c>
      <c r="BE600" s="49">
        <v>1.6932499999999999</v>
      </c>
      <c r="BF600" s="49">
        <v>270</v>
      </c>
      <c r="BG600" s="49">
        <v>267.875</v>
      </c>
      <c r="BH600" s="49">
        <v>245</v>
      </c>
      <c r="BI600" s="49">
        <v>236.25</v>
      </c>
      <c r="BJ600" s="49">
        <v>682.5</v>
      </c>
      <c r="BK600" s="49">
        <v>1460.4469999999999</v>
      </c>
      <c r="BL600" s="49">
        <v>62.69</v>
      </c>
      <c r="BM600" s="49">
        <v>4568.6319999999996</v>
      </c>
      <c r="BN600" s="49">
        <v>1440.1579999999999</v>
      </c>
      <c r="BO600" s="49">
        <v>13793.421</v>
      </c>
      <c r="BP600" s="49">
        <v>12634.736999999999</v>
      </c>
      <c r="BQ600" s="49">
        <v>1483.789</v>
      </c>
      <c r="BR600" s="49">
        <v>928.64499999999998</v>
      </c>
      <c r="BS600" s="49">
        <v>1128.67</v>
      </c>
      <c r="BT600" s="49">
        <v>13.9838</v>
      </c>
      <c r="BU600" s="41"/>
      <c r="BV600" s="41"/>
      <c r="BW600" s="41"/>
      <c r="BX600" s="41"/>
      <c r="BY600" s="41"/>
      <c r="BZ600" s="41"/>
      <c r="CA600" s="41"/>
      <c r="CB600" s="41"/>
      <c r="CC600" s="41"/>
      <c r="CD600" s="41"/>
      <c r="CE600" s="41"/>
      <c r="CF600" s="41"/>
      <c r="CG600" s="41"/>
      <c r="CH600" s="41"/>
      <c r="CI600" s="41"/>
      <c r="CJ600" s="41"/>
      <c r="CK600" s="41"/>
    </row>
    <row r="601" spans="1:89">
      <c r="A601" s="41" t="s">
        <v>730</v>
      </c>
      <c r="B601" s="51">
        <v>69.149696969700003</v>
      </c>
      <c r="C601" s="51">
        <v>68.616818181819994</v>
      </c>
      <c r="D601" s="51">
        <v>69.210909090909993</v>
      </c>
      <c r="E601" s="51">
        <v>69.621363636360002</v>
      </c>
      <c r="F601" s="51">
        <v>71.38</v>
      </c>
      <c r="G601" s="51">
        <v>60.2</v>
      </c>
      <c r="H601" s="51">
        <v>3.8043</v>
      </c>
      <c r="I601" s="51">
        <v>7.95</v>
      </c>
      <c r="J601" s="51">
        <v>7.18</v>
      </c>
      <c r="K601" s="51">
        <v>88.855521860920007</v>
      </c>
      <c r="L601" s="51">
        <v>2.7004390379999998</v>
      </c>
      <c r="M601" s="51">
        <v>3.302300298</v>
      </c>
      <c r="N601" s="51">
        <v>1.6267890979999999</v>
      </c>
      <c r="O601" s="51">
        <v>2.7815371531599999</v>
      </c>
      <c r="P601" s="51">
        <v>3.13644330803</v>
      </c>
      <c r="Q601" s="51">
        <v>2.80066815145</v>
      </c>
      <c r="R601" s="51">
        <v>2.4075000000000002</v>
      </c>
      <c r="S601" s="51">
        <v>747</v>
      </c>
      <c r="T601" s="51">
        <v>1100</v>
      </c>
      <c r="U601" s="51">
        <v>1263.68</v>
      </c>
      <c r="V601" s="51">
        <v>1338.81</v>
      </c>
      <c r="W601" s="51">
        <v>788.57</v>
      </c>
      <c r="X601" s="51">
        <v>732.62</v>
      </c>
      <c r="Y601" s="51">
        <v>442.09</v>
      </c>
      <c r="Z601" s="51">
        <v>892.92</v>
      </c>
      <c r="AA601" s="51">
        <v>460.14</v>
      </c>
      <c r="AB601" s="51">
        <v>917.18</v>
      </c>
      <c r="AC601" s="51">
        <v>907</v>
      </c>
      <c r="AD601" s="51">
        <v>148.58836815359001</v>
      </c>
      <c r="AE601" s="51">
        <v>179.51808</v>
      </c>
      <c r="AF601" s="51">
        <v>153.04251578</v>
      </c>
      <c r="AG601" s="51">
        <v>574.5</v>
      </c>
      <c r="AH601" s="51">
        <v>476</v>
      </c>
      <c r="AI601" s="51">
        <v>320.75</v>
      </c>
      <c r="AJ601" s="51">
        <v>404.28500000000003</v>
      </c>
      <c r="AK601" s="51">
        <v>201.72274830000001</v>
      </c>
      <c r="AL601" s="51">
        <v>256.64493149079999</v>
      </c>
      <c r="AM601" s="51">
        <v>1.2842793347999999</v>
      </c>
      <c r="AN601" s="51">
        <v>0.85431737500000005</v>
      </c>
      <c r="AO601" s="51">
        <v>0.81611932533999998</v>
      </c>
      <c r="AP601" s="51">
        <v>2.7447518999999998</v>
      </c>
      <c r="AQ601" s="51">
        <v>1.9438812884600001</v>
      </c>
      <c r="AR601" s="51">
        <v>4.539345</v>
      </c>
      <c r="AS601" s="51">
        <v>9.5526184599999997</v>
      </c>
      <c r="AT601" s="51">
        <v>0.55350979</v>
      </c>
      <c r="AU601" s="51">
        <v>0.49153005</v>
      </c>
      <c r="AV601" s="51">
        <v>0.36221906599999998</v>
      </c>
      <c r="AW601" s="51">
        <v>4245.0916666666699</v>
      </c>
      <c r="AX601" s="51">
        <v>406.464</v>
      </c>
      <c r="AY601" s="51">
        <v>279.2527859823</v>
      </c>
      <c r="AZ601" s="51">
        <v>761.61492641119003</v>
      </c>
      <c r="BA601" s="51">
        <v>817.9</v>
      </c>
      <c r="BB601" s="51">
        <v>563.62952548402995</v>
      </c>
      <c r="BC601" s="51">
        <v>1.3536366799999999</v>
      </c>
      <c r="BD601" s="51">
        <v>1.526818</v>
      </c>
      <c r="BE601" s="51">
        <v>1.674636</v>
      </c>
      <c r="BF601" s="51">
        <v>198</v>
      </c>
      <c r="BG601" s="51">
        <v>256.10000000000002</v>
      </c>
      <c r="BH601" s="51">
        <v>220</v>
      </c>
      <c r="BI601" s="51">
        <v>239.7</v>
      </c>
      <c r="BJ601" s="51">
        <v>682.5</v>
      </c>
      <c r="BK601" s="51">
        <v>1573.7270000000001</v>
      </c>
      <c r="BL601" s="51">
        <v>71.66</v>
      </c>
      <c r="BM601" s="51">
        <v>5013.9549999999999</v>
      </c>
      <c r="BN601" s="51">
        <v>1674.4549999999999</v>
      </c>
      <c r="BO601" s="51">
        <v>14985.682000000001</v>
      </c>
      <c r="BP601" s="51">
        <v>14960.455</v>
      </c>
      <c r="BQ601" s="51">
        <v>1557.2729999999999</v>
      </c>
      <c r="BR601" s="51">
        <v>945.67</v>
      </c>
      <c r="BS601" s="51">
        <v>1217.8599999999999</v>
      </c>
      <c r="BT601" s="51">
        <v>14.654299999999999</v>
      </c>
      <c r="BU601" s="41"/>
      <c r="BV601" s="41"/>
      <c r="BW601" s="41"/>
      <c r="BX601" s="41"/>
      <c r="BY601" s="41"/>
      <c r="BZ601" s="41"/>
      <c r="CA601" s="41"/>
      <c r="CB601" s="41"/>
      <c r="CC601" s="41"/>
      <c r="CD601" s="41"/>
      <c r="CE601" s="41"/>
      <c r="CF601" s="41"/>
      <c r="CG601" s="41"/>
      <c r="CH601" s="41"/>
      <c r="CI601" s="41"/>
      <c r="CJ601" s="41"/>
      <c r="CK601" s="41"/>
    </row>
    <row r="602" spans="1:89">
      <c r="A602" s="48" t="s">
        <v>731</v>
      </c>
      <c r="B602" s="49">
        <v>64.666673254279999</v>
      </c>
      <c r="C602" s="49">
        <v>64.91</v>
      </c>
      <c r="D602" s="49">
        <v>64.969565217389999</v>
      </c>
      <c r="E602" s="49">
        <v>64.120454545450002</v>
      </c>
      <c r="F602" s="49">
        <v>73.8</v>
      </c>
      <c r="G602" s="49">
        <v>61.1</v>
      </c>
      <c r="H602" s="49">
        <v>3.3902000000000001</v>
      </c>
      <c r="I602" s="49">
        <v>6.67</v>
      </c>
      <c r="J602" s="49">
        <v>7.55</v>
      </c>
      <c r="K602" s="49">
        <v>77.992539266669993</v>
      </c>
      <c r="L602" s="49">
        <v>2.7912693819999999</v>
      </c>
      <c r="M602" s="49">
        <v>3.10630958</v>
      </c>
      <c r="N602" s="49">
        <v>1.5802716160000001</v>
      </c>
      <c r="O602" s="49">
        <v>2.9589417034399998</v>
      </c>
      <c r="P602" s="49">
        <v>3.4603277655600002</v>
      </c>
      <c r="Q602" s="49">
        <v>2.7439973447499999</v>
      </c>
      <c r="R602" s="49">
        <v>2.6724999999999999</v>
      </c>
      <c r="S602" s="49">
        <v>685</v>
      </c>
      <c r="T602" s="49">
        <v>1100</v>
      </c>
      <c r="U602" s="49">
        <v>1278.56</v>
      </c>
      <c r="V602" s="49">
        <v>1322.77</v>
      </c>
      <c r="W602" s="49">
        <v>698.48</v>
      </c>
      <c r="X602" s="49">
        <v>663.91</v>
      </c>
      <c r="Y602" s="49">
        <v>430.61</v>
      </c>
      <c r="Z602" s="49">
        <v>846.3</v>
      </c>
      <c r="AA602" s="49">
        <v>440.22</v>
      </c>
      <c r="AB602" s="49">
        <v>851.56</v>
      </c>
      <c r="AC602" s="49">
        <v>804</v>
      </c>
      <c r="AD602" s="49">
        <v>140.30670078052</v>
      </c>
      <c r="AE602" s="49">
        <v>151.5668</v>
      </c>
      <c r="AF602" s="49">
        <v>133.80059241999999</v>
      </c>
      <c r="AG602" s="49">
        <v>572</v>
      </c>
      <c r="AH602" s="49">
        <v>463.5</v>
      </c>
      <c r="AI602" s="49">
        <v>320.25</v>
      </c>
      <c r="AJ602" s="49">
        <v>410.22800000000001</v>
      </c>
      <c r="AK602" s="49">
        <v>175.63474260000001</v>
      </c>
      <c r="AL602" s="49">
        <v>224.85038331477</v>
      </c>
      <c r="AM602" s="49">
        <v>1.1465831788400001</v>
      </c>
      <c r="AN602" s="49">
        <v>0.82675874999999999</v>
      </c>
      <c r="AO602" s="49">
        <v>0.71535925366999997</v>
      </c>
      <c r="AP602" s="49">
        <v>2.7923716920000001</v>
      </c>
      <c r="AQ602" s="49">
        <v>1.9524665875</v>
      </c>
      <c r="AR602" s="49">
        <v>4.5371249999999996</v>
      </c>
      <c r="AS602" s="49">
        <v>9.0521697200000002</v>
      </c>
      <c r="AT602" s="49">
        <v>0.55632310129999996</v>
      </c>
      <c r="AU602" s="49">
        <v>0.50739329300000002</v>
      </c>
      <c r="AV602" s="49">
        <v>0.40631146600000001</v>
      </c>
      <c r="AW602" s="49">
        <v>4238.8583333333299</v>
      </c>
      <c r="AX602" s="49">
        <v>408.55200000000002</v>
      </c>
      <c r="AY602" s="49">
        <v>281.42337662145002</v>
      </c>
      <c r="AZ602" s="49">
        <v>776.02385989481002</v>
      </c>
      <c r="BA602" s="49">
        <v>760.27499999999998</v>
      </c>
      <c r="BB602" s="49">
        <v>561.92914189928001</v>
      </c>
      <c r="BC602" s="49">
        <v>1.42859376</v>
      </c>
      <c r="BD602" s="49">
        <v>1.595478</v>
      </c>
      <c r="BE602" s="49">
        <v>1.749217</v>
      </c>
      <c r="BF602" s="49">
        <v>90</v>
      </c>
      <c r="BG602" s="49">
        <v>263.25</v>
      </c>
      <c r="BH602" s="49">
        <v>224</v>
      </c>
      <c r="BI602" s="49">
        <v>243.75</v>
      </c>
      <c r="BJ602" s="49">
        <v>615.625</v>
      </c>
      <c r="BK602" s="49">
        <v>1667.9570000000001</v>
      </c>
      <c r="BL602" s="49">
        <v>83.95</v>
      </c>
      <c r="BM602" s="49">
        <v>5215.5429999999997</v>
      </c>
      <c r="BN602" s="49">
        <v>1678.6089999999999</v>
      </c>
      <c r="BO602" s="49">
        <v>14038.913</v>
      </c>
      <c r="BP602" s="49">
        <v>15984.565000000001</v>
      </c>
      <c r="BQ602" s="49">
        <v>1578.6089999999999</v>
      </c>
      <c r="BR602" s="49">
        <v>934.22799999999995</v>
      </c>
      <c r="BS602" s="49">
        <v>1162.26</v>
      </c>
      <c r="BT602" s="49">
        <v>13.361700000000001</v>
      </c>
      <c r="BU602" s="41"/>
      <c r="BV602" s="41"/>
      <c r="BW602" s="41"/>
      <c r="BX602" s="41"/>
      <c r="BY602" s="41"/>
      <c r="BZ602" s="41"/>
      <c r="CA602" s="41"/>
      <c r="CB602" s="41"/>
      <c r="CC602" s="41"/>
      <c r="CD602" s="41"/>
      <c r="CE602" s="41"/>
      <c r="CF602" s="41"/>
      <c r="CG602" s="41"/>
      <c r="CH602" s="41"/>
      <c r="CI602" s="41"/>
      <c r="CJ602" s="41"/>
      <c r="CK602" s="41"/>
    </row>
    <row r="603" spans="1:89">
      <c r="A603" s="41" t="s">
        <v>732</v>
      </c>
      <c r="B603" s="51">
        <v>71.629682539680005</v>
      </c>
      <c r="C603" s="51">
        <v>72.504761904760002</v>
      </c>
      <c r="D603" s="51">
        <v>71.324285714289999</v>
      </c>
      <c r="E603" s="51">
        <v>71.06</v>
      </c>
      <c r="F603" s="51">
        <v>72.5</v>
      </c>
      <c r="G603" s="51">
        <v>64.25</v>
      </c>
      <c r="H603" s="51">
        <v>3.1478999999999999</v>
      </c>
      <c r="I603" s="51">
        <v>6.92</v>
      </c>
      <c r="J603" s="51">
        <v>7.76</v>
      </c>
      <c r="K603" s="51">
        <v>76.380966851270003</v>
      </c>
      <c r="L603" s="51">
        <v>2.9566158819999999</v>
      </c>
      <c r="M603" s="51">
        <v>3.301638912</v>
      </c>
      <c r="N603" s="51">
        <v>1.5950425699999999</v>
      </c>
      <c r="O603" s="51">
        <v>2.99231843422</v>
      </c>
      <c r="P603" s="51">
        <v>3.4576370938499998</v>
      </c>
      <c r="Q603" s="51">
        <v>2.7053182088200001</v>
      </c>
      <c r="R603" s="51">
        <v>2.8140000000000001</v>
      </c>
      <c r="S603" s="51">
        <v>747</v>
      </c>
      <c r="T603" s="51">
        <v>1119.05</v>
      </c>
      <c r="U603" s="51">
        <v>1217.04</v>
      </c>
      <c r="V603" s="51">
        <v>1310.18</v>
      </c>
      <c r="W603" s="51">
        <v>746.05</v>
      </c>
      <c r="X603" s="51">
        <v>726.19</v>
      </c>
      <c r="Y603" s="51">
        <v>497.53</v>
      </c>
      <c r="Z603" s="51">
        <v>903.15</v>
      </c>
      <c r="AA603" s="51">
        <v>453.19</v>
      </c>
      <c r="AB603" s="51">
        <v>884.24</v>
      </c>
      <c r="AC603" s="51">
        <v>820</v>
      </c>
      <c r="AD603" s="51">
        <v>122.24774857563</v>
      </c>
      <c r="AE603" s="51">
        <v>151.96047999999999</v>
      </c>
      <c r="AF603" s="51">
        <v>142.37215498</v>
      </c>
      <c r="AG603" s="51">
        <v>526.25</v>
      </c>
      <c r="AH603" s="51">
        <v>432.75</v>
      </c>
      <c r="AI603" s="51">
        <v>305.5</v>
      </c>
      <c r="AJ603" s="51">
        <v>395.71749999999997</v>
      </c>
      <c r="AK603" s="51">
        <v>161.67214799999999</v>
      </c>
      <c r="AL603" s="51">
        <v>210.37290809743001</v>
      </c>
      <c r="AM603" s="51">
        <v>1.0763685120399999</v>
      </c>
      <c r="AN603" s="51">
        <v>0.83364840625000003</v>
      </c>
      <c r="AO603" s="51">
        <v>0.83629003698000004</v>
      </c>
      <c r="AP603" s="51">
        <v>2.7956786220000001</v>
      </c>
      <c r="AQ603" s="51">
        <v>1.9130088999999999</v>
      </c>
      <c r="AR603" s="51">
        <v>4.5600759999999996</v>
      </c>
      <c r="AS603" s="51">
        <v>8.3356682200000005</v>
      </c>
      <c r="AT603" s="51">
        <v>0.56344331999999997</v>
      </c>
      <c r="AU603" s="51">
        <v>0.57464995028999999</v>
      </c>
      <c r="AV603" s="51">
        <v>0.49471672799999999</v>
      </c>
      <c r="AW603" s="51">
        <v>4272.5583333333298</v>
      </c>
      <c r="AX603" s="51">
        <v>413.77199999999999</v>
      </c>
      <c r="AY603" s="51">
        <v>276.61863311555999</v>
      </c>
      <c r="AZ603" s="51">
        <v>785.61143296506998</v>
      </c>
      <c r="BA603" s="51">
        <v>769.66800000000001</v>
      </c>
      <c r="BB603" s="51">
        <v>562.01041564519005</v>
      </c>
      <c r="BC603" s="51">
        <v>1.4164683499999999</v>
      </c>
      <c r="BD603" s="51">
        <v>1.8388500000000001</v>
      </c>
      <c r="BE603" s="51">
        <v>2.0588000000000002</v>
      </c>
      <c r="BF603" s="51">
        <v>90</v>
      </c>
      <c r="BG603" s="51">
        <v>276.39999999999998</v>
      </c>
      <c r="BH603" s="51">
        <v>225</v>
      </c>
      <c r="BI603" s="51">
        <v>251.5</v>
      </c>
      <c r="BJ603" s="51">
        <v>530</v>
      </c>
      <c r="BK603" s="51">
        <v>1933.75</v>
      </c>
      <c r="BL603" s="51">
        <v>97.67</v>
      </c>
      <c r="BM603" s="51">
        <v>6165.3</v>
      </c>
      <c r="BN603" s="51">
        <v>1900.1</v>
      </c>
      <c r="BO603" s="51">
        <v>14869.75</v>
      </c>
      <c r="BP603" s="51">
        <v>19641.75</v>
      </c>
      <c r="BQ603" s="51">
        <v>1821.675</v>
      </c>
      <c r="BR603" s="51">
        <v>949.375</v>
      </c>
      <c r="BS603" s="51">
        <v>1244.57</v>
      </c>
      <c r="BT603" s="51">
        <v>14.3567</v>
      </c>
      <c r="BU603" s="41"/>
      <c r="BV603" s="41"/>
      <c r="BW603" s="41"/>
      <c r="BX603" s="41"/>
      <c r="BY603" s="41"/>
      <c r="BZ603" s="41"/>
      <c r="CA603" s="41"/>
      <c r="CB603" s="41"/>
      <c r="CC603" s="41"/>
      <c r="CD603" s="41"/>
      <c r="CE603" s="41"/>
      <c r="CF603" s="41"/>
      <c r="CG603" s="41"/>
      <c r="CH603" s="41"/>
      <c r="CI603" s="41"/>
      <c r="CJ603" s="41"/>
      <c r="CK603" s="41"/>
    </row>
    <row r="604" spans="1:89">
      <c r="A604" s="48" t="s">
        <v>733</v>
      </c>
      <c r="B604" s="49">
        <v>68.346111111110005</v>
      </c>
      <c r="C604" s="49">
        <v>67.686818181820001</v>
      </c>
      <c r="D604" s="49">
        <v>67.908181818179997</v>
      </c>
      <c r="E604" s="49">
        <v>69.443333333330003</v>
      </c>
      <c r="F604" s="49">
        <v>67.64</v>
      </c>
      <c r="G604" s="49">
        <v>61.13</v>
      </c>
      <c r="H604" s="49">
        <v>2.9615999999999998</v>
      </c>
      <c r="I604" s="49">
        <v>7.13</v>
      </c>
      <c r="J604" s="49">
        <v>8.42</v>
      </c>
      <c r="K604" s="49">
        <v>75.564136766870007</v>
      </c>
      <c r="L604" s="49">
        <v>3.1429062719999998</v>
      </c>
      <c r="M604" s="49">
        <v>3.2745220860000002</v>
      </c>
      <c r="N604" s="49">
        <v>1.6274504839999999</v>
      </c>
      <c r="O604" s="49">
        <v>3.1570423919200001</v>
      </c>
      <c r="P604" s="49">
        <v>3.7644601822300001</v>
      </c>
      <c r="Q604" s="49">
        <v>2.74166699354</v>
      </c>
      <c r="R604" s="49">
        <v>2.9649999999999999</v>
      </c>
      <c r="S604" s="49">
        <v>701</v>
      </c>
      <c r="T604" s="49">
        <v>1150</v>
      </c>
      <c r="U604" s="49">
        <v>1161.6400000000001</v>
      </c>
      <c r="V604" s="49">
        <v>1232.58</v>
      </c>
      <c r="W604" s="49">
        <v>703.85</v>
      </c>
      <c r="X604" s="49">
        <v>700.68</v>
      </c>
      <c r="Y604" s="49">
        <v>425.01</v>
      </c>
      <c r="Z604" s="49">
        <v>858.18</v>
      </c>
      <c r="AA604" s="49">
        <v>440.95</v>
      </c>
      <c r="AB604" s="49">
        <v>855.36</v>
      </c>
      <c r="AC604" s="49">
        <v>809</v>
      </c>
      <c r="AD604" s="49">
        <v>103.46648361803</v>
      </c>
      <c r="AE604" s="49">
        <v>150.38576</v>
      </c>
      <c r="AF604" s="49">
        <v>141.82981846000001</v>
      </c>
      <c r="AG604" s="49">
        <v>518.75</v>
      </c>
      <c r="AH604" s="49">
        <v>428</v>
      </c>
      <c r="AI604" s="49">
        <v>303.25</v>
      </c>
      <c r="AJ604" s="49">
        <v>392.858</v>
      </c>
      <c r="AK604" s="49">
        <v>158.36521769999999</v>
      </c>
      <c r="AL604" s="49">
        <v>191.09332947857001</v>
      </c>
      <c r="AM604" s="49">
        <v>1.13031694133</v>
      </c>
      <c r="AN604" s="49">
        <v>0.81849116249999998</v>
      </c>
      <c r="AO604" s="49">
        <v>1.0309466943800001</v>
      </c>
      <c r="AP604" s="49">
        <v>2.8137565059999998</v>
      </c>
      <c r="AQ604" s="49">
        <v>1.8711712250000001</v>
      </c>
      <c r="AR604" s="49">
        <v>4.5013945</v>
      </c>
      <c r="AS604" s="49">
        <v>7.81317328</v>
      </c>
      <c r="AT604" s="49">
        <v>0.54300342000000001</v>
      </c>
      <c r="AU604" s="49">
        <v>0.63736614019000004</v>
      </c>
      <c r="AV604" s="49">
        <v>0.508385372</v>
      </c>
      <c r="AW604" s="49">
        <v>4300.3500000000004</v>
      </c>
      <c r="AX604" s="49">
        <v>422.298</v>
      </c>
      <c r="AY604" s="49">
        <v>280.83979017966999</v>
      </c>
      <c r="AZ604" s="49">
        <v>775.50176433158003</v>
      </c>
      <c r="BA604" s="49">
        <v>784.27200000000005</v>
      </c>
      <c r="BB604" s="49">
        <v>560.69740702040997</v>
      </c>
      <c r="BC604" s="49">
        <v>1.41205911</v>
      </c>
      <c r="BD604" s="49">
        <v>2.0666000000000002</v>
      </c>
      <c r="BE604" s="49">
        <v>2.1718999999999999</v>
      </c>
      <c r="BF604" s="49">
        <v>90</v>
      </c>
      <c r="BG604" s="49">
        <v>280.625</v>
      </c>
      <c r="BH604" s="49">
        <v>225</v>
      </c>
      <c r="BI604" s="49">
        <v>232.25</v>
      </c>
      <c r="BJ604" s="49">
        <v>425</v>
      </c>
      <c r="BK604" s="49">
        <v>1834.114</v>
      </c>
      <c r="BL604" s="49">
        <v>80.709999999999994</v>
      </c>
      <c r="BM604" s="49">
        <v>6196.4319999999998</v>
      </c>
      <c r="BN604" s="49">
        <v>2204.5450000000001</v>
      </c>
      <c r="BO604" s="49">
        <v>14869.091</v>
      </c>
      <c r="BP604" s="49">
        <v>17473.182000000001</v>
      </c>
      <c r="BQ604" s="49">
        <v>1884.0229999999999</v>
      </c>
      <c r="BR604" s="49">
        <v>996.59100000000001</v>
      </c>
      <c r="BS604" s="49">
        <v>1288.7</v>
      </c>
      <c r="BT604" s="49">
        <v>16.389500000000002</v>
      </c>
      <c r="BU604" s="41"/>
      <c r="BV604" s="41"/>
      <c r="BW604" s="41"/>
      <c r="BX604" s="41"/>
      <c r="BY604" s="41"/>
      <c r="BZ604" s="41"/>
      <c r="CA604" s="41"/>
      <c r="CB604" s="41"/>
      <c r="CC604" s="41"/>
      <c r="CD604" s="41"/>
      <c r="CE604" s="41"/>
      <c r="CF604" s="41"/>
      <c r="CG604" s="41"/>
      <c r="CH604" s="41"/>
      <c r="CI604" s="41"/>
      <c r="CJ604" s="41"/>
      <c r="CK604" s="41"/>
    </row>
    <row r="605" spans="1:89">
      <c r="A605" s="41" t="s">
        <v>734</v>
      </c>
      <c r="B605" s="51">
        <v>74.080606060609995</v>
      </c>
      <c r="C605" s="51">
        <v>73.194090909089994</v>
      </c>
      <c r="D605" s="51">
        <v>73.275454545450003</v>
      </c>
      <c r="E605" s="51">
        <v>75.772272727270007</v>
      </c>
      <c r="F605" s="51">
        <v>71.069999999999993</v>
      </c>
      <c r="G605" s="51">
        <v>64.349999999999994</v>
      </c>
      <c r="H605" s="51">
        <v>4.0232000000000001</v>
      </c>
      <c r="I605" s="51">
        <v>7.6</v>
      </c>
      <c r="J605" s="51">
        <v>9.1</v>
      </c>
      <c r="K605" s="51">
        <v>91.150604519400005</v>
      </c>
      <c r="L605" s="51">
        <v>3.372627676</v>
      </c>
      <c r="M605" s="51">
        <v>3.4076811340000002</v>
      </c>
      <c r="N605" s="51">
        <v>1.6206161619999999</v>
      </c>
      <c r="O605" s="51">
        <v>3.0266804250699999</v>
      </c>
      <c r="P605" s="51">
        <v>3.5239033899600001</v>
      </c>
      <c r="Q605" s="51">
        <v>2.9436378852399998</v>
      </c>
      <c r="R605" s="51">
        <v>2.6124999999999998</v>
      </c>
      <c r="S605" s="51">
        <v>706</v>
      </c>
      <c r="T605" s="51">
        <v>1150</v>
      </c>
      <c r="U605" s="51">
        <v>1079.3800000000001</v>
      </c>
      <c r="V605" s="51">
        <v>1155.42</v>
      </c>
      <c r="W605" s="51">
        <v>724.66</v>
      </c>
      <c r="X605" s="51">
        <v>727.05</v>
      </c>
      <c r="Y605" s="51">
        <v>430.08</v>
      </c>
      <c r="Z605" s="51">
        <v>897</v>
      </c>
      <c r="AA605" s="51">
        <v>429.5</v>
      </c>
      <c r="AB605" s="51">
        <v>894.11</v>
      </c>
      <c r="AC605" s="51">
        <v>846</v>
      </c>
      <c r="AD605" s="51">
        <v>130.65072284964</v>
      </c>
      <c r="AE605" s="51">
        <v>167.31399999999999</v>
      </c>
      <c r="AF605" s="51">
        <v>159.04790066000001</v>
      </c>
      <c r="AG605" s="51">
        <v>493</v>
      </c>
      <c r="AH605" s="51">
        <v>412.8</v>
      </c>
      <c r="AI605" s="51">
        <v>298.39999999999998</v>
      </c>
      <c r="AJ605" s="51">
        <v>414.10750000000002</v>
      </c>
      <c r="AK605" s="51">
        <v>175.63474260000001</v>
      </c>
      <c r="AL605" s="51">
        <v>198.84886839642999</v>
      </c>
      <c r="AM605" s="51">
        <v>1.08028217183</v>
      </c>
      <c r="AN605" s="51">
        <v>0.80953460937999999</v>
      </c>
      <c r="AO605" s="51">
        <v>1.15261406736</v>
      </c>
      <c r="AP605" s="51">
        <v>2.7465155960000001</v>
      </c>
      <c r="AQ605" s="51">
        <v>1.82661952917</v>
      </c>
      <c r="AR605" s="51">
        <v>4.4584165000000002</v>
      </c>
      <c r="AS605" s="51">
        <v>7.6191667199999999</v>
      </c>
      <c r="AT605" s="51">
        <v>0.48781481818</v>
      </c>
      <c r="AU605" s="51">
        <v>0.67778035599999997</v>
      </c>
      <c r="AV605" s="51">
        <v>0.49912596799999998</v>
      </c>
      <c r="AW605" s="51">
        <v>4329.45</v>
      </c>
      <c r="AX605" s="51">
        <v>444.48</v>
      </c>
      <c r="AY605" s="51">
        <v>276.62496826472</v>
      </c>
      <c r="AZ605" s="51">
        <v>790.04314283686995</v>
      </c>
      <c r="BA605" s="51">
        <v>805.10424999999998</v>
      </c>
      <c r="BB605" s="51">
        <v>559.31508821673003</v>
      </c>
      <c r="BC605" s="51">
        <v>1.4726861600000001</v>
      </c>
      <c r="BD605" s="51">
        <v>2.2636820000000002</v>
      </c>
      <c r="BE605" s="51">
        <v>2.352182</v>
      </c>
      <c r="BF605" s="51">
        <v>90</v>
      </c>
      <c r="BG605" s="51">
        <v>271.625</v>
      </c>
      <c r="BH605" s="51">
        <v>246.5</v>
      </c>
      <c r="BI605" s="51">
        <v>234.875</v>
      </c>
      <c r="BJ605" s="51">
        <v>425</v>
      </c>
      <c r="BK605" s="51">
        <v>1878.568</v>
      </c>
      <c r="BL605" s="51">
        <v>86.79</v>
      </c>
      <c r="BM605" s="51">
        <v>6287.9769999999999</v>
      </c>
      <c r="BN605" s="51">
        <v>2240.7730000000001</v>
      </c>
      <c r="BO605" s="51">
        <v>15008.864</v>
      </c>
      <c r="BP605" s="51">
        <v>18525.226999999999</v>
      </c>
      <c r="BQ605" s="51">
        <v>2071.5909999999999</v>
      </c>
      <c r="BR605" s="51">
        <v>1043.1590000000001</v>
      </c>
      <c r="BS605" s="51">
        <v>1332.77</v>
      </c>
      <c r="BT605" s="51">
        <v>17.2361</v>
      </c>
      <c r="BU605" s="41"/>
      <c r="BV605" s="41"/>
      <c r="BW605" s="41"/>
      <c r="BX605" s="41"/>
      <c r="BY605" s="41"/>
      <c r="BZ605" s="41"/>
      <c r="CA605" s="41"/>
      <c r="CB605" s="41"/>
      <c r="CC605" s="41"/>
      <c r="CD605" s="41"/>
      <c r="CE605" s="41"/>
      <c r="CF605" s="41"/>
      <c r="CG605" s="41"/>
      <c r="CH605" s="41"/>
      <c r="CI605" s="41"/>
      <c r="CJ605" s="41"/>
      <c r="CK605" s="41"/>
    </row>
    <row r="606" spans="1:89">
      <c r="A606" s="48" t="s">
        <v>735</v>
      </c>
      <c r="B606" s="49">
        <v>77.552301587299993</v>
      </c>
      <c r="C606" s="49">
        <v>77.036666666670001</v>
      </c>
      <c r="D606" s="49">
        <v>77.625238095239993</v>
      </c>
      <c r="E606" s="49">
        <v>77.995000000000005</v>
      </c>
      <c r="F606" s="49">
        <v>78.8</v>
      </c>
      <c r="G606" s="49">
        <v>66.44</v>
      </c>
      <c r="H606" s="49">
        <v>3.6907000000000001</v>
      </c>
      <c r="I606" s="49">
        <v>7.81</v>
      </c>
      <c r="J606" s="49">
        <v>9.1300000000000008</v>
      </c>
      <c r="K606" s="49">
        <v>88.131592030159993</v>
      </c>
      <c r="L606" s="49">
        <v>3.3840916999999999</v>
      </c>
      <c r="M606" s="49">
        <v>3.3556521020000001</v>
      </c>
      <c r="N606" s="49">
        <v>1.5317699760000001</v>
      </c>
      <c r="O606" s="49">
        <v>3.0559291266000002</v>
      </c>
      <c r="P606" s="49">
        <v>3.34950667805</v>
      </c>
      <c r="Q606" s="49">
        <v>2.9122807017499999</v>
      </c>
      <c r="R606" s="49">
        <v>2.9060000000000001</v>
      </c>
      <c r="S606" s="49">
        <v>729</v>
      </c>
      <c r="T606" s="49">
        <v>1150</v>
      </c>
      <c r="U606" s="49">
        <v>1028.92</v>
      </c>
      <c r="V606" s="49">
        <v>1151.6500000000001</v>
      </c>
      <c r="W606" s="49">
        <v>763.33</v>
      </c>
      <c r="X606" s="49">
        <v>754.52</v>
      </c>
      <c r="Y606" s="49">
        <v>447.41</v>
      </c>
      <c r="Z606" s="49">
        <v>932.38</v>
      </c>
      <c r="AA606" s="49">
        <v>439.57</v>
      </c>
      <c r="AB606" s="49">
        <v>933.77</v>
      </c>
      <c r="AC606" s="49">
        <v>921</v>
      </c>
      <c r="AD606" s="49">
        <v>155.25198187996</v>
      </c>
      <c r="AE606" s="49">
        <v>171.64447999999999</v>
      </c>
      <c r="AF606" s="49">
        <v>166.00788600000001</v>
      </c>
      <c r="AG606" s="49">
        <v>542.75</v>
      </c>
      <c r="AH606" s="49">
        <v>460.25</v>
      </c>
      <c r="AI606" s="49">
        <v>337</v>
      </c>
      <c r="AJ606" s="49">
        <v>491.60500000000002</v>
      </c>
      <c r="AK606" s="49">
        <v>204.6622419</v>
      </c>
      <c r="AL606" s="49">
        <v>211.03834934118001</v>
      </c>
      <c r="AM606" s="49">
        <v>1.02749070875</v>
      </c>
      <c r="AN606" s="49">
        <v>0.83364840625000003</v>
      </c>
      <c r="AO606" s="49">
        <v>1.15440641492</v>
      </c>
      <c r="AP606" s="49">
        <v>2.833157162</v>
      </c>
      <c r="AQ606" s="49">
        <v>1.81075615769</v>
      </c>
      <c r="AR606" s="49">
        <v>4.5697184999999996</v>
      </c>
      <c r="AS606" s="49">
        <v>7.4957079999999996</v>
      </c>
      <c r="AT606" s="49">
        <v>0.49634818182000001</v>
      </c>
      <c r="AU606" s="49">
        <v>0.70245807059999998</v>
      </c>
      <c r="AV606" s="49">
        <v>0.49074841200000002</v>
      </c>
      <c r="AW606" s="49">
        <v>4427.3999999999996</v>
      </c>
      <c r="AX606" s="49">
        <v>451.14850000000001</v>
      </c>
      <c r="AY606" s="49">
        <v>271.97349973866</v>
      </c>
      <c r="AZ606" s="49">
        <v>821.01290238313004</v>
      </c>
      <c r="BA606" s="49">
        <v>821.05650000000003</v>
      </c>
      <c r="BB606" s="49">
        <v>558.60821705600995</v>
      </c>
      <c r="BC606" s="49">
        <v>1.58291716</v>
      </c>
      <c r="BD606" s="49">
        <v>2.4888499999999998</v>
      </c>
      <c r="BE606" s="49">
        <v>2.5418500000000002</v>
      </c>
      <c r="BF606" s="49">
        <v>90</v>
      </c>
      <c r="BG606" s="49">
        <v>273.2</v>
      </c>
      <c r="BH606" s="49">
        <v>228.5</v>
      </c>
      <c r="BI606" s="49">
        <v>243.5</v>
      </c>
      <c r="BJ606" s="49">
        <v>425</v>
      </c>
      <c r="BK606" s="49">
        <v>1949.2860000000001</v>
      </c>
      <c r="BL606" s="49">
        <v>99.26</v>
      </c>
      <c r="BM606" s="49">
        <v>6675.5950000000003</v>
      </c>
      <c r="BN606" s="49">
        <v>2308.7620000000002</v>
      </c>
      <c r="BO606" s="49">
        <v>14942.380999999999</v>
      </c>
      <c r="BP606" s="49">
        <v>16991.189999999999</v>
      </c>
      <c r="BQ606" s="49">
        <v>2193.3809999999999</v>
      </c>
      <c r="BR606" s="49">
        <v>1127.0360000000001</v>
      </c>
      <c r="BS606" s="49">
        <v>1400.62</v>
      </c>
      <c r="BT606" s="49">
        <v>17.821300000000001</v>
      </c>
      <c r="BU606" s="41"/>
      <c r="BV606" s="41"/>
      <c r="BW606" s="41"/>
      <c r="BX606" s="41"/>
      <c r="BY606" s="41"/>
      <c r="BZ606" s="41"/>
      <c r="CA606" s="41"/>
      <c r="CB606" s="41"/>
      <c r="CC606" s="41"/>
      <c r="CD606" s="41"/>
      <c r="CE606" s="41"/>
      <c r="CF606" s="41"/>
      <c r="CG606" s="41"/>
      <c r="CH606" s="41"/>
      <c r="CI606" s="41"/>
      <c r="CJ606" s="41"/>
      <c r="CK606" s="41"/>
    </row>
    <row r="607" spans="1:89">
      <c r="A607" s="41" t="s">
        <v>736</v>
      </c>
      <c r="B607" s="51">
        <v>74.881818181819995</v>
      </c>
      <c r="C607" s="51">
        <v>74.669545454550004</v>
      </c>
      <c r="D607" s="51">
        <v>75.488636363639998</v>
      </c>
      <c r="E607" s="51">
        <v>74.487272727269996</v>
      </c>
      <c r="F607" s="51">
        <v>83.1</v>
      </c>
      <c r="G607" s="51">
        <v>73.8</v>
      </c>
      <c r="H607" s="51">
        <v>5.3651999999999997</v>
      </c>
      <c r="I607" s="51">
        <v>8.01</v>
      </c>
      <c r="J607" s="51">
        <v>9.76</v>
      </c>
      <c r="K607" s="51">
        <v>109.8432858286</v>
      </c>
      <c r="L607" s="51">
        <v>3.49762963</v>
      </c>
      <c r="M607" s="51">
        <v>3.4868159688999998</v>
      </c>
      <c r="N607" s="51">
        <v>1.5407207331999999</v>
      </c>
      <c r="O607" s="51">
        <v>2.97358010567</v>
      </c>
      <c r="P607" s="51">
        <v>3.2670953102200002</v>
      </c>
      <c r="Q607" s="51">
        <v>2.6769783401199998</v>
      </c>
      <c r="R607" s="51">
        <v>2.9766666666699999</v>
      </c>
      <c r="S607" s="51">
        <v>768</v>
      </c>
      <c r="T607" s="51">
        <v>1185.6896551724101</v>
      </c>
      <c r="U607" s="51">
        <v>1093.1199999999999</v>
      </c>
      <c r="V607" s="51">
        <v>1181.8699999999999</v>
      </c>
      <c r="W607" s="51">
        <v>821.81</v>
      </c>
      <c r="X607" s="51">
        <v>835.45</v>
      </c>
      <c r="Y607" s="51">
        <v>449.35</v>
      </c>
      <c r="Z607" s="51">
        <v>939.91</v>
      </c>
      <c r="AA607" s="51">
        <v>430.82</v>
      </c>
      <c r="AB607" s="51">
        <v>938.29</v>
      </c>
      <c r="AC607" s="51">
        <v>986</v>
      </c>
      <c r="AD607" s="51">
        <v>150.58598335049001</v>
      </c>
      <c r="AE607" s="51">
        <v>164.55824000000001</v>
      </c>
      <c r="AF607" s="51">
        <v>166.34519286</v>
      </c>
      <c r="AG607" s="51">
        <v>591</v>
      </c>
      <c r="AH607" s="51">
        <v>515.25</v>
      </c>
      <c r="AI607" s="51">
        <v>403</v>
      </c>
      <c r="AJ607" s="51">
        <v>529.91399999999999</v>
      </c>
      <c r="AK607" s="51">
        <v>206.49942540000001</v>
      </c>
      <c r="AL607" s="51">
        <v>206.25140562749999</v>
      </c>
      <c r="AM607" s="51">
        <v>0.98936456162999997</v>
      </c>
      <c r="AN607" s="51">
        <v>0.79575529688000002</v>
      </c>
      <c r="AO607" s="51">
        <v>1.0135766724599999</v>
      </c>
      <c r="AP607" s="51">
        <v>2.88364296</v>
      </c>
      <c r="AQ607" s="51">
        <v>1.81100347083</v>
      </c>
      <c r="AR607" s="51">
        <v>4.4752219999999996</v>
      </c>
      <c r="AS607" s="51">
        <v>7.5508234999999999</v>
      </c>
      <c r="AT607" s="51">
        <v>0.48924128260999999</v>
      </c>
      <c r="AU607" s="51">
        <v>0.73420860700000001</v>
      </c>
      <c r="AV607" s="51">
        <v>0.51874708599999997</v>
      </c>
      <c r="AW607" s="51">
        <v>4460.6833333333298</v>
      </c>
      <c r="AX607" s="51">
        <v>452.72399999999999</v>
      </c>
      <c r="AY607" s="51">
        <v>264.8295343959</v>
      </c>
      <c r="AZ607" s="51">
        <v>807.70669801336999</v>
      </c>
      <c r="BA607" s="51">
        <v>795.95600000000002</v>
      </c>
      <c r="BB607" s="51">
        <v>557.21747370279002</v>
      </c>
      <c r="BC607" s="51">
        <v>1.6755112000000001</v>
      </c>
      <c r="BD607" s="51">
        <v>2.7941500000000001</v>
      </c>
      <c r="BE607" s="51">
        <v>2.80125</v>
      </c>
      <c r="BF607" s="51">
        <v>90</v>
      </c>
      <c r="BG607" s="51">
        <v>331.5</v>
      </c>
      <c r="BH607" s="51">
        <v>232</v>
      </c>
      <c r="BI607" s="51">
        <v>262</v>
      </c>
      <c r="BJ607" s="51">
        <v>425</v>
      </c>
      <c r="BK607" s="51">
        <v>2180.0949999999998</v>
      </c>
      <c r="BL607" s="51">
        <v>105.07</v>
      </c>
      <c r="BM607" s="51">
        <v>6981.7139999999999</v>
      </c>
      <c r="BN607" s="51">
        <v>2328.5239999999999</v>
      </c>
      <c r="BO607" s="51">
        <v>15546.905000000001</v>
      </c>
      <c r="BP607" s="51">
        <v>17066.429</v>
      </c>
      <c r="BQ607" s="51">
        <v>2375.9520000000002</v>
      </c>
      <c r="BR607" s="51">
        <v>1134.7239999999999</v>
      </c>
      <c r="BS607" s="51">
        <v>1437.48</v>
      </c>
      <c r="BT607" s="51">
        <v>17.642199999999999</v>
      </c>
      <c r="BU607" s="41"/>
      <c r="BV607" s="41"/>
      <c r="BW607" s="41"/>
      <c r="BX607" s="41"/>
      <c r="BY607" s="41"/>
      <c r="BZ607" s="41"/>
      <c r="CA607" s="41"/>
      <c r="CB607" s="41"/>
      <c r="CC607" s="41"/>
      <c r="CD607" s="41"/>
      <c r="CE607" s="41"/>
      <c r="CF607" s="41"/>
      <c r="CG607" s="41"/>
      <c r="CH607" s="41"/>
      <c r="CI607" s="41"/>
      <c r="CJ607" s="41"/>
      <c r="CK607" s="41"/>
    </row>
    <row r="608" spans="1:89">
      <c r="A608" s="48" t="s">
        <v>737</v>
      </c>
      <c r="B608" s="49">
        <v>77.121087719299993</v>
      </c>
      <c r="C608" s="49">
        <v>76.373000000000005</v>
      </c>
      <c r="D608" s="49">
        <v>76.635000000000005</v>
      </c>
      <c r="E608" s="49">
        <v>78.355263157889993</v>
      </c>
      <c r="F608" s="49">
        <v>97</v>
      </c>
      <c r="G608" s="49">
        <v>86.94</v>
      </c>
      <c r="H608" s="49">
        <v>5.8068999999999997</v>
      </c>
      <c r="I608" s="49">
        <v>8.8000000000000007</v>
      </c>
      <c r="J608" s="49">
        <v>10.02</v>
      </c>
      <c r="K608" s="49">
        <v>119.13880032206001</v>
      </c>
      <c r="L608" s="49">
        <v>3.5251873800000002</v>
      </c>
      <c r="M608" s="49">
        <v>3.5031411800000001</v>
      </c>
      <c r="N608" s="49">
        <v>1.544997696</v>
      </c>
      <c r="O608" s="49">
        <v>2.8977470991200001</v>
      </c>
      <c r="P608" s="49">
        <v>3.41052368679</v>
      </c>
      <c r="Q608" s="49">
        <v>2.43771761059</v>
      </c>
      <c r="R608" s="49">
        <v>2.8450000000000002</v>
      </c>
      <c r="S608" s="49">
        <v>784</v>
      </c>
      <c r="T608" s="49">
        <v>1202.5431034482799</v>
      </c>
      <c r="U608" s="49">
        <v>1075.52</v>
      </c>
      <c r="V608" s="49">
        <v>1275.53</v>
      </c>
      <c r="W608" s="49">
        <v>830.88</v>
      </c>
      <c r="X608" s="49">
        <v>879.5</v>
      </c>
      <c r="Y608" s="49">
        <v>435.88</v>
      </c>
      <c r="Z608" s="49">
        <v>920.55</v>
      </c>
      <c r="AA608" s="49">
        <v>423.05</v>
      </c>
      <c r="AB608" s="49">
        <v>914.09</v>
      </c>
      <c r="AC608" s="49">
        <v>968</v>
      </c>
      <c r="AD608" s="49">
        <v>146.53767234931999</v>
      </c>
      <c r="AE608" s="49">
        <v>167.31399999999999</v>
      </c>
      <c r="AF608" s="49">
        <v>161.79485718000001</v>
      </c>
      <c r="AG608" s="49">
        <v>568.79999999999995</v>
      </c>
      <c r="AH608" s="49">
        <v>510.6</v>
      </c>
      <c r="AI608" s="49">
        <v>420.2</v>
      </c>
      <c r="AJ608" s="49">
        <v>485.28399999999999</v>
      </c>
      <c r="AK608" s="49">
        <v>198.78325469999999</v>
      </c>
      <c r="AL608" s="49">
        <v>201.19093202368001</v>
      </c>
      <c r="AM608" s="49">
        <v>0.94131466662999996</v>
      </c>
      <c r="AN608" s="49">
        <v>0.78542081249999995</v>
      </c>
      <c r="AO608" s="49">
        <v>1.08926182595</v>
      </c>
      <c r="AP608" s="49">
        <v>3.0225340200000002</v>
      </c>
      <c r="AQ608" s="49">
        <v>1.8298346000000001</v>
      </c>
      <c r="AR608" s="49">
        <v>4.4878132500000003</v>
      </c>
      <c r="AS608" s="49">
        <v>7.71617</v>
      </c>
      <c r="AT608" s="49">
        <v>0.47811534999999999</v>
      </c>
      <c r="AU608" s="49">
        <v>0.86769201895000003</v>
      </c>
      <c r="AV608" s="49">
        <v>0.58356291400000004</v>
      </c>
      <c r="AW608" s="49">
        <v>4465.5333333333301</v>
      </c>
      <c r="AX608" s="49">
        <v>442.43509999999998</v>
      </c>
      <c r="AY608" s="49">
        <v>258.21614989233001</v>
      </c>
      <c r="AZ608" s="49">
        <v>804.14153116729995</v>
      </c>
      <c r="BA608" s="49">
        <v>792.44269999999995</v>
      </c>
      <c r="BB608" s="49">
        <v>557.21747370279002</v>
      </c>
      <c r="BC608" s="49">
        <v>1.70637588</v>
      </c>
      <c r="BD608" s="49">
        <v>3.0371999999999999</v>
      </c>
      <c r="BE608" s="49">
        <v>3.0920000000000001</v>
      </c>
      <c r="BF608" s="49">
        <v>90</v>
      </c>
      <c r="BG608" s="49">
        <v>383</v>
      </c>
      <c r="BH608" s="49">
        <v>296.25</v>
      </c>
      <c r="BI608" s="49">
        <v>266.5</v>
      </c>
      <c r="BJ608" s="49">
        <v>389.375</v>
      </c>
      <c r="BK608" s="49">
        <v>2235.15</v>
      </c>
      <c r="BL608" s="49">
        <v>125.72</v>
      </c>
      <c r="BM608" s="49">
        <v>7386.25</v>
      </c>
      <c r="BN608" s="49">
        <v>2368.375</v>
      </c>
      <c r="BO608" s="49">
        <v>17714.75</v>
      </c>
      <c r="BP608" s="49">
        <v>18439.25</v>
      </c>
      <c r="BQ608" s="49">
        <v>2434.4499999999998</v>
      </c>
      <c r="BR608" s="49">
        <v>1117.963</v>
      </c>
      <c r="BS608" s="49">
        <v>1557.9</v>
      </c>
      <c r="BT608" s="49">
        <v>17.748999999999999</v>
      </c>
      <c r="BU608" s="41"/>
      <c r="BV608" s="41"/>
      <c r="BW608" s="41"/>
      <c r="BX608" s="41"/>
      <c r="BY608" s="41"/>
      <c r="BZ608" s="41"/>
      <c r="CA608" s="41"/>
      <c r="CB608" s="41"/>
      <c r="CC608" s="41"/>
      <c r="CD608" s="41"/>
      <c r="CE608" s="41"/>
      <c r="CF608" s="41"/>
      <c r="CG608" s="41"/>
      <c r="CH608" s="41"/>
      <c r="CI608" s="41"/>
      <c r="CJ608" s="41"/>
      <c r="CK608" s="41"/>
    </row>
    <row r="609" spans="1:89">
      <c r="A609" s="41" t="s">
        <v>738</v>
      </c>
      <c r="B609" s="51">
        <v>74.763015594539993</v>
      </c>
      <c r="C609" s="51">
        <v>74.311999999999998</v>
      </c>
      <c r="D609" s="51">
        <v>73.563888888890006</v>
      </c>
      <c r="E609" s="51">
        <v>76.413157894739996</v>
      </c>
      <c r="F609" s="51">
        <v>94.19</v>
      </c>
      <c r="G609" s="51">
        <v>83.36</v>
      </c>
      <c r="H609" s="51">
        <v>5.3357000000000001</v>
      </c>
      <c r="I609" s="51">
        <v>8.8000000000000007</v>
      </c>
      <c r="J609" s="51">
        <v>10.52</v>
      </c>
      <c r="K609" s="51">
        <v>113.75559002138</v>
      </c>
      <c r="L609" s="51">
        <v>3.2765062440000001</v>
      </c>
      <c r="M609" s="51">
        <v>3.4802131319999998</v>
      </c>
      <c r="N609" s="51">
        <v>1.496496056</v>
      </c>
      <c r="O609" s="51">
        <v>2.8512152253599998</v>
      </c>
      <c r="P609" s="51">
        <v>3.3214200588299998</v>
      </c>
      <c r="Q609" s="51">
        <v>2.2947256172600001</v>
      </c>
      <c r="R609" s="51">
        <v>2.9375</v>
      </c>
      <c r="S609" s="51">
        <v>798</v>
      </c>
      <c r="T609" s="51">
        <v>1200</v>
      </c>
      <c r="U609" s="51">
        <v>1034.0999999999999</v>
      </c>
      <c r="V609" s="51">
        <v>1287.5</v>
      </c>
      <c r="W609" s="51">
        <v>830</v>
      </c>
      <c r="X609" s="51">
        <v>894</v>
      </c>
      <c r="Y609" s="51">
        <v>411.86</v>
      </c>
      <c r="Z609" s="51">
        <v>909.19</v>
      </c>
      <c r="AA609" s="51">
        <v>404.85</v>
      </c>
      <c r="AB609" s="51">
        <v>900.93</v>
      </c>
      <c r="AC609" s="51">
        <v>948</v>
      </c>
      <c r="AD609" s="51">
        <v>137.37599107534001</v>
      </c>
      <c r="AE609" s="51">
        <v>161.80248</v>
      </c>
      <c r="AF609" s="51">
        <v>154.05664098</v>
      </c>
      <c r="AG609" s="51">
        <v>535</v>
      </c>
      <c r="AH609" s="51">
        <v>474.66666666666998</v>
      </c>
      <c r="AI609" s="51">
        <v>405</v>
      </c>
      <c r="AJ609" s="51">
        <v>421.78500000000003</v>
      </c>
      <c r="AK609" s="51">
        <v>191.80195739999999</v>
      </c>
      <c r="AL609" s="51">
        <v>194</v>
      </c>
      <c r="AM609" s="51">
        <v>0.97588951081999997</v>
      </c>
      <c r="AN609" s="51">
        <v>0.71996907813</v>
      </c>
      <c r="AO609" s="51">
        <v>0.98159241609000003</v>
      </c>
      <c r="AP609" s="51">
        <v>3.2116904160000002</v>
      </c>
      <c r="AQ609" s="51">
        <v>1.8353461499999999</v>
      </c>
      <c r="AR609" s="51">
        <v>4.5141799999999996</v>
      </c>
      <c r="AS609" s="51">
        <v>7.9785197800000001</v>
      </c>
      <c r="AT609" s="51">
        <v>0.45847094999999999</v>
      </c>
      <c r="AU609" s="51">
        <v>0.88740596304999997</v>
      </c>
      <c r="AV609" s="51">
        <v>0.55975301799999999</v>
      </c>
      <c r="AW609" s="51">
        <v>4389.2916666666697</v>
      </c>
      <c r="AX609" s="51">
        <v>424.26600000000002</v>
      </c>
      <c r="AY609" s="51">
        <v>252.75851306509</v>
      </c>
      <c r="AZ609" s="51">
        <v>804.92218834280004</v>
      </c>
      <c r="BA609" s="51">
        <v>781</v>
      </c>
      <c r="BB609" s="51">
        <v>557.21747370279002</v>
      </c>
      <c r="BC609" s="51">
        <v>1.76479831</v>
      </c>
      <c r="BD609" s="51">
        <v>3.0808</v>
      </c>
      <c r="BE609" s="51">
        <v>3.1274000000000002</v>
      </c>
      <c r="BF609" s="51">
        <v>90</v>
      </c>
      <c r="BG609" s="51">
        <v>413.625</v>
      </c>
      <c r="BH609" s="51">
        <v>300</v>
      </c>
      <c r="BI609" s="51">
        <v>297.5</v>
      </c>
      <c r="BJ609" s="51">
        <v>374.375</v>
      </c>
      <c r="BK609" s="51">
        <v>2048.9250000000002</v>
      </c>
      <c r="BL609" s="51">
        <v>127.49</v>
      </c>
      <c r="BM609" s="51">
        <v>6848.1750000000002</v>
      </c>
      <c r="BN609" s="51">
        <v>2123.6750000000002</v>
      </c>
      <c r="BO609" s="51">
        <v>16361.75</v>
      </c>
      <c r="BP609" s="51">
        <v>18976</v>
      </c>
      <c r="BQ609" s="51">
        <v>2156.9</v>
      </c>
      <c r="BR609" s="51">
        <v>1095.413</v>
      </c>
      <c r="BS609" s="51">
        <v>1520.35</v>
      </c>
      <c r="BT609" s="51">
        <v>15.872999999999999</v>
      </c>
      <c r="BU609" s="41"/>
      <c r="BV609" s="41"/>
      <c r="BW609" s="41"/>
      <c r="BX609" s="41"/>
      <c r="BY609" s="41"/>
      <c r="BZ609" s="41"/>
      <c r="CA609" s="41"/>
      <c r="CB609" s="41"/>
      <c r="CC609" s="41"/>
      <c r="CD609" s="41"/>
      <c r="CE609" s="41"/>
      <c r="CF609" s="41"/>
      <c r="CG609" s="41"/>
      <c r="CH609" s="41"/>
      <c r="CI609" s="41"/>
      <c r="CJ609" s="41"/>
      <c r="CK609" s="41"/>
    </row>
    <row r="610" spans="1:89">
      <c r="A610" s="48" t="s">
        <v>739</v>
      </c>
      <c r="B610" s="49">
        <v>79.297681159419994</v>
      </c>
      <c r="C610" s="49">
        <v>79.274782608699994</v>
      </c>
      <c r="D610" s="49">
        <v>77.367826086959994</v>
      </c>
      <c r="E610" s="49">
        <v>81.25043478261</v>
      </c>
      <c r="F610" s="49">
        <v>94.375</v>
      </c>
      <c r="G610" s="49">
        <v>82.962500000000006</v>
      </c>
      <c r="H610" s="49">
        <v>4.2923999999999998</v>
      </c>
      <c r="I610" s="49">
        <v>8.93</v>
      </c>
      <c r="J610" s="49">
        <v>10.42</v>
      </c>
      <c r="K610" s="49">
        <v>101.63667599970999</v>
      </c>
      <c r="L610" s="49">
        <v>3.0897749299999999</v>
      </c>
      <c r="M610" s="49">
        <v>3.6265999</v>
      </c>
      <c r="N610" s="49">
        <v>1.4826069500000001</v>
      </c>
      <c r="O610" s="49">
        <v>2.6213984645399999</v>
      </c>
      <c r="P610" s="49">
        <v>3.3219593005300001</v>
      </c>
      <c r="Q610" s="49">
        <v>1.7422360931</v>
      </c>
      <c r="R610" s="49">
        <v>2.8</v>
      </c>
      <c r="S610" s="49">
        <v>921</v>
      </c>
      <c r="T610" s="49">
        <v>1200</v>
      </c>
      <c r="U610" s="49">
        <v>1061.33</v>
      </c>
      <c r="V610" s="49">
        <v>1317.02</v>
      </c>
      <c r="W610" s="49">
        <v>862.83</v>
      </c>
      <c r="X610" s="49">
        <v>996.96</v>
      </c>
      <c r="Y610" s="49">
        <v>409.36</v>
      </c>
      <c r="Z610" s="49">
        <v>911.07</v>
      </c>
      <c r="AA610" s="49">
        <v>371.38</v>
      </c>
      <c r="AB610" s="49">
        <v>910.08</v>
      </c>
      <c r="AC610" s="49">
        <v>949</v>
      </c>
      <c r="AD610" s="49">
        <v>146.98247256850999</v>
      </c>
      <c r="AE610" s="49">
        <v>159.04671999999999</v>
      </c>
      <c r="AF610" s="49">
        <v>154.70259464</v>
      </c>
      <c r="AG610" s="49">
        <v>502.2</v>
      </c>
      <c r="AH610" s="49">
        <v>445.6</v>
      </c>
      <c r="AI610" s="49">
        <v>377</v>
      </c>
      <c r="AJ610" s="49">
        <v>392.572</v>
      </c>
      <c r="AK610" s="49">
        <v>189.96477390000001</v>
      </c>
      <c r="AL610" s="49">
        <v>191.07507175435001</v>
      </c>
      <c r="AM610" s="49">
        <v>1.12470048816</v>
      </c>
      <c r="AN610" s="49">
        <v>0.83778220000000003</v>
      </c>
      <c r="AO610" s="49">
        <v>0.95472186969999995</v>
      </c>
      <c r="AP610" s="49">
        <v>3.3995240400000002</v>
      </c>
      <c r="AQ610" s="49">
        <v>1.85109343571</v>
      </c>
      <c r="AR610" s="49">
        <v>4.4274674220000003</v>
      </c>
      <c r="AS610" s="49">
        <v>8.21882336</v>
      </c>
      <c r="AT610" s="49">
        <v>0.45471589130000001</v>
      </c>
      <c r="AU610" s="49">
        <v>0.77412834974</v>
      </c>
      <c r="AV610" s="49">
        <v>0.41138209199999998</v>
      </c>
      <c r="AW610" s="49">
        <v>4206.9333333333298</v>
      </c>
      <c r="AX610" s="49">
        <v>427.568715</v>
      </c>
      <c r="AY610" s="49">
        <v>249.83986763524001</v>
      </c>
      <c r="AZ610" s="49">
        <v>803.26287371638</v>
      </c>
      <c r="BA610" s="49">
        <v>790.10213624999994</v>
      </c>
      <c r="BB610" s="49">
        <v>557.21747370279002</v>
      </c>
      <c r="BC610" s="49">
        <v>1.89156396</v>
      </c>
      <c r="BD610" s="49">
        <v>3.1763479999999999</v>
      </c>
      <c r="BE610" s="49">
        <v>3.3386086956500001</v>
      </c>
      <c r="BF610" s="49">
        <v>90</v>
      </c>
      <c r="BG610" s="49">
        <v>424.5</v>
      </c>
      <c r="BH610" s="49">
        <v>354.375</v>
      </c>
      <c r="BI610" s="49">
        <v>278.7</v>
      </c>
      <c r="BJ610" s="49">
        <v>340</v>
      </c>
      <c r="BK610" s="49">
        <v>2205.63</v>
      </c>
      <c r="BL610" s="49">
        <v>139.69</v>
      </c>
      <c r="BM610" s="49">
        <v>7462.826</v>
      </c>
      <c r="BN610" s="49">
        <v>2172.087</v>
      </c>
      <c r="BO610" s="49">
        <v>17549.348000000002</v>
      </c>
      <c r="BP610" s="49">
        <v>22461.304</v>
      </c>
      <c r="BQ610" s="49">
        <v>2275.0650000000001</v>
      </c>
      <c r="BR610" s="49">
        <v>1113.337</v>
      </c>
      <c r="BS610" s="49">
        <v>1599.43</v>
      </c>
      <c r="BT610" s="49">
        <v>17.106100000000001</v>
      </c>
      <c r="BU610" s="41"/>
      <c r="BV610" s="41"/>
      <c r="BW610" s="41"/>
      <c r="BX610" s="41"/>
      <c r="BY610" s="41"/>
      <c r="BZ610" s="41"/>
      <c r="CA610" s="41"/>
      <c r="CB610" s="41"/>
      <c r="CC610" s="41"/>
      <c r="CD610" s="41"/>
      <c r="CE610" s="41"/>
      <c r="CF610" s="41"/>
      <c r="CG610" s="41"/>
      <c r="CH610" s="41"/>
      <c r="CI610" s="41"/>
      <c r="CJ610" s="41"/>
      <c r="CK610" s="41"/>
    </row>
    <row r="611" spans="1:89">
      <c r="A611" s="41" t="s">
        <v>740</v>
      </c>
      <c r="B611" s="51">
        <v>84.182857142860001</v>
      </c>
      <c r="C611" s="51">
        <v>84.978571428570007</v>
      </c>
      <c r="D611" s="51">
        <v>83.092380952379997</v>
      </c>
      <c r="E611" s="51">
        <v>84.477619047619996</v>
      </c>
      <c r="F611" s="51">
        <v>100.15</v>
      </c>
      <c r="G611" s="51">
        <v>88.7</v>
      </c>
      <c r="H611" s="51">
        <v>4.0058999999999996</v>
      </c>
      <c r="I611" s="51">
        <v>7.52</v>
      </c>
      <c r="J611" s="51">
        <v>10.98</v>
      </c>
      <c r="K611" s="51">
        <v>91.833895263160002</v>
      </c>
      <c r="L611" s="51">
        <v>3.2211702820000001</v>
      </c>
      <c r="M611" s="51">
        <v>3.731098888</v>
      </c>
      <c r="N611" s="51">
        <v>1.576744224</v>
      </c>
      <c r="O611" s="51">
        <v>2.7743578700199998</v>
      </c>
      <c r="P611" s="51">
        <v>3.2663938744699998</v>
      </c>
      <c r="Q611" s="51">
        <v>2.4533464022599998</v>
      </c>
      <c r="R611" s="51">
        <v>2.6033333333300002</v>
      </c>
      <c r="S611" s="51">
        <v>940</v>
      </c>
      <c r="T611" s="51">
        <v>1200</v>
      </c>
      <c r="U611" s="51">
        <v>1072.3699999999999</v>
      </c>
      <c r="V611" s="51">
        <v>1361.62</v>
      </c>
      <c r="W611" s="51">
        <v>862.71</v>
      </c>
      <c r="X611" s="51">
        <v>1021.05</v>
      </c>
      <c r="Y611" s="51">
        <v>402.6</v>
      </c>
      <c r="Z611" s="51">
        <v>902.83</v>
      </c>
      <c r="AA611" s="51">
        <v>376.95</v>
      </c>
      <c r="AB611" s="51">
        <v>909.13</v>
      </c>
      <c r="AC611" s="51">
        <v>924</v>
      </c>
      <c r="AD611" s="51">
        <v>151.70521637143</v>
      </c>
      <c r="AE611" s="51">
        <v>157.07831999999999</v>
      </c>
      <c r="AF611" s="51">
        <v>149.4070974</v>
      </c>
      <c r="AG611" s="51">
        <v>466</v>
      </c>
      <c r="AH611" s="51">
        <v>408.66666666666998</v>
      </c>
      <c r="AI611" s="51">
        <v>343</v>
      </c>
      <c r="AJ611" s="51">
        <v>371.17</v>
      </c>
      <c r="AK611" s="51">
        <v>187.76015369999999</v>
      </c>
      <c r="AL611" s="51">
        <v>192.87</v>
      </c>
      <c r="AM611" s="51">
        <v>1.05142997001</v>
      </c>
      <c r="AN611" s="51">
        <v>0.82503633594000003</v>
      </c>
      <c r="AO611" s="51">
        <v>0.99472843658999999</v>
      </c>
      <c r="AP611" s="51">
        <v>3.6572441179999999</v>
      </c>
      <c r="AQ611" s="51">
        <v>1.8794385499999999</v>
      </c>
      <c r="AR611" s="51">
        <v>4.5609999999999999</v>
      </c>
      <c r="AS611" s="51">
        <v>8.4877870000000009</v>
      </c>
      <c r="AT611" s="51">
        <v>0.44978851135999998</v>
      </c>
      <c r="AU611" s="51">
        <v>0.68384162943000004</v>
      </c>
      <c r="AV611" s="51">
        <v>0.36265998999999999</v>
      </c>
      <c r="AW611" s="51">
        <v>4179.7916666666697</v>
      </c>
      <c r="AX611" s="51">
        <v>429.64864</v>
      </c>
      <c r="AY611" s="51">
        <v>246.03528154253999</v>
      </c>
      <c r="AZ611" s="51">
        <v>818.06995592042995</v>
      </c>
      <c r="BA611" s="51">
        <v>820.20849999999996</v>
      </c>
      <c r="BB611" s="51">
        <v>564.66326304025995</v>
      </c>
      <c r="BC611" s="51">
        <v>1.9418292960000001</v>
      </c>
      <c r="BD611" s="51">
        <v>3.2806000000000002</v>
      </c>
      <c r="BE611" s="51">
        <v>3.9481818181800001</v>
      </c>
      <c r="BF611" s="51">
        <v>90</v>
      </c>
      <c r="BG611" s="51">
        <v>417.5</v>
      </c>
      <c r="BH611" s="51">
        <v>372.5</v>
      </c>
      <c r="BI611" s="51">
        <v>253.75</v>
      </c>
      <c r="BJ611" s="51">
        <v>340</v>
      </c>
      <c r="BK611" s="51">
        <v>2316.7249999999999</v>
      </c>
      <c r="BL611" s="51">
        <v>172.47</v>
      </c>
      <c r="BM611" s="51">
        <v>7745.0749999999998</v>
      </c>
      <c r="BN611" s="51">
        <v>2264.85</v>
      </c>
      <c r="BO611" s="51">
        <v>18683.5</v>
      </c>
      <c r="BP611" s="51">
        <v>26030.75</v>
      </c>
      <c r="BQ611" s="51">
        <v>2366.6750000000002</v>
      </c>
      <c r="BR611" s="51">
        <v>1148.6880000000001</v>
      </c>
      <c r="BS611" s="51">
        <v>1710.5</v>
      </c>
      <c r="BT611" s="51">
        <v>18.0623</v>
      </c>
      <c r="BU611" s="41"/>
      <c r="BV611" s="41"/>
      <c r="BW611" s="41"/>
      <c r="BX611" s="41"/>
      <c r="BY611" s="41"/>
      <c r="BZ611" s="41"/>
      <c r="CA611" s="41"/>
      <c r="CB611" s="41"/>
      <c r="CC611" s="41"/>
      <c r="CD611" s="41"/>
      <c r="CE611" s="41"/>
      <c r="CF611" s="41"/>
      <c r="CG611" s="41"/>
      <c r="CH611" s="41"/>
      <c r="CI611" s="41"/>
      <c r="CJ611" s="41"/>
      <c r="CK611" s="41"/>
    </row>
    <row r="612" spans="1:89">
      <c r="A612" s="48" t="s">
        <v>741</v>
      </c>
      <c r="B612" s="49">
        <v>75.61831746032</v>
      </c>
      <c r="C612" s="49">
        <v>76.250952380949997</v>
      </c>
      <c r="D612" s="49">
        <v>76.873999999999995</v>
      </c>
      <c r="E612" s="49">
        <v>73.73</v>
      </c>
      <c r="F612" s="49">
        <v>100.13</v>
      </c>
      <c r="G612" s="49">
        <v>90.9375</v>
      </c>
      <c r="H612" s="49">
        <v>4.1559999999999997</v>
      </c>
      <c r="I612" s="49">
        <v>7.27</v>
      </c>
      <c r="J612" s="49">
        <v>11.39</v>
      </c>
      <c r="K612" s="49">
        <v>92.745895025590002</v>
      </c>
      <c r="L612" s="49">
        <v>3.1784006539999998</v>
      </c>
      <c r="M612" s="49">
        <v>3.8201655360000002</v>
      </c>
      <c r="N612" s="49">
        <v>1.5566821820000001</v>
      </c>
      <c r="O612" s="49">
        <v>2.7988500318099998</v>
      </c>
      <c r="P612" s="49">
        <v>3.2185628084600002</v>
      </c>
      <c r="Q612" s="49">
        <v>2.84798728698</v>
      </c>
      <c r="R612" s="49">
        <v>2.33</v>
      </c>
      <c r="S612" s="49">
        <v>932</v>
      </c>
      <c r="T612" s="49">
        <v>1200</v>
      </c>
      <c r="U612" s="49">
        <v>1108.04</v>
      </c>
      <c r="V612" s="49">
        <v>1366.87</v>
      </c>
      <c r="W612" s="49">
        <v>855.31</v>
      </c>
      <c r="X612" s="49">
        <v>1031.05</v>
      </c>
      <c r="Y612" s="49">
        <v>402.87</v>
      </c>
      <c r="Z612" s="49">
        <v>859.49</v>
      </c>
      <c r="AA612" s="49">
        <v>371</v>
      </c>
      <c r="AB612" s="49">
        <v>862.49</v>
      </c>
      <c r="AC612" s="49">
        <v>910</v>
      </c>
      <c r="AD612" s="49">
        <v>143.03590335932</v>
      </c>
      <c r="AE612" s="49">
        <v>163.37719999999999</v>
      </c>
      <c r="AF612" s="49">
        <v>147.34577770000001</v>
      </c>
      <c r="AG612" s="49">
        <v>451.33333333333002</v>
      </c>
      <c r="AH612" s="49">
        <v>396.66666666666998</v>
      </c>
      <c r="AI612" s="49">
        <v>329</v>
      </c>
      <c r="AJ612" s="49">
        <v>368.82249999999999</v>
      </c>
      <c r="AK612" s="49">
        <v>190.3322106</v>
      </c>
      <c r="AL612" s="49">
        <v>181.60558897499999</v>
      </c>
      <c r="AM612" s="49">
        <v>0.99899255053000002</v>
      </c>
      <c r="AN612" s="49">
        <v>0.79920012500000004</v>
      </c>
      <c r="AO612" s="49">
        <v>1.0547115513100001</v>
      </c>
      <c r="AP612" s="49">
        <v>3.58360981</v>
      </c>
      <c r="AQ612" s="49">
        <v>1.9056184125</v>
      </c>
      <c r="AR612" s="49">
        <v>4.8427499999999997</v>
      </c>
      <c r="AS612" s="49">
        <v>10.031021000000001</v>
      </c>
      <c r="AT612" s="49">
        <v>0.42097695237999999</v>
      </c>
      <c r="AU612" s="49">
        <v>0.68106223349999995</v>
      </c>
      <c r="AV612" s="49">
        <v>0.33510224</v>
      </c>
      <c r="AW612" s="49">
        <v>4244.5749999999998</v>
      </c>
      <c r="AX612" s="49">
        <v>403.488</v>
      </c>
      <c r="AY612" s="49">
        <v>253.65874816397999</v>
      </c>
      <c r="AZ612" s="49">
        <v>772.90032713123003</v>
      </c>
      <c r="BA612" s="49">
        <v>836.47132350000004</v>
      </c>
      <c r="BB612" s="49">
        <v>566.78886205066999</v>
      </c>
      <c r="BC612" s="49">
        <v>1.985701234</v>
      </c>
      <c r="BD612" s="49">
        <v>2.8869500000000001</v>
      </c>
      <c r="BE612" s="49">
        <v>3.6677499999999998</v>
      </c>
      <c r="BF612" s="49">
        <v>90</v>
      </c>
      <c r="BG612" s="49">
        <v>410</v>
      </c>
      <c r="BH612" s="49">
        <v>352.75</v>
      </c>
      <c r="BI612" s="49">
        <v>234</v>
      </c>
      <c r="BJ612" s="49">
        <v>334.5</v>
      </c>
      <c r="BK612" s="49">
        <v>2040.5260000000001</v>
      </c>
      <c r="BL612" s="49">
        <v>161.35</v>
      </c>
      <c r="BM612" s="49">
        <v>6837.6840000000002</v>
      </c>
      <c r="BN612" s="49">
        <v>1882.684</v>
      </c>
      <c r="BO612" s="49">
        <v>17566.053</v>
      </c>
      <c r="BP612" s="49">
        <v>22008.157999999999</v>
      </c>
      <c r="BQ612" s="49">
        <v>1968.3679999999999</v>
      </c>
      <c r="BR612" s="49">
        <v>1205.434</v>
      </c>
      <c r="BS612" s="49">
        <v>1624.86</v>
      </c>
      <c r="BT612" s="49">
        <v>18.433299999999999</v>
      </c>
      <c r="BU612" s="41"/>
      <c r="BV612" s="41"/>
      <c r="BW612" s="41"/>
      <c r="BX612" s="41"/>
      <c r="BY612" s="41"/>
      <c r="BZ612" s="41"/>
      <c r="CA612" s="41"/>
      <c r="CB612" s="41"/>
      <c r="CC612" s="41"/>
      <c r="CD612" s="41"/>
      <c r="CE612" s="41"/>
      <c r="CF612" s="41"/>
      <c r="CG612" s="41"/>
      <c r="CH612" s="41"/>
      <c r="CI612" s="41"/>
      <c r="CJ612" s="41"/>
      <c r="CK612" s="41"/>
    </row>
    <row r="613" spans="1:89">
      <c r="A613" s="41" t="s">
        <v>742</v>
      </c>
      <c r="B613" s="51">
        <v>74.724999999999994</v>
      </c>
      <c r="C613" s="51">
        <v>74.838181818180004</v>
      </c>
      <c r="D613" s="51">
        <v>73.98318181818</v>
      </c>
      <c r="E613" s="51">
        <v>75.353636363640007</v>
      </c>
      <c r="F613" s="51">
        <v>98.1875</v>
      </c>
      <c r="G613" s="51">
        <v>92.8125</v>
      </c>
      <c r="H613" s="51">
        <v>4.7948000000000004</v>
      </c>
      <c r="I613" s="51">
        <v>7.74</v>
      </c>
      <c r="J613" s="51">
        <v>10.48</v>
      </c>
      <c r="K613" s="51">
        <v>102.1209290833</v>
      </c>
      <c r="L613" s="51">
        <v>3.2308706100000002</v>
      </c>
      <c r="M613" s="51">
        <v>4.2086195799999997</v>
      </c>
      <c r="N613" s="51">
        <v>1.695793704</v>
      </c>
      <c r="O613" s="51">
        <v>2.7180479741300001</v>
      </c>
      <c r="P613" s="51">
        <v>3.00076145372</v>
      </c>
      <c r="Q613" s="51">
        <v>2.91838246866</v>
      </c>
      <c r="R613" s="51">
        <v>2.2349999999999999</v>
      </c>
      <c r="S613" s="51">
        <v>993</v>
      </c>
      <c r="T613" s="51">
        <v>1200</v>
      </c>
      <c r="U613" s="51">
        <v>1136.71</v>
      </c>
      <c r="V613" s="51">
        <v>1366.87</v>
      </c>
      <c r="W613" s="51">
        <v>825.68</v>
      </c>
      <c r="X613" s="51">
        <v>1050</v>
      </c>
      <c r="Y613" s="51">
        <v>401.33</v>
      </c>
      <c r="Z613" s="51">
        <v>860.28</v>
      </c>
      <c r="AA613" s="51">
        <v>351.18</v>
      </c>
      <c r="AB613" s="51">
        <v>876.07</v>
      </c>
      <c r="AC613" s="51">
        <v>889</v>
      </c>
      <c r="AD613" s="51">
        <v>145.93266868949999</v>
      </c>
      <c r="AE613" s="51">
        <v>152.74784</v>
      </c>
      <c r="AF613" s="51">
        <v>130.97867882</v>
      </c>
      <c r="AG613" s="51">
        <v>440</v>
      </c>
      <c r="AH613" s="51">
        <v>392</v>
      </c>
      <c r="AI613" s="51">
        <v>329.5</v>
      </c>
      <c r="AJ613" s="51">
        <v>358.21499999999997</v>
      </c>
      <c r="AK613" s="51">
        <v>182.6160399</v>
      </c>
      <c r="AL613" s="51">
        <v>157.67209847046001</v>
      </c>
      <c r="AM613" s="51">
        <v>1.03652854844</v>
      </c>
      <c r="AN613" s="51">
        <v>0.96207159875000003</v>
      </c>
      <c r="AO613" s="51">
        <v>1.2012702857099999</v>
      </c>
      <c r="AP613" s="51">
        <v>3.3250078840000001</v>
      </c>
      <c r="AQ613" s="51">
        <v>1.92183508846</v>
      </c>
      <c r="AR613" s="51">
        <v>5.2014899999999997</v>
      </c>
      <c r="AS613" s="51">
        <v>12.39437364</v>
      </c>
      <c r="AT613" s="51">
        <v>0.40909210226999998</v>
      </c>
      <c r="AU613" s="51">
        <v>0.72373666199999998</v>
      </c>
      <c r="AV613" s="51">
        <v>0.35009365599999998</v>
      </c>
      <c r="AW613" s="51">
        <v>4337.8083333333298</v>
      </c>
      <c r="AX613" s="51">
        <v>390.78399999999999</v>
      </c>
      <c r="AY613" s="51">
        <v>260.83782247764998</v>
      </c>
      <c r="AZ613" s="51">
        <v>770.40421310511999</v>
      </c>
      <c r="BA613" s="51">
        <v>841.09199999999998</v>
      </c>
      <c r="BB613" s="51">
        <v>567.49575788166999</v>
      </c>
      <c r="BC613" s="51">
        <v>2.0511784479999999</v>
      </c>
      <c r="BD613" s="51">
        <v>2.9000909090899998</v>
      </c>
      <c r="BE613" s="51">
        <v>3.5657727272700002</v>
      </c>
      <c r="BF613" s="51">
        <v>90</v>
      </c>
      <c r="BG613" s="51">
        <v>392.5</v>
      </c>
      <c r="BH613" s="51">
        <v>346.8</v>
      </c>
      <c r="BI613" s="51">
        <v>226.25</v>
      </c>
      <c r="BJ613" s="51">
        <v>312.5</v>
      </c>
      <c r="BK613" s="51">
        <v>1931.386</v>
      </c>
      <c r="BL613" s="51">
        <v>143.63</v>
      </c>
      <c r="BM613" s="51">
        <v>6499.2950000000001</v>
      </c>
      <c r="BN613" s="51">
        <v>1703.9549999999999</v>
      </c>
      <c r="BO613" s="51">
        <v>17319.773000000001</v>
      </c>
      <c r="BP613" s="51">
        <v>19388.635999999999</v>
      </c>
      <c r="BQ613" s="51">
        <v>1742.8409999999999</v>
      </c>
      <c r="BR613" s="51">
        <v>1232.92</v>
      </c>
      <c r="BS613" s="51">
        <v>1553.23</v>
      </c>
      <c r="BT613" s="51">
        <v>18.454799999999999</v>
      </c>
      <c r="BU613" s="41"/>
      <c r="BV613" s="41"/>
      <c r="BW613" s="41"/>
      <c r="BX613" s="41"/>
      <c r="BY613" s="41"/>
      <c r="BZ613" s="41"/>
      <c r="CA613" s="41"/>
      <c r="CB613" s="41"/>
      <c r="CC613" s="41"/>
      <c r="CD613" s="41"/>
      <c r="CE613" s="41"/>
      <c r="CF613" s="41"/>
      <c r="CG613" s="41"/>
      <c r="CH613" s="41"/>
      <c r="CI613" s="41"/>
      <c r="CJ613" s="41"/>
      <c r="CK613" s="41"/>
    </row>
    <row r="614" spans="1:89">
      <c r="A614" s="48" t="s">
        <v>743</v>
      </c>
      <c r="B614" s="49">
        <v>74.579401154400003</v>
      </c>
      <c r="C614" s="49">
        <v>74.735454545449997</v>
      </c>
      <c r="D614" s="49">
        <v>72.652272727270002</v>
      </c>
      <c r="E614" s="49">
        <v>76.350476190479995</v>
      </c>
      <c r="F614" s="49">
        <v>95.98</v>
      </c>
      <c r="G614" s="49">
        <v>90.61</v>
      </c>
      <c r="H614" s="49">
        <v>4.6265999999999998</v>
      </c>
      <c r="I614" s="49">
        <v>8.0399999999999991</v>
      </c>
      <c r="J614" s="49">
        <v>11.32</v>
      </c>
      <c r="K614" s="49">
        <v>102.07370050082</v>
      </c>
      <c r="L614" s="49">
        <v>3.2295478379999998</v>
      </c>
      <c r="M614" s="49">
        <v>4.4800083019999999</v>
      </c>
      <c r="N614" s="49">
        <v>1.879879474</v>
      </c>
      <c r="O614" s="49">
        <v>2.8640997545800002</v>
      </c>
      <c r="P614" s="49">
        <v>3.0446446425200002</v>
      </c>
      <c r="Q614" s="49">
        <v>3.23265462124</v>
      </c>
      <c r="R614" s="49">
        <v>2.3149999999999999</v>
      </c>
      <c r="S614" s="49">
        <v>1031</v>
      </c>
      <c r="T614" s="49">
        <v>1200</v>
      </c>
      <c r="U614" s="49">
        <v>1139.5899999999999</v>
      </c>
      <c r="V614" s="49">
        <v>1366.87</v>
      </c>
      <c r="W614" s="49">
        <v>844.43</v>
      </c>
      <c r="X614" s="49">
        <v>1063.8599999999999</v>
      </c>
      <c r="Y614" s="49">
        <v>427.53</v>
      </c>
      <c r="Z614" s="49">
        <v>910.82</v>
      </c>
      <c r="AA614" s="49">
        <v>369.32</v>
      </c>
      <c r="AB614" s="49">
        <v>946.76</v>
      </c>
      <c r="AC614" s="49">
        <v>937</v>
      </c>
      <c r="AD614" s="49">
        <v>156.36196489269</v>
      </c>
      <c r="AE614" s="49">
        <v>163.75682</v>
      </c>
      <c r="AF614" s="49">
        <v>132.40286334000001</v>
      </c>
      <c r="AG614" s="49">
        <v>441.8</v>
      </c>
      <c r="AH614" s="49">
        <v>395.6</v>
      </c>
      <c r="AI614" s="49">
        <v>349.8</v>
      </c>
      <c r="AJ614" s="49">
        <v>357.85599999999999</v>
      </c>
      <c r="AK614" s="49">
        <v>222.28170651428999</v>
      </c>
      <c r="AL614" s="49">
        <v>195.81769059128999</v>
      </c>
      <c r="AM614" s="49">
        <v>0.95885934492000002</v>
      </c>
      <c r="AN614" s="49">
        <v>0.98522084374999996</v>
      </c>
      <c r="AO614" s="49">
        <v>1.30241177536</v>
      </c>
      <c r="AP614" s="49">
        <v>3.26945146</v>
      </c>
      <c r="AQ614" s="49">
        <v>1.93655825</v>
      </c>
      <c r="AR614" s="49">
        <v>5.3875782750000001</v>
      </c>
      <c r="AS614" s="49">
        <v>12.68979272</v>
      </c>
      <c r="AT614" s="49">
        <v>0.42774931818</v>
      </c>
      <c r="AU614" s="49">
        <v>0.73277369524000002</v>
      </c>
      <c r="AV614" s="49">
        <v>0.38492665199999998</v>
      </c>
      <c r="AW614" s="49">
        <v>4381.8500000000004</v>
      </c>
      <c r="AX614" s="49">
        <v>421.36511999999999</v>
      </c>
      <c r="AY614" s="49">
        <v>274.90743387152003</v>
      </c>
      <c r="AZ614" s="49">
        <v>794.51176102272996</v>
      </c>
      <c r="BA614" s="49">
        <v>871.18286999999998</v>
      </c>
      <c r="BB614" s="49">
        <v>569.66985219141998</v>
      </c>
      <c r="BC614" s="49">
        <v>1.85538815</v>
      </c>
      <c r="BD614" s="49">
        <v>2.92640909091</v>
      </c>
      <c r="BE614" s="49">
        <v>3.2741818181800002</v>
      </c>
      <c r="BF614" s="49">
        <v>98.75</v>
      </c>
      <c r="BG614" s="49">
        <v>418.125</v>
      </c>
      <c r="BH614" s="49">
        <v>360</v>
      </c>
      <c r="BI614" s="49">
        <v>259.375</v>
      </c>
      <c r="BJ614" s="49">
        <v>312.5</v>
      </c>
      <c r="BK614" s="49">
        <v>1988.2729999999999</v>
      </c>
      <c r="BL614" s="49">
        <v>126.36</v>
      </c>
      <c r="BM614" s="49">
        <v>6735.25</v>
      </c>
      <c r="BN614" s="49">
        <v>1836.9770000000001</v>
      </c>
      <c r="BO614" s="49">
        <v>18191.364000000001</v>
      </c>
      <c r="BP614" s="49">
        <v>19517.5</v>
      </c>
      <c r="BQ614" s="49">
        <v>1843.886</v>
      </c>
      <c r="BR614" s="49">
        <v>1192.9659999999999</v>
      </c>
      <c r="BS614" s="49">
        <v>1525.59</v>
      </c>
      <c r="BT614" s="49">
        <v>17.9605</v>
      </c>
      <c r="BU614" s="41"/>
      <c r="BV614" s="41"/>
      <c r="BW614" s="41"/>
      <c r="BX614" s="41"/>
      <c r="BY614" s="41"/>
      <c r="BZ614" s="41"/>
      <c r="CA614" s="41"/>
      <c r="CB614" s="41"/>
      <c r="CC614" s="41"/>
      <c r="CD614" s="41"/>
      <c r="CE614" s="41"/>
      <c r="CF614" s="41"/>
      <c r="CG614" s="41"/>
      <c r="CH614" s="41"/>
      <c r="CI614" s="41"/>
      <c r="CJ614" s="41"/>
      <c r="CK614" s="41"/>
    </row>
    <row r="615" spans="1:89">
      <c r="A615" s="41" t="s">
        <v>744</v>
      </c>
      <c r="B615" s="51">
        <v>75.826269841270005</v>
      </c>
      <c r="C615" s="51">
        <v>76.693181818179994</v>
      </c>
      <c r="D615" s="51">
        <v>74.183809523809998</v>
      </c>
      <c r="E615" s="51">
        <v>76.601818181819993</v>
      </c>
      <c r="F615" s="51">
        <v>89.78</v>
      </c>
      <c r="G615" s="51">
        <v>87.9</v>
      </c>
      <c r="H615" s="51">
        <v>4.3049999999999997</v>
      </c>
      <c r="I615" s="51">
        <v>8.4499999999999993</v>
      </c>
      <c r="J615" s="51">
        <v>11.3</v>
      </c>
      <c r="K615" s="51">
        <v>100.10397055048</v>
      </c>
      <c r="L615" s="51">
        <v>3.0716970460000002</v>
      </c>
      <c r="M615" s="51">
        <v>4.6647554580000001</v>
      </c>
      <c r="N615" s="51">
        <v>1.8227798159999999</v>
      </c>
      <c r="O615" s="51">
        <v>2.99338321328</v>
      </c>
      <c r="P615" s="51">
        <v>3.26955247269</v>
      </c>
      <c r="Q615" s="51">
        <v>3.20259716716</v>
      </c>
      <c r="R615" s="51">
        <v>2.508</v>
      </c>
      <c r="S615" s="51">
        <v>1170</v>
      </c>
      <c r="T615" s="51">
        <v>1231.82</v>
      </c>
      <c r="U615" s="51">
        <v>1155.8699999999999</v>
      </c>
      <c r="V615" s="51">
        <v>1383.9</v>
      </c>
      <c r="W615" s="51">
        <v>943.73</v>
      </c>
      <c r="X615" s="51">
        <v>1171.1400000000001</v>
      </c>
      <c r="Y615" s="51">
        <v>449.84</v>
      </c>
      <c r="Z615" s="51">
        <v>997.62</v>
      </c>
      <c r="AA615" s="51">
        <v>398.91</v>
      </c>
      <c r="AB615" s="51">
        <v>1012.94</v>
      </c>
      <c r="AC615" s="51">
        <v>1074</v>
      </c>
      <c r="AD615" s="51">
        <v>161.23269214493001</v>
      </c>
      <c r="AE615" s="51">
        <v>175.58127999999999</v>
      </c>
      <c r="AF615" s="51">
        <v>143.39509866</v>
      </c>
      <c r="AG615" s="51">
        <v>452.75</v>
      </c>
      <c r="AH615" s="51">
        <v>412</v>
      </c>
      <c r="AI615" s="51">
        <v>369</v>
      </c>
      <c r="AJ615" s="51">
        <v>422.85750000000002</v>
      </c>
      <c r="AK615" s="51">
        <v>261.61493039999999</v>
      </c>
      <c r="AL615" s="51">
        <v>246.24722445585999</v>
      </c>
      <c r="AM615" s="51">
        <v>0.86485336522</v>
      </c>
      <c r="AN615" s="51">
        <v>0.89910014062999999</v>
      </c>
      <c r="AO615" s="51">
        <v>1.13932707033</v>
      </c>
      <c r="AP615" s="51">
        <v>3.410106216</v>
      </c>
      <c r="AQ615" s="51">
        <v>1.93540198077</v>
      </c>
      <c r="AR615" s="51">
        <v>6.8494000000000002</v>
      </c>
      <c r="AS615" s="51">
        <v>11.96667736</v>
      </c>
      <c r="AT615" s="51">
        <v>0.43205787499999998</v>
      </c>
      <c r="AU615" s="51">
        <v>0.77172723099999996</v>
      </c>
      <c r="AV615" s="51">
        <v>0.40807516199999999</v>
      </c>
      <c r="AW615" s="51">
        <v>4350.0916666666699</v>
      </c>
      <c r="AX615" s="51">
        <v>425.60924999999997</v>
      </c>
      <c r="AY615" s="51">
        <v>294.67195436259999</v>
      </c>
      <c r="AZ615" s="51">
        <v>813.66528381833996</v>
      </c>
      <c r="BA615" s="51">
        <v>892.1847252</v>
      </c>
      <c r="BB615" s="51">
        <v>571.81858994626998</v>
      </c>
      <c r="BC615" s="51">
        <v>1.9917691880999999</v>
      </c>
      <c r="BD615" s="51">
        <v>3.1425909090899999</v>
      </c>
      <c r="BE615" s="51">
        <v>3.3160909090900001</v>
      </c>
      <c r="BF615" s="51">
        <v>125</v>
      </c>
      <c r="BG615" s="51">
        <v>459.9</v>
      </c>
      <c r="BH615" s="51">
        <v>380.75</v>
      </c>
      <c r="BI615" s="51">
        <v>263.5</v>
      </c>
      <c r="BJ615" s="51">
        <v>312.5</v>
      </c>
      <c r="BK615" s="51">
        <v>2118.143</v>
      </c>
      <c r="BL615" s="51">
        <v>145.34</v>
      </c>
      <c r="BM615" s="51">
        <v>7283.9520000000002</v>
      </c>
      <c r="BN615" s="51">
        <v>2075.2379999999998</v>
      </c>
      <c r="BO615" s="51">
        <v>20754.761999999999</v>
      </c>
      <c r="BP615" s="51">
        <v>21413.332999999999</v>
      </c>
      <c r="BQ615" s="51">
        <v>2044.5709999999999</v>
      </c>
      <c r="BR615" s="51">
        <v>1215.81</v>
      </c>
      <c r="BS615" s="51">
        <v>1540.59</v>
      </c>
      <c r="BT615" s="51">
        <v>18.387699999999999</v>
      </c>
      <c r="BU615" s="41"/>
      <c r="BV615" s="41"/>
      <c r="BW615" s="41"/>
      <c r="BX615" s="41"/>
      <c r="BY615" s="41"/>
      <c r="BZ615" s="41"/>
      <c r="CA615" s="41"/>
      <c r="CB615" s="41"/>
      <c r="CC615" s="41"/>
      <c r="CD615" s="41"/>
      <c r="CE615" s="41"/>
      <c r="CF615" s="41"/>
      <c r="CG615" s="41"/>
      <c r="CH615" s="41"/>
      <c r="CI615" s="41"/>
      <c r="CJ615" s="41"/>
      <c r="CK615" s="41"/>
    </row>
    <row r="616" spans="1:89">
      <c r="A616" s="48" t="s">
        <v>745</v>
      </c>
      <c r="B616" s="49">
        <v>76.116240981239997</v>
      </c>
      <c r="C616" s="49">
        <v>77.786818181819996</v>
      </c>
      <c r="D616" s="49">
        <v>75.270476190479997</v>
      </c>
      <c r="E616" s="49">
        <v>75.291428571430004</v>
      </c>
      <c r="F616" s="49">
        <v>94.9</v>
      </c>
      <c r="G616" s="49">
        <v>85.82</v>
      </c>
      <c r="H616" s="49">
        <v>3.9039000000000001</v>
      </c>
      <c r="I616" s="49">
        <v>8.2799999999999994</v>
      </c>
      <c r="J616" s="49">
        <v>11.03</v>
      </c>
      <c r="K616" s="49">
        <v>94.242164940449996</v>
      </c>
      <c r="L616" s="49">
        <v>2.8750449420000002</v>
      </c>
      <c r="M616" s="49">
        <v>4.9099092019999997</v>
      </c>
      <c r="N616" s="49">
        <v>1.7919151360000001</v>
      </c>
      <c r="O616" s="49">
        <v>2.9960260725999999</v>
      </c>
      <c r="P616" s="49">
        <v>3.3488085507299998</v>
      </c>
      <c r="Q616" s="49">
        <v>3.1817696670800002</v>
      </c>
      <c r="R616" s="49">
        <v>2.4575</v>
      </c>
      <c r="S616" s="49">
        <v>1275</v>
      </c>
      <c r="T616" s="49">
        <v>1250</v>
      </c>
      <c r="U616" s="49">
        <v>1182.1400000000001</v>
      </c>
      <c r="V616" s="49">
        <v>1426.71</v>
      </c>
      <c r="W616" s="49">
        <v>948.88</v>
      </c>
      <c r="X616" s="49">
        <v>1259.6600000000001</v>
      </c>
      <c r="Y616" s="49">
        <v>468.26</v>
      </c>
      <c r="Z616" s="49">
        <v>1035.26</v>
      </c>
      <c r="AA616" s="49">
        <v>409.73</v>
      </c>
      <c r="AB616" s="49">
        <v>1032.57</v>
      </c>
      <c r="AC616" s="49">
        <v>1114</v>
      </c>
      <c r="AD616" s="49">
        <v>168.11980413513001</v>
      </c>
      <c r="AE616" s="49">
        <v>205.89464000000001</v>
      </c>
      <c r="AF616" s="49">
        <v>184.90462885714001</v>
      </c>
      <c r="AG616" s="49">
        <v>476.5</v>
      </c>
      <c r="AH616" s="49">
        <v>448</v>
      </c>
      <c r="AI616" s="49">
        <v>412</v>
      </c>
      <c r="AJ616" s="49">
        <v>457.678</v>
      </c>
      <c r="AK616" s="49">
        <v>276.31239840000001</v>
      </c>
      <c r="AL616" s="49">
        <v>271.67359754743001</v>
      </c>
      <c r="AM616" s="49">
        <v>0.97408516714000004</v>
      </c>
      <c r="AN616" s="49">
        <v>0.88049806875000003</v>
      </c>
      <c r="AO616" s="49">
        <v>1.0468508990600001</v>
      </c>
      <c r="AP616" s="49">
        <v>3.3909260219999999</v>
      </c>
      <c r="AQ616" s="49">
        <v>1.93455405</v>
      </c>
      <c r="AR616" s="49">
        <v>7.2438000000000002</v>
      </c>
      <c r="AS616" s="49">
        <v>11.732987639999999</v>
      </c>
      <c r="AT616" s="49">
        <v>0.43901111905000001</v>
      </c>
      <c r="AU616" s="49">
        <v>0.84150345400000004</v>
      </c>
      <c r="AV616" s="49">
        <v>0.496259962</v>
      </c>
      <c r="AW616" s="49">
        <v>4358.3500000000004</v>
      </c>
      <c r="AX616" s="49">
        <v>432.01949999999999</v>
      </c>
      <c r="AY616" s="49">
        <v>310.91209847739998</v>
      </c>
      <c r="AZ616" s="49">
        <v>827.12243754222004</v>
      </c>
      <c r="BA616" s="49">
        <v>875.96437500000002</v>
      </c>
      <c r="BB616" s="49">
        <v>575.35057104861005</v>
      </c>
      <c r="BC616" s="49">
        <v>2.3088985260000001</v>
      </c>
      <c r="BD616" s="49">
        <v>3.3625240000000001</v>
      </c>
      <c r="BE616" s="49">
        <v>3.5333809999999999</v>
      </c>
      <c r="BF616" s="49">
        <v>125</v>
      </c>
      <c r="BG616" s="49">
        <v>506</v>
      </c>
      <c r="BH616" s="49">
        <v>428</v>
      </c>
      <c r="BI616" s="49">
        <v>308.75</v>
      </c>
      <c r="BJ616" s="49">
        <v>312.5</v>
      </c>
      <c r="BK616" s="49">
        <v>2162.3409999999999</v>
      </c>
      <c r="BL616" s="49">
        <v>140.62727272727</v>
      </c>
      <c r="BM616" s="49">
        <v>7709.2950000000001</v>
      </c>
      <c r="BN616" s="49">
        <v>2184.2269999999999</v>
      </c>
      <c r="BO616" s="49">
        <v>22701.135999999999</v>
      </c>
      <c r="BP616" s="49">
        <v>22643.409</v>
      </c>
      <c r="BQ616" s="49">
        <v>2151.4090000000001</v>
      </c>
      <c r="BR616" s="49">
        <v>1270.9770000000001</v>
      </c>
      <c r="BS616" s="49">
        <v>1591.75</v>
      </c>
      <c r="BT616" s="49">
        <v>20.549800000000001</v>
      </c>
      <c r="BU616" s="41"/>
      <c r="BV616" s="41"/>
      <c r="BW616" s="41"/>
      <c r="BX616" s="41"/>
      <c r="BY616" s="41"/>
      <c r="BZ616" s="41"/>
      <c r="CA616" s="41"/>
      <c r="CB616" s="41"/>
      <c r="CC616" s="41"/>
      <c r="CD616" s="41"/>
      <c r="CE616" s="41"/>
      <c r="CF616" s="41"/>
      <c r="CG616" s="41"/>
      <c r="CH616" s="41"/>
      <c r="CI616" s="41"/>
      <c r="CJ616" s="41"/>
      <c r="CK616" s="41"/>
    </row>
    <row r="617" spans="1:89">
      <c r="A617" s="41" t="s">
        <v>746</v>
      </c>
      <c r="B617" s="51">
        <v>81.719365079369993</v>
      </c>
      <c r="C617" s="51">
        <v>82.918095238099994</v>
      </c>
      <c r="D617" s="51">
        <v>80.340476190480004</v>
      </c>
      <c r="E617" s="51">
        <v>81.899523809520005</v>
      </c>
      <c r="F617" s="51">
        <v>97.45</v>
      </c>
      <c r="G617" s="51">
        <v>90.99</v>
      </c>
      <c r="H617" s="51">
        <v>3.4315000000000002</v>
      </c>
      <c r="I617" s="51">
        <v>8.2899999999999991</v>
      </c>
      <c r="J617" s="51">
        <v>11.13</v>
      </c>
      <c r="K617" s="51">
        <v>88.620924680490006</v>
      </c>
      <c r="L617" s="51">
        <v>2.9275148980000001</v>
      </c>
      <c r="M617" s="51">
        <v>4.7981349680000003</v>
      </c>
      <c r="N617" s="51">
        <v>1.879879474</v>
      </c>
      <c r="O617" s="51">
        <v>3.03472973501</v>
      </c>
      <c r="P617" s="51">
        <v>3.3724139968700002</v>
      </c>
      <c r="Q617" s="51">
        <v>3.2467752081699999</v>
      </c>
      <c r="R617" s="51">
        <v>2.4849999999999999</v>
      </c>
      <c r="S617" s="51">
        <v>1412</v>
      </c>
      <c r="T617" s="51">
        <v>1280.95</v>
      </c>
      <c r="U617" s="51">
        <v>1197.99</v>
      </c>
      <c r="V617" s="51">
        <v>1471.32</v>
      </c>
      <c r="W617" s="51">
        <v>1025.83</v>
      </c>
      <c r="X617" s="51">
        <v>1420.95</v>
      </c>
      <c r="Y617" s="51">
        <v>495.79</v>
      </c>
      <c r="Z617" s="51">
        <v>1146.75</v>
      </c>
      <c r="AA617" s="51">
        <v>417.77</v>
      </c>
      <c r="AB617" s="51">
        <v>1149.51</v>
      </c>
      <c r="AC617" s="51">
        <v>1284</v>
      </c>
      <c r="AD617" s="51">
        <v>174.62422634836</v>
      </c>
      <c r="AE617" s="51">
        <v>235.81432000000001</v>
      </c>
      <c r="AF617" s="51">
        <v>201.03929780000001</v>
      </c>
      <c r="AG617" s="51">
        <v>486</v>
      </c>
      <c r="AH617" s="51">
        <v>457</v>
      </c>
      <c r="AI617" s="51">
        <v>428.25</v>
      </c>
      <c r="AJ617" s="51">
        <v>477.68</v>
      </c>
      <c r="AK617" s="51">
        <v>267.49391759999997</v>
      </c>
      <c r="AL617" s="51">
        <v>270.23219586429002</v>
      </c>
      <c r="AM617" s="51">
        <v>1.0033432303100001</v>
      </c>
      <c r="AN617" s="51">
        <v>0.91632428124999998</v>
      </c>
      <c r="AO617" s="51">
        <v>1.08632365351</v>
      </c>
      <c r="AP617" s="51">
        <v>3.3743913719999998</v>
      </c>
      <c r="AQ617" s="51">
        <v>1.9120485541700001</v>
      </c>
      <c r="AR617" s="51">
        <v>7.6478999999999999</v>
      </c>
      <c r="AS617" s="51">
        <v>11.75723846</v>
      </c>
      <c r="AT617" s="51">
        <v>0.45409956304999999</v>
      </c>
      <c r="AU617" s="51">
        <v>0.84287871695000005</v>
      </c>
      <c r="AV617" s="51">
        <v>0.54255698200000002</v>
      </c>
      <c r="AW617" s="51">
        <v>4357.4916666666704</v>
      </c>
      <c r="AX617" s="51">
        <v>458.88150000000002</v>
      </c>
      <c r="AY617" s="51">
        <v>316.36162135653001</v>
      </c>
      <c r="AZ617" s="51">
        <v>867.41951343101005</v>
      </c>
      <c r="BA617" s="51">
        <v>880.17449999999997</v>
      </c>
      <c r="BB617" s="51">
        <v>578.23195983995004</v>
      </c>
      <c r="BC617" s="51">
        <v>2.7899466099999999</v>
      </c>
      <c r="BD617" s="51">
        <v>3.8479523809499998</v>
      </c>
      <c r="BE617" s="51">
        <v>3.92476190476</v>
      </c>
      <c r="BF617" s="51">
        <v>125</v>
      </c>
      <c r="BG617" s="51">
        <v>557.25</v>
      </c>
      <c r="BH617" s="51">
        <v>455</v>
      </c>
      <c r="BI617" s="51">
        <v>332.5</v>
      </c>
      <c r="BJ617" s="51">
        <v>312.5</v>
      </c>
      <c r="BK617" s="51">
        <v>2346.5700000000002</v>
      </c>
      <c r="BL617" s="51">
        <v>148.48095238094999</v>
      </c>
      <c r="BM617" s="51">
        <v>8292.4050000000007</v>
      </c>
      <c r="BN617" s="51">
        <v>2379.6669999999999</v>
      </c>
      <c r="BO617" s="51">
        <v>26342.618999999999</v>
      </c>
      <c r="BP617" s="51">
        <v>23807.381000000001</v>
      </c>
      <c r="BQ617" s="51">
        <v>2372.143</v>
      </c>
      <c r="BR617" s="51">
        <v>1342.0239999999999</v>
      </c>
      <c r="BS617" s="51">
        <v>1688.69</v>
      </c>
      <c r="BT617" s="51">
        <v>23.3933</v>
      </c>
      <c r="BU617" s="41"/>
      <c r="BV617" s="41"/>
      <c r="BW617" s="41"/>
      <c r="BX617" s="41"/>
      <c r="BY617" s="41"/>
      <c r="BZ617" s="41"/>
      <c r="CA617" s="41"/>
      <c r="CB617" s="41"/>
      <c r="CC617" s="41"/>
      <c r="CD617" s="41"/>
      <c r="CE617" s="41"/>
      <c r="CF617" s="41"/>
      <c r="CG617" s="41"/>
      <c r="CH617" s="41"/>
      <c r="CI617" s="41"/>
      <c r="CJ617" s="41"/>
      <c r="CK617" s="41"/>
    </row>
    <row r="618" spans="1:89">
      <c r="A618" s="48" t="s">
        <v>747</v>
      </c>
      <c r="B618" s="49">
        <v>84.53406349206</v>
      </c>
      <c r="C618" s="49">
        <v>85.67</v>
      </c>
      <c r="D618" s="49">
        <v>83.695999999999998</v>
      </c>
      <c r="E618" s="49">
        <v>84.236190476190004</v>
      </c>
      <c r="F618" s="49">
        <v>107.16</v>
      </c>
      <c r="G618" s="49">
        <v>103.2</v>
      </c>
      <c r="H618" s="49">
        <v>3.7272500000000002</v>
      </c>
      <c r="I618" s="49">
        <v>8.59</v>
      </c>
      <c r="J618" s="49">
        <v>10.84</v>
      </c>
      <c r="K618" s="49">
        <v>93.442045668540004</v>
      </c>
      <c r="L618" s="49">
        <v>2.910318862</v>
      </c>
      <c r="M618" s="49">
        <v>5.147346776</v>
      </c>
      <c r="N618" s="49">
        <v>2.0291322479999998</v>
      </c>
      <c r="O618" s="49">
        <v>3.0270648023</v>
      </c>
      <c r="P618" s="49">
        <v>3.39794202704</v>
      </c>
      <c r="Q618" s="49">
        <v>3.1657523798499998</v>
      </c>
      <c r="R618" s="49">
        <v>2.5175000000000001</v>
      </c>
      <c r="S618" s="49">
        <v>1512</v>
      </c>
      <c r="T618" s="49">
        <v>1350</v>
      </c>
      <c r="U618" s="49">
        <v>1202.67</v>
      </c>
      <c r="V618" s="49">
        <v>1543.24</v>
      </c>
      <c r="W618" s="49">
        <v>1131.3599999999999</v>
      </c>
      <c r="X618" s="49">
        <v>1631.14</v>
      </c>
      <c r="Y618" s="49">
        <v>514.15</v>
      </c>
      <c r="Z618" s="49">
        <v>1231.69</v>
      </c>
      <c r="AA618" s="49">
        <v>436.82</v>
      </c>
      <c r="AB618" s="49">
        <v>1242.32</v>
      </c>
      <c r="AC618" s="49">
        <v>1441</v>
      </c>
      <c r="AD618" s="49">
        <v>179.09046833727999</v>
      </c>
      <c r="AE618" s="49">
        <v>238.1764</v>
      </c>
      <c r="AF618" s="49">
        <v>203.24832703999999</v>
      </c>
      <c r="AG618" s="49">
        <v>514.5</v>
      </c>
      <c r="AH618" s="49">
        <v>477.5</v>
      </c>
      <c r="AI618" s="49">
        <v>427.75</v>
      </c>
      <c r="AJ618" s="49">
        <v>508.03</v>
      </c>
      <c r="AK618" s="49">
        <v>278.51701859999997</v>
      </c>
      <c r="AL618" s="49">
        <v>274.08076079558998</v>
      </c>
      <c r="AM618" s="49">
        <v>1.0347555517</v>
      </c>
      <c r="AN618" s="49">
        <v>0.90943462500000005</v>
      </c>
      <c r="AO618" s="49">
        <v>0.82334876000000001</v>
      </c>
      <c r="AP618" s="49">
        <v>3.501597946</v>
      </c>
      <c r="AQ618" s="49">
        <v>1.8840315083300001</v>
      </c>
      <c r="AR618" s="49">
        <v>8.0579000000000001</v>
      </c>
      <c r="AS618" s="49">
        <v>12.198162460000001</v>
      </c>
      <c r="AT618" s="49">
        <v>0.44547608181999998</v>
      </c>
      <c r="AU618" s="49">
        <v>0.85621141885999996</v>
      </c>
      <c r="AV618" s="49">
        <v>0.58091736999999999</v>
      </c>
      <c r="AW618" s="49">
        <v>4372.1750000000002</v>
      </c>
      <c r="AX618" s="49">
        <v>450.16950000000003</v>
      </c>
      <c r="AY618" s="49">
        <v>313.32446030098998</v>
      </c>
      <c r="AZ618" s="49">
        <v>843.81640927425997</v>
      </c>
      <c r="BA618" s="49">
        <v>901.45185000000004</v>
      </c>
      <c r="BB618" s="49">
        <v>580.99853360545001</v>
      </c>
      <c r="BC618" s="49">
        <v>3.4097072847600001</v>
      </c>
      <c r="BD618" s="49">
        <v>4.2383499999999996</v>
      </c>
      <c r="BE618" s="49">
        <v>4.3122499999999997</v>
      </c>
      <c r="BF618" s="49">
        <v>125</v>
      </c>
      <c r="BG618" s="49">
        <v>554.1</v>
      </c>
      <c r="BH618" s="49">
        <v>463.75</v>
      </c>
      <c r="BI618" s="49">
        <v>365.4</v>
      </c>
      <c r="BJ618" s="49">
        <v>322.5</v>
      </c>
      <c r="BK618" s="49">
        <v>2333.0680000000002</v>
      </c>
      <c r="BL618" s="49">
        <v>156.1</v>
      </c>
      <c r="BM618" s="49">
        <v>8469.8860000000004</v>
      </c>
      <c r="BN618" s="49">
        <v>2376.7269999999999</v>
      </c>
      <c r="BO618" s="49">
        <v>25519.091</v>
      </c>
      <c r="BP618" s="49">
        <v>22909.317999999999</v>
      </c>
      <c r="BQ618" s="49">
        <v>2291.6819999999998</v>
      </c>
      <c r="BR618" s="49">
        <v>1369.886</v>
      </c>
      <c r="BS618" s="49">
        <v>1692.77</v>
      </c>
      <c r="BT618" s="49">
        <v>26.540900000000001</v>
      </c>
      <c r="BU618" s="41"/>
      <c r="BV618" s="41"/>
      <c r="BW618" s="41"/>
      <c r="BX618" s="41"/>
      <c r="BY618" s="41"/>
      <c r="BZ618" s="41"/>
      <c r="CA618" s="41"/>
      <c r="CB618" s="41"/>
      <c r="CC618" s="41"/>
      <c r="CD618" s="41"/>
      <c r="CE618" s="41"/>
      <c r="CF618" s="41"/>
      <c r="CG618" s="41"/>
      <c r="CH618" s="41"/>
      <c r="CI618" s="41"/>
      <c r="CJ618" s="41"/>
      <c r="CK618" s="41"/>
    </row>
    <row r="619" spans="1:89">
      <c r="A619" s="41" t="s">
        <v>748</v>
      </c>
      <c r="B619" s="51">
        <v>90.005961791830003</v>
      </c>
      <c r="C619" s="51">
        <v>91.79652173913</v>
      </c>
      <c r="D619" s="51">
        <v>89.074545454550005</v>
      </c>
      <c r="E619" s="51">
        <v>89.146818181819995</v>
      </c>
      <c r="F619" s="51">
        <v>118.29</v>
      </c>
      <c r="G619" s="51">
        <v>115.24</v>
      </c>
      <c r="H619" s="51">
        <v>4.2370952381000002</v>
      </c>
      <c r="I619" s="51">
        <v>8.74</v>
      </c>
      <c r="J619" s="51">
        <v>10.75</v>
      </c>
      <c r="K619" s="51">
        <v>100.28540794401999</v>
      </c>
      <c r="L619" s="51">
        <v>3.0600125600000001</v>
      </c>
      <c r="M619" s="51">
        <v>5.4712054539999997</v>
      </c>
      <c r="N619" s="51">
        <v>2.0743269579999999</v>
      </c>
      <c r="O619" s="51">
        <v>3.04230296836</v>
      </c>
      <c r="P619" s="51">
        <v>3.5027627627600002</v>
      </c>
      <c r="Q619" s="51">
        <v>2.93747947564</v>
      </c>
      <c r="R619" s="51">
        <v>2.6866666666699999</v>
      </c>
      <c r="S619" s="51">
        <v>1715</v>
      </c>
      <c r="T619" s="51">
        <v>1372.5752508361199</v>
      </c>
      <c r="U619" s="51">
        <v>1301.1849082568799</v>
      </c>
      <c r="V619" s="51">
        <v>1644.45</v>
      </c>
      <c r="W619" s="51">
        <v>1234.6400000000001</v>
      </c>
      <c r="X619" s="51">
        <v>1829.55</v>
      </c>
      <c r="Y619" s="51">
        <v>545.75</v>
      </c>
      <c r="Z619" s="51">
        <v>1324.72</v>
      </c>
      <c r="AA619" s="51">
        <v>449.19</v>
      </c>
      <c r="AB619" s="51">
        <v>1382.99</v>
      </c>
      <c r="AC619" s="51">
        <v>1454</v>
      </c>
      <c r="AD619" s="51">
        <v>189.64090120531</v>
      </c>
      <c r="AE619" s="51">
        <v>250.38048000000001</v>
      </c>
      <c r="AF619" s="51">
        <v>221.57092385999999</v>
      </c>
      <c r="AG619" s="51">
        <v>532</v>
      </c>
      <c r="AH619" s="51">
        <v>479.8</v>
      </c>
      <c r="AI619" s="51">
        <v>413.4</v>
      </c>
      <c r="AJ619" s="51">
        <v>528.28599999999994</v>
      </c>
      <c r="AK619" s="51">
        <v>308.64682800000003</v>
      </c>
      <c r="AL619" s="51">
        <v>306.52010438040003</v>
      </c>
      <c r="AM619" s="51">
        <v>1.0621423563800001</v>
      </c>
      <c r="AN619" s="51">
        <v>0.89978910624999997</v>
      </c>
      <c r="AO619" s="51">
        <v>0.72389052499999995</v>
      </c>
      <c r="AP619" s="51">
        <v>3.8807925860000001</v>
      </c>
      <c r="AQ619" s="51">
        <v>1.8817350291699999</v>
      </c>
      <c r="AR619" s="51">
        <v>8.2306000000000008</v>
      </c>
      <c r="AS619" s="51">
        <v>12.456103000000001</v>
      </c>
      <c r="AT619" s="51">
        <v>0.43194375164999999</v>
      </c>
      <c r="AU619" s="51">
        <v>0.84685466799999998</v>
      </c>
      <c r="AV619" s="51">
        <v>0.61687271799999999</v>
      </c>
      <c r="AW619" s="51">
        <v>4354.8083333333298</v>
      </c>
      <c r="AX619" s="51">
        <v>436.49430000000001</v>
      </c>
      <c r="AY619" s="51">
        <v>306.53989014485001</v>
      </c>
      <c r="AZ619" s="51">
        <v>832.08761155163995</v>
      </c>
      <c r="BA619" s="51">
        <v>896.98850000000004</v>
      </c>
      <c r="BB619" s="51">
        <v>582.38416766671003</v>
      </c>
      <c r="BC619" s="51">
        <v>3.7034088608000002</v>
      </c>
      <c r="BD619" s="51">
        <v>4.6894347826100002</v>
      </c>
      <c r="BE619" s="51">
        <v>4.7460000000000004</v>
      </c>
      <c r="BF619" s="51">
        <v>125</v>
      </c>
      <c r="BG619" s="51">
        <v>540.625</v>
      </c>
      <c r="BH619" s="51">
        <v>472.5</v>
      </c>
      <c r="BI619" s="51">
        <v>380.625</v>
      </c>
      <c r="BJ619" s="51">
        <v>322.5</v>
      </c>
      <c r="BK619" s="51">
        <v>2350.6669999999999</v>
      </c>
      <c r="BL619" s="51">
        <v>163.1</v>
      </c>
      <c r="BM619" s="51">
        <v>9147.2620000000006</v>
      </c>
      <c r="BN619" s="51">
        <v>2412.9290000000001</v>
      </c>
      <c r="BO619" s="51">
        <v>26163.332999999999</v>
      </c>
      <c r="BP619" s="51">
        <v>24111.19</v>
      </c>
      <c r="BQ619" s="51">
        <v>2280.9290000000001</v>
      </c>
      <c r="BR619" s="51">
        <v>1390.5530000000001</v>
      </c>
      <c r="BS619" s="51">
        <v>1711.39</v>
      </c>
      <c r="BT619" s="51">
        <v>29.3248</v>
      </c>
      <c r="BU619" s="41"/>
      <c r="BV619" s="41"/>
      <c r="BW619" s="41"/>
      <c r="BX619" s="41"/>
      <c r="BY619" s="41"/>
      <c r="BZ619" s="41"/>
      <c r="CA619" s="41"/>
      <c r="CB619" s="41"/>
      <c r="CC619" s="41"/>
      <c r="CD619" s="41"/>
      <c r="CE619" s="41"/>
      <c r="CF619" s="41"/>
      <c r="CG619" s="41"/>
      <c r="CH619" s="41"/>
      <c r="CI619" s="41"/>
      <c r="CJ619" s="41"/>
      <c r="CK619" s="41"/>
    </row>
    <row r="620" spans="1:89">
      <c r="A620" s="48" t="s">
        <v>749</v>
      </c>
      <c r="B620" s="49">
        <v>92.690595238100002</v>
      </c>
      <c r="C620" s="49">
        <v>96.294285714289998</v>
      </c>
      <c r="D620" s="49">
        <v>92.369</v>
      </c>
      <c r="E620" s="49">
        <v>89.408500000000004</v>
      </c>
      <c r="F620" s="49">
        <v>132.47999999999999</v>
      </c>
      <c r="G620" s="49">
        <v>122.62</v>
      </c>
      <c r="H620" s="49">
        <v>4.4934000000000003</v>
      </c>
      <c r="I620" s="49">
        <v>9.61</v>
      </c>
      <c r="J620" s="49">
        <v>11.45</v>
      </c>
      <c r="K620" s="49">
        <v>108.0080141041</v>
      </c>
      <c r="L620" s="49">
        <v>3.164952472</v>
      </c>
      <c r="M620" s="49">
        <v>5.8151261740000004</v>
      </c>
      <c r="N620" s="49">
        <v>2.2286503579999999</v>
      </c>
      <c r="O620" s="49">
        <v>3.0208513756299999</v>
      </c>
      <c r="P620" s="49">
        <v>3.5588023511200002</v>
      </c>
      <c r="Q620" s="49">
        <v>2.6117517757800002</v>
      </c>
      <c r="R620" s="49">
        <v>2.8919999999999999</v>
      </c>
      <c r="S620" s="49">
        <v>2038</v>
      </c>
      <c r="T620" s="49">
        <v>1426.7558528428101</v>
      </c>
      <c r="U620" s="49">
        <v>1324.8284862385301</v>
      </c>
      <c r="V620" s="49">
        <v>1653.47</v>
      </c>
      <c r="W620" s="49">
        <v>1303.57</v>
      </c>
      <c r="X620" s="49">
        <v>2139.0500000000002</v>
      </c>
      <c r="Y620" s="49">
        <v>567.62</v>
      </c>
      <c r="Z620" s="49">
        <v>1365.73</v>
      </c>
      <c r="AA620" s="49">
        <v>462.26</v>
      </c>
      <c r="AB620" s="49">
        <v>1440.75</v>
      </c>
      <c r="AC620" s="49">
        <v>1492</v>
      </c>
      <c r="AD620" s="49">
        <v>195.20185783871</v>
      </c>
      <c r="AE620" s="49">
        <v>264.94664</v>
      </c>
      <c r="AF620" s="49">
        <v>246.31778335999999</v>
      </c>
      <c r="AG620" s="49">
        <v>516.79999999999995</v>
      </c>
      <c r="AH620" s="49">
        <v>467.6</v>
      </c>
      <c r="AI620" s="49">
        <v>405</v>
      </c>
      <c r="AJ620" s="49">
        <v>493.858</v>
      </c>
      <c r="AK620" s="49">
        <v>320.40480239999999</v>
      </c>
      <c r="AL620" s="49">
        <v>326.55656760728999</v>
      </c>
      <c r="AM620" s="49">
        <v>1.1967726621300001</v>
      </c>
      <c r="AN620" s="49">
        <v>0.89218215624999997</v>
      </c>
      <c r="AO620" s="49">
        <v>0.73461162499999999</v>
      </c>
      <c r="AP620" s="49">
        <v>4.1942895499999997</v>
      </c>
      <c r="AQ620" s="49">
        <v>1.8739269999999999</v>
      </c>
      <c r="AR620" s="49">
        <v>8.2673000000000005</v>
      </c>
      <c r="AS620" s="49">
        <v>12.52444622</v>
      </c>
      <c r="AT620" s="49">
        <v>0.43668458475999999</v>
      </c>
      <c r="AU620" s="49">
        <v>0.84793166179000001</v>
      </c>
      <c r="AV620" s="49">
        <v>0.65278798199999999</v>
      </c>
      <c r="AW620" s="49">
        <v>4370.7749999999996</v>
      </c>
      <c r="AX620" s="49">
        <v>441.28458000000001</v>
      </c>
      <c r="AY620" s="49">
        <v>315.32101589552002</v>
      </c>
      <c r="AZ620" s="49">
        <v>827.82763721783999</v>
      </c>
      <c r="BA620" s="49">
        <v>907.78240000000005</v>
      </c>
      <c r="BB620" s="49">
        <v>584.49450084018997</v>
      </c>
      <c r="BC620" s="49">
        <v>3.9446714505</v>
      </c>
      <c r="BD620" s="49">
        <v>5.3319999999999999</v>
      </c>
      <c r="BE620" s="49">
        <v>5.5194999999999999</v>
      </c>
      <c r="BF620" s="49">
        <v>125</v>
      </c>
      <c r="BG620" s="49">
        <v>547.4</v>
      </c>
      <c r="BH620" s="49">
        <v>475</v>
      </c>
      <c r="BI620" s="49">
        <v>378.5</v>
      </c>
      <c r="BJ620" s="49">
        <v>322.5</v>
      </c>
      <c r="BK620" s="49">
        <v>2439.5250000000001</v>
      </c>
      <c r="BL620" s="49">
        <v>179.18</v>
      </c>
      <c r="BM620" s="49">
        <v>9555.7000000000007</v>
      </c>
      <c r="BN620" s="49">
        <v>2601.65</v>
      </c>
      <c r="BO620" s="49">
        <v>27465.25</v>
      </c>
      <c r="BP620" s="49">
        <v>25646.25</v>
      </c>
      <c r="BQ620" s="49">
        <v>2371.5500000000002</v>
      </c>
      <c r="BR620" s="49">
        <v>1360.46</v>
      </c>
      <c r="BS620" s="49">
        <v>1785.43</v>
      </c>
      <c r="BT620" s="49">
        <v>28.508600000000001</v>
      </c>
      <c r="BU620" s="41"/>
      <c r="BV620" s="41"/>
      <c r="BW620" s="41"/>
      <c r="BX620" s="41"/>
      <c r="BY620" s="41"/>
      <c r="BZ620" s="41"/>
      <c r="CA620" s="41"/>
      <c r="CB620" s="41"/>
      <c r="CC620" s="41"/>
      <c r="CD620" s="41"/>
      <c r="CE620" s="41"/>
      <c r="CF620" s="41"/>
      <c r="CG620" s="41"/>
      <c r="CH620" s="41"/>
      <c r="CI620" s="41"/>
      <c r="CJ620" s="41"/>
      <c r="CK620" s="41"/>
    </row>
    <row r="621" spans="1:89">
      <c r="A621" s="41" t="s">
        <v>750</v>
      </c>
      <c r="B621" s="51">
        <v>97.914192007799997</v>
      </c>
      <c r="C621" s="51">
        <v>103.9555</v>
      </c>
      <c r="D621" s="51">
        <v>100.25444444444</v>
      </c>
      <c r="E621" s="51">
        <v>89.532631578950003</v>
      </c>
      <c r="F621" s="51">
        <v>128.36000000000001</v>
      </c>
      <c r="G621" s="51">
        <v>117.74</v>
      </c>
      <c r="H621" s="51">
        <v>4.0749000000000004</v>
      </c>
      <c r="I621" s="51">
        <v>9.36</v>
      </c>
      <c r="J621" s="51">
        <v>12.02</v>
      </c>
      <c r="K621" s="51">
        <v>102.12369104794</v>
      </c>
      <c r="L621" s="51">
        <v>3.4722765</v>
      </c>
      <c r="M621" s="51">
        <v>6.3468805179999999</v>
      </c>
      <c r="N621" s="51">
        <v>2.4107519700000002</v>
      </c>
      <c r="O621" s="51">
        <v>2.8821079657499999</v>
      </c>
      <c r="P621" s="51">
        <v>3.5593969631600002</v>
      </c>
      <c r="Q621" s="51">
        <v>2.2994269341</v>
      </c>
      <c r="R621" s="51">
        <v>2.7875000000000001</v>
      </c>
      <c r="S621" s="51">
        <v>2256</v>
      </c>
      <c r="T621" s="51">
        <v>1426.7558528428101</v>
      </c>
      <c r="U621" s="51">
        <v>1282.2700458715599</v>
      </c>
      <c r="V621" s="51">
        <v>1653.47</v>
      </c>
      <c r="W621" s="51">
        <v>1327.21</v>
      </c>
      <c r="X621" s="51">
        <v>2307.63</v>
      </c>
      <c r="Y621" s="51">
        <v>566.04999999999995</v>
      </c>
      <c r="Z621" s="51">
        <v>1359.86</v>
      </c>
      <c r="AA621" s="51">
        <v>468.74</v>
      </c>
      <c r="AB621" s="51">
        <v>1403.14</v>
      </c>
      <c r="AC621" s="51">
        <v>1704.74</v>
      </c>
      <c r="AD621" s="51">
        <v>196.45768564745001</v>
      </c>
      <c r="AE621" s="51">
        <v>292.89792</v>
      </c>
      <c r="AF621" s="51">
        <v>253.15210536000001</v>
      </c>
      <c r="AG621" s="51">
        <v>524</v>
      </c>
      <c r="AH621" s="51">
        <v>473</v>
      </c>
      <c r="AI621" s="51">
        <v>420.5</v>
      </c>
      <c r="AJ621" s="51">
        <v>478.57</v>
      </c>
      <c r="AK621" s="51">
        <v>338.77663740000003</v>
      </c>
      <c r="AL621" s="51">
        <v>348.12034854950002</v>
      </c>
      <c r="AM621" s="51">
        <v>1.31099588448</v>
      </c>
      <c r="AN621" s="51">
        <v>1.00241315625</v>
      </c>
      <c r="AO621" s="51">
        <v>0.88495694759999999</v>
      </c>
      <c r="AP621" s="51">
        <v>4.0765628420000004</v>
      </c>
      <c r="AQ621" s="51">
        <v>1.8754301499999999</v>
      </c>
      <c r="AR621" s="51">
        <v>8.3995999999999995</v>
      </c>
      <c r="AS621" s="51">
        <v>12.566333999999999</v>
      </c>
      <c r="AT621" s="51">
        <v>0.44613484240000001</v>
      </c>
      <c r="AU621" s="51">
        <v>0.87391136800000002</v>
      </c>
      <c r="AV621" s="51">
        <v>0.64970151399999998</v>
      </c>
      <c r="AW621" s="51">
        <v>4317.0666666666702</v>
      </c>
      <c r="AX621" s="51">
        <v>450.83609999999999</v>
      </c>
      <c r="AY621" s="51">
        <v>328.62873281807998</v>
      </c>
      <c r="AZ621" s="51">
        <v>831.50214127155004</v>
      </c>
      <c r="BA621" s="51">
        <v>927.80849999999998</v>
      </c>
      <c r="BB621" s="51">
        <v>588.68760283643996</v>
      </c>
      <c r="BC621" s="51">
        <v>4.6998089160000003</v>
      </c>
      <c r="BD621" s="51">
        <v>5.5811000000000002</v>
      </c>
      <c r="BE621" s="51">
        <v>6.2591999999999999</v>
      </c>
      <c r="BF621" s="51">
        <v>140</v>
      </c>
      <c r="BG621" s="51">
        <v>413.625</v>
      </c>
      <c r="BH621" s="51">
        <v>490</v>
      </c>
      <c r="BI621" s="51">
        <v>297.5</v>
      </c>
      <c r="BJ621" s="51">
        <v>374.375</v>
      </c>
      <c r="BK621" s="51">
        <v>2508.1750000000002</v>
      </c>
      <c r="BL621" s="51">
        <v>187.18</v>
      </c>
      <c r="BM621" s="51">
        <v>9867.6</v>
      </c>
      <c r="BN621" s="51">
        <v>2586.6750000000002</v>
      </c>
      <c r="BO621" s="51">
        <v>31526</v>
      </c>
      <c r="BP621" s="51">
        <v>28252.25</v>
      </c>
      <c r="BQ621" s="51">
        <v>2465.125</v>
      </c>
      <c r="BR621" s="51">
        <v>1374.68</v>
      </c>
      <c r="BS621" s="51">
        <v>1825.9</v>
      </c>
      <c r="BT621" s="51">
        <v>30.778500000000001</v>
      </c>
      <c r="BU621" s="41"/>
      <c r="BV621" s="41"/>
      <c r="BW621" s="41"/>
      <c r="BX621" s="41"/>
      <c r="BY621" s="41"/>
      <c r="BZ621" s="41"/>
      <c r="CA621" s="41"/>
      <c r="CB621" s="41"/>
      <c r="CC621" s="41"/>
      <c r="CD621" s="41"/>
      <c r="CE621" s="41"/>
      <c r="CF621" s="41"/>
      <c r="CG621" s="41"/>
      <c r="CH621" s="41"/>
      <c r="CI621" s="41"/>
      <c r="CJ621" s="41"/>
      <c r="CK621" s="41"/>
    </row>
    <row r="622" spans="1:89">
      <c r="A622" s="48" t="s">
        <v>751</v>
      </c>
      <c r="B622" s="49">
        <v>108.64521739129999</v>
      </c>
      <c r="C622" s="49">
        <v>114.44130434783</v>
      </c>
      <c r="D622" s="49">
        <v>108.57826086957</v>
      </c>
      <c r="E622" s="49">
        <v>102.91608695652</v>
      </c>
      <c r="F622" s="49">
        <v>126.13</v>
      </c>
      <c r="G622" s="49">
        <v>121</v>
      </c>
      <c r="H622" s="49">
        <v>3.9712999999999998</v>
      </c>
      <c r="I622" s="49">
        <v>9.3699999999999992</v>
      </c>
      <c r="J622" s="49">
        <v>12.5</v>
      </c>
      <c r="K622" s="49">
        <v>101.23837449449999</v>
      </c>
      <c r="L622" s="49">
        <v>3.3929101799999999</v>
      </c>
      <c r="M622" s="49">
        <v>6.4390336340000003</v>
      </c>
      <c r="N622" s="49">
        <v>2.604317606</v>
      </c>
      <c r="O622" s="49">
        <v>2.7577365014000002</v>
      </c>
      <c r="P622" s="49">
        <v>3.5709233358699999</v>
      </c>
      <c r="Q622" s="49">
        <v>1.9647861683300001</v>
      </c>
      <c r="R622" s="49">
        <v>2.7374999999999998</v>
      </c>
      <c r="S622" s="49">
        <v>1925</v>
      </c>
      <c r="T622" s="49">
        <v>1486.35451505017</v>
      </c>
      <c r="U622" s="49">
        <v>1317.73541284404</v>
      </c>
      <c r="V622" s="49">
        <v>1637.17</v>
      </c>
      <c r="W622" s="49">
        <v>1241.74</v>
      </c>
      <c r="X622" s="49">
        <v>1975.22</v>
      </c>
      <c r="Y622" s="49">
        <v>552.75</v>
      </c>
      <c r="Z622" s="49">
        <v>1306.53</v>
      </c>
      <c r="AA622" s="49">
        <v>437.96</v>
      </c>
      <c r="AB622" s="49">
        <v>1411.8</v>
      </c>
      <c r="AC622" s="49">
        <v>1636.96</v>
      </c>
      <c r="AD622" s="49">
        <v>202.57443163401999</v>
      </c>
      <c r="AE622" s="49">
        <v>290.53584000000001</v>
      </c>
      <c r="AF622" s="49">
        <v>266.14172639999998</v>
      </c>
      <c r="AG622" s="49">
        <v>492.75</v>
      </c>
      <c r="AH622" s="49">
        <v>455.5</v>
      </c>
      <c r="AI622" s="49">
        <v>408.25</v>
      </c>
      <c r="AJ622" s="49">
        <v>464</v>
      </c>
      <c r="AK622" s="49">
        <v>303.13527749999997</v>
      </c>
      <c r="AL622" s="49">
        <v>316.74657066378001</v>
      </c>
      <c r="AM622" s="49">
        <v>1.2463036897299999</v>
      </c>
      <c r="AN622" s="49">
        <v>0.99621266249999996</v>
      </c>
      <c r="AO622" s="49">
        <v>0.85244409418</v>
      </c>
      <c r="AP622" s="49">
        <v>4.1850301459999999</v>
      </c>
      <c r="AQ622" s="49">
        <v>1.89766906154</v>
      </c>
      <c r="AR622" s="49">
        <v>8.9671000000000003</v>
      </c>
      <c r="AS622" s="49">
        <v>12.6545188</v>
      </c>
      <c r="AT622" s="49">
        <v>0.45777464764999998</v>
      </c>
      <c r="AU622" s="49">
        <v>0.87509036042999999</v>
      </c>
      <c r="AV622" s="49">
        <v>0.57849228799999997</v>
      </c>
      <c r="AW622" s="49">
        <v>4537.6750000000002</v>
      </c>
      <c r="AX622" s="49">
        <v>462.59730000000002</v>
      </c>
      <c r="AY622" s="49">
        <v>334.76410728956</v>
      </c>
      <c r="AZ622" s="49">
        <v>840.06961645649005</v>
      </c>
      <c r="BA622" s="49">
        <v>929.21725000000004</v>
      </c>
      <c r="BB622" s="49">
        <v>592.22113053434998</v>
      </c>
      <c r="BC622" s="49">
        <v>5.063350754</v>
      </c>
      <c r="BD622" s="49">
        <v>4.83947826087</v>
      </c>
      <c r="BE622" s="49">
        <v>5.4185652173900003</v>
      </c>
      <c r="BF622" s="49">
        <v>145</v>
      </c>
      <c r="BG622" s="49">
        <v>424.5</v>
      </c>
      <c r="BH622" s="49">
        <v>494</v>
      </c>
      <c r="BI622" s="49">
        <v>278.7</v>
      </c>
      <c r="BJ622" s="49">
        <v>340</v>
      </c>
      <c r="BK622" s="49">
        <v>2555.5</v>
      </c>
      <c r="BL622" s="49">
        <v>169.36</v>
      </c>
      <c r="BM622" s="49">
        <v>9503.36</v>
      </c>
      <c r="BN622" s="49">
        <v>2624.02</v>
      </c>
      <c r="BO622" s="49">
        <v>30590.93</v>
      </c>
      <c r="BP622" s="49">
        <v>26710.35</v>
      </c>
      <c r="BQ622" s="49">
        <v>2341.48</v>
      </c>
      <c r="BR622" s="49">
        <v>1423.26</v>
      </c>
      <c r="BS622" s="49">
        <v>1770.17</v>
      </c>
      <c r="BT622" s="49">
        <v>35.813499999999998</v>
      </c>
      <c r="BU622" s="41"/>
      <c r="BV622" s="41"/>
      <c r="BW622" s="41"/>
      <c r="BX622" s="41"/>
      <c r="BY622" s="41"/>
      <c r="BZ622" s="41"/>
      <c r="CA622" s="41"/>
      <c r="CB622" s="41"/>
      <c r="CC622" s="41"/>
      <c r="CD622" s="41"/>
      <c r="CE622" s="41"/>
      <c r="CF622" s="41"/>
      <c r="CG622" s="41"/>
      <c r="CH622" s="41"/>
      <c r="CI622" s="41"/>
      <c r="CJ622" s="41"/>
      <c r="CK622" s="41"/>
    </row>
    <row r="623" spans="1:89">
      <c r="A623" s="41" t="s">
        <v>752</v>
      </c>
      <c r="B623" s="51">
        <v>116.24316666667001</v>
      </c>
      <c r="C623" s="51">
        <v>123.07</v>
      </c>
      <c r="D623" s="51">
        <v>115.7</v>
      </c>
      <c r="E623" s="51">
        <v>109.95950000000001</v>
      </c>
      <c r="F623" s="51">
        <v>122.5</v>
      </c>
      <c r="G623" s="51">
        <v>124.03</v>
      </c>
      <c r="H623" s="51">
        <v>4.2423999999999999</v>
      </c>
      <c r="I623" s="51">
        <v>10.36</v>
      </c>
      <c r="J623" s="51">
        <v>12.99</v>
      </c>
      <c r="K623" s="51">
        <v>109.56884767707</v>
      </c>
      <c r="L623" s="51">
        <v>3.134308254</v>
      </c>
      <c r="M623" s="51">
        <v>6.6165055439999998</v>
      </c>
      <c r="N623" s="51">
        <v>2.5875624940000002</v>
      </c>
      <c r="O623" s="51">
        <v>3.0216695541599998</v>
      </c>
      <c r="P623" s="51">
        <v>3.3723450053900001</v>
      </c>
      <c r="Q623" s="51">
        <v>3.0259969904099999</v>
      </c>
      <c r="R623" s="51">
        <v>2.6666666666699999</v>
      </c>
      <c r="S623" s="51">
        <v>2089</v>
      </c>
      <c r="T623" s="51">
        <v>1598.3277591973199</v>
      </c>
      <c r="U623" s="51">
        <v>1476.93550458716</v>
      </c>
      <c r="V623" s="51">
        <v>1631.42</v>
      </c>
      <c r="W623" s="51">
        <v>1219.6099999999999</v>
      </c>
      <c r="X623" s="51">
        <v>1906.32</v>
      </c>
      <c r="Y623" s="51">
        <v>556.58000000000004</v>
      </c>
      <c r="Z623" s="51">
        <v>1310.45</v>
      </c>
      <c r="AA623" s="51">
        <v>412.37</v>
      </c>
      <c r="AB623" s="51">
        <v>1447.42</v>
      </c>
      <c r="AC623" s="51">
        <v>1634.05</v>
      </c>
      <c r="AD623" s="51">
        <v>208.92135991091999</v>
      </c>
      <c r="AE623" s="51">
        <v>319.27447999999998</v>
      </c>
      <c r="AF623" s="51">
        <v>289.60990629999998</v>
      </c>
      <c r="AG623" s="51">
        <v>484.25</v>
      </c>
      <c r="AH623" s="51">
        <v>448.25</v>
      </c>
      <c r="AI623" s="51">
        <v>409</v>
      </c>
      <c r="AJ623" s="51">
        <v>484.28750000000002</v>
      </c>
      <c r="AK623" s="51">
        <v>314.8932519</v>
      </c>
      <c r="AL623" s="51">
        <v>336.12429558104998</v>
      </c>
      <c r="AM623" s="51">
        <v>1.2940009970899999</v>
      </c>
      <c r="AN623" s="51">
        <v>1.0265261875</v>
      </c>
      <c r="AO623" s="51">
        <v>0.88096929647</v>
      </c>
      <c r="AP623" s="51">
        <v>4.3320783</v>
      </c>
      <c r="AQ623" s="51">
        <v>1.9048764730800001</v>
      </c>
      <c r="AR623" s="51">
        <v>10.174300000000001</v>
      </c>
      <c r="AS623" s="51">
        <v>12.786796000000001</v>
      </c>
      <c r="AT623" s="51">
        <v>0.47256886362</v>
      </c>
      <c r="AU623" s="51">
        <v>0.84277111049999998</v>
      </c>
      <c r="AV623" s="51">
        <v>0.53704543199999999</v>
      </c>
      <c r="AW623" s="51">
        <v>4606.9916666666704</v>
      </c>
      <c r="AX623" s="51">
        <v>477.54696000000001</v>
      </c>
      <c r="AY623" s="51">
        <v>343.49831515304999</v>
      </c>
      <c r="AZ623" s="51">
        <v>883.40806851265995</v>
      </c>
      <c r="BA623" s="51">
        <v>946.20891749999998</v>
      </c>
      <c r="BB623" s="51">
        <v>596.33140977547998</v>
      </c>
      <c r="BC623" s="51">
        <v>4.77557435667</v>
      </c>
      <c r="BD623" s="51">
        <v>4.97065</v>
      </c>
      <c r="BE623" s="51">
        <v>5.8531000000000004</v>
      </c>
      <c r="BF623" s="51">
        <v>145</v>
      </c>
      <c r="BG623" s="51">
        <v>417.5</v>
      </c>
      <c r="BH623" s="51">
        <v>535.625</v>
      </c>
      <c r="BI623" s="51">
        <v>253.75</v>
      </c>
      <c r="BJ623" s="51">
        <v>340</v>
      </c>
      <c r="BK623" s="51">
        <v>2678.11</v>
      </c>
      <c r="BL623" s="51">
        <v>179.33</v>
      </c>
      <c r="BM623" s="51">
        <v>9492.7900000000009</v>
      </c>
      <c r="BN623" s="51">
        <v>2701.17</v>
      </c>
      <c r="BO623" s="51">
        <v>32363.31</v>
      </c>
      <c r="BP623" s="51">
        <v>26408.33</v>
      </c>
      <c r="BQ623" s="51">
        <v>2362.2199999999998</v>
      </c>
      <c r="BR623" s="51">
        <v>1480.89</v>
      </c>
      <c r="BS623" s="51">
        <v>1797.9</v>
      </c>
      <c r="BT623" s="51">
        <v>42.6952</v>
      </c>
      <c r="BU623" s="41"/>
      <c r="BV623" s="41"/>
      <c r="BW623" s="41"/>
      <c r="BX623" s="41"/>
      <c r="BY623" s="41"/>
      <c r="BZ623" s="41"/>
      <c r="CA623" s="41"/>
      <c r="CB623" s="41"/>
      <c r="CC623" s="41"/>
      <c r="CD623" s="41"/>
      <c r="CE623" s="41"/>
      <c r="CF623" s="41"/>
      <c r="CG623" s="41"/>
      <c r="CH623" s="41"/>
      <c r="CI623" s="41"/>
      <c r="CJ623" s="41"/>
      <c r="CK623" s="41"/>
    </row>
    <row r="624" spans="1:89">
      <c r="A624" s="48" t="s">
        <v>753</v>
      </c>
      <c r="B624" s="49">
        <v>108.06851298701</v>
      </c>
      <c r="C624" s="49">
        <v>114.45818181817999</v>
      </c>
      <c r="D624" s="49">
        <v>108.4645</v>
      </c>
      <c r="E624" s="49">
        <v>101.28285714286</v>
      </c>
      <c r="F624" s="49">
        <v>119.12</v>
      </c>
      <c r="G624" s="49">
        <v>120.46</v>
      </c>
      <c r="H624" s="49">
        <v>4.3089545454499998</v>
      </c>
      <c r="I624" s="49">
        <v>10.3</v>
      </c>
      <c r="J624" s="49">
        <v>13.61</v>
      </c>
      <c r="K624" s="49">
        <v>110.51185233744</v>
      </c>
      <c r="L624" s="49">
        <v>3.070815198</v>
      </c>
      <c r="M624" s="49">
        <v>6.4174283580000004</v>
      </c>
      <c r="N624" s="49">
        <v>2.6891954760000001</v>
      </c>
      <c r="O624" s="49">
        <v>2.9509178807500001</v>
      </c>
      <c r="P624" s="49">
        <v>3.1002959792400002</v>
      </c>
      <c r="Q624" s="49">
        <v>3.1364576630099998</v>
      </c>
      <c r="R624" s="49">
        <v>2.6160000000000001</v>
      </c>
      <c r="S624" s="49">
        <v>2097</v>
      </c>
      <c r="T624" s="49">
        <v>1710.30100334448</v>
      </c>
      <c r="U624" s="49">
        <v>1435.16518348624</v>
      </c>
      <c r="V624" s="49">
        <v>1632.47</v>
      </c>
      <c r="W624" s="49">
        <v>1230.1199999999999</v>
      </c>
      <c r="X624" s="49">
        <v>1985.48</v>
      </c>
      <c r="Y624" s="49">
        <v>556.79999999999995</v>
      </c>
      <c r="Z624" s="49">
        <v>1296.03</v>
      </c>
      <c r="AA624" s="49">
        <v>404.36</v>
      </c>
      <c r="AB624" s="49">
        <v>1406.76</v>
      </c>
      <c r="AC624" s="49">
        <v>1644.09</v>
      </c>
      <c r="AD624" s="49">
        <v>209.36910764967001</v>
      </c>
      <c r="AE624" s="49">
        <v>307.85775999999998</v>
      </c>
      <c r="AF624" s="49">
        <v>261.31581322</v>
      </c>
      <c r="AG624" s="49">
        <v>481.4</v>
      </c>
      <c r="AH624" s="49">
        <v>448.4</v>
      </c>
      <c r="AI624" s="49">
        <v>421.2</v>
      </c>
      <c r="AJ624" s="49">
        <v>479.64499999999998</v>
      </c>
      <c r="AK624" s="49">
        <v>308.64682800000003</v>
      </c>
      <c r="AL624" s="49">
        <v>355.27788556363998</v>
      </c>
      <c r="AM624" s="49">
        <v>1.27040437511</v>
      </c>
      <c r="AN624" s="49">
        <v>1.01102495313</v>
      </c>
      <c r="AO624" s="49">
        <v>0.83641069670000001</v>
      </c>
      <c r="AP624" s="49">
        <v>4.1621020980000001</v>
      </c>
      <c r="AQ624" s="49">
        <v>1.9079148916699999</v>
      </c>
      <c r="AR624" s="49">
        <v>10.282999999999999</v>
      </c>
      <c r="AS624" s="49">
        <v>12.63908646</v>
      </c>
      <c r="AT624" s="49">
        <v>0.46787650742999998</v>
      </c>
      <c r="AU624" s="49">
        <v>0.78175825200000004</v>
      </c>
      <c r="AV624" s="49">
        <v>0.48391409000000002</v>
      </c>
      <c r="AW624" s="49">
        <v>4431.1499999999996</v>
      </c>
      <c r="AX624" s="49">
        <v>487.23700000000002</v>
      </c>
      <c r="AY624" s="49">
        <v>385.24920138391002</v>
      </c>
      <c r="AZ624" s="49">
        <v>862.51103538352004</v>
      </c>
      <c r="BA624" s="49">
        <v>958.12596250000001</v>
      </c>
      <c r="BB624" s="49">
        <v>605.63473782629001</v>
      </c>
      <c r="BC624" s="49">
        <v>3.649087024</v>
      </c>
      <c r="BD624" s="49">
        <v>4.5225999999999997</v>
      </c>
      <c r="BE624" s="49">
        <v>5.1163499999999997</v>
      </c>
      <c r="BF624" s="49">
        <v>147</v>
      </c>
      <c r="BG624" s="49">
        <v>410</v>
      </c>
      <c r="BH624" s="49">
        <v>547.5</v>
      </c>
      <c r="BI624" s="49">
        <v>234</v>
      </c>
      <c r="BJ624" s="49">
        <v>334.5</v>
      </c>
      <c r="BK624" s="49">
        <v>2596.4499999999998</v>
      </c>
      <c r="BL624" s="49">
        <v>177.05</v>
      </c>
      <c r="BM624" s="49">
        <v>8959.9</v>
      </c>
      <c r="BN624" s="49">
        <v>2428.3200000000002</v>
      </c>
      <c r="BO624" s="49">
        <v>28676.45</v>
      </c>
      <c r="BP624" s="49">
        <v>24236.73</v>
      </c>
      <c r="BQ624" s="49">
        <v>2167.35</v>
      </c>
      <c r="BR624" s="49">
        <v>1512.58</v>
      </c>
      <c r="BS624" s="49">
        <v>1786.55</v>
      </c>
      <c r="BT624" s="49">
        <v>37.335900000000002</v>
      </c>
      <c r="BU624" s="41"/>
      <c r="BV624" s="41"/>
      <c r="BW624" s="41"/>
      <c r="BX624" s="41"/>
      <c r="BY624" s="41"/>
      <c r="BZ624" s="41"/>
      <c r="CA624" s="41"/>
      <c r="CB624" s="41"/>
      <c r="CC624" s="41"/>
      <c r="CD624" s="41"/>
      <c r="CE624" s="41"/>
      <c r="CF624" s="41"/>
      <c r="CG624" s="41"/>
      <c r="CH624" s="41"/>
      <c r="CI624" s="41"/>
      <c r="CJ624" s="41"/>
      <c r="CK624" s="41"/>
    </row>
    <row r="625" spans="1:89">
      <c r="A625" s="41" t="s">
        <v>754</v>
      </c>
      <c r="B625" s="51">
        <v>105.84545454546</v>
      </c>
      <c r="C625" s="51">
        <v>113.75772727272999</v>
      </c>
      <c r="D625" s="51">
        <v>107.52454545454999</v>
      </c>
      <c r="E625" s="51">
        <v>96.254090909089996</v>
      </c>
      <c r="F625" s="51">
        <v>120.09</v>
      </c>
      <c r="G625" s="51">
        <v>119.01</v>
      </c>
      <c r="H625" s="51">
        <v>4.5490000000000004</v>
      </c>
      <c r="I625" s="51">
        <v>10.26</v>
      </c>
      <c r="J625" s="51">
        <v>14.52</v>
      </c>
      <c r="K625" s="51">
        <v>113.85317454804</v>
      </c>
      <c r="L625" s="51">
        <v>3.0156996980000002</v>
      </c>
      <c r="M625" s="51">
        <v>6.0622640759999999</v>
      </c>
      <c r="N625" s="51">
        <v>2.60034929</v>
      </c>
      <c r="O625" s="51">
        <v>3.0179147207799999</v>
      </c>
      <c r="P625" s="51">
        <v>3.1177716979199999</v>
      </c>
      <c r="Q625" s="51">
        <v>3.2284724644299998</v>
      </c>
      <c r="R625" s="51">
        <v>2.7075</v>
      </c>
      <c r="S625" s="51">
        <v>1803</v>
      </c>
      <c r="T625" s="51">
        <v>1736.48829431438</v>
      </c>
      <c r="U625" s="51">
        <v>1376.84435779817</v>
      </c>
      <c r="V625" s="51">
        <v>1700.57</v>
      </c>
      <c r="W625" s="51">
        <v>1192.3800000000001</v>
      </c>
      <c r="X625" s="51">
        <v>1761.75</v>
      </c>
      <c r="Y625" s="51">
        <v>556.22</v>
      </c>
      <c r="Z625" s="51">
        <v>1319.38</v>
      </c>
      <c r="AA625" s="51">
        <v>402.45</v>
      </c>
      <c r="AB625" s="51">
        <v>1401.82</v>
      </c>
      <c r="AC625" s="51">
        <v>1699.32</v>
      </c>
      <c r="AD625" s="51">
        <v>210.06429381464</v>
      </c>
      <c r="AE625" s="51">
        <v>310.61351999999999</v>
      </c>
      <c r="AF625" s="51">
        <v>260.43176060000002</v>
      </c>
      <c r="AG625" s="51">
        <v>513.75</v>
      </c>
      <c r="AH625" s="51">
        <v>473.75</v>
      </c>
      <c r="AI625" s="51">
        <v>427.5</v>
      </c>
      <c r="AJ625" s="51">
        <v>475.28199999999998</v>
      </c>
      <c r="AK625" s="51">
        <v>282.19138559999999</v>
      </c>
      <c r="AL625" s="51">
        <v>326.42992919659002</v>
      </c>
      <c r="AM625" s="51">
        <v>1.1860559078599999</v>
      </c>
      <c r="AN625" s="51">
        <v>0.97554434999999995</v>
      </c>
      <c r="AO625" s="51">
        <v>0.91639999999999999</v>
      </c>
      <c r="AP625" s="51">
        <v>3.939435478</v>
      </c>
      <c r="AQ625" s="51">
        <v>1.9167475038499999</v>
      </c>
      <c r="AR625" s="51">
        <v>10.091200000000001</v>
      </c>
      <c r="AS625" s="51">
        <v>12.700815820000001</v>
      </c>
      <c r="AT625" s="51">
        <v>0.47025827491</v>
      </c>
      <c r="AU625" s="51">
        <v>0.78393280899999995</v>
      </c>
      <c r="AV625" s="51">
        <v>0.55578470199999996</v>
      </c>
      <c r="AW625" s="51">
        <v>4389.7083333333303</v>
      </c>
      <c r="AX625" s="51">
        <v>504.01400000000001</v>
      </c>
      <c r="AY625" s="51">
        <v>417.56132438566999</v>
      </c>
      <c r="AZ625" s="51">
        <v>870.63023163334003</v>
      </c>
      <c r="BA625" s="51">
        <v>973.15800000000002</v>
      </c>
      <c r="BB625" s="51">
        <v>607.74822246490999</v>
      </c>
      <c r="BC625" s="51">
        <v>3.1775188060000001</v>
      </c>
      <c r="BD625" s="51">
        <v>4.5247272727299999</v>
      </c>
      <c r="BE625" s="51">
        <v>4.9340000000000002</v>
      </c>
      <c r="BF625" s="51">
        <v>155</v>
      </c>
      <c r="BG625" s="51">
        <v>575.875</v>
      </c>
      <c r="BH625" s="51">
        <v>549.5</v>
      </c>
      <c r="BI625" s="51">
        <v>478.75</v>
      </c>
      <c r="BJ625" s="51">
        <v>355</v>
      </c>
      <c r="BK625" s="51">
        <v>2557.7600000000002</v>
      </c>
      <c r="BL625" s="51">
        <v>170.88</v>
      </c>
      <c r="BM625" s="51">
        <v>9066.85</v>
      </c>
      <c r="BN625" s="51">
        <v>2524.9899999999998</v>
      </c>
      <c r="BO625" s="51">
        <v>25519.68</v>
      </c>
      <c r="BP625" s="51">
        <v>22420.93</v>
      </c>
      <c r="BQ625" s="51">
        <v>2234.4699999999998</v>
      </c>
      <c r="BR625" s="51">
        <v>1529.36</v>
      </c>
      <c r="BS625" s="51">
        <v>1768.5</v>
      </c>
      <c r="BT625" s="51">
        <v>35.795000000000002</v>
      </c>
      <c r="BU625" s="41"/>
      <c r="BV625" s="41"/>
      <c r="BW625" s="41"/>
      <c r="BX625" s="41"/>
      <c r="BY625" s="41"/>
      <c r="BZ625" s="41"/>
      <c r="CA625" s="41"/>
      <c r="CB625" s="41"/>
      <c r="CC625" s="41"/>
      <c r="CD625" s="41"/>
      <c r="CE625" s="41"/>
      <c r="CF625" s="41"/>
      <c r="CG625" s="41"/>
      <c r="CH625" s="41"/>
      <c r="CI625" s="41"/>
      <c r="CJ625" s="41"/>
      <c r="CK625" s="41"/>
    </row>
    <row r="626" spans="1:89">
      <c r="A626" s="48" t="s">
        <v>755</v>
      </c>
      <c r="B626" s="49">
        <v>107.91661111111</v>
      </c>
      <c r="C626" s="49">
        <v>116.46</v>
      </c>
      <c r="D626" s="49">
        <v>109.98333333332999</v>
      </c>
      <c r="E626" s="49">
        <v>97.3065</v>
      </c>
      <c r="F626" s="49">
        <v>120.75</v>
      </c>
      <c r="G626" s="49">
        <v>116.27</v>
      </c>
      <c r="H626" s="49">
        <v>4.4131</v>
      </c>
      <c r="I626" s="49">
        <v>10.99</v>
      </c>
      <c r="J626" s="49">
        <v>16.22</v>
      </c>
      <c r="K626" s="49">
        <v>116.82502995674</v>
      </c>
      <c r="L626" s="49">
        <v>3.1671570920000001</v>
      </c>
      <c r="M626" s="49">
        <v>5.9088225239999996</v>
      </c>
      <c r="N626" s="49">
        <v>2.4852681259999998</v>
      </c>
      <c r="O626" s="49">
        <v>3.1010114608500001</v>
      </c>
      <c r="P626" s="49">
        <v>3.0957398542900001</v>
      </c>
      <c r="Q626" s="49">
        <v>3.4122945282599999</v>
      </c>
      <c r="R626" s="49">
        <v>2.7949999999999999</v>
      </c>
      <c r="S626" s="49">
        <v>1662</v>
      </c>
      <c r="T626" s="49">
        <v>1867.4247491638801</v>
      </c>
      <c r="U626" s="49">
        <v>1351.6245412844</v>
      </c>
      <c r="V626" s="49">
        <v>1945.58</v>
      </c>
      <c r="W626" s="49">
        <v>1183.45</v>
      </c>
      <c r="X626" s="49">
        <v>1372.62</v>
      </c>
      <c r="Y626" s="49">
        <v>556.5</v>
      </c>
      <c r="Z626" s="49">
        <v>1337.36</v>
      </c>
      <c r="AA626" s="49">
        <v>410.41</v>
      </c>
      <c r="AB626" s="49">
        <v>1392.95</v>
      </c>
      <c r="AC626" s="49">
        <v>1672.38</v>
      </c>
      <c r="AD626" s="49">
        <v>215.53213093132001</v>
      </c>
      <c r="AE626" s="49">
        <v>300.77152000000001</v>
      </c>
      <c r="AF626" s="49">
        <v>271.16825999999998</v>
      </c>
      <c r="AG626" s="49">
        <v>538.25</v>
      </c>
      <c r="AH626" s="49">
        <v>506.75</v>
      </c>
      <c r="AI626" s="49">
        <v>449.25</v>
      </c>
      <c r="AJ626" s="49">
        <v>519.46500000000003</v>
      </c>
      <c r="AK626" s="49">
        <v>266.39160750000002</v>
      </c>
      <c r="AL626" s="49">
        <v>303.88392977625</v>
      </c>
      <c r="AM626" s="49">
        <v>1.07581479417</v>
      </c>
      <c r="AN626" s="49">
        <v>0.96107653125000003</v>
      </c>
      <c r="AO626" s="49">
        <v>0.97156140074999997</v>
      </c>
      <c r="AP626" s="49">
        <v>3.935908086</v>
      </c>
      <c r="AQ626" s="49">
        <v>1.92553515</v>
      </c>
      <c r="AR626" s="49">
        <v>9.8381000000000007</v>
      </c>
      <c r="AS626" s="49">
        <v>12.773568279999999</v>
      </c>
      <c r="AT626" s="49">
        <v>0.46669544876000002</v>
      </c>
      <c r="AU626" s="49">
        <v>0.83620134290000003</v>
      </c>
      <c r="AV626" s="49">
        <v>0.62214376400000004</v>
      </c>
      <c r="AW626" s="49">
        <v>4458.5666666666702</v>
      </c>
      <c r="AX626" s="49">
        <v>521.63244999999995</v>
      </c>
      <c r="AY626" s="49">
        <v>430.48876613092</v>
      </c>
      <c r="AZ626" s="49">
        <v>832.59460928646001</v>
      </c>
      <c r="BA626" s="49">
        <v>969.42</v>
      </c>
      <c r="BB626" s="49">
        <v>612.70994011318999</v>
      </c>
      <c r="BC626" s="49">
        <v>2.6896363999999999</v>
      </c>
      <c r="BD626" s="49">
        <v>4.56176190476</v>
      </c>
      <c r="BE626" s="49">
        <v>4.7320000000000002</v>
      </c>
      <c r="BF626" s="49">
        <v>161.875</v>
      </c>
      <c r="BG626" s="49">
        <v>597.625</v>
      </c>
      <c r="BH626" s="49">
        <v>555</v>
      </c>
      <c r="BI626" s="49">
        <v>483.75</v>
      </c>
      <c r="BJ626" s="49">
        <v>442.5</v>
      </c>
      <c r="BK626" s="49">
        <v>2525.4299999999998</v>
      </c>
      <c r="BL626" s="49">
        <v>172.98</v>
      </c>
      <c r="BM626" s="49">
        <v>9650.4599999999991</v>
      </c>
      <c r="BN626" s="49">
        <v>2681.02</v>
      </c>
      <c r="BO626" s="49">
        <v>27398.1</v>
      </c>
      <c r="BP626" s="49">
        <v>23847.95</v>
      </c>
      <c r="BQ626" s="49">
        <v>2397.75</v>
      </c>
      <c r="BR626" s="49">
        <v>1572.75</v>
      </c>
      <c r="BS626" s="49">
        <v>1759.76</v>
      </c>
      <c r="BT626" s="49">
        <v>37.917099999999998</v>
      </c>
      <c r="BU626" s="41"/>
      <c r="BV626" s="41"/>
      <c r="BW626" s="41"/>
      <c r="BX626" s="41"/>
      <c r="BY626" s="41"/>
      <c r="BZ626" s="41"/>
      <c r="CA626" s="41"/>
      <c r="CB626" s="41"/>
      <c r="CC626" s="41"/>
      <c r="CD626" s="41"/>
      <c r="CE626" s="41"/>
      <c r="CF626" s="41"/>
      <c r="CG626" s="41"/>
      <c r="CH626" s="41"/>
      <c r="CI626" s="41"/>
      <c r="CJ626" s="41"/>
      <c r="CK626" s="41"/>
    </row>
    <row r="627" spans="1:89">
      <c r="A627" s="41" t="s">
        <v>756</v>
      </c>
      <c r="B627" s="51">
        <v>100.48642512076999</v>
      </c>
      <c r="C627" s="51">
        <v>110.08130434783</v>
      </c>
      <c r="D627" s="51">
        <v>105.05666666667</v>
      </c>
      <c r="E627" s="51">
        <v>86.321304347829994</v>
      </c>
      <c r="F627" s="51">
        <v>120.13</v>
      </c>
      <c r="G627" s="51">
        <v>118.27</v>
      </c>
      <c r="H627" s="51">
        <v>4.0538999999999996</v>
      </c>
      <c r="I627" s="51">
        <v>10.81</v>
      </c>
      <c r="J627" s="51">
        <v>16.55</v>
      </c>
      <c r="K627" s="51">
        <v>111.83098840383001</v>
      </c>
      <c r="L627" s="51">
        <v>3.0644217999999999</v>
      </c>
      <c r="M627" s="51">
        <v>5.9621743279999997</v>
      </c>
      <c r="N627" s="51">
        <v>2.4707176340000001</v>
      </c>
      <c r="O627" s="51">
        <v>3.0219635338100002</v>
      </c>
      <c r="P627" s="51">
        <v>3.1567114566400001</v>
      </c>
      <c r="Q627" s="51">
        <v>3.11417914479</v>
      </c>
      <c r="R627" s="51">
        <v>2.7949999999999999</v>
      </c>
      <c r="S627" s="51">
        <v>1454</v>
      </c>
      <c r="T627" s="51">
        <v>2054.3478260869601</v>
      </c>
      <c r="U627" s="51">
        <v>1283.8462844036701</v>
      </c>
      <c r="V627" s="51">
        <v>2076.1799999999998</v>
      </c>
      <c r="W627" s="51">
        <v>1205.48</v>
      </c>
      <c r="X627" s="51">
        <v>1377.83</v>
      </c>
      <c r="Y627" s="51">
        <v>552.96</v>
      </c>
      <c r="Z627" s="51">
        <v>1328.39</v>
      </c>
      <c r="AA627" s="51">
        <v>409.21</v>
      </c>
      <c r="AB627" s="51">
        <v>1350.5</v>
      </c>
      <c r="AC627" s="51">
        <v>1671.3</v>
      </c>
      <c r="AD627" s="51">
        <v>206.09369421562999</v>
      </c>
      <c r="AE627" s="51">
        <v>310.21983999999998</v>
      </c>
      <c r="AF627" s="51">
        <v>302.52658317391001</v>
      </c>
      <c r="AG627" s="51">
        <v>566</v>
      </c>
      <c r="AH627" s="51">
        <v>533.75</v>
      </c>
      <c r="AI627" s="51">
        <v>465.25</v>
      </c>
      <c r="AJ627" s="51">
        <v>553.428</v>
      </c>
      <c r="AK627" s="51">
        <v>277.61839623587002</v>
      </c>
      <c r="AL627" s="51">
        <v>327.06658952609001</v>
      </c>
      <c r="AM627" s="51">
        <v>1.02250180679</v>
      </c>
      <c r="AN627" s="51">
        <v>0.95074237500000003</v>
      </c>
      <c r="AO627" s="51">
        <v>0.94883461569000005</v>
      </c>
      <c r="AP627" s="51">
        <v>3.929073764</v>
      </c>
      <c r="AQ627" s="51">
        <v>1.9428213750000001</v>
      </c>
      <c r="AR627" s="51">
        <v>9.5638000000000005</v>
      </c>
      <c r="AS627" s="51">
        <v>11.794717</v>
      </c>
      <c r="AT627" s="51">
        <v>0.46817274399999997</v>
      </c>
      <c r="AU627" s="51">
        <v>0.88025683948</v>
      </c>
      <c r="AV627" s="51">
        <v>0.61178204999999997</v>
      </c>
      <c r="AW627" s="51">
        <v>4569.3583333333299</v>
      </c>
      <c r="AX627" s="51">
        <v>523.28224999999998</v>
      </c>
      <c r="AY627" s="51">
        <v>450.03070651744002</v>
      </c>
      <c r="AZ627" s="51">
        <v>839.51181046080001</v>
      </c>
      <c r="BA627" s="51">
        <v>973.59849999999994</v>
      </c>
      <c r="BB627" s="51">
        <v>619.18098569347001</v>
      </c>
      <c r="BC627" s="51">
        <v>2.5154714199999999</v>
      </c>
      <c r="BD627" s="51">
        <v>4.6175714285699998</v>
      </c>
      <c r="BE627" s="51">
        <v>4.6762857142899996</v>
      </c>
      <c r="BF627" s="51">
        <v>182.5</v>
      </c>
      <c r="BG627" s="51">
        <v>597.4</v>
      </c>
      <c r="BH627" s="51">
        <v>560</v>
      </c>
      <c r="BI627" s="51">
        <v>475.5</v>
      </c>
      <c r="BJ627" s="51">
        <v>442.5</v>
      </c>
      <c r="BK627" s="51">
        <v>2379.35</v>
      </c>
      <c r="BL627" s="51">
        <v>177.5</v>
      </c>
      <c r="BM627" s="51">
        <v>9000.76</v>
      </c>
      <c r="BN627" s="51">
        <v>2397.2800000000002</v>
      </c>
      <c r="BO627" s="51">
        <v>24042.43</v>
      </c>
      <c r="BP627" s="51">
        <v>21845.09</v>
      </c>
      <c r="BQ627" s="51">
        <v>2200.17</v>
      </c>
      <c r="BR627" s="51">
        <v>1759.01</v>
      </c>
      <c r="BS627" s="51">
        <v>1804.7</v>
      </c>
      <c r="BT627" s="51">
        <v>40.331299999999999</v>
      </c>
      <c r="BU627" s="41"/>
      <c r="BV627" s="41"/>
      <c r="BW627" s="41"/>
      <c r="BX627" s="41"/>
      <c r="BY627" s="41"/>
      <c r="BZ627" s="41"/>
      <c r="CA627" s="41"/>
      <c r="CB627" s="41"/>
      <c r="CC627" s="41"/>
      <c r="CD627" s="41"/>
      <c r="CE627" s="41"/>
      <c r="CF627" s="41"/>
      <c r="CG627" s="41"/>
      <c r="CH627" s="41"/>
      <c r="CI627" s="41"/>
      <c r="CJ627" s="41"/>
      <c r="CK627" s="41"/>
    </row>
    <row r="628" spans="1:89">
      <c r="A628" s="48" t="s">
        <v>757</v>
      </c>
      <c r="B628" s="49">
        <v>100.81935064935</v>
      </c>
      <c r="C628" s="49">
        <v>110.87909090909</v>
      </c>
      <c r="D628" s="49">
        <v>106.00181818182</v>
      </c>
      <c r="E628" s="49">
        <v>85.577142857140004</v>
      </c>
      <c r="F628" s="49">
        <v>123.09</v>
      </c>
      <c r="G628" s="49">
        <v>115.62</v>
      </c>
      <c r="H628" s="49">
        <v>3.9013</v>
      </c>
      <c r="I628" s="49">
        <v>10.85</v>
      </c>
      <c r="J628" s="49">
        <v>16.27</v>
      </c>
      <c r="K628" s="49">
        <v>109.97837023871</v>
      </c>
      <c r="L628" s="49">
        <v>2.8739426319999999</v>
      </c>
      <c r="M628" s="49">
        <v>6.0600594560000003</v>
      </c>
      <c r="N628" s="49">
        <v>2.3382199720000001</v>
      </c>
      <c r="O628" s="49">
        <v>2.8872209924400001</v>
      </c>
      <c r="P628" s="49">
        <v>3.1378545632599999</v>
      </c>
      <c r="Q628" s="49">
        <v>2.8563084140699999</v>
      </c>
      <c r="R628" s="49">
        <v>2.6675</v>
      </c>
      <c r="S628" s="49">
        <v>1305</v>
      </c>
      <c r="T628" s="49">
        <v>2131.10367892977</v>
      </c>
      <c r="U628" s="49">
        <v>1657.72</v>
      </c>
      <c r="V628" s="49">
        <v>2113.4299999999998</v>
      </c>
      <c r="W628" s="49">
        <v>1137.25</v>
      </c>
      <c r="X628" s="49">
        <v>1264.32</v>
      </c>
      <c r="Y628" s="49">
        <v>531.95000000000005</v>
      </c>
      <c r="Z628" s="49">
        <v>1307.8499999999999</v>
      </c>
      <c r="AA628" s="49">
        <v>404.09</v>
      </c>
      <c r="AB628" s="49">
        <v>1309.99</v>
      </c>
      <c r="AC628" s="49">
        <v>1591.59</v>
      </c>
      <c r="AD628" s="49">
        <v>209.57357284058</v>
      </c>
      <c r="AE628" s="49">
        <v>295.26</v>
      </c>
      <c r="AF628" s="49">
        <v>288.80522000000002</v>
      </c>
      <c r="AG628" s="49">
        <v>598.75</v>
      </c>
      <c r="AH628" s="49">
        <v>555.5</v>
      </c>
      <c r="AI628" s="49">
        <v>514</v>
      </c>
      <c r="AJ628" s="49">
        <v>561.42999999999995</v>
      </c>
      <c r="AK628" s="49">
        <v>267.49391759999997</v>
      </c>
      <c r="AL628" s="49">
        <v>315.91622907613998</v>
      </c>
      <c r="AM628" s="49">
        <v>0.99134458595999997</v>
      </c>
      <c r="AN628" s="49">
        <v>0.94729765624999995</v>
      </c>
      <c r="AO628" s="49">
        <v>1.19493784609</v>
      </c>
      <c r="AP628" s="49">
        <v>3.8292044779999999</v>
      </c>
      <c r="AQ628" s="49">
        <v>1.9616525041699999</v>
      </c>
      <c r="AR628" s="49">
        <v>9.5900999999999996</v>
      </c>
      <c r="AS628" s="49">
        <v>11.243562000000001</v>
      </c>
      <c r="AT628" s="49">
        <v>0.44907937455000002</v>
      </c>
      <c r="AU628" s="49">
        <v>0.88525991189999997</v>
      </c>
      <c r="AV628" s="49">
        <v>0.58775169199999999</v>
      </c>
      <c r="AW628" s="49">
        <v>4595.3</v>
      </c>
      <c r="AX628" s="49">
        <v>500.42959999999999</v>
      </c>
      <c r="AY628" s="49">
        <v>453.62805761751002</v>
      </c>
      <c r="AZ628" s="49">
        <v>797.22030691891996</v>
      </c>
      <c r="BA628" s="49">
        <v>952.68140000000005</v>
      </c>
      <c r="BB628" s="49">
        <v>631.09467172566997</v>
      </c>
      <c r="BC628" s="49">
        <v>2.576318932</v>
      </c>
      <c r="BD628" s="49">
        <v>4.5162272727300001</v>
      </c>
      <c r="BE628" s="49">
        <v>4.5514999999999999</v>
      </c>
      <c r="BF628" s="49">
        <v>182.5</v>
      </c>
      <c r="BG628" s="49">
        <v>587.875</v>
      </c>
      <c r="BH628" s="49">
        <v>560</v>
      </c>
      <c r="BI628" s="49">
        <v>508.75</v>
      </c>
      <c r="BJ628" s="49">
        <v>442.5</v>
      </c>
      <c r="BK628" s="49">
        <v>2293.46</v>
      </c>
      <c r="BL628" s="49">
        <v>177.23</v>
      </c>
      <c r="BM628" s="49">
        <v>8300.14</v>
      </c>
      <c r="BN628" s="49">
        <v>2287.67</v>
      </c>
      <c r="BO628" s="49">
        <v>22526.6</v>
      </c>
      <c r="BP628" s="49">
        <v>20377.59</v>
      </c>
      <c r="BQ628" s="49">
        <v>2075.2199999999998</v>
      </c>
      <c r="BR628" s="49">
        <v>1772.14</v>
      </c>
      <c r="BS628" s="49">
        <v>1748.11</v>
      </c>
      <c r="BT628" s="49">
        <v>38.154499999999999</v>
      </c>
      <c r="BU628" s="41"/>
      <c r="BV628" s="41"/>
      <c r="BW628" s="41"/>
      <c r="BX628" s="41"/>
      <c r="BY628" s="41"/>
      <c r="BZ628" s="41"/>
      <c r="CA628" s="41"/>
      <c r="CB628" s="41"/>
      <c r="CC628" s="41"/>
      <c r="CD628" s="41"/>
      <c r="CE628" s="41"/>
      <c r="CF628" s="41"/>
      <c r="CG628" s="41"/>
      <c r="CH628" s="41"/>
      <c r="CI628" s="41"/>
      <c r="CJ628" s="41"/>
      <c r="CK628" s="41"/>
    </row>
    <row r="629" spans="1:89">
      <c r="A629" s="41" t="s">
        <v>758</v>
      </c>
      <c r="B629" s="51">
        <v>99.847753968250004</v>
      </c>
      <c r="C629" s="51">
        <v>109.46857142857</v>
      </c>
      <c r="D629" s="51">
        <v>103.66849999999999</v>
      </c>
      <c r="E629" s="51">
        <v>86.406190476190005</v>
      </c>
      <c r="F629" s="51">
        <v>119.39</v>
      </c>
      <c r="G629" s="51">
        <v>110.88</v>
      </c>
      <c r="H629" s="51">
        <v>3.5680000000000001</v>
      </c>
      <c r="I629" s="51">
        <v>11.42</v>
      </c>
      <c r="J629" s="51">
        <v>16.48</v>
      </c>
      <c r="K629" s="51">
        <v>108.7830220474</v>
      </c>
      <c r="L629" s="51">
        <v>2.680156534</v>
      </c>
      <c r="M629" s="51">
        <v>5.4634892839999996</v>
      </c>
      <c r="N629" s="51">
        <v>2.1627322200000001</v>
      </c>
      <c r="O629" s="51">
        <v>2.90292978025</v>
      </c>
      <c r="P629" s="51">
        <v>3.2341789139400001</v>
      </c>
      <c r="Q629" s="51">
        <v>2.7826104268199998</v>
      </c>
      <c r="R629" s="51">
        <v>2.6920000000000002</v>
      </c>
      <c r="S629" s="51">
        <v>1208</v>
      </c>
      <c r="T629" s="51">
        <v>2167.2240802675601</v>
      </c>
      <c r="U629" s="51">
        <v>1684.88</v>
      </c>
      <c r="V629" s="51">
        <v>2116.44</v>
      </c>
      <c r="W629" s="51">
        <v>1044.75</v>
      </c>
      <c r="X629" s="51">
        <v>1082.6199999999999</v>
      </c>
      <c r="Y629" s="51">
        <v>491.42</v>
      </c>
      <c r="Z629" s="51">
        <v>1223.0999999999999</v>
      </c>
      <c r="AA629" s="51">
        <v>381</v>
      </c>
      <c r="AB629" s="51">
        <v>1270.51</v>
      </c>
      <c r="AC629" s="51">
        <v>1483.81</v>
      </c>
      <c r="AD629" s="51">
        <v>208.84605202521999</v>
      </c>
      <c r="AE629" s="51">
        <v>274.78863999999999</v>
      </c>
      <c r="AF629" s="51">
        <v>263.672552</v>
      </c>
      <c r="AG629" s="51">
        <v>599.4</v>
      </c>
      <c r="AH629" s="51">
        <v>560.20000000000005</v>
      </c>
      <c r="AI629" s="51">
        <v>489</v>
      </c>
      <c r="AJ629" s="51">
        <v>580.53750000000002</v>
      </c>
      <c r="AK629" s="51">
        <v>253.53132299999999</v>
      </c>
      <c r="AL629" s="51">
        <v>289.01083578214002</v>
      </c>
      <c r="AM629" s="51">
        <v>0.99208336331000002</v>
      </c>
      <c r="AN629" s="51">
        <v>0.95418709374999999</v>
      </c>
      <c r="AO629" s="51">
        <v>1.0326995968099999</v>
      </c>
      <c r="AP629" s="51">
        <v>3.9178302020000002</v>
      </c>
      <c r="AQ629" s="51">
        <v>1.9621118</v>
      </c>
      <c r="AR629" s="51">
        <v>9.5900999999999996</v>
      </c>
      <c r="AS629" s="51">
        <v>11.133331</v>
      </c>
      <c r="AT629" s="51">
        <v>0.44822303810000003</v>
      </c>
      <c r="AU629" s="51">
        <v>0.82840801119999996</v>
      </c>
      <c r="AV629" s="51">
        <v>0.56107578999999996</v>
      </c>
      <c r="AW629" s="51">
        <v>4582.7583333333296</v>
      </c>
      <c r="AX629" s="51">
        <v>500.98439999999999</v>
      </c>
      <c r="AY629" s="51">
        <v>435.85795661484002</v>
      </c>
      <c r="AZ629" s="51">
        <v>798.47080489824998</v>
      </c>
      <c r="BA629" s="51">
        <v>954.17574999999999</v>
      </c>
      <c r="BB629" s="51">
        <v>619.88841412458999</v>
      </c>
      <c r="BC629" s="51">
        <v>2.438530182</v>
      </c>
      <c r="BD629" s="51">
        <v>4.0848500000000003</v>
      </c>
      <c r="BE629" s="51">
        <v>4.0610499999999998</v>
      </c>
      <c r="BF629" s="51">
        <v>188.75</v>
      </c>
      <c r="BG629" s="51">
        <v>571.4</v>
      </c>
      <c r="BH629" s="51">
        <v>592.5</v>
      </c>
      <c r="BI629" s="51">
        <v>493.5</v>
      </c>
      <c r="BJ629" s="51">
        <v>435</v>
      </c>
      <c r="BK629" s="51">
        <v>2180.65</v>
      </c>
      <c r="BL629" s="51">
        <v>150.43</v>
      </c>
      <c r="BM629" s="51">
        <v>7394.19</v>
      </c>
      <c r="BN629" s="51">
        <v>1960.38</v>
      </c>
      <c r="BO629" s="51">
        <v>21868.639999999999</v>
      </c>
      <c r="BP629" s="51">
        <v>19039.05</v>
      </c>
      <c r="BQ629" s="51">
        <v>1871.42</v>
      </c>
      <c r="BR629" s="51">
        <v>1666.43</v>
      </c>
      <c r="BS629" s="51">
        <v>1535.19</v>
      </c>
      <c r="BT629" s="51">
        <v>31.974799999999998</v>
      </c>
      <c r="BU629" s="41"/>
      <c r="BV629" s="41"/>
      <c r="BW629" s="41"/>
      <c r="BX629" s="41"/>
      <c r="BY629" s="41"/>
      <c r="BZ629" s="41"/>
      <c r="CA629" s="41"/>
      <c r="CB629" s="41"/>
      <c r="CC629" s="41"/>
      <c r="CD629" s="41"/>
      <c r="CE629" s="41"/>
      <c r="CF629" s="41"/>
      <c r="CG629" s="41"/>
      <c r="CH629" s="41"/>
      <c r="CI629" s="41"/>
      <c r="CJ629" s="41"/>
      <c r="CK629" s="41"/>
    </row>
    <row r="630" spans="1:89">
      <c r="A630" s="48" t="s">
        <v>759</v>
      </c>
      <c r="B630" s="49">
        <v>105.40501443001</v>
      </c>
      <c r="C630" s="49">
        <v>110.50409090909</v>
      </c>
      <c r="D630" s="49">
        <v>108.58761904762</v>
      </c>
      <c r="E630" s="49">
        <v>97.123333333329995</v>
      </c>
      <c r="F630" s="49">
        <v>113.78</v>
      </c>
      <c r="G630" s="49">
        <v>105.47</v>
      </c>
      <c r="H630" s="49">
        <v>3.2424499999999998</v>
      </c>
      <c r="I630" s="49">
        <v>11.32</v>
      </c>
      <c r="J630" s="49">
        <v>16.78</v>
      </c>
      <c r="K630" s="49">
        <v>104.55759796356</v>
      </c>
      <c r="L630" s="49">
        <v>2.5273763680000001</v>
      </c>
      <c r="M630" s="49">
        <v>5.4033031579999999</v>
      </c>
      <c r="N630" s="49">
        <v>2.1437724880000002</v>
      </c>
      <c r="O630" s="49">
        <v>2.7871594902700001</v>
      </c>
      <c r="P630" s="49">
        <v>3.1550110500300002</v>
      </c>
      <c r="Q630" s="49">
        <v>2.5489674207699999</v>
      </c>
      <c r="R630" s="49">
        <v>2.6575000000000002</v>
      </c>
      <c r="S630" s="49">
        <v>1479</v>
      </c>
      <c r="T630" s="49">
        <v>2472.4414715719099</v>
      </c>
      <c r="U630" s="49">
        <v>1597.19</v>
      </c>
      <c r="V630" s="49">
        <v>2116.44</v>
      </c>
      <c r="W630" s="49">
        <v>1113.3800000000001</v>
      </c>
      <c r="X630" s="49">
        <v>1294.32</v>
      </c>
      <c r="Y630" s="49">
        <v>478.35</v>
      </c>
      <c r="Z630" s="49">
        <v>1213.96</v>
      </c>
      <c r="AA630" s="49">
        <v>359.59</v>
      </c>
      <c r="AB630" s="49">
        <v>1273.54</v>
      </c>
      <c r="AC630" s="49">
        <v>1502.5</v>
      </c>
      <c r="AD630" s="49">
        <v>211.45547127680001</v>
      </c>
      <c r="AE630" s="49">
        <v>274.39496000000003</v>
      </c>
      <c r="AF630" s="49">
        <v>265.43624799999998</v>
      </c>
      <c r="AG630" s="49">
        <v>615.25</v>
      </c>
      <c r="AH630" s="49">
        <v>584.25</v>
      </c>
      <c r="AI630" s="49">
        <v>549.75</v>
      </c>
      <c r="AJ630" s="49">
        <v>568.74749999999995</v>
      </c>
      <c r="AK630" s="49">
        <v>253.1638863</v>
      </c>
      <c r="AL630" s="49">
        <v>281.00640224249997</v>
      </c>
      <c r="AM630" s="49">
        <v>0.97059896478999996</v>
      </c>
      <c r="AN630" s="49">
        <v>0.95625392499999995</v>
      </c>
      <c r="AO630" s="49">
        <v>0.68164967499999995</v>
      </c>
      <c r="AP630" s="49">
        <v>4.2048717260000004</v>
      </c>
      <c r="AQ630" s="49">
        <v>1.9671223</v>
      </c>
      <c r="AR630" s="49">
        <v>9.6783000000000001</v>
      </c>
      <c r="AS630" s="49">
        <v>11.17080954</v>
      </c>
      <c r="AT630" s="49">
        <v>0.44259641636000002</v>
      </c>
      <c r="AU630" s="49">
        <v>0.83607588952</v>
      </c>
      <c r="AV630" s="49">
        <v>0.529549724</v>
      </c>
      <c r="AW630" s="49">
        <v>4522.5749999999998</v>
      </c>
      <c r="AX630" s="49">
        <v>481.14215000000002</v>
      </c>
      <c r="AY630" s="49">
        <v>403.25939883984</v>
      </c>
      <c r="AZ630" s="49">
        <v>771.38927860416004</v>
      </c>
      <c r="BA630" s="49">
        <v>892.75085000000001</v>
      </c>
      <c r="BB630" s="49">
        <v>617.46927324894</v>
      </c>
      <c r="BC630" s="49">
        <v>2.3077962159999998</v>
      </c>
      <c r="BD630" s="49">
        <v>3.33028571429</v>
      </c>
      <c r="BE630" s="49">
        <v>3.3718571428600002</v>
      </c>
      <c r="BF630" s="49">
        <v>195</v>
      </c>
      <c r="BG630" s="49">
        <v>563.5</v>
      </c>
      <c r="BH630" s="49">
        <v>570</v>
      </c>
      <c r="BI630" s="49">
        <v>481.25</v>
      </c>
      <c r="BJ630" s="49">
        <v>435</v>
      </c>
      <c r="BK630" s="49">
        <v>2079.98</v>
      </c>
      <c r="BL630" s="49">
        <v>135.54</v>
      </c>
      <c r="BM630" s="49">
        <v>7581.02</v>
      </c>
      <c r="BN630" s="49">
        <v>1994.22</v>
      </c>
      <c r="BO630" s="49">
        <v>21291.7</v>
      </c>
      <c r="BP630" s="49">
        <v>17873</v>
      </c>
      <c r="BQ630" s="49">
        <v>1935.32</v>
      </c>
      <c r="BR630" s="49">
        <v>1739</v>
      </c>
      <c r="BS630" s="49">
        <v>1596.98</v>
      </c>
      <c r="BT630" s="49">
        <v>33.081800000000001</v>
      </c>
      <c r="BU630" s="41"/>
      <c r="BV630" s="41"/>
      <c r="BW630" s="41"/>
      <c r="BX630" s="41"/>
      <c r="BY630" s="41"/>
      <c r="BZ630" s="41"/>
      <c r="CA630" s="41"/>
      <c r="CB630" s="41"/>
      <c r="CC630" s="41"/>
      <c r="CD630" s="41"/>
      <c r="CE630" s="41"/>
      <c r="CF630" s="41"/>
      <c r="CG630" s="41"/>
      <c r="CH630" s="41"/>
      <c r="CI630" s="41"/>
      <c r="CJ630" s="41"/>
      <c r="CK630" s="41"/>
    </row>
    <row r="631" spans="1:89">
      <c r="A631" s="41" t="s">
        <v>760</v>
      </c>
      <c r="B631" s="51">
        <v>104.23047619048</v>
      </c>
      <c r="C631" s="51">
        <v>107.90904761905</v>
      </c>
      <c r="D631" s="51">
        <v>106.21857142857</v>
      </c>
      <c r="E631" s="51">
        <v>98.563809523809994</v>
      </c>
      <c r="F631" s="51">
        <v>111.56</v>
      </c>
      <c r="G631" s="51">
        <v>104.19</v>
      </c>
      <c r="H631" s="51">
        <v>3.16423809524</v>
      </c>
      <c r="I631" s="51">
        <v>11.53</v>
      </c>
      <c r="J631" s="51">
        <v>16.48</v>
      </c>
      <c r="K631" s="51">
        <v>104.40292760817999</v>
      </c>
      <c r="L631" s="51">
        <v>2.1969038300000001</v>
      </c>
      <c r="M631" s="51">
        <v>5.2185560019999997</v>
      </c>
      <c r="N631" s="51">
        <v>2.1695665420000001</v>
      </c>
      <c r="O631" s="51">
        <v>2.6951030182300002</v>
      </c>
      <c r="P631" s="51">
        <v>3.1106053673299998</v>
      </c>
      <c r="Q631" s="51">
        <v>2.36137035401</v>
      </c>
      <c r="R631" s="51">
        <v>2.61333333333</v>
      </c>
      <c r="S631" s="51">
        <v>1445</v>
      </c>
      <c r="T631" s="51">
        <v>2528.4280936454902</v>
      </c>
      <c r="U631" s="51">
        <v>1515.66</v>
      </c>
      <c r="V631" s="51">
        <v>2116.44</v>
      </c>
      <c r="W631" s="51">
        <v>1121.5</v>
      </c>
      <c r="X631" s="51">
        <v>1376.58</v>
      </c>
      <c r="Y631" s="51">
        <v>483.03</v>
      </c>
      <c r="Z631" s="51">
        <v>1203.28</v>
      </c>
      <c r="AA631" s="51">
        <v>351.62</v>
      </c>
      <c r="AB631" s="51">
        <v>1244.6600000000001</v>
      </c>
      <c r="AC631" s="51">
        <v>1439.77</v>
      </c>
      <c r="AD631" s="51">
        <v>212.27336667709</v>
      </c>
      <c r="AE631" s="51">
        <v>258.64776000000001</v>
      </c>
      <c r="AF631" s="51">
        <v>256.39730600000001</v>
      </c>
      <c r="AG631" s="51">
        <v>585.75</v>
      </c>
      <c r="AH631" s="51">
        <v>565.5</v>
      </c>
      <c r="AI631" s="51">
        <v>544</v>
      </c>
      <c r="AJ631" s="51">
        <v>504.42599999999999</v>
      </c>
      <c r="AK631" s="51">
        <v>244.71284220000001</v>
      </c>
      <c r="AL631" s="51">
        <v>269.03000713749998</v>
      </c>
      <c r="AM631" s="51">
        <v>0.93996398782000001</v>
      </c>
      <c r="AN631" s="51">
        <v>0.94247504999999998</v>
      </c>
      <c r="AO631" s="51">
        <v>0.75773020000000002</v>
      </c>
      <c r="AP631" s="51">
        <v>4.2218473000000003</v>
      </c>
      <c r="AQ631" s="51">
        <v>1.9801496000000001</v>
      </c>
      <c r="AR631" s="51">
        <v>9.9680999999999997</v>
      </c>
      <c r="AS631" s="51">
        <v>11.353793</v>
      </c>
      <c r="AT631" s="51">
        <v>0.42934179126999999</v>
      </c>
      <c r="AU631" s="51">
        <v>0.79828240381000004</v>
      </c>
      <c r="AV631" s="51">
        <v>0.50794444800000005</v>
      </c>
      <c r="AW631" s="51">
        <v>4438.6833333333298</v>
      </c>
      <c r="AX631" s="51">
        <v>466.73270000000002</v>
      </c>
      <c r="AY631" s="51">
        <v>387.85881936204999</v>
      </c>
      <c r="AZ631" s="51">
        <v>753.88167405044999</v>
      </c>
      <c r="BA631" s="51">
        <v>888.43619999999999</v>
      </c>
      <c r="BB631" s="51">
        <v>615.03255126901001</v>
      </c>
      <c r="BC631" s="51">
        <v>2.1043097899999998</v>
      </c>
      <c r="BD631" s="51">
        <v>3.3468571428599998</v>
      </c>
      <c r="BE631" s="51">
        <v>3.38447619048</v>
      </c>
      <c r="BF631" s="51">
        <v>195</v>
      </c>
      <c r="BG631" s="51">
        <v>488.75</v>
      </c>
      <c r="BH631" s="51">
        <v>530</v>
      </c>
      <c r="BI631" s="51">
        <v>423.125</v>
      </c>
      <c r="BJ631" s="51">
        <v>450</v>
      </c>
      <c r="BK631" s="51">
        <v>2022.25</v>
      </c>
      <c r="BL631" s="51">
        <v>136.38999999999999</v>
      </c>
      <c r="BM631" s="51">
        <v>7565.48</v>
      </c>
      <c r="BN631" s="51">
        <v>2022.35</v>
      </c>
      <c r="BO631" s="51">
        <v>19375.009999999998</v>
      </c>
      <c r="BP631" s="51">
        <v>18266.759999999998</v>
      </c>
      <c r="BQ631" s="51">
        <v>1904.73</v>
      </c>
      <c r="BR631" s="51">
        <v>1639.97</v>
      </c>
      <c r="BS631" s="51">
        <v>1454.59</v>
      </c>
      <c r="BT631" s="51">
        <v>30.3032</v>
      </c>
      <c r="BU631" s="41"/>
      <c r="BV631" s="41"/>
      <c r="BW631" s="41"/>
      <c r="BX631" s="41"/>
      <c r="BY631" s="41"/>
      <c r="BZ631" s="41"/>
      <c r="CA631" s="41"/>
      <c r="CB631" s="41"/>
      <c r="CC631" s="41"/>
      <c r="CD631" s="41"/>
      <c r="CE631" s="41"/>
      <c r="CF631" s="41"/>
      <c r="CG631" s="41"/>
      <c r="CH631" s="41"/>
      <c r="CI631" s="41"/>
      <c r="CJ631" s="41"/>
      <c r="CK631" s="41"/>
    </row>
    <row r="632" spans="1:89">
      <c r="A632" s="48" t="s">
        <v>761</v>
      </c>
      <c r="B632" s="49">
        <v>107.07457226399001</v>
      </c>
      <c r="C632" s="49">
        <v>111.15619047619001</v>
      </c>
      <c r="D632" s="49">
        <v>109.78052631579</v>
      </c>
      <c r="E632" s="49">
        <v>100.28700000000001</v>
      </c>
      <c r="F632" s="49">
        <v>116.46</v>
      </c>
      <c r="G632" s="49">
        <v>106.26</v>
      </c>
      <c r="H632" s="49">
        <v>2.6797</v>
      </c>
      <c r="I632" s="49">
        <v>11.45</v>
      </c>
      <c r="J632" s="49">
        <v>16.71</v>
      </c>
      <c r="K632" s="49">
        <v>98.29450664705</v>
      </c>
      <c r="L632" s="49">
        <v>2.30762</v>
      </c>
      <c r="M632" s="49">
        <v>5.229508955</v>
      </c>
      <c r="N632" s="49">
        <v>2.1323084639999998</v>
      </c>
      <c r="O632" s="49">
        <v>2.65663881539</v>
      </c>
      <c r="P632" s="49">
        <v>3.0575740386799999</v>
      </c>
      <c r="Q632" s="49">
        <v>2.2803424074800001</v>
      </c>
      <c r="R632" s="49">
        <v>2.6320000000000001</v>
      </c>
      <c r="S632" s="49">
        <v>1451</v>
      </c>
      <c r="T632" s="49">
        <v>2528.4280936454902</v>
      </c>
      <c r="U632" s="49">
        <v>1616.04</v>
      </c>
      <c r="V632" s="49">
        <v>2116.44</v>
      </c>
      <c r="W632" s="49">
        <v>1123.5</v>
      </c>
      <c r="X632" s="49">
        <v>1362.05</v>
      </c>
      <c r="Y632" s="49">
        <v>503.18</v>
      </c>
      <c r="Z632" s="49">
        <v>1216.28</v>
      </c>
      <c r="AA632" s="49">
        <v>385.86</v>
      </c>
      <c r="AB632" s="49">
        <v>1252.78</v>
      </c>
      <c r="AC632" s="49">
        <v>1451.82</v>
      </c>
      <c r="AD632" s="49">
        <v>210.55817656619001</v>
      </c>
      <c r="AE632" s="49">
        <v>272.84484500000002</v>
      </c>
      <c r="AF632" s="49">
        <v>265.65670999999998</v>
      </c>
      <c r="AG632" s="49">
        <v>542</v>
      </c>
      <c r="AH632" s="49">
        <v>534</v>
      </c>
      <c r="AI632" s="49">
        <v>516.25</v>
      </c>
      <c r="AJ632" s="49">
        <v>451.43</v>
      </c>
      <c r="AK632" s="49">
        <v>253.8987597</v>
      </c>
      <c r="AL632" s="49">
        <v>274.89317414624998</v>
      </c>
      <c r="AM632" s="49">
        <v>0.96192371197000004</v>
      </c>
      <c r="AN632" s="49">
        <v>0.945230825</v>
      </c>
      <c r="AO632" s="49">
        <v>0.73058219061999996</v>
      </c>
      <c r="AP632" s="49">
        <v>4.2571212200000002</v>
      </c>
      <c r="AQ632" s="49">
        <v>1.9919660291700001</v>
      </c>
      <c r="AR632" s="49">
        <v>9.9077000000000002</v>
      </c>
      <c r="AS632" s="49">
        <v>11.353793</v>
      </c>
      <c r="AT632" s="49">
        <v>0.42159415526999999</v>
      </c>
      <c r="AU632" s="49">
        <v>0.76484881660000004</v>
      </c>
      <c r="AV632" s="49">
        <v>0.51940847199999995</v>
      </c>
      <c r="AW632" s="49">
        <v>4414.5833333333303</v>
      </c>
      <c r="AX632" s="49">
        <v>458.31209999999999</v>
      </c>
      <c r="AY632" s="49">
        <v>387.74674783950002</v>
      </c>
      <c r="AZ632" s="49">
        <v>750.76198354859002</v>
      </c>
      <c r="BA632" s="49">
        <v>876.99865</v>
      </c>
      <c r="BB632" s="49">
        <v>615.03255126901001</v>
      </c>
      <c r="BC632" s="49">
        <v>2.2290912820000002</v>
      </c>
      <c r="BD632" s="49">
        <v>3.5037894736799999</v>
      </c>
      <c r="BE632" s="49">
        <v>3.6260526315799999</v>
      </c>
      <c r="BF632" s="49">
        <v>195</v>
      </c>
      <c r="BG632" s="49">
        <v>451.4</v>
      </c>
      <c r="BH632" s="49">
        <v>435</v>
      </c>
      <c r="BI632" s="49">
        <v>368</v>
      </c>
      <c r="BJ632" s="49">
        <v>495</v>
      </c>
      <c r="BK632" s="49">
        <v>2144.1999999999998</v>
      </c>
      <c r="BL632" s="49">
        <v>140.26</v>
      </c>
      <c r="BM632" s="49">
        <v>8040.47</v>
      </c>
      <c r="BN632" s="49">
        <v>2096.16</v>
      </c>
      <c r="BO632" s="49">
        <v>21438.63</v>
      </c>
      <c r="BP632" s="49">
        <v>19854.77</v>
      </c>
      <c r="BQ632" s="49">
        <v>1981.86</v>
      </c>
      <c r="BR632" s="49">
        <v>1654.05</v>
      </c>
      <c r="BS632" s="49">
        <v>1499.32</v>
      </c>
      <c r="BT632" s="49">
        <v>30.6509</v>
      </c>
      <c r="BU632" s="41"/>
      <c r="BV632" s="41"/>
      <c r="BW632" s="41"/>
      <c r="BX632" s="41"/>
      <c r="BY632" s="41"/>
      <c r="BZ632" s="41"/>
      <c r="CA632" s="41"/>
      <c r="CB632" s="41"/>
      <c r="CC632" s="41"/>
      <c r="CD632" s="41"/>
      <c r="CE632" s="41"/>
      <c r="CF632" s="41"/>
      <c r="CG632" s="41"/>
      <c r="CH632" s="41"/>
      <c r="CI632" s="41"/>
      <c r="CJ632" s="41"/>
      <c r="CK632" s="41"/>
    </row>
    <row r="633" spans="1:89">
      <c r="A633" s="41" t="s">
        <v>762</v>
      </c>
      <c r="B633" s="51">
        <v>112.68752380952</v>
      </c>
      <c r="C633" s="51">
        <v>119.70238095238</v>
      </c>
      <c r="D633" s="51">
        <v>116.14619047619</v>
      </c>
      <c r="E633" s="51">
        <v>102.214</v>
      </c>
      <c r="F633" s="51">
        <v>117.02</v>
      </c>
      <c r="G633" s="51">
        <v>105.3</v>
      </c>
      <c r="H633" s="51">
        <v>2.5192000000000001</v>
      </c>
      <c r="I633" s="51">
        <v>11.12</v>
      </c>
      <c r="J633" s="51">
        <v>16.03</v>
      </c>
      <c r="K633" s="51">
        <v>94.315988415649997</v>
      </c>
      <c r="L633" s="51">
        <v>2.3562400000000001</v>
      </c>
      <c r="M633" s="51">
        <v>4.9418761919999996</v>
      </c>
      <c r="N633" s="51">
        <v>2.2471691659999999</v>
      </c>
      <c r="O633" s="51">
        <v>2.5671632921800001</v>
      </c>
      <c r="P633" s="51">
        <v>2.9699496252399999</v>
      </c>
      <c r="Q633" s="51">
        <v>2.0940402513</v>
      </c>
      <c r="R633" s="51">
        <v>2.6375000000000002</v>
      </c>
      <c r="S633" s="51">
        <v>1411</v>
      </c>
      <c r="T633" s="51">
        <v>2528.4280936454902</v>
      </c>
      <c r="U633" s="51">
        <v>1760.57</v>
      </c>
      <c r="V633" s="51">
        <v>2116.44</v>
      </c>
      <c r="W633" s="51">
        <v>1146.25</v>
      </c>
      <c r="X633" s="51">
        <v>1365.48</v>
      </c>
      <c r="Y633" s="51">
        <v>522.96</v>
      </c>
      <c r="Z633" s="51">
        <v>1249.1199999999999</v>
      </c>
      <c r="AA633" s="51">
        <v>406.19</v>
      </c>
      <c r="AB633" s="51">
        <v>1287.68</v>
      </c>
      <c r="AC633" s="51">
        <v>1485</v>
      </c>
      <c r="AD633" s="51">
        <v>213.40087266162001</v>
      </c>
      <c r="AE633" s="51">
        <v>279.45866899999999</v>
      </c>
      <c r="AF633" s="51">
        <v>269.184102</v>
      </c>
      <c r="AG633" s="51">
        <v>537.5</v>
      </c>
      <c r="AH633" s="51">
        <v>529</v>
      </c>
      <c r="AI633" s="51">
        <v>518.25</v>
      </c>
      <c r="AJ633" s="51">
        <v>430.43</v>
      </c>
      <c r="AK633" s="51">
        <v>263.08467719999999</v>
      </c>
      <c r="AL633" s="51">
        <v>277.77295928249998</v>
      </c>
      <c r="AM633" s="51">
        <v>1.24455195609</v>
      </c>
      <c r="AN633" s="51">
        <v>1.0678628125</v>
      </c>
      <c r="AO633" s="51">
        <v>0.77864096152999995</v>
      </c>
      <c r="AP633" s="51">
        <v>4.3095911759999996</v>
      </c>
      <c r="AQ633" s="51">
        <v>2.0098785666699999</v>
      </c>
      <c r="AR633" s="51">
        <v>9.5350000000000001</v>
      </c>
      <c r="AS633" s="51">
        <v>11.422136220000001</v>
      </c>
      <c r="AT633" s="51">
        <v>0.43228146743000001</v>
      </c>
      <c r="AU633" s="51">
        <v>0.74144677530000003</v>
      </c>
      <c r="AV633" s="51">
        <v>0.53175434399999999</v>
      </c>
      <c r="AW633" s="51">
        <v>4417.5249999999996</v>
      </c>
      <c r="AX633" s="51">
        <v>466.61835000000002</v>
      </c>
      <c r="AY633" s="51">
        <v>374.97851200127002</v>
      </c>
      <c r="AZ633" s="51">
        <v>757.29116149220999</v>
      </c>
      <c r="BA633" s="51">
        <v>885.06880000000001</v>
      </c>
      <c r="BB633" s="51">
        <v>612.29603598256006</v>
      </c>
      <c r="BC633" s="51">
        <v>2.2211546499999999</v>
      </c>
      <c r="BD633" s="51">
        <v>3.7787619047600001</v>
      </c>
      <c r="BE633" s="51">
        <v>4.0025238095200004</v>
      </c>
      <c r="BF633" s="51">
        <v>190</v>
      </c>
      <c r="BG633" s="51">
        <v>435.5</v>
      </c>
      <c r="BH633" s="51">
        <v>445</v>
      </c>
      <c r="BI633" s="51">
        <v>375</v>
      </c>
      <c r="BJ633" s="51">
        <v>495</v>
      </c>
      <c r="BK633" s="51">
        <v>2207.92</v>
      </c>
      <c r="BL633" s="51">
        <v>140.4</v>
      </c>
      <c r="BM633" s="51">
        <v>8441.49</v>
      </c>
      <c r="BN633" s="51">
        <v>2121.2600000000002</v>
      </c>
      <c r="BO633" s="51">
        <v>24293.31</v>
      </c>
      <c r="BP633" s="51">
        <v>20393.669999999998</v>
      </c>
      <c r="BQ633" s="51">
        <v>2057.79</v>
      </c>
      <c r="BR633" s="51">
        <v>1744.82</v>
      </c>
      <c r="BS633" s="51">
        <v>1657.76</v>
      </c>
      <c r="BT633" s="51">
        <v>34.140500000000003</v>
      </c>
      <c r="BU633" s="41"/>
      <c r="BV633" s="41"/>
      <c r="BW633" s="41"/>
      <c r="BX633" s="41"/>
      <c r="BY633" s="41"/>
      <c r="BZ633" s="41"/>
      <c r="CA633" s="41"/>
      <c r="CB633" s="41"/>
      <c r="CC633" s="41"/>
      <c r="CD633" s="41"/>
      <c r="CE633" s="41"/>
      <c r="CF633" s="41"/>
      <c r="CG633" s="41"/>
      <c r="CH633" s="41"/>
      <c r="CI633" s="41"/>
      <c r="CJ633" s="41"/>
      <c r="CK633" s="41"/>
    </row>
    <row r="634" spans="1:89">
      <c r="A634" s="48" t="s">
        <v>763</v>
      </c>
      <c r="B634" s="49">
        <v>117.785</v>
      </c>
      <c r="C634" s="49">
        <v>124.92863636364</v>
      </c>
      <c r="D634" s="49">
        <v>122.27590909091001</v>
      </c>
      <c r="E634" s="49">
        <v>106.15045454545999</v>
      </c>
      <c r="F634" s="49">
        <v>107.46</v>
      </c>
      <c r="G634" s="49">
        <v>103.43</v>
      </c>
      <c r="H634" s="49">
        <v>2.1661000000000001</v>
      </c>
      <c r="I634" s="49">
        <v>11.97</v>
      </c>
      <c r="J634" s="49">
        <v>16.34</v>
      </c>
      <c r="K634" s="49">
        <v>94.279063117470002</v>
      </c>
      <c r="L634" s="49">
        <v>2.3592499999999998</v>
      </c>
      <c r="M634" s="49">
        <v>4.4370182119999999</v>
      </c>
      <c r="N634" s="49">
        <v>2.2833249339999999</v>
      </c>
      <c r="O634" s="49">
        <v>2.4242339288400001</v>
      </c>
      <c r="P634" s="49">
        <v>2.7542335824499999</v>
      </c>
      <c r="Q634" s="49">
        <v>1.78596820409</v>
      </c>
      <c r="R634" s="49">
        <v>2.7324999999999999</v>
      </c>
      <c r="S634" s="49">
        <v>1338</v>
      </c>
      <c r="T634" s="49">
        <v>2528.4280936454902</v>
      </c>
      <c r="U634" s="49">
        <v>1766.55</v>
      </c>
      <c r="V634" s="49">
        <v>2138.48</v>
      </c>
      <c r="W634" s="49">
        <v>1195.3399999999999</v>
      </c>
      <c r="X634" s="49">
        <v>1366.43</v>
      </c>
      <c r="Y634" s="49">
        <v>547.46</v>
      </c>
      <c r="Z634" s="49">
        <v>1285.3800000000001</v>
      </c>
      <c r="AA634" s="49">
        <v>440.73</v>
      </c>
      <c r="AB634" s="49">
        <v>1289.1199999999999</v>
      </c>
      <c r="AC634" s="49">
        <v>1500.68</v>
      </c>
      <c r="AD634" s="49">
        <v>222.78858648900999</v>
      </c>
      <c r="AE634" s="49">
        <v>280.69384000000002</v>
      </c>
      <c r="AF634" s="49">
        <v>274.034266</v>
      </c>
      <c r="AG634" s="49">
        <v>548</v>
      </c>
      <c r="AH634" s="49">
        <v>544.4</v>
      </c>
      <c r="AI634" s="49">
        <v>526.75</v>
      </c>
      <c r="AJ634" s="49">
        <v>428.7475</v>
      </c>
      <c r="AK634" s="49">
        <v>259.77774690000001</v>
      </c>
      <c r="AL634" s="49">
        <v>283.87825408636002</v>
      </c>
      <c r="AM634" s="49">
        <v>1.2210655536299999</v>
      </c>
      <c r="AN634" s="49">
        <v>1.1436466249999999</v>
      </c>
      <c r="AO634" s="49">
        <v>0.80257294212999997</v>
      </c>
      <c r="AP634" s="49">
        <v>4.347069716</v>
      </c>
      <c r="AQ634" s="49">
        <v>2.0456329807700002</v>
      </c>
      <c r="AR634" s="49">
        <v>9.5350000000000001</v>
      </c>
      <c r="AS634" s="49">
        <v>11.561027279999999</v>
      </c>
      <c r="AT634" s="49">
        <v>0.43150005600000002</v>
      </c>
      <c r="AU634" s="49">
        <v>0.76353005299999999</v>
      </c>
      <c r="AV634" s="49">
        <v>0.53131342000000004</v>
      </c>
      <c r="AW634" s="49">
        <v>4379.0083333333296</v>
      </c>
      <c r="AX634" s="49">
        <v>465.77587499999998</v>
      </c>
      <c r="AY634" s="49">
        <v>357.05200619994002</v>
      </c>
      <c r="AZ634" s="49">
        <v>758.54654140408002</v>
      </c>
      <c r="BA634" s="49">
        <v>886.53599999999994</v>
      </c>
      <c r="BB634" s="49">
        <v>610.96493061843</v>
      </c>
      <c r="BC634" s="49">
        <v>2.1935969000000002</v>
      </c>
      <c r="BD634" s="49">
        <v>3.7814545454499999</v>
      </c>
      <c r="BE634" s="49">
        <v>3.9290454545500002</v>
      </c>
      <c r="BF634" s="49">
        <v>160</v>
      </c>
      <c r="BG634" s="49">
        <v>442.875</v>
      </c>
      <c r="BH634" s="49">
        <v>441.25</v>
      </c>
      <c r="BI634" s="49">
        <v>393.125</v>
      </c>
      <c r="BJ634" s="49">
        <v>495</v>
      </c>
      <c r="BK634" s="49">
        <v>2184.16</v>
      </c>
      <c r="BL634" s="49">
        <v>144.66</v>
      </c>
      <c r="BM634" s="49">
        <v>8470.7800000000007</v>
      </c>
      <c r="BN634" s="49">
        <v>2056.69</v>
      </c>
      <c r="BO634" s="49">
        <v>22985.43</v>
      </c>
      <c r="BP634" s="49">
        <v>18660.810000000001</v>
      </c>
      <c r="BQ634" s="49">
        <v>2035.92</v>
      </c>
      <c r="BR634" s="49">
        <v>1675.95</v>
      </c>
      <c r="BS634" s="49">
        <v>1655.41</v>
      </c>
      <c r="BT634" s="49">
        <v>32.953200000000002</v>
      </c>
      <c r="BU634" s="41"/>
      <c r="BV634" s="41"/>
      <c r="BW634" s="41"/>
      <c r="BX634" s="41"/>
      <c r="BY634" s="41"/>
      <c r="BZ634" s="41"/>
      <c r="CA634" s="41"/>
      <c r="CB634" s="41"/>
      <c r="CC634" s="41"/>
      <c r="CD634" s="41"/>
      <c r="CE634" s="41"/>
      <c r="CF634" s="41"/>
      <c r="CG634" s="41"/>
      <c r="CH634" s="41"/>
      <c r="CI634" s="41"/>
      <c r="CJ634" s="41"/>
      <c r="CK634" s="41"/>
    </row>
    <row r="635" spans="1:89">
      <c r="A635" s="41" t="s">
        <v>764</v>
      </c>
      <c r="B635" s="51">
        <v>113.66549999999999</v>
      </c>
      <c r="C635" s="51">
        <v>120.4635</v>
      </c>
      <c r="D635" s="51">
        <v>117.25</v>
      </c>
      <c r="E635" s="51">
        <v>103.283</v>
      </c>
      <c r="F635" s="51">
        <v>103.59</v>
      </c>
      <c r="G635" s="51">
        <v>101.33</v>
      </c>
      <c r="H635" s="51">
        <v>1.9467000000000001</v>
      </c>
      <c r="I635" s="51">
        <v>11.42</v>
      </c>
      <c r="J635" s="51">
        <v>16.850000000000001</v>
      </c>
      <c r="K635" s="51">
        <v>89.345644258129994</v>
      </c>
      <c r="L635" s="51">
        <v>2.2667799999999998</v>
      </c>
      <c r="M635" s="51">
        <v>4.22074499</v>
      </c>
      <c r="N635" s="51">
        <v>2.2443031599999999</v>
      </c>
      <c r="O635" s="51">
        <v>2.7914173879600002</v>
      </c>
      <c r="P635" s="51">
        <v>3.2041783132399999</v>
      </c>
      <c r="Q635" s="51">
        <v>2.3880738506500001</v>
      </c>
      <c r="R635" s="51">
        <v>2.782</v>
      </c>
      <c r="S635" s="51">
        <v>1348</v>
      </c>
      <c r="T635" s="51">
        <v>2528.4280936454902</v>
      </c>
      <c r="U635" s="51">
        <v>1734.07</v>
      </c>
      <c r="V635" s="51">
        <v>2274.96</v>
      </c>
      <c r="W635" s="51">
        <v>1233.6099999999999</v>
      </c>
      <c r="X635" s="51">
        <v>1394.72</v>
      </c>
      <c r="Y635" s="51">
        <v>583.83000000000004</v>
      </c>
      <c r="Z635" s="51">
        <v>1308.8900000000001</v>
      </c>
      <c r="AA635" s="51">
        <v>482.37</v>
      </c>
      <c r="AB635" s="51">
        <v>1303.5899999999999</v>
      </c>
      <c r="AC635" s="51">
        <v>1551.9</v>
      </c>
      <c r="AD635" s="51">
        <v>237.17206304446</v>
      </c>
      <c r="AE635" s="51">
        <v>274.00128000000001</v>
      </c>
      <c r="AF635" s="51">
        <v>254.854072</v>
      </c>
      <c r="AG635" s="51">
        <v>547.75</v>
      </c>
      <c r="AH635" s="51">
        <v>550.66666666667004</v>
      </c>
      <c r="AI635" s="51">
        <v>533.25</v>
      </c>
      <c r="AJ635" s="51">
        <v>440.71499999999997</v>
      </c>
      <c r="AK635" s="51">
        <v>254.6336331</v>
      </c>
      <c r="AL635" s="51">
        <v>266.32392179211001</v>
      </c>
      <c r="AM635" s="51">
        <v>1.25723456083</v>
      </c>
      <c r="AN635" s="51">
        <v>1.02997090625</v>
      </c>
      <c r="AO635" s="51">
        <v>0.82289048765999995</v>
      </c>
      <c r="AP635" s="51">
        <v>4.2868835900000004</v>
      </c>
      <c r="AQ635" s="51">
        <v>2.0558081499999998</v>
      </c>
      <c r="AR635" s="51">
        <v>9.5350000000000001</v>
      </c>
      <c r="AS635" s="51">
        <v>11.768261559999999</v>
      </c>
      <c r="AT635" s="51">
        <v>0.42987269867</v>
      </c>
      <c r="AU635" s="51">
        <v>0.70255727850000005</v>
      </c>
      <c r="AV635" s="51">
        <v>0.50155105</v>
      </c>
      <c r="AW635" s="51">
        <v>4354.0749999999998</v>
      </c>
      <c r="AX635" s="51">
        <v>464.02042499999999</v>
      </c>
      <c r="AY635" s="51">
        <v>353.69889957437999</v>
      </c>
      <c r="AZ635" s="51">
        <v>766.97004478218003</v>
      </c>
      <c r="BA635" s="51">
        <v>896.38080000000002</v>
      </c>
      <c r="BB635" s="51">
        <v>611.58491903131005</v>
      </c>
      <c r="BC635" s="51">
        <v>2.2032972279999998</v>
      </c>
      <c r="BD635" s="51">
        <v>3.6648999999999998</v>
      </c>
      <c r="BE635" s="51">
        <v>3.8449499999999999</v>
      </c>
      <c r="BF635" s="51">
        <v>185</v>
      </c>
      <c r="BG635" s="51">
        <v>478</v>
      </c>
      <c r="BH635" s="51">
        <v>441.25</v>
      </c>
      <c r="BI635" s="51">
        <v>494.375</v>
      </c>
      <c r="BJ635" s="51">
        <v>477.5</v>
      </c>
      <c r="BK635" s="51">
        <v>2049.67</v>
      </c>
      <c r="BL635" s="51">
        <v>147.63999999999999</v>
      </c>
      <c r="BM635" s="51">
        <v>8289.48</v>
      </c>
      <c r="BN635" s="51">
        <v>2071.0700000000002</v>
      </c>
      <c r="BO635" s="51">
        <v>22200.62</v>
      </c>
      <c r="BP635" s="51">
        <v>17939.79</v>
      </c>
      <c r="BQ635" s="51">
        <v>2002.14</v>
      </c>
      <c r="BR635" s="51">
        <v>1649.2</v>
      </c>
      <c r="BS635" s="51">
        <v>1585.81</v>
      </c>
      <c r="BT635" s="51">
        <v>31.525500000000001</v>
      </c>
      <c r="BU635" s="41"/>
      <c r="BV635" s="41"/>
      <c r="BW635" s="41"/>
      <c r="BX635" s="41"/>
      <c r="BY635" s="41"/>
      <c r="BZ635" s="41"/>
      <c r="CA635" s="41"/>
      <c r="CB635" s="41"/>
      <c r="CC635" s="41"/>
      <c r="CD635" s="41"/>
      <c r="CE635" s="41"/>
      <c r="CF635" s="41"/>
      <c r="CG635" s="41"/>
      <c r="CH635" s="41"/>
      <c r="CI635" s="41"/>
      <c r="CJ635" s="41"/>
      <c r="CK635" s="41"/>
    </row>
    <row r="636" spans="1:89">
      <c r="A636" s="48" t="s">
        <v>765</v>
      </c>
      <c r="B636" s="49">
        <v>104.0860342556</v>
      </c>
      <c r="C636" s="49">
        <v>110.52173913044</v>
      </c>
      <c r="D636" s="49">
        <v>107.05454545455</v>
      </c>
      <c r="E636" s="49">
        <v>94.681818181820006</v>
      </c>
      <c r="F636" s="49">
        <v>95.83</v>
      </c>
      <c r="G636" s="49">
        <v>93.77</v>
      </c>
      <c r="H636" s="49">
        <v>2.4373999999999998</v>
      </c>
      <c r="I636" s="49">
        <v>11.64</v>
      </c>
      <c r="J636" s="49">
        <v>17.12</v>
      </c>
      <c r="K636" s="49">
        <v>96.533194706070006</v>
      </c>
      <c r="L636" s="49">
        <v>2.31393</v>
      </c>
      <c r="M636" s="49">
        <v>4.0708308300000002</v>
      </c>
      <c r="N636" s="49">
        <v>2.3562978559999999</v>
      </c>
      <c r="O636" s="49">
        <v>3.00160249213</v>
      </c>
      <c r="P636" s="49">
        <v>3.0241860465100001</v>
      </c>
      <c r="Q636" s="49">
        <v>3.1831214298899999</v>
      </c>
      <c r="R636" s="49">
        <v>2.7974999999999999</v>
      </c>
      <c r="S636" s="49">
        <v>1155</v>
      </c>
      <c r="T636" s="49">
        <v>2400</v>
      </c>
      <c r="U636" s="49">
        <v>1607.08</v>
      </c>
      <c r="V636" s="49">
        <v>2408.0500000000002</v>
      </c>
      <c r="W636" s="49">
        <v>1125</v>
      </c>
      <c r="X636" s="49">
        <v>1236.75</v>
      </c>
      <c r="Y636" s="49">
        <v>577.48</v>
      </c>
      <c r="Z636" s="49">
        <v>1220.55</v>
      </c>
      <c r="AA636" s="49">
        <v>502.8</v>
      </c>
      <c r="AB636" s="49">
        <v>1234.8800000000001</v>
      </c>
      <c r="AC636" s="49">
        <v>1522.17</v>
      </c>
      <c r="AD636" s="49">
        <v>239.45847566667001</v>
      </c>
      <c r="AE636" s="49">
        <v>269.27712000000002</v>
      </c>
      <c r="AF636" s="49">
        <v>259.35389539456003</v>
      </c>
      <c r="AG636" s="49">
        <v>600.5</v>
      </c>
      <c r="AH636" s="49">
        <v>553.25</v>
      </c>
      <c r="AI636" s="49">
        <v>561.75</v>
      </c>
      <c r="AJ636" s="49">
        <v>433.28800000000001</v>
      </c>
      <c r="AK636" s="49">
        <v>251.32670279999999</v>
      </c>
      <c r="AL636" s="49">
        <v>264.35872401848002</v>
      </c>
      <c r="AM636" s="49">
        <v>1.20712201878</v>
      </c>
      <c r="AN636" s="49">
        <v>0.95349815000000004</v>
      </c>
      <c r="AO636" s="49">
        <v>0.75583243959000002</v>
      </c>
      <c r="AP636" s="49">
        <v>4.2174380600000001</v>
      </c>
      <c r="AQ636" s="49">
        <v>2.0737206874999998</v>
      </c>
      <c r="AR636" s="49">
        <v>9.5150000000000006</v>
      </c>
      <c r="AS636" s="49">
        <v>11.794717</v>
      </c>
      <c r="AT636" s="49">
        <v>0.4182515168</v>
      </c>
      <c r="AU636" s="49">
        <v>0.66579524000000001</v>
      </c>
      <c r="AV636" s="49">
        <v>0.45878142199999999</v>
      </c>
      <c r="AW636" s="49">
        <v>4355.2333333333299</v>
      </c>
      <c r="AX636" s="49">
        <v>451.47494999999998</v>
      </c>
      <c r="AY636" s="49">
        <v>367.02541036256002</v>
      </c>
      <c r="AZ636" s="49">
        <v>763.35723389077998</v>
      </c>
      <c r="BA636" s="49">
        <v>892.15840000000003</v>
      </c>
      <c r="BB636" s="49">
        <v>611.58491903131005</v>
      </c>
      <c r="BC636" s="49">
        <v>1.9518402749999999</v>
      </c>
      <c r="BD636" s="49">
        <v>3.3764090909100002</v>
      </c>
      <c r="BE636" s="49">
        <v>3.72813636364</v>
      </c>
      <c r="BF636" s="49">
        <v>195</v>
      </c>
      <c r="BG636" s="49">
        <v>490.5</v>
      </c>
      <c r="BH636" s="49">
        <v>485</v>
      </c>
      <c r="BI636" s="49">
        <v>513.125</v>
      </c>
      <c r="BJ636" s="49">
        <v>477.5</v>
      </c>
      <c r="BK636" s="49">
        <v>2007.63095238095</v>
      </c>
      <c r="BL636" s="49">
        <v>136.61000000000001</v>
      </c>
      <c r="BM636" s="49">
        <v>7955.6428571428596</v>
      </c>
      <c r="BN636" s="49">
        <v>2012.82142857143</v>
      </c>
      <c r="BO636" s="49">
        <v>20405.238095238099</v>
      </c>
      <c r="BP636" s="49">
        <v>17068.190476190499</v>
      </c>
      <c r="BQ636" s="49">
        <v>1936</v>
      </c>
      <c r="BR636" s="49">
        <v>1589.04</v>
      </c>
      <c r="BS636" s="49">
        <v>1470.7</v>
      </c>
      <c r="BT636" s="49">
        <v>28.7196</v>
      </c>
      <c r="BU636" s="41"/>
      <c r="BV636" s="41"/>
      <c r="BW636" s="41"/>
      <c r="BX636" s="41"/>
      <c r="BY636" s="41"/>
      <c r="BZ636" s="41"/>
      <c r="CA636" s="41"/>
      <c r="CB636" s="41"/>
      <c r="CC636" s="41"/>
      <c r="CD636" s="41"/>
      <c r="CE636" s="41"/>
      <c r="CF636" s="41"/>
      <c r="CG636" s="41"/>
      <c r="CH636" s="41"/>
      <c r="CI636" s="41"/>
      <c r="CJ636" s="41"/>
      <c r="CK636" s="41"/>
    </row>
    <row r="637" spans="1:89">
      <c r="A637" s="41" t="s">
        <v>766</v>
      </c>
      <c r="B637" s="51">
        <v>90.728253968250002</v>
      </c>
      <c r="C637" s="51">
        <v>95.589047619050007</v>
      </c>
      <c r="D637" s="51">
        <v>94.236190476190004</v>
      </c>
      <c r="E637" s="51">
        <v>82.359523809519999</v>
      </c>
      <c r="F637" s="51">
        <v>87.19</v>
      </c>
      <c r="G637" s="51">
        <v>85.31</v>
      </c>
      <c r="H637" s="51">
        <v>2.4552</v>
      </c>
      <c r="I637" s="51">
        <v>11.49</v>
      </c>
      <c r="J637" s="51">
        <v>17.2</v>
      </c>
      <c r="K637" s="51">
        <v>96.090450413680003</v>
      </c>
      <c r="L637" s="51">
        <v>2.2642099999999998</v>
      </c>
      <c r="M637" s="51">
        <v>3.7189734780000001</v>
      </c>
      <c r="N637" s="51">
        <v>2.3302833399999998</v>
      </c>
      <c r="O637" s="51">
        <v>2.9724366847999999</v>
      </c>
      <c r="P637" s="51">
        <v>2.9123178735700002</v>
      </c>
      <c r="Q637" s="51">
        <v>3.1249921808200001</v>
      </c>
      <c r="R637" s="51">
        <v>2.88</v>
      </c>
      <c r="S637" s="51">
        <v>1058</v>
      </c>
      <c r="T637" s="51">
        <v>2400</v>
      </c>
      <c r="U637" s="51">
        <v>1558.48</v>
      </c>
      <c r="V637" s="51">
        <v>2425.08</v>
      </c>
      <c r="W637" s="51">
        <v>1027.74</v>
      </c>
      <c r="X637" s="51">
        <v>1089.05</v>
      </c>
      <c r="Y637" s="51">
        <v>578.01</v>
      </c>
      <c r="Z637" s="51">
        <v>1181.93</v>
      </c>
      <c r="AA637" s="51">
        <v>514.95000000000005</v>
      </c>
      <c r="AB637" s="51">
        <v>1183.3699999999999</v>
      </c>
      <c r="AC637" s="51">
        <v>1430.48</v>
      </c>
      <c r="AD637" s="51">
        <v>236.75781616667001</v>
      </c>
      <c r="AE637" s="51">
        <v>267.30871999999999</v>
      </c>
      <c r="AF637" s="51">
        <v>263.93316978796997</v>
      </c>
      <c r="AG637" s="51">
        <v>600</v>
      </c>
      <c r="AH637" s="51">
        <v>578</v>
      </c>
      <c r="AI637" s="51">
        <v>541.20000000000005</v>
      </c>
      <c r="AJ637" s="51">
        <v>411.96249999999998</v>
      </c>
      <c r="AK637" s="51">
        <v>249.48951930000001</v>
      </c>
      <c r="AL637" s="51">
        <v>276.18991949999997</v>
      </c>
      <c r="AM637" s="51">
        <v>1.04930648003</v>
      </c>
      <c r="AN637" s="51">
        <v>0.95418709374999999</v>
      </c>
      <c r="AO637" s="51">
        <v>0.95276366103999999</v>
      </c>
      <c r="AP637" s="51">
        <v>4.1241826340000003</v>
      </c>
      <c r="AQ637" s="51">
        <v>2.0833659</v>
      </c>
      <c r="AR637" s="51">
        <v>9.1964000000000006</v>
      </c>
      <c r="AS637" s="51">
        <v>11.794717</v>
      </c>
      <c r="AT637" s="51">
        <v>0.40975427009999998</v>
      </c>
      <c r="AU637" s="51">
        <v>0.63063680010000001</v>
      </c>
      <c r="AV637" s="51">
        <v>0.451285714</v>
      </c>
      <c r="AW637" s="51">
        <v>4282.9666666666699</v>
      </c>
      <c r="AX637" s="51">
        <v>442.30290000000002</v>
      </c>
      <c r="AY637" s="51">
        <v>362.31127081427002</v>
      </c>
      <c r="AZ637" s="51">
        <v>751.69465867898998</v>
      </c>
      <c r="BA637" s="51">
        <v>862.84</v>
      </c>
      <c r="BB637" s="51">
        <v>606.67897337240004</v>
      </c>
      <c r="BC637" s="51">
        <v>1.8117567160000001</v>
      </c>
      <c r="BD637" s="51">
        <v>2.8629523809499999</v>
      </c>
      <c r="BE637" s="51">
        <v>3.1987142857099999</v>
      </c>
      <c r="BF637" s="51">
        <v>193.125</v>
      </c>
      <c r="BG637" s="51">
        <v>501.625</v>
      </c>
      <c r="BH637" s="51">
        <v>485</v>
      </c>
      <c r="BI637" s="51">
        <v>456.875</v>
      </c>
      <c r="BJ637" s="51">
        <v>477.5</v>
      </c>
      <c r="BK637" s="51">
        <v>1890.17857142857</v>
      </c>
      <c r="BL637" s="51">
        <v>134.66</v>
      </c>
      <c r="BM637" s="51">
        <v>7423.0238095238101</v>
      </c>
      <c r="BN637" s="51">
        <v>1854.1523809523801</v>
      </c>
      <c r="BO637" s="51">
        <v>19271.071428571398</v>
      </c>
      <c r="BP637" s="51">
        <v>16549.142857142899</v>
      </c>
      <c r="BQ637" s="51">
        <v>1858.7023809523801</v>
      </c>
      <c r="BR637" s="51">
        <v>1598.76</v>
      </c>
      <c r="BS637" s="51">
        <v>1443.86</v>
      </c>
      <c r="BT637" s="51">
        <v>27.983599999999999</v>
      </c>
      <c r="BU637" s="41"/>
      <c r="BV637" s="41"/>
      <c r="BW637" s="41"/>
      <c r="BX637" s="41"/>
      <c r="BY637" s="41"/>
      <c r="BZ637" s="41"/>
      <c r="CA637" s="41"/>
      <c r="CB637" s="41"/>
      <c r="CC637" s="41"/>
      <c r="CD637" s="41"/>
      <c r="CE637" s="41"/>
      <c r="CF637" s="41"/>
      <c r="CG637" s="41"/>
      <c r="CH637" s="41"/>
      <c r="CI637" s="41"/>
      <c r="CJ637" s="41"/>
      <c r="CK637" s="41"/>
    </row>
    <row r="638" spans="1:89">
      <c r="A638" s="48" t="s">
        <v>767</v>
      </c>
      <c r="B638" s="49">
        <v>96.754112554109994</v>
      </c>
      <c r="C638" s="49">
        <v>103.14090909091</v>
      </c>
      <c r="D638" s="49">
        <v>99.22</v>
      </c>
      <c r="E638" s="49">
        <v>87.901428571430003</v>
      </c>
      <c r="F638" s="49">
        <v>88.24</v>
      </c>
      <c r="G638" s="49">
        <v>87.33</v>
      </c>
      <c r="H638" s="49">
        <v>2.9455</v>
      </c>
      <c r="I638" s="49">
        <v>11.13</v>
      </c>
      <c r="J638" s="49">
        <v>18.11</v>
      </c>
      <c r="K638" s="49">
        <v>100.9494357434</v>
      </c>
      <c r="L638" s="49">
        <v>2.3498186363600002</v>
      </c>
      <c r="M638" s="49">
        <v>4.1986987899999999</v>
      </c>
      <c r="N638" s="49">
        <v>2.3602661720000002</v>
      </c>
      <c r="O638" s="49">
        <v>3.0293613227899998</v>
      </c>
      <c r="P638" s="49">
        <v>2.9898372306300001</v>
      </c>
      <c r="Q638" s="49">
        <v>3.1102467377299998</v>
      </c>
      <c r="R638" s="49">
        <v>2.988</v>
      </c>
      <c r="S638" s="49">
        <v>1070</v>
      </c>
      <c r="T638" s="49">
        <v>2400</v>
      </c>
      <c r="U638" s="49">
        <v>1502.97</v>
      </c>
      <c r="V638" s="49">
        <v>2450.2800000000002</v>
      </c>
      <c r="W638" s="49">
        <v>1052.8399999999999</v>
      </c>
      <c r="X638" s="49">
        <v>1063.18</v>
      </c>
      <c r="Y638" s="49">
        <v>670.19</v>
      </c>
      <c r="Z638" s="49">
        <v>1239.49</v>
      </c>
      <c r="AA638" s="49">
        <v>608.67999999999995</v>
      </c>
      <c r="AB638" s="49">
        <v>1214.67</v>
      </c>
      <c r="AC638" s="49">
        <v>1472.27</v>
      </c>
      <c r="AD638" s="49">
        <v>253.379732375</v>
      </c>
      <c r="AE638" s="49">
        <v>333.05327999999997</v>
      </c>
      <c r="AF638" s="49">
        <v>268.59329800443999</v>
      </c>
      <c r="AG638" s="49">
        <v>573.75</v>
      </c>
      <c r="AH638" s="49">
        <v>555</v>
      </c>
      <c r="AI638" s="49">
        <v>518.75</v>
      </c>
      <c r="AJ638" s="49">
        <v>409.28500000000003</v>
      </c>
      <c r="AK638" s="49">
        <v>322.9768593</v>
      </c>
      <c r="AL638" s="49">
        <v>345.68794675714003</v>
      </c>
      <c r="AM638" s="49">
        <v>0.85025370560000002</v>
      </c>
      <c r="AN638" s="49">
        <v>0.96452125</v>
      </c>
      <c r="AO638" s="49">
        <v>1.0151581055800001</v>
      </c>
      <c r="AP638" s="49">
        <v>4.0318090560000002</v>
      </c>
      <c r="AQ638" s="49">
        <v>2.0884181541700002</v>
      </c>
      <c r="AR638" s="49">
        <v>8.7502999999999993</v>
      </c>
      <c r="AS638" s="49">
        <v>11.794717</v>
      </c>
      <c r="AT638" s="49">
        <v>0.40143723927000002</v>
      </c>
      <c r="AU638" s="49">
        <v>0.63230601237999995</v>
      </c>
      <c r="AV638" s="49">
        <v>0.50441705599999997</v>
      </c>
      <c r="AW638" s="49">
        <v>4191.4166666666697</v>
      </c>
      <c r="AX638" s="49">
        <v>430.25150000000002</v>
      </c>
      <c r="AY638" s="49">
        <v>357.19175146739002</v>
      </c>
      <c r="AZ638" s="49">
        <v>747.40624256783997</v>
      </c>
      <c r="BA638" s="49">
        <v>857.91750000000002</v>
      </c>
      <c r="BB638" s="49">
        <v>606.67897337240004</v>
      </c>
      <c r="BC638" s="49">
        <v>1.851219414</v>
      </c>
      <c r="BD638" s="49">
        <v>2.89286363636</v>
      </c>
      <c r="BE638" s="49">
        <v>3.0783636363600002</v>
      </c>
      <c r="BF638" s="49">
        <v>188.5</v>
      </c>
      <c r="BG638" s="49">
        <v>436.875</v>
      </c>
      <c r="BH638" s="49">
        <v>485</v>
      </c>
      <c r="BI638" s="49">
        <v>307.5</v>
      </c>
      <c r="BJ638" s="49">
        <v>279.5</v>
      </c>
      <c r="BK638" s="49">
        <v>1876.25</v>
      </c>
      <c r="BL638" s="49">
        <v>127.94</v>
      </c>
      <c r="BM638" s="49">
        <v>7584.2613636363603</v>
      </c>
      <c r="BN638" s="49">
        <v>1881.47727272727</v>
      </c>
      <c r="BO638" s="49">
        <v>18546.090909090901</v>
      </c>
      <c r="BP638" s="49">
        <v>16128.409090909099</v>
      </c>
      <c r="BQ638" s="49">
        <v>1847.75</v>
      </c>
      <c r="BR638" s="49">
        <v>1594.29</v>
      </c>
      <c r="BS638" s="49">
        <v>1425.82</v>
      </c>
      <c r="BT638" s="49">
        <v>27.431799999999999</v>
      </c>
      <c r="BU638" s="41"/>
      <c r="BV638" s="41"/>
      <c r="BW638" s="41"/>
      <c r="BX638" s="41"/>
      <c r="BY638" s="41"/>
      <c r="BZ638" s="41"/>
      <c r="CA638" s="41"/>
      <c r="CB638" s="41"/>
      <c r="CC638" s="41"/>
      <c r="CD638" s="41"/>
      <c r="CE638" s="41"/>
      <c r="CF638" s="41"/>
      <c r="CG638" s="41"/>
      <c r="CH638" s="41"/>
      <c r="CI638" s="41"/>
      <c r="CJ638" s="41"/>
      <c r="CK638" s="41"/>
    </row>
    <row r="639" spans="1:89">
      <c r="A639" s="41" t="s">
        <v>768</v>
      </c>
      <c r="B639" s="51">
        <v>105.27363699103</v>
      </c>
      <c r="C639" s="51">
        <v>113.34</v>
      </c>
      <c r="D639" s="51">
        <v>108.37047619048001</v>
      </c>
      <c r="E639" s="51">
        <v>94.11043478261</v>
      </c>
      <c r="F639" s="51">
        <v>91</v>
      </c>
      <c r="G639" s="51">
        <v>89.11</v>
      </c>
      <c r="H639" s="51">
        <v>2.8382999999999998</v>
      </c>
      <c r="I639" s="51">
        <v>11.18</v>
      </c>
      <c r="J639" s="51">
        <v>17.739999999999998</v>
      </c>
      <c r="K639" s="51">
        <v>99.634691967159995</v>
      </c>
      <c r="L639" s="51">
        <v>2.5122599999999999</v>
      </c>
      <c r="M639" s="51">
        <v>3.85421253704</v>
      </c>
      <c r="N639" s="51">
        <v>2.3483803946099999</v>
      </c>
      <c r="O639" s="51">
        <v>3.1172910099500002</v>
      </c>
      <c r="P639" s="51">
        <v>3.06582246362</v>
      </c>
      <c r="Q639" s="51">
        <v>3.2035505662200001</v>
      </c>
      <c r="R639" s="51">
        <v>3.0825</v>
      </c>
      <c r="S639" s="51">
        <v>1001</v>
      </c>
      <c r="T639" s="51">
        <v>2400</v>
      </c>
      <c r="U639" s="51">
        <v>1431.13</v>
      </c>
      <c r="V639" s="51">
        <v>2469.1799999999998</v>
      </c>
      <c r="W639" s="51">
        <v>1022.38</v>
      </c>
      <c r="X639" s="51">
        <v>1007.61</v>
      </c>
      <c r="Y639" s="51">
        <v>684.02</v>
      </c>
      <c r="Z639" s="51">
        <v>1250.27</v>
      </c>
      <c r="AA639" s="51">
        <v>651.35</v>
      </c>
      <c r="AB639" s="51">
        <v>1230.73</v>
      </c>
      <c r="AC639" s="51">
        <v>1525.43</v>
      </c>
      <c r="AD639" s="51">
        <v>265.69345366667</v>
      </c>
      <c r="AE639" s="51">
        <v>331.99205565217</v>
      </c>
      <c r="AF639" s="51">
        <v>273.33570763712999</v>
      </c>
      <c r="AG639" s="51">
        <v>567.75</v>
      </c>
      <c r="AH639" s="51">
        <v>545</v>
      </c>
      <c r="AI639" s="51">
        <v>509</v>
      </c>
      <c r="AJ639" s="51">
        <v>436.428</v>
      </c>
      <c r="AK639" s="51">
        <v>333.73237052935002</v>
      </c>
      <c r="AL639" s="51">
        <v>349.40035068261</v>
      </c>
      <c r="AM639" s="51">
        <v>0.98487190125000001</v>
      </c>
      <c r="AN639" s="51">
        <v>0.95074237500000003</v>
      </c>
      <c r="AO639" s="51">
        <v>0.97038912808</v>
      </c>
      <c r="AP639" s="51">
        <v>4.09508165</v>
      </c>
      <c r="AQ639" s="51">
        <v>2.09478268214</v>
      </c>
      <c r="AR639" s="51">
        <v>7.9462000000000002</v>
      </c>
      <c r="AS639" s="51">
        <v>11.75723846</v>
      </c>
      <c r="AT639" s="51">
        <v>0.40505721496000002</v>
      </c>
      <c r="AU639" s="51">
        <v>0.63361737330000001</v>
      </c>
      <c r="AV639" s="51">
        <v>0.460324656</v>
      </c>
      <c r="AW639" s="51">
        <v>4207.9333333333298</v>
      </c>
      <c r="AX639" s="51">
        <v>431.03205000000003</v>
      </c>
      <c r="AY639" s="51">
        <v>354.70767584685001</v>
      </c>
      <c r="AZ639" s="51">
        <v>749.60345123362004</v>
      </c>
      <c r="BA639" s="51">
        <v>856.65824999999995</v>
      </c>
      <c r="BB639" s="51">
        <v>606.67897337240004</v>
      </c>
      <c r="BC639" s="51">
        <v>1.86069928</v>
      </c>
      <c r="BD639" s="51">
        <v>2.5950952380999999</v>
      </c>
      <c r="BE639" s="51">
        <v>2.7930952380999998</v>
      </c>
      <c r="BF639" s="51">
        <v>182.5</v>
      </c>
      <c r="BG639" s="51">
        <v>504.5</v>
      </c>
      <c r="BH639" s="51">
        <v>485</v>
      </c>
      <c r="BI639" s="51">
        <v>382.5</v>
      </c>
      <c r="BJ639" s="51">
        <v>477.5</v>
      </c>
      <c r="BK639" s="51">
        <v>1845.3760869565201</v>
      </c>
      <c r="BL639" s="51">
        <v>107.5</v>
      </c>
      <c r="BM639" s="51">
        <v>7515.5326086956502</v>
      </c>
      <c r="BN639" s="51">
        <v>1900.6195652173899</v>
      </c>
      <c r="BO639" s="51">
        <v>18772.619565217399</v>
      </c>
      <c r="BP639" s="51">
        <v>15735.206521739099</v>
      </c>
      <c r="BQ639" s="51">
        <v>1818.1630434782601</v>
      </c>
      <c r="BR639" s="51">
        <v>1630.31</v>
      </c>
      <c r="BS639" s="51">
        <v>1453.26</v>
      </c>
      <c r="BT639" s="51">
        <v>28.8002</v>
      </c>
      <c r="BU639" s="41"/>
      <c r="BV639" s="41"/>
      <c r="BW639" s="41"/>
      <c r="BX639" s="41"/>
      <c r="BY639" s="41"/>
      <c r="BZ639" s="41"/>
      <c r="CA639" s="41"/>
      <c r="CB639" s="41"/>
      <c r="CC639" s="41"/>
      <c r="CD639" s="41"/>
      <c r="CE639" s="41"/>
      <c r="CF639" s="41"/>
      <c r="CG639" s="41"/>
      <c r="CH639" s="41"/>
      <c r="CI639" s="41"/>
      <c r="CJ639" s="41"/>
      <c r="CK639" s="41"/>
    </row>
    <row r="640" spans="1:89">
      <c r="A640" s="48" t="s">
        <v>769</v>
      </c>
      <c r="B640" s="49">
        <v>106.28496491228</v>
      </c>
      <c r="C640" s="49">
        <v>113.38249999999999</v>
      </c>
      <c r="D640" s="49">
        <v>110.9645</v>
      </c>
      <c r="E640" s="49">
        <v>94.507894736840001</v>
      </c>
      <c r="F640" s="49">
        <v>88.96</v>
      </c>
      <c r="G640" s="49">
        <v>85.82</v>
      </c>
      <c r="H640" s="49">
        <v>2.8414999999999999</v>
      </c>
      <c r="I640" s="49">
        <v>11.08</v>
      </c>
      <c r="J640" s="49">
        <v>16.829999999999998</v>
      </c>
      <c r="K640" s="49">
        <v>98.581633900699998</v>
      </c>
      <c r="L640" s="49">
        <v>2.6202800000000002</v>
      </c>
      <c r="M640" s="49">
        <v>3.9458288760000002</v>
      </c>
      <c r="N640" s="49">
        <v>2.3137486900000002</v>
      </c>
      <c r="O640" s="49">
        <v>3.1040471012399999</v>
      </c>
      <c r="P640" s="49">
        <v>3.1879764922599998</v>
      </c>
      <c r="Q640" s="49">
        <v>3.0891648114599999</v>
      </c>
      <c r="R640" s="49">
        <v>3.0350000000000001</v>
      </c>
      <c r="S640" s="49">
        <v>967</v>
      </c>
      <c r="T640" s="49">
        <v>2400</v>
      </c>
      <c r="U640" s="49">
        <v>1354.36</v>
      </c>
      <c r="V640" s="49">
        <v>2469.1799999999998</v>
      </c>
      <c r="W640" s="49">
        <v>1001.38</v>
      </c>
      <c r="X640" s="49">
        <v>980</v>
      </c>
      <c r="Y640" s="49">
        <v>677.32</v>
      </c>
      <c r="Z640" s="49">
        <v>1280.95</v>
      </c>
      <c r="AA640" s="49">
        <v>647.17999999999995</v>
      </c>
      <c r="AB640" s="49">
        <v>1268.69</v>
      </c>
      <c r="AC640" s="49">
        <v>1572.25</v>
      </c>
      <c r="AD640" s="49">
        <v>256.23655245832998</v>
      </c>
      <c r="AE640" s="49">
        <v>320.8492</v>
      </c>
      <c r="AF640" s="49">
        <v>278.16185148541001</v>
      </c>
      <c r="AG640" s="49">
        <v>563.25</v>
      </c>
      <c r="AH640" s="49">
        <v>543.75</v>
      </c>
      <c r="AI640" s="49">
        <v>512</v>
      </c>
      <c r="AJ640" s="49">
        <v>455.17750000000001</v>
      </c>
      <c r="AK640" s="49">
        <v>343.5533145</v>
      </c>
      <c r="AL640" s="49">
        <v>353.42092377236997</v>
      </c>
      <c r="AM640" s="49">
        <v>1.1118808410200001</v>
      </c>
      <c r="AN640" s="49">
        <v>0.96452125</v>
      </c>
      <c r="AO640" s="49">
        <v>1.000894425</v>
      </c>
      <c r="AP640" s="49">
        <v>4.0622328120000004</v>
      </c>
      <c r="AQ640" s="49">
        <v>2.1086271708300002</v>
      </c>
      <c r="AR640" s="49">
        <v>7.1447000000000003</v>
      </c>
      <c r="AS640" s="49">
        <v>11.367020719999999</v>
      </c>
      <c r="AT640" s="49">
        <v>0.42040517999999999</v>
      </c>
      <c r="AU640" s="49">
        <v>0.57904924462999996</v>
      </c>
      <c r="AV640" s="49">
        <v>0.44065712494999998</v>
      </c>
      <c r="AW640" s="49">
        <v>4191.4666666666699</v>
      </c>
      <c r="AX640" s="49">
        <v>447.36455000000001</v>
      </c>
      <c r="AY640" s="49">
        <v>353.34306287826001</v>
      </c>
      <c r="AZ640" s="49">
        <v>768.45024220779999</v>
      </c>
      <c r="BA640" s="49">
        <v>878.19664999999998</v>
      </c>
      <c r="BB640" s="49">
        <v>608.08291845994995</v>
      </c>
      <c r="BC640" s="49">
        <v>1.8551877299999999</v>
      </c>
      <c r="BD640" s="49">
        <v>2.76275</v>
      </c>
      <c r="BE640" s="49">
        <v>3.0384500000000001</v>
      </c>
      <c r="BF640" s="49">
        <v>182.5</v>
      </c>
      <c r="BG640" s="49">
        <v>527.375</v>
      </c>
      <c r="BH640" s="49">
        <v>485</v>
      </c>
      <c r="BI640" s="49">
        <v>384.375</v>
      </c>
      <c r="BJ640" s="49">
        <v>477.5</v>
      </c>
      <c r="BK640" s="49">
        <v>2064.12</v>
      </c>
      <c r="BL640" s="49">
        <v>99.47</v>
      </c>
      <c r="BM640" s="49">
        <v>8087.74</v>
      </c>
      <c r="BN640" s="49">
        <v>2177.67</v>
      </c>
      <c r="BO640" s="49">
        <v>20771.259999999998</v>
      </c>
      <c r="BP640" s="49">
        <v>17287.96</v>
      </c>
      <c r="BQ640" s="49">
        <v>2009.85</v>
      </c>
      <c r="BR640" s="49">
        <v>1744.81</v>
      </c>
      <c r="BS640" s="49">
        <v>1623.65</v>
      </c>
      <c r="BT640" s="49">
        <v>33.608499999999999</v>
      </c>
      <c r="BU640" s="41"/>
      <c r="BV640" s="41"/>
      <c r="BW640" s="41"/>
      <c r="BX640" s="41"/>
      <c r="BY640" s="41"/>
      <c r="BZ640" s="41"/>
      <c r="CA640" s="41"/>
      <c r="CB640" s="41"/>
      <c r="CC640" s="41"/>
      <c r="CD640" s="41"/>
      <c r="CE640" s="41"/>
      <c r="CF640" s="41"/>
      <c r="CG640" s="41"/>
      <c r="CH640" s="41"/>
      <c r="CI640" s="41"/>
      <c r="CJ640" s="41"/>
      <c r="CK640" s="41"/>
    </row>
    <row r="641" spans="1:89">
      <c r="A641" s="41" t="s">
        <v>770</v>
      </c>
      <c r="B641" s="51">
        <v>103.40786561265</v>
      </c>
      <c r="C641" s="51">
        <v>111.97347826087</v>
      </c>
      <c r="D641" s="51">
        <v>108.73272727273</v>
      </c>
      <c r="E641" s="51">
        <v>89.517391304349999</v>
      </c>
      <c r="F641" s="51">
        <v>81.849999999999994</v>
      </c>
      <c r="G641" s="51">
        <v>82.8</v>
      </c>
      <c r="H641" s="51">
        <v>3.3174000000000001</v>
      </c>
      <c r="I641" s="51">
        <v>11.58</v>
      </c>
      <c r="J641" s="51">
        <v>15.3</v>
      </c>
      <c r="K641" s="51">
        <v>105.70108533749</v>
      </c>
      <c r="L641" s="51">
        <v>2.4635400000000001</v>
      </c>
      <c r="M641" s="51">
        <v>3.8210473839999999</v>
      </c>
      <c r="N641" s="51">
        <v>2.3031665139999999</v>
      </c>
      <c r="O641" s="51">
        <v>3.00924948795</v>
      </c>
      <c r="P641" s="51">
        <v>3.1589819346299999</v>
      </c>
      <c r="Q641" s="51">
        <v>2.9887665292299999</v>
      </c>
      <c r="R641" s="51">
        <v>2.88</v>
      </c>
      <c r="S641" s="51">
        <v>898</v>
      </c>
      <c r="T641" s="51">
        <v>2400</v>
      </c>
      <c r="U641" s="51">
        <v>1359.81</v>
      </c>
      <c r="V641" s="51">
        <v>2469.1799999999998</v>
      </c>
      <c r="W641" s="51">
        <v>886</v>
      </c>
      <c r="X641" s="51">
        <v>863.04</v>
      </c>
      <c r="Y641" s="51">
        <v>625.76</v>
      </c>
      <c r="Z641" s="51">
        <v>1177.95</v>
      </c>
      <c r="AA641" s="51">
        <v>595.41</v>
      </c>
      <c r="AB641" s="51">
        <v>1214.2</v>
      </c>
      <c r="AC641" s="51">
        <v>1302.6099999999999</v>
      </c>
      <c r="AD641" s="51">
        <v>252.91125062500001</v>
      </c>
      <c r="AE641" s="51">
        <v>321.24288000000001</v>
      </c>
      <c r="AF641" s="51">
        <v>283.07320800000002</v>
      </c>
      <c r="AG641" s="51">
        <v>558.25</v>
      </c>
      <c r="AH641" s="51">
        <v>532.5</v>
      </c>
      <c r="AI641" s="51">
        <v>520.25</v>
      </c>
      <c r="AJ641" s="51">
        <v>453.74400000000003</v>
      </c>
      <c r="AK641" s="51">
        <v>340.24638420000002</v>
      </c>
      <c r="AL641" s="51">
        <v>358.19566699500001</v>
      </c>
      <c r="AM641" s="51">
        <v>1.11732749176</v>
      </c>
      <c r="AN641" s="51">
        <v>0.95625392499999995</v>
      </c>
      <c r="AO641" s="51">
        <v>0.98084851102000004</v>
      </c>
      <c r="AP641" s="51">
        <v>4.0736968359999999</v>
      </c>
      <c r="AQ641" s="51">
        <v>2.1128920607100001</v>
      </c>
      <c r="AR641" s="51">
        <v>7.1098999999999997</v>
      </c>
      <c r="AS641" s="51">
        <v>10.92609672</v>
      </c>
      <c r="AT641" s="51">
        <v>0.42354051096000001</v>
      </c>
      <c r="AU641" s="51">
        <v>0.52540103000000005</v>
      </c>
      <c r="AV641" s="51">
        <v>0.44778707791</v>
      </c>
      <c r="AW641" s="51">
        <v>4223.95</v>
      </c>
      <c r="AX641" s="51">
        <v>450.70055000000002</v>
      </c>
      <c r="AY641" s="51">
        <v>350.23312941109998</v>
      </c>
      <c r="AZ641" s="51">
        <v>766.48067624819998</v>
      </c>
      <c r="BA641" s="51">
        <v>873.36249999999995</v>
      </c>
      <c r="BB641" s="51">
        <v>610.15249444234996</v>
      </c>
      <c r="BC641" s="51">
        <v>1.8066860899999999</v>
      </c>
      <c r="BD641" s="51">
        <v>2.9537727272700001</v>
      </c>
      <c r="BE641" s="51">
        <v>3.2039545454499998</v>
      </c>
      <c r="BF641" s="51">
        <v>182.5</v>
      </c>
      <c r="BG641" s="51">
        <v>533.5</v>
      </c>
      <c r="BH641" s="51">
        <v>474</v>
      </c>
      <c r="BI641" s="51">
        <v>349</v>
      </c>
      <c r="BJ641" s="51">
        <v>477.5</v>
      </c>
      <c r="BK641" s="51">
        <v>1974.3</v>
      </c>
      <c r="BL641" s="51">
        <v>113.95</v>
      </c>
      <c r="BM641" s="51">
        <v>8062.03</v>
      </c>
      <c r="BN641" s="51">
        <v>2141.9699999999998</v>
      </c>
      <c r="BO641" s="51">
        <v>21233.7</v>
      </c>
      <c r="BP641" s="51">
        <v>17168.740000000002</v>
      </c>
      <c r="BQ641" s="51">
        <v>1903.96</v>
      </c>
      <c r="BR641" s="51">
        <v>1746.58</v>
      </c>
      <c r="BS641" s="51">
        <v>1635.83</v>
      </c>
      <c r="BT641" s="51">
        <v>33.187399999999997</v>
      </c>
      <c r="BU641" s="41"/>
      <c r="BV641" s="41"/>
      <c r="BW641" s="41"/>
      <c r="BX641" s="41"/>
      <c r="BY641" s="41"/>
      <c r="BZ641" s="41"/>
      <c r="CA641" s="41"/>
      <c r="CB641" s="41"/>
      <c r="CC641" s="41"/>
      <c r="CD641" s="41"/>
      <c r="CE641" s="41"/>
      <c r="CF641" s="41"/>
      <c r="CG641" s="41"/>
      <c r="CH641" s="41"/>
      <c r="CI641" s="41"/>
      <c r="CJ641" s="41"/>
      <c r="CK641" s="41"/>
    </row>
    <row r="642" spans="1:89">
      <c r="A642" s="48" t="s">
        <v>771</v>
      </c>
      <c r="B642" s="49">
        <v>101.17441558442</v>
      </c>
      <c r="C642" s="49">
        <v>109.71181818182001</v>
      </c>
      <c r="D642" s="49">
        <v>107.13333333333</v>
      </c>
      <c r="E642" s="49">
        <v>86.678095238099999</v>
      </c>
      <c r="F642" s="49">
        <v>85.89</v>
      </c>
      <c r="G642" s="49">
        <v>85.74</v>
      </c>
      <c r="H642" s="49">
        <v>3.5379999999999998</v>
      </c>
      <c r="I642" s="49">
        <v>11.83</v>
      </c>
      <c r="J642" s="49">
        <v>15</v>
      </c>
      <c r="K642" s="49">
        <v>109.3651582862</v>
      </c>
      <c r="L642" s="49">
        <v>2.4781599999999999</v>
      </c>
      <c r="M642" s="49">
        <v>3.5254078419999999</v>
      </c>
      <c r="N642" s="49">
        <v>2.1532523540000001</v>
      </c>
      <c r="O642" s="49">
        <v>3.01698104943</v>
      </c>
      <c r="P642" s="49">
        <v>3.11612345158</v>
      </c>
      <c r="Q642" s="49">
        <v>2.89231969671</v>
      </c>
      <c r="R642" s="49">
        <v>3.0425</v>
      </c>
      <c r="S642" s="49">
        <v>848</v>
      </c>
      <c r="T642" s="49">
        <v>2400</v>
      </c>
      <c r="U642" s="49">
        <v>1339.11</v>
      </c>
      <c r="V642" s="49">
        <v>2469.1799999999998</v>
      </c>
      <c r="W642" s="49">
        <v>863.18</v>
      </c>
      <c r="X642" s="49">
        <v>806.7</v>
      </c>
      <c r="Y642" s="49">
        <v>584.59</v>
      </c>
      <c r="Z642" s="49">
        <v>1137.78</v>
      </c>
      <c r="AA642" s="49">
        <v>567.61</v>
      </c>
      <c r="AB642" s="49">
        <v>1184.6099999999999</v>
      </c>
      <c r="AC642" s="49">
        <v>1285.23</v>
      </c>
      <c r="AD642" s="49">
        <v>252.06614629167001</v>
      </c>
      <c r="AE642" s="49">
        <v>321.63655999999997</v>
      </c>
      <c r="AF642" s="49">
        <v>289.02568200000002</v>
      </c>
      <c r="AG642" s="49">
        <v>559.25</v>
      </c>
      <c r="AH642" s="49">
        <v>530</v>
      </c>
      <c r="AI642" s="49">
        <v>523</v>
      </c>
      <c r="AJ642" s="49">
        <v>448.32249999999999</v>
      </c>
      <c r="AK642" s="49">
        <v>346.49280809999999</v>
      </c>
      <c r="AL642" s="49">
        <v>360.82283940000002</v>
      </c>
      <c r="AM642" s="49">
        <v>1.06778975002</v>
      </c>
      <c r="AN642" s="49">
        <v>0.93351878124999998</v>
      </c>
      <c r="AO642" s="49">
        <v>0.84683615000000001</v>
      </c>
      <c r="AP642" s="49">
        <v>4.293056526</v>
      </c>
      <c r="AQ642" s="49">
        <v>2.1304645999999998</v>
      </c>
      <c r="AR642" s="49">
        <v>7.1595000000000004</v>
      </c>
      <c r="AS642" s="49">
        <v>10.96137064</v>
      </c>
      <c r="AT642" s="49">
        <v>0.41925182945</v>
      </c>
      <c r="AU642" s="49">
        <v>0.49645942762</v>
      </c>
      <c r="AV642" s="49">
        <v>0.42635251161999999</v>
      </c>
      <c r="AW642" s="49">
        <v>4268.7749999999996</v>
      </c>
      <c r="AX642" s="49">
        <v>449.34511363636</v>
      </c>
      <c r="AY642" s="49">
        <v>353.03499444638999</v>
      </c>
      <c r="AZ642" s="49">
        <v>761.32091633885</v>
      </c>
      <c r="BA642" s="49">
        <v>870.04914772727</v>
      </c>
      <c r="BB642" s="49">
        <v>611.51192384026001</v>
      </c>
      <c r="BC642" s="49">
        <v>1.782876194</v>
      </c>
      <c r="BD642" s="49">
        <v>2.8003333333299998</v>
      </c>
      <c r="BE642" s="49">
        <v>2.9741428571399999</v>
      </c>
      <c r="BF642" s="49">
        <v>182.5</v>
      </c>
      <c r="BG642" s="49">
        <v>487.875</v>
      </c>
      <c r="BH642" s="49">
        <v>447.5</v>
      </c>
      <c r="BI642" s="49">
        <v>383.5</v>
      </c>
      <c r="BJ642" s="49">
        <v>477.5</v>
      </c>
      <c r="BK642" s="49">
        <v>1948.82954545455</v>
      </c>
      <c r="BL642" s="49">
        <v>120.35</v>
      </c>
      <c r="BM642" s="49">
        <v>7711.2272727272702</v>
      </c>
      <c r="BN642" s="49">
        <v>2181.9659090909099</v>
      </c>
      <c r="BO642" s="49">
        <v>20713.068181818198</v>
      </c>
      <c r="BP642" s="49">
        <v>16335.3636363636</v>
      </c>
      <c r="BQ642" s="49">
        <v>1912.39772727273</v>
      </c>
      <c r="BR642" s="49">
        <v>1721.64</v>
      </c>
      <c r="BS642" s="49">
        <v>1576.36</v>
      </c>
      <c r="BT642" s="49">
        <v>32.773200000000003</v>
      </c>
      <c r="BU642" s="41"/>
      <c r="BV642" s="41"/>
      <c r="BW642" s="41"/>
      <c r="BX642" s="41"/>
      <c r="BY642" s="41"/>
      <c r="BZ642" s="41"/>
      <c r="CA642" s="41"/>
      <c r="CB642" s="41"/>
      <c r="CC642" s="41"/>
      <c r="CD642" s="41"/>
      <c r="CE642" s="41"/>
      <c r="CF642" s="41"/>
      <c r="CG642" s="41"/>
      <c r="CH642" s="41"/>
      <c r="CI642" s="41"/>
      <c r="CJ642" s="41"/>
      <c r="CK642" s="41"/>
    </row>
    <row r="643" spans="1:89">
      <c r="A643" s="41" t="s">
        <v>772</v>
      </c>
      <c r="B643" s="51">
        <v>101.19366666667</v>
      </c>
      <c r="C643" s="51">
        <v>109.6765</v>
      </c>
      <c r="D643" s="51">
        <v>105.68899999999999</v>
      </c>
      <c r="E643" s="51">
        <v>88.215500000000006</v>
      </c>
      <c r="F643" s="51">
        <v>92.88</v>
      </c>
      <c r="G643" s="51">
        <v>88.84</v>
      </c>
      <c r="H643" s="51">
        <v>3.3395000000000001</v>
      </c>
      <c r="I643" s="51">
        <v>11.79</v>
      </c>
      <c r="J643" s="51">
        <v>15.41</v>
      </c>
      <c r="K643" s="51">
        <v>107.04231243184</v>
      </c>
      <c r="L643" s="51">
        <v>2.4103400000000001</v>
      </c>
      <c r="M643" s="51">
        <v>3.3673365880000001</v>
      </c>
      <c r="N643" s="51">
        <v>2.1294424580000002</v>
      </c>
      <c r="O643" s="51">
        <v>3.0830124090500002</v>
      </c>
      <c r="P643" s="51">
        <v>3.3101364160100002</v>
      </c>
      <c r="Q643" s="51">
        <v>2.8622341444699999</v>
      </c>
      <c r="R643" s="51">
        <v>3.07666666667</v>
      </c>
      <c r="S643" s="51">
        <v>785</v>
      </c>
      <c r="T643" s="51">
        <v>2400</v>
      </c>
      <c r="U643" s="51">
        <v>1303.0899999999999</v>
      </c>
      <c r="V643" s="51">
        <v>2502.25</v>
      </c>
      <c r="W643" s="51">
        <v>843.55</v>
      </c>
      <c r="X643" s="51">
        <v>753.53</v>
      </c>
      <c r="Y643" s="51">
        <v>591.29</v>
      </c>
      <c r="Z643" s="51">
        <v>1158.6400000000001</v>
      </c>
      <c r="AA643" s="51">
        <v>577.22</v>
      </c>
      <c r="AB643" s="51">
        <v>1188.18</v>
      </c>
      <c r="AC643" s="51">
        <v>1271.9000000000001</v>
      </c>
      <c r="AD643" s="51">
        <v>242.94453104166999</v>
      </c>
      <c r="AE643" s="51">
        <v>308.64512000000002</v>
      </c>
      <c r="AF643" s="51">
        <v>283.95505600000001</v>
      </c>
      <c r="AG643" s="51">
        <v>557.79999999999995</v>
      </c>
      <c r="AH643" s="51">
        <v>530</v>
      </c>
      <c r="AI643" s="51">
        <v>520.4</v>
      </c>
      <c r="AJ643" s="51">
        <v>413.75</v>
      </c>
      <c r="AK643" s="51">
        <v>325.18147950000002</v>
      </c>
      <c r="AL643" s="51">
        <v>347.96255489999999</v>
      </c>
      <c r="AM643" s="51">
        <v>1.1233965702499999</v>
      </c>
      <c r="AN643" s="51">
        <v>0.94385293749999999</v>
      </c>
      <c r="AO643" s="51">
        <v>0.75808699999999996</v>
      </c>
      <c r="AP643" s="51">
        <v>4.3746274659999997</v>
      </c>
      <c r="AQ643" s="51">
        <v>2.15271957083</v>
      </c>
      <c r="AR643" s="51">
        <v>7.2201000000000004</v>
      </c>
      <c r="AS643" s="51">
        <v>11.071601640000001</v>
      </c>
      <c r="AT643" s="51">
        <v>0.42867686705000002</v>
      </c>
      <c r="AU643" s="51">
        <v>0.49202709160000002</v>
      </c>
      <c r="AV643" s="51">
        <v>0.42571212200000003</v>
      </c>
      <c r="AW643" s="51">
        <v>4341.3083333333298</v>
      </c>
      <c r="AX643" s="51">
        <v>459.44666666667001</v>
      </c>
      <c r="AY643" s="51">
        <v>354.80016941861999</v>
      </c>
      <c r="AZ643" s="51">
        <v>769.97357305721005</v>
      </c>
      <c r="BA643" s="51">
        <v>879.93753571428999</v>
      </c>
      <c r="BB643" s="51">
        <v>612.85907467239997</v>
      </c>
      <c r="BC643" s="51">
        <v>1.8379916940000001</v>
      </c>
      <c r="BD643" s="51">
        <v>2.8960499999999998</v>
      </c>
      <c r="BE643" s="51">
        <v>3.1097000000000001</v>
      </c>
      <c r="BF643" s="51">
        <v>182.5</v>
      </c>
      <c r="BG643" s="51">
        <v>472.83333333333002</v>
      </c>
      <c r="BH643" s="51">
        <v>435</v>
      </c>
      <c r="BI643" s="51">
        <v>375.83333333333002</v>
      </c>
      <c r="BJ643" s="51">
        <v>477.5</v>
      </c>
      <c r="BK643" s="51">
        <v>2086.7631578947398</v>
      </c>
      <c r="BL643" s="51">
        <v>128.51111111111001</v>
      </c>
      <c r="BM643" s="51">
        <v>7966.4868421052597</v>
      </c>
      <c r="BN643" s="51">
        <v>2279.8026315789498</v>
      </c>
      <c r="BO643" s="51">
        <v>22880.8947368421</v>
      </c>
      <c r="BP643" s="51">
        <v>17448.5</v>
      </c>
      <c r="BQ643" s="51">
        <v>2040.42894736842</v>
      </c>
      <c r="BR643" s="51">
        <v>1684.7619999999999</v>
      </c>
      <c r="BS643" s="51">
        <v>1582.25</v>
      </c>
      <c r="BT643" s="51">
        <v>31.874500000000001</v>
      </c>
      <c r="BU643" s="41"/>
      <c r="BV643" s="41"/>
      <c r="BW643" s="41"/>
      <c r="BX643" s="41"/>
      <c r="BY643" s="41"/>
      <c r="BZ643" s="41"/>
      <c r="CA643" s="41"/>
      <c r="CB643" s="41"/>
      <c r="CC643" s="41"/>
      <c r="CD643" s="41"/>
      <c r="CE643" s="41"/>
      <c r="CF643" s="41"/>
      <c r="CG643" s="41"/>
      <c r="CH643" s="41"/>
      <c r="CI643" s="41"/>
      <c r="CJ643" s="41"/>
      <c r="CK643" s="41"/>
    </row>
    <row r="644" spans="1:89">
      <c r="A644" s="48" t="s">
        <v>773</v>
      </c>
      <c r="B644" s="49">
        <v>105.10021645022</v>
      </c>
      <c r="C644" s="49">
        <v>112.97363636364</v>
      </c>
      <c r="D644" s="49">
        <v>107.58272727273</v>
      </c>
      <c r="E644" s="49">
        <v>94.744285714290001</v>
      </c>
      <c r="F644" s="49">
        <v>92.77</v>
      </c>
      <c r="G644" s="49">
        <v>86.13</v>
      </c>
      <c r="H644" s="49">
        <v>3.3279999999999998</v>
      </c>
      <c r="I644" s="49">
        <v>11.87</v>
      </c>
      <c r="J644" s="49">
        <v>15.89</v>
      </c>
      <c r="K644" s="49">
        <v>107.60817859655</v>
      </c>
      <c r="L644" s="49">
        <v>2.2754400000000001</v>
      </c>
      <c r="M644" s="49">
        <v>3.4676467980000001</v>
      </c>
      <c r="N644" s="49">
        <v>2.1977856779999998</v>
      </c>
      <c r="O644" s="49">
        <v>3.0033695177299999</v>
      </c>
      <c r="P644" s="49">
        <v>3.33770742452</v>
      </c>
      <c r="Q644" s="49">
        <v>2.6204011286800002</v>
      </c>
      <c r="R644" s="49">
        <v>3.052</v>
      </c>
      <c r="S644" s="49">
        <v>828.64</v>
      </c>
      <c r="T644" s="49">
        <v>2400</v>
      </c>
      <c r="U644" s="49">
        <v>1926.47</v>
      </c>
      <c r="V644" s="49">
        <v>2270.7600000000002</v>
      </c>
      <c r="W644" s="49">
        <v>884.52</v>
      </c>
      <c r="X644" s="49">
        <v>801.36</v>
      </c>
      <c r="Y644" s="49">
        <v>595.29999999999995</v>
      </c>
      <c r="Z644" s="49">
        <v>1192.3499999999999</v>
      </c>
      <c r="AA644" s="49">
        <v>526.20000000000005</v>
      </c>
      <c r="AB644" s="49">
        <v>1210.92</v>
      </c>
      <c r="AC644" s="49">
        <v>1298.48</v>
      </c>
      <c r="AD644" s="49">
        <v>233.32228333333001</v>
      </c>
      <c r="AE644" s="49">
        <v>303.1336</v>
      </c>
      <c r="AF644" s="49">
        <v>291.00984</v>
      </c>
      <c r="AG644" s="49">
        <v>564.20000000000005</v>
      </c>
      <c r="AH644" s="49">
        <v>540</v>
      </c>
      <c r="AI644" s="49">
        <v>530</v>
      </c>
      <c r="AJ644" s="49">
        <v>401.245</v>
      </c>
      <c r="AK644" s="49">
        <v>309.01426470000001</v>
      </c>
      <c r="AL644" s="49">
        <v>335.46970709999999</v>
      </c>
      <c r="AM644" s="49">
        <v>1.0955721301300001</v>
      </c>
      <c r="AN644" s="49">
        <v>0.92869617500000001</v>
      </c>
      <c r="AO644" s="49">
        <v>0.75002570307000005</v>
      </c>
      <c r="AP644" s="49">
        <v>4.3596360499999998</v>
      </c>
      <c r="AQ644" s="49">
        <v>2.2166451999999999</v>
      </c>
      <c r="AR644" s="49">
        <v>7.0197000000000003</v>
      </c>
      <c r="AS644" s="49">
        <v>11.243562000000001</v>
      </c>
      <c r="AT644" s="49">
        <v>0.43439011199999999</v>
      </c>
      <c r="AU644" s="49">
        <v>0.47559952313999998</v>
      </c>
      <c r="AV644" s="49">
        <v>0.41610198300000001</v>
      </c>
      <c r="AW644" s="49">
        <v>4416.9333333333298</v>
      </c>
      <c r="AX644" s="49">
        <v>465.57</v>
      </c>
      <c r="AY644" s="49">
        <v>334.12429369001001</v>
      </c>
      <c r="AZ644" s="49">
        <v>761.79738470915004</v>
      </c>
      <c r="BA644" s="49">
        <v>870.59366304347998</v>
      </c>
      <c r="BB644" s="49">
        <v>612.85907467239997</v>
      </c>
      <c r="BC644" s="49">
        <v>1.8851705620000001</v>
      </c>
      <c r="BD644" s="49">
        <v>3.0432000000000001</v>
      </c>
      <c r="BE644" s="49">
        <v>3.3035999999999999</v>
      </c>
      <c r="BF644" s="49">
        <v>182.5</v>
      </c>
      <c r="BG644" s="49">
        <v>462.25</v>
      </c>
      <c r="BH644" s="49">
        <v>428</v>
      </c>
      <c r="BI644" s="49">
        <v>380</v>
      </c>
      <c r="BJ644" s="49">
        <v>395</v>
      </c>
      <c r="BK644" s="49">
        <v>2037.75</v>
      </c>
      <c r="BL644" s="49">
        <v>150.49090909091001</v>
      </c>
      <c r="BM644" s="49">
        <v>8047.36</v>
      </c>
      <c r="BN644" s="49">
        <v>2333.6799999999998</v>
      </c>
      <c r="BO644" s="49">
        <v>24545.9</v>
      </c>
      <c r="BP644" s="49">
        <v>17472.5</v>
      </c>
      <c r="BQ644" s="49">
        <v>2032.2</v>
      </c>
      <c r="BR644" s="49">
        <v>1671.8478260869599</v>
      </c>
      <c r="BS644" s="49">
        <v>1638.8913043478301</v>
      </c>
      <c r="BT644" s="49">
        <v>31.061739130429999</v>
      </c>
      <c r="BU644" s="41"/>
      <c r="BV644" s="41"/>
      <c r="BW644" s="41"/>
      <c r="BX644" s="41"/>
      <c r="BY644" s="41"/>
      <c r="BZ644" s="41"/>
      <c r="CA644" s="41"/>
      <c r="CB644" s="41"/>
      <c r="CC644" s="41"/>
      <c r="CD644" s="41"/>
      <c r="CE644" s="41"/>
      <c r="CF644" s="41"/>
      <c r="CG644" s="41"/>
      <c r="CH644" s="41"/>
      <c r="CI644" s="41"/>
      <c r="CJ644" s="41"/>
      <c r="CK644" s="41"/>
    </row>
    <row r="645" spans="1:89">
      <c r="A645" s="41" t="s">
        <v>774</v>
      </c>
      <c r="B645" s="51">
        <v>107.63743567252</v>
      </c>
      <c r="C645" s="51">
        <v>116.51949999999999</v>
      </c>
      <c r="D645" s="51">
        <v>111.09333333332999</v>
      </c>
      <c r="E645" s="51">
        <v>95.29947368421</v>
      </c>
      <c r="F645" s="51">
        <v>94.94</v>
      </c>
      <c r="G645" s="51">
        <v>85.13</v>
      </c>
      <c r="H645" s="51">
        <v>3.3292000000000002</v>
      </c>
      <c r="I645" s="51">
        <v>11.77</v>
      </c>
      <c r="J645" s="51">
        <v>16.47</v>
      </c>
      <c r="K645" s="51">
        <v>107.54029997678001</v>
      </c>
      <c r="L645" s="51">
        <v>2.1977000000000002</v>
      </c>
      <c r="M645" s="51">
        <v>3.2950250520000002</v>
      </c>
      <c r="N645" s="51">
        <v>2.2934661859999999</v>
      </c>
      <c r="O645" s="51">
        <v>2.9251479794600002</v>
      </c>
      <c r="P645" s="51">
        <v>3.3316051451400002</v>
      </c>
      <c r="Q645" s="51">
        <v>2.5313387932500002</v>
      </c>
      <c r="R645" s="51">
        <v>2.9125000000000001</v>
      </c>
      <c r="S645" s="51">
        <v>853.25</v>
      </c>
      <c r="T645" s="51">
        <v>1635</v>
      </c>
      <c r="U645" s="51">
        <v>1901.12</v>
      </c>
      <c r="V645" s="51">
        <v>1821.71</v>
      </c>
      <c r="W645" s="51">
        <v>919.58</v>
      </c>
      <c r="X645" s="51">
        <v>836</v>
      </c>
      <c r="Y645" s="51">
        <v>610.73</v>
      </c>
      <c r="Z645" s="51">
        <v>1173.48</v>
      </c>
      <c r="AA645" s="51">
        <v>518.9</v>
      </c>
      <c r="AB645" s="51">
        <v>1216.99</v>
      </c>
      <c r="AC645" s="51">
        <v>1285.75</v>
      </c>
      <c r="AD645" s="51">
        <v>236.99664999999999</v>
      </c>
      <c r="AE645" s="51">
        <v>302.73991999999998</v>
      </c>
      <c r="AF645" s="51">
        <v>288.14383400000003</v>
      </c>
      <c r="AG645" s="51">
        <v>563</v>
      </c>
      <c r="AH645" s="51">
        <v>538.75</v>
      </c>
      <c r="AI645" s="51">
        <v>535</v>
      </c>
      <c r="AJ645" s="51">
        <v>401.64499999999998</v>
      </c>
      <c r="AK645" s="51">
        <v>297.99116370000002</v>
      </c>
      <c r="AL645" s="51">
        <v>318.9350556</v>
      </c>
      <c r="AM645" s="51">
        <v>1.11242362363</v>
      </c>
      <c r="AN645" s="51">
        <v>0.92318462499999998</v>
      </c>
      <c r="AO645" s="51">
        <v>0.81957741644000004</v>
      </c>
      <c r="AP645" s="51">
        <v>4.3547858860000002</v>
      </c>
      <c r="AQ645" s="51">
        <v>2.18918766</v>
      </c>
      <c r="AR645" s="51">
        <v>6.9996999999999998</v>
      </c>
      <c r="AS645" s="51">
        <v>11.574255000000001</v>
      </c>
      <c r="AT645" s="51">
        <v>0.43559675120000002</v>
      </c>
      <c r="AU645" s="51">
        <v>0.45716470066999998</v>
      </c>
      <c r="AV645" s="51">
        <v>0.40283306555999998</v>
      </c>
      <c r="AW645" s="51">
        <v>4390.5916666666699</v>
      </c>
      <c r="AX645" s="51">
        <v>466.86324999999999</v>
      </c>
      <c r="AY645" s="51">
        <v>319.68583597454</v>
      </c>
      <c r="AZ645" s="51">
        <v>737.55118592758004</v>
      </c>
      <c r="BA645" s="51">
        <v>842.88473750000003</v>
      </c>
      <c r="BB645" s="51">
        <v>586.37569707217006</v>
      </c>
      <c r="BC645" s="51">
        <v>1.9777646019999999</v>
      </c>
      <c r="BD645" s="51">
        <v>3.0442999999999998</v>
      </c>
      <c r="BE645" s="51">
        <v>3.1859000000000002</v>
      </c>
      <c r="BF645" s="51">
        <v>182.5</v>
      </c>
      <c r="BG645" s="51">
        <v>464.5</v>
      </c>
      <c r="BH645" s="51">
        <v>419</v>
      </c>
      <c r="BI645" s="51">
        <v>415.625</v>
      </c>
      <c r="BJ645" s="51">
        <v>395</v>
      </c>
      <c r="BK645" s="51">
        <v>2053.5949999999998</v>
      </c>
      <c r="BL645" s="51">
        <v>154.63888888888999</v>
      </c>
      <c r="BM645" s="51">
        <v>8060.9250000000002</v>
      </c>
      <c r="BN645" s="51">
        <v>2365.7874999999999</v>
      </c>
      <c r="BO645" s="51">
        <v>24211.737499999999</v>
      </c>
      <c r="BP645" s="51">
        <v>17690.099999999999</v>
      </c>
      <c r="BQ645" s="51">
        <v>2128.6875</v>
      </c>
      <c r="BR645" s="51">
        <v>1627.57</v>
      </c>
      <c r="BS645" s="51">
        <v>1674.55</v>
      </c>
      <c r="BT645" s="51">
        <v>30.328800000000001</v>
      </c>
      <c r="BU645" s="41"/>
      <c r="BV645" s="41"/>
      <c r="BW645" s="41"/>
      <c r="BX645" s="41"/>
      <c r="BY645" s="41"/>
      <c r="BZ645" s="41"/>
      <c r="CA645" s="41"/>
      <c r="CB645" s="41"/>
      <c r="CC645" s="41"/>
      <c r="CD645" s="41"/>
      <c r="CE645" s="41"/>
      <c r="CF645" s="41"/>
      <c r="CG645" s="41"/>
      <c r="CH645" s="41"/>
      <c r="CI645" s="41"/>
      <c r="CJ645" s="41"/>
      <c r="CK645" s="41"/>
    </row>
    <row r="646" spans="1:89">
      <c r="A646" s="48" t="s">
        <v>775</v>
      </c>
      <c r="B646" s="49">
        <v>102.52249999999999</v>
      </c>
      <c r="C646" s="49">
        <v>109.24</v>
      </c>
      <c r="D646" s="49">
        <v>105.41500000000001</v>
      </c>
      <c r="E646" s="49">
        <v>92.912499999999994</v>
      </c>
      <c r="F646" s="49">
        <v>90.98</v>
      </c>
      <c r="G646" s="49">
        <v>82.77</v>
      </c>
      <c r="H646" s="49">
        <v>3.8069000000000002</v>
      </c>
      <c r="I646" s="49">
        <v>11.87</v>
      </c>
      <c r="J646" s="49">
        <v>16.27</v>
      </c>
      <c r="K646" s="49">
        <v>113.68108766747</v>
      </c>
      <c r="L646" s="49">
        <v>2.1533600000000002</v>
      </c>
      <c r="M646" s="49">
        <v>3.3020798359999999</v>
      </c>
      <c r="N646" s="49">
        <v>2.3426292119999998</v>
      </c>
      <c r="O646" s="49">
        <v>2.8962722107199999</v>
      </c>
      <c r="P646" s="49">
        <v>3.4825023334599998</v>
      </c>
      <c r="Q646" s="49">
        <v>2.5513142987099999</v>
      </c>
      <c r="R646" s="49">
        <v>2.6549999999999998</v>
      </c>
      <c r="S646" s="49">
        <v>818.75</v>
      </c>
      <c r="T646" s="49">
        <v>1500</v>
      </c>
      <c r="U646" s="49">
        <v>1801.47</v>
      </c>
      <c r="V646" s="49">
        <v>1763.7</v>
      </c>
      <c r="W646" s="49">
        <v>891.5</v>
      </c>
      <c r="X646" s="49">
        <v>832.75</v>
      </c>
      <c r="Y646" s="49">
        <v>584.70000000000005</v>
      </c>
      <c r="Z646" s="49">
        <v>1117.43</v>
      </c>
      <c r="AA646" s="49">
        <v>513.95000000000005</v>
      </c>
      <c r="AB646" s="49">
        <v>1161.6600000000001</v>
      </c>
      <c r="AC646" s="49">
        <v>1249.76</v>
      </c>
      <c r="AD646" s="49">
        <v>239.75242499999999</v>
      </c>
      <c r="AE646" s="49">
        <v>309.03879999999998</v>
      </c>
      <c r="AF646" s="49">
        <v>296.74185199999999</v>
      </c>
      <c r="AG646" s="49">
        <v>559</v>
      </c>
      <c r="AH646" s="49">
        <v>535</v>
      </c>
      <c r="AI646" s="49">
        <v>532.5</v>
      </c>
      <c r="AJ646" s="49">
        <v>401.61</v>
      </c>
      <c r="AK646" s="49">
        <v>285.86575260000001</v>
      </c>
      <c r="AL646" s="49">
        <v>309.74913809999998</v>
      </c>
      <c r="AM646" s="49">
        <v>1.07918368383</v>
      </c>
      <c r="AN646" s="49">
        <v>0.93696349999999995</v>
      </c>
      <c r="AO646" s="49">
        <v>0.90809637424</v>
      </c>
      <c r="AP646" s="49">
        <v>4.29239514</v>
      </c>
      <c r="AQ646" s="49">
        <v>2.30933945</v>
      </c>
      <c r="AR646" s="49">
        <v>6.9996999999999998</v>
      </c>
      <c r="AS646" s="49">
        <v>11.904947999999999</v>
      </c>
      <c r="AT646" s="49">
        <v>0.42310513143</v>
      </c>
      <c r="AU646" s="49">
        <v>0.45945441125999997</v>
      </c>
      <c r="AV646" s="49">
        <v>0.40773866736999997</v>
      </c>
      <c r="AW646" s="49">
        <v>4377.3583333333299</v>
      </c>
      <c r="AX646" s="49">
        <v>436.19416666667001</v>
      </c>
      <c r="AY646" s="49">
        <v>313.7840182914</v>
      </c>
      <c r="AZ646" s="49">
        <v>722.68881147866</v>
      </c>
      <c r="BA646" s="49">
        <v>822.00403571429001</v>
      </c>
      <c r="BB646" s="49">
        <v>575.55043655540999</v>
      </c>
      <c r="BC646" s="49">
        <v>2.0822635900000002</v>
      </c>
      <c r="BD646" s="49">
        <v>2.8001999999999998</v>
      </c>
      <c r="BE646" s="49">
        <v>2.9773000000000001</v>
      </c>
      <c r="BF646" s="49">
        <v>160</v>
      </c>
      <c r="BG646" s="49">
        <v>467.625</v>
      </c>
      <c r="BH646" s="49">
        <v>415</v>
      </c>
      <c r="BI646" s="49">
        <v>395.625</v>
      </c>
      <c r="BJ646" s="49">
        <v>395</v>
      </c>
      <c r="BK646" s="49">
        <v>1909.56666666667</v>
      </c>
      <c r="BL646" s="49">
        <v>139.87</v>
      </c>
      <c r="BM646" s="49">
        <v>7645.5833333333303</v>
      </c>
      <c r="BN646" s="49">
        <v>2169.4166666666702</v>
      </c>
      <c r="BO646" s="49">
        <v>23296.523809523798</v>
      </c>
      <c r="BP646" s="49">
        <v>16724.928571428602</v>
      </c>
      <c r="BQ646" s="49">
        <v>1926.07142857143</v>
      </c>
      <c r="BR646" s="49">
        <v>1593.08619047619</v>
      </c>
      <c r="BS646" s="49">
        <v>1582.9523809523801</v>
      </c>
      <c r="BT646" s="49">
        <v>28.790952380949999</v>
      </c>
      <c r="BU646" s="41"/>
      <c r="BV646" s="41"/>
      <c r="BW646" s="41"/>
      <c r="BX646" s="41"/>
      <c r="BY646" s="41"/>
      <c r="BZ646" s="41"/>
      <c r="CA646" s="41"/>
      <c r="CB646" s="41"/>
      <c r="CC646" s="41"/>
      <c r="CD646" s="41"/>
      <c r="CE646" s="41"/>
      <c r="CF646" s="41"/>
      <c r="CG646" s="41"/>
      <c r="CH646" s="41"/>
      <c r="CI646" s="41"/>
      <c r="CJ646" s="41"/>
      <c r="CK646" s="41"/>
    </row>
    <row r="647" spans="1:89">
      <c r="A647" s="41" t="s">
        <v>776</v>
      </c>
      <c r="B647" s="51">
        <v>98.851969696970002</v>
      </c>
      <c r="C647" s="51">
        <v>102.87545454546</v>
      </c>
      <c r="D647" s="51">
        <v>101.66136363635999</v>
      </c>
      <c r="E647" s="51">
        <v>92.019090909089996</v>
      </c>
      <c r="F647" s="51">
        <v>87.76</v>
      </c>
      <c r="G647" s="51">
        <v>82.02</v>
      </c>
      <c r="H647" s="51">
        <v>4.1669</v>
      </c>
      <c r="I647" s="51">
        <v>12.88</v>
      </c>
      <c r="J647" s="51">
        <v>16.2</v>
      </c>
      <c r="K647" s="51">
        <v>122.80678946534</v>
      </c>
      <c r="L647" s="51">
        <v>2.2944886363600001</v>
      </c>
      <c r="M647" s="51">
        <v>3.3027412219999999</v>
      </c>
      <c r="N647" s="51">
        <v>2.2416576159999999</v>
      </c>
      <c r="O647" s="51">
        <v>2.8891408436399999</v>
      </c>
      <c r="P647" s="51">
        <v>3.3911991591800001</v>
      </c>
      <c r="Q647" s="51">
        <v>2.9087233717399998</v>
      </c>
      <c r="R647" s="51">
        <v>2.3675000000000002</v>
      </c>
      <c r="S647" s="51">
        <v>791.43</v>
      </c>
      <c r="T647" s="51">
        <v>1500</v>
      </c>
      <c r="U647" s="51">
        <v>1850.72</v>
      </c>
      <c r="V647" s="51">
        <v>1763.7</v>
      </c>
      <c r="W647" s="51">
        <v>874.17</v>
      </c>
      <c r="X647" s="51">
        <v>830.71</v>
      </c>
      <c r="Y647" s="51">
        <v>563.88</v>
      </c>
      <c r="Z647" s="51">
        <v>1094.52</v>
      </c>
      <c r="AA647" s="51">
        <v>495.55</v>
      </c>
      <c r="AB647" s="51">
        <v>1131.82</v>
      </c>
      <c r="AC647" s="51">
        <v>1221.1400000000001</v>
      </c>
      <c r="AD647" s="51">
        <v>229.64791666667</v>
      </c>
      <c r="AE647" s="51">
        <v>279.90647999999999</v>
      </c>
      <c r="AF647" s="51">
        <v>269.184102</v>
      </c>
      <c r="AG647" s="51">
        <v>557</v>
      </c>
      <c r="AH647" s="51">
        <v>535.6</v>
      </c>
      <c r="AI647" s="51">
        <v>530.6</v>
      </c>
      <c r="AJ647" s="51">
        <v>390.75567567567998</v>
      </c>
      <c r="AK647" s="51">
        <v>278.14958189999999</v>
      </c>
      <c r="AL647" s="51">
        <v>308.27939129999999</v>
      </c>
      <c r="AM647" s="51">
        <v>1.1033332364799999</v>
      </c>
      <c r="AN647" s="51">
        <v>0.90251631249999997</v>
      </c>
      <c r="AO647" s="51">
        <v>0.98048854403999997</v>
      </c>
      <c r="AP647" s="51">
        <v>4.2696875539999999</v>
      </c>
      <c r="AQ647" s="51">
        <v>2.2928047999999999</v>
      </c>
      <c r="AR647" s="51">
        <v>6.9996999999999998</v>
      </c>
      <c r="AS647" s="51">
        <v>12.370122820000001</v>
      </c>
      <c r="AT647" s="51">
        <v>0.42536072800000002</v>
      </c>
      <c r="AU647" s="51">
        <v>0.44805895200000001</v>
      </c>
      <c r="AV647" s="51">
        <v>0.39251254899999999</v>
      </c>
      <c r="AW647" s="51">
        <v>4366.8999999999996</v>
      </c>
      <c r="AX647" s="51">
        <v>455.89249999999998</v>
      </c>
      <c r="AY647" s="51">
        <v>304.53375040575997</v>
      </c>
      <c r="AZ647" s="51">
        <v>733.55873132624004</v>
      </c>
      <c r="BA647" s="51">
        <v>834.36775</v>
      </c>
      <c r="BB647" s="51">
        <v>558.58336554642995</v>
      </c>
      <c r="BC647" s="51">
        <v>2.0344233360000001</v>
      </c>
      <c r="BD647" s="51">
        <v>2.4986000000000002</v>
      </c>
      <c r="BE647" s="51">
        <v>2.8668</v>
      </c>
      <c r="BF647" s="51">
        <v>111.5</v>
      </c>
      <c r="BG647" s="51">
        <v>461.125</v>
      </c>
      <c r="BH647" s="51">
        <v>409</v>
      </c>
      <c r="BI647" s="51">
        <v>365.625</v>
      </c>
      <c r="BJ647" s="51">
        <v>395</v>
      </c>
      <c r="BK647" s="51">
        <v>1861.67045454545</v>
      </c>
      <c r="BL647" s="51">
        <v>137.39090909090999</v>
      </c>
      <c r="BM647" s="51">
        <v>7234.2795454545403</v>
      </c>
      <c r="BN647" s="51">
        <v>2027.3863636363601</v>
      </c>
      <c r="BO647" s="51">
        <v>21662.25</v>
      </c>
      <c r="BP647" s="51">
        <v>15672.9545454545</v>
      </c>
      <c r="BQ647" s="51">
        <v>1856.00454545455</v>
      </c>
      <c r="BR647" s="51">
        <v>1487.8572727272699</v>
      </c>
      <c r="BS647" s="51">
        <v>1493.0681818181799</v>
      </c>
      <c r="BT647" s="51">
        <v>25.355</v>
      </c>
      <c r="BU647" s="41"/>
      <c r="BV647" s="41"/>
      <c r="BW647" s="41"/>
      <c r="BX647" s="41"/>
      <c r="BY647" s="41"/>
      <c r="BZ647" s="41"/>
      <c r="CA647" s="41"/>
      <c r="CB647" s="41"/>
      <c r="CC647" s="41"/>
      <c r="CD647" s="41"/>
      <c r="CE647" s="41"/>
      <c r="CF647" s="41"/>
      <c r="CG647" s="41"/>
      <c r="CH647" s="41"/>
      <c r="CI647" s="41"/>
      <c r="CJ647" s="41"/>
      <c r="CK647" s="41"/>
    </row>
    <row r="648" spans="1:89">
      <c r="A648" s="48" t="s">
        <v>777</v>
      </c>
      <c r="B648" s="49">
        <v>99.366633414890003</v>
      </c>
      <c r="C648" s="49">
        <v>103.02695652174</v>
      </c>
      <c r="D648" s="49">
        <v>100.31476190476</v>
      </c>
      <c r="E648" s="49">
        <v>94.758181818180006</v>
      </c>
      <c r="F648" s="49">
        <v>87.71</v>
      </c>
      <c r="G648" s="49">
        <v>81.790000000000006</v>
      </c>
      <c r="H648" s="49">
        <v>4.0403000000000002</v>
      </c>
      <c r="I648" s="49">
        <v>12.29</v>
      </c>
      <c r="J648" s="49">
        <v>16.22</v>
      </c>
      <c r="K648" s="49">
        <v>118.47814461874</v>
      </c>
      <c r="L648" s="49">
        <v>2.3428599999999999</v>
      </c>
      <c r="M648" s="49">
        <v>3.2448939102600001</v>
      </c>
      <c r="N648" s="49">
        <v>2.1864366776500002</v>
      </c>
      <c r="O648" s="49">
        <v>2.9544746952800001</v>
      </c>
      <c r="P648" s="49">
        <v>3.29168896974</v>
      </c>
      <c r="Q648" s="49">
        <v>3.18423511609</v>
      </c>
      <c r="R648" s="49">
        <v>2.3875000000000002</v>
      </c>
      <c r="S648" s="49">
        <v>822.5</v>
      </c>
      <c r="T648" s="49">
        <v>1500</v>
      </c>
      <c r="U648" s="49">
        <v>1823.4</v>
      </c>
      <c r="V648" s="49">
        <v>1780.73</v>
      </c>
      <c r="W648" s="49">
        <v>879.47</v>
      </c>
      <c r="X648" s="49">
        <v>827.5</v>
      </c>
      <c r="Y648" s="49">
        <v>498.01</v>
      </c>
      <c r="Z648" s="49">
        <v>1073.2</v>
      </c>
      <c r="AA648" s="49">
        <v>514.78</v>
      </c>
      <c r="AB648" s="49">
        <v>1116.6600000000001</v>
      </c>
      <c r="AC648" s="49">
        <v>1227.73</v>
      </c>
      <c r="AD648" s="49">
        <v>231.48509999999999</v>
      </c>
      <c r="AE648" s="49">
        <v>295.5375444</v>
      </c>
      <c r="AF648" s="49">
        <v>273.59334200000001</v>
      </c>
      <c r="AG648" s="49">
        <v>543.5</v>
      </c>
      <c r="AH648" s="49">
        <v>508.75</v>
      </c>
      <c r="AI648" s="49">
        <v>510.75</v>
      </c>
      <c r="AJ648" s="49">
        <v>386.84811891892002</v>
      </c>
      <c r="AK648" s="49">
        <v>279.251892</v>
      </c>
      <c r="AL648" s="49">
        <v>319.66992900000002</v>
      </c>
      <c r="AM648" s="49">
        <v>1.0539977015099999</v>
      </c>
      <c r="AN648" s="49">
        <v>0.90940575000000001</v>
      </c>
      <c r="AO648" s="49">
        <v>1.0570108606599999</v>
      </c>
      <c r="AP648" s="49">
        <v>4.1030182819999999</v>
      </c>
      <c r="AQ648" s="49">
        <v>2.3769811999999999</v>
      </c>
      <c r="AR648" s="49">
        <v>6.9946999999999999</v>
      </c>
      <c r="AS648" s="49">
        <v>12.80002372</v>
      </c>
      <c r="AT648" s="49">
        <v>0.42381737704</v>
      </c>
      <c r="AU648" s="49">
        <v>0.43019150900000003</v>
      </c>
      <c r="AV648" s="49">
        <v>0.38851416999999999</v>
      </c>
      <c r="AW648" s="49">
        <v>4342.7166666666699</v>
      </c>
      <c r="AX648" s="49">
        <v>454.23836956522001</v>
      </c>
      <c r="AY648" s="49">
        <v>294.78031103607998</v>
      </c>
      <c r="AZ648" s="49">
        <v>732.53271969897003</v>
      </c>
      <c r="BA648" s="49">
        <v>833.20073913043996</v>
      </c>
      <c r="BB648" s="49">
        <v>540.69336490936996</v>
      </c>
      <c r="BC648" s="49">
        <v>2.043021354</v>
      </c>
      <c r="BD648" s="49">
        <v>2.5129000000000001</v>
      </c>
      <c r="BE648" s="49">
        <v>3.0379999999999998</v>
      </c>
      <c r="BF648" s="49">
        <v>157.5</v>
      </c>
      <c r="BG648" s="49">
        <v>421.25</v>
      </c>
      <c r="BH648" s="49">
        <v>410</v>
      </c>
      <c r="BI648" s="49">
        <v>358.125</v>
      </c>
      <c r="BJ648" s="49">
        <v>395</v>
      </c>
      <c r="BK648" s="49">
        <v>1832.02173913043</v>
      </c>
      <c r="BL648" s="49">
        <v>124.00952380952</v>
      </c>
      <c r="BM648" s="49">
        <v>7249.4130434782601</v>
      </c>
      <c r="BN648" s="49">
        <v>2032.97826086957</v>
      </c>
      <c r="BO648" s="49">
        <v>20775.826086956498</v>
      </c>
      <c r="BP648" s="49">
        <v>14947.956521739099</v>
      </c>
      <c r="BQ648" s="49">
        <v>1831.55434782609</v>
      </c>
      <c r="BR648" s="49">
        <v>1414.02695652174</v>
      </c>
      <c r="BS648" s="49">
        <v>1475.1739130434801</v>
      </c>
      <c r="BT648" s="49">
        <v>23.038260869569999</v>
      </c>
      <c r="BU648" s="41"/>
      <c r="BV648" s="41"/>
      <c r="BW648" s="41"/>
      <c r="BX648" s="41"/>
      <c r="BY648" s="41"/>
      <c r="BZ648" s="41"/>
      <c r="CA648" s="41"/>
      <c r="CB648" s="41"/>
      <c r="CC648" s="41"/>
      <c r="CD648" s="41"/>
      <c r="CE648" s="41"/>
      <c r="CF648" s="41"/>
      <c r="CG648" s="41"/>
      <c r="CH648" s="41"/>
      <c r="CI648" s="41"/>
      <c r="CJ648" s="41"/>
      <c r="CK648" s="41"/>
    </row>
    <row r="649" spans="1:89">
      <c r="A649" s="41" t="s">
        <v>778</v>
      </c>
      <c r="B649" s="51">
        <v>99.742666666670004</v>
      </c>
      <c r="C649" s="51">
        <v>103.11</v>
      </c>
      <c r="D649" s="51">
        <v>100.32850000000001</v>
      </c>
      <c r="E649" s="51">
        <v>95.789500000000004</v>
      </c>
      <c r="F649" s="51">
        <v>82.754319462010002</v>
      </c>
      <c r="G649" s="51">
        <v>77.289426335420004</v>
      </c>
      <c r="H649" s="51">
        <v>3.8254000000000001</v>
      </c>
      <c r="I649" s="51">
        <v>11.92</v>
      </c>
      <c r="J649" s="51">
        <v>16.61</v>
      </c>
      <c r="K649" s="51">
        <v>114.37378667724001</v>
      </c>
      <c r="L649" s="51">
        <v>2.2835800000000002</v>
      </c>
      <c r="M649" s="51">
        <v>3.0480965889</v>
      </c>
      <c r="N649" s="51">
        <v>2.0014752901000001</v>
      </c>
      <c r="O649" s="51">
        <v>2.8352073606200001</v>
      </c>
      <c r="P649" s="51">
        <v>3.1727341935200002</v>
      </c>
      <c r="Q649" s="51">
        <v>3.0253878883500001</v>
      </c>
      <c r="R649" s="51">
        <v>2.3075000000000001</v>
      </c>
      <c r="S649" s="51">
        <v>890.63</v>
      </c>
      <c r="T649" s="51">
        <v>1500</v>
      </c>
      <c r="U649" s="51">
        <v>1785.85</v>
      </c>
      <c r="V649" s="51">
        <v>1807.79</v>
      </c>
      <c r="W649" s="51">
        <v>876.88</v>
      </c>
      <c r="X649" s="51">
        <v>853.5</v>
      </c>
      <c r="Y649" s="51">
        <v>524.66</v>
      </c>
      <c r="Z649" s="51">
        <v>1037.75</v>
      </c>
      <c r="AA649" s="51">
        <v>545.20000000000005</v>
      </c>
      <c r="AB649" s="51">
        <v>1147.3399999999999</v>
      </c>
      <c r="AC649" s="51">
        <v>1245.25</v>
      </c>
      <c r="AD649" s="51">
        <v>229.64791666667</v>
      </c>
      <c r="AE649" s="51">
        <v>298.40944000000002</v>
      </c>
      <c r="AF649" s="51">
        <v>236.77618799999999</v>
      </c>
      <c r="AG649" s="51">
        <v>524.25</v>
      </c>
      <c r="AH649" s="51">
        <v>483.75</v>
      </c>
      <c r="AI649" s="51">
        <v>492</v>
      </c>
      <c r="AJ649" s="51">
        <v>385.93153153153003</v>
      </c>
      <c r="AK649" s="51">
        <v>268.228791</v>
      </c>
      <c r="AL649" s="51">
        <v>313.4235051</v>
      </c>
      <c r="AM649" s="51">
        <v>1.05997061651</v>
      </c>
      <c r="AN649" s="51">
        <v>0.90975022187999999</v>
      </c>
      <c r="AO649" s="51">
        <v>1.1576469735499999</v>
      </c>
      <c r="AP649" s="51">
        <v>3.933923928</v>
      </c>
      <c r="AQ649" s="51">
        <v>2.3986265599999999</v>
      </c>
      <c r="AR649" s="51">
        <v>6.8288000000000002</v>
      </c>
      <c r="AS649" s="51">
        <v>13.71053178</v>
      </c>
      <c r="AT649" s="51">
        <v>0.43108287560000003</v>
      </c>
      <c r="AU649" s="51">
        <v>0.4225925847</v>
      </c>
      <c r="AV649" s="51">
        <v>0.37683569659999999</v>
      </c>
      <c r="AW649" s="51">
        <v>4493.375</v>
      </c>
      <c r="AX649" s="51">
        <v>462.025375</v>
      </c>
      <c r="AY649" s="51">
        <v>306.01237122058001</v>
      </c>
      <c r="AZ649" s="51">
        <v>742.55721787008997</v>
      </c>
      <c r="BA649" s="51">
        <v>844.60284999999999</v>
      </c>
      <c r="BB649" s="51">
        <v>561.29548855416999</v>
      </c>
      <c r="BC649" s="51">
        <v>2.0520602960000001</v>
      </c>
      <c r="BD649" s="51">
        <v>2.3258000000000001</v>
      </c>
      <c r="BE649" s="51">
        <v>2.8102</v>
      </c>
      <c r="BF649" s="51">
        <v>125.625</v>
      </c>
      <c r="BG649" s="51">
        <v>424.125</v>
      </c>
      <c r="BH649" s="51">
        <v>410</v>
      </c>
      <c r="BI649" s="51">
        <v>329.375</v>
      </c>
      <c r="BJ649" s="51">
        <v>395</v>
      </c>
      <c r="BK649" s="51">
        <v>1814.5374999999999</v>
      </c>
      <c r="BL649" s="51">
        <v>114.815</v>
      </c>
      <c r="BM649" s="51">
        <v>7000.2375000000002</v>
      </c>
      <c r="BN649" s="51">
        <v>2099.6875</v>
      </c>
      <c r="BO649" s="51">
        <v>20267.400000000001</v>
      </c>
      <c r="BP649" s="51">
        <v>14280.275</v>
      </c>
      <c r="BQ649" s="51">
        <v>1839.0125</v>
      </c>
      <c r="BR649" s="51">
        <v>1343.35</v>
      </c>
      <c r="BS649" s="51">
        <v>1430.23</v>
      </c>
      <c r="BT649" s="51">
        <v>21.109000000000002</v>
      </c>
      <c r="BU649" s="41"/>
      <c r="BV649" s="41"/>
      <c r="BW649" s="41"/>
      <c r="BX649" s="41"/>
      <c r="BY649" s="41"/>
      <c r="BZ649" s="41"/>
      <c r="CA649" s="41"/>
      <c r="CB649" s="41"/>
      <c r="CC649" s="41"/>
      <c r="CD649" s="41"/>
      <c r="CE649" s="41"/>
      <c r="CF649" s="41"/>
      <c r="CG649" s="41"/>
      <c r="CH649" s="41"/>
      <c r="CI649" s="41"/>
      <c r="CJ649" s="41"/>
      <c r="CK649" s="41"/>
    </row>
    <row r="650" spans="1:89">
      <c r="A650" s="48" t="s">
        <v>779</v>
      </c>
      <c r="B650" s="49">
        <v>105.25790513834001</v>
      </c>
      <c r="C650" s="49">
        <v>107.71608695652</v>
      </c>
      <c r="D650" s="49">
        <v>103.36217391304</v>
      </c>
      <c r="E650" s="49">
        <v>104.69545454546</v>
      </c>
      <c r="F650" s="49">
        <v>77.259210828830007</v>
      </c>
      <c r="G650" s="49">
        <v>72.643286929810003</v>
      </c>
      <c r="H650" s="49">
        <v>3.6227</v>
      </c>
      <c r="I650" s="49">
        <v>11.6</v>
      </c>
      <c r="J650" s="49">
        <v>16.170000000000002</v>
      </c>
      <c r="K650" s="49">
        <v>110.0929564116</v>
      </c>
      <c r="L650" s="49">
        <v>2.3086600000000002</v>
      </c>
      <c r="M650" s="49">
        <v>3.0509161061699999</v>
      </c>
      <c r="N650" s="49">
        <v>2.0989516048699999</v>
      </c>
      <c r="O650" s="49">
        <v>2.83184987414</v>
      </c>
      <c r="P650" s="49">
        <v>3.1733412842400002</v>
      </c>
      <c r="Q650" s="49">
        <v>3.0382083382</v>
      </c>
      <c r="R650" s="49">
        <v>2.2839999999999998</v>
      </c>
      <c r="S650" s="49">
        <v>860.43</v>
      </c>
      <c r="T650" s="49">
        <v>1433.48</v>
      </c>
      <c r="U650" s="49">
        <v>1719.92</v>
      </c>
      <c r="V650" s="49">
        <v>1816.31</v>
      </c>
      <c r="W650" s="49">
        <v>827.09</v>
      </c>
      <c r="X650" s="49">
        <v>835.54</v>
      </c>
      <c r="Y650" s="49">
        <v>511.3</v>
      </c>
      <c r="Z650" s="49">
        <v>990.31</v>
      </c>
      <c r="AA650" s="49">
        <v>569.26</v>
      </c>
      <c r="AB650" s="49">
        <v>1008.78</v>
      </c>
      <c r="AC650" s="49">
        <v>1210.8699999999999</v>
      </c>
      <c r="AD650" s="49">
        <v>214.03185833333001</v>
      </c>
      <c r="AE650" s="49">
        <v>279.51280000000003</v>
      </c>
      <c r="AF650" s="49">
        <v>220.02107599999999</v>
      </c>
      <c r="AG650" s="49">
        <v>509</v>
      </c>
      <c r="AH650" s="49">
        <v>454</v>
      </c>
      <c r="AI650" s="49">
        <v>461.8</v>
      </c>
      <c r="AJ650" s="49">
        <v>387.74058558559</v>
      </c>
      <c r="AK650" s="49">
        <v>260.88005700000002</v>
      </c>
      <c r="AL650" s="49">
        <v>304.60502430000003</v>
      </c>
      <c r="AM650" s="49">
        <v>0.99815795329000001</v>
      </c>
      <c r="AN650" s="49">
        <v>0.92318462499999998</v>
      </c>
      <c r="AO650" s="49">
        <v>1.1212294726100001</v>
      </c>
      <c r="AP650" s="49">
        <v>3.9376717819999998</v>
      </c>
      <c r="AQ650" s="49">
        <v>2.2156430999999999</v>
      </c>
      <c r="AR650" s="49">
        <v>6.5035999999999996</v>
      </c>
      <c r="AS650" s="49">
        <v>14.612221359999999</v>
      </c>
      <c r="AT650" s="49">
        <v>0.42762819025999999</v>
      </c>
      <c r="AU650" s="49">
        <v>0.42366783800000002</v>
      </c>
      <c r="AV650" s="49">
        <v>0.37118786100000001</v>
      </c>
      <c r="AW650" s="49">
        <v>4635.3583333333299</v>
      </c>
      <c r="AX650" s="49">
        <v>458.32271739129999</v>
      </c>
      <c r="AY650" s="49">
        <v>298.76375053638998</v>
      </c>
      <c r="AZ650" s="49">
        <v>727.69952787099999</v>
      </c>
      <c r="BA650" s="49">
        <v>827.70334782608995</v>
      </c>
      <c r="BB650" s="49">
        <v>547.99988853627997</v>
      </c>
      <c r="BC650" s="49">
        <v>2.0419190440000001</v>
      </c>
      <c r="BD650" s="49">
        <v>2.2425999999999999</v>
      </c>
      <c r="BE650" s="49">
        <v>2.5630999999999999</v>
      </c>
      <c r="BF650" s="49">
        <v>115</v>
      </c>
      <c r="BG650" s="49">
        <v>409.625</v>
      </c>
      <c r="BH650" s="49">
        <v>410</v>
      </c>
      <c r="BI650" s="49">
        <v>312.5</v>
      </c>
      <c r="BJ650" s="49">
        <v>395</v>
      </c>
      <c r="BK650" s="49">
        <v>1769.6086956521699</v>
      </c>
      <c r="BL650" s="49">
        <v>127.19130434783</v>
      </c>
      <c r="BM650" s="49">
        <v>6906.6413043478296</v>
      </c>
      <c r="BN650" s="49">
        <v>2047.72826086957</v>
      </c>
      <c r="BO650" s="49">
        <v>19563.826086956498</v>
      </c>
      <c r="BP650" s="49">
        <v>13750.3152173913</v>
      </c>
      <c r="BQ650" s="49">
        <v>1837.6195652173899</v>
      </c>
      <c r="BR650" s="49">
        <v>1285.51565217391</v>
      </c>
      <c r="BS650" s="49">
        <v>1401.47826086957</v>
      </c>
      <c r="BT650" s="49">
        <v>19.710217391299999</v>
      </c>
      <c r="BU650" s="41"/>
      <c r="BV650" s="41"/>
      <c r="BW650" s="41"/>
      <c r="BX650" s="41"/>
      <c r="BY650" s="41"/>
      <c r="BZ650" s="41"/>
      <c r="CA650" s="41"/>
      <c r="CB650" s="41"/>
      <c r="CC650" s="41"/>
      <c r="CD650" s="41"/>
      <c r="CE650" s="41"/>
      <c r="CF650" s="41"/>
      <c r="CG650" s="41"/>
      <c r="CH650" s="41"/>
      <c r="CI650" s="41"/>
      <c r="CJ650" s="41"/>
      <c r="CK650" s="41"/>
    </row>
    <row r="651" spans="1:89">
      <c r="A651" s="41" t="s">
        <v>780</v>
      </c>
      <c r="B651" s="51">
        <v>108.15763636363999</v>
      </c>
      <c r="C651" s="51">
        <v>110.96454545455001</v>
      </c>
      <c r="D651" s="51">
        <v>106.962</v>
      </c>
      <c r="E651" s="51">
        <v>106.54636363636</v>
      </c>
      <c r="F651" s="51">
        <v>76.959999999999994</v>
      </c>
      <c r="G651" s="51">
        <v>72.912000000000006</v>
      </c>
      <c r="H651" s="51">
        <v>3.4251</v>
      </c>
      <c r="I651" s="51">
        <v>11.64</v>
      </c>
      <c r="J651" s="51">
        <v>15.6</v>
      </c>
      <c r="K651" s="51">
        <v>107.49741317685</v>
      </c>
      <c r="L651" s="51">
        <v>2.4836100000000001</v>
      </c>
      <c r="M651" s="51">
        <v>2.979634119</v>
      </c>
      <c r="N651" s="51">
        <v>2.0725833040000001</v>
      </c>
      <c r="O651" s="51">
        <v>2.7822372630199999</v>
      </c>
      <c r="P651" s="51">
        <v>3.3603737275299999</v>
      </c>
      <c r="Q651" s="51">
        <v>2.7063380615299999</v>
      </c>
      <c r="R651" s="51">
        <v>2.2799999999999998</v>
      </c>
      <c r="S651" s="51">
        <v>892.61</v>
      </c>
      <c r="T651" s="51">
        <v>1343.1</v>
      </c>
      <c r="U651" s="51">
        <v>1714.4</v>
      </c>
      <c r="V651" s="51">
        <v>1807.79</v>
      </c>
      <c r="W651" s="51">
        <v>819.29</v>
      </c>
      <c r="X651" s="51">
        <v>868.64</v>
      </c>
      <c r="Y651" s="51">
        <v>511.71</v>
      </c>
      <c r="Z651" s="51">
        <v>994.65</v>
      </c>
      <c r="AA651" s="51">
        <v>539.39</v>
      </c>
      <c r="AB651" s="51">
        <v>993.85</v>
      </c>
      <c r="AC651" s="51">
        <v>1111.67</v>
      </c>
      <c r="AD651" s="51">
        <v>185.09622083332999</v>
      </c>
      <c r="AE651" s="51">
        <v>238.73560454546001</v>
      </c>
      <c r="AF651" s="51">
        <v>220.61582235</v>
      </c>
      <c r="AG651" s="51">
        <v>478.75</v>
      </c>
      <c r="AH651" s="51">
        <v>425</v>
      </c>
      <c r="AI651" s="51">
        <v>428.25</v>
      </c>
      <c r="AJ651" s="51">
        <v>399.43913513514002</v>
      </c>
      <c r="AK651" s="51">
        <v>252.4290129</v>
      </c>
      <c r="AL651" s="51">
        <v>305.33989769999999</v>
      </c>
      <c r="AM651" s="51">
        <v>0.97737992238000004</v>
      </c>
      <c r="AN651" s="51">
        <v>0.94040821875000002</v>
      </c>
      <c r="AO651" s="51">
        <v>1.1908050457399999</v>
      </c>
      <c r="AP651" s="51">
        <v>3.9491358060000001</v>
      </c>
      <c r="AQ651" s="51">
        <v>2.0412777000000002</v>
      </c>
      <c r="AR651" s="51">
        <v>6.5035999999999996</v>
      </c>
      <c r="AS651" s="51">
        <v>15.652801999999999</v>
      </c>
      <c r="AT651" s="51">
        <v>0.43495417017999999</v>
      </c>
      <c r="AU651" s="51">
        <v>0.45056420200000002</v>
      </c>
      <c r="AV651" s="51">
        <v>0.37548686999999997</v>
      </c>
      <c r="AW651" s="51">
        <v>4675.55</v>
      </c>
      <c r="AX651" s="51">
        <v>466.17454545455001</v>
      </c>
      <c r="AY651" s="51">
        <v>304.38587740247999</v>
      </c>
      <c r="AZ651" s="51">
        <v>742.94685608353996</v>
      </c>
      <c r="BA651" s="51">
        <v>845.04603409090998</v>
      </c>
      <c r="BB651" s="51">
        <v>558.31213321262999</v>
      </c>
      <c r="BC651" s="51">
        <v>2.0447850500000002</v>
      </c>
      <c r="BD651" s="51">
        <v>2.3795999999999999</v>
      </c>
      <c r="BE651" s="51">
        <v>2.569</v>
      </c>
      <c r="BF651" s="51">
        <v>115</v>
      </c>
      <c r="BG651" s="51">
        <v>400.375</v>
      </c>
      <c r="BH651" s="51">
        <v>360</v>
      </c>
      <c r="BI651" s="51">
        <v>310.625</v>
      </c>
      <c r="BJ651" s="51">
        <v>395</v>
      </c>
      <c r="BK651" s="51">
        <v>1817.61590909091</v>
      </c>
      <c r="BL651" s="51">
        <v>137.05500000000001</v>
      </c>
      <c r="BM651" s="51">
        <v>7192.9204545454504</v>
      </c>
      <c r="BN651" s="51">
        <v>2174.1818181818198</v>
      </c>
      <c r="BO651" s="51">
        <v>21644.431818181802</v>
      </c>
      <c r="BP651" s="51">
        <v>14314.9318181818</v>
      </c>
      <c r="BQ651" s="51">
        <v>1898.8181818181799</v>
      </c>
      <c r="BR651" s="51">
        <v>1351.74181818182</v>
      </c>
      <c r="BS651" s="51">
        <v>1496.0909090909099</v>
      </c>
      <c r="BT651" s="51">
        <v>21.893863636359999</v>
      </c>
      <c r="BU651" s="41"/>
      <c r="BV651" s="41"/>
      <c r="BW651" s="41"/>
      <c r="BX651" s="41"/>
      <c r="BY651" s="41"/>
      <c r="BZ651" s="41"/>
      <c r="CA651" s="41"/>
      <c r="CB651" s="41"/>
      <c r="CC651" s="41"/>
      <c r="CD651" s="41"/>
      <c r="CE651" s="41"/>
      <c r="CF651" s="41"/>
      <c r="CG651" s="41"/>
      <c r="CH651" s="41"/>
      <c r="CI651" s="41"/>
      <c r="CJ651" s="41"/>
      <c r="CK651" s="41"/>
    </row>
    <row r="652" spans="1:89">
      <c r="A652" s="48" t="s">
        <v>781</v>
      </c>
      <c r="B652" s="49">
        <v>108.75773015873</v>
      </c>
      <c r="C652" s="49">
        <v>111.62142857143</v>
      </c>
      <c r="D652" s="49">
        <v>108.40476190475999</v>
      </c>
      <c r="E652" s="49">
        <v>106.247</v>
      </c>
      <c r="F652" s="49">
        <v>77.612499999999997</v>
      </c>
      <c r="G652" s="49">
        <v>73.097499999999997</v>
      </c>
      <c r="H652" s="49">
        <v>3.6154000000000002</v>
      </c>
      <c r="I652" s="49">
        <v>11.25</v>
      </c>
      <c r="J652" s="49">
        <v>14.96</v>
      </c>
      <c r="K652" s="49">
        <v>107.52065160478</v>
      </c>
      <c r="L652" s="49">
        <v>2.6160514285700001</v>
      </c>
      <c r="M652" s="49">
        <v>2.9163028305699998</v>
      </c>
      <c r="N652" s="49">
        <v>1.9351419486699999</v>
      </c>
      <c r="O652" s="49">
        <v>2.7533613780400001</v>
      </c>
      <c r="P652" s="49">
        <v>3.5911242380199999</v>
      </c>
      <c r="Q652" s="49">
        <v>2.5489598961</v>
      </c>
      <c r="R652" s="49">
        <v>2.12</v>
      </c>
      <c r="S652" s="49">
        <v>985.24</v>
      </c>
      <c r="T652" s="49">
        <v>1325</v>
      </c>
      <c r="U652" s="49">
        <v>1668.63</v>
      </c>
      <c r="V652" s="49">
        <v>1797.87</v>
      </c>
      <c r="W652" s="49">
        <v>826.25</v>
      </c>
      <c r="X652" s="49">
        <v>909.76</v>
      </c>
      <c r="Y652" s="49">
        <v>560.17999999999995</v>
      </c>
      <c r="Z652" s="49">
        <v>1019.72</v>
      </c>
      <c r="AA652" s="49">
        <v>576.80999999999995</v>
      </c>
      <c r="AB652" s="49">
        <v>983.52</v>
      </c>
      <c r="AC652" s="49">
        <v>1005.71</v>
      </c>
      <c r="AD652" s="49">
        <v>159.83494999999999</v>
      </c>
      <c r="AE652" s="49">
        <v>207.40538699999999</v>
      </c>
      <c r="AF652" s="49">
        <v>216.934608</v>
      </c>
      <c r="AG652" s="49">
        <v>444</v>
      </c>
      <c r="AH652" s="49">
        <v>428</v>
      </c>
      <c r="AI652" s="49">
        <v>431.47619047619003</v>
      </c>
      <c r="AJ652" s="49">
        <v>362</v>
      </c>
      <c r="AK652" s="49">
        <v>259.79611873499999</v>
      </c>
      <c r="AL652" s="49">
        <v>307.50777423</v>
      </c>
      <c r="AM652" s="49">
        <v>0.97394214897999998</v>
      </c>
      <c r="AN652" s="49">
        <v>0.93696349999999995</v>
      </c>
      <c r="AO652" s="49">
        <v>1.1197156476200001</v>
      </c>
      <c r="AP652" s="49">
        <v>3.9872757320000001</v>
      </c>
      <c r="AQ652" s="49">
        <v>1.98195338</v>
      </c>
      <c r="AR652" s="49">
        <v>6.3714000000000004</v>
      </c>
      <c r="AS652" s="49">
        <v>16.08049828</v>
      </c>
      <c r="AT652" s="49">
        <v>0.43634169676000001</v>
      </c>
      <c r="AU652" s="49">
        <v>0.4641717179</v>
      </c>
      <c r="AV652" s="49">
        <v>0.3835928569</v>
      </c>
      <c r="AW652" s="49">
        <v>4709.9666666666699</v>
      </c>
      <c r="AX652" s="49">
        <v>467.66166666666999</v>
      </c>
      <c r="AY652" s="49">
        <v>300.11634772285998</v>
      </c>
      <c r="AZ652" s="49">
        <v>760.60689774798004</v>
      </c>
      <c r="BA652" s="49">
        <v>865.13300000000004</v>
      </c>
      <c r="BB652" s="49">
        <v>550.48085587616004</v>
      </c>
      <c r="BC652" s="49">
        <v>1.986142158</v>
      </c>
      <c r="BD652" s="49">
        <v>2.4224000000000001</v>
      </c>
      <c r="BE652" s="49">
        <v>2.6381000000000001</v>
      </c>
      <c r="BF652" s="49">
        <v>97.5</v>
      </c>
      <c r="BG652" s="49">
        <v>374.8</v>
      </c>
      <c r="BH652" s="49">
        <v>344</v>
      </c>
      <c r="BI652" s="49">
        <v>301</v>
      </c>
      <c r="BJ652" s="49">
        <v>395</v>
      </c>
      <c r="BK652" s="49">
        <v>1761.30476190476</v>
      </c>
      <c r="BL652" s="49">
        <v>134.18571428570999</v>
      </c>
      <c r="BM652" s="49">
        <v>7159.2690476190501</v>
      </c>
      <c r="BN652" s="49">
        <v>2084.9190476190502</v>
      </c>
      <c r="BO652" s="49">
        <v>22735.071428571398</v>
      </c>
      <c r="BP652" s="49">
        <v>13801.392857142901</v>
      </c>
      <c r="BQ652" s="49">
        <v>1846.88095238095</v>
      </c>
      <c r="BR652" s="49">
        <v>1348.6</v>
      </c>
      <c r="BS652" s="49">
        <v>1456.86</v>
      </c>
      <c r="BT652" s="49">
        <v>22.563800000000001</v>
      </c>
      <c r="BU652" s="41"/>
      <c r="BV652" s="41"/>
      <c r="BW652" s="41"/>
      <c r="BX652" s="41"/>
      <c r="BY652" s="41"/>
      <c r="BZ652" s="41"/>
      <c r="CA652" s="41"/>
      <c r="CB652" s="41"/>
      <c r="CC652" s="41"/>
      <c r="CD652" s="41"/>
      <c r="CE652" s="41"/>
      <c r="CF652" s="41"/>
      <c r="CG652" s="41"/>
      <c r="CH652" s="41"/>
      <c r="CI652" s="41"/>
      <c r="CJ652" s="41"/>
      <c r="CK652" s="41"/>
    </row>
    <row r="653" spans="1:89">
      <c r="A653" s="41" t="s">
        <v>851</v>
      </c>
      <c r="B653" s="51">
        <v>105.42713438734999</v>
      </c>
      <c r="C653" s="51">
        <v>109.47869565217</v>
      </c>
      <c r="D653" s="51">
        <v>106.30227272726999</v>
      </c>
      <c r="E653" s="51">
        <v>100.50043478261</v>
      </c>
      <c r="F653" s="51">
        <v>79.412499999999994</v>
      </c>
      <c r="G653" s="51">
        <v>80.647499999999994</v>
      </c>
      <c r="H653" s="51">
        <v>3.6739000000000002</v>
      </c>
      <c r="I653" s="51">
        <v>11.37</v>
      </c>
      <c r="J653" s="51">
        <v>15.3</v>
      </c>
      <c r="K653" s="51">
        <v>109.03186360077</v>
      </c>
      <c r="L653" s="51">
        <v>2.7307000000000001</v>
      </c>
      <c r="M653" s="51">
        <v>2.8373459400000001</v>
      </c>
      <c r="N653" s="51">
        <v>1.8452669399999999</v>
      </c>
      <c r="O653" s="51">
        <v>2.7977780721499999</v>
      </c>
      <c r="P653" s="51">
        <v>3.7745898512</v>
      </c>
      <c r="Q653" s="51">
        <v>2.61874436523</v>
      </c>
      <c r="R653" s="51">
        <v>2</v>
      </c>
      <c r="S653" s="51">
        <v>985.65</v>
      </c>
      <c r="T653" s="51">
        <v>1335.87</v>
      </c>
      <c r="U653" s="51">
        <v>1650.81</v>
      </c>
      <c r="V653" s="51">
        <v>1764.66</v>
      </c>
      <c r="W653" s="51">
        <v>859.66</v>
      </c>
      <c r="X653" s="51">
        <v>912.17</v>
      </c>
      <c r="Y653" s="51">
        <v>540.85</v>
      </c>
      <c r="Z653" s="51">
        <v>990.96</v>
      </c>
      <c r="AA653" s="51">
        <v>584.87</v>
      </c>
      <c r="AB653" s="51">
        <v>1010.85</v>
      </c>
      <c r="AC653" s="51">
        <v>1008.48</v>
      </c>
      <c r="AD653" s="51">
        <v>155.70128750000001</v>
      </c>
      <c r="AE653" s="51">
        <v>201.72521090909001</v>
      </c>
      <c r="AF653" s="51">
        <v>205.24731611999999</v>
      </c>
      <c r="AG653" s="51">
        <v>439</v>
      </c>
      <c r="AH653" s="51">
        <v>423</v>
      </c>
      <c r="AI653" s="51">
        <v>420.4347826087</v>
      </c>
      <c r="AJ653" s="51">
        <v>376.31578947368001</v>
      </c>
      <c r="AK653" s="51">
        <v>287.71963776818001</v>
      </c>
      <c r="AL653" s="51">
        <v>325.68670496250002</v>
      </c>
      <c r="AM653" s="51">
        <v>0.95769166793000005</v>
      </c>
      <c r="AN653" s="51">
        <v>0.93145195000000003</v>
      </c>
      <c r="AO653" s="51">
        <v>0.99726336074999999</v>
      </c>
      <c r="AP653" s="51">
        <v>4.0393047639999997</v>
      </c>
      <c r="AQ653" s="51">
        <v>1.95540208696</v>
      </c>
      <c r="AR653" s="51">
        <v>6.8103999999999996</v>
      </c>
      <c r="AS653" s="51">
        <v>16.457488300000001</v>
      </c>
      <c r="AT653" s="51">
        <v>0.445395184</v>
      </c>
      <c r="AU653" s="51">
        <v>0.47967738548</v>
      </c>
      <c r="AV653" s="51">
        <v>0.41145877443000001</v>
      </c>
      <c r="AW653" s="51">
        <v>4770.0416666666697</v>
      </c>
      <c r="AX653" s="51">
        <v>477.36500000000001</v>
      </c>
      <c r="AY653" s="51">
        <v>304.31135047213002</v>
      </c>
      <c r="AZ653" s="51">
        <v>771.00138508662997</v>
      </c>
      <c r="BA653" s="51">
        <v>876.95594565217004</v>
      </c>
      <c r="BB653" s="51">
        <v>558.17543406671996</v>
      </c>
      <c r="BC653" s="51">
        <v>1.9702688939999999</v>
      </c>
      <c r="BD653" s="51">
        <v>2.3187000000000002</v>
      </c>
      <c r="BE653" s="51">
        <v>2.5345</v>
      </c>
      <c r="BF653" s="51">
        <v>84.375</v>
      </c>
      <c r="BG653" s="51">
        <v>370</v>
      </c>
      <c r="BH653" s="51">
        <v>324</v>
      </c>
      <c r="BI653" s="51">
        <v>296.875</v>
      </c>
      <c r="BJ653" s="51">
        <v>395</v>
      </c>
      <c r="BK653" s="51">
        <v>1814.5826086956499</v>
      </c>
      <c r="BL653" s="51">
        <v>132.57272727272999</v>
      </c>
      <c r="BM653" s="51">
        <v>7203.0217391304304</v>
      </c>
      <c r="BN653" s="51">
        <v>2115.4282608695698</v>
      </c>
      <c r="BO653" s="51">
        <v>23101.5869565217</v>
      </c>
      <c r="BP653" s="51">
        <v>14117.652173913</v>
      </c>
      <c r="BQ653" s="51">
        <v>1884.8369565217399</v>
      </c>
      <c r="BR653" s="51">
        <v>1316.58</v>
      </c>
      <c r="BS653" s="51">
        <v>1413.48</v>
      </c>
      <c r="BT653" s="51">
        <v>21.917000000000002</v>
      </c>
      <c r="BU653" s="41"/>
      <c r="BV653" s="41"/>
      <c r="BW653" s="41"/>
      <c r="BX653" s="41"/>
      <c r="BY653" s="41"/>
      <c r="BZ653" s="41"/>
      <c r="CA653" s="41"/>
      <c r="CB653" s="41"/>
      <c r="CC653" s="41"/>
      <c r="CD653" s="41"/>
      <c r="CE653" s="41"/>
      <c r="CF653" s="41"/>
      <c r="CG653" s="41"/>
      <c r="CH653" s="41"/>
      <c r="CI653" s="41"/>
      <c r="CJ653" s="41"/>
      <c r="CK653" s="41"/>
    </row>
    <row r="654" spans="1:89">
      <c r="A654" s="48" t="s">
        <v>852</v>
      </c>
      <c r="B654" s="49">
        <v>102.62649122806999</v>
      </c>
      <c r="C654" s="49">
        <v>108.07619047619001</v>
      </c>
      <c r="D654" s="49">
        <v>105.85380952381</v>
      </c>
      <c r="E654" s="49">
        <v>93.949473684210005</v>
      </c>
      <c r="F654" s="49">
        <v>82.25</v>
      </c>
      <c r="G654" s="49">
        <v>83.817999999999998</v>
      </c>
      <c r="H654" s="49">
        <v>3.6173999999999999</v>
      </c>
      <c r="I654" s="49">
        <v>11.42</v>
      </c>
      <c r="J654" s="49">
        <v>15.4</v>
      </c>
      <c r="K654" s="49">
        <v>108.65121105615</v>
      </c>
      <c r="L654" s="49">
        <v>2.7551700000000001</v>
      </c>
      <c r="M654" s="49">
        <v>2.6900353312399998</v>
      </c>
      <c r="N654" s="49">
        <v>1.7572186164800001</v>
      </c>
      <c r="O654" s="49">
        <v>2.7788119174700001</v>
      </c>
      <c r="P654" s="49">
        <v>3.7230305561099999</v>
      </c>
      <c r="Q654" s="49">
        <v>2.5234051963000002</v>
      </c>
      <c r="R654" s="49">
        <v>2.09</v>
      </c>
      <c r="S654" s="49">
        <v>1274.5</v>
      </c>
      <c r="T654" s="49">
        <v>1357.14</v>
      </c>
      <c r="U654" s="49">
        <v>1614.74</v>
      </c>
      <c r="V654" s="49">
        <v>1754.88</v>
      </c>
      <c r="W654" s="49">
        <v>904.05</v>
      </c>
      <c r="X654" s="49">
        <v>1108.0999999999999</v>
      </c>
      <c r="Y654" s="49">
        <v>551.32000000000005</v>
      </c>
      <c r="Z654" s="49">
        <v>989.83</v>
      </c>
      <c r="AA654" s="49">
        <v>567.19000000000005</v>
      </c>
      <c r="AB654" s="49">
        <v>1021.7</v>
      </c>
      <c r="AC654" s="49">
        <v>1004.05</v>
      </c>
      <c r="AD654" s="49">
        <v>158.91635833333001</v>
      </c>
      <c r="AE654" s="49">
        <v>199.13473999999999</v>
      </c>
      <c r="AF654" s="49">
        <v>195.23082029579001</v>
      </c>
      <c r="AG654" s="49">
        <v>438</v>
      </c>
      <c r="AH654" s="49">
        <v>405</v>
      </c>
      <c r="AI654" s="49">
        <v>414.3</v>
      </c>
      <c r="AJ654" s="49">
        <v>395.88235294117999</v>
      </c>
      <c r="AK654" s="49">
        <v>274.42686796579</v>
      </c>
      <c r="AL654" s="49">
        <v>306.75162817895</v>
      </c>
      <c r="AM654" s="49">
        <v>0.88063411719999996</v>
      </c>
      <c r="AN654" s="49">
        <v>0.92318462499999998</v>
      </c>
      <c r="AO654" s="49">
        <v>0.76599798809999997</v>
      </c>
      <c r="AP654" s="49">
        <v>4.137410354</v>
      </c>
      <c r="AQ654" s="49">
        <v>2.0340520315799999</v>
      </c>
      <c r="AR654" s="49">
        <v>7.3216999999999999</v>
      </c>
      <c r="AS654" s="49">
        <v>16.82345522</v>
      </c>
      <c r="AT654" s="49">
        <v>0.44078291275999998</v>
      </c>
      <c r="AU654" s="49">
        <v>0.45940973870000001</v>
      </c>
      <c r="AV654" s="49">
        <v>0.38937788476000001</v>
      </c>
      <c r="AW654" s="49">
        <v>5051.8916666666701</v>
      </c>
      <c r="AX654" s="49">
        <v>472.42166666666998</v>
      </c>
      <c r="AY654" s="49">
        <v>297.36411957050001</v>
      </c>
      <c r="AZ654" s="49">
        <v>772.13736373239999</v>
      </c>
      <c r="BA654" s="49">
        <v>878.24803571429004</v>
      </c>
      <c r="BB654" s="49">
        <v>545.43265067050004</v>
      </c>
      <c r="BC654" s="49">
        <v>1.8657699059999999</v>
      </c>
      <c r="BD654" s="49">
        <v>2.3024</v>
      </c>
      <c r="BE654" s="49">
        <v>2.4895999999999998</v>
      </c>
      <c r="BF654" s="49">
        <v>87.5</v>
      </c>
      <c r="BG654" s="49">
        <v>334.375</v>
      </c>
      <c r="BH654" s="49">
        <v>320</v>
      </c>
      <c r="BI654" s="49">
        <v>305</v>
      </c>
      <c r="BJ654" s="49">
        <v>395</v>
      </c>
      <c r="BK654" s="49">
        <v>1747.9642857142901</v>
      </c>
      <c r="BL654" s="49">
        <v>136.32380952381001</v>
      </c>
      <c r="BM654" s="49">
        <v>7070.6547619047597</v>
      </c>
      <c r="BN654" s="49">
        <v>2089.5595238095202</v>
      </c>
      <c r="BO654" s="49">
        <v>22826.880952381001</v>
      </c>
      <c r="BP654" s="49">
        <v>13684.011904761899</v>
      </c>
      <c r="BQ654" s="49">
        <v>1866.4166666666699</v>
      </c>
      <c r="BR654" s="49">
        <v>1275.8599999999999</v>
      </c>
      <c r="BS654" s="49">
        <v>1420.1</v>
      </c>
      <c r="BT654" s="49">
        <v>20.7576</v>
      </c>
      <c r="BU654" s="41"/>
      <c r="BV654" s="41"/>
      <c r="BW654" s="41"/>
      <c r="BX654" s="41"/>
      <c r="BY654" s="41"/>
      <c r="BZ654" s="41"/>
      <c r="CA654" s="41"/>
      <c r="CB654" s="41"/>
      <c r="CC654" s="41"/>
      <c r="CD654" s="41"/>
      <c r="CE654" s="41"/>
      <c r="CF654" s="41"/>
      <c r="CG654" s="41"/>
      <c r="CH654" s="41"/>
      <c r="CI654" s="41"/>
      <c r="CJ654" s="41"/>
      <c r="CK654" s="41"/>
    </row>
    <row r="655" spans="1:89">
      <c r="A655" s="41" t="s">
        <v>853</v>
      </c>
      <c r="B655" s="51">
        <v>105.48165079365</v>
      </c>
      <c r="C655" s="51">
        <v>110.67400000000001</v>
      </c>
      <c r="D655" s="51">
        <v>107.91952380952</v>
      </c>
      <c r="E655" s="51">
        <v>97.851428571430006</v>
      </c>
      <c r="F655" s="51">
        <v>84.337500000000006</v>
      </c>
      <c r="G655" s="51">
        <v>84.614999999999995</v>
      </c>
      <c r="H655" s="51">
        <v>4.2366000000000001</v>
      </c>
      <c r="I655" s="51">
        <v>11.55</v>
      </c>
      <c r="J655" s="51">
        <v>16.38</v>
      </c>
      <c r="K655" s="51">
        <v>117.45234821935</v>
      </c>
      <c r="L655" s="51">
        <v>2.8245399999999998</v>
      </c>
      <c r="M655" s="51">
        <v>2.777159814</v>
      </c>
      <c r="N655" s="51">
        <v>1.937640518</v>
      </c>
      <c r="O655" s="51">
        <v>2.8962898942500002</v>
      </c>
      <c r="P655" s="51">
        <v>3.8067580644899999</v>
      </c>
      <c r="Q655" s="51">
        <v>2.5521116182500001</v>
      </c>
      <c r="R655" s="51">
        <v>2.33</v>
      </c>
      <c r="S655" s="51">
        <v>1270</v>
      </c>
      <c r="T655" s="51">
        <v>1342</v>
      </c>
      <c r="U655" s="51">
        <v>1552.25</v>
      </c>
      <c r="V655" s="51">
        <v>1697.56</v>
      </c>
      <c r="W655" s="51">
        <v>886.25</v>
      </c>
      <c r="X655" s="51">
        <v>1147</v>
      </c>
      <c r="Y655" s="51">
        <v>564.03</v>
      </c>
      <c r="Z655" s="51">
        <v>990.52</v>
      </c>
      <c r="AA655" s="51">
        <v>569.45000000000005</v>
      </c>
      <c r="AB655" s="51">
        <v>1007.11</v>
      </c>
      <c r="AC655" s="51">
        <v>996</v>
      </c>
      <c r="AD655" s="51">
        <v>161.67213333333001</v>
      </c>
      <c r="AE655" s="51">
        <v>197.39115200000001</v>
      </c>
      <c r="AF655" s="51">
        <v>205.896296122</v>
      </c>
      <c r="AG655" s="51">
        <v>451</v>
      </c>
      <c r="AH655" s="51">
        <v>398.66666666666998</v>
      </c>
      <c r="AI655" s="51">
        <v>400.76190476190999</v>
      </c>
      <c r="AJ655" s="51">
        <v>419.41176470587999</v>
      </c>
      <c r="AK655" s="51">
        <v>267.04840060125002</v>
      </c>
      <c r="AL655" s="51">
        <v>291.55664720356998</v>
      </c>
      <c r="AM655" s="51">
        <v>0.97146151745999998</v>
      </c>
      <c r="AN655" s="51">
        <v>0.92318462499999998</v>
      </c>
      <c r="AO655" s="51">
        <v>0.73998040908999996</v>
      </c>
      <c r="AP655" s="51">
        <v>4.1755502800000004</v>
      </c>
      <c r="AQ655" s="51">
        <v>2.0723427999999999</v>
      </c>
      <c r="AR655" s="51">
        <v>7.7713000000000001</v>
      </c>
      <c r="AS655" s="51">
        <v>16.865342999999999</v>
      </c>
      <c r="AT655" s="51">
        <v>0.44749630073000002</v>
      </c>
      <c r="AU655" s="51">
        <v>0.43545444276</v>
      </c>
      <c r="AV655" s="51">
        <v>0.36489610456999999</v>
      </c>
      <c r="AW655" s="51">
        <v>4835.1499999999996</v>
      </c>
      <c r="AX655" s="51">
        <v>479.61693181817998</v>
      </c>
      <c r="AY655" s="51">
        <v>287.34816346819002</v>
      </c>
      <c r="AZ655" s="51">
        <v>784.95983058031004</v>
      </c>
      <c r="BA655" s="51">
        <v>892.83262500000001</v>
      </c>
      <c r="BB655" s="51">
        <v>527.06113532503002</v>
      </c>
      <c r="BC655" s="51">
        <v>1.9287669224999999</v>
      </c>
      <c r="BD655" s="51">
        <v>2.3125</v>
      </c>
      <c r="BE655" s="51">
        <v>2.5585</v>
      </c>
      <c r="BF655" s="51">
        <v>96.875</v>
      </c>
      <c r="BG655" s="51">
        <v>341.625</v>
      </c>
      <c r="BH655" s="51">
        <v>320</v>
      </c>
      <c r="BI655" s="51">
        <v>305</v>
      </c>
      <c r="BJ655" s="51">
        <v>395</v>
      </c>
      <c r="BK655" s="51">
        <v>1739.81</v>
      </c>
      <c r="BL655" s="51">
        <v>135.79047619048001</v>
      </c>
      <c r="BM655" s="51">
        <v>7214.9</v>
      </c>
      <c r="BN655" s="51">
        <v>2136.7275</v>
      </c>
      <c r="BO655" s="51">
        <v>22762.125</v>
      </c>
      <c r="BP655" s="51">
        <v>13924.55</v>
      </c>
      <c r="BQ655" s="51">
        <v>1974.9749999999999</v>
      </c>
      <c r="BR655" s="51">
        <v>1221.5119047619</v>
      </c>
      <c r="BS655" s="51">
        <v>1355.6666666666699</v>
      </c>
      <c r="BT655" s="51">
        <v>19.670000000000002</v>
      </c>
      <c r="BU655" s="41"/>
      <c r="BV655" s="41"/>
      <c r="BW655" s="41"/>
      <c r="BX655" s="41"/>
      <c r="BY655" s="41"/>
      <c r="BZ655" s="41"/>
      <c r="CA655" s="41"/>
      <c r="CB655" s="41"/>
      <c r="CC655" s="41"/>
      <c r="CD655" s="41"/>
      <c r="CE655" s="41"/>
      <c r="CF655" s="41"/>
      <c r="CG655" s="41"/>
      <c r="CH655" s="41"/>
      <c r="CI655" s="41"/>
      <c r="CJ655" s="41"/>
      <c r="CK655" s="41"/>
    </row>
    <row r="656" spans="1:89">
      <c r="A656" s="48" t="s">
        <v>854</v>
      </c>
      <c r="B656" s="49">
        <v>102.09666666667</v>
      </c>
      <c r="C656" s="49">
        <v>107.42</v>
      </c>
      <c r="D656" s="49">
        <v>104.01</v>
      </c>
      <c r="E656" s="49">
        <v>94.86</v>
      </c>
      <c r="F656" s="49">
        <v>81.61</v>
      </c>
      <c r="G656" s="49">
        <v>82.9</v>
      </c>
      <c r="H656" s="49">
        <v>4.7008000000000001</v>
      </c>
      <c r="I656" s="49">
        <v>11.59</v>
      </c>
      <c r="J656" s="49">
        <v>16.670000000000002</v>
      </c>
      <c r="K656" s="49">
        <v>123.47593413513</v>
      </c>
      <c r="L656" s="49">
        <v>2.8194300000000001</v>
      </c>
      <c r="M656" s="49">
        <v>2.9261921260000001</v>
      </c>
      <c r="N656" s="49">
        <v>1.934113126</v>
      </c>
      <c r="O656" s="49">
        <v>2.8744001254899998</v>
      </c>
      <c r="P656" s="49">
        <v>3.89903534357</v>
      </c>
      <c r="Q656" s="49">
        <v>2.1616650329099998</v>
      </c>
      <c r="R656" s="49">
        <v>2.5625</v>
      </c>
      <c r="S656" s="49">
        <v>1269.0899999999999</v>
      </c>
      <c r="T656" s="49">
        <v>1298.6400000000001</v>
      </c>
      <c r="U656" s="49">
        <v>1536.47</v>
      </c>
      <c r="V656" s="49">
        <v>1560.64</v>
      </c>
      <c r="W656" s="49">
        <v>862.63</v>
      </c>
      <c r="X656" s="49">
        <v>1158.6400000000001</v>
      </c>
      <c r="Y656" s="49">
        <v>565.5</v>
      </c>
      <c r="Z656" s="49">
        <v>942.1</v>
      </c>
      <c r="AA656" s="49">
        <v>539.52</v>
      </c>
      <c r="AB656" s="49">
        <v>948.01</v>
      </c>
      <c r="AC656" s="49">
        <v>951.82</v>
      </c>
      <c r="AD656" s="49">
        <v>167.64297916666999</v>
      </c>
      <c r="AE656" s="49">
        <v>198.06434479999999</v>
      </c>
      <c r="AF656" s="49">
        <v>210.21051700000001</v>
      </c>
      <c r="AG656" s="49">
        <v>450</v>
      </c>
      <c r="AH656" s="49">
        <v>377</v>
      </c>
      <c r="AI656" s="49">
        <v>405</v>
      </c>
      <c r="AJ656" s="49">
        <v>402</v>
      </c>
      <c r="AK656" s="49">
        <v>246.54635133299999</v>
      </c>
      <c r="AL656" s="49">
        <v>275.57752499999998</v>
      </c>
      <c r="AM656" s="49">
        <v>0.99254824857000001</v>
      </c>
      <c r="AN656" s="49">
        <v>0.9259404</v>
      </c>
      <c r="AO656" s="49">
        <v>0.75383950318000004</v>
      </c>
      <c r="AP656" s="49">
        <v>4.1808413680000003</v>
      </c>
      <c r="AQ656" s="49">
        <v>2.1144310000000002</v>
      </c>
      <c r="AR656" s="49">
        <v>8.1921999999999997</v>
      </c>
      <c r="AS656" s="49">
        <v>16.92707236</v>
      </c>
      <c r="AT656" s="49">
        <v>0.4448457113</v>
      </c>
      <c r="AU656" s="49">
        <v>0.44687647400000002</v>
      </c>
      <c r="AV656" s="49">
        <v>0.344582106</v>
      </c>
      <c r="AW656" s="49">
        <v>4924.3333333333303</v>
      </c>
      <c r="AX656" s="49">
        <v>476.77608695651998</v>
      </c>
      <c r="AY656" s="49">
        <v>286.59503651867999</v>
      </c>
      <c r="AZ656" s="49">
        <v>789.30814077123</v>
      </c>
      <c r="BA656" s="49">
        <v>897.77850000000001</v>
      </c>
      <c r="BB656" s="49">
        <v>525.67973117661995</v>
      </c>
      <c r="BC656" s="49">
        <v>2.0053223519999999</v>
      </c>
      <c r="BD656" s="49">
        <v>2.1442000000000001</v>
      </c>
      <c r="BE656" s="49">
        <v>2.3445999999999998</v>
      </c>
      <c r="BF656" s="49">
        <v>97.5</v>
      </c>
      <c r="BG656" s="49">
        <v>403.375</v>
      </c>
      <c r="BH656" s="49">
        <v>333</v>
      </c>
      <c r="BI656" s="49">
        <v>330</v>
      </c>
      <c r="BJ656" s="49">
        <v>395</v>
      </c>
      <c r="BK656" s="49">
        <v>1727.41</v>
      </c>
      <c r="BL656" s="49">
        <v>128.119</v>
      </c>
      <c r="BM656" s="49">
        <v>7291.47</v>
      </c>
      <c r="BN656" s="49">
        <v>2143.17</v>
      </c>
      <c r="BO656" s="49">
        <v>22063.86</v>
      </c>
      <c r="BP656" s="49">
        <v>14101.25</v>
      </c>
      <c r="BQ656" s="49">
        <v>2036.93</v>
      </c>
      <c r="BR656" s="49">
        <v>1244.27</v>
      </c>
      <c r="BS656" s="49">
        <v>1420.95</v>
      </c>
      <c r="BT656" s="49">
        <v>19.875</v>
      </c>
      <c r="BU656" s="41"/>
      <c r="BV656" s="41"/>
      <c r="BW656" s="41"/>
      <c r="BX656" s="41"/>
      <c r="BY656" s="41"/>
      <c r="BZ656" s="41"/>
      <c r="CA656" s="41"/>
      <c r="CB656" s="41"/>
      <c r="CC656" s="41"/>
      <c r="CD656" s="41"/>
      <c r="CE656" s="41"/>
      <c r="CF656" s="41"/>
      <c r="CG656" s="41"/>
      <c r="CH656" s="41"/>
      <c r="CI656" s="41"/>
      <c r="CJ656" s="41"/>
      <c r="CK656" s="41"/>
    </row>
    <row r="657" spans="1:89" ht="15" customHeight="1">
      <c r="A657" s="41" t="s">
        <v>855</v>
      </c>
      <c r="B657" s="51">
        <v>104.82666666666999</v>
      </c>
      <c r="C657" s="51">
        <v>108.81</v>
      </c>
      <c r="D657" s="51">
        <v>104.94</v>
      </c>
      <c r="E657" s="51">
        <v>100.73</v>
      </c>
      <c r="F657" s="51">
        <v>76.290000000000006</v>
      </c>
      <c r="G657" s="51">
        <v>77.599999999999994</v>
      </c>
      <c r="H657" s="51">
        <v>5.9733000000000001</v>
      </c>
      <c r="I657" s="51">
        <v>11.3</v>
      </c>
      <c r="J657" s="51">
        <v>16.760000000000002</v>
      </c>
      <c r="K657" s="51">
        <v>137.61069871914</v>
      </c>
      <c r="L657" s="51">
        <v>2.9928400000000002</v>
      </c>
      <c r="M657" s="51">
        <v>3.828102168</v>
      </c>
      <c r="N657" s="51">
        <v>2.1142305800000001</v>
      </c>
      <c r="O657" s="51">
        <v>2.5756930305500001</v>
      </c>
      <c r="P657" s="51">
        <v>3.6535768877999999</v>
      </c>
      <c r="Q657" s="51">
        <v>1.85150220385</v>
      </c>
      <c r="R657" s="51">
        <v>2.222</v>
      </c>
      <c r="S657" s="51">
        <v>1364</v>
      </c>
      <c r="T657" s="51">
        <v>1250</v>
      </c>
      <c r="U657" s="51">
        <v>1557.26</v>
      </c>
      <c r="V657" s="51">
        <v>1409.8</v>
      </c>
      <c r="W657" s="51">
        <v>904.34</v>
      </c>
      <c r="X657" s="51">
        <v>1292</v>
      </c>
      <c r="Y657" s="51">
        <v>490.73</v>
      </c>
      <c r="Z657" s="51">
        <v>970.96</v>
      </c>
      <c r="AA657" s="51">
        <v>570.75</v>
      </c>
      <c r="AB657" s="51">
        <v>971.77</v>
      </c>
      <c r="AC657" s="51">
        <v>953</v>
      </c>
      <c r="AD657" s="51">
        <v>169.93945833333001</v>
      </c>
      <c r="AE657" s="51">
        <v>209.3235928</v>
      </c>
      <c r="AF657" s="51">
        <v>221.12338600000001</v>
      </c>
      <c r="AG657" s="51">
        <v>459</v>
      </c>
      <c r="AH657" s="51">
        <v>382</v>
      </c>
      <c r="AI657" s="51">
        <v>449.85</v>
      </c>
      <c r="AJ657" s="51">
        <v>393.16</v>
      </c>
      <c r="AK657" s="51">
        <v>258.67176243300003</v>
      </c>
      <c r="AL657" s="51">
        <v>292.11217649999998</v>
      </c>
      <c r="AM657" s="51">
        <v>1.0456354891899999</v>
      </c>
      <c r="AN657" s="51">
        <v>0.95418709374999999</v>
      </c>
      <c r="AO657" s="51">
        <v>0.77092533290999998</v>
      </c>
      <c r="AP657" s="51">
        <v>4.2809311159999996</v>
      </c>
      <c r="AQ657" s="51">
        <v>2.0238411599999999</v>
      </c>
      <c r="AR657" s="51">
        <v>8.2040000000000006</v>
      </c>
      <c r="AS657" s="51">
        <v>16.975574000000002</v>
      </c>
      <c r="AT657" s="51">
        <v>0.44611361599999999</v>
      </c>
      <c r="AU657" s="51">
        <v>0.47730022999999999</v>
      </c>
      <c r="AV657" s="51">
        <v>0.36618738200000001</v>
      </c>
      <c r="AW657" s="51">
        <v>5051.8916666666701</v>
      </c>
      <c r="AX657" s="51">
        <v>478.13499999999999</v>
      </c>
      <c r="AY657" s="51">
        <v>291.83593789742002</v>
      </c>
      <c r="AZ657" s="51">
        <v>793.18927713998005</v>
      </c>
      <c r="BA657" s="51">
        <v>902.19299999999998</v>
      </c>
      <c r="BB657" s="51">
        <v>535.29272259950994</v>
      </c>
      <c r="BC657" s="51">
        <v>2.0734451100000002</v>
      </c>
      <c r="BD657" s="51">
        <v>1.9011</v>
      </c>
      <c r="BE657" s="51">
        <v>2.1657999999999999</v>
      </c>
      <c r="BF657" s="51">
        <v>97.5</v>
      </c>
      <c r="BG657" s="51">
        <v>450.125</v>
      </c>
      <c r="BH657" s="51">
        <v>367</v>
      </c>
      <c r="BI657" s="51">
        <v>353.125</v>
      </c>
      <c r="BJ657" s="51">
        <v>307.625</v>
      </c>
      <c r="BK657" s="51">
        <v>1695.17</v>
      </c>
      <c r="BL657" s="51">
        <v>121.37</v>
      </c>
      <c r="BM657" s="51">
        <v>7149.21</v>
      </c>
      <c r="BN657" s="51">
        <v>2108.0300000000002</v>
      </c>
      <c r="BO657" s="51">
        <v>22820.67</v>
      </c>
      <c r="BP657" s="51">
        <v>14203.55</v>
      </c>
      <c r="BQ657" s="51">
        <v>2034.53</v>
      </c>
      <c r="BR657" s="51">
        <v>1299.58</v>
      </c>
      <c r="BS657" s="51">
        <v>1409.53</v>
      </c>
      <c r="BT657" s="51">
        <v>20.844999999999999</v>
      </c>
      <c r="BU657" s="41"/>
      <c r="BV657" s="41"/>
      <c r="BW657" s="41"/>
      <c r="BX657" s="41"/>
      <c r="BY657" s="41"/>
      <c r="BZ657" s="41"/>
      <c r="CA657" s="41"/>
      <c r="CB657" s="41"/>
      <c r="CC657" s="41"/>
      <c r="CD657" s="41"/>
      <c r="CE657" s="41"/>
      <c r="CF657" s="41"/>
      <c r="CG657" s="41"/>
      <c r="CH657" s="41"/>
      <c r="CI657" s="41"/>
      <c r="CJ657" s="41"/>
      <c r="CK657" s="41"/>
    </row>
    <row r="658" spans="1:89" ht="15" customHeight="1">
      <c r="A658" s="48" t="s">
        <v>912</v>
      </c>
      <c r="B658" s="49">
        <v>104.04</v>
      </c>
      <c r="C658" s="49">
        <v>107.4</v>
      </c>
      <c r="D658" s="49">
        <v>104.15</v>
      </c>
      <c r="E658" s="49">
        <v>100.57</v>
      </c>
      <c r="F658" s="49">
        <v>73.34</v>
      </c>
      <c r="G658" s="49">
        <v>74.599999999999994</v>
      </c>
      <c r="H658" s="49">
        <v>4.8783000000000003</v>
      </c>
      <c r="I658" s="49">
        <v>10.88</v>
      </c>
      <c r="J658" s="49">
        <v>16.55</v>
      </c>
      <c r="K658" s="49">
        <v>122.1747631506</v>
      </c>
      <c r="L658" s="49">
        <v>3.0416699999999999</v>
      </c>
      <c r="M658" s="49">
        <v>4.7198709579999996</v>
      </c>
      <c r="N658" s="49">
        <v>2.323008094</v>
      </c>
      <c r="O658" s="49">
        <v>2.4955235466299999</v>
      </c>
      <c r="P658" s="49">
        <v>3.5937380387400002</v>
      </c>
      <c r="Q658" s="49">
        <v>1.80283260114</v>
      </c>
      <c r="R658" s="49">
        <v>2.09</v>
      </c>
      <c r="S658" s="49">
        <v>1389.05</v>
      </c>
      <c r="T658" s="49">
        <v>1235.71</v>
      </c>
      <c r="U658" s="49">
        <v>1651.2</v>
      </c>
      <c r="V658" s="49">
        <v>1366.87</v>
      </c>
      <c r="W658" s="49">
        <v>953.81</v>
      </c>
      <c r="X658" s="49">
        <v>1376.9</v>
      </c>
      <c r="Y658" s="49">
        <v>530.80999999999995</v>
      </c>
      <c r="Z658" s="49">
        <v>996.67</v>
      </c>
      <c r="AA658" s="49">
        <v>601.52</v>
      </c>
      <c r="AB658" s="49">
        <v>1009.95</v>
      </c>
      <c r="AC658" s="49">
        <v>984.76</v>
      </c>
      <c r="AD658" s="49">
        <v>177.74748750000001</v>
      </c>
      <c r="AE658" s="49">
        <v>222.33078</v>
      </c>
      <c r="AF658" s="49">
        <v>234.35110599999999</v>
      </c>
      <c r="AG658" s="49">
        <v>422</v>
      </c>
      <c r="AH658" s="49">
        <v>366</v>
      </c>
      <c r="AI658" s="49">
        <v>425.1</v>
      </c>
      <c r="AJ658" s="49">
        <v>378.57</v>
      </c>
      <c r="AK658" s="49">
        <v>286.91662156199999</v>
      </c>
      <c r="AL658" s="49">
        <v>323.71173270000003</v>
      </c>
      <c r="AM658" s="49">
        <v>1.1213649784699999</v>
      </c>
      <c r="AN658" s="49">
        <v>0.96452125</v>
      </c>
      <c r="AO658" s="49">
        <v>0.80641942501999997</v>
      </c>
      <c r="AP658" s="49">
        <v>4.4711898220000004</v>
      </c>
      <c r="AQ658" s="49">
        <v>2.2571109523800001</v>
      </c>
      <c r="AR658" s="49">
        <v>8.0469000000000008</v>
      </c>
      <c r="AS658" s="49">
        <v>17.085805000000001</v>
      </c>
      <c r="AT658" s="49">
        <v>0.45140388799999998</v>
      </c>
      <c r="AU658" s="49">
        <v>0.485677786</v>
      </c>
      <c r="AV658" s="49">
        <v>0.39462698000000002</v>
      </c>
      <c r="AW658" s="49">
        <v>5083.5916666666699</v>
      </c>
      <c r="AX658" s="49">
        <v>483.80500000000001</v>
      </c>
      <c r="AY658" s="49">
        <v>290.92332673620001</v>
      </c>
      <c r="AZ658" s="49">
        <v>796.30376928775001</v>
      </c>
      <c r="BA658" s="49">
        <v>905.7355</v>
      </c>
      <c r="BB658" s="49">
        <v>533.61878855052998</v>
      </c>
      <c r="BC658" s="49">
        <v>2.13737909</v>
      </c>
      <c r="BD658" s="49">
        <v>1.929</v>
      </c>
      <c r="BE658" s="49">
        <v>2.2852999999999999</v>
      </c>
      <c r="BF658" s="49">
        <v>106.6</v>
      </c>
      <c r="BG658" s="49">
        <v>486.5</v>
      </c>
      <c r="BH658" s="49">
        <v>384</v>
      </c>
      <c r="BI658" s="49">
        <v>327.5</v>
      </c>
      <c r="BJ658" s="49">
        <v>278.5</v>
      </c>
      <c r="BK658" s="49">
        <v>1705.37</v>
      </c>
      <c r="BL658" s="49">
        <v>111.833</v>
      </c>
      <c r="BM658" s="49">
        <v>6650.04</v>
      </c>
      <c r="BN658" s="49">
        <v>2053.08</v>
      </c>
      <c r="BO658" s="49">
        <v>23024.31</v>
      </c>
      <c r="BP658" s="49">
        <v>15678.1</v>
      </c>
      <c r="BQ658" s="49">
        <v>2007.9</v>
      </c>
      <c r="BR658" s="49">
        <v>1336.08</v>
      </c>
      <c r="BS658" s="49">
        <v>1451.62</v>
      </c>
      <c r="BT658" s="49">
        <v>20.716000000000001</v>
      </c>
      <c r="BU658" s="41"/>
      <c r="BV658" s="41"/>
      <c r="BW658" s="41"/>
      <c r="BX658" s="41"/>
      <c r="BY658" s="41"/>
      <c r="BZ658" s="41"/>
      <c r="CA658" s="41"/>
      <c r="CB658" s="41"/>
      <c r="CC658" s="41"/>
      <c r="CD658" s="41"/>
      <c r="CE658" s="41"/>
      <c r="CF658" s="41"/>
      <c r="CG658" s="41"/>
      <c r="CH658" s="41"/>
      <c r="CI658" s="41"/>
      <c r="CJ658" s="41"/>
      <c r="CK658" s="41"/>
    </row>
    <row r="659" spans="1:89" ht="15" customHeight="1">
      <c r="A659" s="41" t="s">
        <v>913</v>
      </c>
      <c r="B659" s="51">
        <v>104.86666666667</v>
      </c>
      <c r="C659" s="51">
        <v>107.79</v>
      </c>
      <c r="D659" s="51">
        <v>104.73</v>
      </c>
      <c r="E659" s="51">
        <v>102.08</v>
      </c>
      <c r="F659" s="51">
        <v>72.819999999999993</v>
      </c>
      <c r="G659" s="51">
        <v>75.06</v>
      </c>
      <c r="H659" s="51">
        <v>4.6338999999999997</v>
      </c>
      <c r="I659" s="51">
        <v>10.73</v>
      </c>
      <c r="J659" s="51">
        <v>16.79</v>
      </c>
      <c r="K659" s="51">
        <v>118.65642551875</v>
      </c>
      <c r="L659" s="51">
        <v>3.0506099999999998</v>
      </c>
      <c r="M659" s="51">
        <v>4.9268847759999996</v>
      </c>
      <c r="N659" s="51">
        <v>2.3269764099999999</v>
      </c>
      <c r="O659" s="51">
        <v>2.6708579531800001</v>
      </c>
      <c r="P659" s="51">
        <v>3.5478605327600001</v>
      </c>
      <c r="Q659" s="51">
        <v>2.3780466601199999</v>
      </c>
      <c r="R659" s="51">
        <v>2.0866666666699998</v>
      </c>
      <c r="S659" s="51">
        <v>1356.13</v>
      </c>
      <c r="T659" s="51">
        <v>1197</v>
      </c>
      <c r="U659" s="51">
        <v>1629.2</v>
      </c>
      <c r="V659" s="51">
        <v>1366.87</v>
      </c>
      <c r="W659" s="51">
        <v>926.63</v>
      </c>
      <c r="X659" s="51">
        <v>1291.75</v>
      </c>
      <c r="Y659" s="51">
        <v>516.17999999999995</v>
      </c>
      <c r="Z659" s="51">
        <v>1001.69</v>
      </c>
      <c r="AA659" s="51">
        <v>584.36</v>
      </c>
      <c r="AB659" s="51">
        <v>1011.42</v>
      </c>
      <c r="AC659" s="51">
        <v>952.25</v>
      </c>
      <c r="AD659" s="51">
        <v>181.42185416666999</v>
      </c>
      <c r="AE659" s="51">
        <v>222.3583376</v>
      </c>
      <c r="AF659" s="51">
        <v>232.36694800000001</v>
      </c>
      <c r="AG659" s="51">
        <v>395</v>
      </c>
      <c r="AH659" s="51">
        <v>352</v>
      </c>
      <c r="AI659" s="51">
        <v>399.29</v>
      </c>
      <c r="AJ659" s="51">
        <v>370.91</v>
      </c>
      <c r="AK659" s="51">
        <v>277.091364204</v>
      </c>
      <c r="AL659" s="51">
        <v>324.81404279999998</v>
      </c>
      <c r="AM659" s="51">
        <v>1.2259495332899999</v>
      </c>
      <c r="AN659" s="51">
        <v>0.93007406250000002</v>
      </c>
      <c r="AO659" s="51">
        <v>0.84688586385999998</v>
      </c>
      <c r="AP659" s="51">
        <v>4.3514789560000002</v>
      </c>
      <c r="AQ659" s="51">
        <v>2.3767903238099999</v>
      </c>
      <c r="AR659" s="51">
        <v>8.2777999999999992</v>
      </c>
      <c r="AS659" s="51">
        <v>17.661210820000001</v>
      </c>
      <c r="AT659" s="51">
        <v>0.45114263999999998</v>
      </c>
      <c r="AU659" s="51">
        <v>0.536384046</v>
      </c>
      <c r="AV659" s="51">
        <v>0.39132004999999997</v>
      </c>
      <c r="AW659" s="51">
        <v>5089.1000000000004</v>
      </c>
      <c r="AX659" s="51">
        <v>483.52499999999998</v>
      </c>
      <c r="AY659" s="51">
        <v>290.32752121041</v>
      </c>
      <c r="AZ659" s="51">
        <v>802.24526200040998</v>
      </c>
      <c r="BA659" s="51">
        <v>912.49350000000004</v>
      </c>
      <c r="BB659" s="51">
        <v>532.52594726328005</v>
      </c>
      <c r="BC659" s="51">
        <v>2.0767520400000001</v>
      </c>
      <c r="BD659" s="51">
        <v>1.7757000000000001</v>
      </c>
      <c r="BE659" s="51">
        <v>2.1541999999999999</v>
      </c>
      <c r="BF659" s="51">
        <v>111.5</v>
      </c>
      <c r="BG659" s="51">
        <v>409</v>
      </c>
      <c r="BH659" s="51">
        <v>383</v>
      </c>
      <c r="BI659" s="51">
        <v>260</v>
      </c>
      <c r="BJ659" s="51">
        <v>299</v>
      </c>
      <c r="BK659" s="51">
        <v>1810.67</v>
      </c>
      <c r="BL659" s="51">
        <v>114.581</v>
      </c>
      <c r="BM659" s="51">
        <v>6673.56</v>
      </c>
      <c r="BN659" s="51">
        <v>2087.09</v>
      </c>
      <c r="BO659" s="51">
        <v>23405.200000000001</v>
      </c>
      <c r="BP659" s="51">
        <v>17373.599999999999</v>
      </c>
      <c r="BQ659" s="51">
        <v>2027.21</v>
      </c>
      <c r="BR659" s="51">
        <v>1298.45</v>
      </c>
      <c r="BS659" s="51">
        <v>1430.33</v>
      </c>
      <c r="BT659" s="51">
        <v>19.736000000000001</v>
      </c>
      <c r="BU659" s="41"/>
      <c r="BV659" s="41"/>
      <c r="BW659" s="41"/>
      <c r="BX659" s="41"/>
      <c r="BY659" s="41"/>
      <c r="BZ659" s="41"/>
      <c r="CA659" s="41"/>
      <c r="CB659" s="41"/>
      <c r="CC659" s="41"/>
      <c r="CD659" s="41"/>
      <c r="CE659" s="41"/>
      <c r="CF659" s="41"/>
      <c r="CG659" s="41"/>
      <c r="CH659" s="41"/>
      <c r="CI659" s="41"/>
      <c r="CJ659" s="41"/>
      <c r="CK659" s="41"/>
    </row>
    <row r="660" spans="1:89" ht="15" customHeight="1">
      <c r="A660" s="48" t="s">
        <v>914</v>
      </c>
      <c r="B660" s="49">
        <v>105.71333333333</v>
      </c>
      <c r="C660" s="49">
        <v>109.68</v>
      </c>
      <c r="D660" s="49">
        <v>105.6</v>
      </c>
      <c r="E660" s="49">
        <v>101.86</v>
      </c>
      <c r="F660" s="49">
        <v>73.69</v>
      </c>
      <c r="G660" s="49">
        <v>75.78</v>
      </c>
      <c r="H660" s="49">
        <v>4.5625</v>
      </c>
      <c r="I660" s="49">
        <v>10.199999999999999</v>
      </c>
      <c r="J660" s="49">
        <v>16.32</v>
      </c>
      <c r="K660" s="49">
        <v>114.95136110006</v>
      </c>
      <c r="L660" s="49">
        <v>3.0299900000000002</v>
      </c>
      <c r="M660" s="49">
        <v>4.7222960399999998</v>
      </c>
      <c r="N660" s="49">
        <v>2.270538138</v>
      </c>
      <c r="O660" s="49">
        <v>2.86976530451</v>
      </c>
      <c r="P660" s="49">
        <v>3.6651399003399998</v>
      </c>
      <c r="Q660" s="49">
        <v>2.9816560131799998</v>
      </c>
      <c r="R660" s="49">
        <v>1.9624999999999999</v>
      </c>
      <c r="S660" s="49">
        <v>1413.25</v>
      </c>
      <c r="T660" s="49">
        <v>1180</v>
      </c>
      <c r="U660" s="49">
        <v>1632.73</v>
      </c>
      <c r="V660" s="49">
        <v>1366.87</v>
      </c>
      <c r="W660" s="49">
        <v>898.42</v>
      </c>
      <c r="X660" s="49">
        <v>1255.25</v>
      </c>
      <c r="Y660" s="49">
        <v>519.41999999999996</v>
      </c>
      <c r="Z660" s="49">
        <v>961.81</v>
      </c>
      <c r="AA660" s="49">
        <v>568</v>
      </c>
      <c r="AB660" s="49">
        <v>954.94</v>
      </c>
      <c r="AC660" s="49">
        <v>951.5</v>
      </c>
      <c r="AD660" s="49">
        <v>181.88114999999999</v>
      </c>
      <c r="AE660" s="49">
        <v>217.29561279999999</v>
      </c>
      <c r="AF660" s="49">
        <v>220.68246199999999</v>
      </c>
      <c r="AG660" s="49">
        <v>388</v>
      </c>
      <c r="AH660" s="49">
        <v>346</v>
      </c>
      <c r="AI660" s="49">
        <v>391.55</v>
      </c>
      <c r="AJ660" s="49">
        <v>390.48</v>
      </c>
      <c r="AK660" s="49">
        <v>277.21261831499999</v>
      </c>
      <c r="AL660" s="49">
        <v>334.73483370000002</v>
      </c>
      <c r="AM660" s="49">
        <v>1.1203114112400001</v>
      </c>
      <c r="AN660" s="49">
        <v>0.91491730000000004</v>
      </c>
      <c r="AO660" s="49">
        <v>0.84080267370999995</v>
      </c>
      <c r="AP660" s="49">
        <v>4.3821231740000002</v>
      </c>
      <c r="AQ660" s="49">
        <v>2.5647079333299998</v>
      </c>
      <c r="AR660" s="49">
        <v>8.2357999999999993</v>
      </c>
      <c r="AS660" s="49">
        <v>17.967652999999999</v>
      </c>
      <c r="AT660" s="49">
        <v>0.44869344</v>
      </c>
      <c r="AU660" s="49">
        <v>0.54365929199999996</v>
      </c>
      <c r="AV660" s="49">
        <v>0.40278407399999999</v>
      </c>
      <c r="AW660" s="49">
        <v>5117.5583333333298</v>
      </c>
      <c r="AX660" s="49">
        <v>480.9</v>
      </c>
      <c r="AY660" s="49">
        <v>292.49542174214997</v>
      </c>
      <c r="AZ660" s="49">
        <v>807.13261890921001</v>
      </c>
      <c r="BA660" s="49">
        <v>918.05250000000001</v>
      </c>
      <c r="BB660" s="49">
        <v>536.50236424029004</v>
      </c>
      <c r="BC660" s="49">
        <v>2.0439032020000001</v>
      </c>
      <c r="BD660" s="49">
        <v>1.6931</v>
      </c>
      <c r="BE660" s="49">
        <v>2.0215000000000001</v>
      </c>
      <c r="BF660" s="49">
        <v>112.625</v>
      </c>
      <c r="BG660" s="49">
        <v>413.5625</v>
      </c>
      <c r="BH660" s="49">
        <v>385</v>
      </c>
      <c r="BI660" s="49">
        <v>265</v>
      </c>
      <c r="BJ660" s="49">
        <v>300.875</v>
      </c>
      <c r="BK660" s="49">
        <v>1751.05</v>
      </c>
      <c r="BL660" s="49">
        <v>100.56</v>
      </c>
      <c r="BM660" s="49">
        <v>6891.13</v>
      </c>
      <c r="BN660" s="49">
        <v>2097.3200000000002</v>
      </c>
      <c r="BO660" s="49">
        <v>23271.25</v>
      </c>
      <c r="BP660" s="49">
        <v>19401.080000000002</v>
      </c>
      <c r="BQ660" s="49">
        <v>2058.9699999999998</v>
      </c>
      <c r="BR660" s="49">
        <v>1288.74</v>
      </c>
      <c r="BS660" s="49">
        <v>1456.27</v>
      </c>
      <c r="BT660" s="49">
        <v>19.341999999999999</v>
      </c>
      <c r="BU660" s="41"/>
      <c r="BV660" s="41"/>
      <c r="BW660" s="41"/>
      <c r="BX660" s="41"/>
      <c r="BY660" s="41"/>
      <c r="BZ660" s="41"/>
      <c r="CA660" s="41"/>
      <c r="CB660" s="41"/>
      <c r="CC660" s="41"/>
      <c r="CD660" s="41"/>
      <c r="CE660" s="41"/>
      <c r="CF660" s="41"/>
      <c r="CG660" s="41"/>
      <c r="CH660" s="41"/>
      <c r="CI660" s="41"/>
      <c r="CJ660" s="41"/>
      <c r="CK660" s="41"/>
    </row>
    <row r="661" spans="1:89" ht="15" customHeight="1">
      <c r="A661" s="41" t="s">
        <v>915</v>
      </c>
      <c r="B661" s="51">
        <v>108.37333333333</v>
      </c>
      <c r="C661" s="51">
        <v>111.87</v>
      </c>
      <c r="D661" s="51">
        <v>108.01</v>
      </c>
      <c r="E661" s="51">
        <v>105.24</v>
      </c>
      <c r="F661" s="51">
        <v>71.48</v>
      </c>
      <c r="G661" s="51">
        <v>74.09</v>
      </c>
      <c r="H661" s="51">
        <v>4.5692000000000004</v>
      </c>
      <c r="I661" s="51">
        <v>9.77</v>
      </c>
      <c r="J661" s="51">
        <v>16.13</v>
      </c>
      <c r="K661" s="51">
        <v>112.85978969451</v>
      </c>
      <c r="L661" s="51">
        <v>3.1743299999999999</v>
      </c>
      <c r="M661" s="51">
        <v>4.362722518</v>
      </c>
      <c r="N661" s="51">
        <v>2.1805896420000002</v>
      </c>
      <c r="O661" s="51">
        <v>2.8475067078</v>
      </c>
      <c r="P661" s="51">
        <v>3.57636224098</v>
      </c>
      <c r="Q661" s="51">
        <v>3.0611578823999999</v>
      </c>
      <c r="R661" s="51">
        <v>1.905</v>
      </c>
      <c r="S661" s="51">
        <v>1393.25</v>
      </c>
      <c r="T661" s="51">
        <v>1180</v>
      </c>
      <c r="U661" s="51">
        <v>1720.67</v>
      </c>
      <c r="V661" s="51">
        <v>1366.87</v>
      </c>
      <c r="W661" s="51">
        <v>861.88</v>
      </c>
      <c r="X661" s="51">
        <v>1233.75</v>
      </c>
      <c r="Y661" s="51">
        <v>511.14</v>
      </c>
      <c r="Z661" s="51">
        <v>925.82</v>
      </c>
      <c r="AA661" s="51">
        <v>543.86</v>
      </c>
      <c r="AB661" s="51">
        <v>948.33</v>
      </c>
      <c r="AC661" s="51">
        <v>942.38</v>
      </c>
      <c r="AD661" s="51">
        <v>160.29424583333</v>
      </c>
      <c r="AE661" s="51">
        <v>202.39482480000001</v>
      </c>
      <c r="AF661" s="51">
        <v>204.69896700000001</v>
      </c>
      <c r="AG661" s="51">
        <v>397</v>
      </c>
      <c r="AH661" s="51">
        <v>356</v>
      </c>
      <c r="AI661" s="51">
        <v>402.57</v>
      </c>
      <c r="AJ661" s="51">
        <v>404.5</v>
      </c>
      <c r="AK661" s="51">
        <v>236.64760663499999</v>
      </c>
      <c r="AL661" s="51">
        <v>306.44220780000001</v>
      </c>
      <c r="AM661" s="51">
        <v>1.0711769075199999</v>
      </c>
      <c r="AN661" s="51">
        <v>0.92662934374999995</v>
      </c>
      <c r="AO661" s="51">
        <v>0.83456079163999997</v>
      </c>
      <c r="AP661" s="51">
        <v>4.5439422819999997</v>
      </c>
      <c r="AQ661" s="51">
        <v>2.5510602857100002</v>
      </c>
      <c r="AR661" s="51">
        <v>7.8998999999999997</v>
      </c>
      <c r="AS661" s="51">
        <v>18.14622722</v>
      </c>
      <c r="AT661" s="51">
        <v>0.44382769599999999</v>
      </c>
      <c r="AU661" s="51">
        <v>0.56548503000000006</v>
      </c>
      <c r="AV661" s="51">
        <v>0.400579454</v>
      </c>
      <c r="AW661" s="51">
        <v>4996.0749999999998</v>
      </c>
      <c r="AX661" s="51">
        <v>475.685</v>
      </c>
      <c r="AY661" s="51">
        <v>291.72154850481002</v>
      </c>
      <c r="AZ661" s="51">
        <v>810.00753473790996</v>
      </c>
      <c r="BA661" s="51">
        <v>921.32249999999999</v>
      </c>
      <c r="BB661" s="51">
        <v>535.08290673568001</v>
      </c>
      <c r="BC661" s="51">
        <v>2.0039995799999999</v>
      </c>
      <c r="BD661" s="51">
        <v>1.7113</v>
      </c>
      <c r="BE661" s="51">
        <v>2.0394000000000001</v>
      </c>
      <c r="BF661" s="51">
        <v>111.4</v>
      </c>
      <c r="BG661" s="51">
        <v>421.375</v>
      </c>
      <c r="BH661" s="51">
        <v>389</v>
      </c>
      <c r="BI661" s="51">
        <v>288.75</v>
      </c>
      <c r="BJ661" s="51">
        <v>301.5</v>
      </c>
      <c r="BK661" s="51">
        <v>1838.95</v>
      </c>
      <c r="BL661" s="51">
        <v>92.742999999999995</v>
      </c>
      <c r="BM661" s="51">
        <v>6821.14</v>
      </c>
      <c r="BN661" s="51">
        <v>2106.94</v>
      </c>
      <c r="BO661" s="51">
        <v>22762</v>
      </c>
      <c r="BP661" s="51">
        <v>18628.810000000001</v>
      </c>
      <c r="BQ661" s="51">
        <v>2128.1</v>
      </c>
      <c r="BR661" s="51">
        <v>1279.0999999999999</v>
      </c>
      <c r="BS661" s="51">
        <v>1452.76</v>
      </c>
      <c r="BT661" s="51">
        <v>19.891999999999999</v>
      </c>
      <c r="BU661" s="41"/>
      <c r="BV661" s="41"/>
      <c r="BW661" s="41"/>
      <c r="BX661" s="41"/>
      <c r="BY661" s="41"/>
      <c r="BZ661" s="41"/>
      <c r="CA661" s="41"/>
      <c r="CB661" s="41"/>
      <c r="CC661" s="41"/>
      <c r="CD661" s="41"/>
      <c r="CE661" s="41"/>
      <c r="CF661" s="41"/>
      <c r="CG661" s="41"/>
      <c r="CH661" s="41"/>
      <c r="CI661" s="41"/>
      <c r="CJ661" s="41"/>
      <c r="CK661" s="41"/>
    </row>
    <row r="662" spans="1:89" ht="15" customHeight="1">
      <c r="A662" s="48" t="s">
        <v>916</v>
      </c>
      <c r="B662" s="49">
        <v>105.22666666667</v>
      </c>
      <c r="C662" s="49">
        <v>106.98</v>
      </c>
      <c r="D662" s="49">
        <v>105.76</v>
      </c>
      <c r="E662" s="49">
        <v>102.94</v>
      </c>
      <c r="F662" s="49">
        <v>68.75</v>
      </c>
      <c r="G662" s="49">
        <v>71.44</v>
      </c>
      <c r="H662" s="49">
        <v>4.0099</v>
      </c>
      <c r="I662" s="49">
        <v>9.27</v>
      </c>
      <c r="J662" s="49">
        <v>15.20882662987</v>
      </c>
      <c r="K662" s="49">
        <v>103.06692548226</v>
      </c>
      <c r="L662" s="49">
        <v>3.19604</v>
      </c>
      <c r="M662" s="49">
        <v>4.3408967799999996</v>
      </c>
      <c r="N662" s="49">
        <v>2.2440826980000002</v>
      </c>
      <c r="O662" s="49">
        <v>2.9643729030700001</v>
      </c>
      <c r="P662" s="49">
        <v>3.5096506717899998</v>
      </c>
      <c r="Q662" s="49">
        <v>3.2884680374299999</v>
      </c>
      <c r="R662" s="49">
        <v>2.0950000000000002</v>
      </c>
      <c r="S662" s="49">
        <v>1255.22</v>
      </c>
      <c r="T662" s="49">
        <v>1181.74</v>
      </c>
      <c r="U662" s="49">
        <v>1734.13</v>
      </c>
      <c r="V662" s="49">
        <v>1373.38</v>
      </c>
      <c r="W662" s="49">
        <v>853.69</v>
      </c>
      <c r="X662" s="49">
        <v>1106.3</v>
      </c>
      <c r="Y662" s="49">
        <v>471.74</v>
      </c>
      <c r="Z662" s="49">
        <v>897.43</v>
      </c>
      <c r="AA662" s="49">
        <v>503.35</v>
      </c>
      <c r="AB662" s="49">
        <v>892.08</v>
      </c>
      <c r="AC662" s="49">
        <v>908.04</v>
      </c>
      <c r="AD662" s="49">
        <v>138.70734166667</v>
      </c>
      <c r="AE662" s="49">
        <v>182.726572</v>
      </c>
      <c r="AF662" s="49">
        <v>193.01448099999999</v>
      </c>
      <c r="AG662" s="49">
        <v>422</v>
      </c>
      <c r="AH662" s="49">
        <v>375</v>
      </c>
      <c r="AI662" s="49">
        <v>435.39</v>
      </c>
      <c r="AJ662" s="49">
        <v>420.87</v>
      </c>
      <c r="AK662" s="49">
        <v>218.308840938</v>
      </c>
      <c r="AL662" s="49">
        <v>280.35420210000001</v>
      </c>
      <c r="AM662" s="49">
        <v>1.0226080266099999</v>
      </c>
      <c r="AN662" s="49">
        <v>0.93007406250000002</v>
      </c>
      <c r="AO662" s="49">
        <v>0.78965097912000004</v>
      </c>
      <c r="AP662" s="49">
        <v>5.1702748239999998</v>
      </c>
      <c r="AQ662" s="49">
        <v>2.4511365999999999</v>
      </c>
      <c r="AR662" s="49">
        <v>7.7462</v>
      </c>
      <c r="AS662" s="49">
        <v>18.981778200000001</v>
      </c>
      <c r="AT662" s="49">
        <v>0.44226020799999999</v>
      </c>
      <c r="AU662" s="49">
        <v>0.54630483600000002</v>
      </c>
      <c r="AV662" s="49">
        <v>0.40256361200000002</v>
      </c>
      <c r="AW662" s="49">
        <v>4991.2583333333296</v>
      </c>
      <c r="AX662" s="49">
        <v>474.005</v>
      </c>
      <c r="AY662" s="49">
        <v>292.69672623061001</v>
      </c>
      <c r="AZ662" s="49">
        <v>818.15312958591005</v>
      </c>
      <c r="BA662" s="49">
        <v>930.58749999999998</v>
      </c>
      <c r="BB662" s="49">
        <v>536.87160193074999</v>
      </c>
      <c r="BC662" s="49">
        <v>1.8483534079999999</v>
      </c>
      <c r="BD662" s="49">
        <v>1.7003999999999999</v>
      </c>
      <c r="BE662" s="49">
        <v>1.9985999999999999</v>
      </c>
      <c r="BF662" s="49">
        <v>111</v>
      </c>
      <c r="BG662" s="49">
        <v>440.625</v>
      </c>
      <c r="BH662" s="49">
        <v>390</v>
      </c>
      <c r="BI662" s="49">
        <v>305</v>
      </c>
      <c r="BJ662" s="49">
        <v>279.5</v>
      </c>
      <c r="BK662" s="49">
        <v>1948.3</v>
      </c>
      <c r="BL662" s="49">
        <v>96.05</v>
      </c>
      <c r="BM662" s="49">
        <v>7113.38</v>
      </c>
      <c r="BN662" s="49">
        <v>2193.2399999999998</v>
      </c>
      <c r="BO662" s="49">
        <v>22424.01</v>
      </c>
      <c r="BP662" s="49">
        <v>19117.650000000001</v>
      </c>
      <c r="BQ662" s="49">
        <v>2310.62</v>
      </c>
      <c r="BR662" s="49">
        <v>1310.5899999999999</v>
      </c>
      <c r="BS662" s="49">
        <v>1492.18</v>
      </c>
      <c r="BT662" s="49">
        <v>20.922999999999998</v>
      </c>
      <c r="BU662" s="41"/>
      <c r="BV662" s="41"/>
      <c r="BW662" s="41"/>
      <c r="BX662" s="41"/>
      <c r="BY662" s="41"/>
      <c r="BZ662" s="41"/>
      <c r="CA662" s="41"/>
      <c r="CB662" s="41"/>
      <c r="CC662" s="41"/>
      <c r="CD662" s="41"/>
      <c r="CE662" s="41"/>
      <c r="CF662" s="41"/>
      <c r="CG662" s="41"/>
      <c r="CH662" s="41"/>
      <c r="CI662" s="41"/>
      <c r="CJ662" s="41"/>
      <c r="CK662" s="41"/>
    </row>
    <row r="663" spans="1:89" ht="15" customHeight="1">
      <c r="A663" s="41" t="s">
        <v>919</v>
      </c>
      <c r="B663" s="51">
        <v>100.05</v>
      </c>
      <c r="C663" s="51">
        <v>101.92</v>
      </c>
      <c r="D663" s="51">
        <v>101.85</v>
      </c>
      <c r="E663" s="51">
        <v>96.38</v>
      </c>
      <c r="F663" s="51">
        <v>68.94</v>
      </c>
      <c r="G663" s="51">
        <v>71.19</v>
      </c>
      <c r="H663" s="51">
        <v>3.8839999999999999</v>
      </c>
      <c r="I663" s="51">
        <v>9.14</v>
      </c>
      <c r="J663" s="51">
        <v>15.74</v>
      </c>
      <c r="K663" s="51">
        <v>101.27992523272999</v>
      </c>
      <c r="L663" s="51">
        <v>3.27027</v>
      </c>
      <c r="M663" s="51">
        <v>4.6951792140000004</v>
      </c>
      <c r="N663" s="51">
        <v>2.2101315499999998</v>
      </c>
      <c r="O663" s="51">
        <v>2.7922872494900002</v>
      </c>
      <c r="P663" s="51">
        <v>3.4865591397800002</v>
      </c>
      <c r="Q663" s="51">
        <v>2.8603026086900001</v>
      </c>
      <c r="R663" s="51">
        <v>2.0299999999999998</v>
      </c>
      <c r="S663" s="51">
        <v>1187.6199999999999</v>
      </c>
      <c r="T663" s="51">
        <v>1200</v>
      </c>
      <c r="U663" s="51">
        <v>1729.32</v>
      </c>
      <c r="V663" s="51">
        <v>1388.91</v>
      </c>
      <c r="W663" s="51">
        <v>778.69</v>
      </c>
      <c r="X663" s="51">
        <v>938.81</v>
      </c>
      <c r="Y663" s="51">
        <v>458.57</v>
      </c>
      <c r="Z663" s="51">
        <v>861.77</v>
      </c>
      <c r="AA663" s="51">
        <v>502.12</v>
      </c>
      <c r="AB663" s="51">
        <v>851.75</v>
      </c>
      <c r="AC663" s="51">
        <v>853.75</v>
      </c>
      <c r="AD663" s="51">
        <v>118.49832499999999</v>
      </c>
      <c r="AE663" s="51">
        <v>176.42375519999999</v>
      </c>
      <c r="AF663" s="51">
        <v>191.36101600000001</v>
      </c>
      <c r="AG663" s="51">
        <v>445</v>
      </c>
      <c r="AH663" s="51">
        <v>414</v>
      </c>
      <c r="AI663" s="51">
        <v>460.57</v>
      </c>
      <c r="AJ663" s="51">
        <v>442.62</v>
      </c>
      <c r="AK663" s="51">
        <v>220.362812091</v>
      </c>
      <c r="AL663" s="51">
        <v>263.45211389999997</v>
      </c>
      <c r="AM663" s="51">
        <v>0.98893702380000004</v>
      </c>
      <c r="AN663" s="51">
        <v>0.95763181249999996</v>
      </c>
      <c r="AO663" s="51">
        <v>0.76817467301999998</v>
      </c>
      <c r="AP663" s="51">
        <v>5.793300436</v>
      </c>
      <c r="AQ663" s="51">
        <v>2.2707586000000002</v>
      </c>
      <c r="AR663" s="51">
        <v>7.7161999999999997</v>
      </c>
      <c r="AS663" s="51">
        <v>19.248537219999999</v>
      </c>
      <c r="AT663" s="51">
        <v>0.43487995200000001</v>
      </c>
      <c r="AU663" s="51">
        <v>0.56526456800000002</v>
      </c>
      <c r="AV663" s="51">
        <v>0.37963556399999998</v>
      </c>
      <c r="AW663" s="51">
        <v>4919.9666666666699</v>
      </c>
      <c r="AX663" s="51">
        <v>466.09500000000003</v>
      </c>
      <c r="AY663" s="51">
        <v>289.17128727455997</v>
      </c>
      <c r="AZ663" s="51">
        <v>800.32865144794005</v>
      </c>
      <c r="BA663" s="51">
        <v>910.31349999999998</v>
      </c>
      <c r="BB663" s="51">
        <v>530.40515427271998</v>
      </c>
      <c r="BC663" s="51">
        <v>1.6314188000000001</v>
      </c>
      <c r="BD663" s="51">
        <v>1.6660999999999999</v>
      </c>
      <c r="BE663" s="51">
        <v>1.86</v>
      </c>
      <c r="BF663" s="51">
        <v>111</v>
      </c>
      <c r="BG663" s="51">
        <v>446.5</v>
      </c>
      <c r="BH663" s="51">
        <v>391</v>
      </c>
      <c r="BI663" s="51">
        <v>311.25</v>
      </c>
      <c r="BJ663" s="51">
        <v>279.5</v>
      </c>
      <c r="BK663" s="51">
        <v>2030.49</v>
      </c>
      <c r="BL663" s="51">
        <v>92.614000000000004</v>
      </c>
      <c r="BM663" s="51">
        <v>7001.84</v>
      </c>
      <c r="BN663" s="51">
        <v>2236.84</v>
      </c>
      <c r="BO663" s="51">
        <v>22231.05</v>
      </c>
      <c r="BP663" s="51">
        <v>18600.2</v>
      </c>
      <c r="BQ663" s="51">
        <v>2326.9899999999998</v>
      </c>
      <c r="BR663" s="51">
        <v>1295.1300000000001</v>
      </c>
      <c r="BS663" s="51">
        <v>1446.33</v>
      </c>
      <c r="BT663" s="51">
        <v>19.736000000000001</v>
      </c>
      <c r="BU663" s="41"/>
      <c r="BV663" s="41"/>
      <c r="BW663" s="41"/>
      <c r="BX663" s="41"/>
      <c r="BY663" s="41"/>
      <c r="BZ663" s="41"/>
      <c r="CA663" s="41"/>
      <c r="CB663" s="41"/>
      <c r="CC663" s="41"/>
      <c r="CD663" s="41"/>
      <c r="CE663" s="41"/>
      <c r="CF663" s="41"/>
      <c r="CG663" s="41"/>
      <c r="CH663" s="41"/>
      <c r="CI663" s="41"/>
      <c r="CJ663" s="41"/>
      <c r="CK663" s="41"/>
    </row>
    <row r="664" spans="1:89" ht="15" customHeight="1">
      <c r="A664" s="48" t="s">
        <v>920</v>
      </c>
      <c r="B664" s="49">
        <v>95.85</v>
      </c>
      <c r="C664" s="49">
        <v>97.34</v>
      </c>
      <c r="D664" s="49">
        <v>96.99</v>
      </c>
      <c r="E664" s="49">
        <v>93.22</v>
      </c>
      <c r="F664" s="49">
        <v>65.94</v>
      </c>
      <c r="G664" s="49">
        <v>67.86</v>
      </c>
      <c r="H664" s="49">
        <v>3.9169999999999998</v>
      </c>
      <c r="I664" s="49">
        <v>9.24</v>
      </c>
      <c r="J664" s="49">
        <v>15.16</v>
      </c>
      <c r="K664" s="49">
        <v>101.76310720818999</v>
      </c>
      <c r="L664" s="49">
        <v>3.2148300000000001</v>
      </c>
      <c r="M664" s="49">
        <v>4.641386486</v>
      </c>
      <c r="N664" s="49">
        <v>2.2160840240000002</v>
      </c>
      <c r="O664" s="49">
        <v>2.63503948919</v>
      </c>
      <c r="P664" s="49">
        <v>3.3678692047899998</v>
      </c>
      <c r="Q664" s="49">
        <v>2.6452492627700002</v>
      </c>
      <c r="R664" s="49">
        <v>1.8919999999999999</v>
      </c>
      <c r="S664" s="49">
        <v>1193.4100000000001</v>
      </c>
      <c r="T664" s="49">
        <v>1213.6400000000001</v>
      </c>
      <c r="U664" s="49">
        <v>1678.85</v>
      </c>
      <c r="V664" s="49">
        <v>1388.91</v>
      </c>
      <c r="W664" s="49">
        <v>760.75</v>
      </c>
      <c r="X664" s="49">
        <v>904.55</v>
      </c>
      <c r="Y664" s="49">
        <v>430.17</v>
      </c>
      <c r="Z664" s="49">
        <v>839.82</v>
      </c>
      <c r="AA664" s="49">
        <v>459.73</v>
      </c>
      <c r="AB664" s="49">
        <v>836.46</v>
      </c>
      <c r="AC664" s="49">
        <v>834.09</v>
      </c>
      <c r="AD664" s="49">
        <v>105.63804166667001</v>
      </c>
      <c r="AE664" s="49">
        <v>163.0583192</v>
      </c>
      <c r="AF664" s="49">
        <v>180.558378</v>
      </c>
      <c r="AG664" s="49">
        <v>432</v>
      </c>
      <c r="AH664" s="49">
        <v>411</v>
      </c>
      <c r="AI664" s="49">
        <v>449.91</v>
      </c>
      <c r="AJ664" s="49">
        <v>442.05</v>
      </c>
      <c r="AK664" s="49">
        <v>202.83240713399999</v>
      </c>
      <c r="AL664" s="49">
        <v>243.6105321</v>
      </c>
      <c r="AM664" s="49">
        <v>0.96690945972999998</v>
      </c>
      <c r="AN664" s="49">
        <v>0.92318462499999998</v>
      </c>
      <c r="AO664" s="49">
        <v>0.76880944068000001</v>
      </c>
      <c r="AP664" s="49">
        <v>6.1746996960000002</v>
      </c>
      <c r="AQ664" s="49">
        <v>2.3599932190500001</v>
      </c>
      <c r="AR664" s="49">
        <v>7.7161999999999997</v>
      </c>
      <c r="AS664" s="49">
        <v>18.34684764</v>
      </c>
      <c r="AT664" s="49">
        <v>0.42155630399999999</v>
      </c>
      <c r="AU664" s="49">
        <v>0.55909163200000001</v>
      </c>
      <c r="AV664" s="49">
        <v>0.35340058600000002</v>
      </c>
      <c r="AW664" s="49">
        <v>4923.7666666666701</v>
      </c>
      <c r="AX664" s="49">
        <v>451.815</v>
      </c>
      <c r="AY664" s="49">
        <v>277.55159448924002</v>
      </c>
      <c r="AZ664" s="49">
        <v>781.59378329753997</v>
      </c>
      <c r="BA664" s="49">
        <v>889.00400000000002</v>
      </c>
      <c r="BB664" s="49">
        <v>509.09202528786</v>
      </c>
      <c r="BC664" s="49">
        <v>1.6177501560000001</v>
      </c>
      <c r="BD664" s="49">
        <v>1.5319</v>
      </c>
      <c r="BE664" s="49">
        <v>1.6704000000000001</v>
      </c>
      <c r="BF664" s="49">
        <v>111.375</v>
      </c>
      <c r="BG664" s="49">
        <v>438.1</v>
      </c>
      <c r="BH664" s="49">
        <v>398</v>
      </c>
      <c r="BI664" s="49">
        <v>317.5</v>
      </c>
      <c r="BJ664" s="49">
        <v>279.5</v>
      </c>
      <c r="BK664" s="49">
        <v>1990.43</v>
      </c>
      <c r="BL664" s="49">
        <v>82.379545454549998</v>
      </c>
      <c r="BM664" s="49">
        <v>6872.22</v>
      </c>
      <c r="BN664" s="49">
        <v>2117.2399999999998</v>
      </c>
      <c r="BO664" s="49">
        <v>21090.52</v>
      </c>
      <c r="BP664" s="49">
        <v>18034.8</v>
      </c>
      <c r="BQ664" s="49">
        <v>2294.59</v>
      </c>
      <c r="BR664" s="49">
        <v>1236.55</v>
      </c>
      <c r="BS664" s="49">
        <v>1359.48</v>
      </c>
      <c r="BT664" s="49">
        <v>18.369</v>
      </c>
      <c r="BU664" s="41"/>
      <c r="BV664" s="41"/>
      <c r="BW664" s="41"/>
      <c r="BX664" s="41"/>
      <c r="BY664" s="41"/>
      <c r="BZ664" s="41"/>
      <c r="CA664" s="41"/>
      <c r="CB664" s="41"/>
      <c r="CC664" s="41"/>
      <c r="CD664" s="41"/>
      <c r="CE664" s="41"/>
      <c r="CF664" s="41"/>
      <c r="CG664" s="41"/>
      <c r="CH664" s="41"/>
      <c r="CI664" s="41"/>
      <c r="CJ664" s="41"/>
      <c r="CK664" s="41"/>
    </row>
    <row r="665" spans="1:89" ht="15" customHeight="1">
      <c r="A665" s="41" t="s">
        <v>921</v>
      </c>
      <c r="B665" s="51">
        <v>86.08</v>
      </c>
      <c r="C665" s="51">
        <v>87.27</v>
      </c>
      <c r="D665" s="51">
        <v>86.57</v>
      </c>
      <c r="E665" s="51">
        <v>84.4</v>
      </c>
      <c r="F665" s="51">
        <v>63.71</v>
      </c>
      <c r="G665" s="51">
        <v>65.739999999999995</v>
      </c>
      <c r="H665" s="51">
        <v>3.7719</v>
      </c>
      <c r="I665" s="51">
        <v>9.77</v>
      </c>
      <c r="J665" s="51">
        <v>15.89</v>
      </c>
      <c r="K665" s="51">
        <v>103.01527984123</v>
      </c>
      <c r="L665" s="51">
        <v>3.1008300000000002</v>
      </c>
      <c r="M665" s="51">
        <v>4.9667883980000003</v>
      </c>
      <c r="N665" s="51">
        <v>2.3082371400000001</v>
      </c>
      <c r="O665" s="51">
        <v>2.6490140385699998</v>
      </c>
      <c r="P665" s="51">
        <v>3.4227324913900001</v>
      </c>
      <c r="Q665" s="51">
        <v>2.6118096243300002</v>
      </c>
      <c r="R665" s="51">
        <v>1.9125000000000001</v>
      </c>
      <c r="S665" s="51">
        <v>1148.7</v>
      </c>
      <c r="T665" s="51">
        <v>1338.7</v>
      </c>
      <c r="U665" s="51">
        <v>1696.44</v>
      </c>
      <c r="V665" s="51">
        <v>1388.91</v>
      </c>
      <c r="W665" s="51">
        <v>764.4</v>
      </c>
      <c r="X665" s="51">
        <v>936.09</v>
      </c>
      <c r="Y665" s="51">
        <v>425.81</v>
      </c>
      <c r="Z665" s="51">
        <v>833.03</v>
      </c>
      <c r="AA665" s="51">
        <v>453.13</v>
      </c>
      <c r="AB665" s="51">
        <v>859.11</v>
      </c>
      <c r="AC665" s="51">
        <v>888.26</v>
      </c>
      <c r="AD665" s="51">
        <v>112.06818333333</v>
      </c>
      <c r="AE665" s="51">
        <v>163.121308</v>
      </c>
      <c r="AF665" s="51">
        <v>195.21910099999999</v>
      </c>
      <c r="AG665" s="51">
        <v>428</v>
      </c>
      <c r="AH665" s="51">
        <v>409</v>
      </c>
      <c r="AI665" s="51">
        <v>437.57</v>
      </c>
      <c r="AJ665" s="51">
        <v>436.96</v>
      </c>
      <c r="AK665" s="51">
        <v>220.14235007100001</v>
      </c>
      <c r="AL665" s="51">
        <v>245.44771560000001</v>
      </c>
      <c r="AM665" s="51">
        <v>1.0087932989699999</v>
      </c>
      <c r="AN665" s="51">
        <v>0.89783149500000003</v>
      </c>
      <c r="AO665" s="51">
        <v>0.73215160785</v>
      </c>
      <c r="AP665" s="51">
        <v>5.9529149239999999</v>
      </c>
      <c r="AQ665" s="51">
        <v>2.3608604608700001</v>
      </c>
      <c r="AR665" s="51">
        <v>7.7424999999999997</v>
      </c>
      <c r="AS665" s="51">
        <v>17.502478180000001</v>
      </c>
      <c r="AT665" s="51">
        <v>0.413784176</v>
      </c>
      <c r="AU665" s="51">
        <v>0.58224014199999996</v>
      </c>
      <c r="AV665" s="51">
        <v>0.36927385000000001</v>
      </c>
      <c r="AW665" s="51">
        <v>4943.2250000000004</v>
      </c>
      <c r="AX665" s="51">
        <v>443.48500000000001</v>
      </c>
      <c r="AY665" s="51">
        <v>275.64985208255001</v>
      </c>
      <c r="AZ665" s="51">
        <v>769.95037419128005</v>
      </c>
      <c r="BA665" s="51">
        <v>875.76049999999998</v>
      </c>
      <c r="BB665" s="51">
        <v>505.60380215163002</v>
      </c>
      <c r="BC665" s="51">
        <v>1.550729708</v>
      </c>
      <c r="BD665" s="51">
        <v>1.5061</v>
      </c>
      <c r="BE665" s="51">
        <v>1.6332</v>
      </c>
      <c r="BF665" s="51">
        <v>116</v>
      </c>
      <c r="BG665" s="51">
        <v>418.75</v>
      </c>
      <c r="BH665" s="51">
        <v>398</v>
      </c>
      <c r="BI665" s="51">
        <v>317.5</v>
      </c>
      <c r="BJ665" s="51">
        <v>279.5</v>
      </c>
      <c r="BK665" s="51">
        <v>1946.19</v>
      </c>
      <c r="BL665" s="51">
        <v>81.06</v>
      </c>
      <c r="BM665" s="51">
        <v>6737.48</v>
      </c>
      <c r="BN665" s="51">
        <v>2034.26</v>
      </c>
      <c r="BO665" s="51">
        <v>19830.41</v>
      </c>
      <c r="BP665" s="51">
        <v>15812.37</v>
      </c>
      <c r="BQ665" s="51">
        <v>2276.83</v>
      </c>
      <c r="BR665" s="51">
        <v>1222.49</v>
      </c>
      <c r="BS665" s="51">
        <v>1259.76</v>
      </c>
      <c r="BT665" s="51">
        <v>17.163</v>
      </c>
      <c r="BU665" s="41"/>
      <c r="BV665" s="41"/>
      <c r="BW665" s="41"/>
      <c r="BX665" s="41"/>
      <c r="BY665" s="41"/>
      <c r="BZ665" s="41"/>
      <c r="CA665" s="41"/>
      <c r="CB665" s="41"/>
      <c r="CC665" s="41"/>
      <c r="CD665" s="41"/>
      <c r="CE665" s="41"/>
      <c r="CF665" s="41"/>
      <c r="CG665" s="41"/>
      <c r="CH665" s="41"/>
      <c r="CI665" s="41"/>
      <c r="CJ665" s="41"/>
      <c r="CK665" s="41"/>
    </row>
    <row r="666" spans="1:89" ht="15" customHeight="1">
      <c r="A666" s="48" t="s">
        <v>922</v>
      </c>
      <c r="B666" s="49">
        <v>76.99333333333</v>
      </c>
      <c r="C666" s="49">
        <v>78.44</v>
      </c>
      <c r="D666" s="49">
        <v>76.73</v>
      </c>
      <c r="E666" s="49">
        <v>75.81</v>
      </c>
      <c r="F666" s="49">
        <v>62.55</v>
      </c>
      <c r="G666" s="49">
        <v>65.66</v>
      </c>
      <c r="H666" s="49">
        <v>4.1002999999999998</v>
      </c>
      <c r="I666" s="49">
        <v>8.9</v>
      </c>
      <c r="J666" s="49">
        <v>15.59</v>
      </c>
      <c r="K666" s="49">
        <v>102.66395932005</v>
      </c>
      <c r="L666" s="49">
        <v>2.90909</v>
      </c>
      <c r="M666" s="49">
        <v>4.616033356</v>
      </c>
      <c r="N666" s="49">
        <v>2.2720813720000002</v>
      </c>
      <c r="O666" s="49">
        <v>2.6467940938800001</v>
      </c>
      <c r="P666" s="49">
        <v>3.3327291460000001</v>
      </c>
      <c r="Q666" s="49">
        <v>2.7051531356299998</v>
      </c>
      <c r="R666" s="49">
        <v>1.9025000000000001</v>
      </c>
      <c r="S666" s="49">
        <v>1191.6300000000001</v>
      </c>
      <c r="T666" s="49">
        <v>1397</v>
      </c>
      <c r="U666" s="49">
        <v>1806.34</v>
      </c>
      <c r="V666" s="49">
        <v>1388.91</v>
      </c>
      <c r="W666" s="49">
        <v>764.75</v>
      </c>
      <c r="X666" s="49">
        <v>970</v>
      </c>
      <c r="Y666" s="49">
        <v>449.9</v>
      </c>
      <c r="Z666" s="49">
        <v>825.98</v>
      </c>
      <c r="AA666" s="49">
        <v>473.6</v>
      </c>
      <c r="AB666" s="49">
        <v>841.33</v>
      </c>
      <c r="AC666" s="49">
        <v>922.75</v>
      </c>
      <c r="AD666" s="49">
        <v>113.90536666667001</v>
      </c>
      <c r="AE666" s="49">
        <v>178.74253039999999</v>
      </c>
      <c r="AF666" s="49">
        <v>213.84814</v>
      </c>
      <c r="AG666" s="49">
        <v>418</v>
      </c>
      <c r="AH666" s="49">
        <v>400</v>
      </c>
      <c r="AI666" s="49">
        <v>423.8</v>
      </c>
      <c r="AJ666" s="49">
        <v>422</v>
      </c>
      <c r="AK666" s="49">
        <v>236.026638612</v>
      </c>
      <c r="AL666" s="49">
        <v>258.6754368</v>
      </c>
      <c r="AM666" s="49">
        <v>0.99774997158000001</v>
      </c>
      <c r="AN666" s="49">
        <v>0.89907159375000001</v>
      </c>
      <c r="AO666" s="49">
        <v>0.72114896826999997</v>
      </c>
      <c r="AP666" s="49">
        <v>5.8400383800000002</v>
      </c>
      <c r="AQ666" s="49">
        <v>2.314851</v>
      </c>
      <c r="AR666" s="49">
        <v>7.8693</v>
      </c>
      <c r="AS666" s="49">
        <v>17.306266999999998</v>
      </c>
      <c r="AT666" s="49">
        <v>0.40735094399999999</v>
      </c>
      <c r="AU666" s="49">
        <v>0.534840812</v>
      </c>
      <c r="AV666" s="49">
        <v>0.35692797799999998</v>
      </c>
      <c r="AW666" s="49">
        <v>4922.2749999999996</v>
      </c>
      <c r="AX666" s="49">
        <v>436.59</v>
      </c>
      <c r="AY666" s="49">
        <v>256.13167017909001</v>
      </c>
      <c r="AZ666" s="49">
        <v>756.00703242204997</v>
      </c>
      <c r="BA666" s="49">
        <v>859.90099999999995</v>
      </c>
      <c r="BB666" s="49">
        <v>469.80306833327001</v>
      </c>
      <c r="BC666" s="49">
        <v>1.488559424</v>
      </c>
      <c r="BD666" s="49">
        <v>1.5369999999999999</v>
      </c>
      <c r="BE666" s="49">
        <v>1.6369</v>
      </c>
      <c r="BF666" s="49">
        <v>119.5</v>
      </c>
      <c r="BG666" s="49">
        <v>408.75</v>
      </c>
      <c r="BH666" s="49">
        <v>385</v>
      </c>
      <c r="BI666" s="49">
        <v>317.5</v>
      </c>
      <c r="BJ666" s="49">
        <v>279.5</v>
      </c>
      <c r="BK666" s="49">
        <v>2055.5500000000002</v>
      </c>
      <c r="BL666" s="49">
        <v>73.73</v>
      </c>
      <c r="BM666" s="49">
        <v>6712.85</v>
      </c>
      <c r="BN666" s="49">
        <v>2030.18</v>
      </c>
      <c r="BO666" s="49">
        <v>20033.47</v>
      </c>
      <c r="BP666" s="49">
        <v>15807.05</v>
      </c>
      <c r="BQ666" s="49">
        <v>2253.2199999999998</v>
      </c>
      <c r="BR666" s="49">
        <v>1175.33</v>
      </c>
      <c r="BS666" s="49">
        <v>1208.32</v>
      </c>
      <c r="BT666" s="49">
        <v>15.965999999999999</v>
      </c>
      <c r="BU666" s="41"/>
      <c r="BV666" s="41"/>
      <c r="BW666" s="41"/>
      <c r="BX666" s="41"/>
      <c r="BY666" s="41"/>
      <c r="BZ666" s="41"/>
      <c r="CA666" s="41"/>
      <c r="CB666" s="41"/>
      <c r="CC666" s="41"/>
      <c r="CD666" s="41"/>
      <c r="CE666" s="41"/>
      <c r="CF666" s="41"/>
      <c r="CG666" s="41"/>
      <c r="CH666" s="41"/>
      <c r="CI666" s="41"/>
      <c r="CJ666" s="41"/>
      <c r="CK666" s="41"/>
    </row>
    <row r="667" spans="1:89" ht="15" customHeight="1">
      <c r="A667" s="41" t="s">
        <v>923</v>
      </c>
      <c r="B667" s="51">
        <v>60.703333333330001</v>
      </c>
      <c r="C667" s="51">
        <v>62.33</v>
      </c>
      <c r="D667" s="51">
        <v>60.52</v>
      </c>
      <c r="E667" s="51">
        <v>59.26</v>
      </c>
      <c r="F667" s="51">
        <v>62.44</v>
      </c>
      <c r="G667" s="51">
        <v>66.14</v>
      </c>
      <c r="H667" s="51">
        <v>3.4327999999999999</v>
      </c>
      <c r="I667" s="51">
        <v>9.83</v>
      </c>
      <c r="J667" s="51">
        <v>15.62</v>
      </c>
      <c r="K667" s="51">
        <v>98.999777005200002</v>
      </c>
      <c r="L667" s="51">
        <v>2.9469500000000002</v>
      </c>
      <c r="M667" s="51">
        <v>4.3391330840000002</v>
      </c>
      <c r="N667" s="51">
        <v>2.197344754</v>
      </c>
      <c r="O667" s="51">
        <v>2.6244805863799998</v>
      </c>
      <c r="P667" s="51">
        <v>3.3696273433899999</v>
      </c>
      <c r="Q667" s="51">
        <v>2.6238144157500001</v>
      </c>
      <c r="R667" s="51">
        <v>1.88</v>
      </c>
      <c r="S667" s="51">
        <v>1212.1400000000001</v>
      </c>
      <c r="T667" s="51">
        <v>1427.38</v>
      </c>
      <c r="U667" s="51">
        <v>1795.13</v>
      </c>
      <c r="V667" s="51">
        <v>1372.88</v>
      </c>
      <c r="W667" s="51">
        <v>719.64</v>
      </c>
      <c r="X667" s="51">
        <v>972.26</v>
      </c>
      <c r="Y667" s="51">
        <v>448.32</v>
      </c>
      <c r="Z667" s="51">
        <v>814.55</v>
      </c>
      <c r="AA667" s="51">
        <v>469.67</v>
      </c>
      <c r="AB667" s="51">
        <v>814.81</v>
      </c>
      <c r="AC667" s="51">
        <v>900.95</v>
      </c>
      <c r="AD667" s="51">
        <v>123.09128333333</v>
      </c>
      <c r="AE667" s="51">
        <v>178.73465680000001</v>
      </c>
      <c r="AF667" s="51">
        <v>227.296322</v>
      </c>
      <c r="AG667" s="51">
        <v>418</v>
      </c>
      <c r="AH667" s="51">
        <v>398</v>
      </c>
      <c r="AI667" s="51">
        <v>421.18</v>
      </c>
      <c r="AJ667" s="51">
        <v>382.39</v>
      </c>
      <c r="AK667" s="51">
        <v>261.780276915</v>
      </c>
      <c r="AL667" s="51">
        <v>269.6985378</v>
      </c>
      <c r="AM667" s="51">
        <v>0.94885756268999999</v>
      </c>
      <c r="AN667" s="51">
        <v>0.90940575000000001</v>
      </c>
      <c r="AO667" s="51">
        <v>0.76923261912999996</v>
      </c>
      <c r="AP667" s="51">
        <v>5.4637097460000001</v>
      </c>
      <c r="AQ667" s="51">
        <v>2.2235167428599998</v>
      </c>
      <c r="AR667" s="51">
        <v>8.2121999999999993</v>
      </c>
      <c r="AS667" s="51">
        <v>17.3834287</v>
      </c>
      <c r="AT667" s="51">
        <v>0.40228926399999998</v>
      </c>
      <c r="AU667" s="51">
        <v>0.546966222</v>
      </c>
      <c r="AV667" s="51">
        <v>0.33796824600000003</v>
      </c>
      <c r="AW667" s="51">
        <v>4926.2250000000004</v>
      </c>
      <c r="AX667" s="51">
        <v>431.16500000000002</v>
      </c>
      <c r="AY667" s="51">
        <v>249.39418635265</v>
      </c>
      <c r="AZ667" s="51">
        <v>749.20306496078001</v>
      </c>
      <c r="BA667" s="51">
        <v>852.16200000000003</v>
      </c>
      <c r="BB667" s="51">
        <v>457.44500822967001</v>
      </c>
      <c r="BC667" s="51">
        <v>1.50575546</v>
      </c>
      <c r="BD667" s="51">
        <v>1.4711000000000001</v>
      </c>
      <c r="BE667" s="51">
        <v>1.6080000000000001</v>
      </c>
      <c r="BF667" s="51">
        <v>119.5</v>
      </c>
      <c r="BG667" s="51">
        <v>418.375</v>
      </c>
      <c r="BH667" s="51">
        <v>381</v>
      </c>
      <c r="BI667" s="51">
        <v>308.125</v>
      </c>
      <c r="BJ667" s="51">
        <v>279.5</v>
      </c>
      <c r="BK667" s="51">
        <v>1909.46</v>
      </c>
      <c r="BL667" s="51">
        <v>68.39</v>
      </c>
      <c r="BM667" s="51">
        <v>6446.45</v>
      </c>
      <c r="BN667" s="51">
        <v>1938.11</v>
      </c>
      <c r="BO667" s="51">
        <v>19829.71</v>
      </c>
      <c r="BP667" s="51">
        <v>15962.05</v>
      </c>
      <c r="BQ667" s="51">
        <v>2175.7600000000002</v>
      </c>
      <c r="BR667" s="51">
        <v>1200.6199999999999</v>
      </c>
      <c r="BS667" s="51">
        <v>1215.32</v>
      </c>
      <c r="BT667" s="51">
        <v>16.295000000000002</v>
      </c>
      <c r="BU667" s="41"/>
      <c r="BV667" s="41"/>
      <c r="BW667" s="41"/>
      <c r="BX667" s="41"/>
      <c r="BY667" s="41"/>
      <c r="BZ667" s="41"/>
      <c r="CA667" s="41"/>
      <c r="CB667" s="41"/>
      <c r="CC667" s="41"/>
      <c r="CD667" s="41"/>
      <c r="CE667" s="41"/>
      <c r="CF667" s="41"/>
      <c r="CG667" s="41"/>
      <c r="CH667" s="41"/>
      <c r="CI667" s="41"/>
      <c r="CJ667" s="41"/>
      <c r="CK667" s="41"/>
    </row>
    <row r="668" spans="1:89" ht="15" customHeight="1">
      <c r="A668" s="48" t="s">
        <v>924</v>
      </c>
      <c r="B668" s="49">
        <v>47.106666666670002</v>
      </c>
      <c r="C668" s="49">
        <v>48.07</v>
      </c>
      <c r="D668" s="49">
        <v>45.98</v>
      </c>
      <c r="E668" s="49">
        <v>47.27</v>
      </c>
      <c r="F668" s="49">
        <v>61.44</v>
      </c>
      <c r="G668" s="49">
        <v>59.29</v>
      </c>
      <c r="H668" s="49">
        <v>2.9742999999999999</v>
      </c>
      <c r="I668" s="49">
        <v>9.25</v>
      </c>
      <c r="J668" s="49">
        <v>16.18733797094</v>
      </c>
      <c r="K668" s="49">
        <v>91.059104632559993</v>
      </c>
      <c r="L668" s="49">
        <v>2.9159099999999998</v>
      </c>
      <c r="M668" s="49">
        <v>4.1887780000000001</v>
      </c>
      <c r="N668" s="49">
        <v>2.1607480620000001</v>
      </c>
      <c r="O668" s="49">
        <v>2.6145454779100001</v>
      </c>
      <c r="P668" s="49">
        <v>3.24</v>
      </c>
      <c r="Q668" s="49">
        <v>2.2836364337199999</v>
      </c>
      <c r="R668" s="49">
        <v>2.3199999999999998</v>
      </c>
      <c r="S668" s="49">
        <v>1145.71</v>
      </c>
      <c r="T668" s="49">
        <v>1392.86</v>
      </c>
      <c r="U668" s="49">
        <v>1712.65</v>
      </c>
      <c r="V668" s="49">
        <v>1350.33</v>
      </c>
      <c r="W668" s="49">
        <v>719.64</v>
      </c>
      <c r="X668" s="49">
        <v>1010.48</v>
      </c>
      <c r="Y668" s="49">
        <v>433.21</v>
      </c>
      <c r="Z668" s="49">
        <v>796.58</v>
      </c>
      <c r="AA668" s="49">
        <v>442.64</v>
      </c>
      <c r="AB668" s="49">
        <v>777.72</v>
      </c>
      <c r="AC668" s="49">
        <v>870.71</v>
      </c>
      <c r="AD668" s="49">
        <v>128.14353750000001</v>
      </c>
      <c r="AE668" s="49">
        <v>174.70731040000001</v>
      </c>
      <c r="AF668" s="49">
        <v>215.06068099999999</v>
      </c>
      <c r="AG668" s="49">
        <v>420</v>
      </c>
      <c r="AH668" s="49">
        <v>400</v>
      </c>
      <c r="AI668" s="49">
        <v>418.55</v>
      </c>
      <c r="AJ668" s="49">
        <v>374.42</v>
      </c>
      <c r="AK668" s="49">
        <v>231.47042353200001</v>
      </c>
      <c r="AL668" s="49">
        <v>248.3872092</v>
      </c>
      <c r="AM668" s="49">
        <v>0.88835515638999996</v>
      </c>
      <c r="AN668" s="49">
        <v>0.90940575000000001</v>
      </c>
      <c r="AO668" s="49">
        <v>0.75791259571000003</v>
      </c>
      <c r="AP668" s="49">
        <v>5.2979223219999998</v>
      </c>
      <c r="AQ668" s="49">
        <v>2.2224669238099999</v>
      </c>
      <c r="AR668" s="49">
        <v>7.9287999999999998</v>
      </c>
      <c r="AS668" s="49">
        <v>17.416498000000001</v>
      </c>
      <c r="AT668" s="49">
        <v>0.38031177599999999</v>
      </c>
      <c r="AU668" s="49">
        <v>0.55644608799999995</v>
      </c>
      <c r="AV668" s="49">
        <v>0.338188708</v>
      </c>
      <c r="AW668" s="49">
        <v>4922.8583333333299</v>
      </c>
      <c r="AX668" s="49">
        <v>407.61</v>
      </c>
      <c r="AY668" s="49">
        <v>251.47984477880999</v>
      </c>
      <c r="AZ668" s="49">
        <v>726.82663676069001</v>
      </c>
      <c r="BA668" s="49">
        <v>826.71050000000002</v>
      </c>
      <c r="BB668" s="49">
        <v>461.27057469484998</v>
      </c>
      <c r="BC668" s="49">
        <v>1.48481157</v>
      </c>
      <c r="BD668" s="49">
        <v>1.4198</v>
      </c>
      <c r="BE668" s="49">
        <v>1.6633</v>
      </c>
      <c r="BF668" s="49">
        <v>119.5</v>
      </c>
      <c r="BG668" s="49">
        <v>440.25</v>
      </c>
      <c r="BH668" s="49">
        <v>381.5</v>
      </c>
      <c r="BI668" s="49">
        <v>305</v>
      </c>
      <c r="BJ668" s="49">
        <v>279.5</v>
      </c>
      <c r="BK668" s="49">
        <v>1814.72</v>
      </c>
      <c r="BL668" s="49">
        <v>68.23</v>
      </c>
      <c r="BM668" s="49">
        <v>5830.54</v>
      </c>
      <c r="BN668" s="49">
        <v>1843.13</v>
      </c>
      <c r="BO668" s="49">
        <v>19454.12</v>
      </c>
      <c r="BP668" s="49">
        <v>14849.19</v>
      </c>
      <c r="BQ668" s="49">
        <v>2113.0500000000002</v>
      </c>
      <c r="BR668" s="49">
        <v>1250.75</v>
      </c>
      <c r="BS668" s="49">
        <v>1242.45</v>
      </c>
      <c r="BT668" s="49">
        <v>17.236000000000001</v>
      </c>
      <c r="BU668" s="41"/>
      <c r="BV668" s="41"/>
      <c r="BW668" s="41"/>
      <c r="BX668" s="41"/>
      <c r="BY668" s="41"/>
      <c r="BZ668" s="41"/>
      <c r="CA668" s="41"/>
      <c r="CB668" s="41"/>
      <c r="CC668" s="41"/>
      <c r="CD668" s="41"/>
      <c r="CE668" s="41"/>
      <c r="CF668" s="41"/>
      <c r="CG668" s="41"/>
      <c r="CH668" s="41"/>
      <c r="CI668" s="41"/>
      <c r="CJ668" s="41"/>
      <c r="CK668" s="41"/>
    </row>
    <row r="669" spans="1:89" ht="15" customHeight="1">
      <c r="A669" s="41" t="s">
        <v>925</v>
      </c>
      <c r="B669" s="51">
        <v>54.79</v>
      </c>
      <c r="C669" s="51">
        <v>57.93</v>
      </c>
      <c r="D669" s="51">
        <v>55.83</v>
      </c>
      <c r="E669" s="51">
        <v>50.61</v>
      </c>
      <c r="F669" s="51">
        <v>69.05</v>
      </c>
      <c r="G669" s="51">
        <v>63.48</v>
      </c>
      <c r="H669" s="51">
        <v>2.8477999999999999</v>
      </c>
      <c r="I669" s="51">
        <v>8.27</v>
      </c>
      <c r="J669" s="51">
        <v>14.20383414428</v>
      </c>
      <c r="K669" s="51">
        <v>83.520262891369995</v>
      </c>
      <c r="L669" s="51">
        <v>2.9617</v>
      </c>
      <c r="M669" s="51">
        <v>3.9438447179999998</v>
      </c>
      <c r="N669" s="51">
        <v>2.1684642319999998</v>
      </c>
      <c r="O669" s="51">
        <v>2.4544432411099999</v>
      </c>
      <c r="P669" s="51">
        <v>3.11</v>
      </c>
      <c r="Q669" s="51">
        <v>1.8358297233200001</v>
      </c>
      <c r="R669" s="51">
        <v>2.4175</v>
      </c>
      <c r="S669" s="51">
        <v>1160.5</v>
      </c>
      <c r="T669" s="51">
        <v>1350</v>
      </c>
      <c r="U669" s="51">
        <v>1677.34</v>
      </c>
      <c r="V669" s="51">
        <v>1344.82</v>
      </c>
      <c r="W669" s="51">
        <v>723.04</v>
      </c>
      <c r="X669" s="51">
        <v>1052.3699999999999</v>
      </c>
      <c r="Y669" s="51">
        <v>423.55</v>
      </c>
      <c r="Z669" s="51">
        <v>762.61</v>
      </c>
      <c r="AA669" s="51">
        <v>418.25</v>
      </c>
      <c r="AB669" s="51">
        <v>762.51</v>
      </c>
      <c r="AC669" s="51">
        <v>825</v>
      </c>
      <c r="AD669" s="51">
        <v>125.38776249999999</v>
      </c>
      <c r="AE669" s="51">
        <v>173.6955528</v>
      </c>
      <c r="AF669" s="51">
        <v>217.70622499999999</v>
      </c>
      <c r="AG669" s="51">
        <v>420</v>
      </c>
      <c r="AH669" s="51">
        <v>400</v>
      </c>
      <c r="AI669" s="51">
        <v>417</v>
      </c>
      <c r="AJ669" s="51">
        <v>353.5</v>
      </c>
      <c r="AK669" s="51">
        <v>219.84840071100001</v>
      </c>
      <c r="AL669" s="51">
        <v>236.99667149999999</v>
      </c>
      <c r="AM669" s="51">
        <v>0.93813766682999999</v>
      </c>
      <c r="AN669" s="51">
        <v>1.00241315625</v>
      </c>
      <c r="AO669" s="51">
        <v>0.70416893314999995</v>
      </c>
      <c r="AP669" s="51">
        <v>4.8834537620000003</v>
      </c>
      <c r="AQ669" s="51">
        <v>2.0293527099999999</v>
      </c>
      <c r="AR669" s="51">
        <v>7.7051999999999996</v>
      </c>
      <c r="AS669" s="51">
        <v>17.48484122</v>
      </c>
      <c r="AT669" s="51">
        <v>0.37087419199999999</v>
      </c>
      <c r="AU669" s="51">
        <v>0.54277744400000005</v>
      </c>
      <c r="AV669" s="51">
        <v>0.32165405800000002</v>
      </c>
      <c r="AW669" s="51">
        <v>4910.9666666666699</v>
      </c>
      <c r="AX669" s="51">
        <v>397.495</v>
      </c>
      <c r="AY669" s="51">
        <v>250.88643203199001</v>
      </c>
      <c r="AZ669" s="51">
        <v>734.30141791532003</v>
      </c>
      <c r="BA669" s="51">
        <v>835.21249999999998</v>
      </c>
      <c r="BB669" s="51">
        <v>460.18212230218001</v>
      </c>
      <c r="BC669" s="51">
        <v>1.5397066079999999</v>
      </c>
      <c r="BD669" s="51">
        <v>1.4293</v>
      </c>
      <c r="BE669" s="51">
        <v>1.8166</v>
      </c>
      <c r="BF669" s="51">
        <v>121.25</v>
      </c>
      <c r="BG669" s="51">
        <v>444.125</v>
      </c>
      <c r="BH669" s="51">
        <v>382.5</v>
      </c>
      <c r="BI669" s="51">
        <v>305</v>
      </c>
      <c r="BJ669" s="51">
        <v>279.5</v>
      </c>
      <c r="BK669" s="51">
        <v>1817.82</v>
      </c>
      <c r="BL669" s="51">
        <v>62.75</v>
      </c>
      <c r="BM669" s="51">
        <v>5729.27</v>
      </c>
      <c r="BN669" s="51">
        <v>1795.66</v>
      </c>
      <c r="BO669" s="51">
        <v>18233.91</v>
      </c>
      <c r="BP669" s="51">
        <v>14573.84</v>
      </c>
      <c r="BQ669" s="51">
        <v>2097.7600000000002</v>
      </c>
      <c r="BR669" s="51">
        <v>1227.08</v>
      </c>
      <c r="BS669" s="51">
        <v>1197.1600000000001</v>
      </c>
      <c r="BT669" s="51">
        <v>16.786999999999999</v>
      </c>
      <c r="BU669" s="41"/>
      <c r="BV669" s="41"/>
      <c r="BW669" s="41"/>
      <c r="BX669" s="41"/>
      <c r="BY669" s="41"/>
      <c r="BZ669" s="41"/>
      <c r="CA669" s="41"/>
      <c r="CB669" s="41"/>
      <c r="CC669" s="41"/>
      <c r="CD669" s="41"/>
      <c r="CE669" s="41"/>
      <c r="CF669" s="41"/>
      <c r="CG669" s="41"/>
      <c r="CH669" s="41"/>
      <c r="CI669" s="41"/>
      <c r="CJ669" s="41"/>
      <c r="CK669" s="41"/>
    </row>
    <row r="670" spans="1:89" ht="15" customHeight="1">
      <c r="A670" s="48" t="s">
        <v>926</v>
      </c>
      <c r="B670" s="49">
        <v>52.82666666667</v>
      </c>
      <c r="C670" s="49">
        <v>55.79</v>
      </c>
      <c r="D670" s="49">
        <v>54.91</v>
      </c>
      <c r="E670" s="49">
        <v>47.78</v>
      </c>
      <c r="F670" s="49">
        <v>64.760000000000005</v>
      </c>
      <c r="G670" s="49">
        <v>59.92</v>
      </c>
      <c r="H670" s="49">
        <v>2.8006000000000002</v>
      </c>
      <c r="I670" s="49">
        <v>8.27</v>
      </c>
      <c r="J670" s="49">
        <v>13.041319324390001</v>
      </c>
      <c r="K670" s="49">
        <v>82.159498768130007</v>
      </c>
      <c r="L670" s="49">
        <v>2.8769999999999998</v>
      </c>
      <c r="M670" s="49">
        <v>3.5437061879999998</v>
      </c>
      <c r="N670" s="49">
        <v>2.0317777920000002</v>
      </c>
      <c r="O670" s="49">
        <v>2.4093500140200002</v>
      </c>
      <c r="P670" s="49">
        <v>3.08</v>
      </c>
      <c r="Q670" s="49">
        <v>1.42405004206</v>
      </c>
      <c r="R670" s="49">
        <v>2.7240000000000002</v>
      </c>
      <c r="S670" s="49">
        <v>1090.68</v>
      </c>
      <c r="T670" s="49">
        <v>1350</v>
      </c>
      <c r="U670" s="49">
        <v>1570.53</v>
      </c>
      <c r="V670" s="49">
        <v>1344.82</v>
      </c>
      <c r="W670" s="49">
        <v>698.86</v>
      </c>
      <c r="X670" s="49">
        <v>1020.8</v>
      </c>
      <c r="Y670" s="49">
        <v>409.79</v>
      </c>
      <c r="Z670" s="49">
        <v>749.93</v>
      </c>
      <c r="AA670" s="49">
        <v>412.36</v>
      </c>
      <c r="AB670" s="49">
        <v>751.16</v>
      </c>
      <c r="AC670" s="49">
        <v>804.55</v>
      </c>
      <c r="AD670" s="49">
        <v>126.30635416667</v>
      </c>
      <c r="AE670" s="49">
        <v>174.22702079999999</v>
      </c>
      <c r="AF670" s="49">
        <v>227.737246</v>
      </c>
      <c r="AG670" s="49">
        <v>410</v>
      </c>
      <c r="AH670" s="49">
        <v>392</v>
      </c>
      <c r="AI670" s="49">
        <v>411</v>
      </c>
      <c r="AJ670" s="49">
        <v>360.74</v>
      </c>
      <c r="AK670" s="49">
        <v>218.797531749</v>
      </c>
      <c r="AL670" s="49">
        <v>230.75024759999999</v>
      </c>
      <c r="AM670" s="49">
        <v>0.92852366349000004</v>
      </c>
      <c r="AN670" s="49">
        <v>1.0385827031299999</v>
      </c>
      <c r="AO670" s="49">
        <v>0.63381551660000002</v>
      </c>
      <c r="AP670" s="49">
        <v>4.7159026419999996</v>
      </c>
      <c r="AQ670" s="49">
        <v>2.1525107999999999</v>
      </c>
      <c r="AR670" s="49">
        <v>7.5808999999999997</v>
      </c>
      <c r="AS670" s="49">
        <v>17.453976539999999</v>
      </c>
      <c r="AT670" s="49">
        <v>0.35379510400000003</v>
      </c>
      <c r="AU670" s="49">
        <v>0.53065203400000005</v>
      </c>
      <c r="AV670" s="49">
        <v>0.290127992</v>
      </c>
      <c r="AW670" s="49">
        <v>4961.5666666666702</v>
      </c>
      <c r="AX670" s="49">
        <v>379.19</v>
      </c>
      <c r="AY670" s="49">
        <v>247.32228981404</v>
      </c>
      <c r="AZ670" s="49">
        <v>717.91439769169995</v>
      </c>
      <c r="BA670" s="49">
        <v>816.57349999999997</v>
      </c>
      <c r="BB670" s="49">
        <v>453.64468416031002</v>
      </c>
      <c r="BC670" s="49">
        <v>1.52890397</v>
      </c>
      <c r="BD670" s="49">
        <v>1.4297</v>
      </c>
      <c r="BE670" s="49">
        <v>1.7441</v>
      </c>
      <c r="BF670" s="49">
        <v>123</v>
      </c>
      <c r="BG670" s="49">
        <v>428.8</v>
      </c>
      <c r="BH670" s="49">
        <v>383</v>
      </c>
      <c r="BI670" s="49">
        <v>295.5</v>
      </c>
      <c r="BJ670" s="49">
        <v>283.39999999999998</v>
      </c>
      <c r="BK670" s="49">
        <v>1773.86</v>
      </c>
      <c r="BL670" s="49">
        <v>58.05</v>
      </c>
      <c r="BM670" s="49">
        <v>5939.67</v>
      </c>
      <c r="BN670" s="49">
        <v>1792.47</v>
      </c>
      <c r="BO670" s="49">
        <v>17421.91</v>
      </c>
      <c r="BP670" s="49">
        <v>13755.5</v>
      </c>
      <c r="BQ670" s="49">
        <v>2028.73</v>
      </c>
      <c r="BR670" s="49">
        <v>1178.6300000000001</v>
      </c>
      <c r="BS670" s="49">
        <v>1138.6400000000001</v>
      </c>
      <c r="BT670" s="49">
        <v>16.239999999999998</v>
      </c>
      <c r="BU670" s="41"/>
      <c r="BV670" s="41"/>
      <c r="BW670" s="41"/>
      <c r="BX670" s="41"/>
      <c r="BY670" s="41"/>
      <c r="BZ670" s="41"/>
      <c r="CA670" s="41"/>
      <c r="CB670" s="41"/>
      <c r="CC670" s="41"/>
      <c r="CD670" s="41"/>
      <c r="CE670" s="41"/>
      <c r="CF670" s="41"/>
      <c r="CG670" s="41"/>
      <c r="CH670" s="41"/>
      <c r="CI670" s="41"/>
      <c r="CJ670" s="41"/>
      <c r="CK670" s="41"/>
    </row>
    <row r="671" spans="1:89" ht="15" customHeight="1">
      <c r="A671" s="41" t="s">
        <v>927</v>
      </c>
      <c r="B671" s="51">
        <v>57.543333333329997</v>
      </c>
      <c r="C671" s="51">
        <v>59.39</v>
      </c>
      <c r="D671" s="51">
        <v>58.8</v>
      </c>
      <c r="E671" s="51">
        <v>54.44</v>
      </c>
      <c r="F671" s="51">
        <v>56.24</v>
      </c>
      <c r="G671" s="51">
        <v>58.95</v>
      </c>
      <c r="H671" s="51">
        <v>2.5796999999999999</v>
      </c>
      <c r="I671" s="51">
        <v>6.7744456667500002</v>
      </c>
      <c r="J671" s="51">
        <v>10.936659480139999</v>
      </c>
      <c r="K671" s="51">
        <v>70.941309066789998</v>
      </c>
      <c r="L671" s="51">
        <v>2.8682699999999999</v>
      </c>
      <c r="M671" s="51">
        <v>3.6155767999999999</v>
      </c>
      <c r="N671" s="51">
        <v>2.0295731720000001</v>
      </c>
      <c r="O671" s="51">
        <v>2.63454324852</v>
      </c>
      <c r="P671" s="51">
        <v>3.01</v>
      </c>
      <c r="Q671" s="51">
        <v>2.1261297455700001</v>
      </c>
      <c r="R671" s="51">
        <v>2.7675000000000001</v>
      </c>
      <c r="S671" s="51">
        <v>1077.5</v>
      </c>
      <c r="T671" s="51">
        <v>1339.5</v>
      </c>
      <c r="U671" s="51">
        <v>1569.57</v>
      </c>
      <c r="V671" s="51">
        <v>1344.82</v>
      </c>
      <c r="W671" s="51">
        <v>682.75</v>
      </c>
      <c r="X671" s="51">
        <v>979.75</v>
      </c>
      <c r="Y671" s="51">
        <v>394.73</v>
      </c>
      <c r="Z671" s="51">
        <v>747.74</v>
      </c>
      <c r="AA671" s="51">
        <v>398.09</v>
      </c>
      <c r="AB671" s="51">
        <v>747.72</v>
      </c>
      <c r="AC671" s="51">
        <v>833.5</v>
      </c>
      <c r="AD671" s="51">
        <v>129.06212916666999</v>
      </c>
      <c r="AE671" s="51">
        <v>172.0539072</v>
      </c>
      <c r="AF671" s="51">
        <v>224.20985400000001</v>
      </c>
      <c r="AG671" s="51">
        <v>399</v>
      </c>
      <c r="AH671" s="51">
        <v>384</v>
      </c>
      <c r="AI671" s="51">
        <v>400.26</v>
      </c>
      <c r="AJ671" s="51">
        <v>354.02</v>
      </c>
      <c r="AK671" s="51">
        <v>209.69979905700001</v>
      </c>
      <c r="AL671" s="51">
        <v>223.40151359999999</v>
      </c>
      <c r="AM671" s="51">
        <v>0.91489712772999998</v>
      </c>
      <c r="AN671" s="51">
        <v>1.0320377375000001</v>
      </c>
      <c r="AO671" s="51">
        <v>0.61212762126999998</v>
      </c>
      <c r="AP671" s="51">
        <v>4.8159923899999999</v>
      </c>
      <c r="AQ671" s="51">
        <v>2.30540262857</v>
      </c>
      <c r="AR671" s="51">
        <v>7.7713000000000001</v>
      </c>
      <c r="AS671" s="51">
        <v>16.92707236</v>
      </c>
      <c r="AT671" s="51">
        <v>0.35245620799999999</v>
      </c>
      <c r="AU671" s="51">
        <v>0.53770681799999998</v>
      </c>
      <c r="AV671" s="51">
        <v>0.28836429600000002</v>
      </c>
      <c r="AW671" s="51">
        <v>4986.7083333333303</v>
      </c>
      <c r="AX671" s="51">
        <v>377.755</v>
      </c>
      <c r="AY671" s="51">
        <v>249.06035325789</v>
      </c>
      <c r="AZ671" s="51">
        <v>715.85404134779003</v>
      </c>
      <c r="BA671" s="51">
        <v>814.23</v>
      </c>
      <c r="BB671" s="51">
        <v>456.83268327931</v>
      </c>
      <c r="BC671" s="51">
        <v>1.5807125399999999</v>
      </c>
      <c r="BD671" s="51">
        <v>1.4071</v>
      </c>
      <c r="BE671" s="51">
        <v>1.7002999999999999</v>
      </c>
      <c r="BF671" s="51">
        <v>114.125</v>
      </c>
      <c r="BG671" s="51">
        <v>409</v>
      </c>
      <c r="BH671" s="51">
        <v>380</v>
      </c>
      <c r="BI671" s="51">
        <v>260</v>
      </c>
      <c r="BJ671" s="51">
        <v>299</v>
      </c>
      <c r="BK671" s="51">
        <v>1819.19</v>
      </c>
      <c r="BL671" s="51">
        <v>52.28</v>
      </c>
      <c r="BM671" s="51">
        <v>6042.09</v>
      </c>
      <c r="BN671" s="51">
        <v>2005.36</v>
      </c>
      <c r="BO671" s="51">
        <v>15900.88</v>
      </c>
      <c r="BP671" s="51">
        <v>12830.92</v>
      </c>
      <c r="BQ671" s="51">
        <v>2212.7199999999998</v>
      </c>
      <c r="BR671" s="51">
        <v>1198.93</v>
      </c>
      <c r="BS671" s="51">
        <v>1151.29</v>
      </c>
      <c r="BT671" s="51">
        <v>16.341000000000001</v>
      </c>
      <c r="BU671" s="41"/>
      <c r="BV671" s="41"/>
      <c r="BW671" s="41"/>
      <c r="BX671" s="41"/>
      <c r="BY671" s="41"/>
      <c r="BZ671" s="41"/>
      <c r="CA671" s="41"/>
      <c r="CB671" s="41"/>
      <c r="CC671" s="41"/>
      <c r="CD671" s="41"/>
      <c r="CE671" s="41"/>
      <c r="CF671" s="41"/>
      <c r="CG671" s="41"/>
      <c r="CH671" s="41"/>
      <c r="CI671" s="41"/>
      <c r="CJ671" s="41"/>
      <c r="CK671" s="41"/>
    </row>
    <row r="672" spans="1:89" ht="15" customHeight="1">
      <c r="A672" s="48" t="s">
        <v>928</v>
      </c>
      <c r="B672" s="49">
        <v>62.50666666667</v>
      </c>
      <c r="C672" s="49">
        <v>64.56</v>
      </c>
      <c r="D672" s="49">
        <v>63.69</v>
      </c>
      <c r="E672" s="49">
        <v>59.27</v>
      </c>
      <c r="F672" s="49">
        <v>61.19</v>
      </c>
      <c r="G672" s="49">
        <v>61.63</v>
      </c>
      <c r="H672" s="49">
        <v>2.8382999999999998</v>
      </c>
      <c r="I672" s="49">
        <v>6.6839973110799997</v>
      </c>
      <c r="J672" s="49">
        <v>9.3369001638700002</v>
      </c>
      <c r="K672" s="49">
        <v>72.567768851620002</v>
      </c>
      <c r="L672" s="49">
        <v>3.0960000000000001</v>
      </c>
      <c r="M672" s="49">
        <v>3.4938817759999998</v>
      </c>
      <c r="N672" s="49">
        <v>1.930365272</v>
      </c>
      <c r="O672" s="49">
        <v>2.8860533852699999</v>
      </c>
      <c r="P672" s="49">
        <v>2.97</v>
      </c>
      <c r="Q672" s="49">
        <v>2.5956601558000001</v>
      </c>
      <c r="R672" s="49">
        <v>3.0924999999999998</v>
      </c>
      <c r="S672" s="49">
        <v>1131.94</v>
      </c>
      <c r="T672" s="49">
        <v>1270</v>
      </c>
      <c r="U672" s="49">
        <v>1619.84</v>
      </c>
      <c r="V672" s="49">
        <v>1344.82</v>
      </c>
      <c r="W672" s="49">
        <v>697.35</v>
      </c>
      <c r="X672" s="49">
        <v>962.06</v>
      </c>
      <c r="Y672" s="49">
        <v>388.2</v>
      </c>
      <c r="Z672" s="49">
        <v>785.13</v>
      </c>
      <c r="AA672" s="49">
        <v>386.12</v>
      </c>
      <c r="AB672" s="49">
        <v>769.95</v>
      </c>
      <c r="AC672" s="49">
        <v>916.05</v>
      </c>
      <c r="AD672" s="49">
        <v>126.76564999999999</v>
      </c>
      <c r="AE672" s="49">
        <v>166.2943688</v>
      </c>
      <c r="AF672" s="49">
        <v>217.37553199999999</v>
      </c>
      <c r="AG672" s="49">
        <v>381</v>
      </c>
      <c r="AH672" s="49">
        <v>368</v>
      </c>
      <c r="AI672" s="49">
        <v>386.53</v>
      </c>
      <c r="AJ672" s="49">
        <v>351</v>
      </c>
      <c r="AK672" s="49">
        <v>200.771087247</v>
      </c>
      <c r="AL672" s="49">
        <v>215.31790620000001</v>
      </c>
      <c r="AM672" s="49">
        <v>0.94074890143000001</v>
      </c>
      <c r="AN672" s="49">
        <v>0.94385293749999999</v>
      </c>
      <c r="AO672" s="49">
        <v>0.61466669195000001</v>
      </c>
      <c r="AP672" s="49">
        <v>4.4974248000000001</v>
      </c>
      <c r="AQ672" s="49">
        <v>2.3534318500000002</v>
      </c>
      <c r="AR672" s="49">
        <v>7.4847000000000001</v>
      </c>
      <c r="AS672" s="49">
        <v>15.860036279999999</v>
      </c>
      <c r="AT672" s="49">
        <v>0.36460424000000002</v>
      </c>
      <c r="AU672" s="49">
        <v>0.54255698200000002</v>
      </c>
      <c r="AV672" s="49">
        <v>0.29409630799999997</v>
      </c>
      <c r="AW672" s="49">
        <v>5018.0083333333296</v>
      </c>
      <c r="AX672" s="49">
        <v>390.77499999999998</v>
      </c>
      <c r="AY672" s="49">
        <v>246.50313840288001</v>
      </c>
      <c r="AZ672" s="49">
        <v>740.67414800229005</v>
      </c>
      <c r="BA672" s="49">
        <v>842.46100000000001</v>
      </c>
      <c r="BB672" s="49">
        <v>452.14217630517999</v>
      </c>
      <c r="BC672" s="49">
        <v>1.6062861319999999</v>
      </c>
      <c r="BD672" s="49">
        <v>1.5501</v>
      </c>
      <c r="BE672" s="49">
        <v>1.8391</v>
      </c>
      <c r="BF672" s="49">
        <v>110.5</v>
      </c>
      <c r="BG672" s="49">
        <v>413.5625</v>
      </c>
      <c r="BH672" s="49">
        <v>380</v>
      </c>
      <c r="BI672" s="49">
        <v>265</v>
      </c>
      <c r="BJ672" s="49">
        <v>300.875</v>
      </c>
      <c r="BK672" s="49">
        <v>1804.04</v>
      </c>
      <c r="BL672" s="49">
        <v>60.3</v>
      </c>
      <c r="BM672" s="49">
        <v>6294.78</v>
      </c>
      <c r="BN672" s="49">
        <v>1991.78</v>
      </c>
      <c r="BO672" s="49">
        <v>15803.59</v>
      </c>
      <c r="BP672" s="49">
        <v>13511.34</v>
      </c>
      <c r="BQ672" s="49">
        <v>2281.8000000000002</v>
      </c>
      <c r="BR672" s="49">
        <v>1198.6300000000001</v>
      </c>
      <c r="BS672" s="49">
        <v>1140.4000000000001</v>
      </c>
      <c r="BT672" s="49">
        <v>16.832999999999998</v>
      </c>
      <c r="BU672" s="41"/>
      <c r="BV672" s="41"/>
      <c r="BW672" s="41"/>
      <c r="BX672" s="41"/>
      <c r="BY672" s="41"/>
      <c r="BZ672" s="41"/>
      <c r="CA672" s="41"/>
      <c r="CB672" s="41"/>
      <c r="CC672" s="41"/>
      <c r="CD672" s="41"/>
      <c r="CE672" s="41"/>
      <c r="CF672" s="41"/>
      <c r="CG672" s="41"/>
      <c r="CH672" s="41"/>
      <c r="CI672" s="41"/>
      <c r="CJ672" s="41"/>
      <c r="CK672" s="41"/>
    </row>
    <row r="673" spans="1:89" ht="15" customHeight="1">
      <c r="A673" s="41" t="s">
        <v>929</v>
      </c>
      <c r="B673" s="51">
        <v>61.306666666669997</v>
      </c>
      <c r="C673" s="51">
        <v>62.34</v>
      </c>
      <c r="D673" s="51">
        <v>61.78</v>
      </c>
      <c r="E673" s="51">
        <v>59.8</v>
      </c>
      <c r="F673" s="51">
        <v>58.96</v>
      </c>
      <c r="G673" s="51">
        <v>60.71</v>
      </c>
      <c r="H673" s="51">
        <v>2.7692000000000001</v>
      </c>
      <c r="I673" s="51">
        <v>6.6667259295400001</v>
      </c>
      <c r="J673" s="51">
        <v>9.1891221165600001</v>
      </c>
      <c r="K673" s="51">
        <v>71.546435354639996</v>
      </c>
      <c r="L673" s="51">
        <v>3.2395100000000001</v>
      </c>
      <c r="M673" s="51">
        <v>3.522100912</v>
      </c>
      <c r="N673" s="51">
        <v>1.9896695499999999</v>
      </c>
      <c r="O673" s="51">
        <v>2.9967368028700001</v>
      </c>
      <c r="P673" s="51">
        <v>3.01</v>
      </c>
      <c r="Q673" s="51">
        <v>2.7122104086099998</v>
      </c>
      <c r="R673" s="51">
        <v>3.2679999999999998</v>
      </c>
      <c r="S673" s="51">
        <v>1123.6400000000001</v>
      </c>
      <c r="T673" s="51">
        <v>1250</v>
      </c>
      <c r="U673" s="51">
        <v>1547.16</v>
      </c>
      <c r="V673" s="51">
        <v>1365.86</v>
      </c>
      <c r="W673" s="51">
        <v>705.91</v>
      </c>
      <c r="X673" s="51">
        <v>914.43</v>
      </c>
      <c r="Y673" s="51">
        <v>391.48</v>
      </c>
      <c r="Z673" s="51">
        <v>788.21</v>
      </c>
      <c r="AA673" s="51">
        <v>387</v>
      </c>
      <c r="AB673" s="51">
        <v>841.79</v>
      </c>
      <c r="AC673" s="51">
        <v>927.95</v>
      </c>
      <c r="AD673" s="51">
        <v>118.95762083333</v>
      </c>
      <c r="AE673" s="51">
        <v>166.7195432</v>
      </c>
      <c r="AF673" s="51">
        <v>221.12338600000001</v>
      </c>
      <c r="AG673" s="51">
        <v>376</v>
      </c>
      <c r="AH673" s="51">
        <v>365</v>
      </c>
      <c r="AI673" s="51">
        <v>375.95</v>
      </c>
      <c r="AJ673" s="51">
        <v>349</v>
      </c>
      <c r="AK673" s="51">
        <v>204.98926056299999</v>
      </c>
      <c r="AL673" s="51">
        <v>209.80635570000001</v>
      </c>
      <c r="AM673" s="51">
        <v>0.8999944339</v>
      </c>
      <c r="AN673" s="51">
        <v>0.92318462499999998</v>
      </c>
      <c r="AO673" s="51">
        <v>0.62990111597999998</v>
      </c>
      <c r="AP673" s="51">
        <v>4.4387819080000002</v>
      </c>
      <c r="AQ673" s="51">
        <v>2.2847879999999998</v>
      </c>
      <c r="AR673" s="51">
        <v>7.2752999999999997</v>
      </c>
      <c r="AS673" s="51">
        <v>13.792102720000001</v>
      </c>
      <c r="AT673" s="51">
        <v>0.36617172799999997</v>
      </c>
      <c r="AU673" s="51">
        <v>0.54586391199999995</v>
      </c>
      <c r="AV673" s="51">
        <v>0.27469565200000001</v>
      </c>
      <c r="AW673" s="51">
        <v>4947.2333333333299</v>
      </c>
      <c r="AX673" s="51">
        <v>392.45499999999998</v>
      </c>
      <c r="AY673" s="51">
        <v>240.58658497587999</v>
      </c>
      <c r="AZ673" s="51">
        <v>745.32192859202996</v>
      </c>
      <c r="BA673" s="51">
        <v>847.74749999999995</v>
      </c>
      <c r="BB673" s="51">
        <v>441.28988712119002</v>
      </c>
      <c r="BC673" s="51">
        <v>1.5950425699999999</v>
      </c>
      <c r="BD673" s="51">
        <v>1.5829</v>
      </c>
      <c r="BE673" s="51">
        <v>1.8241000000000001</v>
      </c>
      <c r="BF673" s="51">
        <v>118.9</v>
      </c>
      <c r="BG673" s="51">
        <v>421.375</v>
      </c>
      <c r="BH673" s="51">
        <v>380</v>
      </c>
      <c r="BI673" s="51">
        <v>288.75</v>
      </c>
      <c r="BJ673" s="51">
        <v>301.5</v>
      </c>
      <c r="BK673" s="51">
        <v>1687.73</v>
      </c>
      <c r="BL673" s="51">
        <v>62.63</v>
      </c>
      <c r="BM673" s="51">
        <v>5833.01</v>
      </c>
      <c r="BN673" s="51">
        <v>1829.5</v>
      </c>
      <c r="BO673" s="51">
        <v>15064.94</v>
      </c>
      <c r="BP673" s="51">
        <v>12825.23</v>
      </c>
      <c r="BQ673" s="51">
        <v>2082.09</v>
      </c>
      <c r="BR673" s="51">
        <v>1181.5</v>
      </c>
      <c r="BS673" s="51">
        <v>1088.82</v>
      </c>
      <c r="BT673" s="51">
        <v>16.074999999999999</v>
      </c>
      <c r="BU673" s="41"/>
      <c r="BV673" s="41"/>
      <c r="BW673" s="41"/>
      <c r="BX673" s="41"/>
      <c r="BY673" s="41"/>
      <c r="BZ673" s="41"/>
      <c r="CA673" s="41"/>
      <c r="CB673" s="41"/>
      <c r="CC673" s="41"/>
      <c r="CD673" s="41"/>
      <c r="CE673" s="41"/>
      <c r="CF673" s="41"/>
      <c r="CG673" s="41"/>
      <c r="CH673" s="41"/>
      <c r="CI673" s="41"/>
      <c r="CJ673" s="41"/>
      <c r="CK673" s="41"/>
    </row>
    <row r="674" spans="1:89" ht="15" customHeight="1">
      <c r="A674" s="48" t="s">
        <v>930</v>
      </c>
      <c r="B674" s="49">
        <v>54.34</v>
      </c>
      <c r="C674" s="49">
        <v>55.87</v>
      </c>
      <c r="D674" s="49">
        <v>56.25</v>
      </c>
      <c r="E674" s="49">
        <v>50.9</v>
      </c>
      <c r="F674" s="49">
        <v>59.9</v>
      </c>
      <c r="G674" s="49">
        <v>57.9</v>
      </c>
      <c r="H674" s="49">
        <v>2.83</v>
      </c>
      <c r="I674" s="49">
        <v>6.6940371346500003</v>
      </c>
      <c r="J674" s="49">
        <v>9.4950832584500002</v>
      </c>
      <c r="K674" s="49">
        <v>72.621876011560005</v>
      </c>
      <c r="L674" s="49">
        <v>3.3259599999999998</v>
      </c>
      <c r="M674" s="49">
        <v>3.4050355899999998</v>
      </c>
      <c r="N674" s="49">
        <v>1.9206649440000001</v>
      </c>
      <c r="O674" s="49">
        <v>3.0964765503099998</v>
      </c>
      <c r="P674" s="49">
        <v>3.04</v>
      </c>
      <c r="Q674" s="49">
        <v>2.8569296509300002</v>
      </c>
      <c r="R674" s="49">
        <v>3.3925000000000001</v>
      </c>
      <c r="S674" s="49">
        <v>1103.04</v>
      </c>
      <c r="T674" s="49">
        <v>1269.1300000000001</v>
      </c>
      <c r="U674" s="49">
        <v>1440.43</v>
      </c>
      <c r="V674" s="49">
        <v>1388.91</v>
      </c>
      <c r="W674" s="49">
        <v>680</v>
      </c>
      <c r="X674" s="49">
        <v>869.13</v>
      </c>
      <c r="Y674" s="49">
        <v>405.87</v>
      </c>
      <c r="Z674" s="49">
        <v>752.32</v>
      </c>
      <c r="AA674" s="49">
        <v>407.09</v>
      </c>
      <c r="AB674" s="49">
        <v>809.98</v>
      </c>
      <c r="AC674" s="49">
        <v>917.39</v>
      </c>
      <c r="AD674" s="49">
        <v>124.00987499999999</v>
      </c>
      <c r="AE674" s="49">
        <v>179.59681599999999</v>
      </c>
      <c r="AF674" s="49">
        <v>222.88708199999999</v>
      </c>
      <c r="AG674" s="49">
        <v>392</v>
      </c>
      <c r="AH674" s="49">
        <v>376</v>
      </c>
      <c r="AI674" s="49">
        <v>389.86</v>
      </c>
      <c r="AJ674" s="49">
        <v>345.78</v>
      </c>
      <c r="AK674" s="49">
        <v>207.377599113</v>
      </c>
      <c r="AL674" s="49">
        <v>197.31350789999999</v>
      </c>
      <c r="AM674" s="49">
        <v>0.88798698485000005</v>
      </c>
      <c r="AN674" s="49">
        <v>0.93834138749999996</v>
      </c>
      <c r="AO674" s="49">
        <v>0.64233198281000004</v>
      </c>
      <c r="AP674" s="49">
        <v>4.6462366499999996</v>
      </c>
      <c r="AQ674" s="49">
        <v>2.0693364999999999</v>
      </c>
      <c r="AR674" s="49">
        <v>7.2752999999999997</v>
      </c>
      <c r="AS674" s="49">
        <v>12.25989182</v>
      </c>
      <c r="AT674" s="49">
        <v>0.359346624</v>
      </c>
      <c r="AU674" s="49">
        <v>0.54387975399999999</v>
      </c>
      <c r="AV674" s="49">
        <v>0.28285274599999999</v>
      </c>
      <c r="AW674" s="49">
        <v>4878.0833333333303</v>
      </c>
      <c r="AX674" s="49">
        <v>385.14</v>
      </c>
      <c r="AY674" s="49">
        <v>241.26901714009</v>
      </c>
      <c r="AZ674" s="49">
        <v>745.60942017490004</v>
      </c>
      <c r="BA674" s="49">
        <v>848.07449999999994</v>
      </c>
      <c r="BB674" s="49">
        <v>442.54162113927998</v>
      </c>
      <c r="BC674" s="49">
        <v>1.5950425699999999</v>
      </c>
      <c r="BD674" s="49">
        <v>1.4531000000000001</v>
      </c>
      <c r="BE674" s="49">
        <v>1.6425000000000001</v>
      </c>
      <c r="BF674" s="49">
        <v>121</v>
      </c>
      <c r="BG674" s="49">
        <v>431.5</v>
      </c>
      <c r="BH674" s="49">
        <v>380</v>
      </c>
      <c r="BI674" s="49">
        <v>283.75</v>
      </c>
      <c r="BJ674" s="49">
        <v>301.5</v>
      </c>
      <c r="BK674" s="49">
        <v>1639.5</v>
      </c>
      <c r="BL674" s="49">
        <v>52.39</v>
      </c>
      <c r="BM674" s="49">
        <v>5456.75</v>
      </c>
      <c r="BN674" s="49">
        <v>1763.04</v>
      </c>
      <c r="BO674" s="49">
        <v>15071.53</v>
      </c>
      <c r="BP674" s="49">
        <v>11413.1</v>
      </c>
      <c r="BQ674" s="49">
        <v>2000.68</v>
      </c>
      <c r="BR674" s="49">
        <v>1128.31</v>
      </c>
      <c r="BS674" s="49">
        <v>1009.27</v>
      </c>
      <c r="BT674" s="49">
        <v>15.053000000000001</v>
      </c>
      <c r="BU674" s="41"/>
      <c r="BV674" s="41"/>
      <c r="BW674" s="41"/>
      <c r="BX674" s="41"/>
      <c r="BY674" s="41"/>
      <c r="BZ674" s="41"/>
      <c r="CA674" s="41"/>
      <c r="CB674" s="41"/>
      <c r="CC674" s="41"/>
      <c r="CD674" s="41"/>
      <c r="CE674" s="41"/>
      <c r="CF674" s="41"/>
      <c r="CG674" s="41"/>
      <c r="CH674" s="41"/>
      <c r="CI674" s="41"/>
      <c r="CJ674" s="41"/>
      <c r="CK674" s="41"/>
    </row>
    <row r="675" spans="1:89" s="41" customFormat="1" ht="15" customHeight="1">
      <c r="A675" s="41" t="s">
        <v>931</v>
      </c>
      <c r="B675" s="51">
        <v>45.69</v>
      </c>
      <c r="C675" s="51">
        <v>46.99</v>
      </c>
      <c r="D675" s="51">
        <v>47.22</v>
      </c>
      <c r="E675" s="51">
        <v>42.86</v>
      </c>
      <c r="F675" s="51">
        <v>59.14</v>
      </c>
      <c r="G675" s="51">
        <v>55.02</v>
      </c>
      <c r="H675" s="51">
        <v>2.7629999999999999</v>
      </c>
      <c r="I675" s="51">
        <v>6.34573758328</v>
      </c>
      <c r="J675" s="51">
        <v>9.8158396579599998</v>
      </c>
      <c r="K675" s="51">
        <v>70.36977413644</v>
      </c>
      <c r="L675" s="51">
        <v>3.1539100000000002</v>
      </c>
      <c r="M675" s="51">
        <v>3.4594897040000001</v>
      </c>
      <c r="N675" s="51">
        <v>1.891123036</v>
      </c>
      <c r="O675" s="51">
        <v>2.9590963930999998</v>
      </c>
      <c r="P675" s="51">
        <v>2.91</v>
      </c>
      <c r="Q675" s="51">
        <v>2.7972891792999999</v>
      </c>
      <c r="R675" s="51">
        <v>3.17</v>
      </c>
      <c r="S675" s="51">
        <v>1032.3800000000001</v>
      </c>
      <c r="T675" s="51">
        <v>1233.5</v>
      </c>
      <c r="U675" s="51">
        <v>1466.01</v>
      </c>
      <c r="V675" s="51">
        <v>1392.06</v>
      </c>
      <c r="W675" s="51">
        <v>601.38</v>
      </c>
      <c r="X675" s="51">
        <v>735.48</v>
      </c>
      <c r="Y675" s="51">
        <v>378.78</v>
      </c>
      <c r="Z675" s="51">
        <v>728.33</v>
      </c>
      <c r="AA675" s="51">
        <v>385.86</v>
      </c>
      <c r="AB675" s="51">
        <v>753.56</v>
      </c>
      <c r="AC675" s="51">
        <v>894.75</v>
      </c>
      <c r="AD675" s="51">
        <v>110.69029583333</v>
      </c>
      <c r="AE675" s="51">
        <v>162.5937768</v>
      </c>
      <c r="AF675" s="51">
        <v>183.534615</v>
      </c>
      <c r="AG675" s="51">
        <v>373</v>
      </c>
      <c r="AH675" s="51">
        <v>362</v>
      </c>
      <c r="AI675" s="51">
        <v>377.5</v>
      </c>
      <c r="AJ675" s="51">
        <v>340.13</v>
      </c>
      <c r="AK675" s="51">
        <v>187.86671034299999</v>
      </c>
      <c r="AL675" s="51">
        <v>179.67654630000001</v>
      </c>
      <c r="AM675" s="51">
        <v>0.90198803042999998</v>
      </c>
      <c r="AN675" s="51">
        <v>0.95763181249999996</v>
      </c>
      <c r="AO675" s="51">
        <v>0.68427954620999998</v>
      </c>
      <c r="AP675" s="51">
        <v>4.7666089019999998</v>
      </c>
      <c r="AQ675" s="51">
        <v>1.81933640952</v>
      </c>
      <c r="AR675" s="51">
        <v>7.2752999999999997</v>
      </c>
      <c r="AS675" s="51">
        <v>10.390374059999999</v>
      </c>
      <c r="AT675" s="51">
        <v>0.36368987200000003</v>
      </c>
      <c r="AU675" s="51">
        <v>0.5401319</v>
      </c>
      <c r="AV675" s="51">
        <v>0.25353130000000001</v>
      </c>
      <c r="AW675" s="51">
        <v>4925.5833333333303</v>
      </c>
      <c r="AX675" s="51">
        <v>389.79500000000002</v>
      </c>
      <c r="AY675" s="51">
        <v>241.69995960799</v>
      </c>
      <c r="AZ675" s="51">
        <v>747.28645440830996</v>
      </c>
      <c r="BA675" s="51">
        <v>849.98199999999997</v>
      </c>
      <c r="BB675" s="51">
        <v>443.33206651275998</v>
      </c>
      <c r="BC675" s="51">
        <v>1.5833580840000001</v>
      </c>
      <c r="BD675" s="51">
        <v>1.3140000000000001</v>
      </c>
      <c r="BE675" s="51">
        <v>1.4489000000000001</v>
      </c>
      <c r="BF675" s="51">
        <v>121</v>
      </c>
      <c r="BG675" s="51">
        <v>434.625</v>
      </c>
      <c r="BH675" s="51">
        <v>378.8</v>
      </c>
      <c r="BI675" s="51">
        <v>274.625</v>
      </c>
      <c r="BJ675" s="51">
        <v>301.5</v>
      </c>
      <c r="BK675" s="51">
        <v>1548.13</v>
      </c>
      <c r="BL675" s="51">
        <v>56.19</v>
      </c>
      <c r="BM675" s="51">
        <v>5127.3</v>
      </c>
      <c r="BN675" s="51">
        <v>1703.6</v>
      </c>
      <c r="BO675" s="51">
        <v>15163.77</v>
      </c>
      <c r="BP675" s="51">
        <v>10386</v>
      </c>
      <c r="BQ675" s="51">
        <v>1807.64</v>
      </c>
      <c r="BR675" s="51">
        <v>1117.93</v>
      </c>
      <c r="BS675" s="51">
        <v>984.1</v>
      </c>
      <c r="BT675" s="51">
        <v>14.941000000000001</v>
      </c>
    </row>
    <row r="676" spans="1:89" s="41" customFormat="1" ht="15" customHeight="1">
      <c r="A676" s="48" t="s">
        <v>935</v>
      </c>
      <c r="B676" s="49">
        <v>46.28</v>
      </c>
      <c r="C676" s="49">
        <v>47.24</v>
      </c>
      <c r="D676" s="49">
        <v>46.15</v>
      </c>
      <c r="E676" s="49">
        <v>45.45</v>
      </c>
      <c r="F676" s="49">
        <v>57.65</v>
      </c>
      <c r="G676" s="49">
        <v>51.38</v>
      </c>
      <c r="H676" s="49">
        <v>2.6461000000000001</v>
      </c>
      <c r="I676" s="49">
        <v>6.2786986603399999</v>
      </c>
      <c r="J676" s="49">
        <v>10.306943949140001</v>
      </c>
      <c r="K676" s="49">
        <v>68.964232901490007</v>
      </c>
      <c r="L676" s="49">
        <v>3.2784499999999999</v>
      </c>
      <c r="M676" s="49">
        <v>3.2220521299999998</v>
      </c>
      <c r="N676" s="49">
        <v>1.7967652999999999</v>
      </c>
      <c r="O676" s="49">
        <v>2.7815537048399999</v>
      </c>
      <c r="P676" s="49">
        <v>2.65</v>
      </c>
      <c r="Q676" s="49">
        <v>2.5921611145300001</v>
      </c>
      <c r="R676" s="49">
        <v>3.1025</v>
      </c>
      <c r="S676" s="49">
        <v>1051.5899999999999</v>
      </c>
      <c r="T676" s="49">
        <v>1280</v>
      </c>
      <c r="U676" s="49">
        <v>1471.88</v>
      </c>
      <c r="V676" s="49">
        <v>1399.94</v>
      </c>
      <c r="W676" s="49">
        <v>599.5</v>
      </c>
      <c r="X676" s="49">
        <v>799.66</v>
      </c>
      <c r="Y676" s="49">
        <v>367.49</v>
      </c>
      <c r="Z676" s="49">
        <v>720.4</v>
      </c>
      <c r="AA676" s="49">
        <v>374.45</v>
      </c>
      <c r="AB676" s="49">
        <v>771.69</v>
      </c>
      <c r="AC676" s="49">
        <v>896.82</v>
      </c>
      <c r="AD676" s="49">
        <v>109.77170416667001</v>
      </c>
      <c r="AE676" s="49">
        <v>165.62117599999999</v>
      </c>
      <c r="AF676" s="49">
        <v>173.61382499999999</v>
      </c>
      <c r="AG676" s="49">
        <v>357</v>
      </c>
      <c r="AH676" s="49">
        <v>347</v>
      </c>
      <c r="AI676" s="49">
        <v>360</v>
      </c>
      <c r="AJ676" s="49">
        <v>326.43</v>
      </c>
      <c r="AK676" s="49">
        <v>193.973508297</v>
      </c>
      <c r="AL676" s="49">
        <v>172.69524899999999</v>
      </c>
      <c r="AM676" s="49">
        <v>0.90682796361999995</v>
      </c>
      <c r="AN676" s="49">
        <v>0.94729765624999995</v>
      </c>
      <c r="AO676" s="49">
        <v>0.63169962437000005</v>
      </c>
      <c r="AP676" s="49">
        <v>4.5818617460000004</v>
      </c>
      <c r="AQ676" s="49">
        <v>1.69230830476</v>
      </c>
      <c r="AR676" s="49">
        <v>7.2752999999999997</v>
      </c>
      <c r="AS676" s="49">
        <v>8.7699783599999996</v>
      </c>
      <c r="AT676" s="49">
        <v>0.36669422400000001</v>
      </c>
      <c r="AU676" s="49">
        <v>0.53373850199999995</v>
      </c>
      <c r="AV676" s="49">
        <v>0.26146793200000001</v>
      </c>
      <c r="AW676" s="49">
        <v>4887.3583333333299</v>
      </c>
      <c r="AX676" s="49">
        <v>393.01499999999999</v>
      </c>
      <c r="AY676" s="49">
        <v>247.77514793936999</v>
      </c>
      <c r="AZ676" s="49">
        <v>735.64304530205004</v>
      </c>
      <c r="BA676" s="49">
        <v>836.73850000000004</v>
      </c>
      <c r="BB676" s="49">
        <v>454.47532777675002</v>
      </c>
      <c r="BC676" s="49">
        <v>1.5154557879999999</v>
      </c>
      <c r="BD676" s="49">
        <v>1.2393000000000001</v>
      </c>
      <c r="BE676" s="49">
        <v>1.3466</v>
      </c>
      <c r="BF676" s="49">
        <v>124</v>
      </c>
      <c r="BG676" s="49">
        <v>428</v>
      </c>
      <c r="BH676" s="49">
        <v>379</v>
      </c>
      <c r="BI676" s="49">
        <v>279.375</v>
      </c>
      <c r="BJ676" s="49">
        <v>301.5</v>
      </c>
      <c r="BK676" s="49">
        <v>1589.6</v>
      </c>
      <c r="BL676" s="49">
        <v>56.95</v>
      </c>
      <c r="BM676" s="49">
        <v>5217.25</v>
      </c>
      <c r="BN676" s="49">
        <v>1684.25</v>
      </c>
      <c r="BO676" s="49">
        <v>15453.34</v>
      </c>
      <c r="BP676" s="49">
        <v>9937.5499999999993</v>
      </c>
      <c r="BQ676" s="49">
        <v>1720.23</v>
      </c>
      <c r="BR676" s="49">
        <v>1124.77</v>
      </c>
      <c r="BS676" s="49">
        <v>964.38</v>
      </c>
      <c r="BT676" s="49">
        <v>14.75</v>
      </c>
    </row>
    <row r="677" spans="1:89" s="41" customFormat="1" ht="15" customHeight="1">
      <c r="A677" s="41" t="s">
        <v>936</v>
      </c>
      <c r="B677" s="51">
        <v>46.956666666670003</v>
      </c>
      <c r="C677" s="51">
        <v>48.12</v>
      </c>
      <c r="D677" s="51">
        <v>46.55</v>
      </c>
      <c r="E677" s="51">
        <v>46.2</v>
      </c>
      <c r="F677" s="51">
        <v>54.26</v>
      </c>
      <c r="G677" s="51">
        <v>50.11</v>
      </c>
      <c r="H677" s="51">
        <v>2.3151999999999999</v>
      </c>
      <c r="I677" s="51">
        <v>6.0269578205999998</v>
      </c>
      <c r="J677" s="51">
        <v>10.10742681042</v>
      </c>
      <c r="K677" s="51">
        <v>63.614050100889997</v>
      </c>
      <c r="L677" s="51">
        <v>3.1973400000000001</v>
      </c>
      <c r="M677" s="51">
        <v>3.3785801499999999</v>
      </c>
      <c r="N677" s="51">
        <v>1.824984436</v>
      </c>
      <c r="O677" s="51">
        <v>2.8623742092</v>
      </c>
      <c r="P677" s="51">
        <v>2.81</v>
      </c>
      <c r="Q677" s="51">
        <v>2.5371226275900001</v>
      </c>
      <c r="R677" s="51">
        <v>3.24</v>
      </c>
      <c r="S677" s="51">
        <v>1104.0899999999999</v>
      </c>
      <c r="T677" s="51">
        <v>1280</v>
      </c>
      <c r="U677" s="51">
        <v>1520.37</v>
      </c>
      <c r="V677" s="51">
        <v>1399.94</v>
      </c>
      <c r="W677" s="51">
        <v>636.66999999999996</v>
      </c>
      <c r="X677" s="51">
        <v>857.73</v>
      </c>
      <c r="Y677" s="51">
        <v>375.95</v>
      </c>
      <c r="Z677" s="51">
        <v>743.3</v>
      </c>
      <c r="AA677" s="51">
        <v>372.68</v>
      </c>
      <c r="AB677" s="51">
        <v>809.13</v>
      </c>
      <c r="AC677" s="51">
        <v>961.59</v>
      </c>
      <c r="AD677" s="51">
        <v>118.03902916667001</v>
      </c>
      <c r="AE677" s="51">
        <v>171.388588</v>
      </c>
      <c r="AF677" s="51">
        <v>177.47191000000001</v>
      </c>
      <c r="AG677" s="51">
        <v>373</v>
      </c>
      <c r="AH677" s="51">
        <v>362</v>
      </c>
      <c r="AI677" s="51">
        <v>369.27</v>
      </c>
      <c r="AJ677" s="51">
        <v>342.4</v>
      </c>
      <c r="AK677" s="51">
        <v>206.337753252</v>
      </c>
      <c r="AL677" s="51">
        <v>172.709946468</v>
      </c>
      <c r="AM677" s="51">
        <v>0.92603083351000004</v>
      </c>
      <c r="AN677" s="51">
        <v>0.93007406250000002</v>
      </c>
      <c r="AO677" s="51">
        <v>0.66068734788000005</v>
      </c>
      <c r="AP677" s="51">
        <v>4.2359568679999997</v>
      </c>
      <c r="AQ677" s="51">
        <v>1.6093725999999999</v>
      </c>
      <c r="AR677" s="51">
        <v>7.2752999999999997</v>
      </c>
      <c r="AS677" s="51">
        <v>8.7082490000000004</v>
      </c>
      <c r="AT677" s="51">
        <v>0.366955472</v>
      </c>
      <c r="AU677" s="51">
        <v>0.55203684799999997</v>
      </c>
      <c r="AV677" s="51">
        <v>0.30666264199999999</v>
      </c>
      <c r="AW677" s="51">
        <v>4858.4333333333298</v>
      </c>
      <c r="AX677" s="51">
        <v>393.29500000000002</v>
      </c>
      <c r="AY677" s="51">
        <v>248.08486687429999</v>
      </c>
      <c r="AZ677" s="51">
        <v>734.82848581725</v>
      </c>
      <c r="BA677" s="51">
        <v>835.81200000000001</v>
      </c>
      <c r="BB677" s="51">
        <v>455.04342193647</v>
      </c>
      <c r="BC677" s="51">
        <v>1.5218491860000001</v>
      </c>
      <c r="BD677" s="51">
        <v>1.2423999999999999</v>
      </c>
      <c r="BE677" s="51">
        <v>1.3275999999999999</v>
      </c>
      <c r="BF677" s="51">
        <v>123.5</v>
      </c>
      <c r="BG677" s="51">
        <v>423.75</v>
      </c>
      <c r="BH677" s="51">
        <v>380</v>
      </c>
      <c r="BI677" s="51">
        <v>250.625</v>
      </c>
      <c r="BJ677" s="51">
        <v>301.5</v>
      </c>
      <c r="BK677" s="51">
        <v>1516.49</v>
      </c>
      <c r="BL677" s="51">
        <v>53.12</v>
      </c>
      <c r="BM677" s="51">
        <v>5216.09</v>
      </c>
      <c r="BN677" s="51">
        <v>1720.11</v>
      </c>
      <c r="BO677" s="51">
        <v>15794.61</v>
      </c>
      <c r="BP677" s="51">
        <v>10316.83</v>
      </c>
      <c r="BQ677" s="51">
        <v>1724.34</v>
      </c>
      <c r="BR677" s="51">
        <v>1159.25</v>
      </c>
      <c r="BS677" s="51">
        <v>976.91</v>
      </c>
      <c r="BT677" s="51">
        <v>15.813000000000001</v>
      </c>
    </row>
    <row r="678" spans="1:89" s="41" customFormat="1" ht="15" customHeight="1">
      <c r="A678" s="48" t="s">
        <v>937</v>
      </c>
      <c r="B678" s="49">
        <v>43.113333333329997</v>
      </c>
      <c r="C678" s="49">
        <v>44.42</v>
      </c>
      <c r="D678" s="49">
        <v>42.22</v>
      </c>
      <c r="E678" s="49">
        <v>42.7</v>
      </c>
      <c r="F678" s="49">
        <v>52.47</v>
      </c>
      <c r="G678" s="49">
        <v>53.34</v>
      </c>
      <c r="H678" s="49">
        <v>2.0775000000000001</v>
      </c>
      <c r="I678" s="49">
        <v>5.5008338512300003</v>
      </c>
      <c r="J678" s="49">
        <v>9.5155859138499999</v>
      </c>
      <c r="K678" s="49">
        <v>57.82542281205</v>
      </c>
      <c r="L678" s="49">
        <v>3.36084</v>
      </c>
      <c r="M678" s="49">
        <v>3.2623966759999998</v>
      </c>
      <c r="N678" s="49">
        <v>1.802056388</v>
      </c>
      <c r="O678" s="49">
        <v>2.8215518526799999</v>
      </c>
      <c r="P678" s="49">
        <v>2.92</v>
      </c>
      <c r="Q678" s="49">
        <v>2.4896555580399999</v>
      </c>
      <c r="R678" s="49">
        <v>3.0550000000000002</v>
      </c>
      <c r="S678" s="49">
        <v>1071.07</v>
      </c>
      <c r="T678" s="49">
        <v>1307.8260869565199</v>
      </c>
      <c r="U678" s="49">
        <v>1517.92</v>
      </c>
      <c r="V678" s="49">
        <v>1413.16</v>
      </c>
      <c r="W678" s="49">
        <v>608.21</v>
      </c>
      <c r="X678" s="49">
        <v>788.75</v>
      </c>
      <c r="Y678" s="49">
        <v>368</v>
      </c>
      <c r="Z678" s="49">
        <v>727.34</v>
      </c>
      <c r="AA678" s="49">
        <v>350.57</v>
      </c>
      <c r="AB678" s="49">
        <v>799.62</v>
      </c>
      <c r="AC678" s="49">
        <v>915.24</v>
      </c>
      <c r="AD678" s="49">
        <v>119.41691666667001</v>
      </c>
      <c r="AE678" s="49">
        <v>166.1565808</v>
      </c>
      <c r="AF678" s="49">
        <v>169.09435400000001</v>
      </c>
      <c r="AG678" s="49">
        <v>368</v>
      </c>
      <c r="AH678" s="49">
        <v>359</v>
      </c>
      <c r="AI678" s="49">
        <v>366.24</v>
      </c>
      <c r="AJ678" s="49">
        <v>353.61</v>
      </c>
      <c r="AK678" s="49">
        <v>203.40560838600001</v>
      </c>
      <c r="AL678" s="49">
        <v>177.10448940000001</v>
      </c>
      <c r="AM678" s="49">
        <v>0.84749967592999997</v>
      </c>
      <c r="AN678" s="49">
        <v>0.93007406250000002</v>
      </c>
      <c r="AO678" s="49">
        <v>0.76780439188000005</v>
      </c>
      <c r="AP678" s="49">
        <v>4.0291635120000002</v>
      </c>
      <c r="AQ678" s="49">
        <v>1.6163345578899999</v>
      </c>
      <c r="AR678" s="49">
        <v>7.5247000000000002</v>
      </c>
      <c r="AS678" s="49">
        <v>9.6319847799999998</v>
      </c>
      <c r="AT678" s="49">
        <v>0.35069278399999998</v>
      </c>
      <c r="AU678" s="49">
        <v>0.56614641600000004</v>
      </c>
      <c r="AV678" s="49">
        <v>0.32077221</v>
      </c>
      <c r="AW678" s="49">
        <v>4813.0916666666699</v>
      </c>
      <c r="AX678" s="49">
        <v>375.86500000000001</v>
      </c>
      <c r="AY678" s="49">
        <v>242.90293754011</v>
      </c>
      <c r="AZ678" s="49">
        <v>728.50367099410005</v>
      </c>
      <c r="BA678" s="49">
        <v>828.61800000000005</v>
      </c>
      <c r="BB678" s="49">
        <v>445.53859850176002</v>
      </c>
      <c r="BC678" s="49">
        <v>1.5260379639999999</v>
      </c>
      <c r="BD678" s="49">
        <v>1.161</v>
      </c>
      <c r="BE678" s="49">
        <v>1.2366999999999999</v>
      </c>
      <c r="BF678" s="49">
        <v>123.5</v>
      </c>
      <c r="BG678" s="49">
        <v>383.875</v>
      </c>
      <c r="BH678" s="49">
        <v>366.4</v>
      </c>
      <c r="BI678" s="49">
        <v>263.625</v>
      </c>
      <c r="BJ678" s="49">
        <v>301.5</v>
      </c>
      <c r="BK678" s="49">
        <v>1467.89</v>
      </c>
      <c r="BL678" s="49">
        <v>46.86</v>
      </c>
      <c r="BM678" s="49">
        <v>4799.8999999999996</v>
      </c>
      <c r="BN678" s="49">
        <v>1618.35</v>
      </c>
      <c r="BO678" s="49">
        <v>14745.29</v>
      </c>
      <c r="BP678" s="49">
        <v>9244.33</v>
      </c>
      <c r="BQ678" s="49">
        <v>1583.31</v>
      </c>
      <c r="BR678" s="49">
        <v>1086.44</v>
      </c>
      <c r="BS678" s="49">
        <v>885.2</v>
      </c>
      <c r="BT678" s="49">
        <v>14.452</v>
      </c>
    </row>
    <row r="679" spans="1:89" s="41" customFormat="1" ht="15" customHeight="1">
      <c r="A679" s="41" t="s">
        <v>938</v>
      </c>
      <c r="B679" s="51">
        <v>36.573333333329998</v>
      </c>
      <c r="C679" s="51">
        <v>37.72</v>
      </c>
      <c r="D679" s="51">
        <v>34.770000000000003</v>
      </c>
      <c r="E679" s="51">
        <v>37.229999999999997</v>
      </c>
      <c r="F679" s="51">
        <v>52.21</v>
      </c>
      <c r="G679" s="51">
        <v>48.77</v>
      </c>
      <c r="H679" s="51">
        <v>1.9228000000000001</v>
      </c>
      <c r="I679" s="51">
        <v>5.09276298262</v>
      </c>
      <c r="J679" s="51">
        <v>9.0801962921099992</v>
      </c>
      <c r="K679" s="51">
        <v>53.711911475459999</v>
      </c>
      <c r="L679" s="51">
        <v>3.34565</v>
      </c>
      <c r="M679" s="51">
        <v>3.2773880919999998</v>
      </c>
      <c r="N679" s="51">
        <v>1.747822736</v>
      </c>
      <c r="O679" s="51">
        <v>2.8090698931999998</v>
      </c>
      <c r="P679" s="51">
        <v>2.95</v>
      </c>
      <c r="Q679" s="51">
        <v>2.4505430129299999</v>
      </c>
      <c r="R679" s="51">
        <v>3.0266666666700002</v>
      </c>
      <c r="S679" s="51">
        <v>1150</v>
      </c>
      <c r="T679" s="51">
        <v>1335.6521739130401</v>
      </c>
      <c r="U679" s="51">
        <v>1536.52</v>
      </c>
      <c r="V679" s="51">
        <v>1446.03</v>
      </c>
      <c r="W679" s="51">
        <v>607.38</v>
      </c>
      <c r="X679" s="51">
        <v>849.55</v>
      </c>
      <c r="Y679" s="51">
        <v>368.42</v>
      </c>
      <c r="Z679" s="51">
        <v>765.7</v>
      </c>
      <c r="AA679" s="51">
        <v>338.35</v>
      </c>
      <c r="AB679" s="51">
        <v>820.94</v>
      </c>
      <c r="AC679" s="51">
        <v>898.18</v>
      </c>
      <c r="AD679" s="51">
        <v>119.41691666667001</v>
      </c>
      <c r="AE679" s="51">
        <v>163.948036</v>
      </c>
      <c r="AF679" s="51">
        <v>169.75574</v>
      </c>
      <c r="AG679" s="51">
        <v>363</v>
      </c>
      <c r="AH679" s="51">
        <v>356</v>
      </c>
      <c r="AI679" s="51">
        <v>360.24</v>
      </c>
      <c r="AJ679" s="51">
        <v>371</v>
      </c>
      <c r="AK679" s="51">
        <v>191.98200138300001</v>
      </c>
      <c r="AL679" s="51">
        <v>189.22990050000001</v>
      </c>
      <c r="AM679" s="51">
        <v>0.85975801074000002</v>
      </c>
      <c r="AN679" s="51">
        <v>0.93007406250000002</v>
      </c>
      <c r="AO679" s="51">
        <v>0.76870364606999997</v>
      </c>
      <c r="AP679" s="51">
        <v>3.8005444179999999</v>
      </c>
      <c r="AQ679" s="51">
        <v>1.7366393</v>
      </c>
      <c r="AR679" s="51">
        <v>7.6059999999999999</v>
      </c>
      <c r="AS679" s="51">
        <v>9.8877206999999991</v>
      </c>
      <c r="AT679" s="51">
        <v>0.35506868800000002</v>
      </c>
      <c r="AU679" s="51">
        <v>0.56945334599999997</v>
      </c>
      <c r="AV679" s="51">
        <v>0.32275636800000002</v>
      </c>
      <c r="AW679" s="51">
        <v>4789.6499999999996</v>
      </c>
      <c r="AX679" s="51">
        <v>380.55500000000001</v>
      </c>
      <c r="AY679" s="51">
        <v>244.61942501985001</v>
      </c>
      <c r="AZ679" s="51">
        <v>718.15397401075995</v>
      </c>
      <c r="BA679" s="51">
        <v>816.846</v>
      </c>
      <c r="BB679" s="51">
        <v>448.68702245174001</v>
      </c>
      <c r="BC679" s="51">
        <v>1.551832018</v>
      </c>
      <c r="BD679" s="51">
        <v>1.1611</v>
      </c>
      <c r="BE679" s="51">
        <v>1.2661</v>
      </c>
      <c r="BF679" s="51">
        <v>123.5</v>
      </c>
      <c r="BG679" s="51">
        <v>340.625</v>
      </c>
      <c r="BH679" s="51">
        <v>360</v>
      </c>
      <c r="BI679" s="51">
        <v>264</v>
      </c>
      <c r="BJ679" s="51">
        <v>301.5</v>
      </c>
      <c r="BK679" s="51">
        <v>1497.2</v>
      </c>
      <c r="BL679" s="51">
        <v>40.5</v>
      </c>
      <c r="BM679" s="51">
        <v>4638.83</v>
      </c>
      <c r="BN679" s="51">
        <v>1706.58</v>
      </c>
      <c r="BO679" s="51">
        <v>14691.69</v>
      </c>
      <c r="BP679" s="51">
        <v>8707.7900000000009</v>
      </c>
      <c r="BQ679" s="51">
        <v>1527.79</v>
      </c>
      <c r="BR679" s="51">
        <v>1075.74</v>
      </c>
      <c r="BS679" s="51">
        <v>859.82</v>
      </c>
      <c r="BT679" s="51">
        <v>14.127000000000001</v>
      </c>
    </row>
    <row r="680" spans="1:89" s="41" customFormat="1" ht="15" customHeight="1">
      <c r="A680" s="48" t="s">
        <v>939</v>
      </c>
      <c r="B680" s="49">
        <v>29.78</v>
      </c>
      <c r="C680" s="49">
        <v>30.8</v>
      </c>
      <c r="D680" s="49">
        <v>27</v>
      </c>
      <c r="E680" s="49">
        <v>31.54</v>
      </c>
      <c r="F680" s="49">
        <v>49.02</v>
      </c>
      <c r="G680" s="49">
        <v>49.09</v>
      </c>
      <c r="H680" s="49">
        <v>2.2744</v>
      </c>
      <c r="I680" s="49">
        <v>4.3981862754099996</v>
      </c>
      <c r="J680" s="49">
        <v>8.4023022052700007</v>
      </c>
      <c r="K680" s="49">
        <v>54.220253687570001</v>
      </c>
      <c r="L680" s="49">
        <v>2.95242</v>
      </c>
      <c r="M680" s="49">
        <v>3.1973603860000002</v>
      </c>
      <c r="N680" s="49">
        <v>1.647071602</v>
      </c>
      <c r="O680" s="49">
        <v>2.5522033511200002</v>
      </c>
      <c r="P680" s="49">
        <v>2.85</v>
      </c>
      <c r="Q680" s="49">
        <v>2.0841100533699999</v>
      </c>
      <c r="R680" s="49">
        <v>2.7225000000000001</v>
      </c>
      <c r="S680" s="49">
        <v>1152</v>
      </c>
      <c r="T680" s="49">
        <v>1307.8260869565199</v>
      </c>
      <c r="U680" s="49">
        <v>1498.6</v>
      </c>
      <c r="V680" s="49">
        <v>1359.9</v>
      </c>
      <c r="W680" s="49">
        <v>611.63</v>
      </c>
      <c r="X680" s="49">
        <v>895.63</v>
      </c>
      <c r="Y680" s="49">
        <v>373.08</v>
      </c>
      <c r="Z680" s="49">
        <v>736.03</v>
      </c>
      <c r="AA680" s="49">
        <v>336.48</v>
      </c>
      <c r="AB680" s="49">
        <v>781.35</v>
      </c>
      <c r="AC680" s="49">
        <v>885.35</v>
      </c>
      <c r="AD680" s="49">
        <v>118.49832499999999</v>
      </c>
      <c r="AE680" s="49">
        <v>161.0269304</v>
      </c>
      <c r="AF680" s="49">
        <v>164.905576</v>
      </c>
      <c r="AG680" s="49">
        <v>369</v>
      </c>
      <c r="AH680" s="49">
        <v>361</v>
      </c>
      <c r="AI680" s="49">
        <v>366.19</v>
      </c>
      <c r="AJ680" s="49">
        <v>364.91</v>
      </c>
      <c r="AK680" s="49">
        <v>191.72847006000001</v>
      </c>
      <c r="AL680" s="49">
        <v>193.27170419999999</v>
      </c>
      <c r="AM680" s="49">
        <v>0.85580658075000005</v>
      </c>
      <c r="AN680" s="49">
        <v>1.0403050625000001</v>
      </c>
      <c r="AO680" s="49">
        <v>0.69284890973000002</v>
      </c>
      <c r="AP680" s="49">
        <v>3.6332137599999998</v>
      </c>
      <c r="AQ680" s="49">
        <v>1.8507784899999999</v>
      </c>
      <c r="AR680" s="49">
        <v>7.6059999999999999</v>
      </c>
      <c r="AS680" s="49">
        <v>10.471945</v>
      </c>
      <c r="AT680" s="49">
        <v>0.35474212799999999</v>
      </c>
      <c r="AU680" s="49">
        <v>0.56791011199999997</v>
      </c>
      <c r="AV680" s="49">
        <v>0.30974910999999999</v>
      </c>
      <c r="AW680" s="49">
        <v>4730.9583333333303</v>
      </c>
      <c r="AX680" s="49">
        <v>380.20499999999998</v>
      </c>
      <c r="AY680" s="49">
        <v>251.75631310711</v>
      </c>
      <c r="AZ680" s="49">
        <v>690.69852784660998</v>
      </c>
      <c r="BA680" s="49">
        <v>785.61749999999995</v>
      </c>
      <c r="BB680" s="49">
        <v>461.77767976640001</v>
      </c>
      <c r="BC680" s="49">
        <v>1.5156762500000001</v>
      </c>
      <c r="BD680" s="49">
        <v>1.0829</v>
      </c>
      <c r="BE680" s="49">
        <v>1.2338</v>
      </c>
      <c r="BF680" s="49">
        <v>122.6</v>
      </c>
      <c r="BG680" s="49">
        <v>327.125</v>
      </c>
      <c r="BH680" s="49">
        <v>334</v>
      </c>
      <c r="BI680" s="49">
        <v>233.875</v>
      </c>
      <c r="BJ680" s="49">
        <v>301.5</v>
      </c>
      <c r="BK680" s="49">
        <v>1481.1</v>
      </c>
      <c r="BL680" s="49">
        <v>41.88</v>
      </c>
      <c r="BM680" s="49">
        <v>4471.79</v>
      </c>
      <c r="BN680" s="49">
        <v>1646.2</v>
      </c>
      <c r="BO680" s="49">
        <v>13808.08</v>
      </c>
      <c r="BP680" s="49">
        <v>8507.2900000000009</v>
      </c>
      <c r="BQ680" s="49">
        <v>1520.36</v>
      </c>
      <c r="BR680" s="49">
        <v>1097.9100000000001</v>
      </c>
      <c r="BS680" s="49">
        <v>855.25</v>
      </c>
      <c r="BT680" s="49">
        <v>14.106</v>
      </c>
    </row>
    <row r="681" spans="1:89" s="41" customFormat="1" ht="15" customHeight="1">
      <c r="A681" s="41" t="s">
        <v>940</v>
      </c>
      <c r="B681" s="51">
        <v>31.03</v>
      </c>
      <c r="C681" s="51">
        <v>33.200000000000003</v>
      </c>
      <c r="D681" s="51">
        <v>29.5</v>
      </c>
      <c r="E681" s="51">
        <v>30.39</v>
      </c>
      <c r="F681" s="51">
        <v>50.27</v>
      </c>
      <c r="G681" s="51">
        <v>50.33</v>
      </c>
      <c r="H681" s="51">
        <v>1.9572000000000001</v>
      </c>
      <c r="I681" s="51">
        <v>3.9683785892799999</v>
      </c>
      <c r="J681" s="51">
        <v>8.5618581322799994</v>
      </c>
      <c r="K681" s="51">
        <v>48.433180105040002</v>
      </c>
      <c r="L681" s="51">
        <v>2.9163700000000001</v>
      </c>
      <c r="M681" s="51">
        <v>3.2562237399999998</v>
      </c>
      <c r="N681" s="51">
        <v>1.632300648</v>
      </c>
      <c r="O681" s="51">
        <v>2.35173727427</v>
      </c>
      <c r="P681" s="51">
        <v>2.83</v>
      </c>
      <c r="Q681" s="51">
        <v>1.7452118228</v>
      </c>
      <c r="R681" s="51">
        <v>2.48</v>
      </c>
      <c r="S681" s="51">
        <v>1218.93</v>
      </c>
      <c r="T681" s="51">
        <v>1280</v>
      </c>
      <c r="U681" s="51">
        <v>1511.99</v>
      </c>
      <c r="V681" s="51">
        <v>1317.26</v>
      </c>
      <c r="W681" s="51">
        <v>679.17</v>
      </c>
      <c r="X681" s="51">
        <v>986.9</v>
      </c>
      <c r="Y681" s="51">
        <v>373.75</v>
      </c>
      <c r="Z681" s="51">
        <v>767.24</v>
      </c>
      <c r="AA681" s="51">
        <v>323.29000000000002</v>
      </c>
      <c r="AB681" s="51">
        <v>779.88</v>
      </c>
      <c r="AC681" s="51">
        <v>898.19</v>
      </c>
      <c r="AD681" s="51">
        <v>114.82395833333</v>
      </c>
      <c r="AE681" s="51">
        <v>159.67660799999999</v>
      </c>
      <c r="AF681" s="51">
        <v>164.905576</v>
      </c>
      <c r="AG681" s="51">
        <v>384</v>
      </c>
      <c r="AH681" s="51">
        <v>374</v>
      </c>
      <c r="AI681" s="51">
        <v>377.38</v>
      </c>
      <c r="AJ681" s="51">
        <v>360.13</v>
      </c>
      <c r="AK681" s="51">
        <v>188.43256286100001</v>
      </c>
      <c r="AL681" s="51">
        <v>187.02528029999999</v>
      </c>
      <c r="AM681" s="51">
        <v>0.9309895654</v>
      </c>
      <c r="AN681" s="51">
        <v>1.0540839375</v>
      </c>
      <c r="AO681" s="51">
        <v>0.69136778517999997</v>
      </c>
      <c r="AP681" s="51">
        <v>3.8631556260000002</v>
      </c>
      <c r="AQ681" s="51">
        <v>1.7668454571400001</v>
      </c>
      <c r="AR681" s="51">
        <v>7.585</v>
      </c>
      <c r="AS681" s="51">
        <v>10.802638</v>
      </c>
      <c r="AT681" s="51">
        <v>0.36241628799999998</v>
      </c>
      <c r="AU681" s="51">
        <v>0.56217810000000001</v>
      </c>
      <c r="AV681" s="51">
        <v>0.292773536</v>
      </c>
      <c r="AW681" s="51">
        <v>4670.3333333333303</v>
      </c>
      <c r="AX681" s="51">
        <v>388.43</v>
      </c>
      <c r="AY681" s="51">
        <v>259.34475150201001</v>
      </c>
      <c r="AZ681" s="51">
        <v>685.85908620163002</v>
      </c>
      <c r="BA681" s="51">
        <v>780.11300000000006</v>
      </c>
      <c r="BB681" s="51">
        <v>475.69658186581</v>
      </c>
      <c r="BC681" s="51">
        <v>1.4676155340000001</v>
      </c>
      <c r="BD681" s="51">
        <v>1.0963000000000001</v>
      </c>
      <c r="BE681" s="51">
        <v>1.2696000000000001</v>
      </c>
      <c r="BF681" s="51">
        <v>114.5</v>
      </c>
      <c r="BG681" s="51">
        <v>326</v>
      </c>
      <c r="BH681" s="51">
        <v>286.25</v>
      </c>
      <c r="BI681" s="51">
        <v>191.875</v>
      </c>
      <c r="BJ681" s="51">
        <v>301.5</v>
      </c>
      <c r="BK681" s="51">
        <v>1531.26</v>
      </c>
      <c r="BL681" s="51">
        <v>46.83</v>
      </c>
      <c r="BM681" s="51">
        <v>4598.62</v>
      </c>
      <c r="BN681" s="51">
        <v>1765.75</v>
      </c>
      <c r="BO681" s="51">
        <v>15610.14</v>
      </c>
      <c r="BP681" s="51">
        <v>8298.5</v>
      </c>
      <c r="BQ681" s="51">
        <v>1709.85</v>
      </c>
      <c r="BR681" s="51">
        <v>1199.5</v>
      </c>
      <c r="BS681" s="51">
        <v>919.35</v>
      </c>
      <c r="BT681" s="51">
        <v>15.167</v>
      </c>
    </row>
    <row r="682" spans="1:89" s="41" customFormat="1" ht="15" customHeight="1">
      <c r="A682" s="48" t="s">
        <v>943</v>
      </c>
      <c r="B682" s="49">
        <v>37.340000000000003</v>
      </c>
      <c r="C682" s="49">
        <v>39.07</v>
      </c>
      <c r="D682" s="49">
        <v>35.18</v>
      </c>
      <c r="E682" s="49">
        <v>37.770000000000003</v>
      </c>
      <c r="F682" s="49">
        <v>52.21</v>
      </c>
      <c r="G682" s="49">
        <v>52.57</v>
      </c>
      <c r="H682" s="49">
        <v>1.7017</v>
      </c>
      <c r="I682" s="49">
        <v>3.9101802431000001</v>
      </c>
      <c r="J682" s="49">
        <v>7.7366980955100004</v>
      </c>
      <c r="K682" s="49">
        <v>44.494833931949998</v>
      </c>
      <c r="L682" s="49">
        <v>3.0735199999999998</v>
      </c>
      <c r="M682" s="49">
        <v>3.4722765</v>
      </c>
      <c r="N682" s="49">
        <v>1.6666927199999999</v>
      </c>
      <c r="O682" s="49">
        <v>2.3128862265099999</v>
      </c>
      <c r="P682" s="49">
        <v>2.87</v>
      </c>
      <c r="Q682" s="49">
        <v>1.7661586795299999</v>
      </c>
      <c r="R682" s="49">
        <v>2.3025000000000002</v>
      </c>
      <c r="S682" s="49">
        <v>1440.48</v>
      </c>
      <c r="T682" s="49">
        <v>1280</v>
      </c>
      <c r="U682" s="49">
        <v>1443.58</v>
      </c>
      <c r="V682" s="49">
        <v>1300.73</v>
      </c>
      <c r="W682" s="49">
        <v>715.95</v>
      </c>
      <c r="X682" s="49">
        <v>1210.5999999999999</v>
      </c>
      <c r="Y682" s="49">
        <v>380.97</v>
      </c>
      <c r="Z682" s="49">
        <v>765.61</v>
      </c>
      <c r="AA682" s="49">
        <v>319.13</v>
      </c>
      <c r="AB682" s="49">
        <v>766.26</v>
      </c>
      <c r="AC682" s="49">
        <v>859.19</v>
      </c>
      <c r="AD682" s="49">
        <v>112.98677499999999</v>
      </c>
      <c r="AE682" s="49">
        <v>159.13726639999999</v>
      </c>
      <c r="AF682" s="49">
        <v>160.49633600000001</v>
      </c>
      <c r="AG682" s="49">
        <v>384</v>
      </c>
      <c r="AH682" s="49">
        <v>375</v>
      </c>
      <c r="AI682" s="49">
        <v>374.9</v>
      </c>
      <c r="AJ682" s="49">
        <v>360.2</v>
      </c>
      <c r="AK682" s="49">
        <v>189.68919637499999</v>
      </c>
      <c r="AL682" s="49">
        <v>191.06708399999999</v>
      </c>
      <c r="AM682" s="49">
        <v>0.93921695233000002</v>
      </c>
      <c r="AN682" s="49">
        <v>1.0127473124999999</v>
      </c>
      <c r="AO682" s="49">
        <v>0.68200496207000005</v>
      </c>
      <c r="AP682" s="49">
        <v>4.0333522899999998</v>
      </c>
      <c r="AQ682" s="49">
        <v>1.8548871</v>
      </c>
      <c r="AR682" s="49">
        <v>7.3855000000000004</v>
      </c>
      <c r="AS682" s="49">
        <v>10.670360799999999</v>
      </c>
      <c r="AT682" s="49">
        <v>0.36284081600000001</v>
      </c>
      <c r="AU682" s="49">
        <v>0.580255984</v>
      </c>
      <c r="AV682" s="49">
        <v>0.340393328</v>
      </c>
      <c r="AW682" s="49">
        <v>4569.6750000000002</v>
      </c>
      <c r="AX682" s="49">
        <v>388.88499999999999</v>
      </c>
      <c r="AY682" s="49">
        <v>263.61625807948002</v>
      </c>
      <c r="AZ682" s="49">
        <v>681.40296666713004</v>
      </c>
      <c r="BA682" s="49">
        <v>775.04449999999997</v>
      </c>
      <c r="BB682" s="49">
        <v>483.53148527740001</v>
      </c>
      <c r="BC682" s="49">
        <v>1.443144252</v>
      </c>
      <c r="BD682" s="49">
        <v>1.2835000000000001</v>
      </c>
      <c r="BE682" s="49">
        <v>1.4562999999999999</v>
      </c>
      <c r="BF682" s="49">
        <v>114.5</v>
      </c>
      <c r="BG682" s="49">
        <v>338.125</v>
      </c>
      <c r="BH682" s="49">
        <v>291.25</v>
      </c>
      <c r="BI682" s="49">
        <v>201.75</v>
      </c>
      <c r="BJ682" s="49">
        <v>301.5</v>
      </c>
      <c r="BK682" s="49">
        <v>1531.01</v>
      </c>
      <c r="BL682" s="49">
        <v>56.2</v>
      </c>
      <c r="BM682" s="49">
        <v>4953.8</v>
      </c>
      <c r="BN682" s="49">
        <v>1802.19</v>
      </c>
      <c r="BO682" s="49">
        <v>16897.599999999999</v>
      </c>
      <c r="BP682" s="49">
        <v>8717.25</v>
      </c>
      <c r="BQ682" s="49">
        <v>1801.69</v>
      </c>
      <c r="BR682" s="49">
        <v>1245.1400000000001</v>
      </c>
      <c r="BS682" s="49">
        <v>967.73</v>
      </c>
      <c r="BT682" s="49">
        <v>15.465</v>
      </c>
    </row>
    <row r="683" spans="1:89" s="41" customFormat="1" ht="15" customHeight="1">
      <c r="A683" s="41" t="s">
        <v>944</v>
      </c>
      <c r="B683" s="51">
        <v>40.75</v>
      </c>
      <c r="C683" s="51">
        <v>42.25</v>
      </c>
      <c r="D683" s="51">
        <v>39.04</v>
      </c>
      <c r="E683" s="51">
        <v>40.96</v>
      </c>
      <c r="F683" s="51">
        <v>50.69</v>
      </c>
      <c r="G683" s="51">
        <v>52.35</v>
      </c>
      <c r="H683" s="51">
        <v>1.9047000000000001</v>
      </c>
      <c r="I683" s="51">
        <v>3.9700750897899999</v>
      </c>
      <c r="J683" s="51">
        <v>6.8249795642500004</v>
      </c>
      <c r="K683" s="51">
        <v>46.626993177279999</v>
      </c>
      <c r="L683" s="51">
        <v>3.0785</v>
      </c>
      <c r="M683" s="51">
        <v>3.399964964</v>
      </c>
      <c r="N683" s="51">
        <v>1.7676643160000001</v>
      </c>
      <c r="O683" s="51">
        <v>2.5375545113400002</v>
      </c>
      <c r="P683" s="51">
        <v>2.99</v>
      </c>
      <c r="Q683" s="51">
        <v>2.5101635340100001</v>
      </c>
      <c r="R683" s="51">
        <v>2.1124999999999998</v>
      </c>
      <c r="S683" s="51">
        <v>1580.95</v>
      </c>
      <c r="T683" s="51">
        <v>1294.46956521739</v>
      </c>
      <c r="U683" s="51">
        <v>1474.33</v>
      </c>
      <c r="V683" s="51">
        <v>1314.38</v>
      </c>
      <c r="W683" s="51">
        <v>775</v>
      </c>
      <c r="X683" s="51">
        <v>1299.05</v>
      </c>
      <c r="Y683" s="51">
        <v>395.14</v>
      </c>
      <c r="Z683" s="51">
        <v>794.13</v>
      </c>
      <c r="AA683" s="51">
        <v>346.19</v>
      </c>
      <c r="AB683" s="51">
        <v>808.51</v>
      </c>
      <c r="AC683" s="51">
        <v>875.95</v>
      </c>
      <c r="AD683" s="51">
        <v>112.52747916667001</v>
      </c>
      <c r="AE683" s="51">
        <v>164.4125784</v>
      </c>
      <c r="AF683" s="51">
        <v>162.260032</v>
      </c>
      <c r="AG683" s="51">
        <v>395</v>
      </c>
      <c r="AH683" s="51">
        <v>386</v>
      </c>
      <c r="AI683" s="51">
        <v>383.53</v>
      </c>
      <c r="AJ683" s="51">
        <v>371</v>
      </c>
      <c r="AK683" s="51">
        <v>192.76096718700001</v>
      </c>
      <c r="AL683" s="51">
        <v>187.392717</v>
      </c>
      <c r="AM683" s="51">
        <v>0.93965644332999998</v>
      </c>
      <c r="AN683" s="51">
        <v>0.99345688750000005</v>
      </c>
      <c r="AO683" s="51">
        <v>0.71379624277999998</v>
      </c>
      <c r="AP683" s="51">
        <v>3.9630249119999998</v>
      </c>
      <c r="AQ683" s="51">
        <v>1.93376668571</v>
      </c>
      <c r="AR683" s="51">
        <v>7.3855000000000004</v>
      </c>
      <c r="AS683" s="51">
        <v>10.527060499999999</v>
      </c>
      <c r="AT683" s="51">
        <v>0.37015576</v>
      </c>
      <c r="AU683" s="51">
        <v>0.61508898000000001</v>
      </c>
      <c r="AV683" s="51">
        <v>0.33576362599999998</v>
      </c>
      <c r="AW683" s="51">
        <v>4625</v>
      </c>
      <c r="AX683" s="51">
        <v>396.72500000000002</v>
      </c>
      <c r="AY683" s="51">
        <v>271.70013712617998</v>
      </c>
      <c r="AZ683" s="51">
        <v>685.76325567399999</v>
      </c>
      <c r="BA683" s="51">
        <v>780.00400000000002</v>
      </c>
      <c r="BB683" s="51">
        <v>498.35913692047001</v>
      </c>
      <c r="BC683" s="51">
        <v>1.5273607360000001</v>
      </c>
      <c r="BD683" s="51">
        <v>1.4885999999999999</v>
      </c>
      <c r="BE683" s="51">
        <v>1.7074</v>
      </c>
      <c r="BF683" s="51">
        <v>114.125</v>
      </c>
      <c r="BG683" s="51">
        <v>330.5</v>
      </c>
      <c r="BH683" s="51">
        <v>295</v>
      </c>
      <c r="BI683" s="51">
        <v>196.25</v>
      </c>
      <c r="BJ683" s="51">
        <v>301.5</v>
      </c>
      <c r="BK683" s="51">
        <v>1571.23</v>
      </c>
      <c r="BL683" s="51">
        <v>60.92</v>
      </c>
      <c r="BM683" s="51">
        <v>4872.74</v>
      </c>
      <c r="BN683" s="51">
        <v>1732.27</v>
      </c>
      <c r="BO683" s="51">
        <v>17032.71</v>
      </c>
      <c r="BP683" s="51">
        <v>8878.86</v>
      </c>
      <c r="BQ683" s="51">
        <v>1855.37</v>
      </c>
      <c r="BR683" s="51">
        <v>1242.26</v>
      </c>
      <c r="BS683" s="51">
        <v>994.19</v>
      </c>
      <c r="BT683" s="51">
        <v>16.36</v>
      </c>
    </row>
    <row r="684" spans="1:89" s="41" customFormat="1" ht="15" customHeight="1">
      <c r="A684" s="48" t="s">
        <v>945</v>
      </c>
      <c r="B684" s="49">
        <v>45.93666666667</v>
      </c>
      <c r="C684" s="49">
        <v>47.13</v>
      </c>
      <c r="D684" s="49">
        <v>43.95</v>
      </c>
      <c r="E684" s="49">
        <v>46.73</v>
      </c>
      <c r="F684" s="49">
        <v>51.31</v>
      </c>
      <c r="G684" s="49">
        <v>54.24</v>
      </c>
      <c r="H684" s="49">
        <v>1.9219999999999999</v>
      </c>
      <c r="I684" s="49">
        <v>4.3291918650600003</v>
      </c>
      <c r="J684" s="49">
        <v>6.2688925069200003</v>
      </c>
      <c r="K684" s="49">
        <v>48.16755906969</v>
      </c>
      <c r="L684" s="49">
        <v>3.0986600000000002</v>
      </c>
      <c r="M684" s="49">
        <v>3.4213497780000002</v>
      </c>
      <c r="N684" s="49">
        <v>1.8503375660000001</v>
      </c>
      <c r="O684" s="49">
        <v>2.57487716258</v>
      </c>
      <c r="P684" s="49">
        <v>3.08</v>
      </c>
      <c r="Q684" s="49">
        <v>2.4326314877400002</v>
      </c>
      <c r="R684" s="49">
        <v>2.2120000000000002</v>
      </c>
      <c r="S684" s="49">
        <v>1439.5</v>
      </c>
      <c r="T684" s="49">
        <v>1200</v>
      </c>
      <c r="U684" s="49">
        <v>1500.81</v>
      </c>
      <c r="V684" s="49">
        <v>1322.77</v>
      </c>
      <c r="W684" s="49">
        <v>753.42</v>
      </c>
      <c r="X684" s="49">
        <v>1218.25</v>
      </c>
      <c r="Y684" s="49">
        <v>422.55</v>
      </c>
      <c r="Z684" s="49">
        <v>795.64</v>
      </c>
      <c r="AA684" s="49">
        <v>421.64</v>
      </c>
      <c r="AB684" s="49">
        <v>805.59</v>
      </c>
      <c r="AC684" s="49">
        <v>881</v>
      </c>
      <c r="AD684" s="49">
        <v>112.06818333333</v>
      </c>
      <c r="AE684" s="49">
        <v>168.9556456</v>
      </c>
      <c r="AF684" s="49">
        <v>158.51217800000001</v>
      </c>
      <c r="AG684" s="49">
        <v>433</v>
      </c>
      <c r="AH684" s="49">
        <v>415</v>
      </c>
      <c r="AI684" s="49">
        <v>414.38</v>
      </c>
      <c r="AJ684" s="49">
        <v>377.31</v>
      </c>
      <c r="AK684" s="49">
        <v>189.850868523</v>
      </c>
      <c r="AL684" s="49">
        <v>171.96037559999999</v>
      </c>
      <c r="AM684" s="49">
        <v>0.92890044681999995</v>
      </c>
      <c r="AN684" s="49">
        <v>0.9851895625</v>
      </c>
      <c r="AO684" s="49">
        <v>0.76362550473000002</v>
      </c>
      <c r="AP684" s="49">
        <v>4.041729846</v>
      </c>
      <c r="AQ684" s="49">
        <v>2.0555456952400002</v>
      </c>
      <c r="AR684" s="49">
        <v>7.3855000000000004</v>
      </c>
      <c r="AS684" s="49">
        <v>10.471945</v>
      </c>
      <c r="AT684" s="49">
        <v>0.36930670399999999</v>
      </c>
      <c r="AU684" s="49">
        <v>0.60097941200000005</v>
      </c>
      <c r="AV684" s="49">
        <v>0.37500586200000002</v>
      </c>
      <c r="AW684" s="49">
        <v>4680.3583333333299</v>
      </c>
      <c r="AX684" s="49">
        <v>395.815</v>
      </c>
      <c r="AY684" s="49">
        <v>273.27137896929997</v>
      </c>
      <c r="AZ684" s="49">
        <v>696.35252897639998</v>
      </c>
      <c r="BA684" s="49">
        <v>792.04849999999999</v>
      </c>
      <c r="BB684" s="49">
        <v>501.24114771779</v>
      </c>
      <c r="BC684" s="49">
        <v>1.549406936</v>
      </c>
      <c r="BD684" s="49">
        <v>1.3583000000000001</v>
      </c>
      <c r="BE684" s="49">
        <v>1.6287</v>
      </c>
      <c r="BF684" s="49">
        <v>110.5</v>
      </c>
      <c r="BG684" s="49">
        <v>313.5</v>
      </c>
      <c r="BH684" s="49">
        <v>295</v>
      </c>
      <c r="BI684" s="49">
        <v>198.375</v>
      </c>
      <c r="BJ684" s="49">
        <v>301.5</v>
      </c>
      <c r="BK684" s="49">
        <v>1550.63</v>
      </c>
      <c r="BL684" s="49">
        <v>55.13</v>
      </c>
      <c r="BM684" s="49">
        <v>4694.54</v>
      </c>
      <c r="BN684" s="49">
        <v>1707.8</v>
      </c>
      <c r="BO684" s="49">
        <v>16706.95</v>
      </c>
      <c r="BP684" s="49">
        <v>8660.35</v>
      </c>
      <c r="BQ684" s="49">
        <v>1869.03</v>
      </c>
      <c r="BR684" s="49">
        <v>1260.95</v>
      </c>
      <c r="BS684" s="49">
        <v>1035.8599999999999</v>
      </c>
      <c r="BT684" s="49">
        <v>16.946999999999999</v>
      </c>
    </row>
    <row r="685" spans="1:89" s="41" customFormat="1" ht="15" customHeight="1">
      <c r="A685" s="41" t="s">
        <v>1207</v>
      </c>
      <c r="B685" s="51">
        <v>47.68666666667</v>
      </c>
      <c r="C685" s="51">
        <v>48.48</v>
      </c>
      <c r="D685" s="51">
        <v>45.83</v>
      </c>
      <c r="E685" s="51">
        <v>48.75</v>
      </c>
      <c r="F685" s="51">
        <v>52.85</v>
      </c>
      <c r="G685" s="51">
        <v>58.59</v>
      </c>
      <c r="H685" s="51">
        <v>2.5666000000000002</v>
      </c>
      <c r="I685" s="51">
        <v>4.7557204668899997</v>
      </c>
      <c r="J685" s="51">
        <v>6.4018011694899997</v>
      </c>
      <c r="K685" s="51">
        <v>58.112927318339999</v>
      </c>
      <c r="L685" s="51">
        <v>3.1208</v>
      </c>
      <c r="M685" s="51">
        <v>3.6475437899999998</v>
      </c>
      <c r="N685" s="51">
        <v>1.8946504280000001</v>
      </c>
      <c r="O685" s="51">
        <v>2.6481127368999999</v>
      </c>
      <c r="P685" s="51">
        <v>2.96</v>
      </c>
      <c r="Q685" s="51">
        <v>2.5768382107100001</v>
      </c>
      <c r="R685" s="51">
        <v>2.4075000000000002</v>
      </c>
      <c r="S685" s="51">
        <v>1547.95</v>
      </c>
      <c r="T685" s="51">
        <v>1195</v>
      </c>
      <c r="U685" s="51">
        <v>1517.12</v>
      </c>
      <c r="V685" s="51">
        <v>1365.86</v>
      </c>
      <c r="W685" s="51">
        <v>718.18</v>
      </c>
      <c r="X685" s="51">
        <v>1337.27</v>
      </c>
      <c r="Y685" s="51">
        <v>457.4</v>
      </c>
      <c r="Z685" s="51">
        <v>799.91</v>
      </c>
      <c r="AA685" s="51">
        <v>467.73</v>
      </c>
      <c r="AB685" s="51">
        <v>793.48</v>
      </c>
      <c r="AC685" s="51">
        <v>860.23</v>
      </c>
      <c r="AD685" s="51">
        <v>108.39381666667001</v>
      </c>
      <c r="AE685" s="51">
        <v>179.87239199999999</v>
      </c>
      <c r="AF685" s="51">
        <v>166.66927200000001</v>
      </c>
      <c r="AG685" s="51">
        <v>441</v>
      </c>
      <c r="AH685" s="51">
        <v>422</v>
      </c>
      <c r="AI685" s="51">
        <v>426.79</v>
      </c>
      <c r="AJ685" s="51">
        <v>372.46</v>
      </c>
      <c r="AK685" s="51">
        <v>187.01425719900001</v>
      </c>
      <c r="AL685" s="51">
        <v>173.0626857</v>
      </c>
      <c r="AM685" s="51">
        <v>0.94227349262000004</v>
      </c>
      <c r="AN685" s="51">
        <v>0.99345688750000005</v>
      </c>
      <c r="AO685" s="51">
        <v>0.87545040893000003</v>
      </c>
      <c r="AP685" s="51">
        <v>4.1050024399999998</v>
      </c>
      <c r="AQ685" s="51">
        <v>2.154515</v>
      </c>
      <c r="AR685" s="51">
        <v>7.3353999999999999</v>
      </c>
      <c r="AS685" s="51">
        <v>10.471945</v>
      </c>
      <c r="AT685" s="51">
        <v>0.36682484799999998</v>
      </c>
      <c r="AU685" s="51">
        <v>0.61001835400000004</v>
      </c>
      <c r="AV685" s="51">
        <v>0.42879858999999998</v>
      </c>
      <c r="AW685" s="51">
        <v>4809.95</v>
      </c>
      <c r="AX685" s="51">
        <v>393.15499999999997</v>
      </c>
      <c r="AY685" s="51">
        <v>282.26210320389998</v>
      </c>
      <c r="AZ685" s="51">
        <v>681.11547508425997</v>
      </c>
      <c r="BA685" s="51">
        <v>774.71749999999997</v>
      </c>
      <c r="BB685" s="51">
        <v>517.73215731844004</v>
      </c>
      <c r="BC685" s="51">
        <v>1.6336234199999999</v>
      </c>
      <c r="BD685" s="51">
        <v>1.2641</v>
      </c>
      <c r="BE685" s="51">
        <v>1.4944</v>
      </c>
      <c r="BF685" s="51">
        <v>110.5</v>
      </c>
      <c r="BG685" s="51">
        <v>306.625</v>
      </c>
      <c r="BH685" s="51">
        <v>285</v>
      </c>
      <c r="BI685" s="51">
        <v>142.625</v>
      </c>
      <c r="BJ685" s="51">
        <v>301.5</v>
      </c>
      <c r="BK685" s="51">
        <v>1593.51</v>
      </c>
      <c r="BL685" s="51">
        <v>51.98</v>
      </c>
      <c r="BM685" s="51">
        <v>4641.97</v>
      </c>
      <c r="BN685" s="51">
        <v>1712.77</v>
      </c>
      <c r="BO685" s="51">
        <v>16966.689999999999</v>
      </c>
      <c r="BP685" s="51">
        <v>8928.35</v>
      </c>
      <c r="BQ685" s="51">
        <v>2026.19</v>
      </c>
      <c r="BR685" s="51">
        <v>1276.4000000000001</v>
      </c>
      <c r="BS685" s="51">
        <v>984.14</v>
      </c>
      <c r="BT685" s="51">
        <v>17.286000000000001</v>
      </c>
    </row>
    <row r="686" spans="1:89" s="41" customFormat="1" ht="15" customHeight="1">
      <c r="A686" s="48" t="s">
        <v>1208</v>
      </c>
      <c r="B686" s="49">
        <v>44.126666666669998</v>
      </c>
      <c r="C686" s="49">
        <v>45.07</v>
      </c>
      <c r="D686" s="49">
        <v>42.62</v>
      </c>
      <c r="E686" s="49">
        <v>44.69</v>
      </c>
      <c r="F686" s="49">
        <v>61.24</v>
      </c>
      <c r="G686" s="49">
        <v>62.39</v>
      </c>
      <c r="H686" s="49">
        <v>2.7879</v>
      </c>
      <c r="I686" s="49">
        <v>4.6747376913499998</v>
      </c>
      <c r="J686" s="49">
        <v>6.7571186470500004</v>
      </c>
      <c r="K686" s="49">
        <v>60.655991369200002</v>
      </c>
      <c r="L686" s="49">
        <v>3.0499800000000001</v>
      </c>
      <c r="M686" s="49">
        <v>3.7866553120000002</v>
      </c>
      <c r="N686" s="49">
        <v>2.0022358840000001</v>
      </c>
      <c r="O686" s="49">
        <v>2.7724328782300001</v>
      </c>
      <c r="P686" s="49">
        <v>3.18</v>
      </c>
      <c r="Q686" s="49">
        <v>2.7047986346999999</v>
      </c>
      <c r="R686" s="49">
        <v>2.4325000000000001</v>
      </c>
      <c r="S686" s="49">
        <v>1515</v>
      </c>
      <c r="T686" s="49">
        <v>1327.7777777777801</v>
      </c>
      <c r="U686" s="49">
        <v>1493.28</v>
      </c>
      <c r="V686" s="49">
        <v>1415.37</v>
      </c>
      <c r="W686" s="49">
        <v>678.16</v>
      </c>
      <c r="X686" s="49">
        <v>1290</v>
      </c>
      <c r="Y686" s="49">
        <v>431.08</v>
      </c>
      <c r="Z686" s="49">
        <v>796.67</v>
      </c>
      <c r="AA686" s="49">
        <v>439.9</v>
      </c>
      <c r="AB686" s="49">
        <v>767.83</v>
      </c>
      <c r="AC686" s="49">
        <v>832.86</v>
      </c>
      <c r="AD686" s="49">
        <v>107.01592916667001</v>
      </c>
      <c r="AE686" s="49">
        <v>161.75917519999999</v>
      </c>
      <c r="AF686" s="49">
        <v>145.174227</v>
      </c>
      <c r="AG686" s="49">
        <v>442</v>
      </c>
      <c r="AH686" s="49">
        <v>424</v>
      </c>
      <c r="AI686" s="49">
        <v>417.89</v>
      </c>
      <c r="AJ686" s="49">
        <v>361.57</v>
      </c>
      <c r="AK686" s="49">
        <v>166.514963706</v>
      </c>
      <c r="AL686" s="49">
        <v>151.75135710000001</v>
      </c>
      <c r="AM686" s="49">
        <v>0.92840991887000002</v>
      </c>
      <c r="AN686" s="49">
        <v>1.00930259375</v>
      </c>
      <c r="AO686" s="49">
        <v>0.96775620733000001</v>
      </c>
      <c r="AP686" s="49">
        <v>4.2555779859999996</v>
      </c>
      <c r="AQ686" s="49">
        <v>1.9621118</v>
      </c>
      <c r="AR686" s="49">
        <v>7.1485000000000003</v>
      </c>
      <c r="AS686" s="49">
        <v>10.471945</v>
      </c>
      <c r="AT686" s="49">
        <v>0.36140395199999997</v>
      </c>
      <c r="AU686" s="49">
        <v>0.62060053000000004</v>
      </c>
      <c r="AV686" s="49">
        <v>0.43210552000000002</v>
      </c>
      <c r="AW686" s="49">
        <v>4856.5833333333303</v>
      </c>
      <c r="AX686" s="49">
        <v>387.34500000000003</v>
      </c>
      <c r="AY686" s="49">
        <v>285.97679178593</v>
      </c>
      <c r="AZ686" s="49">
        <v>630.42112597140999</v>
      </c>
      <c r="BA686" s="49">
        <v>717.05650000000003</v>
      </c>
      <c r="BB686" s="49">
        <v>524.54573133887004</v>
      </c>
      <c r="BC686" s="49">
        <v>1.787064972</v>
      </c>
      <c r="BD686" s="49">
        <v>1.2816000000000001</v>
      </c>
      <c r="BE686" s="49">
        <v>1.5931999999999999</v>
      </c>
      <c r="BF686" s="49">
        <v>110.5</v>
      </c>
      <c r="BG686" s="49">
        <v>305.2</v>
      </c>
      <c r="BH686" s="49">
        <v>281</v>
      </c>
      <c r="BI686" s="49">
        <v>181</v>
      </c>
      <c r="BJ686" s="49">
        <v>282.5</v>
      </c>
      <c r="BK686" s="49">
        <v>1629.05</v>
      </c>
      <c r="BL686" s="49">
        <v>57.26</v>
      </c>
      <c r="BM686" s="49">
        <v>4864.8999999999996</v>
      </c>
      <c r="BN686" s="49">
        <v>1834.79</v>
      </c>
      <c r="BO686" s="49">
        <v>17826.23</v>
      </c>
      <c r="BP686" s="49">
        <v>10262.86</v>
      </c>
      <c r="BQ686" s="49">
        <v>2183.25</v>
      </c>
      <c r="BR686" s="49">
        <v>1336.66</v>
      </c>
      <c r="BS686" s="49">
        <v>1087.5</v>
      </c>
      <c r="BT686" s="49">
        <v>19.992000000000001</v>
      </c>
    </row>
    <row r="687" spans="1:89" s="41" customFormat="1" ht="15" customHeight="1">
      <c r="A687" s="41" t="s">
        <v>1259</v>
      </c>
      <c r="B687" s="51">
        <v>44.876666666669998</v>
      </c>
      <c r="C687" s="51">
        <v>46.14</v>
      </c>
      <c r="D687" s="51">
        <v>43.74</v>
      </c>
      <c r="E687" s="51">
        <v>44.75</v>
      </c>
      <c r="F687" s="51">
        <v>67.39</v>
      </c>
      <c r="G687" s="51">
        <v>66.34</v>
      </c>
      <c r="H687" s="51">
        <v>2.7913000000000001</v>
      </c>
      <c r="I687" s="51">
        <v>4.0474899302000003</v>
      </c>
      <c r="J687" s="51">
        <v>7.1386747240500004</v>
      </c>
      <c r="K687" s="51">
        <v>57.973862286150002</v>
      </c>
      <c r="L687" s="51">
        <v>3.0324900000000001</v>
      </c>
      <c r="M687" s="51">
        <v>3.6936203480000001</v>
      </c>
      <c r="N687" s="51">
        <v>2.0236206980000002</v>
      </c>
      <c r="O687" s="51">
        <v>2.7752354889799999</v>
      </c>
      <c r="P687" s="51">
        <v>3.46</v>
      </c>
      <c r="Q687" s="51">
        <v>2.5557064669299998</v>
      </c>
      <c r="R687" s="51">
        <v>2.31</v>
      </c>
      <c r="S687" s="51">
        <v>1575</v>
      </c>
      <c r="T687" s="51">
        <v>1565.63</v>
      </c>
      <c r="U687" s="51">
        <v>1539.99</v>
      </c>
      <c r="V687" s="51">
        <v>1433</v>
      </c>
      <c r="W687" s="51">
        <v>771.02</v>
      </c>
      <c r="X687" s="51">
        <v>1423.7</v>
      </c>
      <c r="Y687" s="51">
        <v>412.17</v>
      </c>
      <c r="Z687" s="51">
        <v>824.42</v>
      </c>
      <c r="AA687" s="51">
        <v>398.7</v>
      </c>
      <c r="AB687" s="51">
        <v>817.52</v>
      </c>
      <c r="AC687" s="51">
        <v>830.35</v>
      </c>
      <c r="AD687" s="51">
        <v>95.533533333329999</v>
      </c>
      <c r="AE687" s="51">
        <v>150.15348879999999</v>
      </c>
      <c r="AF687" s="51">
        <v>152.66993500000001</v>
      </c>
      <c r="AG687" s="51">
        <v>415</v>
      </c>
      <c r="AH687" s="51">
        <v>403</v>
      </c>
      <c r="AI687" s="51">
        <v>393.78</v>
      </c>
      <c r="AJ687" s="51">
        <v>347.46</v>
      </c>
      <c r="AK687" s="51">
        <v>159.280135083</v>
      </c>
      <c r="AL687" s="51">
        <v>149.1793002</v>
      </c>
      <c r="AM687" s="51">
        <v>0.90134392314</v>
      </c>
      <c r="AN687" s="51">
        <v>1.0430608374999999</v>
      </c>
      <c r="AO687" s="51">
        <v>0.95923974110999999</v>
      </c>
      <c r="AP687" s="51">
        <v>4.2394842600000002</v>
      </c>
      <c r="AQ687" s="51">
        <v>1.7416498</v>
      </c>
      <c r="AR687" s="51">
        <v>6.8342999999999998</v>
      </c>
      <c r="AS687" s="51">
        <v>10.84011654</v>
      </c>
      <c r="AT687" s="51">
        <v>0.36604110400000001</v>
      </c>
      <c r="AU687" s="51">
        <v>0.62919854799999997</v>
      </c>
      <c r="AV687" s="51">
        <v>0.44379000600000001</v>
      </c>
      <c r="AW687" s="51">
        <v>4889.7083333333303</v>
      </c>
      <c r="AX687" s="51">
        <v>392.315</v>
      </c>
      <c r="AY687" s="51">
        <v>294.02650888805999</v>
      </c>
      <c r="AZ687" s="51">
        <v>628.45660015512999</v>
      </c>
      <c r="BA687" s="51">
        <v>714.822</v>
      </c>
      <c r="BB687" s="51">
        <v>539.31072229507004</v>
      </c>
      <c r="BC687" s="51">
        <v>1.7694280120000001</v>
      </c>
      <c r="BD687" s="51">
        <v>1.2972999999999999</v>
      </c>
      <c r="BE687" s="51">
        <v>1.5519000000000001</v>
      </c>
      <c r="BF687" s="51">
        <v>109.75</v>
      </c>
      <c r="BG687" s="51">
        <v>318.0625</v>
      </c>
      <c r="BH687" s="51">
        <v>281.25</v>
      </c>
      <c r="BI687" s="51">
        <v>186.25</v>
      </c>
      <c r="BJ687" s="51">
        <v>206.5</v>
      </c>
      <c r="BK687" s="51">
        <v>1639.28</v>
      </c>
      <c r="BL687" s="51">
        <v>60.89</v>
      </c>
      <c r="BM687" s="51">
        <v>4751.67</v>
      </c>
      <c r="BN687" s="51">
        <v>1835.52</v>
      </c>
      <c r="BO687" s="51">
        <v>18427.02</v>
      </c>
      <c r="BP687" s="51">
        <v>10335.99</v>
      </c>
      <c r="BQ687" s="51">
        <v>2279.14</v>
      </c>
      <c r="BR687" s="51">
        <v>1340.17</v>
      </c>
      <c r="BS687" s="51">
        <v>1121.6500000000001</v>
      </c>
      <c r="BT687" s="51">
        <v>19.587</v>
      </c>
    </row>
    <row r="688" spans="1:89" s="41" customFormat="1" ht="15" customHeight="1">
      <c r="A688" s="48" t="s">
        <v>1261</v>
      </c>
      <c r="B688" s="49">
        <v>45.043333333329997</v>
      </c>
      <c r="C688" s="49">
        <v>46.19</v>
      </c>
      <c r="D688" s="49">
        <v>43.74</v>
      </c>
      <c r="E688" s="49">
        <v>45.2</v>
      </c>
      <c r="F688" s="49">
        <v>72.72</v>
      </c>
      <c r="G688" s="49">
        <v>68.33</v>
      </c>
      <c r="H688" s="49">
        <v>2.9689000000000001</v>
      </c>
      <c r="I688" s="49">
        <v>4.2536141699499996</v>
      </c>
      <c r="J688" s="49">
        <v>7.5397929008100002</v>
      </c>
      <c r="K688" s="49">
        <v>61.382189464619998</v>
      </c>
      <c r="L688" s="49">
        <v>2.8811900000000001</v>
      </c>
      <c r="M688" s="49">
        <v>3.88674506</v>
      </c>
      <c r="N688" s="49">
        <v>2.1358358559999999</v>
      </c>
      <c r="O688" s="49">
        <v>2.7907128300299999</v>
      </c>
      <c r="P688" s="49">
        <v>3.6</v>
      </c>
      <c r="Q688" s="49">
        <v>2.4421384901000001</v>
      </c>
      <c r="R688" s="49">
        <v>2.33</v>
      </c>
      <c r="S688" s="49">
        <v>1557.39</v>
      </c>
      <c r="T688" s="49">
        <v>1550</v>
      </c>
      <c r="U688" s="49">
        <v>1536.8</v>
      </c>
      <c r="V688" s="49">
        <v>1433</v>
      </c>
      <c r="W688" s="49">
        <v>797.85</v>
      </c>
      <c r="X688" s="49">
        <v>1443.86</v>
      </c>
      <c r="Y688" s="49">
        <v>403.53</v>
      </c>
      <c r="Z688" s="49">
        <v>837.21</v>
      </c>
      <c r="AA688" s="49">
        <v>368.05</v>
      </c>
      <c r="AB688" s="49">
        <v>849.65</v>
      </c>
      <c r="AC688" s="49">
        <v>865.73</v>
      </c>
      <c r="AD688" s="49">
        <v>89.562687499999996</v>
      </c>
      <c r="AE688" s="49">
        <v>148.42523360000001</v>
      </c>
      <c r="AF688" s="49">
        <v>145.394689</v>
      </c>
      <c r="AG688" s="49">
        <v>384</v>
      </c>
      <c r="AH688" s="49">
        <v>378</v>
      </c>
      <c r="AI688" s="49">
        <v>365.27</v>
      </c>
      <c r="AJ688" s="49">
        <v>342.73</v>
      </c>
      <c r="AK688" s="49">
        <v>157.56053132700001</v>
      </c>
      <c r="AL688" s="49">
        <v>150.649047</v>
      </c>
      <c r="AM688" s="49">
        <v>0.90870264846000004</v>
      </c>
      <c r="AN688" s="49">
        <v>0.99896843749999997</v>
      </c>
      <c r="AO688" s="49">
        <v>1.05064628532</v>
      </c>
      <c r="AP688" s="49">
        <v>4.1180096979999998</v>
      </c>
      <c r="AQ688" s="49">
        <v>1.70490613333</v>
      </c>
      <c r="AR688" s="49">
        <v>6.9077999999999999</v>
      </c>
      <c r="AS688" s="49">
        <v>11.88069718</v>
      </c>
      <c r="AT688" s="49">
        <v>0.36613907200000001</v>
      </c>
      <c r="AU688" s="49">
        <v>0.61619128999999995</v>
      </c>
      <c r="AV688" s="49">
        <v>0.47465468599999999</v>
      </c>
      <c r="AW688" s="49">
        <v>4957.0166666666701</v>
      </c>
      <c r="AX688" s="49">
        <v>392.42</v>
      </c>
      <c r="AY688" s="49">
        <v>292.15097178524002</v>
      </c>
      <c r="AZ688" s="49">
        <v>630.03780386092001</v>
      </c>
      <c r="BA688" s="49">
        <v>716.62049999999999</v>
      </c>
      <c r="BB688" s="49">
        <v>535.87056557777998</v>
      </c>
      <c r="BC688" s="49">
        <v>1.7165171319999999</v>
      </c>
      <c r="BD688" s="49">
        <v>1.3576999999999999</v>
      </c>
      <c r="BE688" s="49">
        <v>1.5727</v>
      </c>
      <c r="BF688" s="49">
        <v>109</v>
      </c>
      <c r="BG688" s="49">
        <v>320</v>
      </c>
      <c r="BH688" s="49">
        <v>287</v>
      </c>
      <c r="BI688" s="49">
        <v>187.3</v>
      </c>
      <c r="BJ688" s="49">
        <v>206.5</v>
      </c>
      <c r="BK688" s="49">
        <v>1592.36</v>
      </c>
      <c r="BL688" s="49">
        <v>57.79</v>
      </c>
      <c r="BM688" s="49">
        <v>4722.2</v>
      </c>
      <c r="BN688" s="49">
        <v>1947.64</v>
      </c>
      <c r="BO688" s="49">
        <v>19499.52</v>
      </c>
      <c r="BP688" s="49">
        <v>10191.780000000001</v>
      </c>
      <c r="BQ688" s="49">
        <v>2292.31</v>
      </c>
      <c r="BR688" s="49">
        <v>1326.61</v>
      </c>
      <c r="BS688" s="49">
        <v>1046.71</v>
      </c>
      <c r="BT688" s="49">
        <v>19.356999999999999</v>
      </c>
    </row>
    <row r="689" spans="1:72" s="41" customFormat="1" ht="15" customHeight="1">
      <c r="A689" s="41" t="s">
        <v>1280</v>
      </c>
      <c r="B689" s="51">
        <v>49.293333333329997</v>
      </c>
      <c r="C689" s="51">
        <v>49.73</v>
      </c>
      <c r="D689" s="51">
        <v>48.26</v>
      </c>
      <c r="E689" s="51">
        <v>49.89</v>
      </c>
      <c r="F689" s="51">
        <v>94.2</v>
      </c>
      <c r="G689" s="51">
        <v>83.79</v>
      </c>
      <c r="H689" s="51">
        <v>2.9491999999999998</v>
      </c>
      <c r="I689" s="51">
        <v>5.3368188834500003</v>
      </c>
      <c r="J689" s="51">
        <v>7.6528666460099997</v>
      </c>
      <c r="K689" s="51">
        <v>66.369097111390005</v>
      </c>
      <c r="L689" s="51">
        <v>2.7113499999999999</v>
      </c>
      <c r="M689" s="51">
        <v>3.9453879519999999</v>
      </c>
      <c r="N689" s="51">
        <v>2.2850886300000002</v>
      </c>
      <c r="O689" s="51">
        <v>2.8882686298800002</v>
      </c>
      <c r="P689" s="51">
        <v>3.88</v>
      </c>
      <c r="Q689" s="51">
        <v>2.3908058896300002</v>
      </c>
      <c r="R689" s="51">
        <v>2.3940000000000001</v>
      </c>
      <c r="S689" s="51">
        <v>1473.57</v>
      </c>
      <c r="T689" s="51">
        <v>1550</v>
      </c>
      <c r="U689" s="51">
        <v>1487.98</v>
      </c>
      <c r="V689" s="51">
        <v>1433</v>
      </c>
      <c r="W689" s="51">
        <v>749.75</v>
      </c>
      <c r="X689" s="51">
        <v>1331.19</v>
      </c>
      <c r="Y689" s="51">
        <v>401.87</v>
      </c>
      <c r="Z689" s="51">
        <v>861.26</v>
      </c>
      <c r="AA689" s="51">
        <v>361.88</v>
      </c>
      <c r="AB689" s="51">
        <v>914.14</v>
      </c>
      <c r="AC689" s="51">
        <v>873</v>
      </c>
      <c r="AD689" s="51">
        <v>91.859166666670006</v>
      </c>
      <c r="AE689" s="51">
        <v>152.25967679999999</v>
      </c>
      <c r="AF689" s="51">
        <v>148.70161899999999</v>
      </c>
      <c r="AG689" s="51">
        <v>369</v>
      </c>
      <c r="AH689" s="51">
        <v>365</v>
      </c>
      <c r="AI689" s="51">
        <v>349.9</v>
      </c>
      <c r="AJ689" s="51">
        <v>336.39</v>
      </c>
      <c r="AK689" s="51">
        <v>164.36913337799999</v>
      </c>
      <c r="AL689" s="51">
        <v>151.75135710000001</v>
      </c>
      <c r="AM689" s="51">
        <v>0.89723924451000003</v>
      </c>
      <c r="AN689" s="51">
        <v>0.96796596874999996</v>
      </c>
      <c r="AO689" s="51">
        <v>1.06466407133</v>
      </c>
      <c r="AP689" s="51">
        <v>4.0366592199999998</v>
      </c>
      <c r="AQ689" s="51">
        <v>1.5873264</v>
      </c>
      <c r="AR689" s="51">
        <v>7.2752999999999997</v>
      </c>
      <c r="AS689" s="51">
        <v>12.290756500000001</v>
      </c>
      <c r="AT689" s="51">
        <v>0.360163024</v>
      </c>
      <c r="AU689" s="51">
        <v>0.62985993399999995</v>
      </c>
      <c r="AV689" s="51">
        <v>0.489866564</v>
      </c>
      <c r="AW689" s="51">
        <v>4906.0333333333301</v>
      </c>
      <c r="AX689" s="51">
        <v>386.01499999999999</v>
      </c>
      <c r="AY689" s="51">
        <v>286.85858570933999</v>
      </c>
      <c r="AZ689" s="51">
        <v>591.60976228387995</v>
      </c>
      <c r="BA689" s="51">
        <v>672.91150000000005</v>
      </c>
      <c r="BB689" s="51">
        <v>526.16313964516996</v>
      </c>
      <c r="BC689" s="51">
        <v>1.731067624</v>
      </c>
      <c r="BD689" s="51">
        <v>1.4765999999999999</v>
      </c>
      <c r="BE689" s="51">
        <v>1.6576</v>
      </c>
      <c r="BF689" s="51">
        <v>109</v>
      </c>
      <c r="BG689" s="51">
        <v>310</v>
      </c>
      <c r="BH689" s="51">
        <v>285</v>
      </c>
      <c r="BI689" s="51">
        <v>187.5</v>
      </c>
      <c r="BJ689" s="51">
        <v>206.5</v>
      </c>
      <c r="BK689" s="51">
        <v>1665.9</v>
      </c>
      <c r="BL689" s="51">
        <v>59.09</v>
      </c>
      <c r="BM689" s="51">
        <v>4731.26</v>
      </c>
      <c r="BN689" s="51">
        <v>2024.49</v>
      </c>
      <c r="BO689" s="51">
        <v>20099.759999999998</v>
      </c>
      <c r="BP689" s="51">
        <v>10259.74</v>
      </c>
      <c r="BQ689" s="51">
        <v>2311.5</v>
      </c>
      <c r="BR689" s="51">
        <v>1266.55</v>
      </c>
      <c r="BS689" s="51">
        <v>959.14</v>
      </c>
      <c r="BT689" s="51">
        <v>17.655000000000001</v>
      </c>
    </row>
    <row r="690" spans="1:72" s="41" customFormat="1" ht="15" customHeight="1">
      <c r="A690" s="48" t="s">
        <v>1281</v>
      </c>
      <c r="B690" s="49">
        <v>45.26</v>
      </c>
      <c r="C690" s="49">
        <v>46.44</v>
      </c>
      <c r="D690" s="49">
        <v>43.77</v>
      </c>
      <c r="E690" s="49">
        <v>45.57</v>
      </c>
      <c r="F690" s="49">
        <v>103.43</v>
      </c>
      <c r="G690" s="49">
        <v>89.15</v>
      </c>
      <c r="H690" s="49">
        <v>2.5009000000000001</v>
      </c>
      <c r="I690" s="49">
        <v>5.6931795011500004</v>
      </c>
      <c r="J690" s="49">
        <v>7.5925887519600002</v>
      </c>
      <c r="K690" s="49">
        <v>62.578513627669999</v>
      </c>
      <c r="L690" s="49">
        <v>2.4785499999999998</v>
      </c>
      <c r="M690" s="49">
        <v>4.0591463440000002</v>
      </c>
      <c r="N690" s="49">
        <v>2.2866318639999998</v>
      </c>
      <c r="O690" s="49">
        <v>3.03436186364</v>
      </c>
      <c r="P690" s="49">
        <v>4.01</v>
      </c>
      <c r="Q690" s="49">
        <v>2.4130855909100002</v>
      </c>
      <c r="R690" s="49">
        <v>2.68</v>
      </c>
      <c r="S690" s="49">
        <v>1553.41</v>
      </c>
      <c r="T690" s="49">
        <v>1563.64</v>
      </c>
      <c r="U690" s="49">
        <v>1459.81</v>
      </c>
      <c r="V690" s="49">
        <v>1433</v>
      </c>
      <c r="W690" s="49">
        <v>766.93</v>
      </c>
      <c r="X690" s="49">
        <v>1512.95</v>
      </c>
      <c r="Y690" s="49">
        <v>397.76</v>
      </c>
      <c r="Z690" s="49">
        <v>885.11</v>
      </c>
      <c r="AA690" s="49">
        <v>357</v>
      </c>
      <c r="AB690" s="49">
        <v>918.26</v>
      </c>
      <c r="AC690" s="49">
        <v>873</v>
      </c>
      <c r="AD690" s="49">
        <v>91.859166666670006</v>
      </c>
      <c r="AE690" s="49">
        <v>151.80300800000001</v>
      </c>
      <c r="AF690" s="49">
        <v>144.29237900000001</v>
      </c>
      <c r="AG690" s="49">
        <v>365</v>
      </c>
      <c r="AH690" s="49">
        <v>357</v>
      </c>
      <c r="AI690" s="49">
        <v>339.59</v>
      </c>
      <c r="AJ690" s="49">
        <v>338</v>
      </c>
      <c r="AK690" s="49">
        <v>167.27555767499999</v>
      </c>
      <c r="AL690" s="49">
        <v>150.649047</v>
      </c>
      <c r="AM690" s="49">
        <v>0.85847031974999999</v>
      </c>
      <c r="AN690" s="49">
        <v>0.95763181249999996</v>
      </c>
      <c r="AO690" s="49">
        <v>1.1377681477699999</v>
      </c>
      <c r="AP690" s="49">
        <v>4.2985680759999996</v>
      </c>
      <c r="AQ690" s="49">
        <v>1.75597983</v>
      </c>
      <c r="AR690" s="49">
        <v>7.3634000000000004</v>
      </c>
      <c r="AS690" s="49">
        <v>12.493581539999999</v>
      </c>
      <c r="AT690" s="49">
        <v>0.35297870399999998</v>
      </c>
      <c r="AU690" s="49">
        <v>0.63404871200000001</v>
      </c>
      <c r="AV690" s="49">
        <v>0.44621508799999998</v>
      </c>
      <c r="AW690" s="49">
        <v>4878.2833333333301</v>
      </c>
      <c r="AX690" s="49">
        <v>378.315</v>
      </c>
      <c r="AY690" s="49">
        <v>275.14033294746002</v>
      </c>
      <c r="AZ690" s="49">
        <v>595.49089865262999</v>
      </c>
      <c r="BA690" s="49">
        <v>677.32600000000002</v>
      </c>
      <c r="BB690" s="49">
        <v>504.66922950439999</v>
      </c>
      <c r="BC690" s="49">
        <v>1.739886104</v>
      </c>
      <c r="BD690" s="49">
        <v>1.6586000000000001</v>
      </c>
      <c r="BE690" s="49">
        <v>1.8706</v>
      </c>
      <c r="BF690" s="49">
        <v>103</v>
      </c>
      <c r="BG690" s="49">
        <v>298</v>
      </c>
      <c r="BH690" s="49">
        <v>285</v>
      </c>
      <c r="BI690" s="49">
        <v>205</v>
      </c>
      <c r="BJ690" s="49">
        <v>206.5</v>
      </c>
      <c r="BK690" s="49">
        <v>1737.11</v>
      </c>
      <c r="BL690" s="49">
        <v>73.099999999999994</v>
      </c>
      <c r="BM690" s="49">
        <v>5450.93</v>
      </c>
      <c r="BN690" s="49">
        <v>2180.58</v>
      </c>
      <c r="BO690" s="49">
        <v>21126.09</v>
      </c>
      <c r="BP690" s="49">
        <v>11128.91</v>
      </c>
      <c r="BQ690" s="49">
        <v>2566.1999999999998</v>
      </c>
      <c r="BR690" s="49">
        <v>1238.3499999999999</v>
      </c>
      <c r="BS690" s="49">
        <v>955.14</v>
      </c>
      <c r="BT690" s="49">
        <v>17.407</v>
      </c>
    </row>
    <row r="691" spans="1:72" s="41" customFormat="1" ht="15" customHeight="1">
      <c r="A691" s="41" t="s">
        <v>1282</v>
      </c>
      <c r="B691" s="51">
        <v>52.62</v>
      </c>
      <c r="C691" s="51">
        <v>54.07</v>
      </c>
      <c r="D691" s="51">
        <v>51.78</v>
      </c>
      <c r="E691" s="51">
        <v>52.01</v>
      </c>
      <c r="F691" s="51">
        <v>88.15</v>
      </c>
      <c r="G691" s="51">
        <v>80.19</v>
      </c>
      <c r="H691" s="51">
        <v>3.5817999999999999</v>
      </c>
      <c r="I691" s="51">
        <v>5.4235014224000002</v>
      </c>
      <c r="J691" s="51">
        <v>7.5917541522900001</v>
      </c>
      <c r="K691" s="51">
        <v>74.4216778981</v>
      </c>
      <c r="L691" s="51">
        <v>2.2953100000000002</v>
      </c>
      <c r="M691" s="51">
        <v>3.5666342360000001</v>
      </c>
      <c r="N691" s="51">
        <v>2.2454054700000001</v>
      </c>
      <c r="O691" s="51">
        <v>2.9808206027200002</v>
      </c>
      <c r="P691" s="51">
        <v>3.91</v>
      </c>
      <c r="Q691" s="51">
        <v>2.3591284748299999</v>
      </c>
      <c r="R691" s="51">
        <v>2.67333333333</v>
      </c>
      <c r="S691" s="51">
        <v>1727.14</v>
      </c>
      <c r="T691" s="51">
        <v>1600</v>
      </c>
      <c r="U691" s="51">
        <v>1423.35</v>
      </c>
      <c r="V691" s="51">
        <v>1439.3</v>
      </c>
      <c r="W691" s="51">
        <v>811.38</v>
      </c>
      <c r="X691" s="51">
        <v>1666.43</v>
      </c>
      <c r="Y691" s="51">
        <v>416.07</v>
      </c>
      <c r="Z691" s="51">
        <v>916.7</v>
      </c>
      <c r="AA691" s="51">
        <v>355.95</v>
      </c>
      <c r="AB691" s="51">
        <v>930.43</v>
      </c>
      <c r="AC691" s="51">
        <v>873</v>
      </c>
      <c r="AD691" s="51">
        <v>91.859166666670006</v>
      </c>
      <c r="AE691" s="51">
        <v>152.44864319999999</v>
      </c>
      <c r="AF691" s="51">
        <v>153.110859</v>
      </c>
      <c r="AG691" s="51">
        <v>373</v>
      </c>
      <c r="AH691" s="51">
        <v>364</v>
      </c>
      <c r="AI691" s="51">
        <v>354.42</v>
      </c>
      <c r="AJ691" s="51">
        <v>341</v>
      </c>
      <c r="AK691" s="51">
        <v>161.16875972099999</v>
      </c>
      <c r="AL691" s="51">
        <v>141.83056619999999</v>
      </c>
      <c r="AM691" s="51">
        <v>0.83229172491000003</v>
      </c>
      <c r="AN691" s="51">
        <v>0.95763181249999996</v>
      </c>
      <c r="AO691" s="51">
        <v>1.0769891435500001</v>
      </c>
      <c r="AP691" s="51">
        <v>4.1431423660000002</v>
      </c>
      <c r="AQ691" s="51">
        <v>1.8623789904800001</v>
      </c>
      <c r="AR691" s="51">
        <v>7.5010000000000003</v>
      </c>
      <c r="AS691" s="51">
        <v>13.203469180000001</v>
      </c>
      <c r="AT691" s="51">
        <v>0.34452080000000002</v>
      </c>
      <c r="AU691" s="51">
        <v>0.64463088800000001</v>
      </c>
      <c r="AV691" s="51">
        <v>0.40763423799999998</v>
      </c>
      <c r="AW691" s="51">
        <v>4912.0583333333298</v>
      </c>
      <c r="AX691" s="51">
        <v>369.25</v>
      </c>
      <c r="AY691" s="51">
        <v>256.41846705353998</v>
      </c>
      <c r="AZ691" s="51">
        <v>598.07832289846999</v>
      </c>
      <c r="BA691" s="51">
        <v>680.26900000000001</v>
      </c>
      <c r="BB691" s="51">
        <v>470.32911828059002</v>
      </c>
      <c r="BC691" s="51">
        <v>1.7526729000000001</v>
      </c>
      <c r="BD691" s="51">
        <v>1.9279999999999999</v>
      </c>
      <c r="BE691" s="51">
        <v>2.226</v>
      </c>
      <c r="BF691" s="51">
        <v>97.5</v>
      </c>
      <c r="BG691" s="51">
        <v>296.625</v>
      </c>
      <c r="BH691" s="51">
        <v>277.5</v>
      </c>
      <c r="BI691" s="51">
        <v>217.75</v>
      </c>
      <c r="BJ691" s="51">
        <v>206.5</v>
      </c>
      <c r="BK691" s="51">
        <v>1727.74</v>
      </c>
      <c r="BL691" s="51">
        <v>80.02</v>
      </c>
      <c r="BM691" s="51">
        <v>5660.35</v>
      </c>
      <c r="BN691" s="51">
        <v>2209.84</v>
      </c>
      <c r="BO691" s="51">
        <v>21204.35</v>
      </c>
      <c r="BP691" s="51">
        <v>10972.27</v>
      </c>
      <c r="BQ691" s="51">
        <v>2664.81</v>
      </c>
      <c r="BR691" s="51">
        <v>1157.3599999999999</v>
      </c>
      <c r="BS691" s="51">
        <v>918.38</v>
      </c>
      <c r="BT691" s="51">
        <v>16.431999999999999</v>
      </c>
    </row>
    <row r="692" spans="1:72" s="41" customFormat="1" ht="15" customHeight="1">
      <c r="A692" s="48" t="s">
        <v>1283</v>
      </c>
      <c r="B692" s="49">
        <v>53.59</v>
      </c>
      <c r="C692" s="49">
        <v>54.89</v>
      </c>
      <c r="D692" s="49">
        <v>53.37</v>
      </c>
      <c r="E692" s="49">
        <v>52.51</v>
      </c>
      <c r="F692" s="49">
        <v>83.73</v>
      </c>
      <c r="G692" s="49">
        <v>86.49</v>
      </c>
      <c r="H692" s="49">
        <v>3.2608000000000001</v>
      </c>
      <c r="I692" s="49">
        <v>6.1443492547999998</v>
      </c>
      <c r="J692" s="49">
        <v>8.0422768605100003</v>
      </c>
      <c r="K692" s="49">
        <v>74.255772337750003</v>
      </c>
      <c r="L692" s="49">
        <v>2.1940900000000001</v>
      </c>
      <c r="M692" s="49">
        <v>3.7172097819999999</v>
      </c>
      <c r="N692" s="49">
        <v>2.3880443840000001</v>
      </c>
      <c r="O692" s="49">
        <v>3.0441348482900001</v>
      </c>
      <c r="P692" s="49">
        <v>3.95</v>
      </c>
      <c r="Q692" s="49">
        <v>2.13640454486</v>
      </c>
      <c r="R692" s="49">
        <v>3.0459999999999998</v>
      </c>
      <c r="S692" s="49">
        <v>1818.64</v>
      </c>
      <c r="T692" s="49">
        <v>1643.64</v>
      </c>
      <c r="U692" s="49">
        <v>1397.52</v>
      </c>
      <c r="V692" s="49">
        <v>1427.78</v>
      </c>
      <c r="W692" s="49">
        <v>825</v>
      </c>
      <c r="X692" s="49">
        <v>1737.27</v>
      </c>
      <c r="Y692" s="49">
        <v>412</v>
      </c>
      <c r="Z692" s="49">
        <v>876.85</v>
      </c>
      <c r="AA692" s="49">
        <v>371.05</v>
      </c>
      <c r="AB692" s="49">
        <v>890.82</v>
      </c>
      <c r="AC692" s="49">
        <v>873</v>
      </c>
      <c r="AD692" s="49">
        <v>91.859166666670006</v>
      </c>
      <c r="AE692" s="49">
        <v>159.98761519999999</v>
      </c>
      <c r="AF692" s="49">
        <v>156.197327</v>
      </c>
      <c r="AG692" s="49">
        <v>377</v>
      </c>
      <c r="AH692" s="49">
        <v>369</v>
      </c>
      <c r="AI692" s="49">
        <v>355.91</v>
      </c>
      <c r="AJ692" s="49">
        <v>336.55</v>
      </c>
      <c r="AK692" s="49">
        <v>173.606492016</v>
      </c>
      <c r="AL692" s="49">
        <v>153.2211039</v>
      </c>
      <c r="AM692" s="49">
        <v>0.83396158676999999</v>
      </c>
      <c r="AN692" s="49">
        <v>1.00241315625</v>
      </c>
      <c r="AO692" s="49">
        <v>0.93501277512000003</v>
      </c>
      <c r="AP692" s="49">
        <v>4.0747991460000001</v>
      </c>
      <c r="AQ692" s="49">
        <v>1.9400656000000001</v>
      </c>
      <c r="AR692" s="49">
        <v>7.5167000000000002</v>
      </c>
      <c r="AS692" s="49">
        <v>13.410703460000001</v>
      </c>
      <c r="AT692" s="49">
        <v>0.34670875200000001</v>
      </c>
      <c r="AU692" s="49">
        <v>0.64904012799999999</v>
      </c>
      <c r="AV692" s="49">
        <v>0.448199246</v>
      </c>
      <c r="AW692" s="49">
        <v>4904.8833333333296</v>
      </c>
      <c r="AX692" s="49">
        <v>371.59500000000003</v>
      </c>
      <c r="AY692" s="49">
        <v>258.60132057778998</v>
      </c>
      <c r="AZ692" s="49">
        <v>590.65145700765004</v>
      </c>
      <c r="BA692" s="49">
        <v>671.82150000000001</v>
      </c>
      <c r="BB692" s="49">
        <v>474.33296240772</v>
      </c>
      <c r="BC692" s="49">
        <v>1.815063646</v>
      </c>
      <c r="BD692" s="49">
        <v>2.1623000000000001</v>
      </c>
      <c r="BE692" s="49">
        <v>2.5583999999999998</v>
      </c>
      <c r="BF692" s="49">
        <v>96.875</v>
      </c>
      <c r="BG692" s="49">
        <v>308</v>
      </c>
      <c r="BH692" s="49">
        <v>270</v>
      </c>
      <c r="BI692" s="49">
        <v>233.75</v>
      </c>
      <c r="BJ692" s="49">
        <v>206.5</v>
      </c>
      <c r="BK692" s="49">
        <v>1791.24</v>
      </c>
      <c r="BL692" s="49">
        <v>80.41</v>
      </c>
      <c r="BM692" s="49">
        <v>5754.56</v>
      </c>
      <c r="BN692" s="49">
        <v>2242.62</v>
      </c>
      <c r="BO692" s="49">
        <v>20691.79</v>
      </c>
      <c r="BP692" s="49">
        <v>9971.4599999999991</v>
      </c>
      <c r="BQ692" s="49">
        <v>2714.8</v>
      </c>
      <c r="BR692" s="49">
        <v>1192.0999999999999</v>
      </c>
      <c r="BS692" s="49">
        <v>971.15</v>
      </c>
      <c r="BT692" s="49">
        <v>16.902000000000001</v>
      </c>
    </row>
    <row r="693" spans="1:72" s="41" customFormat="1" ht="15" customHeight="1">
      <c r="A693" s="41" t="s">
        <v>1284</v>
      </c>
      <c r="B693" s="51">
        <v>54.353333333329999</v>
      </c>
      <c r="C693" s="51">
        <v>55.49</v>
      </c>
      <c r="D693" s="51">
        <v>54.17</v>
      </c>
      <c r="E693" s="51">
        <v>53.4</v>
      </c>
      <c r="F693" s="51">
        <v>79.98</v>
      </c>
      <c r="G693" s="51">
        <v>83.6</v>
      </c>
      <c r="H693" s="51">
        <v>2.8233000000000001</v>
      </c>
      <c r="I693" s="51">
        <v>6.0515836448</v>
      </c>
      <c r="J693" s="51">
        <v>8.4149873154599995</v>
      </c>
      <c r="K693" s="51">
        <v>68.754550643249999</v>
      </c>
      <c r="L693" s="51">
        <v>2.0340799999999999</v>
      </c>
      <c r="M693" s="51">
        <v>3.6673853699999999</v>
      </c>
      <c r="N693" s="51">
        <v>2.347699838</v>
      </c>
      <c r="O693" s="51">
        <v>2.9601471321799999</v>
      </c>
      <c r="P693" s="51">
        <v>3.97</v>
      </c>
      <c r="Q693" s="51">
        <v>1.8504413965299999</v>
      </c>
      <c r="R693" s="51">
        <v>3.06</v>
      </c>
      <c r="S693" s="51">
        <v>1688.25</v>
      </c>
      <c r="T693" s="51">
        <v>1653.5</v>
      </c>
      <c r="U693" s="51">
        <v>1350.87</v>
      </c>
      <c r="V693" s="51">
        <v>1359.9</v>
      </c>
      <c r="W693" s="51">
        <v>808.61</v>
      </c>
      <c r="X693" s="51">
        <v>1566.5</v>
      </c>
      <c r="Y693" s="51">
        <v>394.53120000000001</v>
      </c>
      <c r="Z693" s="51">
        <v>839.6</v>
      </c>
      <c r="AA693" s="51">
        <v>373.6</v>
      </c>
      <c r="AB693" s="51">
        <v>874.38</v>
      </c>
      <c r="AC693" s="51">
        <v>873</v>
      </c>
      <c r="AD693" s="51">
        <v>91.859166666670006</v>
      </c>
      <c r="AE693" s="51">
        <v>162.8575424</v>
      </c>
      <c r="AF693" s="51">
        <v>157.07917499999999</v>
      </c>
      <c r="AG693" s="51">
        <v>367</v>
      </c>
      <c r="AH693" s="51">
        <v>361</v>
      </c>
      <c r="AI693" s="51">
        <v>348.75</v>
      </c>
      <c r="AJ693" s="51">
        <v>335.34</v>
      </c>
      <c r="AK693" s="51">
        <v>181.00299278700001</v>
      </c>
      <c r="AL693" s="51">
        <v>155.05828740000001</v>
      </c>
      <c r="AM693" s="51">
        <v>0.83208504177999998</v>
      </c>
      <c r="AN693" s="51">
        <v>1.0540839375</v>
      </c>
      <c r="AO693" s="51">
        <v>0.90258672673999996</v>
      </c>
      <c r="AP693" s="51">
        <v>4.2262565399999996</v>
      </c>
      <c r="AQ693" s="51">
        <v>1.9411679100000001</v>
      </c>
      <c r="AR693" s="51">
        <v>7.3689999999999998</v>
      </c>
      <c r="AS693" s="51">
        <v>13.642188559999999</v>
      </c>
      <c r="AT693" s="51">
        <v>0.34749249599999998</v>
      </c>
      <c r="AU693" s="51">
        <v>0.67439325800000005</v>
      </c>
      <c r="AV693" s="51">
        <v>0.44731739799999998</v>
      </c>
      <c r="AW693" s="51">
        <v>4870.4916666666704</v>
      </c>
      <c r="AX693" s="51">
        <v>372.435</v>
      </c>
      <c r="AY693" s="51">
        <v>263.45295597270001</v>
      </c>
      <c r="AZ693" s="51">
        <v>598.26998395372004</v>
      </c>
      <c r="BA693" s="51">
        <v>680.48699999999997</v>
      </c>
      <c r="BB693" s="51">
        <v>483.2319524989</v>
      </c>
      <c r="BC693" s="51">
        <v>1.8772339300000001</v>
      </c>
      <c r="BD693" s="51">
        <v>2.2328999999999999</v>
      </c>
      <c r="BE693" s="51">
        <v>2.7088999999999999</v>
      </c>
      <c r="BF693" s="51">
        <v>95</v>
      </c>
      <c r="BG693" s="51">
        <v>326</v>
      </c>
      <c r="BH693" s="51">
        <v>278.75</v>
      </c>
      <c r="BI693" s="51">
        <v>191.875</v>
      </c>
      <c r="BJ693" s="51">
        <v>301.5</v>
      </c>
      <c r="BK693" s="51">
        <v>1860.75</v>
      </c>
      <c r="BL693" s="51">
        <v>89.44</v>
      </c>
      <c r="BM693" s="51">
        <v>5940.91</v>
      </c>
      <c r="BN693" s="51">
        <v>2311.5</v>
      </c>
      <c r="BO693" s="51">
        <v>19446.47</v>
      </c>
      <c r="BP693" s="51">
        <v>10643.3</v>
      </c>
      <c r="BQ693" s="51">
        <v>2845.55</v>
      </c>
      <c r="BR693" s="51">
        <v>1234.2</v>
      </c>
      <c r="BS693" s="51">
        <v>1007.63</v>
      </c>
      <c r="BT693" s="51">
        <v>17.933</v>
      </c>
    </row>
    <row r="694" spans="1:72" s="41" customFormat="1" ht="15" customHeight="1">
      <c r="A694" s="48" t="s">
        <v>1286</v>
      </c>
      <c r="B694" s="49">
        <v>50.903333333330004</v>
      </c>
      <c r="C694" s="49">
        <v>51.97</v>
      </c>
      <c r="D694" s="49">
        <v>51.16</v>
      </c>
      <c r="E694" s="49">
        <v>49.58</v>
      </c>
      <c r="F694" s="49">
        <v>80.900000000000006</v>
      </c>
      <c r="G694" s="49">
        <v>79.11</v>
      </c>
      <c r="H694" s="49">
        <v>2.8875000000000002</v>
      </c>
      <c r="I694" s="49">
        <v>5.0009450765399999</v>
      </c>
      <c r="J694" s="49">
        <v>8.2459830610699996</v>
      </c>
      <c r="K694" s="49">
        <v>64.424949059750006</v>
      </c>
      <c r="L694" s="49">
        <v>2.0638000000000001</v>
      </c>
      <c r="M694" s="49">
        <v>3.5306989299999998</v>
      </c>
      <c r="N694" s="49">
        <v>2.3529909259999999</v>
      </c>
      <c r="O694" s="49">
        <v>2.8743858089400001</v>
      </c>
      <c r="P694" s="49">
        <v>4.01</v>
      </c>
      <c r="Q694" s="49">
        <v>1.6906574268300001</v>
      </c>
      <c r="R694" s="49">
        <v>2.9224999999999999</v>
      </c>
      <c r="S694" s="49">
        <v>1542.39</v>
      </c>
      <c r="T694" s="49">
        <v>1641.3</v>
      </c>
      <c r="U694" s="49">
        <v>1305.67</v>
      </c>
      <c r="V694" s="49">
        <v>1398.98</v>
      </c>
      <c r="W694" s="49">
        <v>778.7</v>
      </c>
      <c r="X694" s="49">
        <v>1229.57</v>
      </c>
      <c r="Y694" s="49">
        <v>383.68159200000002</v>
      </c>
      <c r="Z694" s="49">
        <v>814.94</v>
      </c>
      <c r="AA694" s="49">
        <v>360.7</v>
      </c>
      <c r="AB694" s="49">
        <v>847.32</v>
      </c>
      <c r="AC694" s="49">
        <v>835.17</v>
      </c>
      <c r="AD694" s="49">
        <v>93.696349999999995</v>
      </c>
      <c r="AE694" s="49">
        <v>158.96404720000001</v>
      </c>
      <c r="AF694" s="49">
        <v>151.126701</v>
      </c>
      <c r="AG694" s="49">
        <v>370</v>
      </c>
      <c r="AH694" s="49">
        <v>364</v>
      </c>
      <c r="AI694" s="49">
        <v>358.43</v>
      </c>
      <c r="AJ694" s="49">
        <v>343.56</v>
      </c>
      <c r="AK694" s="49">
        <v>176.53863688199999</v>
      </c>
      <c r="AL694" s="49">
        <v>154.32341400000001</v>
      </c>
      <c r="AM694" s="49">
        <v>0.84993557435</v>
      </c>
      <c r="AN694" s="49">
        <v>1.0678628125</v>
      </c>
      <c r="AO694" s="49">
        <v>0.92125947563999999</v>
      </c>
      <c r="AP694" s="49">
        <v>4.3461878680000003</v>
      </c>
      <c r="AQ694" s="49">
        <v>2.12602050435</v>
      </c>
      <c r="AR694" s="49">
        <v>7.3975</v>
      </c>
      <c r="AS694" s="49">
        <v>13.778874999999999</v>
      </c>
      <c r="AT694" s="49">
        <v>0.34899467200000001</v>
      </c>
      <c r="AU694" s="49">
        <v>0.66028368999999998</v>
      </c>
      <c r="AV694" s="49">
        <v>0.39859529599999999</v>
      </c>
      <c r="AW694" s="49">
        <v>4864.7083333333303</v>
      </c>
      <c r="AX694" s="49">
        <v>374.04500000000002</v>
      </c>
      <c r="AY694" s="49">
        <v>263.47627245698999</v>
      </c>
      <c r="AZ694" s="49">
        <v>591.22644017338996</v>
      </c>
      <c r="BA694" s="49">
        <v>672.47550000000001</v>
      </c>
      <c r="BB694" s="49">
        <v>483.27472017325999</v>
      </c>
      <c r="BC694" s="49">
        <v>1.9131692360000001</v>
      </c>
      <c r="BD694" s="49">
        <v>1.966</v>
      </c>
      <c r="BE694" s="49">
        <v>2.3496999999999999</v>
      </c>
      <c r="BF694" s="49">
        <v>97.5</v>
      </c>
      <c r="BG694" s="49">
        <v>325.625</v>
      </c>
      <c r="BH694" s="49">
        <v>288</v>
      </c>
      <c r="BI694" s="49">
        <v>223.5</v>
      </c>
      <c r="BJ694" s="49">
        <v>206.5</v>
      </c>
      <c r="BK694" s="49">
        <v>1901.47</v>
      </c>
      <c r="BL694" s="49">
        <v>87.65</v>
      </c>
      <c r="BM694" s="49">
        <v>5824.63</v>
      </c>
      <c r="BN694" s="49">
        <v>2280.92</v>
      </c>
      <c r="BO694" s="49">
        <v>19875.2</v>
      </c>
      <c r="BP694" s="49">
        <v>10204.66</v>
      </c>
      <c r="BQ694" s="49">
        <v>2776.88</v>
      </c>
      <c r="BR694" s="49">
        <v>1231.42</v>
      </c>
      <c r="BS694" s="49">
        <v>962.87</v>
      </c>
      <c r="BT694" s="49">
        <v>17.631</v>
      </c>
    </row>
    <row r="695" spans="1:72" s="41" customFormat="1" ht="15" customHeight="1">
      <c r="A695" s="41" t="s">
        <v>1287</v>
      </c>
      <c r="B695" s="51">
        <v>52.163333333330002</v>
      </c>
      <c r="C695" s="51">
        <v>52.98</v>
      </c>
      <c r="D695" s="51">
        <v>52.45</v>
      </c>
      <c r="E695" s="51">
        <v>51.06</v>
      </c>
      <c r="F695" s="51">
        <v>83.65</v>
      </c>
      <c r="G695" s="51">
        <v>78.89</v>
      </c>
      <c r="H695" s="51">
        <v>3.0819999999999999</v>
      </c>
      <c r="I695" s="51">
        <v>5.0109139183</v>
      </c>
      <c r="J695" s="51">
        <v>8.7631187546899998</v>
      </c>
      <c r="K695" s="51">
        <v>67.184583077260001</v>
      </c>
      <c r="L695" s="51">
        <v>1.96116</v>
      </c>
      <c r="M695" s="51">
        <v>3.4259794800000001</v>
      </c>
      <c r="N695" s="51">
        <v>2.2835453960000001</v>
      </c>
      <c r="O695" s="51">
        <v>3.0341561189099999</v>
      </c>
      <c r="P695" s="51">
        <v>4.05</v>
      </c>
      <c r="Q695" s="51">
        <v>2.1799683567399999</v>
      </c>
      <c r="R695" s="51">
        <v>2.8725000000000001</v>
      </c>
      <c r="S695" s="51">
        <v>1589.72</v>
      </c>
      <c r="T695" s="51">
        <v>1600</v>
      </c>
      <c r="U695" s="51">
        <v>1297.58</v>
      </c>
      <c r="V695" s="51">
        <v>1421.4</v>
      </c>
      <c r="W695" s="51">
        <v>752.06</v>
      </c>
      <c r="X695" s="51">
        <v>1085.56</v>
      </c>
      <c r="Y695" s="51">
        <v>387.44</v>
      </c>
      <c r="Z695" s="51">
        <v>794.04</v>
      </c>
      <c r="AA695" s="51">
        <v>345.7</v>
      </c>
      <c r="AB695" s="51">
        <v>839.33</v>
      </c>
      <c r="AC695" s="51">
        <v>797.67</v>
      </c>
      <c r="AD695" s="51">
        <v>94.155645833329999</v>
      </c>
      <c r="AE695" s="51">
        <v>156.44055839999999</v>
      </c>
      <c r="AF695" s="51">
        <v>149.80392900000001</v>
      </c>
      <c r="AG695" s="51">
        <v>380</v>
      </c>
      <c r="AH695" s="51">
        <v>369</v>
      </c>
      <c r="AI695" s="51">
        <v>358.53</v>
      </c>
      <c r="AJ695" s="51">
        <v>344.65</v>
      </c>
      <c r="AK695" s="51">
        <v>172.19186072100001</v>
      </c>
      <c r="AL695" s="51">
        <v>166.08138840000001</v>
      </c>
      <c r="AM695" s="51">
        <v>0.86942916885999999</v>
      </c>
      <c r="AN695" s="51">
        <v>1.0644180937500001</v>
      </c>
      <c r="AO695" s="51">
        <v>0.84937203722999999</v>
      </c>
      <c r="AP695" s="51">
        <v>4.4103423099999999</v>
      </c>
      <c r="AQ695" s="51">
        <v>2.1605276</v>
      </c>
      <c r="AR695" s="51">
        <v>8.4384999999999994</v>
      </c>
      <c r="AS695" s="51">
        <v>13.778874999999999</v>
      </c>
      <c r="AT695" s="51">
        <v>0.34984372800000002</v>
      </c>
      <c r="AU695" s="51">
        <v>0.633166864</v>
      </c>
      <c r="AV695" s="51">
        <v>0.36288045200000002</v>
      </c>
      <c r="AW695" s="51">
        <v>4708.6166666666704</v>
      </c>
      <c r="AX695" s="51">
        <v>374.95499999999998</v>
      </c>
      <c r="AY695" s="51">
        <v>270.34311682633</v>
      </c>
      <c r="AZ695" s="51">
        <v>605.26561247023005</v>
      </c>
      <c r="BA695" s="51">
        <v>688.44399999999996</v>
      </c>
      <c r="BB695" s="51">
        <v>495.87005659622002</v>
      </c>
      <c r="BC695" s="51">
        <v>1.9189012480000001</v>
      </c>
      <c r="BD695" s="51">
        <v>1.6543000000000001</v>
      </c>
      <c r="BE695" s="51">
        <v>2.2094999999999998</v>
      </c>
      <c r="BF695" s="51">
        <v>95.625</v>
      </c>
      <c r="BG695" s="51">
        <v>313.125</v>
      </c>
      <c r="BH695" s="51">
        <v>285</v>
      </c>
      <c r="BI695" s="51">
        <v>207.875</v>
      </c>
      <c r="BJ695" s="51">
        <v>206.5</v>
      </c>
      <c r="BK695" s="51">
        <v>1921.22</v>
      </c>
      <c r="BL695" s="51">
        <v>70.22</v>
      </c>
      <c r="BM695" s="51">
        <v>5683.9</v>
      </c>
      <c r="BN695" s="51">
        <v>2220.61</v>
      </c>
      <c r="BO695" s="51">
        <v>19910.32</v>
      </c>
      <c r="BP695" s="51">
        <v>9609.2800000000007</v>
      </c>
      <c r="BQ695" s="51">
        <v>2614.92</v>
      </c>
      <c r="BR695" s="51">
        <v>1266.8800000000001</v>
      </c>
      <c r="BS695" s="51">
        <v>960.84</v>
      </c>
      <c r="BT695" s="51">
        <v>18.033000000000001</v>
      </c>
    </row>
    <row r="696" spans="1:72" s="41" customFormat="1" ht="15" customHeight="1">
      <c r="A696" s="48" t="s">
        <v>1292</v>
      </c>
      <c r="B696" s="49">
        <v>49.893333333329998</v>
      </c>
      <c r="C696" s="49">
        <v>50.87</v>
      </c>
      <c r="D696" s="49">
        <v>50.31</v>
      </c>
      <c r="E696" s="49">
        <v>48.5</v>
      </c>
      <c r="F696" s="49">
        <v>74.42</v>
      </c>
      <c r="G696" s="49">
        <v>74.41</v>
      </c>
      <c r="H696" s="49">
        <v>3.1248</v>
      </c>
      <c r="I696" s="49">
        <v>5.0584359784700004</v>
      </c>
      <c r="J696" s="49">
        <v>9.0968085204900007</v>
      </c>
      <c r="K696" s="49">
        <v>68.156310846389999</v>
      </c>
      <c r="L696" s="49">
        <v>1.9834799999999999</v>
      </c>
      <c r="M696" s="49">
        <v>3.3069299999999999</v>
      </c>
      <c r="N696" s="49">
        <v>2.1684642319999998</v>
      </c>
      <c r="O696" s="49">
        <v>3.19804977706</v>
      </c>
      <c r="P696" s="49">
        <v>4.0199999999999996</v>
      </c>
      <c r="Q696" s="49">
        <v>2.6341493311700002</v>
      </c>
      <c r="R696" s="49">
        <v>2.94</v>
      </c>
      <c r="S696" s="49">
        <v>1719.29</v>
      </c>
      <c r="T696" s="49">
        <v>1593.04</v>
      </c>
      <c r="U696" s="49">
        <v>1330.3</v>
      </c>
      <c r="V696" s="49">
        <v>1453.05</v>
      </c>
      <c r="W696" s="49">
        <v>762.75</v>
      </c>
      <c r="X696" s="49">
        <v>1098.57</v>
      </c>
      <c r="Y696" s="49">
        <v>389.72</v>
      </c>
      <c r="Z696" s="49">
        <v>825.06</v>
      </c>
      <c r="AA696" s="49">
        <v>344.35</v>
      </c>
      <c r="AB696" s="49">
        <v>842.05</v>
      </c>
      <c r="AC696" s="49">
        <v>795</v>
      </c>
      <c r="AD696" s="49">
        <v>94.155645833329999</v>
      </c>
      <c r="AE696" s="49">
        <v>158.5900512</v>
      </c>
      <c r="AF696" s="49">
        <v>159.94518099999999</v>
      </c>
      <c r="AG696" s="49">
        <v>421</v>
      </c>
      <c r="AH696" s="49">
        <v>399</v>
      </c>
      <c r="AI696" s="49">
        <v>394.95</v>
      </c>
      <c r="AJ696" s="49">
        <v>345</v>
      </c>
      <c r="AK696" s="49">
        <v>174.97335654</v>
      </c>
      <c r="AL696" s="49">
        <v>180.41141970000001</v>
      </c>
      <c r="AM696" s="49">
        <v>0.91497765146999999</v>
      </c>
      <c r="AN696" s="49">
        <v>1.0850864062500001</v>
      </c>
      <c r="AO696" s="49">
        <v>0.75680175230000002</v>
      </c>
      <c r="AP696" s="49">
        <v>4.6041284080000002</v>
      </c>
      <c r="AQ696" s="49">
        <v>2.3348930000000001</v>
      </c>
      <c r="AR696" s="49">
        <v>8.5730000000000004</v>
      </c>
      <c r="AS696" s="49">
        <v>14.29255146</v>
      </c>
      <c r="AT696" s="49">
        <v>0.36084880000000003</v>
      </c>
      <c r="AU696" s="49">
        <v>0.62655300400000002</v>
      </c>
      <c r="AV696" s="49">
        <v>0.354061972</v>
      </c>
      <c r="AW696" s="49">
        <v>4582.0583333333298</v>
      </c>
      <c r="AX696" s="49">
        <v>386.75</v>
      </c>
      <c r="AY696" s="49">
        <v>265.28412069965998</v>
      </c>
      <c r="AZ696" s="49">
        <v>619.40061529470995</v>
      </c>
      <c r="BA696" s="49">
        <v>704.52149999999995</v>
      </c>
      <c r="BB696" s="49">
        <v>486.59072030276002</v>
      </c>
      <c r="BC696" s="49">
        <v>1.9541751679999999</v>
      </c>
      <c r="BD696" s="49">
        <v>1.5306</v>
      </c>
      <c r="BE696" s="49">
        <v>2.0971000000000002</v>
      </c>
      <c r="BF696" s="49">
        <v>92.5</v>
      </c>
      <c r="BG696" s="49">
        <v>309.25</v>
      </c>
      <c r="BH696" s="49">
        <v>275</v>
      </c>
      <c r="BI696" s="49">
        <v>178.75</v>
      </c>
      <c r="BJ696" s="49">
        <v>206.5</v>
      </c>
      <c r="BK696" s="49">
        <v>1913.02</v>
      </c>
      <c r="BL696" s="49">
        <v>62.43</v>
      </c>
      <c r="BM696" s="49">
        <v>5599.56</v>
      </c>
      <c r="BN696" s="49">
        <v>2125.11</v>
      </c>
      <c r="BO696" s="49">
        <v>20200.330000000002</v>
      </c>
      <c r="BP696" s="49">
        <v>9155.1200000000008</v>
      </c>
      <c r="BQ696" s="49">
        <v>2590.21</v>
      </c>
      <c r="BR696" s="49">
        <v>1246.04</v>
      </c>
      <c r="BS696" s="49">
        <v>930.27</v>
      </c>
      <c r="BT696" s="49">
        <v>16.745000000000001</v>
      </c>
    </row>
    <row r="697" spans="1:72" s="41" customFormat="1" ht="15" customHeight="1">
      <c r="A697" s="41" t="s">
        <v>1293</v>
      </c>
      <c r="B697" s="51">
        <v>46.166666666669997</v>
      </c>
      <c r="C697" s="51">
        <v>46.89</v>
      </c>
      <c r="D697" s="51">
        <v>46.44</v>
      </c>
      <c r="E697" s="51">
        <v>45.17</v>
      </c>
      <c r="F697" s="51">
        <v>81.09</v>
      </c>
      <c r="G697" s="51">
        <v>79.2</v>
      </c>
      <c r="H697" s="51">
        <v>2.9409999999999998</v>
      </c>
      <c r="I697" s="51">
        <v>4.8867667856299999</v>
      </c>
      <c r="J697" s="51">
        <v>8.8827097046999999</v>
      </c>
      <c r="K697" s="51">
        <v>64.963197608740003</v>
      </c>
      <c r="L697" s="51">
        <v>1.9982500000000001</v>
      </c>
      <c r="M697" s="51">
        <v>3.157456764</v>
      </c>
      <c r="N697" s="51">
        <v>2.2476100899999998</v>
      </c>
      <c r="O697" s="51">
        <v>3.2376042981199999</v>
      </c>
      <c r="P697" s="51">
        <v>3.95</v>
      </c>
      <c r="Q697" s="51">
        <v>2.6253128943499999</v>
      </c>
      <c r="R697" s="51">
        <v>3.1375000000000002</v>
      </c>
      <c r="S697" s="51">
        <v>1869.76</v>
      </c>
      <c r="T697" s="51">
        <v>1592.27</v>
      </c>
      <c r="U697" s="51">
        <v>1332.77</v>
      </c>
      <c r="V697" s="51">
        <v>1463.07</v>
      </c>
      <c r="W697" s="51">
        <v>735.14</v>
      </c>
      <c r="X697" s="51">
        <v>1030.83</v>
      </c>
      <c r="Y697" s="51">
        <v>378.59</v>
      </c>
      <c r="Z697" s="51">
        <v>832.95</v>
      </c>
      <c r="AA697" s="51">
        <v>330.32</v>
      </c>
      <c r="AB697" s="51">
        <v>847.47</v>
      </c>
      <c r="AC697" s="51">
        <v>794.36</v>
      </c>
      <c r="AD697" s="51">
        <v>94.155645833329999</v>
      </c>
      <c r="AE697" s="51">
        <v>157.93260559999999</v>
      </c>
      <c r="AF697" s="51">
        <v>165.015807</v>
      </c>
      <c r="AG697" s="51">
        <v>458</v>
      </c>
      <c r="AH697" s="51">
        <v>430</v>
      </c>
      <c r="AI697" s="51">
        <v>440.86</v>
      </c>
      <c r="AJ697" s="51">
        <v>357.18</v>
      </c>
      <c r="AK697" s="51">
        <v>183.36193640100001</v>
      </c>
      <c r="AL697" s="51">
        <v>189.5973372</v>
      </c>
      <c r="AM697" s="51">
        <v>0.93177443079</v>
      </c>
      <c r="AN697" s="51">
        <v>1.0954205625</v>
      </c>
      <c r="AO697" s="51">
        <v>0.72268299014000004</v>
      </c>
      <c r="AP697" s="51">
        <v>4.6784241020000001</v>
      </c>
      <c r="AQ697" s="51">
        <v>2.4341008999999998</v>
      </c>
      <c r="AR697" s="51">
        <v>9.1918000000000006</v>
      </c>
      <c r="AS697" s="51">
        <v>14.85693418</v>
      </c>
      <c r="AT697" s="51">
        <v>0.36662891199999997</v>
      </c>
      <c r="AU697" s="51">
        <v>0.613545746</v>
      </c>
      <c r="AV697" s="51">
        <v>0.30644218000000001</v>
      </c>
      <c r="AW697" s="51">
        <v>4517.45</v>
      </c>
      <c r="AX697" s="51">
        <v>392.94499999999999</v>
      </c>
      <c r="AY697" s="51">
        <v>268.39329268765999</v>
      </c>
      <c r="AZ697" s="51">
        <v>613.17163099918002</v>
      </c>
      <c r="BA697" s="51">
        <v>697.43650000000002</v>
      </c>
      <c r="BB697" s="51">
        <v>492.29364075348002</v>
      </c>
      <c r="BC697" s="51">
        <v>1.868635912</v>
      </c>
      <c r="BD697" s="51">
        <v>1.4397</v>
      </c>
      <c r="BE697" s="51">
        <v>1.7195</v>
      </c>
      <c r="BF697" s="51">
        <v>92.5</v>
      </c>
      <c r="BG697" s="51">
        <v>310.3</v>
      </c>
      <c r="BH697" s="51">
        <v>275</v>
      </c>
      <c r="BI697" s="51">
        <v>191</v>
      </c>
      <c r="BJ697" s="51">
        <v>206.5</v>
      </c>
      <c r="BK697" s="51">
        <v>1885.29</v>
      </c>
      <c r="BL697" s="51">
        <v>57.48</v>
      </c>
      <c r="BM697" s="51">
        <v>5719.76</v>
      </c>
      <c r="BN697" s="51">
        <v>2132.9299999999998</v>
      </c>
      <c r="BO697" s="51">
        <v>19658.84</v>
      </c>
      <c r="BP697" s="51">
        <v>8931.76</v>
      </c>
      <c r="BQ697" s="51">
        <v>2573.4</v>
      </c>
      <c r="BR697" s="51">
        <v>1260.26</v>
      </c>
      <c r="BS697" s="51">
        <v>930.73</v>
      </c>
      <c r="BT697" s="51">
        <v>16.931000000000001</v>
      </c>
    </row>
    <row r="698" spans="1:72" s="41" customFormat="1" ht="15" customHeight="1">
      <c r="A698" s="48" t="s">
        <v>1294</v>
      </c>
      <c r="B698" s="49">
        <v>47.656666666669999</v>
      </c>
      <c r="C698" s="49">
        <v>48.69</v>
      </c>
      <c r="D698" s="49">
        <v>47.63</v>
      </c>
      <c r="E698" s="49">
        <v>46.65</v>
      </c>
      <c r="F698" s="49">
        <v>87.49</v>
      </c>
      <c r="G698" s="49">
        <v>81.69</v>
      </c>
      <c r="H698" s="49">
        <v>2.9613999999999998</v>
      </c>
      <c r="I698" s="49">
        <v>5.0039208322600004</v>
      </c>
      <c r="J698" s="49">
        <v>8.8584823273400009</v>
      </c>
      <c r="K698" s="49">
        <v>65.751455615490002</v>
      </c>
      <c r="L698" s="49">
        <v>1.98858</v>
      </c>
      <c r="M698" s="49">
        <v>3.2994342919999999</v>
      </c>
      <c r="N698" s="49">
        <v>2.313528228</v>
      </c>
      <c r="O698" s="49">
        <v>3.2258837908600002</v>
      </c>
      <c r="P698" s="49">
        <v>3.86</v>
      </c>
      <c r="Q698" s="49">
        <v>2.8316513725900001</v>
      </c>
      <c r="R698" s="49">
        <v>2.9860000000000002</v>
      </c>
      <c r="S698" s="49">
        <v>1644.05</v>
      </c>
      <c r="T698" s="49">
        <v>1485.71</v>
      </c>
      <c r="U698" s="49">
        <v>1355.22</v>
      </c>
      <c r="V698" s="49">
        <v>1496.94</v>
      </c>
      <c r="W698" s="49">
        <v>720.48</v>
      </c>
      <c r="X698" s="49">
        <v>1033.57</v>
      </c>
      <c r="Y698" s="49">
        <v>410.23</v>
      </c>
      <c r="Z698" s="49">
        <v>835.6</v>
      </c>
      <c r="AA698" s="49">
        <v>340.86</v>
      </c>
      <c r="AB698" s="49">
        <v>905.99</v>
      </c>
      <c r="AC698" s="49">
        <v>793</v>
      </c>
      <c r="AD698" s="49">
        <v>94.155645833329999</v>
      </c>
      <c r="AE698" s="49">
        <v>157.511368</v>
      </c>
      <c r="AF698" s="49">
        <v>163.69303500000001</v>
      </c>
      <c r="AG698" s="49">
        <v>417</v>
      </c>
      <c r="AH698" s="49">
        <v>399</v>
      </c>
      <c r="AI698" s="49">
        <v>397.43</v>
      </c>
      <c r="AJ698" s="49">
        <v>385.87</v>
      </c>
      <c r="AK698" s="49">
        <v>201.77051507100001</v>
      </c>
      <c r="AL698" s="49">
        <v>202.4576217</v>
      </c>
      <c r="AM698" s="49">
        <v>0.93605395646</v>
      </c>
      <c r="AN698" s="49">
        <v>1.0954205625</v>
      </c>
      <c r="AO698" s="49">
        <v>0.69692200227000001</v>
      </c>
      <c r="AP698" s="49">
        <v>4.6660782300000001</v>
      </c>
      <c r="AQ698" s="49">
        <v>2.3457156800000001</v>
      </c>
      <c r="AR698" s="49">
        <v>9.3696999999999999</v>
      </c>
      <c r="AS698" s="49">
        <v>14.72906622</v>
      </c>
      <c r="AT698" s="49">
        <v>0.37577259200000002</v>
      </c>
      <c r="AU698" s="49">
        <v>0.589294926</v>
      </c>
      <c r="AV698" s="49">
        <v>0.32231544400000001</v>
      </c>
      <c r="AW698" s="49">
        <v>4515.0083333333296</v>
      </c>
      <c r="AX698" s="49">
        <v>402.745</v>
      </c>
      <c r="AY698" s="49">
        <v>264.62385799924999</v>
      </c>
      <c r="AZ698" s="49">
        <v>622.32344638721997</v>
      </c>
      <c r="BA698" s="49">
        <v>707.846</v>
      </c>
      <c r="BB698" s="49">
        <v>485.37965006556999</v>
      </c>
      <c r="BC698" s="49">
        <v>1.853864958</v>
      </c>
      <c r="BD698" s="49">
        <v>1.5165999999999999</v>
      </c>
      <c r="BE698" s="49">
        <v>1.7493000000000001</v>
      </c>
      <c r="BF698" s="49">
        <v>92.5</v>
      </c>
      <c r="BG698" s="49">
        <v>313.75</v>
      </c>
      <c r="BH698" s="49">
        <v>275.75</v>
      </c>
      <c r="BI698" s="49">
        <v>181</v>
      </c>
      <c r="BJ698" s="49">
        <v>207.25</v>
      </c>
      <c r="BK698" s="49">
        <v>1902.96</v>
      </c>
      <c r="BL698" s="49">
        <v>67.739999999999995</v>
      </c>
      <c r="BM698" s="49">
        <v>5985.12</v>
      </c>
      <c r="BN698" s="49">
        <v>2269.86</v>
      </c>
      <c r="BO698" s="49">
        <v>20223.48</v>
      </c>
      <c r="BP698" s="49">
        <v>9491.39</v>
      </c>
      <c r="BQ698" s="49">
        <v>2787.19</v>
      </c>
      <c r="BR698" s="49">
        <v>1236.8399999999999</v>
      </c>
      <c r="BS698" s="49">
        <v>918.9</v>
      </c>
      <c r="BT698" s="49">
        <v>16.152000000000001</v>
      </c>
    </row>
    <row r="699" spans="1:72" s="41" customFormat="1" ht="15" customHeight="1">
      <c r="A699" s="41" t="s">
        <v>1295</v>
      </c>
      <c r="B699" s="51">
        <v>49.943333333330003</v>
      </c>
      <c r="C699" s="51">
        <v>51.37</v>
      </c>
      <c r="D699" s="51">
        <v>50.43</v>
      </c>
      <c r="E699" s="51">
        <v>48.03</v>
      </c>
      <c r="F699" s="51">
        <v>98.58</v>
      </c>
      <c r="G699" s="51">
        <v>87.84</v>
      </c>
      <c r="H699" s="51">
        <v>2.8757000000000001</v>
      </c>
      <c r="I699" s="51">
        <v>5.4766011818699996</v>
      </c>
      <c r="J699" s="51">
        <v>8.9154154071599994</v>
      </c>
      <c r="K699" s="51">
        <v>66.996449707880004</v>
      </c>
      <c r="L699" s="51">
        <v>1.9885600000000001</v>
      </c>
      <c r="M699" s="51">
        <v>3.304284456</v>
      </c>
      <c r="N699" s="51">
        <v>2.3042688240000002</v>
      </c>
      <c r="O699" s="51">
        <v>3.26449979065</v>
      </c>
      <c r="P699" s="51">
        <v>4.13</v>
      </c>
      <c r="Q699" s="51">
        <v>2.7668327052800001</v>
      </c>
      <c r="R699" s="51">
        <v>2.8966666666699998</v>
      </c>
      <c r="S699" s="51">
        <v>1845</v>
      </c>
      <c r="T699" s="51">
        <v>1432.61</v>
      </c>
      <c r="U699" s="51">
        <v>1386.11</v>
      </c>
      <c r="V699" s="51">
        <v>1510.17</v>
      </c>
      <c r="W699" s="51">
        <v>717.95</v>
      </c>
      <c r="X699" s="51">
        <v>1174.3499999999999</v>
      </c>
      <c r="Y699" s="51">
        <v>392.87</v>
      </c>
      <c r="Z699" s="51">
        <v>861.72</v>
      </c>
      <c r="AA699" s="51">
        <v>330.17</v>
      </c>
      <c r="AB699" s="51">
        <v>875.36</v>
      </c>
      <c r="AC699" s="51">
        <v>815.74</v>
      </c>
      <c r="AD699" s="51">
        <v>96.452124999999995</v>
      </c>
      <c r="AE699" s="51">
        <v>148.49609599999999</v>
      </c>
      <c r="AF699" s="51">
        <v>169.865971</v>
      </c>
      <c r="AG699" s="51">
        <v>393</v>
      </c>
      <c r="AH699" s="51">
        <v>381</v>
      </c>
      <c r="AI699" s="51">
        <v>376.14</v>
      </c>
      <c r="AJ699" s="51">
        <v>390.37</v>
      </c>
      <c r="AK699" s="51">
        <v>172.68422589900001</v>
      </c>
      <c r="AL699" s="51">
        <v>171.22550219999999</v>
      </c>
      <c r="AM699" s="51">
        <v>0.93543700733000001</v>
      </c>
      <c r="AN699" s="51">
        <v>1.0954205625</v>
      </c>
      <c r="AO699" s="51">
        <v>0.71697008112000005</v>
      </c>
      <c r="AP699" s="51">
        <v>4.4738353660000003</v>
      </c>
      <c r="AQ699" s="51">
        <v>2.1921591043499999</v>
      </c>
      <c r="AR699" s="51">
        <v>8.8903999999999996</v>
      </c>
      <c r="AS699" s="51">
        <v>12.8419115</v>
      </c>
      <c r="AT699" s="51">
        <v>0.38556939200000001</v>
      </c>
      <c r="AU699" s="51">
        <v>0.55358008199999997</v>
      </c>
      <c r="AV699" s="51">
        <v>0.31680389399999997</v>
      </c>
      <c r="AW699" s="51">
        <v>4432.1916666666702</v>
      </c>
      <c r="AX699" s="51">
        <v>413.245</v>
      </c>
      <c r="AY699" s="51">
        <v>270.95825998830998</v>
      </c>
      <c r="AZ699" s="51">
        <v>621.22139531954997</v>
      </c>
      <c r="BA699" s="51">
        <v>706.59249999999997</v>
      </c>
      <c r="BB699" s="51">
        <v>496.99836745586998</v>
      </c>
      <c r="BC699" s="51">
        <v>1.749145508</v>
      </c>
      <c r="BD699" s="51">
        <v>1.5462</v>
      </c>
      <c r="BE699" s="51">
        <v>1.8368</v>
      </c>
      <c r="BF699" s="51">
        <v>88.75</v>
      </c>
      <c r="BG699" s="51">
        <v>320.75</v>
      </c>
      <c r="BH699" s="51">
        <v>280.5</v>
      </c>
      <c r="BI699" s="51">
        <v>192.625</v>
      </c>
      <c r="BJ699" s="51">
        <v>215.5</v>
      </c>
      <c r="BK699" s="51">
        <v>2030.01</v>
      </c>
      <c r="BL699" s="51">
        <v>76.069999999999993</v>
      </c>
      <c r="BM699" s="51">
        <v>6485.63</v>
      </c>
      <c r="BN699" s="51">
        <v>2348.4699999999998</v>
      </c>
      <c r="BO699" s="51">
        <v>20521</v>
      </c>
      <c r="BP699" s="51">
        <v>10889.98</v>
      </c>
      <c r="BQ699" s="51">
        <v>2980.73</v>
      </c>
      <c r="BR699" s="51">
        <v>1283.04</v>
      </c>
      <c r="BS699" s="51">
        <v>972.7</v>
      </c>
      <c r="BT699" s="51">
        <v>16.952000000000002</v>
      </c>
    </row>
    <row r="700" spans="1:72" s="41" customFormat="1" ht="15" customHeight="1">
      <c r="A700" s="48" t="s">
        <v>1296</v>
      </c>
      <c r="B700" s="49">
        <v>52.95</v>
      </c>
      <c r="C700" s="49">
        <v>55.16</v>
      </c>
      <c r="D700" s="49">
        <v>53.86</v>
      </c>
      <c r="E700" s="49">
        <v>49.83</v>
      </c>
      <c r="F700" s="49">
        <v>97.82</v>
      </c>
      <c r="G700" s="49">
        <v>92.26</v>
      </c>
      <c r="H700" s="49">
        <v>2.9630000000000001</v>
      </c>
      <c r="I700" s="49">
        <v>5.9611499719900003</v>
      </c>
      <c r="J700" s="49">
        <v>8.6420299979399999</v>
      </c>
      <c r="K700" s="49">
        <v>70.174880739399995</v>
      </c>
      <c r="L700" s="49">
        <v>1.9983</v>
      </c>
      <c r="M700" s="49">
        <v>3.2310910719999999</v>
      </c>
      <c r="N700" s="49">
        <v>2.186542116</v>
      </c>
      <c r="O700" s="49">
        <v>3.2817630230899999</v>
      </c>
      <c r="P700" s="49">
        <v>4.2699999999999996</v>
      </c>
      <c r="Q700" s="49">
        <v>2.6177890692700001</v>
      </c>
      <c r="R700" s="49">
        <v>2.9575</v>
      </c>
      <c r="S700" s="49">
        <v>1600.95</v>
      </c>
      <c r="T700" s="49">
        <v>1382.14</v>
      </c>
      <c r="U700" s="49">
        <v>1406.1</v>
      </c>
      <c r="V700" s="49">
        <v>1504.65</v>
      </c>
      <c r="W700" s="49">
        <v>754.25</v>
      </c>
      <c r="X700" s="49">
        <v>1336.05</v>
      </c>
      <c r="Y700" s="49">
        <v>393.95</v>
      </c>
      <c r="Z700" s="49">
        <v>889.44</v>
      </c>
      <c r="AA700" s="49">
        <v>342.07</v>
      </c>
      <c r="AB700" s="49">
        <v>872.87</v>
      </c>
      <c r="AC700" s="49">
        <v>822.24</v>
      </c>
      <c r="AD700" s="49">
        <v>96.452124999999995</v>
      </c>
      <c r="AE700" s="49">
        <v>147.2914352</v>
      </c>
      <c r="AF700" s="49">
        <v>169.75574</v>
      </c>
      <c r="AG700" s="49">
        <v>402</v>
      </c>
      <c r="AH700" s="49">
        <v>388</v>
      </c>
      <c r="AI700" s="49">
        <v>384.81</v>
      </c>
      <c r="AJ700" s="49">
        <v>382</v>
      </c>
      <c r="AK700" s="49">
        <v>176.898724848</v>
      </c>
      <c r="AL700" s="49">
        <v>178.5742362</v>
      </c>
      <c r="AM700" s="49">
        <v>0.92601960097000002</v>
      </c>
      <c r="AN700" s="49">
        <v>1.0952001005000001</v>
      </c>
      <c r="AO700" s="49">
        <v>0.78901621145</v>
      </c>
      <c r="AP700" s="49">
        <v>4.3012136200000004</v>
      </c>
      <c r="AQ700" s="49">
        <v>2.1142305800000001</v>
      </c>
      <c r="AR700" s="49">
        <v>8.5539000000000005</v>
      </c>
      <c r="AS700" s="49">
        <v>12.12541</v>
      </c>
      <c r="AT700" s="49">
        <v>0.38925952000000003</v>
      </c>
      <c r="AU700" s="49">
        <v>0.59414509000000004</v>
      </c>
      <c r="AV700" s="49">
        <v>0.31724481799999998</v>
      </c>
      <c r="AW700" s="49">
        <v>4395.3583333333299</v>
      </c>
      <c r="AX700" s="49">
        <v>417.2</v>
      </c>
      <c r="AY700" s="49">
        <v>268.92668495858999</v>
      </c>
      <c r="AZ700" s="49">
        <v>637.65633080699001</v>
      </c>
      <c r="BA700" s="49">
        <v>725.28599999999994</v>
      </c>
      <c r="BB700" s="49">
        <v>493.27200209914997</v>
      </c>
      <c r="BC700" s="49">
        <v>1.7769237200000001</v>
      </c>
      <c r="BD700" s="49">
        <v>1.6082000000000001</v>
      </c>
      <c r="BE700" s="49">
        <v>1.8582000000000001</v>
      </c>
      <c r="BF700" s="49">
        <v>85</v>
      </c>
      <c r="BG700" s="49">
        <v>325.89999999999998</v>
      </c>
      <c r="BH700" s="49">
        <v>283.2</v>
      </c>
      <c r="BI700" s="49">
        <v>219</v>
      </c>
      <c r="BJ700" s="49">
        <v>215.5</v>
      </c>
      <c r="BK700" s="49">
        <v>2096.4899999999998</v>
      </c>
      <c r="BL700" s="49">
        <v>71.53</v>
      </c>
      <c r="BM700" s="49">
        <v>6577.17</v>
      </c>
      <c r="BN700" s="49">
        <v>2374.39</v>
      </c>
      <c r="BO700" s="49">
        <v>20796.62</v>
      </c>
      <c r="BP700" s="49">
        <v>11215.79</v>
      </c>
      <c r="BQ700" s="49">
        <v>3116.86</v>
      </c>
      <c r="BR700" s="49">
        <v>1314.07</v>
      </c>
      <c r="BS700" s="49">
        <v>964.1</v>
      </c>
      <c r="BT700" s="49">
        <v>17.431999999999999</v>
      </c>
    </row>
    <row r="701" spans="1:72" s="41" customFormat="1" ht="15" customHeight="1">
      <c r="A701" s="41" t="s">
        <v>1297</v>
      </c>
      <c r="B701" s="51">
        <v>54.92</v>
      </c>
      <c r="C701" s="51">
        <v>57.62</v>
      </c>
      <c r="D701" s="51">
        <v>55.58</v>
      </c>
      <c r="E701" s="51">
        <v>51.56</v>
      </c>
      <c r="F701" s="51">
        <v>97.11</v>
      </c>
      <c r="G701" s="51">
        <v>91.43</v>
      </c>
      <c r="H701" s="51">
        <v>2.8637999999999999</v>
      </c>
      <c r="I701" s="51">
        <v>6.17632034854</v>
      </c>
      <c r="J701" s="51">
        <v>8.3138988925999993</v>
      </c>
      <c r="K701" s="51">
        <v>69.770865285300005</v>
      </c>
      <c r="L701" s="51">
        <v>2.0970499999999999</v>
      </c>
      <c r="M701" s="51">
        <v>3.102120802</v>
      </c>
      <c r="N701" s="51">
        <v>2.1691256179999998</v>
      </c>
      <c r="O701" s="51">
        <v>3.29433559267</v>
      </c>
      <c r="P701" s="51">
        <v>4.1900000000000004</v>
      </c>
      <c r="Q701" s="51">
        <v>2.6350067780000002</v>
      </c>
      <c r="R701" s="51">
        <v>3.0579999999999998</v>
      </c>
      <c r="S701" s="51">
        <v>1484.77</v>
      </c>
      <c r="T701" s="51">
        <v>1325</v>
      </c>
      <c r="U701" s="51">
        <v>1379.14</v>
      </c>
      <c r="V701" s="51">
        <v>1481.11</v>
      </c>
      <c r="W701" s="51">
        <v>746.79</v>
      </c>
      <c r="X701" s="51">
        <v>1418.86</v>
      </c>
      <c r="Y701" s="51">
        <v>396.52</v>
      </c>
      <c r="Z701" s="51">
        <v>880.6</v>
      </c>
      <c r="AA701" s="51">
        <v>353.27</v>
      </c>
      <c r="AB701" s="51">
        <v>897.25</v>
      </c>
      <c r="AC701" s="51">
        <v>804.82</v>
      </c>
      <c r="AD701" s="51">
        <v>96.452124999999995</v>
      </c>
      <c r="AE701" s="51">
        <v>148.62207359999999</v>
      </c>
      <c r="AF701" s="51">
        <v>170.96828099999999</v>
      </c>
      <c r="AG701" s="51">
        <v>394</v>
      </c>
      <c r="AH701" s="51">
        <v>379</v>
      </c>
      <c r="AI701" s="51">
        <v>375.68</v>
      </c>
      <c r="AJ701" s="51">
        <v>376.19</v>
      </c>
      <c r="AK701" s="51">
        <v>177.00528149100001</v>
      </c>
      <c r="AL701" s="51">
        <v>175.63474260000001</v>
      </c>
      <c r="AM701" s="51">
        <v>0.92183663766000001</v>
      </c>
      <c r="AN701" s="51">
        <v>1.0816416874999999</v>
      </c>
      <c r="AO701" s="51">
        <v>0.82186543828000003</v>
      </c>
      <c r="AP701" s="51">
        <v>4.2509482839999997</v>
      </c>
      <c r="AQ701" s="51">
        <v>1.9771433</v>
      </c>
      <c r="AR701" s="51">
        <v>8.2423000000000002</v>
      </c>
      <c r="AS701" s="51">
        <v>11.953449640000001</v>
      </c>
      <c r="AT701" s="51">
        <v>0.38400190400000001</v>
      </c>
      <c r="AU701" s="51">
        <v>0.59723155800000005</v>
      </c>
      <c r="AV701" s="51">
        <v>0.31614250799999999</v>
      </c>
      <c r="AW701" s="51">
        <v>4513.1416666666701</v>
      </c>
      <c r="AX701" s="51">
        <v>411.565</v>
      </c>
      <c r="AY701" s="51">
        <v>263.61625807948002</v>
      </c>
      <c r="AZ701" s="51">
        <v>632.52939757912998</v>
      </c>
      <c r="BA701" s="51">
        <v>719.45450000000005</v>
      </c>
      <c r="BB701" s="51">
        <v>483.53148527740001</v>
      </c>
      <c r="BC701" s="51">
        <v>1.7328313200000001</v>
      </c>
      <c r="BD701" s="51">
        <v>1.4569000000000001</v>
      </c>
      <c r="BE701" s="51">
        <v>1.6372</v>
      </c>
      <c r="BF701" s="51">
        <v>80</v>
      </c>
      <c r="BG701" s="51">
        <v>322.375</v>
      </c>
      <c r="BH701" s="51">
        <v>283.5</v>
      </c>
      <c r="BI701" s="51">
        <v>252.5</v>
      </c>
      <c r="BJ701" s="51">
        <v>215.5</v>
      </c>
      <c r="BK701" s="51">
        <v>2131.4899999999998</v>
      </c>
      <c r="BL701" s="51">
        <v>61.66</v>
      </c>
      <c r="BM701" s="51">
        <v>6807.6</v>
      </c>
      <c r="BN701" s="51">
        <v>2498.2199999999998</v>
      </c>
      <c r="BO701" s="51">
        <v>20376.09</v>
      </c>
      <c r="BP701" s="51">
        <v>11335.77</v>
      </c>
      <c r="BQ701" s="51">
        <v>3264.6</v>
      </c>
      <c r="BR701" s="51">
        <v>1279.51</v>
      </c>
      <c r="BS701" s="51">
        <v>921</v>
      </c>
      <c r="BT701" s="51">
        <v>16.940999999999999</v>
      </c>
    </row>
    <row r="702" spans="1:72" s="41" customFormat="1" ht="15" customHeight="1">
      <c r="A702" s="48" t="s">
        <v>1298</v>
      </c>
      <c r="B702" s="49">
        <v>59.933333333329998</v>
      </c>
      <c r="C702" s="49">
        <v>62.57</v>
      </c>
      <c r="D702" s="49">
        <v>60.58</v>
      </c>
      <c r="E702" s="49">
        <v>56.65</v>
      </c>
      <c r="F702" s="49">
        <v>96.64</v>
      </c>
      <c r="G702" s="49">
        <v>91.39</v>
      </c>
      <c r="H702" s="49">
        <v>2.9912999999999998</v>
      </c>
      <c r="I702" s="49">
        <v>6.6945990398199999</v>
      </c>
      <c r="J702" s="49">
        <v>8.4506656764100008</v>
      </c>
      <c r="K702" s="49">
        <v>73.87568661553</v>
      </c>
      <c r="L702" s="49">
        <v>2.1278999999999999</v>
      </c>
      <c r="M702" s="49">
        <v>3.10630958</v>
      </c>
      <c r="N702" s="49">
        <v>2.0134794459999998</v>
      </c>
      <c r="O702" s="49">
        <v>3.23464256332</v>
      </c>
      <c r="P702" s="49">
        <v>4.1100000000000003</v>
      </c>
      <c r="Q702" s="49">
        <v>2.6139276899700001</v>
      </c>
      <c r="R702" s="49">
        <v>2.98</v>
      </c>
      <c r="S702" s="49">
        <v>1554.32</v>
      </c>
      <c r="T702" s="49">
        <v>1259.55</v>
      </c>
      <c r="U702" s="49">
        <v>1385.62</v>
      </c>
      <c r="V702" s="49">
        <v>1502.29</v>
      </c>
      <c r="W702" s="49">
        <v>728.86</v>
      </c>
      <c r="X702" s="49">
        <v>1444.77</v>
      </c>
      <c r="Y702" s="49">
        <v>393.85</v>
      </c>
      <c r="Z702" s="49">
        <v>886.77</v>
      </c>
      <c r="AA702" s="49">
        <v>350.91</v>
      </c>
      <c r="AB702" s="49">
        <v>962.98</v>
      </c>
      <c r="AC702" s="49">
        <v>809.86</v>
      </c>
      <c r="AD702" s="49">
        <v>108.39381666667001</v>
      </c>
      <c r="AE702" s="49">
        <v>148.7047464</v>
      </c>
      <c r="AF702" s="49">
        <v>167.661351</v>
      </c>
      <c r="AG702" s="49">
        <v>402</v>
      </c>
      <c r="AH702" s="49">
        <v>386</v>
      </c>
      <c r="AI702" s="49">
        <v>378.82</v>
      </c>
      <c r="AJ702" s="49">
        <v>379.01</v>
      </c>
      <c r="AK702" s="49">
        <v>175.664137536</v>
      </c>
      <c r="AL702" s="49">
        <v>179.67654630000001</v>
      </c>
      <c r="AM702" s="49">
        <v>0.92527722275000002</v>
      </c>
      <c r="AN702" s="49">
        <v>1.0781969687499999</v>
      </c>
      <c r="AO702" s="49">
        <v>0.85847037380000002</v>
      </c>
      <c r="AP702" s="49">
        <v>4.3314169140000001</v>
      </c>
      <c r="AQ702" s="49">
        <v>1.9621118</v>
      </c>
      <c r="AR702" s="49">
        <v>7.5536000000000003</v>
      </c>
      <c r="AS702" s="49">
        <v>12.17391164</v>
      </c>
      <c r="AT702" s="49">
        <v>0.383348784</v>
      </c>
      <c r="AU702" s="49">
        <v>0.60164079800000003</v>
      </c>
      <c r="AV702" s="49">
        <v>0.33047253799999998</v>
      </c>
      <c r="AW702" s="49">
        <v>4594.4833333333299</v>
      </c>
      <c r="AX702" s="49">
        <v>410.86500000000001</v>
      </c>
      <c r="AY702" s="49">
        <v>263.84989829758001</v>
      </c>
      <c r="AZ702" s="49">
        <v>633.43978759155004</v>
      </c>
      <c r="BA702" s="49">
        <v>720.49</v>
      </c>
      <c r="BB702" s="49">
        <v>483.96003396592999</v>
      </c>
      <c r="BC702" s="49">
        <v>1.772734942</v>
      </c>
      <c r="BD702" s="49">
        <v>1.4286000000000001</v>
      </c>
      <c r="BE702" s="49">
        <v>1.5688</v>
      </c>
      <c r="BF702" s="49">
        <v>80</v>
      </c>
      <c r="BG702" s="49">
        <v>344</v>
      </c>
      <c r="BH702" s="49">
        <v>295</v>
      </c>
      <c r="BI702" s="49">
        <v>280</v>
      </c>
      <c r="BJ702" s="49">
        <v>215.5</v>
      </c>
      <c r="BK702" s="49">
        <v>2097.44</v>
      </c>
      <c r="BL702" s="49">
        <v>64.239999999999995</v>
      </c>
      <c r="BM702" s="49">
        <v>6826.55</v>
      </c>
      <c r="BN702" s="49">
        <v>2461.4299999999998</v>
      </c>
      <c r="BO702" s="49">
        <v>19557.52</v>
      </c>
      <c r="BP702" s="49">
        <v>11972</v>
      </c>
      <c r="BQ702" s="49">
        <v>3229.31</v>
      </c>
      <c r="BR702" s="49">
        <v>1281.9000000000001</v>
      </c>
      <c r="BS702" s="49">
        <v>934.05</v>
      </c>
      <c r="BT702" s="49">
        <v>16.977</v>
      </c>
    </row>
    <row r="703" spans="1:72" s="41" customFormat="1" ht="15" customHeight="1">
      <c r="A703" s="41" t="s">
        <v>1299</v>
      </c>
      <c r="B703" s="51">
        <v>61.18666666667</v>
      </c>
      <c r="C703" s="51">
        <v>64.209999999999994</v>
      </c>
      <c r="D703" s="51">
        <v>61.41</v>
      </c>
      <c r="E703" s="51">
        <v>57.94</v>
      </c>
      <c r="F703" s="51">
        <v>100.81</v>
      </c>
      <c r="G703" s="51">
        <v>95.48</v>
      </c>
      <c r="H703" s="51">
        <v>2.7583000000000002</v>
      </c>
      <c r="I703" s="51">
        <v>7.1389336141299999</v>
      </c>
      <c r="J703" s="51">
        <v>8.6471138152999991</v>
      </c>
      <c r="K703" s="51">
        <v>73.291727463640001</v>
      </c>
      <c r="L703" s="51">
        <v>1.9176800000000001</v>
      </c>
      <c r="M703" s="51">
        <v>3.0295888039999999</v>
      </c>
      <c r="N703" s="51">
        <v>1.931026658</v>
      </c>
      <c r="O703" s="51">
        <v>3.1321481661299999</v>
      </c>
      <c r="P703" s="51">
        <v>4.1100000000000003</v>
      </c>
      <c r="Q703" s="51">
        <v>2.4964444983899998</v>
      </c>
      <c r="R703" s="51">
        <v>2.79</v>
      </c>
      <c r="S703" s="51">
        <v>1450.66</v>
      </c>
      <c r="T703" s="51">
        <v>1231.43</v>
      </c>
      <c r="U703" s="51">
        <v>1476.7</v>
      </c>
      <c r="V703" s="51">
        <v>1510.17</v>
      </c>
      <c r="W703" s="51">
        <v>679.17</v>
      </c>
      <c r="X703" s="51">
        <v>1305.6600000000001</v>
      </c>
      <c r="Y703" s="51">
        <v>387.15454999999997</v>
      </c>
      <c r="Z703" s="51">
        <v>867.19</v>
      </c>
      <c r="AA703" s="51">
        <v>359.9</v>
      </c>
      <c r="AB703" s="51">
        <v>901.97</v>
      </c>
      <c r="AC703" s="51">
        <v>800.76</v>
      </c>
      <c r="AD703" s="51">
        <v>119.87621249999999</v>
      </c>
      <c r="AE703" s="51">
        <v>148.98032240000001</v>
      </c>
      <c r="AF703" s="51">
        <v>175.157059</v>
      </c>
      <c r="AG703" s="51">
        <v>406</v>
      </c>
      <c r="AH703" s="51">
        <v>391</v>
      </c>
      <c r="AI703" s="51">
        <v>388.5</v>
      </c>
      <c r="AJ703" s="51">
        <v>383.24</v>
      </c>
      <c r="AK703" s="51">
        <v>172.49315881499999</v>
      </c>
      <c r="AL703" s="51">
        <v>184.0857867</v>
      </c>
      <c r="AM703" s="51">
        <v>0.91247520109000002</v>
      </c>
      <c r="AN703" s="51">
        <v>1.0954205625</v>
      </c>
      <c r="AO703" s="51">
        <v>0.77346440358000002</v>
      </c>
      <c r="AP703" s="51">
        <v>4.2833561979999999</v>
      </c>
      <c r="AQ703" s="51">
        <v>1.9655927789500001</v>
      </c>
      <c r="AR703" s="51">
        <v>7.9366000000000003</v>
      </c>
      <c r="AS703" s="51">
        <v>12.235640999999999</v>
      </c>
      <c r="AT703" s="51">
        <v>0.38658172800000001</v>
      </c>
      <c r="AU703" s="51">
        <v>0.59370416599999998</v>
      </c>
      <c r="AV703" s="51">
        <v>0.31702435600000001</v>
      </c>
      <c r="AW703" s="51">
        <v>4629.9833333333299</v>
      </c>
      <c r="AX703" s="51">
        <v>414.33</v>
      </c>
      <c r="AY703" s="51">
        <v>263.61625807948002</v>
      </c>
      <c r="AZ703" s="51">
        <v>642.20828086911001</v>
      </c>
      <c r="BA703" s="51">
        <v>730.46349999999995</v>
      </c>
      <c r="BB703" s="51">
        <v>483.53148527740001</v>
      </c>
      <c r="BC703" s="51">
        <v>1.8831864039999999</v>
      </c>
      <c r="BD703" s="51">
        <v>1.46</v>
      </c>
      <c r="BE703" s="51">
        <v>1.6518999999999999</v>
      </c>
      <c r="BF703" s="51">
        <v>80</v>
      </c>
      <c r="BG703" s="51">
        <v>357.25</v>
      </c>
      <c r="BH703" s="51">
        <v>308.75</v>
      </c>
      <c r="BI703" s="51">
        <v>214.625</v>
      </c>
      <c r="BJ703" s="51">
        <v>215.5</v>
      </c>
      <c r="BK703" s="51">
        <v>2080.4699999999998</v>
      </c>
      <c r="BL703" s="51">
        <v>72.25</v>
      </c>
      <c r="BM703" s="51">
        <v>6833.89</v>
      </c>
      <c r="BN703" s="51">
        <v>2509.92</v>
      </c>
      <c r="BO703" s="51">
        <v>19476.37</v>
      </c>
      <c r="BP703" s="51">
        <v>11495.11</v>
      </c>
      <c r="BQ703" s="51">
        <v>3195.95</v>
      </c>
      <c r="BR703" s="51">
        <v>1264.45</v>
      </c>
      <c r="BS703" s="51">
        <v>907.2</v>
      </c>
      <c r="BT703" s="51">
        <v>16.164999999999999</v>
      </c>
    </row>
    <row r="704" spans="1:72" s="41" customFormat="1" ht="15" customHeight="1">
      <c r="A704" s="48" t="s">
        <v>1300</v>
      </c>
      <c r="B704" s="49">
        <v>66.226666666669999</v>
      </c>
      <c r="C704" s="49">
        <v>68.989999999999995</v>
      </c>
      <c r="D704" s="49">
        <v>66.02</v>
      </c>
      <c r="E704" s="49">
        <v>63.67</v>
      </c>
      <c r="F704" s="49">
        <v>106.45</v>
      </c>
      <c r="G704" s="49">
        <v>97.48</v>
      </c>
      <c r="H704" s="49">
        <v>3.8555999999999999</v>
      </c>
      <c r="I704" s="49">
        <v>6.6622550131400002</v>
      </c>
      <c r="J704" s="49">
        <v>9.3424638758499992</v>
      </c>
      <c r="K704" s="49">
        <v>84.821629275619998</v>
      </c>
      <c r="L704" s="49">
        <v>1.95183</v>
      </c>
      <c r="M704" s="49">
        <v>3.0602330219999998</v>
      </c>
      <c r="N704" s="49">
        <v>1.9543956300000001</v>
      </c>
      <c r="O704" s="49">
        <v>3.10220474156</v>
      </c>
      <c r="P704" s="49">
        <v>4.16</v>
      </c>
      <c r="Q704" s="49">
        <v>2.1886142246800002</v>
      </c>
      <c r="R704" s="49">
        <v>2.9580000000000002</v>
      </c>
      <c r="S704" s="49">
        <v>1393.86</v>
      </c>
      <c r="T704" s="49">
        <v>1180.22</v>
      </c>
      <c r="U704" s="49">
        <v>1596.54</v>
      </c>
      <c r="V704" s="49">
        <v>1433</v>
      </c>
      <c r="W704" s="49">
        <v>703.45</v>
      </c>
      <c r="X704" s="49">
        <v>1265</v>
      </c>
      <c r="Y704" s="49">
        <v>389.53</v>
      </c>
      <c r="Z704" s="49">
        <v>870.5</v>
      </c>
      <c r="AA704" s="49">
        <v>375.74</v>
      </c>
      <c r="AB704" s="49">
        <v>848.38</v>
      </c>
      <c r="AC704" s="49">
        <v>799.04</v>
      </c>
      <c r="AD704" s="49">
        <v>121.71339583333</v>
      </c>
      <c r="AE704" s="49">
        <v>155.83822799999999</v>
      </c>
      <c r="AF704" s="49">
        <v>178.463989</v>
      </c>
      <c r="AG704" s="49">
        <v>442</v>
      </c>
      <c r="AH704" s="49">
        <v>422</v>
      </c>
      <c r="AI704" s="49">
        <v>410.83</v>
      </c>
      <c r="AJ704" s="49">
        <v>380.94</v>
      </c>
      <c r="AK704" s="49">
        <v>178.34275107900001</v>
      </c>
      <c r="AL704" s="49">
        <v>192.16939410000001</v>
      </c>
      <c r="AM704" s="49">
        <v>0.97835499248000002</v>
      </c>
      <c r="AN704" s="49">
        <v>1.1340014125</v>
      </c>
      <c r="AO704" s="49">
        <v>0.75648436846</v>
      </c>
      <c r="AP704" s="49">
        <v>4.2959225319999996</v>
      </c>
      <c r="AQ704" s="49">
        <v>2.0701381799999998</v>
      </c>
      <c r="AR704" s="49">
        <v>7.7161999999999997</v>
      </c>
      <c r="AS704" s="49">
        <v>12.35909972</v>
      </c>
      <c r="AT704" s="49">
        <v>0.398109296</v>
      </c>
      <c r="AU704" s="49">
        <v>0.58620845799999999</v>
      </c>
      <c r="AV704" s="49">
        <v>0.31063095800000001</v>
      </c>
      <c r="AW704" s="49">
        <v>4649.4416666666702</v>
      </c>
      <c r="AX704" s="49">
        <v>426.685</v>
      </c>
      <c r="AY704" s="49">
        <v>268.29653951799003</v>
      </c>
      <c r="AZ704" s="49">
        <v>661.08689481093995</v>
      </c>
      <c r="BA704" s="49">
        <v>751.93650000000002</v>
      </c>
      <c r="BB704" s="49">
        <v>492.1161736876</v>
      </c>
      <c r="BC704" s="49">
        <v>2.007526972</v>
      </c>
      <c r="BD704" s="49">
        <v>1.5021</v>
      </c>
      <c r="BE704" s="49">
        <v>1.7223999999999999</v>
      </c>
      <c r="BF704" s="49">
        <v>80</v>
      </c>
      <c r="BG704" s="49">
        <v>360.375</v>
      </c>
      <c r="BH704" s="49">
        <v>320</v>
      </c>
      <c r="BI704" s="49">
        <v>219.625</v>
      </c>
      <c r="BJ704" s="49">
        <v>215.5</v>
      </c>
      <c r="BK704" s="49">
        <v>2209.73</v>
      </c>
      <c r="BL704" s="49">
        <v>76.34</v>
      </c>
      <c r="BM704" s="49">
        <v>7065.85</v>
      </c>
      <c r="BN704" s="49">
        <v>2584.09</v>
      </c>
      <c r="BO704" s="49">
        <v>20696.91</v>
      </c>
      <c r="BP704" s="49">
        <v>12864.88</v>
      </c>
      <c r="BQ704" s="49">
        <v>3441.52</v>
      </c>
      <c r="BR704" s="49">
        <v>1331.3</v>
      </c>
      <c r="BS704" s="49">
        <v>990.12</v>
      </c>
      <c r="BT704" s="49">
        <v>17.126999999999999</v>
      </c>
    </row>
    <row r="705" spans="1:72" s="41" customFormat="1" ht="15" customHeight="1">
      <c r="A705" s="41" t="s">
        <v>1301</v>
      </c>
      <c r="B705" s="51">
        <v>63.46</v>
      </c>
      <c r="C705" s="51">
        <v>65.42</v>
      </c>
      <c r="D705" s="51">
        <v>62.79</v>
      </c>
      <c r="E705" s="51">
        <v>62.17</v>
      </c>
      <c r="F705" s="51">
        <v>105.95</v>
      </c>
      <c r="G705" s="51">
        <v>92.68</v>
      </c>
      <c r="H705" s="51">
        <v>2.6707999999999998</v>
      </c>
      <c r="I705" s="51">
        <v>6.7187497665000002</v>
      </c>
      <c r="J705" s="51">
        <v>9.8256931101900005</v>
      </c>
      <c r="K705" s="51">
        <v>71.030120423979994</v>
      </c>
      <c r="L705" s="51">
        <v>2.1227999999999998</v>
      </c>
      <c r="M705" s="51">
        <v>3.0044561359999999</v>
      </c>
      <c r="N705" s="51">
        <v>1.9674028880000001</v>
      </c>
      <c r="O705" s="51">
        <v>2.99959870594</v>
      </c>
      <c r="P705" s="51">
        <v>4.0999999999999996</v>
      </c>
      <c r="Q705" s="51">
        <v>1.9112961178100001</v>
      </c>
      <c r="R705" s="51">
        <v>2.9874999999999998</v>
      </c>
      <c r="S705" s="51">
        <v>1244.25</v>
      </c>
      <c r="T705" s="51">
        <v>1160</v>
      </c>
      <c r="U705" s="51">
        <v>1605.89</v>
      </c>
      <c r="V705" s="51">
        <v>1433</v>
      </c>
      <c r="W705" s="51">
        <v>709.44</v>
      </c>
      <c r="X705" s="51">
        <v>1145.3800000000001</v>
      </c>
      <c r="Y705" s="51">
        <v>416.28</v>
      </c>
      <c r="Z705" s="51">
        <v>843.56</v>
      </c>
      <c r="AA705" s="51">
        <v>421.13</v>
      </c>
      <c r="AB705" s="51">
        <v>827.48</v>
      </c>
      <c r="AC705" s="51">
        <v>806</v>
      </c>
      <c r="AD705" s="51">
        <v>129.06212916666999</v>
      </c>
      <c r="AE705" s="51">
        <v>163.357516</v>
      </c>
      <c r="AF705" s="51">
        <v>187.39269999999999</v>
      </c>
      <c r="AG705" s="51">
        <v>425</v>
      </c>
      <c r="AH705" s="51">
        <v>411</v>
      </c>
      <c r="AI705" s="51">
        <v>407.8</v>
      </c>
      <c r="AJ705" s="51">
        <v>395.43</v>
      </c>
      <c r="AK705" s="51">
        <v>190.56002135400001</v>
      </c>
      <c r="AL705" s="51">
        <v>192.16939410000001</v>
      </c>
      <c r="AM705" s="51">
        <v>1.0742119114199999</v>
      </c>
      <c r="AN705" s="51">
        <v>1.2676565</v>
      </c>
      <c r="AO705" s="51">
        <v>0.77753749612</v>
      </c>
      <c r="AP705" s="51">
        <v>4.3536835759999999</v>
      </c>
      <c r="AQ705" s="51">
        <v>1.9841580000000001</v>
      </c>
      <c r="AR705" s="51">
        <v>7.8677999999999999</v>
      </c>
      <c r="AS705" s="51">
        <v>12.7316805</v>
      </c>
      <c r="AT705" s="51">
        <v>0.40356284799999997</v>
      </c>
      <c r="AU705" s="51">
        <v>0.56945334599999997</v>
      </c>
      <c r="AV705" s="51">
        <v>0.29894647200000002</v>
      </c>
      <c r="AW705" s="51">
        <v>4628.1666666666697</v>
      </c>
      <c r="AX705" s="51">
        <v>432.53</v>
      </c>
      <c r="AY705" s="51">
        <v>275.80307601367002</v>
      </c>
      <c r="AZ705" s="51">
        <v>670.09496440755004</v>
      </c>
      <c r="BA705" s="51">
        <v>762.1825</v>
      </c>
      <c r="BB705" s="51">
        <v>505.88484929012998</v>
      </c>
      <c r="BC705" s="51">
        <v>1.9460180739999999</v>
      </c>
      <c r="BD705" s="51">
        <v>1.4618</v>
      </c>
      <c r="BE705" s="51">
        <v>1.72</v>
      </c>
      <c r="BF705" s="51">
        <v>82.5</v>
      </c>
      <c r="BG705" s="51">
        <v>370</v>
      </c>
      <c r="BH705" s="51">
        <v>320</v>
      </c>
      <c r="BI705" s="51">
        <v>232.5</v>
      </c>
      <c r="BJ705" s="51">
        <v>215.5</v>
      </c>
      <c r="BK705" s="51">
        <v>2181.79</v>
      </c>
      <c r="BL705" s="51">
        <v>77.459999999999994</v>
      </c>
      <c r="BM705" s="51">
        <v>7006.52</v>
      </c>
      <c r="BN705" s="51">
        <v>2581.06</v>
      </c>
      <c r="BO705" s="51">
        <v>21651.55</v>
      </c>
      <c r="BP705" s="51">
        <v>13595.88</v>
      </c>
      <c r="BQ705" s="51">
        <v>3532.9</v>
      </c>
      <c r="BR705" s="51">
        <v>1330.73</v>
      </c>
      <c r="BS705" s="51">
        <v>987.26</v>
      </c>
      <c r="BT705" s="51">
        <v>16.582000000000001</v>
      </c>
    </row>
    <row r="706" spans="1:72" s="41" customFormat="1" ht="15" customHeight="1">
      <c r="A706" s="48" t="s">
        <v>1304</v>
      </c>
      <c r="B706" s="49">
        <v>64.166666666669997</v>
      </c>
      <c r="C706" s="49">
        <v>66.45</v>
      </c>
      <c r="D706" s="49">
        <v>63.29</v>
      </c>
      <c r="E706" s="49">
        <v>62.76</v>
      </c>
      <c r="F706" s="49">
        <v>96.66</v>
      </c>
      <c r="G706" s="49">
        <v>89.5</v>
      </c>
      <c r="H706" s="49">
        <v>2.6989000000000001</v>
      </c>
      <c r="I706" s="49">
        <v>6.6973876403599997</v>
      </c>
      <c r="J706" s="49">
        <v>10.110069091050001</v>
      </c>
      <c r="K706" s="49">
        <v>71.462457292739998</v>
      </c>
      <c r="L706" s="49">
        <v>2.5039500000000001</v>
      </c>
      <c r="M706" s="49">
        <v>2.9768983859999998</v>
      </c>
      <c r="N706" s="49">
        <v>1.944033916</v>
      </c>
      <c r="O706" s="49">
        <v>2.8355024763899999</v>
      </c>
      <c r="P706" s="49">
        <v>3.95</v>
      </c>
      <c r="Q706" s="49">
        <v>1.7515074291699999</v>
      </c>
      <c r="R706" s="49">
        <v>2.8050000000000002</v>
      </c>
      <c r="S706" s="49">
        <v>1118.6300000000001</v>
      </c>
      <c r="T706" s="49">
        <v>1227.05</v>
      </c>
      <c r="U706" s="49">
        <v>1604.08</v>
      </c>
      <c r="V706" s="49">
        <v>1435.63</v>
      </c>
      <c r="W706" s="49">
        <v>706.19</v>
      </c>
      <c r="X706" s="49">
        <v>1016.19</v>
      </c>
      <c r="Y706" s="49">
        <v>430.11</v>
      </c>
      <c r="Z706" s="49">
        <v>836.68</v>
      </c>
      <c r="AA706" s="49">
        <v>445.36</v>
      </c>
      <c r="AB706" s="49">
        <v>800.24</v>
      </c>
      <c r="AC706" s="49">
        <v>800.91</v>
      </c>
      <c r="AD706" s="49">
        <v>130.89931250000001</v>
      </c>
      <c r="AE706" s="49">
        <v>171.99879200000001</v>
      </c>
      <c r="AF706" s="49">
        <v>181.219764</v>
      </c>
      <c r="AG706" s="49">
        <v>430</v>
      </c>
      <c r="AH706" s="49">
        <v>418</v>
      </c>
      <c r="AI706" s="49">
        <v>403.5</v>
      </c>
      <c r="AJ706" s="49">
        <v>409.92</v>
      </c>
      <c r="AK706" s="49">
        <v>198.860416407</v>
      </c>
      <c r="AL706" s="49">
        <v>192.16939410000001</v>
      </c>
      <c r="AM706" s="49">
        <v>1.1122749168499999</v>
      </c>
      <c r="AN706" s="49">
        <v>1.1643149374999999</v>
      </c>
      <c r="AO706" s="49">
        <v>0.73516675427</v>
      </c>
      <c r="AP706" s="49">
        <v>4.4394432940000002</v>
      </c>
      <c r="AQ706" s="49">
        <v>2.2010374924999998</v>
      </c>
      <c r="AR706" s="49">
        <v>8.0520999999999994</v>
      </c>
      <c r="AS706" s="49">
        <v>12.786796000000001</v>
      </c>
      <c r="AT706" s="49">
        <v>0.402779104</v>
      </c>
      <c r="AU706" s="49">
        <v>0.54520252599999997</v>
      </c>
      <c r="AV706" s="49">
        <v>0.27513657600000002</v>
      </c>
      <c r="AW706" s="49">
        <v>4741.4916666666704</v>
      </c>
      <c r="AX706" s="49">
        <v>431.69</v>
      </c>
      <c r="AY706" s="49">
        <v>280.71837835846998</v>
      </c>
      <c r="AZ706" s="49">
        <v>669.37623545038002</v>
      </c>
      <c r="BA706" s="49">
        <v>761.36500000000001</v>
      </c>
      <c r="BB706" s="49">
        <v>514.90061888143998</v>
      </c>
      <c r="BC706" s="49">
        <v>2.0313368679999999</v>
      </c>
      <c r="BD706" s="49">
        <v>1.4404999999999999</v>
      </c>
      <c r="BE706" s="49">
        <v>1.7579</v>
      </c>
      <c r="BF706" s="49">
        <v>84.7</v>
      </c>
      <c r="BG706" s="49">
        <v>378</v>
      </c>
      <c r="BH706" s="49">
        <v>324</v>
      </c>
      <c r="BI706" s="49">
        <v>232.5</v>
      </c>
      <c r="BJ706" s="49">
        <v>215.5</v>
      </c>
      <c r="BK706" s="49">
        <v>2069.2399999999998</v>
      </c>
      <c r="BL706" s="49">
        <v>70.349999999999994</v>
      </c>
      <c r="BM706" s="49">
        <v>6799.18</v>
      </c>
      <c r="BN706" s="49">
        <v>2390</v>
      </c>
      <c r="BO706" s="49">
        <v>21211.94</v>
      </c>
      <c r="BP706" s="49">
        <v>13392.5</v>
      </c>
      <c r="BQ706" s="49">
        <v>3269.18</v>
      </c>
      <c r="BR706" s="49">
        <v>1324.66</v>
      </c>
      <c r="BS706" s="49">
        <v>954.57</v>
      </c>
      <c r="BT706" s="49">
        <v>16.472999999999999</v>
      </c>
    </row>
    <row r="707" spans="1:72" s="41" customFormat="1" ht="15" customHeight="1">
      <c r="A707" s="41" t="s">
        <v>1305</v>
      </c>
      <c r="B707" s="51">
        <v>68.793333333329997</v>
      </c>
      <c r="C707" s="51">
        <v>71.63</v>
      </c>
      <c r="D707" s="51">
        <v>68.430000000000007</v>
      </c>
      <c r="E707" s="51">
        <v>66.319999999999993</v>
      </c>
      <c r="F707" s="51">
        <v>93.69</v>
      </c>
      <c r="G707" s="51">
        <v>92.32</v>
      </c>
      <c r="H707" s="51">
        <v>2.7791000000000001</v>
      </c>
      <c r="I707" s="51">
        <v>6.9278582024200004</v>
      </c>
      <c r="J707" s="51">
        <v>10.09046974822</v>
      </c>
      <c r="K707" s="51">
        <v>73.518728054999997</v>
      </c>
      <c r="L707" s="51">
        <v>2.6247400000000001</v>
      </c>
      <c r="M707" s="51">
        <v>2.9616865080000001</v>
      </c>
      <c r="N707" s="51">
        <v>1.9468999220000001</v>
      </c>
      <c r="O707" s="51">
        <v>2.9478436449799998</v>
      </c>
      <c r="P707" s="51">
        <v>3.88</v>
      </c>
      <c r="Q707" s="51">
        <v>2.27853093494</v>
      </c>
      <c r="R707" s="51">
        <v>2.6850000000000001</v>
      </c>
      <c r="S707" s="51">
        <v>1131.18</v>
      </c>
      <c r="T707" s="51">
        <v>1379.76</v>
      </c>
      <c r="U707" s="51">
        <v>1577.89</v>
      </c>
      <c r="V707" s="51">
        <v>1444.03</v>
      </c>
      <c r="W707" s="51">
        <v>701.18</v>
      </c>
      <c r="X707" s="51">
        <v>1006.71</v>
      </c>
      <c r="Y707" s="51">
        <v>439.07</v>
      </c>
      <c r="Z707" s="51">
        <v>831.85</v>
      </c>
      <c r="AA707" s="51">
        <v>461.62</v>
      </c>
      <c r="AB707" s="51">
        <v>793.31</v>
      </c>
      <c r="AC707" s="51">
        <v>799.33</v>
      </c>
      <c r="AD707" s="51">
        <v>130.89931250000001</v>
      </c>
      <c r="AE707" s="51">
        <v>175.6049008</v>
      </c>
      <c r="AF707" s="51">
        <v>178.57422</v>
      </c>
      <c r="AG707" s="51">
        <v>451</v>
      </c>
      <c r="AH707" s="51">
        <v>436</v>
      </c>
      <c r="AI707" s="51">
        <v>430.24</v>
      </c>
      <c r="AJ707" s="51">
        <v>413.43</v>
      </c>
      <c r="AK707" s="51">
        <v>198.79427780099999</v>
      </c>
      <c r="AL707" s="51">
        <v>213.84815939999999</v>
      </c>
      <c r="AM707" s="51">
        <v>1.1131894896800001</v>
      </c>
      <c r="AN707" s="51">
        <v>1.1574255</v>
      </c>
      <c r="AO707" s="51">
        <v>0.75833577415999998</v>
      </c>
      <c r="AP707" s="51">
        <v>4.37837532</v>
      </c>
      <c r="AQ707" s="51">
        <v>2.3624707919999999</v>
      </c>
      <c r="AR707" s="51">
        <v>8.3827999999999996</v>
      </c>
      <c r="AS707" s="51">
        <v>12.82868378</v>
      </c>
      <c r="AT707" s="51">
        <v>0.400950368</v>
      </c>
      <c r="AU707" s="51">
        <v>0.54939130400000002</v>
      </c>
      <c r="AV707" s="51">
        <v>0.26521578600000001</v>
      </c>
      <c r="AW707" s="51">
        <v>4842.1000000000004</v>
      </c>
      <c r="AX707" s="51">
        <v>429.73</v>
      </c>
      <c r="AY707" s="51">
        <v>276.70028836245001</v>
      </c>
      <c r="AZ707" s="51">
        <v>674.35942288679996</v>
      </c>
      <c r="BA707" s="51">
        <v>767.03300000000002</v>
      </c>
      <c r="BB707" s="51">
        <v>507.53053845503001</v>
      </c>
      <c r="BC707" s="51">
        <v>2.033541488</v>
      </c>
      <c r="BD707" s="51">
        <v>1.3914</v>
      </c>
      <c r="BE707" s="51">
        <v>1.7318</v>
      </c>
      <c r="BF707" s="51">
        <v>88</v>
      </c>
      <c r="BG707" s="51">
        <v>384.75</v>
      </c>
      <c r="BH707" s="51">
        <v>325</v>
      </c>
      <c r="BI707" s="51">
        <v>230.625</v>
      </c>
      <c r="BJ707" s="51">
        <v>215.5</v>
      </c>
      <c r="BK707" s="51">
        <v>2254.69</v>
      </c>
      <c r="BL707" s="51">
        <v>65.75</v>
      </c>
      <c r="BM707" s="51">
        <v>6851.51</v>
      </c>
      <c r="BN707" s="51">
        <v>2352.41</v>
      </c>
      <c r="BO707" s="51">
        <v>21291.1</v>
      </c>
      <c r="BP707" s="51">
        <v>13938.1</v>
      </c>
      <c r="BQ707" s="51">
        <v>3188.05</v>
      </c>
      <c r="BR707" s="51">
        <v>1334.76</v>
      </c>
      <c r="BS707" s="51">
        <v>924.05</v>
      </c>
      <c r="BT707" s="51">
        <v>16.648</v>
      </c>
    </row>
    <row r="708" spans="1:72" s="41" customFormat="1" ht="15" customHeight="1">
      <c r="A708" s="48" t="s">
        <v>1306</v>
      </c>
      <c r="B708" s="49">
        <v>73.430000000000007</v>
      </c>
      <c r="C708" s="49">
        <v>76.650000000000006</v>
      </c>
      <c r="D708" s="49">
        <v>73.66</v>
      </c>
      <c r="E708" s="49">
        <v>69.98</v>
      </c>
      <c r="F708" s="49">
        <v>105.29</v>
      </c>
      <c r="G708" s="49">
        <v>101.89</v>
      </c>
      <c r="H708" s="49">
        <v>2.7972000000000001</v>
      </c>
      <c r="I708" s="49">
        <v>7.4873540573200001</v>
      </c>
      <c r="J708" s="49">
        <v>10.25151696204</v>
      </c>
      <c r="K708" s="49">
        <v>76.507459487579993</v>
      </c>
      <c r="L708" s="49">
        <v>2.6599400000000002</v>
      </c>
      <c r="M708" s="49">
        <v>2.9896851820000001</v>
      </c>
      <c r="N708" s="49">
        <v>1.956379788</v>
      </c>
      <c r="O708" s="49">
        <v>3.0204523658700002</v>
      </c>
      <c r="P708" s="49">
        <v>3.76</v>
      </c>
      <c r="Q708" s="49">
        <v>2.6863570976100002</v>
      </c>
      <c r="R708" s="49">
        <v>2.6150000000000002</v>
      </c>
      <c r="S708" s="49">
        <v>1027.75</v>
      </c>
      <c r="T708" s="49">
        <v>1450</v>
      </c>
      <c r="U708" s="49">
        <v>1513.28</v>
      </c>
      <c r="V708" s="49">
        <v>1444.03</v>
      </c>
      <c r="W708" s="49">
        <v>687.15</v>
      </c>
      <c r="X708" s="49">
        <v>935.25</v>
      </c>
      <c r="Y708" s="49">
        <v>430.32</v>
      </c>
      <c r="Z708" s="49">
        <v>793.25</v>
      </c>
      <c r="AA708" s="49">
        <v>459.17</v>
      </c>
      <c r="AB708" s="49">
        <v>811.49</v>
      </c>
      <c r="AC708" s="49">
        <v>801.32</v>
      </c>
      <c r="AD708" s="49">
        <v>130.89931250000001</v>
      </c>
      <c r="AE708" s="49">
        <v>179.08503200000001</v>
      </c>
      <c r="AF708" s="49">
        <v>178.57422</v>
      </c>
      <c r="AG708" s="49">
        <v>451</v>
      </c>
      <c r="AH708" s="49">
        <v>436</v>
      </c>
      <c r="AI708" s="49">
        <v>431.76</v>
      </c>
      <c r="AJ708" s="49">
        <v>419</v>
      </c>
      <c r="AK708" s="49">
        <v>209.94965601300001</v>
      </c>
      <c r="AL708" s="49">
        <v>213.84815939999999</v>
      </c>
      <c r="AM708" s="49">
        <v>0.96277169113000005</v>
      </c>
      <c r="AN708" s="49">
        <v>1.1505360625000001</v>
      </c>
      <c r="AO708" s="49">
        <v>0.87851845264999995</v>
      </c>
      <c r="AP708" s="49">
        <v>4.3199528899999997</v>
      </c>
      <c r="AQ708" s="49">
        <v>2.6499532399999999</v>
      </c>
      <c r="AR708" s="49">
        <v>8.1872000000000007</v>
      </c>
      <c r="AS708" s="49">
        <v>12.897027</v>
      </c>
      <c r="AT708" s="49">
        <v>0.38615719999999998</v>
      </c>
      <c r="AU708" s="49">
        <v>0.54233651999999999</v>
      </c>
      <c r="AV708" s="49">
        <v>0.27227056999999999</v>
      </c>
      <c r="AW708" s="49">
        <v>4906.8583333333299</v>
      </c>
      <c r="AX708" s="49">
        <v>413.875</v>
      </c>
      <c r="AY708" s="49">
        <v>271.37815884153002</v>
      </c>
      <c r="AZ708" s="49">
        <v>645.80192565498999</v>
      </c>
      <c r="BA708" s="49">
        <v>734.55100000000004</v>
      </c>
      <c r="BB708" s="49">
        <v>497.76855635712002</v>
      </c>
      <c r="BC708" s="49">
        <v>2.0829249760000002</v>
      </c>
      <c r="BD708" s="49">
        <v>1.4392</v>
      </c>
      <c r="BE708" s="49">
        <v>1.6959</v>
      </c>
      <c r="BF708" s="49">
        <v>88</v>
      </c>
      <c r="BG708" s="49">
        <v>384.375</v>
      </c>
      <c r="BH708" s="49">
        <v>326</v>
      </c>
      <c r="BI708" s="49">
        <v>221.875</v>
      </c>
      <c r="BJ708" s="49">
        <v>215.5</v>
      </c>
      <c r="BK708" s="49">
        <v>2299.67</v>
      </c>
      <c r="BL708" s="49">
        <v>66.099999999999994</v>
      </c>
      <c r="BM708" s="49">
        <v>6825.27</v>
      </c>
      <c r="BN708" s="49">
        <v>2360.9299999999998</v>
      </c>
      <c r="BO708" s="49">
        <v>20858.830000000002</v>
      </c>
      <c r="BP708" s="49">
        <v>14366.49</v>
      </c>
      <c r="BQ708" s="49">
        <v>3059.87</v>
      </c>
      <c r="BR708" s="49">
        <v>1303.45</v>
      </c>
      <c r="BS708" s="49">
        <v>904.73</v>
      </c>
      <c r="BT708" s="49">
        <v>16.489999999999998</v>
      </c>
    </row>
    <row r="709" spans="1:72" s="41" customFormat="1" ht="15" customHeight="1">
      <c r="A709" s="41" t="s">
        <v>1307</v>
      </c>
      <c r="B709" s="51">
        <v>71.976666666669999</v>
      </c>
      <c r="C709" s="51">
        <v>75.19</v>
      </c>
      <c r="D709" s="51">
        <v>73.22</v>
      </c>
      <c r="E709" s="51">
        <v>67.52</v>
      </c>
      <c r="F709" s="51">
        <v>114.33</v>
      </c>
      <c r="G709" s="51">
        <v>103.88</v>
      </c>
      <c r="H709" s="51">
        <v>2.9523000000000001</v>
      </c>
      <c r="I709" s="51">
        <v>7.4489428440400003</v>
      </c>
      <c r="J709" s="51">
        <v>10.44298762979</v>
      </c>
      <c r="K709" s="51">
        <v>78.338011034039994</v>
      </c>
      <c r="L709" s="51">
        <v>2.4107599999999998</v>
      </c>
      <c r="M709" s="51">
        <v>2.9548521860000001</v>
      </c>
      <c r="N709" s="51">
        <v>1.8975164339999999</v>
      </c>
      <c r="O709" s="51">
        <v>2.8678030204299998</v>
      </c>
      <c r="P709" s="51">
        <v>3.39</v>
      </c>
      <c r="Q709" s="51">
        <v>2.6900757279700001</v>
      </c>
      <c r="R709" s="51">
        <v>2.5233333333300001</v>
      </c>
      <c r="S709" s="51">
        <v>931.19</v>
      </c>
      <c r="T709" s="51">
        <v>1503.33</v>
      </c>
      <c r="U709" s="51">
        <v>1494.49</v>
      </c>
      <c r="V709" s="51">
        <v>1461.87</v>
      </c>
      <c r="W709" s="51">
        <v>656.5</v>
      </c>
      <c r="X709" s="51">
        <v>865.71</v>
      </c>
      <c r="Y709" s="51">
        <v>394.44</v>
      </c>
      <c r="Z709" s="51">
        <v>788.57</v>
      </c>
      <c r="AA709" s="51">
        <v>421.33</v>
      </c>
      <c r="AB709" s="51">
        <v>838.02</v>
      </c>
      <c r="AC709" s="51">
        <v>775</v>
      </c>
      <c r="AD709" s="51">
        <v>130.89931250000001</v>
      </c>
      <c r="AE709" s="51">
        <v>165.07002399999999</v>
      </c>
      <c r="AF709" s="51">
        <v>161.929339</v>
      </c>
      <c r="AG709" s="51">
        <v>427</v>
      </c>
      <c r="AH709" s="51">
        <v>415</v>
      </c>
      <c r="AI709" s="51">
        <v>408.6</v>
      </c>
      <c r="AJ709" s="51">
        <v>443.1</v>
      </c>
      <c r="AK709" s="51">
        <v>206.003385855</v>
      </c>
      <c r="AL709" s="51">
        <v>219.35970990000001</v>
      </c>
      <c r="AM709" s="51">
        <v>0.91772205890000003</v>
      </c>
      <c r="AN709" s="51">
        <v>1.1574255</v>
      </c>
      <c r="AO709" s="51">
        <v>0.84201931174</v>
      </c>
      <c r="AP709" s="51">
        <v>4.2438935000000004</v>
      </c>
      <c r="AQ709" s="51">
        <v>2.7227057000000001</v>
      </c>
      <c r="AR709" s="51">
        <v>7.8263999999999996</v>
      </c>
      <c r="AS709" s="51">
        <v>12.53987856</v>
      </c>
      <c r="AT709" s="51">
        <v>0.38142208</v>
      </c>
      <c r="AU709" s="51">
        <v>0.56702826399999995</v>
      </c>
      <c r="AV709" s="51">
        <v>0.27557749999999998</v>
      </c>
      <c r="AW709" s="51">
        <v>4932.7916666666697</v>
      </c>
      <c r="AX709" s="51">
        <v>408.8</v>
      </c>
      <c r="AY709" s="51">
        <v>270.58883861947999</v>
      </c>
      <c r="AZ709" s="51">
        <v>636.79385605838002</v>
      </c>
      <c r="BA709" s="51">
        <v>724.30499999999995</v>
      </c>
      <c r="BB709" s="51">
        <v>496.32076560966999</v>
      </c>
      <c r="BC709" s="51">
        <v>2.1541342019999998</v>
      </c>
      <c r="BD709" s="51">
        <v>1.3806</v>
      </c>
      <c r="BE709" s="51">
        <v>1.5603</v>
      </c>
      <c r="BF709" s="51">
        <v>86.8</v>
      </c>
      <c r="BG709" s="51">
        <v>391.6</v>
      </c>
      <c r="BH709" s="51">
        <v>335.2</v>
      </c>
      <c r="BI709" s="51">
        <v>224</v>
      </c>
      <c r="BJ709" s="51">
        <v>215.5</v>
      </c>
      <c r="BK709" s="51">
        <v>2237.62</v>
      </c>
      <c r="BL709" s="51">
        <v>65.040000000000006</v>
      </c>
      <c r="BM709" s="51">
        <v>6965.86</v>
      </c>
      <c r="BN709" s="51">
        <v>2436.29</v>
      </c>
      <c r="BO709" s="51">
        <v>20660.52</v>
      </c>
      <c r="BP709" s="51">
        <v>15105.65</v>
      </c>
      <c r="BQ709" s="51">
        <v>3088.57</v>
      </c>
      <c r="BR709" s="51">
        <v>1281.57</v>
      </c>
      <c r="BS709" s="51">
        <v>884.9</v>
      </c>
      <c r="BT709" s="51">
        <v>16.541</v>
      </c>
    </row>
    <row r="710" spans="1:72" s="41" customFormat="1" ht="15" customHeight="1">
      <c r="A710" s="48" t="s">
        <v>1308</v>
      </c>
      <c r="B710" s="49">
        <v>72.666666666669997</v>
      </c>
      <c r="C710" s="49">
        <v>74.44</v>
      </c>
      <c r="D710" s="49">
        <v>72.72</v>
      </c>
      <c r="E710" s="49">
        <v>70.84</v>
      </c>
      <c r="F710" s="49">
        <v>119.57</v>
      </c>
      <c r="G710" s="49">
        <v>106.02</v>
      </c>
      <c r="H710" s="49">
        <v>2.8250999999999999</v>
      </c>
      <c r="I710" s="49">
        <v>7.5988392302500003</v>
      </c>
      <c r="J710" s="49">
        <v>10.44079690313</v>
      </c>
      <c r="K710" s="49">
        <v>77.504493068749994</v>
      </c>
      <c r="L710" s="49">
        <v>2.3570500000000001</v>
      </c>
      <c r="M710" s="49">
        <v>2.8792337200000002</v>
      </c>
      <c r="N710" s="49">
        <v>1.861140204</v>
      </c>
      <c r="O710" s="49">
        <v>2.8885424474299999</v>
      </c>
      <c r="P710" s="49">
        <v>3.41</v>
      </c>
      <c r="Q710" s="49">
        <v>2.76362734228</v>
      </c>
      <c r="R710" s="49">
        <v>2.492</v>
      </c>
      <c r="S710" s="49">
        <v>916.25</v>
      </c>
      <c r="T710" s="49">
        <v>1450.91</v>
      </c>
      <c r="U710" s="49">
        <v>1496.33</v>
      </c>
      <c r="V710" s="49">
        <v>1477.1</v>
      </c>
      <c r="W710" s="49">
        <v>616.14</v>
      </c>
      <c r="X710" s="49">
        <v>877.16</v>
      </c>
      <c r="Y710" s="49">
        <v>377.17</v>
      </c>
      <c r="Z710" s="49">
        <v>780.45</v>
      </c>
      <c r="AA710" s="49">
        <v>406.64</v>
      </c>
      <c r="AB710" s="49">
        <v>848.61</v>
      </c>
      <c r="AC710" s="49">
        <v>780.05</v>
      </c>
      <c r="AD710" s="49">
        <v>130.89931250000001</v>
      </c>
      <c r="AE710" s="49">
        <v>156.4602424</v>
      </c>
      <c r="AF710" s="49">
        <v>147.48907800000001</v>
      </c>
      <c r="AG710" s="49">
        <v>398</v>
      </c>
      <c r="AH710" s="49">
        <v>390</v>
      </c>
      <c r="AI710" s="49">
        <v>382.73</v>
      </c>
      <c r="AJ710" s="49">
        <v>440.65</v>
      </c>
      <c r="AK710" s="49">
        <v>206.933000706</v>
      </c>
      <c r="AL710" s="49">
        <v>218.2573998</v>
      </c>
      <c r="AM710" s="49">
        <v>0.87657654689999998</v>
      </c>
      <c r="AN710" s="49">
        <v>1.1367571875</v>
      </c>
      <c r="AO710" s="49">
        <v>0.88772258384000002</v>
      </c>
      <c r="AP710" s="49">
        <v>4.1883370759999998</v>
      </c>
      <c r="AQ710" s="49">
        <v>2.53200607</v>
      </c>
      <c r="AR710" s="49">
        <v>7.8263999999999996</v>
      </c>
      <c r="AS710" s="49">
        <v>12.235640999999999</v>
      </c>
      <c r="AT710" s="49">
        <v>0.38145473600000002</v>
      </c>
      <c r="AU710" s="49">
        <v>0.56305994800000003</v>
      </c>
      <c r="AV710" s="49">
        <v>0.25838146400000001</v>
      </c>
      <c r="AW710" s="49">
        <v>4927.6000000000004</v>
      </c>
      <c r="AX710" s="49">
        <v>408.83499999999998</v>
      </c>
      <c r="AY710" s="49">
        <v>267.02111422473001</v>
      </c>
      <c r="AZ710" s="49">
        <v>631.04402440095998</v>
      </c>
      <c r="BA710" s="49">
        <v>717.76499999999999</v>
      </c>
      <c r="BB710" s="49">
        <v>489.77675695019002</v>
      </c>
      <c r="BC710" s="49">
        <v>2.1204035160000001</v>
      </c>
      <c r="BD710" s="49">
        <v>1.3111999999999999</v>
      </c>
      <c r="BE710" s="49">
        <v>1.4653</v>
      </c>
      <c r="BF710" s="49">
        <v>86.88</v>
      </c>
      <c r="BG710" s="49">
        <v>400.75</v>
      </c>
      <c r="BH710" s="49">
        <v>344.25</v>
      </c>
      <c r="BI710" s="49">
        <v>252.5</v>
      </c>
      <c r="BJ710" s="49">
        <v>215.5</v>
      </c>
      <c r="BK710" s="49">
        <v>2082.2399999999998</v>
      </c>
      <c r="BL710" s="49">
        <v>64.56</v>
      </c>
      <c r="BM710" s="49">
        <v>6250.75</v>
      </c>
      <c r="BN710" s="49">
        <v>2207.02</v>
      </c>
      <c r="BO710" s="49">
        <v>19729.8</v>
      </c>
      <c r="BP710" s="49">
        <v>13793.86</v>
      </c>
      <c r="BQ710" s="49">
        <v>2656.13</v>
      </c>
      <c r="BR710" s="49">
        <v>1237.71</v>
      </c>
      <c r="BS710" s="49">
        <v>832</v>
      </c>
      <c r="BT710" s="49">
        <v>15.723000000000001</v>
      </c>
    </row>
    <row r="711" spans="1:72" s="41" customFormat="1" ht="15" customHeight="1">
      <c r="A711" s="41" t="s">
        <v>1309</v>
      </c>
      <c r="B711" s="51">
        <v>71.083333333330003</v>
      </c>
      <c r="C711" s="51">
        <v>73.13</v>
      </c>
      <c r="D711" s="51">
        <v>72.13</v>
      </c>
      <c r="E711" s="51">
        <v>67.989999999999995</v>
      </c>
      <c r="F711" s="51">
        <v>117.34</v>
      </c>
      <c r="G711" s="51">
        <v>98.48</v>
      </c>
      <c r="H711" s="51">
        <v>2.9571999999999998</v>
      </c>
      <c r="I711" s="51">
        <v>8.0849099384399992</v>
      </c>
      <c r="J711" s="51">
        <v>10.875000000069999</v>
      </c>
      <c r="K711" s="51">
        <v>81.71356939636</v>
      </c>
      <c r="L711" s="51">
        <v>2.1716099999999998</v>
      </c>
      <c r="M711" s="51">
        <v>2.7604047020000002</v>
      </c>
      <c r="N711" s="51">
        <v>1.7800101880000001</v>
      </c>
      <c r="O711" s="51">
        <v>2.7741047282300002</v>
      </c>
      <c r="P711" s="51">
        <v>3.34</v>
      </c>
      <c r="Q711" s="51">
        <v>2.5873141846799999</v>
      </c>
      <c r="R711" s="51">
        <v>2.395</v>
      </c>
      <c r="S711" s="51">
        <v>915.22</v>
      </c>
      <c r="T711" s="51">
        <v>1405.45</v>
      </c>
      <c r="U711" s="51">
        <v>1475.4</v>
      </c>
      <c r="V711" s="51">
        <v>1477.1</v>
      </c>
      <c r="W711" s="51">
        <v>614.75</v>
      </c>
      <c r="X711" s="51">
        <v>900.22</v>
      </c>
      <c r="Y711" s="51">
        <v>376.77</v>
      </c>
      <c r="Z711" s="51">
        <v>761.82</v>
      </c>
      <c r="AA711" s="51">
        <v>388.04</v>
      </c>
      <c r="AB711" s="51">
        <v>853.67</v>
      </c>
      <c r="AC711" s="51">
        <v>763.23</v>
      </c>
      <c r="AD711" s="51">
        <v>127.68424166667</v>
      </c>
      <c r="AE711" s="51">
        <v>162.37331599999999</v>
      </c>
      <c r="AF711" s="51">
        <v>165.56696199999999</v>
      </c>
      <c r="AG711" s="51">
        <v>405</v>
      </c>
      <c r="AH711" s="51">
        <v>393</v>
      </c>
      <c r="AI711" s="51">
        <v>393.5</v>
      </c>
      <c r="AJ711" s="51">
        <v>401.56</v>
      </c>
      <c r="AK711" s="51">
        <v>217.43801595900001</v>
      </c>
      <c r="AL711" s="51">
        <v>236.62923480000001</v>
      </c>
      <c r="AM711" s="51">
        <v>0.84337054668</v>
      </c>
      <c r="AN711" s="51">
        <v>1.1091994375000001</v>
      </c>
      <c r="AO711" s="51">
        <v>0.84313015516000001</v>
      </c>
      <c r="AP711" s="51">
        <v>4.1144823060000002</v>
      </c>
      <c r="AQ711" s="51">
        <v>2.2211546499999999</v>
      </c>
      <c r="AR711" s="51">
        <v>7.8263999999999996</v>
      </c>
      <c r="AS711" s="51">
        <v>12.015179</v>
      </c>
      <c r="AT711" s="51">
        <v>0.37704617600000001</v>
      </c>
      <c r="AU711" s="51">
        <v>0.56438272</v>
      </c>
      <c r="AV711" s="51">
        <v>0.24449235799999999</v>
      </c>
      <c r="AW711" s="51">
        <v>4983.9166666666697</v>
      </c>
      <c r="AX711" s="51">
        <v>404.11</v>
      </c>
      <c r="AY711" s="51">
        <v>268.10324229931001</v>
      </c>
      <c r="AZ711" s="51">
        <v>617.00485210412</v>
      </c>
      <c r="BA711" s="51">
        <v>701.79650000000004</v>
      </c>
      <c r="BB711" s="51">
        <v>491.76162313019</v>
      </c>
      <c r="BC711" s="51">
        <v>2.0844682099999998</v>
      </c>
      <c r="BD711" s="51">
        <v>1.3399000000000001</v>
      </c>
      <c r="BE711" s="51">
        <v>1.4738</v>
      </c>
      <c r="BF711" s="51">
        <v>87.5</v>
      </c>
      <c r="BG711" s="51">
        <v>409</v>
      </c>
      <c r="BH711" s="51">
        <v>357.6</v>
      </c>
      <c r="BI711" s="51">
        <v>260</v>
      </c>
      <c r="BJ711" s="51">
        <v>215.5</v>
      </c>
      <c r="BK711" s="51">
        <v>2051.5100000000002</v>
      </c>
      <c r="BL711" s="51">
        <v>67.150000000000006</v>
      </c>
      <c r="BM711" s="51">
        <v>6051.05</v>
      </c>
      <c r="BN711" s="51">
        <v>2053.5300000000002</v>
      </c>
      <c r="BO711" s="51">
        <v>19228.77</v>
      </c>
      <c r="BP711" s="51">
        <v>13411.35</v>
      </c>
      <c r="BQ711" s="51">
        <v>2512</v>
      </c>
      <c r="BR711" s="51">
        <v>1201.71</v>
      </c>
      <c r="BS711" s="51">
        <v>804.91</v>
      </c>
      <c r="BT711" s="51">
        <v>14.987</v>
      </c>
    </row>
    <row r="712" spans="1:72" s="41" customFormat="1" ht="15" customHeight="1">
      <c r="A712" s="48" t="s">
        <v>1316</v>
      </c>
      <c r="B712" s="49">
        <v>75.363333333330004</v>
      </c>
      <c r="C712" s="49">
        <v>78.86</v>
      </c>
      <c r="D712" s="49">
        <v>77.02</v>
      </c>
      <c r="E712" s="49">
        <v>70.209999999999994</v>
      </c>
      <c r="F712" s="49">
        <v>114.16</v>
      </c>
      <c r="G712" s="49">
        <v>102.14</v>
      </c>
      <c r="H712" s="49">
        <v>2.9847000000000001</v>
      </c>
      <c r="I712" s="49">
        <v>9.5215770312100005</v>
      </c>
      <c r="J712" s="49">
        <v>11.30331690113</v>
      </c>
      <c r="K712" s="49">
        <v>89.167570014020001</v>
      </c>
      <c r="L712" s="49">
        <v>2.19489</v>
      </c>
      <c r="M712" s="49">
        <v>2.6715585160000002</v>
      </c>
      <c r="N712" s="49">
        <v>1.6909435399999999</v>
      </c>
      <c r="O712" s="49">
        <v>2.67161271274</v>
      </c>
      <c r="P712" s="49">
        <v>3.25</v>
      </c>
      <c r="Q712" s="49">
        <v>2.3523381382199999</v>
      </c>
      <c r="R712" s="49">
        <v>2.4125000000000001</v>
      </c>
      <c r="S712" s="49">
        <v>897.13</v>
      </c>
      <c r="T712" s="49">
        <v>1380</v>
      </c>
      <c r="U712" s="49">
        <v>1492.69</v>
      </c>
      <c r="V712" s="49">
        <v>1442.29</v>
      </c>
      <c r="W712" s="49">
        <v>605.15</v>
      </c>
      <c r="X712" s="49">
        <v>865.63</v>
      </c>
      <c r="Y712" s="49">
        <v>356.87</v>
      </c>
      <c r="Z712" s="49">
        <v>754.05</v>
      </c>
      <c r="AA712" s="49">
        <v>377.15</v>
      </c>
      <c r="AB712" s="49">
        <v>821.47</v>
      </c>
      <c r="AC712" s="49">
        <v>733.95</v>
      </c>
      <c r="AD712" s="49">
        <v>119.41691666667001</v>
      </c>
      <c r="AE712" s="49">
        <v>154.8028496</v>
      </c>
      <c r="AF712" s="49">
        <v>163.58280400000001</v>
      </c>
      <c r="AG712" s="49">
        <v>405</v>
      </c>
      <c r="AH712" s="49">
        <v>393</v>
      </c>
      <c r="AI712" s="49">
        <v>395.35</v>
      </c>
      <c r="AJ712" s="49">
        <v>384.65</v>
      </c>
      <c r="AK712" s="49">
        <v>202.049766963</v>
      </c>
      <c r="AL712" s="49">
        <v>212.37841259999999</v>
      </c>
      <c r="AM712" s="49">
        <v>0.88528441698000004</v>
      </c>
      <c r="AN712" s="49">
        <v>1.11264415625</v>
      </c>
      <c r="AO712" s="49">
        <v>0.79996595373000001</v>
      </c>
      <c r="AP712" s="49">
        <v>4.010424242</v>
      </c>
      <c r="AQ712" s="49">
        <v>2.0282504000000001</v>
      </c>
      <c r="AR712" s="49">
        <v>7.8263999999999996</v>
      </c>
      <c r="AS712" s="49">
        <v>11.532367219999999</v>
      </c>
      <c r="AT712" s="49">
        <v>0.38073630400000003</v>
      </c>
      <c r="AU712" s="49">
        <v>0.55997348000000002</v>
      </c>
      <c r="AV712" s="49">
        <v>0.25066529399999998</v>
      </c>
      <c r="AW712" s="49">
        <v>4973.9583333333303</v>
      </c>
      <c r="AX712" s="49">
        <v>408.065</v>
      </c>
      <c r="AY712" s="49">
        <v>265.85268820250002</v>
      </c>
      <c r="AZ712" s="49">
        <v>625.48585379880001</v>
      </c>
      <c r="BA712" s="49">
        <v>711.44299999999998</v>
      </c>
      <c r="BB712" s="49">
        <v>487.63360093210002</v>
      </c>
      <c r="BC712" s="49">
        <v>1.9920946319999999</v>
      </c>
      <c r="BD712" s="49">
        <v>1.3341000000000001</v>
      </c>
      <c r="BE712" s="49">
        <v>1.4418</v>
      </c>
      <c r="BF712" s="49">
        <v>87.5</v>
      </c>
      <c r="BG712" s="49">
        <v>421.63</v>
      </c>
      <c r="BH712" s="49">
        <v>376.25</v>
      </c>
      <c r="BI712" s="49">
        <v>267.5</v>
      </c>
      <c r="BJ712" s="49">
        <v>215.5</v>
      </c>
      <c r="BK712" s="49">
        <v>2026.46</v>
      </c>
      <c r="BL712" s="49">
        <v>68.44</v>
      </c>
      <c r="BM712" s="49">
        <v>6050.76</v>
      </c>
      <c r="BN712" s="49">
        <v>2022.91</v>
      </c>
      <c r="BO712" s="49">
        <v>18967.13</v>
      </c>
      <c r="BP712" s="49">
        <v>12510.35</v>
      </c>
      <c r="BQ712" s="49">
        <v>2434.6799999999998</v>
      </c>
      <c r="BR712" s="49">
        <v>1198.3900000000001</v>
      </c>
      <c r="BS712" s="49">
        <v>804.79</v>
      </c>
      <c r="BT712" s="49">
        <v>14.272</v>
      </c>
    </row>
    <row r="713" spans="1:72" s="41" customFormat="1" ht="15" customHeight="1">
      <c r="A713" s="41" t="s">
        <v>1317</v>
      </c>
      <c r="B713" s="51">
        <v>76.726666666669999</v>
      </c>
      <c r="C713" s="51">
        <v>80.47</v>
      </c>
      <c r="D713" s="51">
        <v>78.959999999999994</v>
      </c>
      <c r="E713" s="51">
        <v>70.75</v>
      </c>
      <c r="F713" s="51">
        <v>108.73</v>
      </c>
      <c r="G713" s="51">
        <v>100.34</v>
      </c>
      <c r="H713" s="51">
        <v>3.2839999999999998</v>
      </c>
      <c r="I713" s="51">
        <v>8.7909607297400001</v>
      </c>
      <c r="J713" s="51">
        <v>11.66058023421</v>
      </c>
      <c r="K713" s="51">
        <v>89.570795616780003</v>
      </c>
      <c r="L713" s="51">
        <v>2.1341999999999999</v>
      </c>
      <c r="M713" s="51">
        <v>3.027825108</v>
      </c>
      <c r="N713" s="51">
        <v>1.880981784</v>
      </c>
      <c r="O713" s="51">
        <v>2.7366844304</v>
      </c>
      <c r="P713" s="51">
        <v>3.48</v>
      </c>
      <c r="Q713" s="51">
        <v>2.31405329121</v>
      </c>
      <c r="R713" s="51">
        <v>2.4159999999999999</v>
      </c>
      <c r="S713" s="51">
        <v>830.25</v>
      </c>
      <c r="T713" s="51">
        <v>1265.22</v>
      </c>
      <c r="U713" s="51">
        <v>1485.36</v>
      </c>
      <c r="V713" s="51">
        <v>1431.7</v>
      </c>
      <c r="W713" s="51">
        <v>589.79999999999995</v>
      </c>
      <c r="X713" s="51">
        <v>794.49</v>
      </c>
      <c r="Y713" s="51">
        <v>367.96</v>
      </c>
      <c r="Z713" s="51">
        <v>751.58</v>
      </c>
      <c r="AA713" s="51">
        <v>379.31</v>
      </c>
      <c r="AB713" s="51">
        <v>850.29</v>
      </c>
      <c r="AC713" s="51">
        <v>718.04</v>
      </c>
      <c r="AD713" s="51">
        <v>119.41691666667001</v>
      </c>
      <c r="AE713" s="51">
        <v>160.25531760000001</v>
      </c>
      <c r="AF713" s="51">
        <v>158.953102</v>
      </c>
      <c r="AG713" s="51">
        <v>409</v>
      </c>
      <c r="AH713" s="51">
        <v>397</v>
      </c>
      <c r="AI713" s="51">
        <v>390.39</v>
      </c>
      <c r="AJ713" s="51">
        <v>389.8</v>
      </c>
      <c r="AK713" s="51">
        <v>209.104551603</v>
      </c>
      <c r="AL713" s="51">
        <v>213.4807227</v>
      </c>
      <c r="AM713" s="51">
        <v>0.90741905669</v>
      </c>
      <c r="AN713" s="51">
        <v>1.1229783124999999</v>
      </c>
      <c r="AO713" s="51">
        <v>0.74955482141999996</v>
      </c>
      <c r="AP713" s="51">
        <v>3.864257936</v>
      </c>
      <c r="AQ713" s="51">
        <v>2.0282504000000001</v>
      </c>
      <c r="AR713" s="51">
        <v>7.8263999999999996</v>
      </c>
      <c r="AS713" s="51">
        <v>11.464024</v>
      </c>
      <c r="AT713" s="51">
        <v>0.37511947200000001</v>
      </c>
      <c r="AU713" s="51">
        <v>0.55578470199999996</v>
      </c>
      <c r="AV713" s="51">
        <v>0.292773536</v>
      </c>
      <c r="AW713" s="51">
        <v>4940.2250000000004</v>
      </c>
      <c r="AX713" s="51">
        <v>402.04500000000002</v>
      </c>
      <c r="AY713" s="51">
        <v>263.84989829758001</v>
      </c>
      <c r="AZ713" s="51">
        <v>623.52132798252001</v>
      </c>
      <c r="BA713" s="51">
        <v>709.20849999999996</v>
      </c>
      <c r="BB713" s="51">
        <v>483.96003396592999</v>
      </c>
      <c r="BC713" s="51">
        <v>1.9136101599999999</v>
      </c>
      <c r="BD713" s="51">
        <v>1.3171999999999999</v>
      </c>
      <c r="BE713" s="51">
        <v>1.4253</v>
      </c>
      <c r="BF713" s="51">
        <v>91.25</v>
      </c>
      <c r="BG713" s="51">
        <v>420.75</v>
      </c>
      <c r="BH713" s="51">
        <v>385</v>
      </c>
      <c r="BI713" s="51">
        <v>270</v>
      </c>
      <c r="BJ713" s="51">
        <v>215.5</v>
      </c>
      <c r="BK713" s="51">
        <v>2029.86</v>
      </c>
      <c r="BL713" s="51">
        <v>73.41</v>
      </c>
      <c r="BM713" s="51">
        <v>6219.59</v>
      </c>
      <c r="BN713" s="51">
        <v>1987.55</v>
      </c>
      <c r="BO713" s="51">
        <v>19121.48</v>
      </c>
      <c r="BP713" s="51">
        <v>12314.91</v>
      </c>
      <c r="BQ713" s="51">
        <v>2673.67</v>
      </c>
      <c r="BR713" s="51">
        <v>1215.3900000000001</v>
      </c>
      <c r="BS713" s="51">
        <v>829.87</v>
      </c>
      <c r="BT713" s="51">
        <v>14.597</v>
      </c>
    </row>
    <row r="714" spans="1:72" s="41" customFormat="1" ht="15" customHeight="1">
      <c r="A714" s="48" t="s">
        <v>1318</v>
      </c>
      <c r="B714" s="49">
        <v>62.316666666670002</v>
      </c>
      <c r="C714" s="49">
        <v>65.17</v>
      </c>
      <c r="D714" s="49">
        <v>65.11</v>
      </c>
      <c r="E714" s="49">
        <v>56.67</v>
      </c>
      <c r="F714" s="49">
        <v>100.73</v>
      </c>
      <c r="G714" s="49">
        <v>91.58</v>
      </c>
      <c r="H714" s="49">
        <v>4.1292999999999997</v>
      </c>
      <c r="I714" s="49">
        <v>8.2650790129100002</v>
      </c>
      <c r="J714" s="49">
        <v>11.700294621619999</v>
      </c>
      <c r="K714" s="49">
        <v>97.362467892140003</v>
      </c>
      <c r="L714" s="49">
        <v>2.1850399999999999</v>
      </c>
      <c r="M714" s="49">
        <v>3.0227544819999999</v>
      </c>
      <c r="N714" s="49">
        <v>1.841298624</v>
      </c>
      <c r="O714" s="49">
        <v>2.7017389015600002</v>
      </c>
      <c r="P714" s="49">
        <v>3.36</v>
      </c>
      <c r="Q714" s="49">
        <v>2.3877167046799999</v>
      </c>
      <c r="R714" s="49">
        <v>2.3574999999999999</v>
      </c>
      <c r="S714" s="49">
        <v>759.26</v>
      </c>
      <c r="T714" s="49">
        <v>1223.8599999999999</v>
      </c>
      <c r="U714" s="49">
        <v>1479.22</v>
      </c>
      <c r="V714" s="49">
        <v>1438.26</v>
      </c>
      <c r="W714" s="49">
        <v>539.1</v>
      </c>
      <c r="X714" s="49">
        <v>707.62</v>
      </c>
      <c r="Y714" s="49">
        <v>374.04</v>
      </c>
      <c r="Z714" s="49">
        <v>729.22</v>
      </c>
      <c r="AA714" s="49">
        <v>366.2</v>
      </c>
      <c r="AB714" s="49">
        <v>840.39</v>
      </c>
      <c r="AC714" s="49">
        <v>706.09</v>
      </c>
      <c r="AD714" s="49">
        <v>119.41691666667001</v>
      </c>
      <c r="AE714" s="49">
        <v>160.6883656</v>
      </c>
      <c r="AF714" s="49">
        <v>157.52009899999999</v>
      </c>
      <c r="AG714" s="49">
        <v>401</v>
      </c>
      <c r="AH714" s="49">
        <v>391</v>
      </c>
      <c r="AI714" s="49">
        <v>378.81</v>
      </c>
      <c r="AJ714" s="49">
        <v>395.73</v>
      </c>
      <c r="AK714" s="49">
        <v>210.84620156099999</v>
      </c>
      <c r="AL714" s="49">
        <v>203.55993179999999</v>
      </c>
      <c r="AM714" s="49">
        <v>0.86011716538000005</v>
      </c>
      <c r="AN714" s="49">
        <v>1.1229783124999999</v>
      </c>
      <c r="AO714" s="49">
        <v>0.73135814827000001</v>
      </c>
      <c r="AP714" s="49">
        <v>3.9464902620000002</v>
      </c>
      <c r="AQ714" s="49">
        <v>2.0282504000000001</v>
      </c>
      <c r="AR714" s="49">
        <v>7.4599000000000002</v>
      </c>
      <c r="AS714" s="49">
        <v>11.660235180000001</v>
      </c>
      <c r="AT714" s="49">
        <v>0.37103747199999998</v>
      </c>
      <c r="AU714" s="49">
        <v>0.55203684799999997</v>
      </c>
      <c r="AV714" s="49">
        <v>0.28439597999999999</v>
      </c>
      <c r="AW714" s="49">
        <v>4941.375</v>
      </c>
      <c r="AX714" s="49">
        <v>397.67</v>
      </c>
      <c r="AY714" s="49">
        <v>262.70900127881998</v>
      </c>
      <c r="AZ714" s="49">
        <v>617.86732685273</v>
      </c>
      <c r="BA714" s="49">
        <v>702.77750000000003</v>
      </c>
      <c r="BB714" s="49">
        <v>481.86737232948002</v>
      </c>
      <c r="BC714" s="49">
        <v>1.912948774</v>
      </c>
      <c r="BD714" s="49">
        <v>1.2345999999999999</v>
      </c>
      <c r="BE714" s="49">
        <v>1.3529</v>
      </c>
      <c r="BF714" s="49">
        <v>92.5</v>
      </c>
      <c r="BG714" s="49">
        <v>410.2</v>
      </c>
      <c r="BH714" s="49">
        <v>379.2</v>
      </c>
      <c r="BI714" s="49">
        <v>305.60000000000002</v>
      </c>
      <c r="BJ714" s="49">
        <v>215.5</v>
      </c>
      <c r="BK714" s="49">
        <v>1938.51</v>
      </c>
      <c r="BL714" s="49">
        <v>73.260000000000005</v>
      </c>
      <c r="BM714" s="49">
        <v>6195.92</v>
      </c>
      <c r="BN714" s="49">
        <v>1937.11</v>
      </c>
      <c r="BO714" s="49">
        <v>19064.86</v>
      </c>
      <c r="BP714" s="49">
        <v>11239.72</v>
      </c>
      <c r="BQ714" s="49">
        <v>2595.69</v>
      </c>
      <c r="BR714" s="49">
        <v>1220.6500000000001</v>
      </c>
      <c r="BS714" s="49">
        <v>846.19</v>
      </c>
      <c r="BT714" s="49">
        <v>14.353</v>
      </c>
    </row>
    <row r="715" spans="1:72" s="41" customFormat="1" ht="15" customHeight="1">
      <c r="A715" s="41" t="s">
        <v>1351</v>
      </c>
      <c r="B715" s="51">
        <v>53.96</v>
      </c>
      <c r="C715" s="51">
        <v>56.46</v>
      </c>
      <c r="D715" s="51">
        <v>56.47</v>
      </c>
      <c r="E715" s="51">
        <v>48.95</v>
      </c>
      <c r="F715" s="51">
        <v>101.37</v>
      </c>
      <c r="G715" s="51">
        <v>95.41</v>
      </c>
      <c r="H715" s="51">
        <v>3.9824999999999999</v>
      </c>
      <c r="I715" s="51">
        <v>7.9762423800900004</v>
      </c>
      <c r="J715" s="51">
        <v>11.995320796110001</v>
      </c>
      <c r="K715" s="51">
        <v>94.406577851349994</v>
      </c>
      <c r="L715" s="51">
        <v>2.2084100000000002</v>
      </c>
      <c r="M715" s="51">
        <v>2.8020720200000002</v>
      </c>
      <c r="N715" s="51">
        <v>1.710123734</v>
      </c>
      <c r="O715" s="51">
        <v>2.6235660911199998</v>
      </c>
      <c r="P715" s="51">
        <v>3.18</v>
      </c>
      <c r="Q715" s="51">
        <v>2.39403160669</v>
      </c>
      <c r="R715" s="51">
        <v>2.2966666666700002</v>
      </c>
      <c r="S715" s="51">
        <v>796.27</v>
      </c>
      <c r="T715" s="51">
        <v>1212.6300000000001</v>
      </c>
      <c r="U715" s="51">
        <v>1480.06</v>
      </c>
      <c r="V715" s="51">
        <v>1434.58</v>
      </c>
      <c r="W715" s="51">
        <v>535.02</v>
      </c>
      <c r="X715" s="51">
        <v>738.36</v>
      </c>
      <c r="Y715" s="51">
        <v>380.53</v>
      </c>
      <c r="Z715" s="51">
        <v>727.88</v>
      </c>
      <c r="AA715" s="51">
        <v>361.02</v>
      </c>
      <c r="AB715" s="51">
        <v>827.02</v>
      </c>
      <c r="AC715" s="51">
        <v>703</v>
      </c>
      <c r="AD715" s="51">
        <v>119.41691666667001</v>
      </c>
      <c r="AE715" s="51">
        <v>167.43997759999999</v>
      </c>
      <c r="AF715" s="51">
        <v>163.80326600000001</v>
      </c>
      <c r="AG715" s="51">
        <v>404</v>
      </c>
      <c r="AH715" s="51">
        <v>395</v>
      </c>
      <c r="AI715" s="51">
        <v>379.33</v>
      </c>
      <c r="AJ715" s="51">
        <v>399.52</v>
      </c>
      <c r="AK715" s="51">
        <v>217.809127026</v>
      </c>
      <c r="AL715" s="51">
        <v>211.27610250000001</v>
      </c>
      <c r="AM715" s="51">
        <v>0.83952839006000002</v>
      </c>
      <c r="AN715" s="51">
        <v>1.1298677500000001</v>
      </c>
      <c r="AO715" s="51">
        <v>0.71845120567999998</v>
      </c>
      <c r="AP715" s="51">
        <v>4.1852506079999996</v>
      </c>
      <c r="AQ715" s="51">
        <v>2.0879074171999998</v>
      </c>
      <c r="AR715" s="51">
        <v>7.4405999999999999</v>
      </c>
      <c r="AS715" s="51">
        <v>11.794717</v>
      </c>
      <c r="AT715" s="51">
        <v>0.37185387199999997</v>
      </c>
      <c r="AU715" s="51">
        <v>0.55622562600000003</v>
      </c>
      <c r="AV715" s="51">
        <v>0.27888443000000002</v>
      </c>
      <c r="AW715" s="51">
        <v>4923.5583333333298</v>
      </c>
      <c r="AX715" s="51">
        <v>398.54500000000002</v>
      </c>
      <c r="AY715" s="51">
        <v>265.42603445895003</v>
      </c>
      <c r="AZ715" s="51">
        <v>607.46971460557995</v>
      </c>
      <c r="BA715" s="51">
        <v>690.95100000000002</v>
      </c>
      <c r="BB715" s="51">
        <v>486.85102204330002</v>
      </c>
      <c r="BC715" s="51">
        <v>1.8959732</v>
      </c>
      <c r="BD715" s="51">
        <v>1.2614000000000001</v>
      </c>
      <c r="BE715" s="51">
        <v>1.4365000000000001</v>
      </c>
      <c r="BF715" s="51">
        <v>99.17</v>
      </c>
      <c r="BG715" s="51">
        <v>389.67</v>
      </c>
      <c r="BH715" s="51">
        <v>368.33</v>
      </c>
      <c r="BI715" s="51">
        <v>276.67</v>
      </c>
      <c r="BJ715" s="51">
        <v>215.5</v>
      </c>
      <c r="BK715" s="51">
        <v>1920.38</v>
      </c>
      <c r="BL715" s="51">
        <v>69.16</v>
      </c>
      <c r="BM715" s="51">
        <v>6075.32</v>
      </c>
      <c r="BN715" s="51">
        <v>1972.32</v>
      </c>
      <c r="BO715" s="51">
        <v>19259.580000000002</v>
      </c>
      <c r="BP715" s="51">
        <v>10835.08</v>
      </c>
      <c r="BQ715" s="51">
        <v>2616.29</v>
      </c>
      <c r="BR715" s="51">
        <v>1250.4000000000001</v>
      </c>
      <c r="BS715" s="51">
        <v>791.16</v>
      </c>
      <c r="BT715" s="51">
        <v>14.772</v>
      </c>
    </row>
    <row r="716" spans="1:72" s="41" customFormat="1" ht="15" customHeight="1">
      <c r="A716" s="48" t="s">
        <v>1352</v>
      </c>
      <c r="B716" s="49">
        <v>56.583333333330003</v>
      </c>
      <c r="C716" s="49">
        <v>59.27</v>
      </c>
      <c r="D716" s="49">
        <v>58.96</v>
      </c>
      <c r="E716" s="49">
        <v>51.52</v>
      </c>
      <c r="F716" s="49">
        <v>98.56</v>
      </c>
      <c r="G716" s="49">
        <v>91.29</v>
      </c>
      <c r="H716" s="49">
        <v>3.0794999999999999</v>
      </c>
      <c r="I716" s="49">
        <v>7.2623432334500002</v>
      </c>
      <c r="J716" s="49">
        <v>12.007292617259999</v>
      </c>
      <c r="K716" s="49">
        <v>80.055366062069993</v>
      </c>
      <c r="L716" s="49">
        <v>2.2633399999999999</v>
      </c>
      <c r="M716" s="49">
        <v>2.8320548520000002</v>
      </c>
      <c r="N716" s="49">
        <v>1.724894688</v>
      </c>
      <c r="O716" s="49">
        <v>2.5371243350400001</v>
      </c>
      <c r="P716" s="49">
        <v>3.23</v>
      </c>
      <c r="Q716" s="49">
        <v>2.1193730051299999</v>
      </c>
      <c r="R716" s="49">
        <v>2.262</v>
      </c>
      <c r="S716" s="49">
        <v>773.07</v>
      </c>
      <c r="T716" s="49">
        <v>1235.22</v>
      </c>
      <c r="U716" s="49">
        <v>1486.35</v>
      </c>
      <c r="V716" s="49">
        <v>1379.77</v>
      </c>
      <c r="W716" s="49">
        <v>584.58000000000004</v>
      </c>
      <c r="X716" s="49">
        <v>765</v>
      </c>
      <c r="Y716" s="49">
        <v>381.96</v>
      </c>
      <c r="Z716" s="49">
        <v>747.79</v>
      </c>
      <c r="AA716" s="49">
        <v>362.01</v>
      </c>
      <c r="AB716" s="49">
        <v>859.73</v>
      </c>
      <c r="AC716" s="49">
        <v>688.13</v>
      </c>
      <c r="AD716" s="49">
        <v>119.41691666667001</v>
      </c>
      <c r="AE716" s="49">
        <v>166.74316400000001</v>
      </c>
      <c r="AF716" s="49">
        <v>162.92141799999999</v>
      </c>
      <c r="AG716" s="49">
        <v>410</v>
      </c>
      <c r="AH716" s="49">
        <v>402</v>
      </c>
      <c r="AI716" s="49">
        <v>387.35</v>
      </c>
      <c r="AJ716" s="49">
        <v>396.31</v>
      </c>
      <c r="AK716" s="49">
        <v>220.15704753899999</v>
      </c>
      <c r="AL716" s="49">
        <v>209.80635570000001</v>
      </c>
      <c r="AM716" s="49">
        <v>0.84844252301</v>
      </c>
      <c r="AN716" s="49">
        <v>1.1367571875</v>
      </c>
      <c r="AO716" s="49">
        <v>0.63841758219</v>
      </c>
      <c r="AP716" s="49">
        <v>4.2413581870000003</v>
      </c>
      <c r="AQ716" s="49">
        <v>2.1495044999999999</v>
      </c>
      <c r="AR716" s="49">
        <v>7.9917999999999996</v>
      </c>
      <c r="AS716" s="49">
        <v>11.794717</v>
      </c>
      <c r="AT716" s="49">
        <v>0.37296417599999998</v>
      </c>
      <c r="AU716" s="49">
        <v>0.56372133400000002</v>
      </c>
      <c r="AV716" s="49">
        <v>0.28197089800000003</v>
      </c>
      <c r="AW716" s="49">
        <v>4806.1083333333299</v>
      </c>
      <c r="AX716" s="49">
        <v>399.73500000000001</v>
      </c>
      <c r="AY716" s="49">
        <v>273.24629669495999</v>
      </c>
      <c r="AZ716" s="49">
        <v>617.24442842318001</v>
      </c>
      <c r="BA716" s="49">
        <v>702.06899999999996</v>
      </c>
      <c r="BB716" s="49">
        <v>501.19514118747998</v>
      </c>
      <c r="BC716" s="49">
        <v>1.8155045700000001</v>
      </c>
      <c r="BD716" s="49">
        <v>1.3562000000000001</v>
      </c>
      <c r="BE716" s="49">
        <v>1.5925</v>
      </c>
      <c r="BF716" s="49">
        <v>102.5</v>
      </c>
      <c r="BG716" s="49">
        <v>382.13</v>
      </c>
      <c r="BH716" s="49">
        <v>355</v>
      </c>
      <c r="BI716" s="49">
        <v>260</v>
      </c>
      <c r="BJ716" s="49">
        <v>215.5</v>
      </c>
      <c r="BK716" s="49">
        <v>1853.72</v>
      </c>
      <c r="BL716" s="49">
        <v>76.16</v>
      </c>
      <c r="BM716" s="49">
        <v>5939.1</v>
      </c>
      <c r="BN716" s="49">
        <v>1997.14</v>
      </c>
      <c r="BO716" s="49">
        <v>20457.75</v>
      </c>
      <c r="BP716" s="49">
        <v>11523.09</v>
      </c>
      <c r="BQ716" s="49">
        <v>2569.6999999999998</v>
      </c>
      <c r="BR716" s="49">
        <v>1291.75</v>
      </c>
      <c r="BS716" s="49">
        <v>806.77</v>
      </c>
      <c r="BT716" s="49">
        <v>15.624000000000001</v>
      </c>
    </row>
    <row r="717" spans="1:72" s="41" customFormat="1" ht="15" customHeight="1">
      <c r="A717" s="41" t="s">
        <v>1354</v>
      </c>
      <c r="B717" s="51">
        <v>61.13333333333</v>
      </c>
      <c r="C717" s="51">
        <v>64.13</v>
      </c>
      <c r="D717" s="51">
        <v>64.319999999999993</v>
      </c>
      <c r="E717" s="51">
        <v>54.95</v>
      </c>
      <c r="F717" s="51">
        <v>95.42</v>
      </c>
      <c r="G717" s="51">
        <v>84.16</v>
      </c>
      <c r="H717" s="51">
        <v>2.7170999999999998</v>
      </c>
      <c r="I717" s="51">
        <v>6.0057971221999997</v>
      </c>
      <c r="J717" s="51">
        <v>11.806581648330001</v>
      </c>
      <c r="K717" s="51">
        <v>69.545041682090002</v>
      </c>
      <c r="L717" s="51">
        <v>2.2557999999999998</v>
      </c>
      <c r="M717" s="51">
        <v>2.83183439</v>
      </c>
      <c r="N717" s="51">
        <v>1.7339336299999999</v>
      </c>
      <c r="O717" s="51">
        <v>2.3819713903899999</v>
      </c>
      <c r="P717" s="51">
        <v>3.27</v>
      </c>
      <c r="Q717" s="51">
        <v>1.72091417117</v>
      </c>
      <c r="R717" s="51">
        <v>2.1549999999999998</v>
      </c>
      <c r="S717" s="51">
        <v>710.43</v>
      </c>
      <c r="T717" s="51">
        <v>1367.5</v>
      </c>
      <c r="U717" s="51">
        <v>1472.28</v>
      </c>
      <c r="V717" s="51">
        <v>1370.06</v>
      </c>
      <c r="W717" s="51">
        <v>602.97</v>
      </c>
      <c r="X717" s="51">
        <v>694.67</v>
      </c>
      <c r="Y717" s="51">
        <v>380.33</v>
      </c>
      <c r="Z717" s="51">
        <v>772.82</v>
      </c>
      <c r="AA717" s="51">
        <v>353.34</v>
      </c>
      <c r="AB717" s="51">
        <v>829.7</v>
      </c>
      <c r="AC717" s="51">
        <v>700</v>
      </c>
      <c r="AD717" s="51">
        <v>119.41691666667001</v>
      </c>
      <c r="AE717" s="51">
        <v>169.52254479999999</v>
      </c>
      <c r="AF717" s="51">
        <v>170.417126</v>
      </c>
      <c r="AG717" s="51">
        <v>408</v>
      </c>
      <c r="AH717" s="51">
        <v>401</v>
      </c>
      <c r="AI717" s="51">
        <v>386.25</v>
      </c>
      <c r="AJ717" s="51">
        <v>367.95</v>
      </c>
      <c r="AK717" s="51">
        <v>217.24694887499999</v>
      </c>
      <c r="AL717" s="51">
        <v>218.9922732</v>
      </c>
      <c r="AM717" s="51">
        <v>0.87170654132000003</v>
      </c>
      <c r="AN717" s="51">
        <v>1.1574255</v>
      </c>
      <c r="AO717" s="51">
        <v>0.62762653183999995</v>
      </c>
      <c r="AP717" s="51">
        <v>4.2791674200000003</v>
      </c>
      <c r="AQ717" s="51">
        <v>2.0855705200000001</v>
      </c>
      <c r="AR717" s="51">
        <v>8.0192999999999994</v>
      </c>
      <c r="AS717" s="51">
        <v>11.794717</v>
      </c>
      <c r="AT717" s="51">
        <v>0.370710912</v>
      </c>
      <c r="AU717" s="51">
        <v>0.57099657999999998</v>
      </c>
      <c r="AV717" s="51">
        <v>0.28615967599999997</v>
      </c>
      <c r="AW717" s="51">
        <v>4782.9083333333301</v>
      </c>
      <c r="AX717" s="51">
        <v>397.32</v>
      </c>
      <c r="AY717" s="51">
        <v>269.70632383508001</v>
      </c>
      <c r="AZ717" s="51">
        <v>623.13800587202002</v>
      </c>
      <c r="BA717" s="51">
        <v>708.77250000000004</v>
      </c>
      <c r="BB717" s="51">
        <v>494.70203508223</v>
      </c>
      <c r="BC717" s="51">
        <v>1.78904913</v>
      </c>
      <c r="BD717" s="51">
        <v>1.3987000000000001</v>
      </c>
      <c r="BE717" s="51">
        <v>1.6528</v>
      </c>
      <c r="BF717" s="51">
        <v>102.5</v>
      </c>
      <c r="BG717" s="51">
        <v>357.38</v>
      </c>
      <c r="BH717" s="51">
        <v>343.75</v>
      </c>
      <c r="BI717" s="51">
        <v>250.63</v>
      </c>
      <c r="BJ717" s="51">
        <v>215.5</v>
      </c>
      <c r="BK717" s="51">
        <v>1862.99</v>
      </c>
      <c r="BL717" s="51">
        <v>88.22</v>
      </c>
      <c r="BM717" s="51">
        <v>6300.49</v>
      </c>
      <c r="BN717" s="51">
        <v>2062.79</v>
      </c>
      <c r="BO717" s="51">
        <v>21263.95</v>
      </c>
      <c r="BP717" s="51">
        <v>12685.23</v>
      </c>
      <c r="BQ717" s="51">
        <v>2707.19</v>
      </c>
      <c r="BR717" s="51">
        <v>1320.07</v>
      </c>
      <c r="BS717" s="51">
        <v>818.15</v>
      </c>
      <c r="BT717" s="51">
        <v>15.815</v>
      </c>
    </row>
    <row r="718" spans="1:72" s="41" customFormat="1" ht="15" customHeight="1">
      <c r="A718" s="48" t="s">
        <v>1355</v>
      </c>
      <c r="B718" s="49">
        <v>63.786666666670001</v>
      </c>
      <c r="C718" s="49">
        <v>66.41</v>
      </c>
      <c r="D718" s="49">
        <v>66.8</v>
      </c>
      <c r="E718" s="49">
        <v>58.15</v>
      </c>
      <c r="F718" s="49">
        <v>93.12</v>
      </c>
      <c r="G718" s="49">
        <v>78.81</v>
      </c>
      <c r="H718" s="49">
        <v>2.9350000000000001</v>
      </c>
      <c r="I718" s="49">
        <v>5.1787356741300004</v>
      </c>
      <c r="J718" s="49">
        <v>11.2941866074</v>
      </c>
      <c r="K718" s="49">
        <v>67.912110752890001</v>
      </c>
      <c r="L718" s="49">
        <v>2.2004899999999998</v>
      </c>
      <c r="M718" s="49">
        <v>2.7313037179999999</v>
      </c>
      <c r="N718" s="49">
        <v>1.6966755520000001</v>
      </c>
      <c r="O718" s="49">
        <v>2.38102230847</v>
      </c>
      <c r="P718" s="49">
        <v>3.38</v>
      </c>
      <c r="Q718" s="49">
        <v>1.6305669253999999</v>
      </c>
      <c r="R718" s="49">
        <v>2.1324999999999998</v>
      </c>
      <c r="S718" s="49">
        <v>678.56</v>
      </c>
      <c r="T718" s="49">
        <v>1383.33</v>
      </c>
      <c r="U718" s="49">
        <v>1476.02</v>
      </c>
      <c r="V718" s="49">
        <v>1370.38</v>
      </c>
      <c r="W718" s="49">
        <v>573.02</v>
      </c>
      <c r="X718" s="49">
        <v>654.72</v>
      </c>
      <c r="Y718" s="49">
        <v>369.53</v>
      </c>
      <c r="Z718" s="49">
        <v>750.33</v>
      </c>
      <c r="AA718" s="49">
        <v>344.63</v>
      </c>
      <c r="AB718" s="49">
        <v>808.68</v>
      </c>
      <c r="AC718" s="49">
        <v>711.71</v>
      </c>
      <c r="AD718" s="49">
        <v>119.41691666667001</v>
      </c>
      <c r="AE718" s="49">
        <v>166.22350639999999</v>
      </c>
      <c r="AF718" s="49">
        <v>169.31481600000001</v>
      </c>
      <c r="AG718" s="49">
        <v>406</v>
      </c>
      <c r="AH718" s="49">
        <v>399</v>
      </c>
      <c r="AI718" s="49">
        <v>382.43</v>
      </c>
      <c r="AJ718" s="49">
        <v>342.62</v>
      </c>
      <c r="AK718" s="49">
        <v>200.388953079</v>
      </c>
      <c r="AL718" s="49">
        <v>205.76455200000001</v>
      </c>
      <c r="AM718" s="49">
        <v>0.93803205176000004</v>
      </c>
      <c r="AN718" s="49">
        <v>1.1780938125</v>
      </c>
      <c r="AO718" s="49">
        <v>0.65084844903000005</v>
      </c>
      <c r="AP718" s="49">
        <v>4.4764809100000003</v>
      </c>
      <c r="AQ718" s="49">
        <v>2.06903587</v>
      </c>
      <c r="AR718" s="49">
        <v>8.0054999999999996</v>
      </c>
      <c r="AS718" s="49">
        <v>11.794717</v>
      </c>
      <c r="AT718" s="49">
        <v>0.369241392</v>
      </c>
      <c r="AU718" s="49">
        <v>0.57827182600000004</v>
      </c>
      <c r="AV718" s="49">
        <v>0.28020720199999999</v>
      </c>
      <c r="AW718" s="49">
        <v>4732.5916666666699</v>
      </c>
      <c r="AX718" s="49">
        <v>395.745</v>
      </c>
      <c r="AY718" s="49">
        <v>267.74155971684002</v>
      </c>
      <c r="AZ718" s="49">
        <v>631.37943124765002</v>
      </c>
      <c r="BA718" s="49">
        <v>718.14649999999995</v>
      </c>
      <c r="BB718" s="49">
        <v>491.09821595806</v>
      </c>
      <c r="BC718" s="49">
        <v>1.8476920219999999</v>
      </c>
      <c r="BD718" s="49">
        <v>1.4704999999999999</v>
      </c>
      <c r="BE718" s="49">
        <v>1.7224999999999999</v>
      </c>
      <c r="BF718" s="49">
        <v>98.5</v>
      </c>
      <c r="BG718" s="49">
        <v>335.03</v>
      </c>
      <c r="BH718" s="49">
        <v>321</v>
      </c>
      <c r="BI718" s="49">
        <v>247.5</v>
      </c>
      <c r="BJ718" s="49">
        <v>245.5</v>
      </c>
      <c r="BK718" s="49">
        <v>1871.21</v>
      </c>
      <c r="BL718" s="49">
        <v>86.47</v>
      </c>
      <c r="BM718" s="49">
        <v>6439.46</v>
      </c>
      <c r="BN718" s="49">
        <v>2046.46</v>
      </c>
      <c r="BO718" s="49">
        <v>21393.4</v>
      </c>
      <c r="BP718" s="49">
        <v>13026.27</v>
      </c>
      <c r="BQ718" s="49">
        <v>2850.6</v>
      </c>
      <c r="BR718" s="49">
        <v>1300.9000000000001</v>
      </c>
      <c r="BS718" s="49">
        <v>842.81</v>
      </c>
      <c r="BT718" s="49">
        <v>15.295999999999999</v>
      </c>
    </row>
    <row r="719" spans="1:72" s="41" customFormat="1" ht="15" customHeight="1">
      <c r="A719" s="41" t="s">
        <v>1356</v>
      </c>
      <c r="B719" s="51">
        <v>68.576666666669993</v>
      </c>
      <c r="C719" s="51">
        <v>71.2</v>
      </c>
      <c r="D719" s="51">
        <v>70.66</v>
      </c>
      <c r="E719" s="51">
        <v>63.87</v>
      </c>
      <c r="F719" s="51">
        <v>86.77</v>
      </c>
      <c r="G719" s="51">
        <v>72.489999999999995</v>
      </c>
      <c r="H719" s="51">
        <v>2.6459999999999999</v>
      </c>
      <c r="I719" s="51">
        <v>4.9221808196800003</v>
      </c>
      <c r="J719" s="51">
        <v>10.26546106987</v>
      </c>
      <c r="K719" s="51">
        <v>62.486065798120002</v>
      </c>
      <c r="L719" s="51">
        <v>2.3311299999999999</v>
      </c>
      <c r="M719" s="51">
        <v>2.6704562059999999</v>
      </c>
      <c r="N719" s="51">
        <v>1.6155455359999999</v>
      </c>
      <c r="O719" s="51">
        <v>2.64702430568</v>
      </c>
      <c r="P719" s="51">
        <v>3.34</v>
      </c>
      <c r="Q719" s="51">
        <v>2.34507291703</v>
      </c>
      <c r="R719" s="51">
        <v>2.2559999999999998</v>
      </c>
      <c r="S719" s="51">
        <v>668.63</v>
      </c>
      <c r="T719" s="51">
        <v>1318.5</v>
      </c>
      <c r="U719" s="51">
        <v>1505.38</v>
      </c>
      <c r="V719" s="51">
        <v>1377.61</v>
      </c>
      <c r="W719" s="51">
        <v>588.45000000000005</v>
      </c>
      <c r="X719" s="51">
        <v>636.23</v>
      </c>
      <c r="Y719" s="51">
        <v>359.84</v>
      </c>
      <c r="Z719" s="51">
        <v>733.77</v>
      </c>
      <c r="AA719" s="51">
        <v>341.53</v>
      </c>
      <c r="AB719" s="51">
        <v>805.96</v>
      </c>
      <c r="AC719" s="51">
        <v>713</v>
      </c>
      <c r="AD719" s="51">
        <v>136.41086250000001</v>
      </c>
      <c r="AE719" s="51">
        <v>161.48753600000001</v>
      </c>
      <c r="AF719" s="51">
        <v>165.45673099999999</v>
      </c>
      <c r="AG719" s="51">
        <v>413</v>
      </c>
      <c r="AH719" s="51">
        <v>404</v>
      </c>
      <c r="AI719" s="51">
        <v>391.3</v>
      </c>
      <c r="AJ719" s="51">
        <v>341.11</v>
      </c>
      <c r="AK719" s="51">
        <v>197.331879735</v>
      </c>
      <c r="AL719" s="51">
        <v>199.51812810000001</v>
      </c>
      <c r="AM719" s="51">
        <v>0.93417878935999998</v>
      </c>
      <c r="AN719" s="51">
        <v>1.1643149374999999</v>
      </c>
      <c r="AO719" s="51">
        <v>0.57361838273999999</v>
      </c>
      <c r="AP719" s="51">
        <v>4.6989270679999997</v>
      </c>
      <c r="AQ719" s="51">
        <v>2.0943890000000001</v>
      </c>
      <c r="AR719" s="51">
        <v>8.0469000000000008</v>
      </c>
      <c r="AS719" s="51">
        <v>11.794717</v>
      </c>
      <c r="AT719" s="51">
        <v>0.36708609599999997</v>
      </c>
      <c r="AU719" s="51">
        <v>0.59414509000000004</v>
      </c>
      <c r="AV719" s="51">
        <v>0.28241182199999998</v>
      </c>
      <c r="AW719" s="51">
        <v>4673.1416666666701</v>
      </c>
      <c r="AX719" s="51">
        <v>393.435</v>
      </c>
      <c r="AY719" s="51">
        <v>266.66234346932998</v>
      </c>
      <c r="AZ719" s="51">
        <v>624.76712484161999</v>
      </c>
      <c r="BA719" s="51">
        <v>710.62549999999999</v>
      </c>
      <c r="BB719" s="51">
        <v>489.11869072354</v>
      </c>
      <c r="BC719" s="51">
        <v>1.92353095</v>
      </c>
      <c r="BD719" s="51">
        <v>1.5036</v>
      </c>
      <c r="BE719" s="51">
        <v>1.7165999999999999</v>
      </c>
      <c r="BF719" s="51">
        <v>97.5</v>
      </c>
      <c r="BG719" s="51">
        <v>323.75</v>
      </c>
      <c r="BH719" s="51">
        <v>310</v>
      </c>
      <c r="BI719" s="51">
        <v>247.5</v>
      </c>
      <c r="BJ719" s="51">
        <v>265.5</v>
      </c>
      <c r="BK719" s="51">
        <v>1845.42</v>
      </c>
      <c r="BL719" s="51">
        <v>93.7</v>
      </c>
      <c r="BM719" s="51">
        <v>6438.36</v>
      </c>
      <c r="BN719" s="51">
        <v>1938.99</v>
      </c>
      <c r="BO719" s="51">
        <v>20604.3</v>
      </c>
      <c r="BP719" s="51">
        <v>12772.79</v>
      </c>
      <c r="BQ719" s="51">
        <v>2932.65</v>
      </c>
      <c r="BR719" s="51">
        <v>1285.9100000000001</v>
      </c>
      <c r="BS719" s="51">
        <v>887.29</v>
      </c>
      <c r="BT719" s="51">
        <v>15.055</v>
      </c>
    </row>
    <row r="720" spans="1:72" s="41" customFormat="1" ht="15" customHeight="1">
      <c r="A720" s="48" t="s">
        <v>1357</v>
      </c>
      <c r="B720" s="49">
        <v>66.833333333330003</v>
      </c>
      <c r="C720" s="49">
        <v>70.53</v>
      </c>
      <c r="D720" s="49">
        <v>69.13</v>
      </c>
      <c r="E720" s="49">
        <v>60.84</v>
      </c>
      <c r="F720" s="49">
        <v>82.32</v>
      </c>
      <c r="G720" s="49">
        <v>68.930000000000007</v>
      </c>
      <c r="H720" s="49">
        <v>2.6278999999999999</v>
      </c>
      <c r="I720" s="49">
        <v>4.3410552940500002</v>
      </c>
      <c r="J720" s="49">
        <v>10.145488494269999</v>
      </c>
      <c r="K720" s="49">
        <v>59.422335332700001</v>
      </c>
      <c r="L720" s="49">
        <v>2.31508</v>
      </c>
      <c r="M720" s="49">
        <v>2.65766941</v>
      </c>
      <c r="N720" s="49">
        <v>1.5679257440000001</v>
      </c>
      <c r="O720" s="49">
        <v>2.7300252655500001</v>
      </c>
      <c r="P720" s="49">
        <v>3.09</v>
      </c>
      <c r="Q720" s="49">
        <v>2.70757579665</v>
      </c>
      <c r="R720" s="49">
        <v>2.3925000000000001</v>
      </c>
      <c r="S720" s="49">
        <v>661.17</v>
      </c>
      <c r="T720" s="49">
        <v>1312.86</v>
      </c>
      <c r="U720" s="49">
        <v>1511.52</v>
      </c>
      <c r="V720" s="49">
        <v>1392.89</v>
      </c>
      <c r="W720" s="49">
        <v>564.4</v>
      </c>
      <c r="X720" s="49">
        <v>573.36</v>
      </c>
      <c r="Y720" s="49">
        <v>339.81</v>
      </c>
      <c r="Z720" s="49">
        <v>742.53</v>
      </c>
      <c r="AA720" s="49">
        <v>339.18</v>
      </c>
      <c r="AB720" s="49">
        <v>815.84</v>
      </c>
      <c r="AC720" s="49">
        <v>721.57</v>
      </c>
      <c r="AD720" s="49">
        <v>149.27114583333</v>
      </c>
      <c r="AE720" s="49">
        <v>171.08151760000001</v>
      </c>
      <c r="AF720" s="49">
        <v>165.45673099999999</v>
      </c>
      <c r="AG720" s="49">
        <v>409</v>
      </c>
      <c r="AH720" s="49">
        <v>401</v>
      </c>
      <c r="AI720" s="49">
        <v>386.76</v>
      </c>
      <c r="AJ720" s="49">
        <v>350.94</v>
      </c>
      <c r="AK720" s="49">
        <v>200.32281447299999</v>
      </c>
      <c r="AL720" s="49">
        <v>199.51812810000001</v>
      </c>
      <c r="AM720" s="49">
        <v>0.91854739972999999</v>
      </c>
      <c r="AN720" s="49">
        <v>1.1229783124999999</v>
      </c>
      <c r="AO720" s="49">
        <v>0.52193771509999998</v>
      </c>
      <c r="AP720" s="49">
        <v>4.6006010159999997</v>
      </c>
      <c r="AQ720" s="49">
        <v>2.0866728299999999</v>
      </c>
      <c r="AR720" s="49">
        <v>8.0469000000000008</v>
      </c>
      <c r="AS720" s="49">
        <v>11.794717</v>
      </c>
      <c r="AT720" s="49">
        <v>0.36525735999999998</v>
      </c>
      <c r="AU720" s="49">
        <v>0.58113783200000002</v>
      </c>
      <c r="AV720" s="49">
        <v>0.27337287999999998</v>
      </c>
      <c r="AW720" s="49">
        <v>4650.8500000000004</v>
      </c>
      <c r="AX720" s="49">
        <v>391.47500000000002</v>
      </c>
      <c r="AY720" s="49">
        <v>270.58883861947999</v>
      </c>
      <c r="AZ720" s="49">
        <v>615.51947892595001</v>
      </c>
      <c r="BA720" s="49">
        <v>700.10699999999997</v>
      </c>
      <c r="BB720" s="49">
        <v>496.32076560966999</v>
      </c>
      <c r="BC720" s="49">
        <v>1.7667824679999999</v>
      </c>
      <c r="BD720" s="49">
        <v>1.4958</v>
      </c>
      <c r="BE720" s="49">
        <v>1.7688999999999999</v>
      </c>
      <c r="BF720" s="49">
        <v>97.5</v>
      </c>
      <c r="BG720" s="49">
        <v>313.39999999999998</v>
      </c>
      <c r="BH720" s="49">
        <v>305</v>
      </c>
      <c r="BI720" s="49">
        <v>247.5</v>
      </c>
      <c r="BJ720" s="49">
        <v>265.5</v>
      </c>
      <c r="BK720" s="49">
        <v>1781.26</v>
      </c>
      <c r="BL720" s="49">
        <v>100.15</v>
      </c>
      <c r="BM720" s="49">
        <v>6017.9</v>
      </c>
      <c r="BN720" s="49">
        <v>1815.19</v>
      </c>
      <c r="BO720" s="49">
        <v>19523.900000000001</v>
      </c>
      <c r="BP720" s="49">
        <v>12016.31</v>
      </c>
      <c r="BQ720" s="49">
        <v>2742.81</v>
      </c>
      <c r="BR720" s="49">
        <v>1283.7</v>
      </c>
      <c r="BS720" s="49">
        <v>833.55</v>
      </c>
      <c r="BT720" s="49">
        <v>14.662000000000001</v>
      </c>
    </row>
    <row r="721" spans="1:72" s="41" customFormat="1" ht="15" customHeight="1">
      <c r="A721" s="41" t="s">
        <v>1358</v>
      </c>
      <c r="B721" s="51">
        <v>59.76</v>
      </c>
      <c r="C721" s="51">
        <v>63.3</v>
      </c>
      <c r="D721" s="51">
        <v>61.3</v>
      </c>
      <c r="E721" s="51">
        <v>54.68</v>
      </c>
      <c r="F721" s="51">
        <v>72.489999999999995</v>
      </c>
      <c r="G721" s="51">
        <v>62.94</v>
      </c>
      <c r="H721" s="51">
        <v>2.3965000000000001</v>
      </c>
      <c r="I721" s="51">
        <v>3.5880065122699998</v>
      </c>
      <c r="J721" s="51">
        <v>10.04237787692</v>
      </c>
      <c r="K721" s="51">
        <v>52.962528876139999</v>
      </c>
      <c r="L721" s="51">
        <v>2.4077299999999999</v>
      </c>
      <c r="M721" s="51">
        <v>2.8600535260000002</v>
      </c>
      <c r="N721" s="51">
        <v>1.6318597239999999</v>
      </c>
      <c r="O721" s="51">
        <v>2.56195490104</v>
      </c>
      <c r="P721" s="51">
        <v>2.78</v>
      </c>
      <c r="Q721" s="51">
        <v>2.75086470312</v>
      </c>
      <c r="R721" s="51">
        <v>2.1549999999999998</v>
      </c>
      <c r="S721" s="51">
        <v>635.6</v>
      </c>
      <c r="T721" s="51">
        <v>1315</v>
      </c>
      <c r="U721" s="51">
        <v>1522.28</v>
      </c>
      <c r="V721" s="51">
        <v>1391.97</v>
      </c>
      <c r="W721" s="51">
        <v>552.19000000000005</v>
      </c>
      <c r="X721" s="51">
        <v>542.24</v>
      </c>
      <c r="Y721" s="51">
        <v>358.95</v>
      </c>
      <c r="Z721" s="51">
        <v>742.89</v>
      </c>
      <c r="AA721" s="51">
        <v>362.6</v>
      </c>
      <c r="AB721" s="51">
        <v>840.01</v>
      </c>
      <c r="AC721" s="51">
        <v>725</v>
      </c>
      <c r="AD721" s="51">
        <v>149.27114583333</v>
      </c>
      <c r="AE721" s="51">
        <v>195.08025040000001</v>
      </c>
      <c r="AF721" s="51">
        <v>157.74056100000001</v>
      </c>
      <c r="AG721" s="51">
        <v>420</v>
      </c>
      <c r="AH721" s="51">
        <v>411</v>
      </c>
      <c r="AI721" s="51">
        <v>394.2</v>
      </c>
      <c r="AJ721" s="51">
        <v>358.82</v>
      </c>
      <c r="AK721" s="51">
        <v>222.40943451000001</v>
      </c>
      <c r="AL721" s="51">
        <v>206.13198869999999</v>
      </c>
      <c r="AM721" s="51">
        <v>0.88604597539999996</v>
      </c>
      <c r="AN721" s="51">
        <v>1.1264230312500001</v>
      </c>
      <c r="AO721" s="51">
        <v>0.54341402120000004</v>
      </c>
      <c r="AP721" s="51">
        <v>4.6291508449999998</v>
      </c>
      <c r="AQ721" s="51">
        <v>2.0723427999999999</v>
      </c>
      <c r="AR721" s="51">
        <v>8.0469000000000008</v>
      </c>
      <c r="AS721" s="51">
        <v>11.97329122</v>
      </c>
      <c r="AT721" s="51">
        <v>0.36875155199999998</v>
      </c>
      <c r="AU721" s="51">
        <v>0.584003838</v>
      </c>
      <c r="AV721" s="51">
        <v>0.284836904</v>
      </c>
      <c r="AW721" s="51">
        <v>4607.0416666666697</v>
      </c>
      <c r="AX721" s="51">
        <v>395.22</v>
      </c>
      <c r="AY721" s="51">
        <v>275.39485684472999</v>
      </c>
      <c r="AZ721" s="51">
        <v>607.51762986939002</v>
      </c>
      <c r="BA721" s="51">
        <v>691.00549999999998</v>
      </c>
      <c r="BB721" s="51">
        <v>505.13608355575002</v>
      </c>
      <c r="BC721" s="51">
        <v>1.71188743</v>
      </c>
      <c r="BD721" s="51">
        <v>1.5012000000000001</v>
      </c>
      <c r="BE721" s="51">
        <v>1.9273</v>
      </c>
      <c r="BF721" s="51">
        <v>97.5</v>
      </c>
      <c r="BG721" s="51">
        <v>314.88</v>
      </c>
      <c r="BH721" s="51">
        <v>293.75</v>
      </c>
      <c r="BI721" s="51">
        <v>247.5</v>
      </c>
      <c r="BJ721" s="51">
        <v>265.5</v>
      </c>
      <c r="BK721" s="51">
        <v>1755.95</v>
      </c>
      <c r="BL721" s="51">
        <v>108.94</v>
      </c>
      <c r="BM721" s="51">
        <v>5882.23</v>
      </c>
      <c r="BN721" s="51">
        <v>1899.7</v>
      </c>
      <c r="BO721" s="51">
        <v>19193.2</v>
      </c>
      <c r="BP721" s="51">
        <v>11943.94</v>
      </c>
      <c r="BQ721" s="51">
        <v>2601.2199999999998</v>
      </c>
      <c r="BR721" s="51">
        <v>1359.04</v>
      </c>
      <c r="BS721" s="51">
        <v>808.2</v>
      </c>
      <c r="BT721" s="51">
        <v>15.036</v>
      </c>
    </row>
    <row r="722" spans="1:72" s="41" customFormat="1" ht="15" customHeight="1">
      <c r="A722" s="48" t="s">
        <v>1359</v>
      </c>
      <c r="B722" s="49">
        <v>61.476666666669999</v>
      </c>
      <c r="C722" s="49">
        <v>64</v>
      </c>
      <c r="D722" s="49">
        <v>62.91</v>
      </c>
      <c r="E722" s="49">
        <v>57.52</v>
      </c>
      <c r="F722" s="49">
        <v>72.08</v>
      </c>
      <c r="G722" s="49">
        <v>65.790000000000006</v>
      </c>
      <c r="H722" s="49">
        <v>2.36</v>
      </c>
      <c r="I722" s="49">
        <v>3.6203714056099998</v>
      </c>
      <c r="J722" s="49">
        <v>10.127811224269999</v>
      </c>
      <c r="K722" s="49">
        <v>52.731038159759997</v>
      </c>
      <c r="L722" s="49">
        <v>2.4165299999999998</v>
      </c>
      <c r="M722" s="49">
        <v>2.9865987139999999</v>
      </c>
      <c r="N722" s="49">
        <v>1.6298755659999999</v>
      </c>
      <c r="O722" s="49">
        <v>2.5795162508199998</v>
      </c>
      <c r="P722" s="49">
        <v>2.84</v>
      </c>
      <c r="Q722" s="49">
        <v>2.9018820858100001</v>
      </c>
      <c r="R722" s="49">
        <v>1.9966666666699999</v>
      </c>
      <c r="S722" s="49">
        <v>657.31</v>
      </c>
      <c r="T722" s="49">
        <v>1260</v>
      </c>
      <c r="U722" s="49">
        <v>1496.12</v>
      </c>
      <c r="V722" s="49">
        <v>1437.71</v>
      </c>
      <c r="W722" s="49">
        <v>543.88</v>
      </c>
      <c r="X722" s="49">
        <v>555.03</v>
      </c>
      <c r="Y722" s="49">
        <v>369.58</v>
      </c>
      <c r="Z722" s="49">
        <v>748.17</v>
      </c>
      <c r="AA722" s="49">
        <v>348.73</v>
      </c>
      <c r="AB722" s="49">
        <v>845.27</v>
      </c>
      <c r="AC722" s="49">
        <v>753.83</v>
      </c>
      <c r="AD722" s="49">
        <v>149.27114583333</v>
      </c>
      <c r="AE722" s="49">
        <v>189.41913199999999</v>
      </c>
      <c r="AF722" s="49">
        <v>159.504257</v>
      </c>
      <c r="AG722" s="49">
        <v>416</v>
      </c>
      <c r="AH722" s="49">
        <v>409</v>
      </c>
      <c r="AI722" s="49">
        <v>391.7</v>
      </c>
      <c r="AJ722" s="49">
        <v>360.16</v>
      </c>
      <c r="AK722" s="49">
        <v>203.96043780299999</v>
      </c>
      <c r="AL722" s="49">
        <v>196.21119780000001</v>
      </c>
      <c r="AM722" s="49">
        <v>0.86360873093000001</v>
      </c>
      <c r="AN722" s="49">
        <v>1.1264230312500001</v>
      </c>
      <c r="AO722" s="49">
        <v>0.54277925353000001</v>
      </c>
      <c r="AP722" s="49">
        <v>4.629702</v>
      </c>
      <c r="AQ722" s="49">
        <v>1.9885672400000001</v>
      </c>
      <c r="AR722" s="49">
        <v>8.0469000000000008</v>
      </c>
      <c r="AS722" s="49">
        <v>12.945528639999999</v>
      </c>
      <c r="AT722" s="49">
        <v>0.36640032</v>
      </c>
      <c r="AU722" s="49">
        <v>0.56570549199999998</v>
      </c>
      <c r="AV722" s="49">
        <v>0.28285274599999999</v>
      </c>
      <c r="AW722" s="49">
        <v>4542.6333333333296</v>
      </c>
      <c r="AX722" s="49">
        <v>392.7</v>
      </c>
      <c r="AY722" s="49">
        <v>275.11490643116002</v>
      </c>
      <c r="AZ722" s="49">
        <v>597.74291605178996</v>
      </c>
      <c r="BA722" s="49">
        <v>679.88750000000005</v>
      </c>
      <c r="BB722" s="49">
        <v>504.62259155693999</v>
      </c>
      <c r="BC722" s="49">
        <v>1.6653699479999999</v>
      </c>
      <c r="BD722" s="49">
        <v>1.4112</v>
      </c>
      <c r="BE722" s="49">
        <v>1.6681999999999999</v>
      </c>
      <c r="BF722" s="49">
        <v>80</v>
      </c>
      <c r="BG722" s="49">
        <v>307.5</v>
      </c>
      <c r="BH722" s="49">
        <v>283.75</v>
      </c>
      <c r="BI722" s="49">
        <v>263.5</v>
      </c>
      <c r="BJ722" s="49">
        <v>265.5</v>
      </c>
      <c r="BK722" s="49">
        <v>1796.99</v>
      </c>
      <c r="BL722" s="49">
        <v>120.24</v>
      </c>
      <c r="BM722" s="49">
        <v>5941.2</v>
      </c>
      <c r="BN722" s="49">
        <v>1975.64</v>
      </c>
      <c r="BO722" s="49">
        <v>17977.849999999999</v>
      </c>
      <c r="BP722" s="49">
        <v>13546.3</v>
      </c>
      <c r="BQ722" s="49">
        <v>2446.5100000000002</v>
      </c>
      <c r="BR722" s="49">
        <v>1412.89</v>
      </c>
      <c r="BS722" s="49">
        <v>843.95</v>
      </c>
      <c r="BT722" s="49">
        <v>15.791</v>
      </c>
    </row>
    <row r="723" spans="1:72" s="41" customFormat="1" ht="15" customHeight="1">
      <c r="A723" s="41" t="s">
        <v>1364</v>
      </c>
      <c r="B723" s="51">
        <v>57.67</v>
      </c>
      <c r="C723" s="51">
        <v>59.25</v>
      </c>
      <c r="D723" s="51">
        <v>58.92</v>
      </c>
      <c r="E723" s="51">
        <v>54.84</v>
      </c>
      <c r="F723" s="51">
        <v>65.55</v>
      </c>
      <c r="G723" s="51">
        <v>60.43</v>
      </c>
      <c r="H723" s="51">
        <v>2.2242999999999999</v>
      </c>
      <c r="I723" s="51">
        <v>3.6767751604100001</v>
      </c>
      <c r="J723" s="51">
        <v>10.86099863824</v>
      </c>
      <c r="K723" s="51">
        <v>51.848054479319998</v>
      </c>
      <c r="L723" s="51">
        <v>2.1947000000000001</v>
      </c>
      <c r="M723" s="51">
        <v>2.7828918260000002</v>
      </c>
      <c r="N723" s="51">
        <v>1.5602095739999999</v>
      </c>
      <c r="O723" s="51">
        <v>2.6269387064999998</v>
      </c>
      <c r="P723" s="51">
        <v>3.06</v>
      </c>
      <c r="Q723" s="51">
        <v>2.71081611951</v>
      </c>
      <c r="R723" s="51">
        <v>2.11</v>
      </c>
      <c r="S723" s="51">
        <v>719.28</v>
      </c>
      <c r="T723" s="51">
        <v>1252.3800000000001</v>
      </c>
      <c r="U723" s="51">
        <v>1436.95</v>
      </c>
      <c r="V723" s="51">
        <v>1457.89</v>
      </c>
      <c r="W723" s="51">
        <v>586.12</v>
      </c>
      <c r="X723" s="51">
        <v>619.33000000000004</v>
      </c>
      <c r="Y723" s="51">
        <v>360.93</v>
      </c>
      <c r="Z723" s="51">
        <v>793.21</v>
      </c>
      <c r="AA723" s="51">
        <v>337.36</v>
      </c>
      <c r="AB723" s="51">
        <v>877.48</v>
      </c>
      <c r="AC723" s="51">
        <v>776</v>
      </c>
      <c r="AD723" s="51">
        <v>135.03297499999999</v>
      </c>
      <c r="AE723" s="51">
        <v>163.5858504</v>
      </c>
      <c r="AF723" s="51">
        <v>147.930002</v>
      </c>
      <c r="AG723" s="51">
        <v>430</v>
      </c>
      <c r="AH723" s="51">
        <v>421</v>
      </c>
      <c r="AI723" s="51">
        <v>407.52</v>
      </c>
      <c r="AJ723" s="51">
        <v>362.39</v>
      </c>
      <c r="AK723" s="51">
        <v>197.522946819</v>
      </c>
      <c r="AL723" s="51">
        <v>181.14629310000001</v>
      </c>
      <c r="AM723" s="51">
        <v>0.83382134537999997</v>
      </c>
      <c r="AN723" s="51">
        <v>1.1229783124999999</v>
      </c>
      <c r="AO723" s="51">
        <v>0.52542893726999995</v>
      </c>
      <c r="AP723" s="51">
        <v>4.595861083</v>
      </c>
      <c r="AQ723" s="51">
        <v>1.90038244</v>
      </c>
      <c r="AR723" s="51">
        <v>8.0469000000000008</v>
      </c>
      <c r="AS723" s="51">
        <v>13.05575964</v>
      </c>
      <c r="AT723" s="51">
        <v>0.36333065599999997</v>
      </c>
      <c r="AU723" s="51">
        <v>0.56879195999999999</v>
      </c>
      <c r="AV723" s="51">
        <v>0.271609184</v>
      </c>
      <c r="AW723" s="51">
        <v>4523.1333333333296</v>
      </c>
      <c r="AX723" s="51">
        <v>389.41</v>
      </c>
      <c r="AY723" s="51">
        <v>280.18996729332002</v>
      </c>
      <c r="AZ723" s="51">
        <v>581.97879425771998</v>
      </c>
      <c r="BA723" s="51">
        <v>661.95699999999999</v>
      </c>
      <c r="BB723" s="51">
        <v>513.93139418707005</v>
      </c>
      <c r="BC723" s="51">
        <v>1.5604300360000001</v>
      </c>
      <c r="BD723" s="51">
        <v>1.3102</v>
      </c>
      <c r="BE723" s="51">
        <v>1.5004</v>
      </c>
      <c r="BF723" s="51">
        <v>78</v>
      </c>
      <c r="BG723" s="51">
        <v>292.89999999999998</v>
      </c>
      <c r="BH723" s="51">
        <v>275</v>
      </c>
      <c r="BI723" s="51">
        <v>262.5</v>
      </c>
      <c r="BJ723" s="51">
        <v>265.5</v>
      </c>
      <c r="BK723" s="51">
        <v>1740.68</v>
      </c>
      <c r="BL723" s="51">
        <v>93.07</v>
      </c>
      <c r="BM723" s="51">
        <v>5709.44</v>
      </c>
      <c r="BN723" s="51">
        <v>2044.55</v>
      </c>
      <c r="BO723" s="51">
        <v>16608.990000000002</v>
      </c>
      <c r="BP723" s="51">
        <v>15748.64</v>
      </c>
      <c r="BQ723" s="51">
        <v>2273.0100000000002</v>
      </c>
      <c r="BR723" s="51">
        <v>1500.41</v>
      </c>
      <c r="BS723" s="51">
        <v>859.14</v>
      </c>
      <c r="BT723" s="51">
        <v>17.224</v>
      </c>
    </row>
    <row r="724" spans="1:72" s="41" customFormat="1" ht="15" customHeight="1">
      <c r="A724" s="48" t="s">
        <v>1365</v>
      </c>
      <c r="B724" s="49">
        <v>60.04</v>
      </c>
      <c r="C724" s="49">
        <v>62.33</v>
      </c>
      <c r="D724" s="49">
        <v>60.84</v>
      </c>
      <c r="E724" s="49">
        <v>56.95</v>
      </c>
      <c r="F724" s="49">
        <v>65.95</v>
      </c>
      <c r="G724" s="49">
        <v>61.37</v>
      </c>
      <c r="H724" s="49">
        <v>2.58</v>
      </c>
      <c r="I724" s="49">
        <v>4.20525568494</v>
      </c>
      <c r="J724" s="49">
        <v>10.141700406329999</v>
      </c>
      <c r="K724" s="49">
        <v>58.192513767820003</v>
      </c>
      <c r="L724" s="49">
        <v>2.3054199999999998</v>
      </c>
      <c r="M724" s="49">
        <v>2.8415347180000001</v>
      </c>
      <c r="N724" s="49">
        <v>1.5573435680000001</v>
      </c>
      <c r="O724" s="49">
        <v>2.5433320525499998</v>
      </c>
      <c r="P724" s="49">
        <v>2.88</v>
      </c>
      <c r="Q724" s="49">
        <v>2.5259961576399999</v>
      </c>
      <c r="R724" s="49">
        <v>2.2240000000000002</v>
      </c>
      <c r="S724" s="49">
        <v>724.03</v>
      </c>
      <c r="T724" s="49">
        <v>1321.43</v>
      </c>
      <c r="U724" s="49">
        <v>1385.38</v>
      </c>
      <c r="V724" s="49">
        <v>1458.25</v>
      </c>
      <c r="W724" s="49">
        <v>580.29999999999995</v>
      </c>
      <c r="X724" s="49">
        <v>613.15</v>
      </c>
      <c r="Y724" s="49">
        <v>366.07</v>
      </c>
      <c r="Z724" s="49">
        <v>779.25</v>
      </c>
      <c r="AA724" s="49">
        <v>333.13</v>
      </c>
      <c r="AB724" s="49">
        <v>903.07</v>
      </c>
      <c r="AC724" s="49">
        <v>776</v>
      </c>
      <c r="AD724" s="49">
        <v>114.82395833333</v>
      </c>
      <c r="AE724" s="49">
        <v>157.25941280000001</v>
      </c>
      <c r="AF724" s="49">
        <v>149.69369800000001</v>
      </c>
      <c r="AG724" s="49">
        <v>427</v>
      </c>
      <c r="AH724" s="49">
        <v>421</v>
      </c>
      <c r="AI724" s="49">
        <v>401.71</v>
      </c>
      <c r="AJ724" s="49">
        <v>350.85</v>
      </c>
      <c r="AK724" s="49">
        <v>201.90646665</v>
      </c>
      <c r="AL724" s="49">
        <v>189.5973372</v>
      </c>
      <c r="AM724" s="49">
        <v>0.84632254663999995</v>
      </c>
      <c r="AN724" s="49">
        <v>1.1505360625000001</v>
      </c>
      <c r="AO724" s="49">
        <v>0.53383960887000004</v>
      </c>
      <c r="AP724" s="49">
        <v>4.6545039749999999</v>
      </c>
      <c r="AQ724" s="49">
        <v>1.85298311</v>
      </c>
      <c r="AR724" s="49">
        <v>8.1020000000000003</v>
      </c>
      <c r="AS724" s="49">
        <v>13.22772</v>
      </c>
      <c r="AT724" s="49">
        <v>0.35947724800000003</v>
      </c>
      <c r="AU724" s="49">
        <v>0.56526456800000002</v>
      </c>
      <c r="AV724" s="49">
        <v>0.26190885600000002</v>
      </c>
      <c r="AW724" s="49">
        <v>4544.5</v>
      </c>
      <c r="AX724" s="49">
        <v>385.28</v>
      </c>
      <c r="AY724" s="49">
        <v>277.0608099108</v>
      </c>
      <c r="AZ724" s="49">
        <v>591.60976228387995</v>
      </c>
      <c r="BA724" s="49">
        <v>672.91150000000005</v>
      </c>
      <c r="BB724" s="49">
        <v>508.19181602956002</v>
      </c>
      <c r="BC724" s="49">
        <v>1.5721145219999999</v>
      </c>
      <c r="BD724" s="49">
        <v>1.335</v>
      </c>
      <c r="BE724" s="49">
        <v>1.4991000000000001</v>
      </c>
      <c r="BF724" s="49">
        <v>77.5</v>
      </c>
      <c r="BG724" s="49">
        <v>285.75</v>
      </c>
      <c r="BH724" s="49">
        <v>270</v>
      </c>
      <c r="BI724" s="49">
        <v>237.75</v>
      </c>
      <c r="BJ724" s="49">
        <v>265.5</v>
      </c>
      <c r="BK724" s="49">
        <v>1753.51</v>
      </c>
      <c r="BL724" s="49">
        <v>93.08</v>
      </c>
      <c r="BM724" s="49">
        <v>5759.25</v>
      </c>
      <c r="BN724" s="49">
        <v>2071.85</v>
      </c>
      <c r="BO724" s="49">
        <v>16830.62</v>
      </c>
      <c r="BP724" s="49">
        <v>17656.88</v>
      </c>
      <c r="BQ724" s="49">
        <v>2331.56</v>
      </c>
      <c r="BR724" s="49">
        <v>1510.58</v>
      </c>
      <c r="BS724" s="49">
        <v>944.7</v>
      </c>
      <c r="BT724" s="49">
        <v>18.16</v>
      </c>
    </row>
    <row r="725" spans="1:72" s="41" customFormat="1" ht="15" customHeight="1">
      <c r="A725" s="41" t="s">
        <v>1366</v>
      </c>
      <c r="B725" s="51">
        <v>57.273333333330001</v>
      </c>
      <c r="C725" s="51">
        <v>59.37</v>
      </c>
      <c r="D725" s="51">
        <v>58.47</v>
      </c>
      <c r="E725" s="51">
        <v>53.98</v>
      </c>
      <c r="F725" s="51">
        <v>69.2</v>
      </c>
      <c r="G725" s="51">
        <v>67.44</v>
      </c>
      <c r="H725" s="51">
        <v>2.3313000000000001</v>
      </c>
      <c r="I725" s="51">
        <v>5.0572178578700004</v>
      </c>
      <c r="J725" s="51">
        <v>9.9835240858399992</v>
      </c>
      <c r="K725" s="51">
        <v>59.115498034280002</v>
      </c>
      <c r="L725" s="51">
        <v>2.43527</v>
      </c>
      <c r="M725" s="51">
        <v>2.799646938</v>
      </c>
      <c r="N725" s="51">
        <v>1.5130307059999999</v>
      </c>
      <c r="O725" s="51">
        <v>2.5817884204600001</v>
      </c>
      <c r="P725" s="51">
        <v>2.94</v>
      </c>
      <c r="Q725" s="51">
        <v>2.46203192803</v>
      </c>
      <c r="R725" s="51">
        <v>2.3433333333299999</v>
      </c>
      <c r="S725" s="51">
        <v>719.52</v>
      </c>
      <c r="T725" s="51">
        <v>1358.7</v>
      </c>
      <c r="U725" s="51">
        <v>1360.05</v>
      </c>
      <c r="V725" s="51">
        <v>1458.53</v>
      </c>
      <c r="W725" s="51">
        <v>591.35</v>
      </c>
      <c r="X725" s="51">
        <v>593.74</v>
      </c>
      <c r="Y725" s="51">
        <v>381.65</v>
      </c>
      <c r="Z725" s="51">
        <v>770.8</v>
      </c>
      <c r="AA725" s="51">
        <v>341.76</v>
      </c>
      <c r="AB725" s="51">
        <v>908.67</v>
      </c>
      <c r="AC725" s="51">
        <v>776</v>
      </c>
      <c r="AD725" s="51">
        <v>114.82395833333</v>
      </c>
      <c r="AE725" s="51">
        <v>167.1486544</v>
      </c>
      <c r="AF725" s="51">
        <v>163.80326600000001</v>
      </c>
      <c r="AG725" s="51">
        <v>424</v>
      </c>
      <c r="AH725" s="51">
        <v>418</v>
      </c>
      <c r="AI725" s="51">
        <v>397.04</v>
      </c>
      <c r="AJ725" s="51">
        <v>325.79000000000002</v>
      </c>
      <c r="AK725" s="51">
        <v>212.84873157600001</v>
      </c>
      <c r="AL725" s="51">
        <v>199.51812810000001</v>
      </c>
      <c r="AM725" s="51">
        <v>0.85602809683000003</v>
      </c>
      <c r="AN725" s="51">
        <v>1.1340014125</v>
      </c>
      <c r="AO725" s="51">
        <v>0.52072107707000004</v>
      </c>
      <c r="AP725" s="51">
        <v>4.8583210939999999</v>
      </c>
      <c r="AQ725" s="51">
        <v>1.8518808</v>
      </c>
      <c r="AR725" s="51">
        <v>8.2673000000000005</v>
      </c>
      <c r="AS725" s="51">
        <v>13.404089600000001</v>
      </c>
      <c r="AT725" s="51">
        <v>0.36094676799999997</v>
      </c>
      <c r="AU725" s="51">
        <v>0.57474443399999997</v>
      </c>
      <c r="AV725" s="51">
        <v>0.27712073399999998</v>
      </c>
      <c r="AW725" s="51">
        <v>4447.3916666666701</v>
      </c>
      <c r="AX725" s="51">
        <v>386.85500000000002</v>
      </c>
      <c r="AY725" s="51">
        <v>275.34391439989002</v>
      </c>
      <c r="AZ725" s="51">
        <v>605.36144299785997</v>
      </c>
      <c r="BA725" s="51">
        <v>688.553</v>
      </c>
      <c r="BB725" s="51">
        <v>505.04264365867999</v>
      </c>
      <c r="BC725" s="51">
        <v>1.6287732559999999</v>
      </c>
      <c r="BD725" s="51">
        <v>1.2978000000000001</v>
      </c>
      <c r="BE725" s="51">
        <v>1.4349000000000001</v>
      </c>
      <c r="BF725" s="51">
        <v>77.5</v>
      </c>
      <c r="BG725" s="51">
        <v>277.38</v>
      </c>
      <c r="BH725" s="51">
        <v>270</v>
      </c>
      <c r="BI725" s="51">
        <v>237</v>
      </c>
      <c r="BJ725" s="51">
        <v>265.5</v>
      </c>
      <c r="BK725" s="51">
        <v>1725.96</v>
      </c>
      <c r="BL725" s="51">
        <v>88.53</v>
      </c>
      <c r="BM725" s="51">
        <v>5757.3</v>
      </c>
      <c r="BN725" s="51">
        <v>2184.09</v>
      </c>
      <c r="BO725" s="51">
        <v>16603.39</v>
      </c>
      <c r="BP725" s="51">
        <v>17046.22</v>
      </c>
      <c r="BQ725" s="51">
        <v>2451.65</v>
      </c>
      <c r="BR725" s="51">
        <v>1494.81</v>
      </c>
      <c r="BS725" s="51">
        <v>897.26</v>
      </c>
      <c r="BT725" s="51">
        <v>17.645</v>
      </c>
    </row>
    <row r="726" spans="1:72" s="41" customFormat="1" ht="15" customHeight="1">
      <c r="A726" s="48" t="s">
        <v>1367</v>
      </c>
      <c r="B726" s="49">
        <v>60.403333333330004</v>
      </c>
      <c r="C726" s="49">
        <v>62.74</v>
      </c>
      <c r="D726" s="49">
        <v>61.41</v>
      </c>
      <c r="E726" s="49">
        <v>57.06</v>
      </c>
      <c r="F726" s="49">
        <v>66.989999999999995</v>
      </c>
      <c r="G726" s="49">
        <v>73.62</v>
      </c>
      <c r="H726" s="49">
        <v>2.6505000000000001</v>
      </c>
      <c r="I726" s="49">
        <v>5.1500042173100002</v>
      </c>
      <c r="J726" s="49">
        <v>10.03950330791</v>
      </c>
      <c r="K726" s="49">
        <v>63.47069207042</v>
      </c>
      <c r="L726" s="49">
        <v>2.51966</v>
      </c>
      <c r="M726" s="49">
        <v>3.1080732759999998</v>
      </c>
      <c r="N726" s="49">
        <v>1.6155455359999999</v>
      </c>
      <c r="O726" s="49">
        <v>2.6149636116199999</v>
      </c>
      <c r="P726" s="49">
        <v>3.19</v>
      </c>
      <c r="Q726" s="49">
        <v>2.3573908348599999</v>
      </c>
      <c r="R726" s="49">
        <v>2.2974999999999999</v>
      </c>
      <c r="S726" s="49">
        <v>848.92</v>
      </c>
      <c r="T726" s="49">
        <v>1400</v>
      </c>
      <c r="U726" s="49">
        <v>1360.93</v>
      </c>
      <c r="V726" s="49">
        <v>1388.47</v>
      </c>
      <c r="W726" s="49">
        <v>685.41</v>
      </c>
      <c r="X726" s="49">
        <v>767.44</v>
      </c>
      <c r="Y726" s="49">
        <v>375.51</v>
      </c>
      <c r="Z726" s="49">
        <v>770.2</v>
      </c>
      <c r="AA726" s="49">
        <v>347.32</v>
      </c>
      <c r="AB726" s="49">
        <v>891.17</v>
      </c>
      <c r="AC726" s="49">
        <v>776</v>
      </c>
      <c r="AD726" s="49">
        <v>114.82395833333</v>
      </c>
      <c r="AE726" s="49">
        <v>166.3337368</v>
      </c>
      <c r="AF726" s="49">
        <v>161.929339</v>
      </c>
      <c r="AG726" s="49">
        <v>421</v>
      </c>
      <c r="AH726" s="49">
        <v>415</v>
      </c>
      <c r="AI726" s="49">
        <v>394.76</v>
      </c>
      <c r="AJ726" s="49">
        <v>328.24</v>
      </c>
      <c r="AK726" s="49">
        <v>223.53746517900001</v>
      </c>
      <c r="AL726" s="49">
        <v>203.1924951</v>
      </c>
      <c r="AM726" s="49">
        <v>0.85366710038000004</v>
      </c>
      <c r="AN726" s="49">
        <v>1.1298677500000001</v>
      </c>
      <c r="AO726" s="49">
        <v>0.52521734804999998</v>
      </c>
      <c r="AP726" s="49">
        <v>5.9362700430000004</v>
      </c>
      <c r="AQ726" s="49">
        <v>1.8518808</v>
      </c>
      <c r="AR726" s="49">
        <v>8.2673000000000005</v>
      </c>
      <c r="AS726" s="49">
        <v>13.68187172</v>
      </c>
      <c r="AT726" s="49">
        <v>0.36097942399999999</v>
      </c>
      <c r="AU726" s="49">
        <v>0.60053848799999998</v>
      </c>
      <c r="AV726" s="49">
        <v>0.28219136</v>
      </c>
      <c r="AW726" s="49">
        <v>4320.9750000000004</v>
      </c>
      <c r="AX726" s="49">
        <v>386.89</v>
      </c>
      <c r="AY726" s="49">
        <v>273.39685944453998</v>
      </c>
      <c r="AZ726" s="49">
        <v>617.53192000604997</v>
      </c>
      <c r="BA726" s="49">
        <v>702.39599999999996</v>
      </c>
      <c r="BB726" s="49">
        <v>501.47130712072999</v>
      </c>
      <c r="BC726" s="49">
        <v>1.650378532</v>
      </c>
      <c r="BD726" s="49">
        <v>1.3856999999999999</v>
      </c>
      <c r="BE726" s="49">
        <v>1.544</v>
      </c>
      <c r="BF726" s="49">
        <v>74</v>
      </c>
      <c r="BG726" s="49">
        <v>248</v>
      </c>
      <c r="BH726" s="49">
        <v>264</v>
      </c>
      <c r="BI726" s="49">
        <v>224.5</v>
      </c>
      <c r="BJ726" s="49">
        <v>265.5</v>
      </c>
      <c r="BK726" s="49">
        <v>1774.79</v>
      </c>
      <c r="BL726" s="49">
        <v>84.98</v>
      </c>
      <c r="BM726" s="49">
        <v>5859.95</v>
      </c>
      <c r="BN726" s="49">
        <v>2021.15</v>
      </c>
      <c r="BO726" s="49">
        <v>16335.48</v>
      </c>
      <c r="BP726" s="49">
        <v>15171.81</v>
      </c>
      <c r="BQ726" s="49">
        <v>2425.48</v>
      </c>
      <c r="BR726" s="49">
        <v>1470.79</v>
      </c>
      <c r="BS726" s="49">
        <v>901.8</v>
      </c>
      <c r="BT726" s="49">
        <v>17.164999999999999</v>
      </c>
    </row>
    <row r="727" spans="1:72" s="41" customFormat="1" ht="15" customHeight="1">
      <c r="A727" s="41" t="s">
        <v>1368</v>
      </c>
      <c r="B727" s="51">
        <v>63.353333333329999</v>
      </c>
      <c r="C727" s="51">
        <v>65.849999999999994</v>
      </c>
      <c r="D727" s="51">
        <v>64.41</v>
      </c>
      <c r="E727" s="51">
        <v>59.8</v>
      </c>
      <c r="F727" s="51">
        <v>66.180000000000007</v>
      </c>
      <c r="G727" s="51">
        <v>76.03</v>
      </c>
      <c r="H727" s="51">
        <v>2.2425000000000002</v>
      </c>
      <c r="I727" s="51">
        <v>4.6204722123900002</v>
      </c>
      <c r="J727" s="51">
        <v>10.05669681144</v>
      </c>
      <c r="K727" s="51">
        <v>56.010463863330003</v>
      </c>
      <c r="L727" s="51">
        <v>2.4447100000000002</v>
      </c>
      <c r="M727" s="51">
        <v>3.4550804639999999</v>
      </c>
      <c r="N727" s="51">
        <v>1.6144432259999999</v>
      </c>
      <c r="O727" s="51">
        <v>2.56810384994</v>
      </c>
      <c r="P727" s="51">
        <v>3.21</v>
      </c>
      <c r="Q727" s="51">
        <v>2.28431154983</v>
      </c>
      <c r="R727" s="51">
        <v>2.21</v>
      </c>
      <c r="S727" s="51">
        <v>1031.29</v>
      </c>
      <c r="T727" s="51">
        <v>1528.75</v>
      </c>
      <c r="U727" s="51">
        <v>1362.61</v>
      </c>
      <c r="V727" s="51">
        <v>1404.96</v>
      </c>
      <c r="W727" s="51">
        <v>763.73</v>
      </c>
      <c r="X727" s="51">
        <v>969.77</v>
      </c>
      <c r="Y727" s="51">
        <v>383.2</v>
      </c>
      <c r="Z727" s="51">
        <v>833.52</v>
      </c>
      <c r="AA727" s="51">
        <v>352.68</v>
      </c>
      <c r="AB727" s="51">
        <v>900.66</v>
      </c>
      <c r="AC727" s="51">
        <v>776</v>
      </c>
      <c r="AD727" s="51">
        <v>114.82395833333</v>
      </c>
      <c r="AE727" s="51">
        <v>166.95575120000001</v>
      </c>
      <c r="AF727" s="51">
        <v>163.91349700000001</v>
      </c>
      <c r="AG727" s="51">
        <v>432</v>
      </c>
      <c r="AH727" s="51">
        <v>423</v>
      </c>
      <c r="AI727" s="51">
        <v>400.9</v>
      </c>
      <c r="AJ727" s="51">
        <v>337.43</v>
      </c>
      <c r="AK727" s="51">
        <v>237.67642939500001</v>
      </c>
      <c r="AL727" s="51">
        <v>210.90866579999999</v>
      </c>
      <c r="AM727" s="51">
        <v>0.85824292698000004</v>
      </c>
      <c r="AN727" s="51">
        <v>1.1367571875</v>
      </c>
      <c r="AO727" s="51">
        <v>0.51622480607999999</v>
      </c>
      <c r="AP727" s="51">
        <v>5.5635790319999998</v>
      </c>
      <c r="AQ727" s="51">
        <v>1.97754414</v>
      </c>
      <c r="AR727" s="51">
        <v>8.35</v>
      </c>
      <c r="AS727" s="51">
        <v>13.950835359999999</v>
      </c>
      <c r="AT727" s="51">
        <v>0.36287347199999997</v>
      </c>
      <c r="AU727" s="51">
        <v>0.573421662</v>
      </c>
      <c r="AV727" s="51">
        <v>0.29563954199999998</v>
      </c>
      <c r="AW727" s="51">
        <v>4321.0249999999996</v>
      </c>
      <c r="AX727" s="51">
        <v>388.92</v>
      </c>
      <c r="AY727" s="51">
        <v>272.79560180441001</v>
      </c>
      <c r="AZ727" s="51">
        <v>627.92953225320002</v>
      </c>
      <c r="BA727" s="51">
        <v>714.22249999999997</v>
      </c>
      <c r="BB727" s="51">
        <v>500.36846543000001</v>
      </c>
      <c r="BC727" s="51">
        <v>1.6717633460000001</v>
      </c>
      <c r="BD727" s="51">
        <v>1.4594</v>
      </c>
      <c r="BE727" s="51">
        <v>1.6575</v>
      </c>
      <c r="BF727" s="51">
        <v>72.5</v>
      </c>
      <c r="BG727" s="51">
        <v>238.16</v>
      </c>
      <c r="BH727" s="51">
        <v>243.33</v>
      </c>
      <c r="BI727" s="51">
        <v>217.5</v>
      </c>
      <c r="BJ727" s="51">
        <v>265.5</v>
      </c>
      <c r="BK727" s="51">
        <v>1771.38</v>
      </c>
      <c r="BL727" s="51">
        <v>92.65</v>
      </c>
      <c r="BM727" s="51">
        <v>6077.06</v>
      </c>
      <c r="BN727" s="51">
        <v>1900.54</v>
      </c>
      <c r="BO727" s="51">
        <v>17141.05</v>
      </c>
      <c r="BP727" s="51">
        <v>13829.42</v>
      </c>
      <c r="BQ727" s="51">
        <v>2272.54</v>
      </c>
      <c r="BR727" s="51">
        <v>1479.13</v>
      </c>
      <c r="BS727" s="51">
        <v>924.25</v>
      </c>
      <c r="BT727" s="51">
        <v>17.138000000000002</v>
      </c>
    </row>
    <row r="728" spans="1:72" s="41" customFormat="1" ht="15" customHeight="1">
      <c r="A728" s="48" t="s">
        <v>1373</v>
      </c>
      <c r="B728" s="49">
        <v>61.626666666669998</v>
      </c>
      <c r="C728" s="49">
        <v>63.6</v>
      </c>
      <c r="D728" s="49">
        <v>63.76</v>
      </c>
      <c r="E728" s="49">
        <v>57.52</v>
      </c>
      <c r="F728" s="49">
        <v>69.66</v>
      </c>
      <c r="G728" s="49">
        <v>82.09</v>
      </c>
      <c r="H728" s="49">
        <v>2.0305</v>
      </c>
      <c r="I728" s="49">
        <v>3.6333843472699998</v>
      </c>
      <c r="J728" s="49">
        <v>9.8869500632699996</v>
      </c>
      <c r="K728" s="49">
        <v>48.628477917429997</v>
      </c>
      <c r="L728" s="49">
        <v>2.6030700000000002</v>
      </c>
      <c r="M728" s="49">
        <v>3.1347491779999999</v>
      </c>
      <c r="N728" s="49">
        <v>1.5553594100000001</v>
      </c>
      <c r="O728" s="49">
        <v>2.50762380872</v>
      </c>
      <c r="P728" s="49">
        <v>3.27</v>
      </c>
      <c r="Q728" s="49">
        <v>1.9653714261699999</v>
      </c>
      <c r="R728" s="49">
        <v>2.2875000000000001</v>
      </c>
      <c r="S728" s="49">
        <v>1003.72</v>
      </c>
      <c r="T728" s="49">
        <v>1671.59</v>
      </c>
      <c r="U728" s="49">
        <v>1374.37</v>
      </c>
      <c r="V728" s="49">
        <v>1371.35</v>
      </c>
      <c r="W728" s="49">
        <v>810.07</v>
      </c>
      <c r="X728" s="49">
        <v>970.53</v>
      </c>
      <c r="Y728" s="49">
        <v>387.23</v>
      </c>
      <c r="Z728" s="49">
        <v>875.64</v>
      </c>
      <c r="AA728" s="49">
        <v>355.53</v>
      </c>
      <c r="AB728" s="49">
        <v>945.39</v>
      </c>
      <c r="AC728" s="49">
        <v>806.91</v>
      </c>
      <c r="AD728" s="49">
        <v>114.82395833333</v>
      </c>
      <c r="AE728" s="49">
        <v>171.78620480000001</v>
      </c>
      <c r="AF728" s="49">
        <v>166.22834800000001</v>
      </c>
      <c r="AG728" s="49">
        <v>451</v>
      </c>
      <c r="AH728" s="49">
        <v>440</v>
      </c>
      <c r="AI728" s="49">
        <v>426</v>
      </c>
      <c r="AJ728" s="49">
        <v>348.68</v>
      </c>
      <c r="AK728" s="49">
        <v>247.994051931</v>
      </c>
      <c r="AL728" s="49">
        <v>224.5038237</v>
      </c>
      <c r="AM728" s="49">
        <v>0.87031262898999995</v>
      </c>
      <c r="AN728" s="49">
        <v>1.1698264875</v>
      </c>
      <c r="AO728" s="49">
        <v>0.51241620007999999</v>
      </c>
      <c r="AP728" s="49">
        <v>5.0390999340000002</v>
      </c>
      <c r="AQ728" s="49">
        <v>2.0712404900000001</v>
      </c>
      <c r="AR728" s="49">
        <v>8.4987999999999992</v>
      </c>
      <c r="AS728" s="49">
        <v>13.999337000000001</v>
      </c>
      <c r="AT728" s="49">
        <v>0.36264488</v>
      </c>
      <c r="AU728" s="49">
        <v>0.57099657999999998</v>
      </c>
      <c r="AV728" s="49">
        <v>0.31195372999999998</v>
      </c>
      <c r="AW728" s="49">
        <v>4424.3083333333298</v>
      </c>
      <c r="AX728" s="49">
        <v>388.67500000000001</v>
      </c>
      <c r="AY728" s="49">
        <v>272.39623044117002</v>
      </c>
      <c r="AZ728" s="49">
        <v>626.49207433884999</v>
      </c>
      <c r="BA728" s="49">
        <v>712.58749999999998</v>
      </c>
      <c r="BB728" s="49">
        <v>499.63592856049002</v>
      </c>
      <c r="BC728" s="49">
        <v>1.7431930339999999</v>
      </c>
      <c r="BD728" s="49">
        <v>1.466</v>
      </c>
      <c r="BE728" s="49">
        <v>1.6834</v>
      </c>
      <c r="BF728" s="49">
        <v>72.5</v>
      </c>
      <c r="BG728" s="49">
        <v>264.89999999999998</v>
      </c>
      <c r="BH728" s="49">
        <v>239</v>
      </c>
      <c r="BI728" s="49">
        <v>215.4</v>
      </c>
      <c r="BJ728" s="49">
        <v>268.7</v>
      </c>
      <c r="BK728" s="49">
        <v>1773.09</v>
      </c>
      <c r="BL728" s="49">
        <v>95.76</v>
      </c>
      <c r="BM728" s="49">
        <v>6031.21</v>
      </c>
      <c r="BN728" s="49">
        <v>1923.93</v>
      </c>
      <c r="BO728" s="49">
        <v>17029.18</v>
      </c>
      <c r="BP728" s="49">
        <v>13506.86</v>
      </c>
      <c r="BQ728" s="49">
        <v>2354.31</v>
      </c>
      <c r="BR728" s="49">
        <v>1560.67</v>
      </c>
      <c r="BS728" s="49">
        <v>987.36</v>
      </c>
      <c r="BT728" s="49">
        <v>17.972000000000001</v>
      </c>
    </row>
    <row r="729" spans="1:72" s="41" customFormat="1" ht="15" customHeight="1">
      <c r="A729" s="41" t="s">
        <v>1374</v>
      </c>
      <c r="B729" s="51">
        <v>53.346666666669996</v>
      </c>
      <c r="C729" s="51">
        <v>55</v>
      </c>
      <c r="D729" s="51">
        <v>54.51</v>
      </c>
      <c r="E729" s="51">
        <v>50.53</v>
      </c>
      <c r="F729" s="51">
        <v>67.64</v>
      </c>
      <c r="G729" s="51">
        <v>79.989999999999995</v>
      </c>
      <c r="H729" s="51">
        <v>1.9157999999999999</v>
      </c>
      <c r="I729" s="51">
        <v>2.9077736410599999</v>
      </c>
      <c r="J729" s="51">
        <v>9.8944305055299999</v>
      </c>
      <c r="K729" s="51">
        <v>43.791167729800001</v>
      </c>
      <c r="L729" s="51">
        <v>2.7162099999999998</v>
      </c>
      <c r="M729" s="51">
        <v>2.9872600999999999</v>
      </c>
      <c r="N729" s="51">
        <v>1.5006848340000001</v>
      </c>
      <c r="O729" s="51">
        <v>2.3591170788200002</v>
      </c>
      <c r="P729" s="51">
        <v>3.35</v>
      </c>
      <c r="Q729" s="51">
        <v>1.5998512364599999</v>
      </c>
      <c r="R729" s="51">
        <v>2.1274999999999999</v>
      </c>
      <c r="S729" s="51">
        <v>844.12</v>
      </c>
      <c r="T729" s="51">
        <v>1718.75</v>
      </c>
      <c r="U729" s="51">
        <v>1364.56</v>
      </c>
      <c r="V729" s="51">
        <v>1393.46</v>
      </c>
      <c r="W729" s="51">
        <v>728.81</v>
      </c>
      <c r="X729" s="51">
        <v>801.84</v>
      </c>
      <c r="Y729" s="51">
        <v>375.63</v>
      </c>
      <c r="Z729" s="51">
        <v>800.41</v>
      </c>
      <c r="AA729" s="51">
        <v>354.14</v>
      </c>
      <c r="AB729" s="51">
        <v>902.34</v>
      </c>
      <c r="AC729" s="51">
        <v>823</v>
      </c>
      <c r="AD729" s="51">
        <v>114.82395833333</v>
      </c>
      <c r="AE729" s="51">
        <v>168.71156400000001</v>
      </c>
      <c r="AF729" s="51">
        <v>164.133959</v>
      </c>
      <c r="AG729" s="51">
        <v>450</v>
      </c>
      <c r="AH729" s="51">
        <v>442</v>
      </c>
      <c r="AI729" s="51">
        <v>426.45</v>
      </c>
      <c r="AJ729" s="51">
        <v>357.42</v>
      </c>
      <c r="AK729" s="51">
        <v>238.977155313</v>
      </c>
      <c r="AL729" s="51">
        <v>215.31790620000001</v>
      </c>
      <c r="AM729" s="51">
        <v>0.89920797016999998</v>
      </c>
      <c r="AN729" s="51">
        <v>1.1849832499999999</v>
      </c>
      <c r="AO729" s="51">
        <v>0.51648929260999998</v>
      </c>
      <c r="AP729" s="51">
        <v>4.7173356450000004</v>
      </c>
      <c r="AQ729" s="51">
        <v>1.87613162</v>
      </c>
      <c r="AR729" s="51">
        <v>8.5704999999999991</v>
      </c>
      <c r="AS729" s="51">
        <v>13.999337000000001</v>
      </c>
      <c r="AT729" s="51">
        <v>0.35624430400000001</v>
      </c>
      <c r="AU729" s="51">
        <v>0.58885400200000004</v>
      </c>
      <c r="AV729" s="51">
        <v>0.32584283600000002</v>
      </c>
      <c r="AW729" s="51">
        <v>4443.2916666666697</v>
      </c>
      <c r="AX729" s="51">
        <v>381.815</v>
      </c>
      <c r="AY729" s="51">
        <v>270.56424634114001</v>
      </c>
      <c r="AZ729" s="51">
        <v>621.07764952811999</v>
      </c>
      <c r="BA729" s="51">
        <v>706.42899999999997</v>
      </c>
      <c r="BB729" s="51">
        <v>496.27565784219001</v>
      </c>
      <c r="BC729" s="51">
        <v>1.688077534</v>
      </c>
      <c r="BD729" s="51">
        <v>1.3411999999999999</v>
      </c>
      <c r="BE729" s="51">
        <v>1.6126</v>
      </c>
      <c r="BF729" s="51">
        <v>72.5</v>
      </c>
      <c r="BG729" s="51">
        <v>279.38</v>
      </c>
      <c r="BH729" s="51">
        <v>245</v>
      </c>
      <c r="BI729" s="51">
        <v>214.38</v>
      </c>
      <c r="BJ729" s="51">
        <v>243.38</v>
      </c>
      <c r="BK729" s="51">
        <v>1688.1</v>
      </c>
      <c r="BL729" s="51">
        <v>87.68</v>
      </c>
      <c r="BM729" s="51">
        <v>5687.75</v>
      </c>
      <c r="BN729" s="51">
        <v>1872.54</v>
      </c>
      <c r="BO729" s="51">
        <v>16480.3</v>
      </c>
      <c r="BP729" s="51">
        <v>12715.55</v>
      </c>
      <c r="BQ729" s="51">
        <v>2113.2399999999998</v>
      </c>
      <c r="BR729" s="51">
        <v>1597.1</v>
      </c>
      <c r="BS729" s="51">
        <v>961.1</v>
      </c>
      <c r="BT729" s="51">
        <v>17.88</v>
      </c>
    </row>
    <row r="730" spans="1:72" s="41" customFormat="1" ht="15" customHeight="1">
      <c r="A730" s="48" t="s">
        <v>1375</v>
      </c>
      <c r="B730" s="49">
        <v>32.203333333330001</v>
      </c>
      <c r="C730" s="49">
        <v>32.979999999999997</v>
      </c>
      <c r="D730" s="49">
        <v>33.75</v>
      </c>
      <c r="E730" s="49">
        <v>29.88</v>
      </c>
      <c r="F730" s="49">
        <v>66.739999999999995</v>
      </c>
      <c r="G730" s="49">
        <v>67.89</v>
      </c>
      <c r="H730" s="49">
        <v>1.7927</v>
      </c>
      <c r="I730" s="49">
        <v>2.7188683817500001</v>
      </c>
      <c r="J730" s="49">
        <v>10.21299199713</v>
      </c>
      <c r="K730" s="49">
        <v>41.614091657240003</v>
      </c>
      <c r="L730" s="49">
        <v>2.33847</v>
      </c>
      <c r="M730" s="49">
        <v>3.270112846</v>
      </c>
      <c r="N730" s="49">
        <v>1.487236652</v>
      </c>
      <c r="O730" s="49">
        <v>2.1339190966400001</v>
      </c>
      <c r="P730" s="49">
        <v>3.08</v>
      </c>
      <c r="Q730" s="49">
        <v>1.3277572899100001</v>
      </c>
      <c r="R730" s="49">
        <v>1.994</v>
      </c>
      <c r="S730" s="49">
        <v>837.72</v>
      </c>
      <c r="T730" s="49">
        <v>1868.18</v>
      </c>
      <c r="U730" s="49">
        <v>1400.08</v>
      </c>
      <c r="V730" s="49">
        <v>1412.91</v>
      </c>
      <c r="W730" s="49">
        <v>636.25</v>
      </c>
      <c r="X730" s="49">
        <v>691.04</v>
      </c>
      <c r="Y730" s="49">
        <v>372.61</v>
      </c>
      <c r="Z730" s="49">
        <v>747.8</v>
      </c>
      <c r="AA730" s="49">
        <v>377.25</v>
      </c>
      <c r="AB730" s="49">
        <v>796.67</v>
      </c>
      <c r="AC730" s="49">
        <v>730</v>
      </c>
      <c r="AD730" s="49">
        <v>114.82395833333</v>
      </c>
      <c r="AE730" s="49">
        <v>162.4205576</v>
      </c>
      <c r="AF730" s="49">
        <v>164.354421</v>
      </c>
      <c r="AG730" s="49">
        <v>494</v>
      </c>
      <c r="AH730" s="49">
        <v>477</v>
      </c>
      <c r="AI730" s="49">
        <v>469.64</v>
      </c>
      <c r="AJ730" s="49">
        <v>372.58</v>
      </c>
      <c r="AK730" s="49">
        <v>228.12307519500001</v>
      </c>
      <c r="AL730" s="49">
        <v>209.07148230000001</v>
      </c>
      <c r="AM730" s="49">
        <v>0.90768886773000002</v>
      </c>
      <c r="AN730" s="49">
        <v>1.19531740625</v>
      </c>
      <c r="AO730" s="49">
        <v>0.55378189311000003</v>
      </c>
      <c r="AP730" s="49">
        <v>4.4736149039999997</v>
      </c>
      <c r="AQ730" s="49">
        <v>1.7769237200000001</v>
      </c>
      <c r="AR730" s="49">
        <v>8.6944999999999997</v>
      </c>
      <c r="AS730" s="49">
        <v>13.999337000000001</v>
      </c>
      <c r="AT730" s="49">
        <v>0.36130598400000002</v>
      </c>
      <c r="AU730" s="49">
        <v>0.59723155800000005</v>
      </c>
      <c r="AV730" s="49">
        <v>0.26080654599999997</v>
      </c>
      <c r="AW730" s="49">
        <v>4402.4666666666699</v>
      </c>
      <c r="AX730" s="49">
        <v>387.24</v>
      </c>
      <c r="AY730" s="49">
        <v>276.93194441781998</v>
      </c>
      <c r="AZ730" s="49">
        <v>593.67011862778998</v>
      </c>
      <c r="BA730" s="49">
        <v>675.255</v>
      </c>
      <c r="BB730" s="49">
        <v>507.95544774302999</v>
      </c>
      <c r="BC730" s="49">
        <v>1.492307278</v>
      </c>
      <c r="BD730" s="49">
        <v>1.2095</v>
      </c>
      <c r="BE730" s="49">
        <v>1.4985999999999999</v>
      </c>
      <c r="BF730" s="49">
        <v>71.88</v>
      </c>
      <c r="BG730" s="49">
        <v>276.22000000000003</v>
      </c>
      <c r="BH730" s="49">
        <v>245</v>
      </c>
      <c r="BI730" s="49">
        <v>231.13</v>
      </c>
      <c r="BJ730" s="49">
        <v>235</v>
      </c>
      <c r="BK730" s="49">
        <v>1610.89</v>
      </c>
      <c r="BL730" s="49">
        <v>88.99</v>
      </c>
      <c r="BM730" s="49">
        <v>5182.63</v>
      </c>
      <c r="BN730" s="49">
        <v>1734.44</v>
      </c>
      <c r="BO730" s="49">
        <v>15290.91</v>
      </c>
      <c r="BP730" s="49">
        <v>11846.23</v>
      </c>
      <c r="BQ730" s="49">
        <v>1903.63</v>
      </c>
      <c r="BR730" s="49">
        <v>1591.93</v>
      </c>
      <c r="BS730" s="49">
        <v>759</v>
      </c>
      <c r="BT730" s="49">
        <v>14.884</v>
      </c>
    </row>
    <row r="731" spans="1:72" s="41" customFormat="1" ht="15" customHeight="1">
      <c r="A731" s="41" t="s">
        <v>1390</v>
      </c>
      <c r="B731" s="51">
        <v>21.043333333330001</v>
      </c>
      <c r="C731" s="51">
        <v>23.34</v>
      </c>
      <c r="D731" s="51">
        <v>23.27</v>
      </c>
      <c r="E731" s="51">
        <v>16.52</v>
      </c>
      <c r="F731" s="51">
        <v>58.55</v>
      </c>
      <c r="G731" s="51">
        <v>56.58</v>
      </c>
      <c r="H731" s="51">
        <v>1.7385999999999999</v>
      </c>
      <c r="I731" s="51">
        <v>2.1203186673199999</v>
      </c>
      <c r="J731" s="51">
        <v>10.00988126196</v>
      </c>
      <c r="K731" s="51">
        <v>37.97404004066</v>
      </c>
      <c r="L731" s="51">
        <v>2.2702399999999998</v>
      </c>
      <c r="M731" s="51">
        <v>3.4065788239999999</v>
      </c>
      <c r="N731" s="51">
        <v>1.410074952</v>
      </c>
      <c r="O731" s="51">
        <v>2.355843643</v>
      </c>
      <c r="P731" s="51">
        <v>3.66</v>
      </c>
      <c r="Q731" s="51">
        <v>1.2975309290099999</v>
      </c>
      <c r="R731" s="51">
        <v>2.11</v>
      </c>
      <c r="S731" s="51">
        <v>834.51</v>
      </c>
      <c r="T731" s="51">
        <v>2050</v>
      </c>
      <c r="U731" s="51">
        <v>1390.91</v>
      </c>
      <c r="V731" s="51">
        <v>1527.27</v>
      </c>
      <c r="W731" s="51">
        <v>608.88</v>
      </c>
      <c r="X731" s="51">
        <v>720.69</v>
      </c>
      <c r="Y731" s="51">
        <v>361.26</v>
      </c>
      <c r="Z731" s="51">
        <v>679.98</v>
      </c>
      <c r="AA731" s="51">
        <v>363.83</v>
      </c>
      <c r="AB731" s="51">
        <v>758.96</v>
      </c>
      <c r="AC731" s="51">
        <v>732.1</v>
      </c>
      <c r="AD731" s="51">
        <v>114.82395833333</v>
      </c>
      <c r="AE731" s="51">
        <v>146.90956560000001</v>
      </c>
      <c r="AF731" s="51">
        <v>166.66927200000001</v>
      </c>
      <c r="AG731" s="51">
        <v>564</v>
      </c>
      <c r="AH731" s="51">
        <v>536</v>
      </c>
      <c r="AI731" s="51">
        <v>543.70000000000005</v>
      </c>
      <c r="AJ731" s="51">
        <v>407.14</v>
      </c>
      <c r="AK731" s="51">
        <v>221.68558421099999</v>
      </c>
      <c r="AL731" s="51">
        <v>218.9922732</v>
      </c>
      <c r="AM731" s="51">
        <v>0.90264914086000003</v>
      </c>
      <c r="AN731" s="51">
        <v>1.281435375</v>
      </c>
      <c r="AO731" s="51">
        <v>0.58192325973000003</v>
      </c>
      <c r="AP731" s="51">
        <v>4.4452855370000002</v>
      </c>
      <c r="AQ731" s="51">
        <v>1.2676565</v>
      </c>
      <c r="AR731" s="51">
        <v>8.0358999999999998</v>
      </c>
      <c r="AS731" s="51">
        <v>13.889106</v>
      </c>
      <c r="AT731" s="51">
        <v>0.35490540799999998</v>
      </c>
      <c r="AU731" s="51">
        <v>0.57364212400000003</v>
      </c>
      <c r="AV731" s="51">
        <v>0.225091702</v>
      </c>
      <c r="AW731" s="51">
        <v>4345.3416666666699</v>
      </c>
      <c r="AX731" s="51">
        <v>380.38</v>
      </c>
      <c r="AY731" s="51">
        <v>276.23813700394999</v>
      </c>
      <c r="AZ731" s="51">
        <v>594.96383075070003</v>
      </c>
      <c r="BA731" s="51">
        <v>676.72649999999999</v>
      </c>
      <c r="BB731" s="51">
        <v>506.68284895959999</v>
      </c>
      <c r="BC731" s="51">
        <v>1.400595086</v>
      </c>
      <c r="BD731" s="51">
        <v>1.1067</v>
      </c>
      <c r="BE731" s="51">
        <v>1.3342000000000001</v>
      </c>
      <c r="BF731" s="51">
        <v>70.75</v>
      </c>
      <c r="BG731" s="51">
        <v>282</v>
      </c>
      <c r="BH731" s="51">
        <v>245</v>
      </c>
      <c r="BI731" s="51">
        <v>235</v>
      </c>
      <c r="BJ731" s="51">
        <v>220.38</v>
      </c>
      <c r="BK731" s="51">
        <v>1459.93</v>
      </c>
      <c r="BL731" s="51">
        <v>84.73</v>
      </c>
      <c r="BM731" s="51">
        <v>5057.97</v>
      </c>
      <c r="BN731" s="51">
        <v>1657.55</v>
      </c>
      <c r="BO731" s="51">
        <v>14952.8</v>
      </c>
      <c r="BP731" s="51">
        <v>11804.01</v>
      </c>
      <c r="BQ731" s="51">
        <v>1903.37</v>
      </c>
      <c r="BR731" s="51">
        <v>1683.17</v>
      </c>
      <c r="BS731" s="51">
        <v>753.86</v>
      </c>
      <c r="BT731" s="51">
        <v>15.065</v>
      </c>
    </row>
    <row r="732" spans="1:72" s="41" customFormat="1" ht="15" customHeight="1">
      <c r="A732" s="48" t="s">
        <v>1391</v>
      </c>
      <c r="B732" s="49">
        <v>30.38</v>
      </c>
      <c r="C732" s="49">
        <v>31.02</v>
      </c>
      <c r="D732" s="49">
        <v>31.56</v>
      </c>
      <c r="E732" s="49">
        <v>28.56</v>
      </c>
      <c r="F732" s="49">
        <v>52.49</v>
      </c>
      <c r="G732" s="49">
        <v>57.42</v>
      </c>
      <c r="H732" s="49">
        <v>1.7524999999999999</v>
      </c>
      <c r="I732" s="49">
        <v>1.5751649779200001</v>
      </c>
      <c r="J732" s="49">
        <v>10.07552703066</v>
      </c>
      <c r="K732" s="49">
        <v>35.595661957700003</v>
      </c>
      <c r="L732" s="49">
        <v>2.3159900000000002</v>
      </c>
      <c r="M732" s="49">
        <v>3.3034026079999999</v>
      </c>
      <c r="N732" s="49">
        <v>1.4226412859999999</v>
      </c>
      <c r="O732" s="49">
        <v>2.5072032288999999</v>
      </c>
      <c r="P732" s="49">
        <v>3.76</v>
      </c>
      <c r="Q732" s="49">
        <v>1.78910968669</v>
      </c>
      <c r="R732" s="49">
        <v>1.9724999999999999</v>
      </c>
      <c r="S732" s="49">
        <v>832.33</v>
      </c>
      <c r="T732" s="49">
        <v>2050</v>
      </c>
      <c r="U732" s="49">
        <v>1394.65</v>
      </c>
      <c r="V732" s="49">
        <v>1588.02</v>
      </c>
      <c r="W732" s="49">
        <v>576.55999999999995</v>
      </c>
      <c r="X732" s="49">
        <v>684.95</v>
      </c>
      <c r="Y732" s="49">
        <v>359.17</v>
      </c>
      <c r="Z732" s="49">
        <v>684.78</v>
      </c>
      <c r="AA732" s="49">
        <v>339.1</v>
      </c>
      <c r="AB732" s="49">
        <v>799.83</v>
      </c>
      <c r="AC732" s="49">
        <v>738.26</v>
      </c>
      <c r="AD732" s="49">
        <v>80.376770833329999</v>
      </c>
      <c r="AE732" s="49">
        <v>143.90578719999999</v>
      </c>
      <c r="AF732" s="49">
        <v>175.928676</v>
      </c>
      <c r="AG732" s="49">
        <v>510</v>
      </c>
      <c r="AH732" s="49">
        <v>494</v>
      </c>
      <c r="AI732" s="49">
        <v>492.89</v>
      </c>
      <c r="AJ732" s="49">
        <v>438.42</v>
      </c>
      <c r="AK732" s="49">
        <v>209.927609811</v>
      </c>
      <c r="AL732" s="49">
        <v>205.76455200000001</v>
      </c>
      <c r="AM732" s="49">
        <v>0.90864427425000005</v>
      </c>
      <c r="AN732" s="49">
        <v>1.2952142499999999</v>
      </c>
      <c r="AO732" s="49">
        <v>0.64502974540000002</v>
      </c>
      <c r="AP732" s="49">
        <v>5.0810979449999998</v>
      </c>
      <c r="AQ732" s="49">
        <v>1.5178808699999999</v>
      </c>
      <c r="AR732" s="49">
        <v>7.1098999999999997</v>
      </c>
      <c r="AS732" s="49">
        <v>12.55310628</v>
      </c>
      <c r="AT732" s="49">
        <v>0.35601571199999998</v>
      </c>
      <c r="AU732" s="49">
        <v>0.56989427000000004</v>
      </c>
      <c r="AV732" s="49">
        <v>0.24162635199999999</v>
      </c>
      <c r="AW732" s="49">
        <v>4392.7166666666699</v>
      </c>
      <c r="AX732" s="49">
        <v>381.57</v>
      </c>
      <c r="AY732" s="49">
        <v>277.7328484459</v>
      </c>
      <c r="AZ732" s="49">
        <v>589.45357541235001</v>
      </c>
      <c r="BA732" s="49">
        <v>670.45899999999995</v>
      </c>
      <c r="BB732" s="49">
        <v>509.42448579508999</v>
      </c>
      <c r="BC732" s="49">
        <v>1.4484353400000001</v>
      </c>
      <c r="BD732" s="49">
        <v>1.1177999999999999</v>
      </c>
      <c r="BE732" s="49">
        <v>1.3468</v>
      </c>
      <c r="BF732" s="49">
        <v>72.900000000000006</v>
      </c>
      <c r="BG732" s="49">
        <v>263</v>
      </c>
      <c r="BH732" s="49">
        <v>243</v>
      </c>
      <c r="BI732" s="49">
        <v>201.9</v>
      </c>
      <c r="BJ732" s="49">
        <v>222.2</v>
      </c>
      <c r="BK732" s="49">
        <v>1466.37</v>
      </c>
      <c r="BL732" s="49">
        <v>93.65</v>
      </c>
      <c r="BM732" s="49">
        <v>5239.83</v>
      </c>
      <c r="BN732" s="49">
        <v>1626.34</v>
      </c>
      <c r="BO732" s="49">
        <v>15401.92</v>
      </c>
      <c r="BP732" s="49">
        <v>12179.61</v>
      </c>
      <c r="BQ732" s="49">
        <v>1975.32</v>
      </c>
      <c r="BR732" s="49">
        <v>1715.91</v>
      </c>
      <c r="BS732" s="49">
        <v>790.22</v>
      </c>
      <c r="BT732" s="49">
        <v>16.256</v>
      </c>
    </row>
    <row r="733" spans="1:72" s="41" customFormat="1" ht="15" customHeight="1">
      <c r="A733" s="41" t="s">
        <v>1392</v>
      </c>
      <c r="B733" s="51">
        <v>39.456666666670003</v>
      </c>
      <c r="C733" s="51">
        <v>39.93</v>
      </c>
      <c r="D733" s="51">
        <v>40.14</v>
      </c>
      <c r="E733" s="51">
        <v>38.299999999999997</v>
      </c>
      <c r="F733" s="51">
        <v>52.21</v>
      </c>
      <c r="G733" s="51">
        <v>56.81</v>
      </c>
      <c r="H733" s="51">
        <v>1.6128</v>
      </c>
      <c r="I733" s="51">
        <v>1.7521711121800001</v>
      </c>
      <c r="J733" s="51">
        <v>8.9708190918700002</v>
      </c>
      <c r="K733" s="51">
        <v>33.992281929710003</v>
      </c>
      <c r="L733" s="51">
        <v>2.2286299999999999</v>
      </c>
      <c r="M733" s="51">
        <v>3.119978224</v>
      </c>
      <c r="N733" s="51">
        <v>1.4246254439999999</v>
      </c>
      <c r="O733" s="51">
        <v>2.8358473702899998</v>
      </c>
      <c r="P733" s="51">
        <v>3.3</v>
      </c>
      <c r="Q733" s="51">
        <v>3.3515421108800001</v>
      </c>
      <c r="R733" s="51">
        <v>1.8560000000000001</v>
      </c>
      <c r="S733" s="51">
        <v>916.38</v>
      </c>
      <c r="T733" s="51">
        <v>2050</v>
      </c>
      <c r="U733" s="51">
        <v>1451.36</v>
      </c>
      <c r="V733" s="51">
        <v>1712.82</v>
      </c>
      <c r="W733" s="51">
        <v>656.49</v>
      </c>
      <c r="X733" s="51">
        <v>724.62</v>
      </c>
      <c r="Y733" s="51">
        <v>369.58</v>
      </c>
      <c r="Z733" s="51">
        <v>755.71</v>
      </c>
      <c r="AA733" s="51">
        <v>345.17</v>
      </c>
      <c r="AB733" s="51">
        <v>850.98</v>
      </c>
      <c r="AC733" s="51">
        <v>788.36</v>
      </c>
      <c r="AD733" s="51">
        <v>80.376770833329999</v>
      </c>
      <c r="AE733" s="51">
        <v>147.98824880000001</v>
      </c>
      <c r="AF733" s="51">
        <v>170.85804999999999</v>
      </c>
      <c r="AG733" s="51">
        <v>520</v>
      </c>
      <c r="AH733" s="51">
        <v>501</v>
      </c>
      <c r="AI733" s="51">
        <v>493.64</v>
      </c>
      <c r="AJ733" s="51">
        <v>449.46</v>
      </c>
      <c r="AK733" s="51">
        <v>200.49550972200001</v>
      </c>
      <c r="AL733" s="51">
        <v>198.415818</v>
      </c>
      <c r="AM733" s="51">
        <v>0.90074283349999995</v>
      </c>
      <c r="AN733" s="51">
        <v>1.2952142499999999</v>
      </c>
      <c r="AO733" s="51">
        <v>0.64952601638999996</v>
      </c>
      <c r="AP733" s="51">
        <v>5.0981837499999996</v>
      </c>
      <c r="AQ733" s="51">
        <v>1.5652801999999999</v>
      </c>
      <c r="AR733" s="51">
        <v>7.0823999999999998</v>
      </c>
      <c r="AS733" s="51">
        <v>12.12541</v>
      </c>
      <c r="AT733" s="51">
        <v>0.36754328000000003</v>
      </c>
      <c r="AU733" s="51">
        <v>0.57209889000000003</v>
      </c>
      <c r="AV733" s="51">
        <v>0.26675902000000001</v>
      </c>
      <c r="AW733" s="51">
        <v>4401.8166666666702</v>
      </c>
      <c r="AX733" s="51">
        <v>393.92500000000001</v>
      </c>
      <c r="AY733" s="51">
        <v>276.67457272226</v>
      </c>
      <c r="AZ733" s="51">
        <v>599.94701818712997</v>
      </c>
      <c r="BA733" s="51">
        <v>682.39449999999999</v>
      </c>
      <c r="BB733" s="51">
        <v>507.48337018937002</v>
      </c>
      <c r="BC733" s="51">
        <v>1.49473236</v>
      </c>
      <c r="BD733" s="51">
        <v>1.1731</v>
      </c>
      <c r="BE733" s="51">
        <v>1.4009</v>
      </c>
      <c r="BF733" s="51">
        <v>75</v>
      </c>
      <c r="BG733" s="51">
        <v>273</v>
      </c>
      <c r="BH733" s="51">
        <v>240</v>
      </c>
      <c r="BI733" s="51">
        <v>202</v>
      </c>
      <c r="BJ733" s="51">
        <v>226.25</v>
      </c>
      <c r="BK733" s="51">
        <v>1568.57</v>
      </c>
      <c r="BL733" s="51">
        <v>103.3</v>
      </c>
      <c r="BM733" s="51">
        <v>5754.6</v>
      </c>
      <c r="BN733" s="51">
        <v>1744.84</v>
      </c>
      <c r="BO733" s="51">
        <v>16837.84</v>
      </c>
      <c r="BP733" s="51">
        <v>12727.15</v>
      </c>
      <c r="BQ733" s="51">
        <v>2025.71</v>
      </c>
      <c r="BR733" s="51">
        <v>1732.22</v>
      </c>
      <c r="BS733" s="51">
        <v>820.77</v>
      </c>
      <c r="BT733" s="51">
        <v>17.713000000000001</v>
      </c>
    </row>
    <row r="734" spans="1:72" s="41" customFormat="1" ht="15" customHeight="1">
      <c r="A734" s="48" t="s">
        <v>1393</v>
      </c>
      <c r="B734" s="49">
        <v>42.066666666670002</v>
      </c>
      <c r="C734" s="49">
        <v>42.81</v>
      </c>
      <c r="D734" s="49">
        <v>42.64</v>
      </c>
      <c r="E734" s="49">
        <v>40.75</v>
      </c>
      <c r="F734" s="49">
        <v>51.56</v>
      </c>
      <c r="G734" s="49">
        <v>56.6</v>
      </c>
      <c r="H734" s="49">
        <v>1.7352000000000001</v>
      </c>
      <c r="I734" s="49">
        <v>1.8010354964699999</v>
      </c>
      <c r="J734" s="49">
        <v>7.7864455010600002</v>
      </c>
      <c r="K734" s="49">
        <v>34.908524608450001</v>
      </c>
      <c r="L734" s="49">
        <v>2.1017399999999999</v>
      </c>
      <c r="M734" s="49">
        <v>3.2359412359999999</v>
      </c>
      <c r="N734" s="49">
        <v>1.492307278</v>
      </c>
      <c r="O734" s="49">
        <v>3.0401407819099999</v>
      </c>
      <c r="P734" s="49">
        <v>3.32</v>
      </c>
      <c r="Q734" s="49">
        <v>3.9904223457199999</v>
      </c>
      <c r="R734" s="49">
        <v>1.81</v>
      </c>
      <c r="S734" s="49">
        <v>888.31</v>
      </c>
      <c r="T734" s="49">
        <v>1984.78</v>
      </c>
      <c r="U734" s="49">
        <v>1486.92</v>
      </c>
      <c r="V734" s="49">
        <v>1876.87</v>
      </c>
      <c r="W734" s="49">
        <v>694.16</v>
      </c>
      <c r="X734" s="49">
        <v>683.93</v>
      </c>
      <c r="Y734" s="49">
        <v>381.07</v>
      </c>
      <c r="Z734" s="49">
        <v>821.11</v>
      </c>
      <c r="AA734" s="49">
        <v>355.24</v>
      </c>
      <c r="AB734" s="49">
        <v>890.21</v>
      </c>
      <c r="AC734" s="49">
        <v>833.17</v>
      </c>
      <c r="AD734" s="49">
        <v>80.376770833329999</v>
      </c>
      <c r="AE734" s="49">
        <v>152.55493680000001</v>
      </c>
      <c r="AF734" s="49">
        <v>174.93659700000001</v>
      </c>
      <c r="AG734" s="49">
        <v>480</v>
      </c>
      <c r="AH734" s="49">
        <v>467</v>
      </c>
      <c r="AI734" s="49">
        <v>459.7</v>
      </c>
      <c r="AJ734" s="49">
        <v>444.19</v>
      </c>
      <c r="AK734" s="49">
        <v>212.742174933</v>
      </c>
      <c r="AL734" s="49">
        <v>222.13</v>
      </c>
      <c r="AM734" s="49">
        <v>0.86138446914</v>
      </c>
      <c r="AN734" s="49">
        <v>1.270412275</v>
      </c>
      <c r="AO734" s="49">
        <v>0.66079314249999999</v>
      </c>
      <c r="AP734" s="49">
        <v>4.6988168369999999</v>
      </c>
      <c r="AQ734" s="49">
        <v>1.52339242</v>
      </c>
      <c r="AR734" s="49">
        <v>6.9996999999999998</v>
      </c>
      <c r="AS734" s="49">
        <v>12.51783236</v>
      </c>
      <c r="AT734" s="49">
        <v>0.37427041599999999</v>
      </c>
      <c r="AU734" s="49">
        <v>0.58686984399999997</v>
      </c>
      <c r="AV734" s="49">
        <v>0.27072733599999999</v>
      </c>
      <c r="AW734" s="49">
        <v>4383.6666666666697</v>
      </c>
      <c r="AX734" s="49">
        <v>401.13499999999999</v>
      </c>
      <c r="AY734" s="49">
        <v>278.85148018842</v>
      </c>
      <c r="AZ734" s="49">
        <v>606.84681617601996</v>
      </c>
      <c r="BA734" s="49">
        <v>690.24249999999995</v>
      </c>
      <c r="BB734" s="49">
        <v>511.47630790911001</v>
      </c>
      <c r="BC734" s="49">
        <v>1.5106056240000001</v>
      </c>
      <c r="BD734" s="49">
        <v>1.2002999999999999</v>
      </c>
      <c r="BE734" s="49">
        <v>1.4838</v>
      </c>
      <c r="BF734" s="49">
        <v>75</v>
      </c>
      <c r="BG734" s="49">
        <v>305.10000000000002</v>
      </c>
      <c r="BH734" s="49">
        <v>262.2</v>
      </c>
      <c r="BI734" s="49">
        <v>214.4</v>
      </c>
      <c r="BJ734" s="49">
        <v>237.5</v>
      </c>
      <c r="BK734" s="49">
        <v>1643.81</v>
      </c>
      <c r="BL734" s="49">
        <v>108.52</v>
      </c>
      <c r="BM734" s="49">
        <v>6372.46</v>
      </c>
      <c r="BN734" s="49">
        <v>1817.93</v>
      </c>
      <c r="BO734" s="49">
        <v>17469.919999999998</v>
      </c>
      <c r="BP734" s="49">
        <v>13402.3</v>
      </c>
      <c r="BQ734" s="49">
        <v>2177.1999999999998</v>
      </c>
      <c r="BR734" s="49">
        <v>1846.51</v>
      </c>
      <c r="BS734" s="49">
        <v>864.64</v>
      </c>
      <c r="BT734" s="49">
        <v>20.646999999999998</v>
      </c>
    </row>
    <row r="735" spans="1:72" s="41" customFormat="1" ht="15" customHeight="1">
      <c r="A735" s="41" t="s">
        <v>1394</v>
      </c>
      <c r="B735" s="51">
        <v>43.443333333330003</v>
      </c>
      <c r="C735" s="51">
        <v>44.26</v>
      </c>
      <c r="D735" s="51">
        <v>43.71</v>
      </c>
      <c r="E735" s="51">
        <v>42.36</v>
      </c>
      <c r="F735" s="51">
        <v>50.14</v>
      </c>
      <c r="G735" s="51">
        <v>57.38</v>
      </c>
      <c r="H735" s="51">
        <v>2.3016999999999999</v>
      </c>
      <c r="I735" s="51">
        <v>2.8618966767299998</v>
      </c>
      <c r="J735" s="51">
        <v>6.3435648953200001</v>
      </c>
      <c r="K735" s="51">
        <v>45.85350707672</v>
      </c>
      <c r="L735" s="51">
        <v>2.3486799999999999</v>
      </c>
      <c r="M735" s="51">
        <v>3.5990421499999998</v>
      </c>
      <c r="N735" s="51">
        <v>1.602317816</v>
      </c>
      <c r="O735" s="51">
        <v>3.1485037179400002</v>
      </c>
      <c r="P735" s="51">
        <v>3.37</v>
      </c>
      <c r="Q735" s="51">
        <v>4.0730111538099996</v>
      </c>
      <c r="R735" s="51">
        <v>2.0024999999999999</v>
      </c>
      <c r="S735" s="51">
        <v>981.3</v>
      </c>
      <c r="T735" s="51">
        <v>1929.76</v>
      </c>
      <c r="U735" s="51">
        <v>1479.92</v>
      </c>
      <c r="V735" s="51">
        <v>1876.96</v>
      </c>
      <c r="W735" s="51">
        <v>760.3</v>
      </c>
      <c r="X735" s="51">
        <v>739.17</v>
      </c>
      <c r="Y735" s="51">
        <v>384.55236292427998</v>
      </c>
      <c r="Z735" s="51">
        <v>866.94</v>
      </c>
      <c r="AA735" s="51">
        <v>374.95</v>
      </c>
      <c r="AB735" s="51">
        <v>921.55</v>
      </c>
      <c r="AC735" s="51">
        <v>877.14</v>
      </c>
      <c r="AD735" s="51">
        <v>80.376770833329999</v>
      </c>
      <c r="AE735" s="51">
        <v>149.34250800000001</v>
      </c>
      <c r="AF735" s="51">
        <v>189.487089</v>
      </c>
      <c r="AG735" s="51">
        <v>505</v>
      </c>
      <c r="AH735" s="51">
        <v>486</v>
      </c>
      <c r="AI735" s="51">
        <v>480.85</v>
      </c>
      <c r="AJ735" s="51">
        <v>448.91</v>
      </c>
      <c r="AK735" s="51">
        <v>208.93920508799999</v>
      </c>
      <c r="AL735" s="51">
        <v>223</v>
      </c>
      <c r="AM735" s="51">
        <v>0.89531834531999999</v>
      </c>
      <c r="AN735" s="51">
        <v>1.2504329062499999</v>
      </c>
      <c r="AO735" s="51">
        <v>0.61657099495000001</v>
      </c>
      <c r="AP735" s="51">
        <v>4.6323475439999999</v>
      </c>
      <c r="AQ735" s="51">
        <v>1.496496056</v>
      </c>
      <c r="AR735" s="51">
        <v>6.9996999999999998</v>
      </c>
      <c r="AS735" s="51">
        <v>12.566333999999999</v>
      </c>
      <c r="AT735" s="51">
        <v>0.38625516799999998</v>
      </c>
      <c r="AU735" s="51">
        <v>0.60384541800000002</v>
      </c>
      <c r="AV735" s="51">
        <v>0.28880521999999997</v>
      </c>
      <c r="AW735" s="51">
        <v>4353.3666666666704</v>
      </c>
      <c r="AX735" s="51">
        <v>413.98</v>
      </c>
      <c r="AY735" s="51">
        <v>280.77132910416998</v>
      </c>
      <c r="AZ735" s="51">
        <v>629.12741384849005</v>
      </c>
      <c r="BA735" s="51">
        <v>715.58500000000004</v>
      </c>
      <c r="BB735" s="51">
        <v>514.99774245380002</v>
      </c>
      <c r="BC735" s="51">
        <v>1.541911228</v>
      </c>
      <c r="BD735" s="51">
        <v>1.3213999999999999</v>
      </c>
      <c r="BE735" s="51">
        <v>1.7032</v>
      </c>
      <c r="BF735" s="51">
        <v>76.88</v>
      </c>
      <c r="BG735" s="51">
        <v>341.88</v>
      </c>
      <c r="BH735" s="51">
        <v>276.25</v>
      </c>
      <c r="BI735" s="51">
        <v>249.5</v>
      </c>
      <c r="BJ735" s="51">
        <v>240.38</v>
      </c>
      <c r="BK735" s="51">
        <v>1737.26</v>
      </c>
      <c r="BL735" s="51">
        <v>121.07</v>
      </c>
      <c r="BM735" s="51">
        <v>6498.94</v>
      </c>
      <c r="BN735" s="51">
        <v>1935.73</v>
      </c>
      <c r="BO735" s="51">
        <v>17650.03</v>
      </c>
      <c r="BP735" s="51">
        <v>14537.75</v>
      </c>
      <c r="BQ735" s="51">
        <v>2410.0500000000002</v>
      </c>
      <c r="BR735" s="51">
        <v>1968.63</v>
      </c>
      <c r="BS735" s="51">
        <v>940.33</v>
      </c>
      <c r="BT735" s="51">
        <v>27.003</v>
      </c>
    </row>
    <row r="736" spans="1:72" s="41" customFormat="1" ht="15" customHeight="1">
      <c r="A736" s="48" t="s">
        <v>1395</v>
      </c>
      <c r="B736" s="49">
        <v>40.596666666669996</v>
      </c>
      <c r="C736" s="49">
        <v>41.09</v>
      </c>
      <c r="D736" s="49">
        <v>41.1</v>
      </c>
      <c r="E736" s="49">
        <v>39.6</v>
      </c>
      <c r="F736" s="49">
        <v>54.6</v>
      </c>
      <c r="G736" s="49">
        <v>57.47</v>
      </c>
      <c r="H736" s="49">
        <v>1.9186000000000001</v>
      </c>
      <c r="I736" s="49">
        <v>3.9521394626699999</v>
      </c>
      <c r="J736" s="49">
        <v>5.8838474311300004</v>
      </c>
      <c r="K736" s="49">
        <v>46.072909128329997</v>
      </c>
      <c r="L736" s="49">
        <v>2.4579</v>
      </c>
      <c r="M736" s="49">
        <v>3.6720150720000002</v>
      </c>
      <c r="N736" s="49">
        <v>1.604301974</v>
      </c>
      <c r="O736" s="49">
        <v>3.0796132040500002</v>
      </c>
      <c r="P736" s="49">
        <v>3.35</v>
      </c>
      <c r="Q736" s="49">
        <v>3.8568396121599999</v>
      </c>
      <c r="R736" s="49">
        <v>2.032</v>
      </c>
      <c r="S736" s="49">
        <v>1034.18</v>
      </c>
      <c r="T736" s="49">
        <v>1663.64</v>
      </c>
      <c r="U736" s="49">
        <v>1470.95</v>
      </c>
      <c r="V736" s="49">
        <v>1880.71</v>
      </c>
      <c r="W736" s="49">
        <v>796.22</v>
      </c>
      <c r="X736" s="49">
        <v>767.84</v>
      </c>
      <c r="Y736" s="49">
        <v>423.41</v>
      </c>
      <c r="Z736" s="49">
        <v>905.86</v>
      </c>
      <c r="AA736" s="49">
        <v>408.43</v>
      </c>
      <c r="AB736" s="49">
        <v>938.14</v>
      </c>
      <c r="AC736" s="49">
        <v>982.38482384823999</v>
      </c>
      <c r="AD736" s="49" t="s">
        <v>1599</v>
      </c>
      <c r="AE736" s="49">
        <v>166.0817816</v>
      </c>
      <c r="AF736" s="49" t="s">
        <v>1599</v>
      </c>
      <c r="AG736" s="49">
        <v>507</v>
      </c>
      <c r="AH736" s="49">
        <v>488</v>
      </c>
      <c r="AI736" s="49">
        <v>483</v>
      </c>
      <c r="AJ736" s="49">
        <v>462.66</v>
      </c>
      <c r="AK736" s="49">
        <v>219.683054196</v>
      </c>
      <c r="AL736" s="49">
        <v>247.68</v>
      </c>
      <c r="AM736" s="49">
        <v>0.91014050850999995</v>
      </c>
      <c r="AN736" s="49">
        <v>1.24009875</v>
      </c>
      <c r="AO736" s="49">
        <v>0.60514517692000003</v>
      </c>
      <c r="AP736" s="49">
        <v>4.599057782</v>
      </c>
      <c r="AQ736" s="49">
        <v>1.47158385</v>
      </c>
      <c r="AR736" s="49">
        <v>7.2339000000000002</v>
      </c>
      <c r="AS736" s="49">
        <v>11.85644636</v>
      </c>
      <c r="AT736" s="49">
        <v>0.38514486399999998</v>
      </c>
      <c r="AU736" s="49">
        <v>0.59194047000000005</v>
      </c>
      <c r="AV736" s="49">
        <v>0.28130951199999998</v>
      </c>
      <c r="AW736" s="49">
        <v>4220.3666666666704</v>
      </c>
      <c r="AX736" s="49">
        <v>412.79</v>
      </c>
      <c r="AY736" s="49">
        <v>282.02144775403002</v>
      </c>
      <c r="AZ736" s="49">
        <v>621.89220901292003</v>
      </c>
      <c r="BA736" s="49">
        <v>707.35550000000001</v>
      </c>
      <c r="BB736" s="49">
        <v>517.29074111761997</v>
      </c>
      <c r="BC736" s="49">
        <v>1.5610914220000001</v>
      </c>
      <c r="BD736" s="49">
        <v>1.3705000000000001</v>
      </c>
      <c r="BE736" s="49">
        <v>1.8575999999999999</v>
      </c>
      <c r="BF736" s="49">
        <v>79.38</v>
      </c>
      <c r="BG736" s="49">
        <v>358.38</v>
      </c>
      <c r="BH736" s="49">
        <v>282.5</v>
      </c>
      <c r="BI736" s="49">
        <v>250.5</v>
      </c>
      <c r="BJ736" s="49">
        <v>247.75</v>
      </c>
      <c r="BK736" s="49">
        <v>1743.77</v>
      </c>
      <c r="BL736" s="49">
        <v>123.75</v>
      </c>
      <c r="BM736" s="49">
        <v>6704.9</v>
      </c>
      <c r="BN736" s="49">
        <v>1872.91</v>
      </c>
      <c r="BO736" s="49">
        <v>17951.259999999998</v>
      </c>
      <c r="BP736" s="49">
        <v>14857.49</v>
      </c>
      <c r="BQ736" s="49">
        <v>2442.46</v>
      </c>
      <c r="BR736" s="49">
        <v>1921.92</v>
      </c>
      <c r="BS736" s="49">
        <v>907.62</v>
      </c>
      <c r="BT736" s="49">
        <v>25.742000000000001</v>
      </c>
    </row>
    <row r="737" spans="1:72" s="41" customFormat="1" ht="15" customHeight="1">
      <c r="A737" s="41" t="s">
        <v>1396</v>
      </c>
      <c r="B737" s="51">
        <v>39.9</v>
      </c>
      <c r="C737" s="51">
        <v>40.47</v>
      </c>
      <c r="D737" s="51">
        <v>39.700000000000003</v>
      </c>
      <c r="E737" s="51">
        <v>39.53</v>
      </c>
      <c r="F737" s="51">
        <v>58.4</v>
      </c>
      <c r="G737" s="51">
        <v>61.04</v>
      </c>
      <c r="H737" s="51">
        <v>2.2473000000000001</v>
      </c>
      <c r="I737" s="51">
        <v>4.8895904081600001</v>
      </c>
      <c r="J737" s="51">
        <v>6.1792051617599997</v>
      </c>
      <c r="K737" s="51">
        <v>54.721154852959998</v>
      </c>
      <c r="L737" s="51">
        <v>2.2920500000000001</v>
      </c>
      <c r="M737" s="51">
        <v>3.3523451720000002</v>
      </c>
      <c r="N737" s="51">
        <v>1.507078232</v>
      </c>
      <c r="O737" s="51">
        <v>2.9974193484799998</v>
      </c>
      <c r="P737" s="51">
        <v>3.51</v>
      </c>
      <c r="Q737" s="51">
        <v>3.50475804543</v>
      </c>
      <c r="R737" s="51">
        <v>1.9775</v>
      </c>
      <c r="S737" s="51">
        <v>1118.3599999999999</v>
      </c>
      <c r="T737" s="51">
        <v>1532.73</v>
      </c>
      <c r="U737" s="51">
        <v>1438.22</v>
      </c>
      <c r="V737" s="51">
        <v>1877.59</v>
      </c>
      <c r="W737" s="51">
        <v>819.27</v>
      </c>
      <c r="X737" s="51">
        <v>805.91</v>
      </c>
      <c r="Y737" s="51">
        <v>454.25</v>
      </c>
      <c r="Z737" s="51">
        <v>914.77</v>
      </c>
      <c r="AA737" s="51">
        <v>465.55</v>
      </c>
      <c r="AB737" s="51">
        <v>927.71</v>
      </c>
      <c r="AC737" s="51">
        <v>981.40243902438999</v>
      </c>
      <c r="AD737" s="51" t="s">
        <v>1599</v>
      </c>
      <c r="AE737" s="51">
        <v>186.74604479999999</v>
      </c>
      <c r="AF737" s="51" t="s">
        <v>1599</v>
      </c>
      <c r="AG737" s="51">
        <v>471</v>
      </c>
      <c r="AH737" s="51">
        <v>463</v>
      </c>
      <c r="AI737" s="51">
        <v>454.5</v>
      </c>
      <c r="AJ737" s="51">
        <v>459.17</v>
      </c>
      <c r="AK737" s="51">
        <v>245.19785864400001</v>
      </c>
      <c r="AL737" s="51">
        <v>272.36</v>
      </c>
      <c r="AM737" s="51">
        <v>0.90325182884999999</v>
      </c>
      <c r="AN737" s="51">
        <v>1.1326235250000001</v>
      </c>
      <c r="AO737" s="51">
        <v>0.60990593443999996</v>
      </c>
      <c r="AP737" s="51">
        <v>4.4247825709999997</v>
      </c>
      <c r="AQ737" s="51">
        <v>1.5013462200000001</v>
      </c>
      <c r="AR737" s="51">
        <v>7.9917999999999996</v>
      </c>
      <c r="AS737" s="51">
        <v>11.353793</v>
      </c>
      <c r="AT737" s="51">
        <v>0.38436112</v>
      </c>
      <c r="AU737" s="51">
        <v>0.60737280999999999</v>
      </c>
      <c r="AV737" s="51">
        <v>0.30269432600000001</v>
      </c>
      <c r="AW737" s="51">
        <v>4245.3999999999996</v>
      </c>
      <c r="AX737" s="51">
        <v>411.95</v>
      </c>
      <c r="AY737" s="51">
        <v>282.98654016080002</v>
      </c>
      <c r="AZ737" s="51">
        <v>621.65263269386003</v>
      </c>
      <c r="BA737" s="51">
        <v>707.08299999999997</v>
      </c>
      <c r="BB737" s="51">
        <v>519.06093757012002</v>
      </c>
      <c r="BC737" s="51">
        <v>1.649496684</v>
      </c>
      <c r="BD737" s="51">
        <v>1.5285</v>
      </c>
      <c r="BE737" s="51">
        <v>2.1865000000000001</v>
      </c>
      <c r="BF737" s="51">
        <v>80</v>
      </c>
      <c r="BG737" s="51">
        <v>357.1</v>
      </c>
      <c r="BH737" s="51">
        <v>290</v>
      </c>
      <c r="BI737" s="51">
        <v>245</v>
      </c>
      <c r="BJ737" s="51">
        <v>255</v>
      </c>
      <c r="BK737" s="51">
        <v>1806.1</v>
      </c>
      <c r="BL737" s="51">
        <v>119.78</v>
      </c>
      <c r="BM737" s="51">
        <v>6713.81</v>
      </c>
      <c r="BN737" s="51">
        <v>1776.27</v>
      </c>
      <c r="BO737" s="51">
        <v>18176.59</v>
      </c>
      <c r="BP737" s="51">
        <v>15239.36</v>
      </c>
      <c r="BQ737" s="51">
        <v>2440.65</v>
      </c>
      <c r="BR737" s="51">
        <v>1900.27</v>
      </c>
      <c r="BS737" s="51">
        <v>876.27</v>
      </c>
      <c r="BT737" s="51">
        <v>24.23</v>
      </c>
    </row>
    <row r="738" spans="1:72" s="41" customFormat="1" ht="15" customHeight="1">
      <c r="A738" s="48" t="s">
        <v>1397</v>
      </c>
      <c r="B738" s="49">
        <v>42.303333333330002</v>
      </c>
      <c r="C738" s="49">
        <v>43.23</v>
      </c>
      <c r="D738" s="49">
        <v>42.58</v>
      </c>
      <c r="E738" s="49">
        <v>41.1</v>
      </c>
      <c r="F738" s="49">
        <v>64.400000000000006</v>
      </c>
      <c r="G738" s="49">
        <v>69.430000000000007</v>
      </c>
      <c r="H738" s="49">
        <v>2.5880999999999998</v>
      </c>
      <c r="I738" s="49">
        <v>4.8358390051600004</v>
      </c>
      <c r="J738" s="49">
        <v>6.8555053474400003</v>
      </c>
      <c r="K738" s="49">
        <v>59.062273054830001</v>
      </c>
      <c r="L738" s="49">
        <v>2.35819</v>
      </c>
      <c r="M738" s="49">
        <v>3.3230237260000002</v>
      </c>
      <c r="N738" s="49">
        <v>1.5957039559999999</v>
      </c>
      <c r="O738" s="49">
        <v>2.7794276016500001</v>
      </c>
      <c r="P738" s="49">
        <v>3.47</v>
      </c>
      <c r="Q738" s="49">
        <v>2.8832828049499999</v>
      </c>
      <c r="R738" s="49">
        <v>1.9850000000000001</v>
      </c>
      <c r="S738" s="49">
        <v>1368.95</v>
      </c>
      <c r="T738" s="49">
        <v>1607.14</v>
      </c>
      <c r="U738" s="49">
        <v>1442.77</v>
      </c>
      <c r="V738" s="49">
        <v>1878.61</v>
      </c>
      <c r="W738" s="49">
        <v>917.81</v>
      </c>
      <c r="X738" s="49">
        <v>1073.48</v>
      </c>
      <c r="Y738" s="49">
        <v>499.98</v>
      </c>
      <c r="Z738" s="49">
        <v>973.88</v>
      </c>
      <c r="AA738" s="49">
        <v>495.98</v>
      </c>
      <c r="AB738" s="49">
        <v>1047.78</v>
      </c>
      <c r="AC738" s="49">
        <v>1109.1124661246599</v>
      </c>
      <c r="AD738" s="49" t="s">
        <v>1599</v>
      </c>
      <c r="AE738" s="49">
        <v>190.37577440000001</v>
      </c>
      <c r="AF738" s="49" t="s">
        <v>1599</v>
      </c>
      <c r="AG738" s="49">
        <v>489</v>
      </c>
      <c r="AH738" s="49">
        <v>480</v>
      </c>
      <c r="AI738" s="49">
        <v>468.48</v>
      </c>
      <c r="AJ738" s="49">
        <v>469.5</v>
      </c>
      <c r="AK738" s="49">
        <v>247.94628516</v>
      </c>
      <c r="AL738" s="49">
        <v>273</v>
      </c>
      <c r="AM738" s="49">
        <v>0.88583047379000002</v>
      </c>
      <c r="AN738" s="49">
        <v>1.1298677500000001</v>
      </c>
      <c r="AO738" s="49">
        <v>0.64656376726999998</v>
      </c>
      <c r="AP738" s="49">
        <v>4.395902049</v>
      </c>
      <c r="AQ738" s="49">
        <v>1.7046121839999999</v>
      </c>
      <c r="AR738" s="49">
        <v>8.3775999999999993</v>
      </c>
      <c r="AS738" s="49">
        <v>11.532367219999999</v>
      </c>
      <c r="AT738" s="49">
        <v>0.38651641599999997</v>
      </c>
      <c r="AU738" s="49">
        <v>0.64661504599999997</v>
      </c>
      <c r="AV738" s="49">
        <v>0.31151280599999998</v>
      </c>
      <c r="AW738" s="49">
        <v>4222.2333333333299</v>
      </c>
      <c r="AX738" s="49">
        <v>414.26</v>
      </c>
      <c r="AY738" s="49">
        <v>285.20965726112001</v>
      </c>
      <c r="AZ738" s="49">
        <v>632.96063495343003</v>
      </c>
      <c r="BA738" s="49">
        <v>719.94500000000005</v>
      </c>
      <c r="BB738" s="49">
        <v>523.13863414807997</v>
      </c>
      <c r="BC738" s="49">
        <v>1.7134306640000001</v>
      </c>
      <c r="BD738" s="49">
        <v>1.5591999999999999</v>
      </c>
      <c r="BE738" s="49">
        <v>2.3016999999999999</v>
      </c>
      <c r="BF738" s="49">
        <v>82.5</v>
      </c>
      <c r="BG738" s="49">
        <v>359.63</v>
      </c>
      <c r="BH738" s="49">
        <v>292.5</v>
      </c>
      <c r="BI738" s="49">
        <v>245</v>
      </c>
      <c r="BJ738" s="49">
        <v>250</v>
      </c>
      <c r="BK738" s="49">
        <v>1935.28</v>
      </c>
      <c r="BL738" s="49">
        <v>124.36</v>
      </c>
      <c r="BM738" s="49">
        <v>7068.91</v>
      </c>
      <c r="BN738" s="49">
        <v>1915.62</v>
      </c>
      <c r="BO738" s="49">
        <v>18522.48</v>
      </c>
      <c r="BP738" s="49">
        <v>15807.73</v>
      </c>
      <c r="BQ738" s="49">
        <v>2671.6</v>
      </c>
      <c r="BR738" s="49">
        <v>1866.3</v>
      </c>
      <c r="BS738" s="49">
        <v>911.55</v>
      </c>
      <c r="BT738" s="49">
        <v>24.079000000000001</v>
      </c>
    </row>
    <row r="739" spans="1:72" s="41" customFormat="1" ht="15" customHeight="1">
      <c r="A739" s="41" t="s">
        <v>1398</v>
      </c>
      <c r="B739" s="51">
        <v>48.726666666669999</v>
      </c>
      <c r="C739" s="51">
        <v>49.87</v>
      </c>
      <c r="D739" s="51">
        <v>49.26</v>
      </c>
      <c r="E739" s="51">
        <v>47.05</v>
      </c>
      <c r="F739" s="51">
        <v>83.03</v>
      </c>
      <c r="G739" s="51">
        <v>85.18</v>
      </c>
      <c r="H739" s="51">
        <v>2.5387</v>
      </c>
      <c r="I739" s="51">
        <v>5.8561062960400001</v>
      </c>
      <c r="J739" s="51">
        <v>7.6610025630500003</v>
      </c>
      <c r="K739" s="51">
        <v>63.858432563169998</v>
      </c>
      <c r="L739" s="51">
        <v>2.4072</v>
      </c>
      <c r="M739" s="51">
        <v>3.479110822</v>
      </c>
      <c r="N739" s="51">
        <v>1.5882082479999999</v>
      </c>
      <c r="O739" s="51">
        <v>2.6469430764499999</v>
      </c>
      <c r="P739" s="51">
        <v>3.41</v>
      </c>
      <c r="Q739" s="51">
        <v>2.59582922936</v>
      </c>
      <c r="R739" s="51">
        <v>1.9350000000000001</v>
      </c>
      <c r="S739" s="51">
        <v>1464.9645697758499</v>
      </c>
      <c r="T739" s="51">
        <v>1937.5</v>
      </c>
      <c r="U739" s="51">
        <v>1497.6851211072701</v>
      </c>
      <c r="V739" s="51">
        <v>1977.1738914549701</v>
      </c>
      <c r="W739" s="51">
        <v>1016.37389145497</v>
      </c>
      <c r="X739" s="51">
        <v>1224.8682051282101</v>
      </c>
      <c r="Y739" s="51">
        <v>510.93573705179</v>
      </c>
      <c r="Z739" s="51">
        <v>1026.1958677686</v>
      </c>
      <c r="AA739" s="51">
        <v>494.97802020201999</v>
      </c>
      <c r="AB739" s="51">
        <v>1097.6258446601901</v>
      </c>
      <c r="AC739" s="51">
        <v>1170.02032520325</v>
      </c>
      <c r="AD739" s="51" t="s">
        <v>1599</v>
      </c>
      <c r="AE739" s="51">
        <v>198.76903200000001</v>
      </c>
      <c r="AF739" s="51" t="s">
        <v>1599</v>
      </c>
      <c r="AG739" s="51">
        <v>520</v>
      </c>
      <c r="AH739" s="51">
        <v>508</v>
      </c>
      <c r="AI739" s="51">
        <v>496.55</v>
      </c>
      <c r="AJ739" s="51">
        <v>477.39</v>
      </c>
      <c r="AK739" s="51">
        <v>251.15400755100001</v>
      </c>
      <c r="AL739" s="51">
        <v>268.55</v>
      </c>
      <c r="AM739" s="51">
        <v>0.92024241631000003</v>
      </c>
      <c r="AN739" s="51">
        <v>1.1505360625000001</v>
      </c>
      <c r="AO739" s="51">
        <v>0.63767701991000003</v>
      </c>
      <c r="AP739" s="51">
        <v>4.4021852160000003</v>
      </c>
      <c r="AQ739" s="51">
        <v>1.8077884</v>
      </c>
      <c r="AR739" s="51">
        <v>8.3775999999999993</v>
      </c>
      <c r="AS739" s="51">
        <v>11.684486</v>
      </c>
      <c r="AT739" s="51">
        <v>0.39732555200000003</v>
      </c>
      <c r="AU739" s="51">
        <v>0.62655300400000002</v>
      </c>
      <c r="AV739" s="51">
        <v>0.31041049599999998</v>
      </c>
      <c r="AW739" s="51">
        <v>4200.3999999999996</v>
      </c>
      <c r="AX739" s="51">
        <v>425.84500000000003</v>
      </c>
      <c r="AY739" s="51">
        <v>286.85858570933999</v>
      </c>
      <c r="AZ739" s="51">
        <v>643.93323036633001</v>
      </c>
      <c r="BA739" s="51">
        <v>732.42550000000006</v>
      </c>
      <c r="BB739" s="51">
        <v>526.16313964516996</v>
      </c>
      <c r="BC739" s="51">
        <v>1.7861831239999999</v>
      </c>
      <c r="BD739" s="51">
        <v>1.5724</v>
      </c>
      <c r="BE739" s="51">
        <v>2.327</v>
      </c>
      <c r="BF739" s="51">
        <v>83.33</v>
      </c>
      <c r="BG739" s="51">
        <v>388.5</v>
      </c>
      <c r="BH739" s="51">
        <v>320</v>
      </c>
      <c r="BI739" s="51">
        <v>245</v>
      </c>
      <c r="BJ739" s="51">
        <v>246.33</v>
      </c>
      <c r="BK739" s="51">
        <v>2014.67</v>
      </c>
      <c r="BL739" s="51">
        <v>155.43</v>
      </c>
      <c r="BM739" s="51">
        <v>7772.24</v>
      </c>
      <c r="BN739" s="51">
        <v>2020.47</v>
      </c>
      <c r="BO739" s="51">
        <v>19731.96</v>
      </c>
      <c r="BP739" s="51">
        <v>16823.04</v>
      </c>
      <c r="BQ739" s="51">
        <v>2779.85</v>
      </c>
      <c r="BR739" s="51">
        <v>1858.42</v>
      </c>
      <c r="BS739" s="51">
        <v>1028</v>
      </c>
      <c r="BT739" s="51">
        <v>24.968</v>
      </c>
    </row>
    <row r="740" spans="1:72" s="41" customFormat="1" ht="15" customHeight="1">
      <c r="A740" s="48" t="s">
        <v>1399</v>
      </c>
      <c r="B740" s="49">
        <v>53.603333333329999</v>
      </c>
      <c r="C740" s="49">
        <v>54.55</v>
      </c>
      <c r="D740" s="49">
        <v>54.16</v>
      </c>
      <c r="E740" s="49">
        <v>52.1</v>
      </c>
      <c r="F740" s="49">
        <v>86.83</v>
      </c>
      <c r="G740" s="49">
        <v>86.85</v>
      </c>
      <c r="H740" s="49">
        <v>2.6655000000000002</v>
      </c>
      <c r="I740" s="49">
        <v>7.2683017492999999</v>
      </c>
      <c r="J740" s="49">
        <v>9.0037875279499993</v>
      </c>
      <c r="K740" s="49">
        <v>73.021479326420007</v>
      </c>
      <c r="L740" s="49">
        <v>2.39141</v>
      </c>
      <c r="M740" s="49">
        <v>3.5423834159999998</v>
      </c>
      <c r="N740" s="49">
        <v>1.559327726</v>
      </c>
      <c r="O740" s="49">
        <v>2.6795255398700002</v>
      </c>
      <c r="P740" s="49">
        <v>3.39</v>
      </c>
      <c r="Q740" s="49">
        <v>2.6210766196200002</v>
      </c>
      <c r="R740" s="49">
        <v>2.0274999999999999</v>
      </c>
      <c r="S740" s="49">
        <v>1463.07</v>
      </c>
      <c r="T740" s="49">
        <v>1892.86</v>
      </c>
      <c r="U740" s="49">
        <v>1495.98</v>
      </c>
      <c r="V740" s="49">
        <v>1988.94048883757</v>
      </c>
      <c r="W740" s="49">
        <v>990.27</v>
      </c>
      <c r="X740" s="49">
        <v>1368.31</v>
      </c>
      <c r="Y740" s="49">
        <v>576.37</v>
      </c>
      <c r="Z740" s="49">
        <v>1098.67</v>
      </c>
      <c r="AA740" s="49">
        <v>562.38</v>
      </c>
      <c r="AB740" s="49">
        <v>1141.24</v>
      </c>
      <c r="AC740" s="49">
        <v>1276.1178861788601</v>
      </c>
      <c r="AD740" s="49" t="s">
        <v>1599</v>
      </c>
      <c r="AE740" s="49">
        <v>234.46795014720001</v>
      </c>
      <c r="AF740" s="49" t="s">
        <v>1599</v>
      </c>
      <c r="AG740" s="49">
        <v>545</v>
      </c>
      <c r="AH740" s="49">
        <v>528</v>
      </c>
      <c r="AI740" s="49">
        <v>517.75</v>
      </c>
      <c r="AJ740" s="49">
        <v>490.98</v>
      </c>
      <c r="AK740" s="49">
        <v>276.448349979</v>
      </c>
      <c r="AL740" s="49">
        <v>289.3</v>
      </c>
      <c r="AM740" s="49">
        <v>0.93904568091999996</v>
      </c>
      <c r="AN740" s="49">
        <v>1.2366540312500001</v>
      </c>
      <c r="AO740" s="49">
        <v>0.63418579773999995</v>
      </c>
      <c r="AP740" s="49">
        <v>4.4566393299999998</v>
      </c>
      <c r="AQ740" s="49">
        <v>1.8077884</v>
      </c>
      <c r="AR740" s="49">
        <v>8.7082999999999995</v>
      </c>
      <c r="AS740" s="49">
        <v>11.752829220000001</v>
      </c>
      <c r="AT740" s="49">
        <v>0.39758680000000002</v>
      </c>
      <c r="AU740" s="49">
        <v>0.634710098</v>
      </c>
      <c r="AV740" s="49">
        <v>0.335543164</v>
      </c>
      <c r="AW740" s="49">
        <v>4157.3999999999996</v>
      </c>
      <c r="AX740" s="49">
        <v>426.125</v>
      </c>
      <c r="AY740" s="49">
        <v>286.99685746569003</v>
      </c>
      <c r="AZ740" s="49">
        <v>653.75585944774002</v>
      </c>
      <c r="BA740" s="49">
        <v>743.59799999999996</v>
      </c>
      <c r="BB740" s="49">
        <v>526.41676113348001</v>
      </c>
      <c r="BC740" s="49">
        <v>1.9230900259999999</v>
      </c>
      <c r="BD740" s="49">
        <v>1.5943000000000001</v>
      </c>
      <c r="BE740" s="49">
        <v>2.2972999999999999</v>
      </c>
      <c r="BF740" s="49">
        <v>85</v>
      </c>
      <c r="BG740" s="49">
        <v>421.3</v>
      </c>
      <c r="BH740" s="49">
        <v>337.6</v>
      </c>
      <c r="BI740" s="49">
        <v>265</v>
      </c>
      <c r="BJ740" s="49">
        <v>255.5</v>
      </c>
      <c r="BK740" s="49">
        <v>2003.98</v>
      </c>
      <c r="BL740" s="49">
        <v>169.63</v>
      </c>
      <c r="BM740" s="49">
        <v>7972.15</v>
      </c>
      <c r="BN740" s="49">
        <v>2014.73</v>
      </c>
      <c r="BO740" s="49">
        <v>21920.240000000002</v>
      </c>
      <c r="BP740" s="49">
        <v>17863.18</v>
      </c>
      <c r="BQ740" s="49">
        <v>2705.34</v>
      </c>
      <c r="BR740" s="49">
        <v>1866.98</v>
      </c>
      <c r="BS740" s="49">
        <v>1090.95</v>
      </c>
      <c r="BT740" s="49">
        <v>25.88</v>
      </c>
    </row>
    <row r="741" spans="1:72" s="41" customFormat="1" ht="15" customHeight="1">
      <c r="A741" s="41" t="s">
        <v>1400</v>
      </c>
      <c r="B741" s="51">
        <v>60.463333333329999</v>
      </c>
      <c r="C741" s="51">
        <v>61.96</v>
      </c>
      <c r="D741" s="51">
        <v>60.37</v>
      </c>
      <c r="E741" s="51">
        <v>59.06</v>
      </c>
      <c r="F741" s="51">
        <v>86.74</v>
      </c>
      <c r="G741" s="51">
        <v>82.76</v>
      </c>
      <c r="H741" s="51">
        <v>5.0651000000000002</v>
      </c>
      <c r="I741" s="51">
        <v>6.1585071665199997</v>
      </c>
      <c r="J741" s="51">
        <v>9.8794278121599994</v>
      </c>
      <c r="K741" s="51">
        <v>97.478025425929999</v>
      </c>
      <c r="L741" s="51">
        <v>2.40544</v>
      </c>
      <c r="M741" s="51">
        <v>3.6691490660000001</v>
      </c>
      <c r="N741" s="51">
        <v>1.6175296939999999</v>
      </c>
      <c r="O741" s="51">
        <v>2.5554176964000002</v>
      </c>
      <c r="P741" s="51">
        <v>3.32</v>
      </c>
      <c r="Q741" s="51">
        <v>2.3262530891900002</v>
      </c>
      <c r="R741" s="51">
        <v>2.02</v>
      </c>
      <c r="S741" s="51">
        <v>1444.5</v>
      </c>
      <c r="T741" s="51">
        <v>1875</v>
      </c>
      <c r="U741" s="51">
        <v>1479.18</v>
      </c>
      <c r="V741" s="51">
        <v>1993.2059724793701</v>
      </c>
      <c r="W741" s="51">
        <v>1019.86</v>
      </c>
      <c r="X741" s="51">
        <v>1359.5</v>
      </c>
      <c r="Y741" s="51">
        <v>578.26</v>
      </c>
      <c r="Z741" s="51">
        <v>1123.5</v>
      </c>
      <c r="AA741" s="51">
        <v>548.44000000000005</v>
      </c>
      <c r="AB741" s="51">
        <v>1272.1300000000001</v>
      </c>
      <c r="AC741" s="51">
        <v>1362.56775067751</v>
      </c>
      <c r="AD741" s="51" t="s">
        <v>1599</v>
      </c>
      <c r="AE741" s="51">
        <v>245.23508240000001</v>
      </c>
      <c r="AF741" s="51" t="s">
        <v>1599</v>
      </c>
      <c r="AG741" s="51">
        <v>557</v>
      </c>
      <c r="AH741" s="51">
        <v>542</v>
      </c>
      <c r="AI741" s="51">
        <v>531</v>
      </c>
      <c r="AJ741" s="51">
        <v>500.48</v>
      </c>
      <c r="AK741" s="51">
        <v>276.62839396200002</v>
      </c>
      <c r="AL741" s="51">
        <v>289.39999999999998</v>
      </c>
      <c r="AM741" s="51">
        <v>0.94597281741999995</v>
      </c>
      <c r="AN741" s="51">
        <v>1.22287515625</v>
      </c>
      <c r="AO741" s="51">
        <v>0.58382756274000003</v>
      </c>
      <c r="AP741" s="51">
        <v>4.6616689899999999</v>
      </c>
      <c r="AQ741" s="51">
        <v>1.8077884</v>
      </c>
      <c r="AR741" s="51">
        <v>9.3696999999999999</v>
      </c>
      <c r="AS741" s="51">
        <v>11.932505750000001</v>
      </c>
      <c r="AT741" s="51">
        <v>0.39503963199999997</v>
      </c>
      <c r="AU741" s="51">
        <v>0.65521306400000001</v>
      </c>
      <c r="AV741" s="51">
        <v>0.35692797799999998</v>
      </c>
      <c r="AW741" s="51">
        <v>4185.4333333333298</v>
      </c>
      <c r="AX741" s="51">
        <v>423.39499999999998</v>
      </c>
      <c r="AY741" s="51">
        <v>282.52998030668999</v>
      </c>
      <c r="AZ741" s="51">
        <v>664.00972590345998</v>
      </c>
      <c r="BA741" s="51">
        <v>755.26099999999997</v>
      </c>
      <c r="BB741" s="51">
        <v>518.22350415085998</v>
      </c>
      <c r="BC741" s="51">
        <v>2.0450055119999999</v>
      </c>
      <c r="BD741" s="51">
        <v>1.6802999999999999</v>
      </c>
      <c r="BE741" s="51">
        <v>2.3460999999999999</v>
      </c>
      <c r="BF741" s="51">
        <v>88.13</v>
      </c>
      <c r="BG741" s="51">
        <v>528.88</v>
      </c>
      <c r="BH741" s="51">
        <v>453.75</v>
      </c>
      <c r="BI741" s="51">
        <v>335</v>
      </c>
      <c r="BJ741" s="51">
        <v>290.63</v>
      </c>
      <c r="BK741" s="51">
        <v>2078.59</v>
      </c>
      <c r="BL741" s="51">
        <v>163.80000000000001</v>
      </c>
      <c r="BM741" s="51">
        <v>8470.94</v>
      </c>
      <c r="BN741" s="51">
        <v>2080.11</v>
      </c>
      <c r="BO741" s="51">
        <v>26315.75</v>
      </c>
      <c r="BP741" s="51">
        <v>18584.38</v>
      </c>
      <c r="BQ741" s="51">
        <v>2744.5</v>
      </c>
      <c r="BR741" s="51">
        <v>1808.17</v>
      </c>
      <c r="BS741" s="51">
        <v>1206.7</v>
      </c>
      <c r="BT741" s="51">
        <v>27.292999999999999</v>
      </c>
    </row>
    <row r="742" spans="1:72" s="41" customFormat="1" ht="15" customHeight="1">
      <c r="A742" s="48" t="s">
        <v>1411</v>
      </c>
      <c r="B742" s="49">
        <v>63.83</v>
      </c>
      <c r="C742" s="49">
        <v>65.19</v>
      </c>
      <c r="D742" s="49">
        <v>63.95</v>
      </c>
      <c r="E742" s="49">
        <v>62.35</v>
      </c>
      <c r="F742" s="49">
        <v>94.92</v>
      </c>
      <c r="G742" s="49">
        <v>90.66</v>
      </c>
      <c r="H742" s="49">
        <v>2.5644999999999998</v>
      </c>
      <c r="I742" s="49">
        <v>6.1270695793499996</v>
      </c>
      <c r="J742" s="49">
        <v>7.8950515719499998</v>
      </c>
      <c r="K742" s="49">
        <v>65.618450373450003</v>
      </c>
      <c r="L742" s="49">
        <v>2.4613200000000002</v>
      </c>
      <c r="M742" s="49">
        <v>3.6828177100000001</v>
      </c>
      <c r="N742" s="49">
        <v>1.628332332</v>
      </c>
      <c r="O742" s="49">
        <v>2.4297147142600002</v>
      </c>
      <c r="P742" s="49">
        <v>3.27</v>
      </c>
      <c r="Q742" s="49">
        <v>2.0231441427800001</v>
      </c>
      <c r="R742" s="49">
        <v>1.996</v>
      </c>
      <c r="S742" s="49">
        <v>1540.65</v>
      </c>
      <c r="T742" s="49">
        <v>1623.04</v>
      </c>
      <c r="U742" s="49">
        <v>1476.34</v>
      </c>
      <c r="V742" s="49">
        <v>2006.0389818224601</v>
      </c>
      <c r="W742" s="49">
        <v>1030.48</v>
      </c>
      <c r="X742" s="49">
        <v>1478.59</v>
      </c>
      <c r="Y742" s="49">
        <v>585.71</v>
      </c>
      <c r="Z742" s="49">
        <v>1284.81</v>
      </c>
      <c r="AA742" s="49">
        <v>483.9</v>
      </c>
      <c r="AB742" s="49">
        <v>1321.88</v>
      </c>
      <c r="AC742" s="49">
        <v>1611.1111111111099</v>
      </c>
      <c r="AD742" s="49" t="s">
        <v>1599</v>
      </c>
      <c r="AE742" s="49">
        <v>245.17209360000001</v>
      </c>
      <c r="AF742" s="49" t="s">
        <v>1599</v>
      </c>
      <c r="AG742" s="49">
        <v>525</v>
      </c>
      <c r="AH742" s="49">
        <v>515</v>
      </c>
      <c r="AI742" s="49">
        <v>504.13</v>
      </c>
      <c r="AJ742" s="49">
        <v>498.38</v>
      </c>
      <c r="AK742" s="49">
        <v>272.57556716099998</v>
      </c>
      <c r="AL742" s="49">
        <v>273.13</v>
      </c>
      <c r="AM742" s="49">
        <v>0.95066422672999995</v>
      </c>
      <c r="AN742" s="49">
        <v>1.2263198749999999</v>
      </c>
      <c r="AO742" s="49">
        <v>0.59900908946999998</v>
      </c>
      <c r="AP742" s="49">
        <v>4.7190993409999997</v>
      </c>
      <c r="AQ742" s="49">
        <v>1.8862728719999999</v>
      </c>
      <c r="AR742" s="49">
        <v>9.5625999999999998</v>
      </c>
      <c r="AS742" s="49">
        <v>12.284142640000001</v>
      </c>
      <c r="AT742" s="49">
        <v>0.38870436800000002</v>
      </c>
      <c r="AU742" s="49">
        <v>0.67196817600000003</v>
      </c>
      <c r="AV742" s="49">
        <v>0.34259794799999999</v>
      </c>
      <c r="AW742" s="49">
        <v>4202.1666666666697</v>
      </c>
      <c r="AX742" s="49">
        <v>416.60500000000002</v>
      </c>
      <c r="AY742" s="49">
        <v>273.84954488929998</v>
      </c>
      <c r="AZ742" s="49">
        <v>664.24930222251999</v>
      </c>
      <c r="BA742" s="49">
        <v>755.5335</v>
      </c>
      <c r="BB742" s="49">
        <v>502.30163400216998</v>
      </c>
      <c r="BC742" s="49">
        <v>2.0161249899999998</v>
      </c>
      <c r="BD742" s="49">
        <v>1.7435</v>
      </c>
      <c r="BE742" s="49">
        <v>2.3690000000000002</v>
      </c>
      <c r="BF742" s="49">
        <v>96.25</v>
      </c>
      <c r="BG742" s="49">
        <v>534.13</v>
      </c>
      <c r="BH742" s="49">
        <v>458</v>
      </c>
      <c r="BI742" s="49">
        <v>352.88</v>
      </c>
      <c r="BJ742" s="49">
        <v>320.88</v>
      </c>
      <c r="BK742" s="49">
        <v>2190.48</v>
      </c>
      <c r="BL742" s="49">
        <v>168.18</v>
      </c>
      <c r="BM742" s="49">
        <v>8988.25</v>
      </c>
      <c r="BN742" s="49">
        <v>1948</v>
      </c>
      <c r="BO742" s="49">
        <v>27061</v>
      </c>
      <c r="BP742" s="49">
        <v>16406.66</v>
      </c>
      <c r="BQ742" s="49">
        <v>2791.94</v>
      </c>
      <c r="BR742" s="49">
        <v>1718.23</v>
      </c>
      <c r="BS742" s="49">
        <v>1181</v>
      </c>
      <c r="BT742" s="49">
        <v>25.648</v>
      </c>
    </row>
    <row r="743" spans="1:72" s="41" customFormat="1" ht="15" customHeight="1">
      <c r="A743" s="41" t="s">
        <v>1412</v>
      </c>
      <c r="B743" s="51">
        <v>62.95</v>
      </c>
      <c r="C743" s="51">
        <v>64.77</v>
      </c>
      <c r="D743" s="51">
        <v>62.37</v>
      </c>
      <c r="E743" s="51">
        <v>61.71</v>
      </c>
      <c r="F743" s="51">
        <v>92.22</v>
      </c>
      <c r="G743" s="51">
        <v>89.13</v>
      </c>
      <c r="H743" s="51">
        <v>2.61</v>
      </c>
      <c r="I743" s="51">
        <v>7.1468162880900001</v>
      </c>
      <c r="J743" s="51">
        <v>8.2767941960999991</v>
      </c>
      <c r="K743" s="51">
        <v>71.277449912950004</v>
      </c>
      <c r="L743" s="51">
        <v>2.3683299999999998</v>
      </c>
      <c r="M743" s="51">
        <v>3.71809163</v>
      </c>
      <c r="N743" s="51">
        <v>1.641560052</v>
      </c>
      <c r="O743" s="51">
        <v>2.6668015724599998</v>
      </c>
      <c r="P743" s="51">
        <v>3.21</v>
      </c>
      <c r="Q743" s="51">
        <v>2.8754047173899999</v>
      </c>
      <c r="R743" s="51">
        <v>1.915</v>
      </c>
      <c r="S743" s="51">
        <v>1659.64</v>
      </c>
      <c r="T743" s="51">
        <v>1426.82</v>
      </c>
      <c r="U743" s="51">
        <v>1487.25</v>
      </c>
      <c r="V743" s="51">
        <v>2020.63680170152</v>
      </c>
      <c r="W743" s="51">
        <v>1078.05</v>
      </c>
      <c r="X743" s="51">
        <v>1487.14</v>
      </c>
      <c r="Y743" s="51">
        <v>597.13</v>
      </c>
      <c r="Z743" s="51">
        <v>1386.35</v>
      </c>
      <c r="AA743" s="51">
        <v>464.2</v>
      </c>
      <c r="AB743" s="51">
        <v>1312.33</v>
      </c>
      <c r="AC743" s="51">
        <v>1572.7981029810301</v>
      </c>
      <c r="AD743" s="51" t="s">
        <v>1599</v>
      </c>
      <c r="AE743" s="51">
        <v>268.23386799999997</v>
      </c>
      <c r="AF743" s="51" t="s">
        <v>1599</v>
      </c>
      <c r="AG743" s="51">
        <v>495</v>
      </c>
      <c r="AH743" s="51">
        <v>484</v>
      </c>
      <c r="AI743" s="51">
        <v>477.38</v>
      </c>
      <c r="AJ743" s="51">
        <v>488.17</v>
      </c>
      <c r="AK743" s="51">
        <v>281.379350493</v>
      </c>
      <c r="AL743" s="51">
        <v>280.95</v>
      </c>
      <c r="AM743" s="51">
        <v>0.96138807160999995</v>
      </c>
      <c r="AN743" s="51">
        <v>1.2263198749999999</v>
      </c>
      <c r="AO743" s="51">
        <v>0.58684270916000003</v>
      </c>
      <c r="AP743" s="51">
        <v>5.1724794440000004</v>
      </c>
      <c r="AQ743" s="51">
        <v>2.2641447399999999</v>
      </c>
      <c r="AR743" s="51">
        <v>10.262499999999999</v>
      </c>
      <c r="AS743" s="51">
        <v>12.493581539999999</v>
      </c>
      <c r="AT743" s="51">
        <v>0.390500448</v>
      </c>
      <c r="AU743" s="51">
        <v>0.689164212</v>
      </c>
      <c r="AV743" s="51">
        <v>0.35626659199999999</v>
      </c>
      <c r="AW743" s="51">
        <v>4218.7749999999996</v>
      </c>
      <c r="AX743" s="51">
        <v>418.53</v>
      </c>
      <c r="AY743" s="51">
        <v>272.89562769195999</v>
      </c>
      <c r="AZ743" s="51">
        <v>663.24308168247001</v>
      </c>
      <c r="BA743" s="51">
        <v>754.38900000000001</v>
      </c>
      <c r="BB743" s="51">
        <v>500.55193539624003</v>
      </c>
      <c r="BC743" s="51">
        <v>2.0002517260000001</v>
      </c>
      <c r="BD743" s="51">
        <v>1.6424000000000001</v>
      </c>
      <c r="BE743" s="51">
        <v>2.1535000000000002</v>
      </c>
      <c r="BF743" s="51">
        <v>95</v>
      </c>
      <c r="BG743" s="51">
        <v>543.4</v>
      </c>
      <c r="BH743" s="51">
        <v>478</v>
      </c>
      <c r="BI743" s="51">
        <v>328.1</v>
      </c>
      <c r="BJ743" s="51">
        <v>345.5</v>
      </c>
      <c r="BK743" s="51">
        <v>2319.39</v>
      </c>
      <c r="BL743" s="51">
        <v>179.83</v>
      </c>
      <c r="BM743" s="51">
        <v>9324.82</v>
      </c>
      <c r="BN743" s="51">
        <v>2011.92</v>
      </c>
      <c r="BO743" s="51">
        <v>28328.42</v>
      </c>
      <c r="BP743" s="51">
        <v>16521.25</v>
      </c>
      <c r="BQ743" s="51">
        <v>2829.01</v>
      </c>
      <c r="BR743" s="51">
        <v>1760.04</v>
      </c>
      <c r="BS743" s="51">
        <v>1208.81</v>
      </c>
      <c r="BT743" s="51">
        <v>25.687000000000001</v>
      </c>
    </row>
    <row r="744" spans="1:72" s="41" customFormat="1" ht="15" customHeight="1">
      <c r="A744" s="48" t="s">
        <v>1414</v>
      </c>
      <c r="B744" s="49">
        <v>66.400000000000006</v>
      </c>
      <c r="C744" s="49">
        <v>68.040000000000006</v>
      </c>
      <c r="D744" s="49">
        <v>65.98</v>
      </c>
      <c r="E744" s="49">
        <v>65.180000000000007</v>
      </c>
      <c r="F744" s="49">
        <v>107.04</v>
      </c>
      <c r="G744" s="49">
        <v>99.31</v>
      </c>
      <c r="H744" s="49">
        <v>2.8883999999999999</v>
      </c>
      <c r="I744" s="49">
        <v>8.9087569243899996</v>
      </c>
      <c r="J744" s="49">
        <v>8.9156945129699992</v>
      </c>
      <c r="K744" s="49">
        <v>83.467233274210002</v>
      </c>
      <c r="L744" s="49">
        <v>2.4128599999999998</v>
      </c>
      <c r="M744" s="49">
        <v>4.110734452</v>
      </c>
      <c r="N744" s="49">
        <v>1.756641216</v>
      </c>
      <c r="O744" s="49">
        <v>2.7118637156599998</v>
      </c>
      <c r="P744" s="49">
        <v>3.08</v>
      </c>
      <c r="Q744" s="49">
        <v>3.13892448031</v>
      </c>
      <c r="R744" s="49">
        <v>1.9166666666700001</v>
      </c>
      <c r="S744" s="49">
        <v>1715.24</v>
      </c>
      <c r="T744" s="49">
        <v>1450</v>
      </c>
      <c r="U744" s="49">
        <v>1514.29</v>
      </c>
      <c r="V744" s="49">
        <v>2072.0399166727998</v>
      </c>
      <c r="W744" s="49">
        <v>1136.46</v>
      </c>
      <c r="X744" s="49">
        <v>1530.5</v>
      </c>
      <c r="Y744" s="49">
        <v>646.79999999999995</v>
      </c>
      <c r="Z744" s="49">
        <v>1574.67</v>
      </c>
      <c r="AA744" s="49">
        <v>482.38</v>
      </c>
      <c r="AB744" s="49">
        <v>1531.38</v>
      </c>
      <c r="AC744" s="49">
        <v>1584.58672086721</v>
      </c>
      <c r="AD744" s="49" t="s">
        <v>1599</v>
      </c>
      <c r="AE744" s="49">
        <v>305.31065039999999</v>
      </c>
      <c r="AF744" s="49" t="s">
        <v>1599</v>
      </c>
      <c r="AG744" s="49">
        <v>493</v>
      </c>
      <c r="AH744" s="49">
        <v>483</v>
      </c>
      <c r="AI744" s="49">
        <v>462.75</v>
      </c>
      <c r="AJ744" s="49">
        <v>477.7</v>
      </c>
      <c r="AK744" s="49">
        <v>270.98456625</v>
      </c>
      <c r="AL744" s="49">
        <v>297.25</v>
      </c>
      <c r="AM744" s="49">
        <v>0.96928708729000002</v>
      </c>
      <c r="AN744" s="49">
        <v>1.2263198749999999</v>
      </c>
      <c r="AO744" s="49">
        <v>0.60927116677000004</v>
      </c>
      <c r="AP744" s="49">
        <v>5.48399225</v>
      </c>
      <c r="AQ744" s="49">
        <v>2.3748166639999999</v>
      </c>
      <c r="AR744" s="49">
        <v>11.1471</v>
      </c>
      <c r="AS744" s="49">
        <v>12.64900725</v>
      </c>
      <c r="AT744" s="49">
        <v>0.39670508799999998</v>
      </c>
      <c r="AU744" s="49">
        <v>0.71297410800000005</v>
      </c>
      <c r="AV744" s="49">
        <v>0.380517412</v>
      </c>
      <c r="AW744" s="49">
        <v>4168.0083333333296</v>
      </c>
      <c r="AX744" s="49">
        <v>425.18</v>
      </c>
      <c r="AY744" s="49">
        <v>272.74561635287</v>
      </c>
      <c r="AZ744" s="49">
        <v>674.59899920585997</v>
      </c>
      <c r="BA744" s="49">
        <v>767.30550000000005</v>
      </c>
      <c r="BB744" s="49">
        <v>500.27678087381003</v>
      </c>
      <c r="BC744" s="49">
        <v>2.0037791180000002</v>
      </c>
      <c r="BD744" s="49">
        <v>1.6913</v>
      </c>
      <c r="BE744" s="49">
        <v>2.2902999999999998</v>
      </c>
      <c r="BF744" s="49">
        <v>102.5</v>
      </c>
      <c r="BG744" s="49">
        <v>574.63</v>
      </c>
      <c r="BH744" s="49">
        <v>527.5</v>
      </c>
      <c r="BI744" s="49">
        <v>331.63</v>
      </c>
      <c r="BJ744" s="49">
        <v>378.13</v>
      </c>
      <c r="BK744" s="49">
        <v>2433.5300000000002</v>
      </c>
      <c r="BL744" s="49">
        <v>207.72</v>
      </c>
      <c r="BM744" s="49">
        <v>10161.969999999999</v>
      </c>
      <c r="BN744" s="49">
        <v>2181.81</v>
      </c>
      <c r="BO744" s="49">
        <v>32246.21</v>
      </c>
      <c r="BP744" s="49">
        <v>17577.060000000001</v>
      </c>
      <c r="BQ744" s="49">
        <v>2965.73</v>
      </c>
      <c r="BR744" s="49">
        <v>1850.26</v>
      </c>
      <c r="BS744" s="49">
        <v>1214</v>
      </c>
      <c r="BT744" s="49">
        <v>27.504000000000001</v>
      </c>
    </row>
    <row r="745" spans="1:72" s="41" customFormat="1" ht="15" customHeight="1">
      <c r="A745" s="41" t="s">
        <v>1415</v>
      </c>
      <c r="B745" s="51">
        <v>71.803333333330002</v>
      </c>
      <c r="C745" s="51">
        <v>73.069999999999993</v>
      </c>
      <c r="D745" s="51">
        <v>70.959999999999994</v>
      </c>
      <c r="E745" s="51">
        <v>71.38</v>
      </c>
      <c r="F745" s="51">
        <v>129.97</v>
      </c>
      <c r="G745" s="51">
        <v>112.92</v>
      </c>
      <c r="H745" s="51">
        <v>3.2317999999999998</v>
      </c>
      <c r="I745" s="51">
        <v>10.30105100564</v>
      </c>
      <c r="J745" s="51">
        <v>9.6160122963700001</v>
      </c>
      <c r="K745" s="51">
        <v>94.730656332630005</v>
      </c>
      <c r="L745" s="51">
        <v>2.3662299999999998</v>
      </c>
      <c r="M745" s="51">
        <v>4.2430116519999999</v>
      </c>
      <c r="N745" s="51">
        <v>1.8701791459999999</v>
      </c>
      <c r="O745" s="51">
        <v>2.6985050645099999</v>
      </c>
      <c r="P745" s="51">
        <v>2.93</v>
      </c>
      <c r="Q745" s="51">
        <v>3.3415151935199998</v>
      </c>
      <c r="R745" s="51">
        <v>1.8240000000000001</v>
      </c>
      <c r="S745" s="51">
        <v>1670.68</v>
      </c>
      <c r="T745" s="51">
        <v>1450</v>
      </c>
      <c r="U745" s="51">
        <v>1502.27</v>
      </c>
      <c r="V745" s="51">
        <v>2078.8257589914201</v>
      </c>
      <c r="W745" s="51">
        <v>1004.42</v>
      </c>
      <c r="X745" s="51">
        <v>1400.45</v>
      </c>
      <c r="Y745" s="51">
        <v>614.67999999999995</v>
      </c>
      <c r="Z745" s="51">
        <v>1518.16</v>
      </c>
      <c r="AA745" s="51">
        <v>467.15</v>
      </c>
      <c r="AB745" s="51">
        <v>1527.59</v>
      </c>
      <c r="AC745" s="51">
        <v>1296.74796747967</v>
      </c>
      <c r="AD745" s="51" t="s">
        <v>1599</v>
      </c>
      <c r="AE745" s="51">
        <v>292.55935520000003</v>
      </c>
      <c r="AF745" s="51" t="s">
        <v>1599</v>
      </c>
      <c r="AG745" s="51">
        <v>466</v>
      </c>
      <c r="AH745" s="51">
        <v>455</v>
      </c>
      <c r="AI745" s="51">
        <v>438.59</v>
      </c>
      <c r="AJ745" s="51">
        <v>474</v>
      </c>
      <c r="AK745" s="51">
        <v>263.47783446900002</v>
      </c>
      <c r="AL745" s="51">
        <v>285.55</v>
      </c>
      <c r="AM745" s="51">
        <v>0.95067186160999995</v>
      </c>
      <c r="AN745" s="51">
        <v>1.2263198749999999</v>
      </c>
      <c r="AO745" s="51">
        <v>0.63577271691000004</v>
      </c>
      <c r="AP745" s="51">
        <v>5.6774476549999999</v>
      </c>
      <c r="AQ745" s="51">
        <v>2.3809895999999999</v>
      </c>
      <c r="AR745" s="51">
        <v>11.946300000000001</v>
      </c>
      <c r="AS745" s="51">
        <v>13.39968036</v>
      </c>
      <c r="AT745" s="51">
        <v>0.39350479999999999</v>
      </c>
      <c r="AU745" s="51">
        <v>0.72862691000000002</v>
      </c>
      <c r="AV745" s="51">
        <v>0.38382434199999999</v>
      </c>
      <c r="AW745" s="51">
        <v>4138.9666666666699</v>
      </c>
      <c r="AX745" s="51">
        <v>421.75</v>
      </c>
      <c r="AY745" s="51">
        <v>270.39222547607</v>
      </c>
      <c r="AZ745" s="51">
        <v>672.29906654290005</v>
      </c>
      <c r="BA745" s="51">
        <v>764.68949999999995</v>
      </c>
      <c r="BB745" s="51">
        <v>495.96013290078002</v>
      </c>
      <c r="BC745" s="51">
        <v>2.0833659</v>
      </c>
      <c r="BD745" s="51">
        <v>1.6380999999999999</v>
      </c>
      <c r="BE745" s="51">
        <v>2.1217999999999999</v>
      </c>
      <c r="BF745" s="51">
        <v>125</v>
      </c>
      <c r="BG745" s="51">
        <v>604.75</v>
      </c>
      <c r="BH745" s="51">
        <v>550</v>
      </c>
      <c r="BI745" s="51">
        <v>393.25</v>
      </c>
      <c r="BJ745" s="51">
        <v>462.5</v>
      </c>
      <c r="BK745" s="51">
        <v>2446.65</v>
      </c>
      <c r="BL745" s="51">
        <v>214.43</v>
      </c>
      <c r="BM745" s="51">
        <v>9631.5</v>
      </c>
      <c r="BN745" s="51">
        <v>2191.0300000000002</v>
      </c>
      <c r="BO745" s="51">
        <v>32502.55</v>
      </c>
      <c r="BP745" s="51">
        <v>17979.57</v>
      </c>
      <c r="BQ745" s="51">
        <v>2951.85</v>
      </c>
      <c r="BR745" s="51">
        <v>1834.57</v>
      </c>
      <c r="BS745" s="51">
        <v>1124</v>
      </c>
      <c r="BT745" s="51">
        <v>26.995000000000001</v>
      </c>
    </row>
    <row r="746" spans="1:72" s="41" customFormat="1" ht="15" customHeight="1">
      <c r="A746" s="48" t="s">
        <v>1416</v>
      </c>
      <c r="B746" s="49">
        <v>73.283333333330006</v>
      </c>
      <c r="C746" s="49">
        <v>74.39</v>
      </c>
      <c r="D746" s="49">
        <v>73</v>
      </c>
      <c r="E746" s="49">
        <v>72.459999999999994</v>
      </c>
      <c r="F746" s="49">
        <v>151.97</v>
      </c>
      <c r="G746" s="49">
        <v>122.33</v>
      </c>
      <c r="H746" s="49">
        <v>3.8035999999999999</v>
      </c>
      <c r="I746" s="49">
        <v>12.50994243239</v>
      </c>
      <c r="J746" s="49">
        <v>10.35918836698</v>
      </c>
      <c r="K746" s="49">
        <v>112.6787432485</v>
      </c>
      <c r="L746" s="49">
        <v>2.3271000000000002</v>
      </c>
      <c r="M746" s="49">
        <v>4.5038181980000003</v>
      </c>
      <c r="N746" s="49">
        <v>2.0804998939999999</v>
      </c>
      <c r="O746" s="49">
        <v>2.6525720552699998</v>
      </c>
      <c r="P746" s="49">
        <v>2.99</v>
      </c>
      <c r="Q746" s="49">
        <v>3.2043828324799999</v>
      </c>
      <c r="R746" s="49">
        <v>1.7633333333300001</v>
      </c>
      <c r="S746" s="49">
        <v>1584.09</v>
      </c>
      <c r="T746" s="49">
        <v>1456.82</v>
      </c>
      <c r="U746" s="49">
        <v>1504.13</v>
      </c>
      <c r="V746" s="49">
        <v>2092.1928941281099</v>
      </c>
      <c r="W746" s="49">
        <v>1062.99</v>
      </c>
      <c r="X746" s="49">
        <v>1274.0899999999999</v>
      </c>
      <c r="Y746" s="49">
        <v>600.44000000000005</v>
      </c>
      <c r="Z746" s="49">
        <v>1468.34</v>
      </c>
      <c r="AA746" s="49">
        <v>470.02</v>
      </c>
      <c r="AB746" s="49">
        <v>1410.08</v>
      </c>
      <c r="AC746" s="49">
        <v>1282.0121951219501</v>
      </c>
      <c r="AD746" s="49" t="s">
        <v>1599</v>
      </c>
      <c r="AE746" s="49">
        <v>278.43411680000003</v>
      </c>
      <c r="AF746" s="49" t="s">
        <v>1599</v>
      </c>
      <c r="AG746" s="49">
        <v>414</v>
      </c>
      <c r="AH746" s="49">
        <v>407</v>
      </c>
      <c r="AI746" s="49">
        <v>397</v>
      </c>
      <c r="AJ746" s="49">
        <v>436.17</v>
      </c>
      <c r="AK746" s="49">
        <v>254.67037676999999</v>
      </c>
      <c r="AL746" s="49">
        <v>294.27</v>
      </c>
      <c r="AM746" s="49">
        <v>0.84793984208999995</v>
      </c>
      <c r="AN746" s="49">
        <v>1.2345872</v>
      </c>
      <c r="AO746" s="49">
        <v>0.69364236932000001</v>
      </c>
      <c r="AP746" s="49">
        <v>5.5856252319999999</v>
      </c>
      <c r="AQ746" s="49">
        <v>2.3809895999999999</v>
      </c>
      <c r="AR746" s="49">
        <v>12.577400000000001</v>
      </c>
      <c r="AS746" s="49">
        <v>15.860036279999999</v>
      </c>
      <c r="AT746" s="49">
        <v>0.38605923199999997</v>
      </c>
      <c r="AU746" s="49">
        <v>0.79674966800000002</v>
      </c>
      <c r="AV746" s="49">
        <v>0.39021773999999998</v>
      </c>
      <c r="AW746" s="49">
        <v>4078.11666666667</v>
      </c>
      <c r="AX746" s="49">
        <v>413.77</v>
      </c>
      <c r="AY746" s="49">
        <v>269.95088887301</v>
      </c>
      <c r="AZ746" s="49">
        <v>661.47021692144006</v>
      </c>
      <c r="BA746" s="49">
        <v>752.37249999999995</v>
      </c>
      <c r="BB746" s="49">
        <v>495.15062234653999</v>
      </c>
      <c r="BC746" s="49">
        <v>2.1539137400000001</v>
      </c>
      <c r="BD746" s="49">
        <v>1.6312</v>
      </c>
      <c r="BE746" s="49">
        <v>1.867</v>
      </c>
      <c r="BF746" s="49">
        <v>125</v>
      </c>
      <c r="BG746" s="49">
        <v>613</v>
      </c>
      <c r="BH746" s="49">
        <v>555</v>
      </c>
      <c r="BI746" s="49">
        <v>441.5</v>
      </c>
      <c r="BJ746" s="49">
        <v>633</v>
      </c>
      <c r="BK746" s="49">
        <v>2497.64</v>
      </c>
      <c r="BL746" s="49">
        <v>214.14</v>
      </c>
      <c r="BM746" s="49">
        <v>9450.82</v>
      </c>
      <c r="BN746" s="49">
        <v>2337.5100000000002</v>
      </c>
      <c r="BO746" s="49">
        <v>34020.18</v>
      </c>
      <c r="BP746" s="49">
        <v>18818.509999999998</v>
      </c>
      <c r="BQ746" s="49">
        <v>2947.52</v>
      </c>
      <c r="BR746" s="49">
        <v>1807.84</v>
      </c>
      <c r="BS746" s="49">
        <v>1086.48</v>
      </c>
      <c r="BT746" s="49">
        <v>25.677</v>
      </c>
    </row>
    <row r="747" spans="1:72" s="41" customFormat="1" ht="15" customHeight="1">
      <c r="A747" s="41" t="s">
        <v>1417</v>
      </c>
      <c r="B747" s="51">
        <v>68.86666666667</v>
      </c>
      <c r="C747" s="51">
        <v>70.02</v>
      </c>
      <c r="D747" s="51">
        <v>68.849999999999994</v>
      </c>
      <c r="E747" s="51">
        <v>67.73</v>
      </c>
      <c r="F747" s="51">
        <v>169.58</v>
      </c>
      <c r="G747" s="51">
        <v>137.91999999999999</v>
      </c>
      <c r="H747" s="51">
        <v>4.0486000000000004</v>
      </c>
      <c r="I747" s="51">
        <v>15.42647593843</v>
      </c>
      <c r="J747" s="51">
        <v>10.80139654747</v>
      </c>
      <c r="K747" s="51">
        <v>129.81858281674999</v>
      </c>
      <c r="L747" s="51">
        <v>2.4843099999999998</v>
      </c>
      <c r="M747" s="51">
        <v>4.7672702879999997</v>
      </c>
      <c r="N747" s="51">
        <v>2.098357316</v>
      </c>
      <c r="O747" s="51">
        <v>2.7152308005000001</v>
      </c>
      <c r="P747" s="51">
        <v>2.99</v>
      </c>
      <c r="Q747" s="51">
        <v>2.9996924015099999</v>
      </c>
      <c r="R747" s="51">
        <v>2.1560000000000001</v>
      </c>
      <c r="S747" s="51">
        <v>1493.64</v>
      </c>
      <c r="T747" s="51">
        <v>1443.18</v>
      </c>
      <c r="U747" s="51">
        <v>1504.12</v>
      </c>
      <c r="V747" s="51">
        <v>2102.2883548599998</v>
      </c>
      <c r="W747" s="51">
        <v>1141.82</v>
      </c>
      <c r="X747" s="51">
        <v>1341.14</v>
      </c>
      <c r="Y747" s="51">
        <v>585.79999999999995</v>
      </c>
      <c r="Z747" s="51">
        <v>1433.94</v>
      </c>
      <c r="AA747" s="51">
        <v>470.26</v>
      </c>
      <c r="AB747" s="51">
        <v>1519.19</v>
      </c>
      <c r="AC747" s="51">
        <v>1355.6910569105701</v>
      </c>
      <c r="AD747" s="51" t="s">
        <v>1599</v>
      </c>
      <c r="AE747" s="51">
        <v>256.61243439999998</v>
      </c>
      <c r="AF747" s="51" t="s">
        <v>1599</v>
      </c>
      <c r="AG747" s="51">
        <v>403</v>
      </c>
      <c r="AH747" s="51">
        <v>392</v>
      </c>
      <c r="AI747" s="51">
        <v>381</v>
      </c>
      <c r="AJ747" s="51">
        <v>384.46</v>
      </c>
      <c r="AK747" s="51">
        <v>276.18379555500002</v>
      </c>
      <c r="AL747" s="51">
        <v>324.52</v>
      </c>
      <c r="AM747" s="51">
        <v>0.89173992325999996</v>
      </c>
      <c r="AN747" s="51">
        <v>1.2297645937499999</v>
      </c>
      <c r="AO747" s="51">
        <v>0.71823961646000001</v>
      </c>
      <c r="AP747" s="51">
        <v>5.60965559</v>
      </c>
      <c r="AQ747" s="51">
        <v>2.3809895999999999</v>
      </c>
      <c r="AR747" s="51">
        <v>12.979699999999999</v>
      </c>
      <c r="AS747" s="51">
        <v>15.763033</v>
      </c>
      <c r="AT747" s="51">
        <v>0.38442643199999998</v>
      </c>
      <c r="AU747" s="51">
        <v>0.75971205200000003</v>
      </c>
      <c r="AV747" s="51">
        <v>0.42945997600000002</v>
      </c>
      <c r="AW747" s="51">
        <v>3973.24166666667</v>
      </c>
      <c r="AX747" s="51">
        <v>412.02</v>
      </c>
      <c r="AY747" s="51">
        <v>271.03226533972997</v>
      </c>
      <c r="AZ747" s="51">
        <v>661.23064060238005</v>
      </c>
      <c r="BA747" s="51">
        <v>752.1</v>
      </c>
      <c r="BB747" s="51">
        <v>497.13410990874002</v>
      </c>
      <c r="BC747" s="51">
        <v>2.2332800599999998</v>
      </c>
      <c r="BD747" s="51">
        <v>1.7063999999999999</v>
      </c>
      <c r="BE747" s="51">
        <v>1.9004000000000001</v>
      </c>
      <c r="BF747" s="51">
        <v>136.88</v>
      </c>
      <c r="BG747" s="51">
        <v>603.13</v>
      </c>
      <c r="BH747" s="51">
        <v>555</v>
      </c>
      <c r="BI747" s="51">
        <v>446.88</v>
      </c>
      <c r="BJ747" s="51">
        <v>695</v>
      </c>
      <c r="BK747" s="51">
        <v>2602.9899999999998</v>
      </c>
      <c r="BL747" s="51">
        <v>162.16</v>
      </c>
      <c r="BM747" s="51">
        <v>9370.14</v>
      </c>
      <c r="BN747" s="51">
        <v>2414.4699999999998</v>
      </c>
      <c r="BO747" s="51">
        <v>35024</v>
      </c>
      <c r="BP747" s="51">
        <v>19141.3</v>
      </c>
      <c r="BQ747" s="51">
        <v>2987.95</v>
      </c>
      <c r="BR747" s="51">
        <v>1785.28</v>
      </c>
      <c r="BS747" s="51">
        <v>1008.73</v>
      </c>
      <c r="BT747" s="51">
        <v>23.986000000000001</v>
      </c>
    </row>
    <row r="748" spans="1:72" s="41" customFormat="1" ht="15" customHeight="1">
      <c r="A748" s="48" t="s">
        <v>1418</v>
      </c>
      <c r="B748" s="49">
        <v>72.8</v>
      </c>
      <c r="C748" s="49">
        <v>74.599999999999994</v>
      </c>
      <c r="D748" s="49">
        <v>72.239999999999995</v>
      </c>
      <c r="E748" s="49">
        <v>71.56</v>
      </c>
      <c r="F748" s="49">
        <v>185.69</v>
      </c>
      <c r="G748" s="49">
        <v>146.05275137829</v>
      </c>
      <c r="H748" s="49">
        <v>5.1111000000000004</v>
      </c>
      <c r="I748" s="49">
        <v>22.840596077920001</v>
      </c>
      <c r="J748" s="49">
        <v>11.43899050402</v>
      </c>
      <c r="K748" s="49">
        <v>178.39940517491999</v>
      </c>
      <c r="L748" s="49">
        <v>2.55809</v>
      </c>
      <c r="M748" s="49">
        <v>4.9722999479999999</v>
      </c>
      <c r="N748" s="49">
        <v>2.30603252</v>
      </c>
      <c r="O748" s="49">
        <v>2.7273601252100002</v>
      </c>
      <c r="P748" s="49">
        <v>2.98</v>
      </c>
      <c r="Q748" s="49">
        <v>2.9845803756399998</v>
      </c>
      <c r="R748" s="49">
        <v>2.2174999999999998</v>
      </c>
      <c r="S748" s="49">
        <v>1485</v>
      </c>
      <c r="T748" s="49">
        <v>1476.14</v>
      </c>
      <c r="U748" s="49">
        <v>1483.27</v>
      </c>
      <c r="V748" s="49">
        <v>2109.0202199738901</v>
      </c>
      <c r="W748" s="49">
        <v>1181.3800000000001</v>
      </c>
      <c r="X748" s="49">
        <v>1427.27</v>
      </c>
      <c r="Y748" s="49">
        <v>557.54999999999995</v>
      </c>
      <c r="Z748" s="49">
        <v>1398.75</v>
      </c>
      <c r="AA748" s="49">
        <v>467.83</v>
      </c>
      <c r="AB748" s="49">
        <v>1629.14</v>
      </c>
      <c r="AC748" s="49">
        <v>1309.5189701897</v>
      </c>
      <c r="AD748" s="49" t="s">
        <v>1599</v>
      </c>
      <c r="AE748" s="49">
        <v>235.61748</v>
      </c>
      <c r="AF748" s="49" t="s">
        <v>1599</v>
      </c>
      <c r="AG748" s="49">
        <v>400</v>
      </c>
      <c r="AH748" s="49">
        <v>391</v>
      </c>
      <c r="AI748" s="49">
        <v>381.27</v>
      </c>
      <c r="AJ748" s="49">
        <v>387.3</v>
      </c>
      <c r="AK748" s="49">
        <v>263.59908858</v>
      </c>
      <c r="AL748" s="49">
        <v>337.55</v>
      </c>
      <c r="AM748" s="49">
        <v>0.91410285826000004</v>
      </c>
      <c r="AN748" s="49">
        <v>1.1849832499999999</v>
      </c>
      <c r="AO748" s="49">
        <v>0.73670077613999996</v>
      </c>
      <c r="AP748" s="49">
        <v>5.6585981539999999</v>
      </c>
      <c r="AQ748" s="49">
        <v>2.3787849799999998</v>
      </c>
      <c r="AR748" s="49">
        <v>13.007300000000001</v>
      </c>
      <c r="AS748" s="49">
        <v>14.673950720000001</v>
      </c>
      <c r="AT748" s="49">
        <v>0.38442643199999998</v>
      </c>
      <c r="AU748" s="49">
        <v>0.78793118799999995</v>
      </c>
      <c r="AV748" s="49">
        <v>0.43166459600000001</v>
      </c>
      <c r="AW748" s="49">
        <v>4089.2249999999999</v>
      </c>
      <c r="AX748" s="49">
        <v>412.02</v>
      </c>
      <c r="AY748" s="49">
        <v>270.24495302211</v>
      </c>
      <c r="AZ748" s="49">
        <v>658.21197898224</v>
      </c>
      <c r="BA748" s="49">
        <v>748.66650000000004</v>
      </c>
      <c r="BB748" s="49">
        <v>495.69000210944</v>
      </c>
      <c r="BC748" s="49">
        <v>2.2857500160000002</v>
      </c>
      <c r="BD748" s="49">
        <v>1.6254999999999999</v>
      </c>
      <c r="BE748" s="49">
        <v>1.7875000000000001</v>
      </c>
      <c r="BF748" s="49">
        <v>147.5</v>
      </c>
      <c r="BG748" s="49">
        <v>643.75</v>
      </c>
      <c r="BH748" s="49">
        <v>573.75</v>
      </c>
      <c r="BI748" s="49">
        <v>418.75</v>
      </c>
      <c r="BJ748" s="49">
        <v>736.25</v>
      </c>
      <c r="BK748" s="49">
        <v>2834.56</v>
      </c>
      <c r="BL748" s="49">
        <v>124.52</v>
      </c>
      <c r="BM748" s="49">
        <v>9324.7099999999991</v>
      </c>
      <c r="BN748" s="49">
        <v>2248.3000000000002</v>
      </c>
      <c r="BO748" s="49">
        <v>34887.300000000003</v>
      </c>
      <c r="BP748" s="49">
        <v>19376.88</v>
      </c>
      <c r="BQ748" s="49">
        <v>3036.02</v>
      </c>
      <c r="BR748" s="49">
        <v>1775.14</v>
      </c>
      <c r="BS748" s="49">
        <v>973.19</v>
      </c>
      <c r="BT748" s="49">
        <v>23.184999999999999</v>
      </c>
    </row>
    <row r="749" spans="1:72" s="41" customFormat="1" ht="15" customHeight="1">
      <c r="A749" s="41" t="s">
        <v>1419</v>
      </c>
      <c r="B749" s="51">
        <v>82.063333333329993</v>
      </c>
      <c r="C749" s="51">
        <v>83.65</v>
      </c>
      <c r="D749" s="51">
        <v>81.22</v>
      </c>
      <c r="E749" s="51">
        <v>81.319999999999993</v>
      </c>
      <c r="F749" s="51">
        <v>224.51</v>
      </c>
      <c r="G749" s="51">
        <v>199.65</v>
      </c>
      <c r="H749" s="51">
        <v>5.4779999999999998</v>
      </c>
      <c r="I749" s="51">
        <v>31.052466367539999</v>
      </c>
      <c r="J749" s="51">
        <v>12.3769153834</v>
      </c>
      <c r="K749" s="51">
        <v>222.52925190517001</v>
      </c>
      <c r="L749" s="51">
        <v>2.5675699999999999</v>
      </c>
      <c r="M749" s="51">
        <v>5.3144569720000003</v>
      </c>
      <c r="N749" s="51">
        <v>2.3201420879999999</v>
      </c>
      <c r="O749" s="51">
        <v>2.7801812408500002</v>
      </c>
      <c r="P749" s="51">
        <v>3.05</v>
      </c>
      <c r="Q749" s="51">
        <v>2.8755437225599998</v>
      </c>
      <c r="R749" s="51">
        <v>2.415</v>
      </c>
      <c r="S749" s="51">
        <v>1922.86</v>
      </c>
      <c r="T749" s="51">
        <v>1539.29</v>
      </c>
      <c r="U749" s="51">
        <v>1461.66</v>
      </c>
      <c r="V749" s="51">
        <v>2133.66533688546</v>
      </c>
      <c r="W749" s="51">
        <v>1310.25</v>
      </c>
      <c r="X749" s="51">
        <v>1818.33</v>
      </c>
      <c r="Y749" s="51">
        <v>551.95000000000005</v>
      </c>
      <c r="Z749" s="51">
        <v>1483.52</v>
      </c>
      <c r="AA749" s="51">
        <v>450.85</v>
      </c>
      <c r="AB749" s="51">
        <v>1795.17</v>
      </c>
      <c r="AC749" s="51">
        <v>1420.5284552845501</v>
      </c>
      <c r="AD749" s="51" t="s">
        <v>1599</v>
      </c>
      <c r="AE749" s="51">
        <v>239.64876319999999</v>
      </c>
      <c r="AF749" s="51" t="s">
        <v>1599</v>
      </c>
      <c r="AG749" s="51">
        <v>401</v>
      </c>
      <c r="AH749" s="51">
        <v>395</v>
      </c>
      <c r="AI749" s="51">
        <v>382.71</v>
      </c>
      <c r="AJ749" s="51">
        <v>404.46</v>
      </c>
      <c r="AK749" s="51" t="s">
        <v>1599</v>
      </c>
      <c r="AL749" s="51">
        <v>354.67</v>
      </c>
      <c r="AM749" s="51">
        <v>0.92557798114000001</v>
      </c>
      <c r="AN749" s="51">
        <v>1.1505360625000001</v>
      </c>
      <c r="AO749" s="51">
        <v>0.66364959700000004</v>
      </c>
      <c r="AP749" s="51">
        <v>5.6985017759999996</v>
      </c>
      <c r="AQ749" s="51">
        <v>2.32918103</v>
      </c>
      <c r="AR749" s="51">
        <v>13.007300000000001</v>
      </c>
      <c r="AS749" s="51">
        <v>14.467818749999999</v>
      </c>
      <c r="AT749" s="51">
        <v>0.37884225599999999</v>
      </c>
      <c r="AU749" s="51">
        <v>0.817032172</v>
      </c>
      <c r="AV749" s="51">
        <v>0.42416888800000002</v>
      </c>
      <c r="AW749" s="51">
        <v>4241.7462215804499</v>
      </c>
      <c r="AX749" s="51">
        <v>406.03500000000003</v>
      </c>
      <c r="AY749" s="51">
        <v>263.17347971106</v>
      </c>
      <c r="AZ749" s="51">
        <v>656.24745316594999</v>
      </c>
      <c r="BA749" s="51">
        <v>746.43200000000002</v>
      </c>
      <c r="BB749" s="51">
        <v>482.71933020134998</v>
      </c>
      <c r="BC749" s="51">
        <v>2.5877829559999999</v>
      </c>
      <c r="BD749" s="51">
        <v>1.7317</v>
      </c>
      <c r="BE749" s="51">
        <v>1.8694</v>
      </c>
      <c r="BF749" s="51">
        <v>147.5</v>
      </c>
      <c r="BG749" s="51">
        <v>672.9</v>
      </c>
      <c r="BH749" s="51">
        <v>618</v>
      </c>
      <c r="BI749" s="51">
        <v>695</v>
      </c>
      <c r="BJ749" s="51">
        <v>782</v>
      </c>
      <c r="BK749" s="51">
        <v>2934.39</v>
      </c>
      <c r="BL749" s="51">
        <v>122.91</v>
      </c>
      <c r="BM749" s="51">
        <v>9829.2199999999993</v>
      </c>
      <c r="BN749" s="51">
        <v>2344.83</v>
      </c>
      <c r="BO749" s="51">
        <v>37722.92</v>
      </c>
      <c r="BP749" s="51">
        <v>19362.39</v>
      </c>
      <c r="BQ749" s="51">
        <v>3359.91</v>
      </c>
      <c r="BR749" s="51">
        <v>1776.85</v>
      </c>
      <c r="BS749" s="51">
        <v>1017.1</v>
      </c>
      <c r="BT749" s="51">
        <v>23.413</v>
      </c>
    </row>
    <row r="750" spans="1:72" s="41" customFormat="1" ht="15" customHeight="1">
      <c r="A750" s="48" t="s">
        <v>1420</v>
      </c>
      <c r="B750" s="49">
        <v>79.916666666669997</v>
      </c>
      <c r="C750" s="49">
        <v>80.77</v>
      </c>
      <c r="D750" s="49">
        <v>79.8</v>
      </c>
      <c r="E750" s="49">
        <v>79.180000000000007</v>
      </c>
      <c r="F750" s="49">
        <v>157.47999999999999</v>
      </c>
      <c r="G750" s="49">
        <v>128</v>
      </c>
      <c r="H750" s="49">
        <v>5.0175999999999998</v>
      </c>
      <c r="I750" s="49">
        <v>27.623432007750001</v>
      </c>
      <c r="J750" s="49">
        <v>15.25400265088</v>
      </c>
      <c r="K750" s="49">
        <v>202.58611793577001</v>
      </c>
      <c r="L750" s="49">
        <v>2.3933300000000002</v>
      </c>
      <c r="M750" s="49">
        <v>5.7090839520000003</v>
      </c>
      <c r="N750" s="49">
        <v>2.41185428</v>
      </c>
      <c r="O750" s="49">
        <v>2.83076375558</v>
      </c>
      <c r="P750" s="49">
        <v>3.11</v>
      </c>
      <c r="Q750" s="49">
        <v>2.9072912667500002</v>
      </c>
      <c r="R750" s="49">
        <v>2.4750000000000001</v>
      </c>
      <c r="S750" s="49">
        <v>1960.68</v>
      </c>
      <c r="T750" s="49">
        <v>1552.27</v>
      </c>
      <c r="U750" s="49">
        <v>1439.66</v>
      </c>
      <c r="V750" s="49">
        <v>2150.2094498390102</v>
      </c>
      <c r="W750" s="49">
        <v>1340.65</v>
      </c>
      <c r="X750" s="49">
        <v>2050.23</v>
      </c>
      <c r="Y750" s="49">
        <v>551.04</v>
      </c>
      <c r="Z750" s="49">
        <v>1442.96</v>
      </c>
      <c r="AA750" s="49">
        <v>442.63</v>
      </c>
      <c r="AB750" s="49">
        <v>1825.34</v>
      </c>
      <c r="AC750" s="49">
        <v>1415.6165311653101</v>
      </c>
      <c r="AD750" s="49" t="s">
        <v>1599</v>
      </c>
      <c r="AE750" s="49">
        <v>248.71915039999999</v>
      </c>
      <c r="AF750" s="49" t="s">
        <v>1599</v>
      </c>
      <c r="AG750" s="49">
        <v>400</v>
      </c>
      <c r="AH750" s="49">
        <v>394</v>
      </c>
      <c r="AI750" s="49">
        <v>378.55</v>
      </c>
      <c r="AJ750" s="49">
        <v>411.41</v>
      </c>
      <c r="AK750" s="49">
        <v>334.499674212</v>
      </c>
      <c r="AL750" s="49">
        <v>379.45</v>
      </c>
      <c r="AM750" s="49">
        <v>0.90364638692999999</v>
      </c>
      <c r="AN750" s="49">
        <v>1.1436466249999999</v>
      </c>
      <c r="AO750" s="49">
        <v>0.66195688322000001</v>
      </c>
      <c r="AP750" s="49">
        <v>5.9524739999999996</v>
      </c>
      <c r="AQ750" s="49">
        <v>2.3377790479999998</v>
      </c>
      <c r="AR750" s="49">
        <v>13.007300000000001</v>
      </c>
      <c r="AS750" s="49">
        <v>14.488762639999999</v>
      </c>
      <c r="AT750" s="49">
        <v>0.37280089599999999</v>
      </c>
      <c r="AU750" s="49">
        <v>0.81835494399999997</v>
      </c>
      <c r="AV750" s="49">
        <v>0.42813720399999999</v>
      </c>
      <c r="AW750" s="49">
        <v>4221.6499999999996</v>
      </c>
      <c r="AX750" s="49">
        <v>399.56</v>
      </c>
      <c r="AY750" s="49">
        <v>261.16487433034001</v>
      </c>
      <c r="AZ750" s="49">
        <v>644.89153564256003</v>
      </c>
      <c r="BA750" s="49">
        <v>733.51549999999997</v>
      </c>
      <c r="BB750" s="49">
        <v>479.03509634507998</v>
      </c>
      <c r="BC750" s="49">
        <v>2.7897261480000002</v>
      </c>
      <c r="BD750" s="49">
        <v>1.7447999999999999</v>
      </c>
      <c r="BE750" s="49">
        <v>1.9289000000000001</v>
      </c>
      <c r="BF750" s="49">
        <v>153.13</v>
      </c>
      <c r="BG750" s="49">
        <v>726.69</v>
      </c>
      <c r="BH750" s="49">
        <v>665</v>
      </c>
      <c r="BI750" s="49">
        <v>900.5</v>
      </c>
      <c r="BJ750" s="49">
        <v>806.88</v>
      </c>
      <c r="BK750" s="49">
        <v>2636.45</v>
      </c>
      <c r="BL750" s="49">
        <v>96.24</v>
      </c>
      <c r="BM750" s="49">
        <v>9728.9</v>
      </c>
      <c r="BN750" s="49">
        <v>2329.98</v>
      </c>
      <c r="BO750" s="49">
        <v>39158.69</v>
      </c>
      <c r="BP750" s="49">
        <v>19932.86</v>
      </c>
      <c r="BQ750" s="49">
        <v>3311.27</v>
      </c>
      <c r="BR750" s="49">
        <v>1821.76</v>
      </c>
      <c r="BS750" s="49">
        <v>1038.05</v>
      </c>
      <c r="BT750" s="49">
        <v>24.175000000000001</v>
      </c>
    </row>
    <row r="751" spans="1:72" s="41" customFormat="1" ht="15" customHeight="1">
      <c r="A751" s="41" t="s">
        <v>1421</v>
      </c>
      <c r="B751" s="51">
        <v>72.86666666667</v>
      </c>
      <c r="C751" s="51">
        <v>74.31</v>
      </c>
      <c r="D751" s="51">
        <v>72.760000000000005</v>
      </c>
      <c r="E751" s="51">
        <v>71.53</v>
      </c>
      <c r="F751" s="51">
        <v>169.65</v>
      </c>
      <c r="G751" s="51">
        <v>142.5</v>
      </c>
      <c r="H751" s="51">
        <v>3.7326999999999999</v>
      </c>
      <c r="I751" s="51">
        <v>38.027119843180003</v>
      </c>
      <c r="J751" s="51">
        <v>15.322526915879999</v>
      </c>
      <c r="K751" s="51">
        <v>236.48836750686999</v>
      </c>
      <c r="L751" s="51">
        <v>2.38239</v>
      </c>
      <c r="M751" s="51">
        <v>5.9101452959999996</v>
      </c>
      <c r="N751" s="51">
        <v>2.4837248920000001</v>
      </c>
      <c r="O751" s="51">
        <v>2.8189078472600002</v>
      </c>
      <c r="P751" s="51">
        <v>3.19</v>
      </c>
      <c r="Q751" s="51">
        <v>2.6726834531499999</v>
      </c>
      <c r="R751" s="51">
        <v>2.6150000000000002</v>
      </c>
      <c r="S751" s="51">
        <v>1695.71</v>
      </c>
      <c r="T751" s="51">
        <v>1475</v>
      </c>
      <c r="U751" s="51">
        <v>1422.52</v>
      </c>
      <c r="V751" s="51">
        <v>2154.0602220204401</v>
      </c>
      <c r="W751" s="51">
        <v>1270.29</v>
      </c>
      <c r="X751" s="51">
        <v>1861.43</v>
      </c>
      <c r="Y751" s="51">
        <v>554.14</v>
      </c>
      <c r="Z751" s="51">
        <v>1411.21</v>
      </c>
      <c r="AA751" s="51">
        <v>461.66</v>
      </c>
      <c r="AB751" s="51">
        <v>1742.5</v>
      </c>
      <c r="AC751" s="51">
        <v>1361.8309620596201</v>
      </c>
      <c r="AD751" s="51" t="s">
        <v>1599</v>
      </c>
      <c r="AE751" s="51">
        <v>264.53721280000002</v>
      </c>
      <c r="AF751" s="51" t="s">
        <v>1599</v>
      </c>
      <c r="AG751" s="51">
        <v>400</v>
      </c>
      <c r="AH751" s="51">
        <v>393</v>
      </c>
      <c r="AI751" s="51">
        <v>380.95</v>
      </c>
      <c r="AJ751" s="51">
        <v>402.66</v>
      </c>
      <c r="AK751" s="51">
        <v>327.81967500600001</v>
      </c>
      <c r="AL751" s="51">
        <v>376.81</v>
      </c>
      <c r="AM751" s="51">
        <v>0.88509689337999997</v>
      </c>
      <c r="AN751" s="51">
        <v>1.1574255</v>
      </c>
      <c r="AO751" s="51">
        <v>0.70797753915999995</v>
      </c>
      <c r="AP751" s="51">
        <v>5.9545683890000003</v>
      </c>
      <c r="AQ751" s="51">
        <v>2.741996125</v>
      </c>
      <c r="AR751" s="51">
        <v>13.007300000000001</v>
      </c>
      <c r="AS751" s="51">
        <v>14.62324446</v>
      </c>
      <c r="AT751" s="51">
        <v>0.36911076799999998</v>
      </c>
      <c r="AU751" s="51">
        <v>0.80931600199999998</v>
      </c>
      <c r="AV751" s="51">
        <v>0.415350408</v>
      </c>
      <c r="AW751" s="51">
        <v>4182.1499999999996</v>
      </c>
      <c r="AX751" s="51">
        <v>395.60500000000002</v>
      </c>
      <c r="AY751" s="51">
        <v>261.23362605225998</v>
      </c>
      <c r="AZ751" s="51">
        <v>637.89590712605002</v>
      </c>
      <c r="BA751" s="51">
        <v>725.55849999999998</v>
      </c>
      <c r="BB751" s="51">
        <v>479.16120246029999</v>
      </c>
      <c r="BC751" s="51">
        <v>2.6464258479999998</v>
      </c>
      <c r="BD751" s="51">
        <v>1.7222</v>
      </c>
      <c r="BE751" s="51">
        <v>1.921</v>
      </c>
      <c r="BF751" s="51">
        <v>176.67</v>
      </c>
      <c r="BG751" s="51">
        <v>745</v>
      </c>
      <c r="BH751" s="51">
        <v>686.67</v>
      </c>
      <c r="BI751" s="51">
        <v>890</v>
      </c>
      <c r="BJ751" s="51">
        <v>807.5</v>
      </c>
      <c r="BK751" s="51">
        <v>2695.53</v>
      </c>
      <c r="BL751" s="51">
        <v>116.96</v>
      </c>
      <c r="BM751" s="51">
        <v>9551.18</v>
      </c>
      <c r="BN751" s="51">
        <v>2301.69</v>
      </c>
      <c r="BO751" s="51">
        <v>39422.519999999997</v>
      </c>
      <c r="BP751" s="51">
        <v>20015.55</v>
      </c>
      <c r="BQ751" s="51">
        <v>3399.21</v>
      </c>
      <c r="BR751" s="51">
        <v>1790.43</v>
      </c>
      <c r="BS751" s="51">
        <v>944.59</v>
      </c>
      <c r="BT751" s="51">
        <v>22.532</v>
      </c>
    </row>
    <row r="752" spans="1:72" s="41" customFormat="1" ht="12.3">
      <c r="A752" s="48" t="s">
        <v>1423</v>
      </c>
      <c r="B752" s="49">
        <v>83.92</v>
      </c>
      <c r="C752" s="49">
        <v>85.53</v>
      </c>
      <c r="D752" s="49">
        <v>83.11</v>
      </c>
      <c r="E752" s="49">
        <v>83.12</v>
      </c>
      <c r="F752" s="49">
        <v>196.95</v>
      </c>
      <c r="G752" s="49">
        <v>168.5</v>
      </c>
      <c r="H752" s="49">
        <v>4.3324999999999996</v>
      </c>
      <c r="I752" s="49">
        <v>28.260673316550001</v>
      </c>
      <c r="J752" s="49">
        <v>14.68575980736</v>
      </c>
      <c r="K752" s="49">
        <v>196.91113953145</v>
      </c>
      <c r="L752" s="49">
        <v>2.4673600000000002</v>
      </c>
      <c r="M752" s="49">
        <v>5.976283896</v>
      </c>
      <c r="N752" s="49">
        <v>2.4250820000000002</v>
      </c>
      <c r="O752" s="49">
        <v>2.86190204087</v>
      </c>
      <c r="P752" s="49">
        <v>3.51</v>
      </c>
      <c r="Q752" s="49">
        <v>2.39820612261</v>
      </c>
      <c r="R752" s="49">
        <v>2.6775000000000002</v>
      </c>
      <c r="S752" s="49">
        <v>2016.14</v>
      </c>
      <c r="T752" s="49">
        <v>1479.55</v>
      </c>
      <c r="U752" s="49">
        <v>1428.56</v>
      </c>
      <c r="V752" s="49">
        <v>2489.88</v>
      </c>
      <c r="W752" s="49">
        <v>1344.79</v>
      </c>
      <c r="X752" s="49">
        <v>2195.79</v>
      </c>
      <c r="Y752" s="49">
        <v>606.22</v>
      </c>
      <c r="Z752" s="49">
        <v>1469.56</v>
      </c>
      <c r="AA752" s="49">
        <v>526.49</v>
      </c>
      <c r="AB752" s="49">
        <v>1865.36</v>
      </c>
      <c r="AC752" s="49">
        <v>1411.73</v>
      </c>
      <c r="AD752" s="49" t="s">
        <v>1599</v>
      </c>
      <c r="AE752" s="49">
        <v>276.62318879999998</v>
      </c>
      <c r="AF752" s="49" t="s">
        <v>1599</v>
      </c>
      <c r="AG752" s="49">
        <v>427</v>
      </c>
      <c r="AH752" s="49">
        <v>419</v>
      </c>
      <c r="AI752" s="49">
        <v>403.15</v>
      </c>
      <c r="AJ752" s="49">
        <v>395.94</v>
      </c>
      <c r="AK752" s="49">
        <v>325.15943329800001</v>
      </c>
      <c r="AL752" s="49">
        <v>374.24</v>
      </c>
      <c r="AM752" s="49">
        <v>0.91152966024000004</v>
      </c>
      <c r="AN752" s="49">
        <v>1.1574255</v>
      </c>
      <c r="AO752" s="49">
        <v>0.79319509860000004</v>
      </c>
      <c r="AP752" s="49">
        <v>5.9717644249999999</v>
      </c>
      <c r="AQ752" s="49">
        <v>2.8818792640000002</v>
      </c>
      <c r="AR752" s="49">
        <v>13.007300000000001</v>
      </c>
      <c r="AS752" s="49">
        <v>14.784181719999999</v>
      </c>
      <c r="AT752" s="49">
        <v>0.36966591999999998</v>
      </c>
      <c r="AU752" s="49">
        <v>0.782199176</v>
      </c>
      <c r="AV752" s="49">
        <v>0.401681764</v>
      </c>
      <c r="AW752" s="49">
        <v>4184.6000000000004</v>
      </c>
      <c r="AX752" s="49">
        <v>396.2</v>
      </c>
      <c r="AY752" s="49">
        <v>259.05137508628002</v>
      </c>
      <c r="AZ752" s="49">
        <v>649.68306202374004</v>
      </c>
      <c r="BA752" s="49">
        <v>738.96550000000002</v>
      </c>
      <c r="BB752" s="49">
        <v>475.15846356052998</v>
      </c>
      <c r="BC752" s="49">
        <v>2.9112007100000001</v>
      </c>
      <c r="BD752" s="49">
        <v>1.7790999999999999</v>
      </c>
      <c r="BE752" s="49">
        <v>1.9735</v>
      </c>
      <c r="BF752" s="49">
        <v>173.13</v>
      </c>
      <c r="BG752" s="49">
        <v>699.38</v>
      </c>
      <c r="BH752" s="49">
        <v>674.38</v>
      </c>
      <c r="BI752" s="49">
        <v>846.38</v>
      </c>
      <c r="BJ752" s="49">
        <v>785.63</v>
      </c>
      <c r="BK752" s="49">
        <v>3005.98</v>
      </c>
      <c r="BL752" s="49">
        <v>132.53</v>
      </c>
      <c r="BM752" s="49">
        <v>9782.34</v>
      </c>
      <c r="BN752" s="49">
        <v>2331.85</v>
      </c>
      <c r="BO752" s="49">
        <v>41791.699999999997</v>
      </c>
      <c r="BP752" s="49">
        <v>22355.4</v>
      </c>
      <c r="BQ752" s="49">
        <v>3599.14</v>
      </c>
      <c r="BR752" s="49">
        <v>1816.02</v>
      </c>
      <c r="BS752" s="49">
        <v>994.15</v>
      </c>
      <c r="BT752" s="49">
        <v>23.158000000000001</v>
      </c>
    </row>
    <row r="753" spans="1:72" s="41" customFormat="1" ht="15" customHeight="1">
      <c r="A753" s="41" t="s">
        <v>1424</v>
      </c>
      <c r="B753" s="51">
        <v>93.543333333329997</v>
      </c>
      <c r="C753" s="51">
        <v>95.76</v>
      </c>
      <c r="D753" s="51">
        <v>93.13</v>
      </c>
      <c r="E753" s="51">
        <v>91.74</v>
      </c>
      <c r="F753" s="51">
        <v>219.78</v>
      </c>
      <c r="G753" s="51">
        <v>196.4</v>
      </c>
      <c r="H753" s="51">
        <v>4.6577000000000002</v>
      </c>
      <c r="I753" s="51">
        <v>27.229715906700001</v>
      </c>
      <c r="J753" s="51">
        <v>16.995238319599999</v>
      </c>
      <c r="K753" s="51">
        <v>197.52367940190001</v>
      </c>
      <c r="L753" s="51">
        <v>2.5509400000000002</v>
      </c>
      <c r="M753" s="51">
        <v>6.1691881459999998</v>
      </c>
      <c r="N753" s="51">
        <v>2.412515666</v>
      </c>
      <c r="O753" s="51">
        <v>2.78835909895</v>
      </c>
      <c r="P753" s="51">
        <v>3.61</v>
      </c>
      <c r="Q753" s="51">
        <v>2.0701106272900001</v>
      </c>
      <c r="R753" s="51">
        <v>2.73</v>
      </c>
      <c r="S753" s="51">
        <v>2147.89</v>
      </c>
      <c r="T753" s="51">
        <v>1496.25</v>
      </c>
      <c r="U753" s="51">
        <v>1445.25</v>
      </c>
      <c r="V753" s="51">
        <v>2473.1</v>
      </c>
      <c r="W753" s="51">
        <v>1522.36</v>
      </c>
      <c r="X753" s="51">
        <v>2442.63</v>
      </c>
      <c r="Y753" s="51">
        <v>661.63</v>
      </c>
      <c r="Z753" s="51">
        <v>1595.74</v>
      </c>
      <c r="AA753" s="51">
        <v>569.46</v>
      </c>
      <c r="AB753" s="51">
        <v>1744.2</v>
      </c>
      <c r="AC753" s="51">
        <v>1499.12</v>
      </c>
      <c r="AD753" s="51" t="s">
        <v>1599</v>
      </c>
      <c r="AE753" s="51">
        <v>292.622344</v>
      </c>
      <c r="AF753" s="51" t="s">
        <v>1599</v>
      </c>
      <c r="AG753" s="51">
        <v>427</v>
      </c>
      <c r="AH753" s="51">
        <v>422</v>
      </c>
      <c r="AI753" s="51">
        <v>405.95</v>
      </c>
      <c r="AJ753" s="51">
        <v>384.21</v>
      </c>
      <c r="AK753" s="51">
        <v>339.34616428499999</v>
      </c>
      <c r="AL753" s="51">
        <v>390.5</v>
      </c>
      <c r="AM753" s="51">
        <v>0.96250546948000004</v>
      </c>
      <c r="AN753" s="51">
        <v>1.24354346875</v>
      </c>
      <c r="AO753" s="51">
        <v>0.73278637552000003</v>
      </c>
      <c r="AP753" s="51">
        <v>6.2120680049999999</v>
      </c>
      <c r="AQ753" s="51">
        <v>2.8312832349999999</v>
      </c>
      <c r="AR753" s="51">
        <v>13.007300000000001</v>
      </c>
      <c r="AS753" s="51">
        <v>14.881185</v>
      </c>
      <c r="AT753" s="51">
        <v>0.37041700799999999</v>
      </c>
      <c r="AU753" s="51">
        <v>0.77999455600000001</v>
      </c>
      <c r="AV753" s="51">
        <v>0.393745132</v>
      </c>
      <c r="AW753" s="51">
        <v>4219.55</v>
      </c>
      <c r="AX753" s="51">
        <v>397.005</v>
      </c>
      <c r="AY753" s="51">
        <v>258.46660900257001</v>
      </c>
      <c r="AZ753" s="51">
        <v>648.82058727513004</v>
      </c>
      <c r="BA753" s="51">
        <v>737.98450000000003</v>
      </c>
      <c r="BB753" s="51">
        <v>474.08587109199999</v>
      </c>
      <c r="BC753" s="51">
        <v>3.0514145419999998</v>
      </c>
      <c r="BD753" s="51">
        <v>1.7905</v>
      </c>
      <c r="BE753" s="51">
        <v>2.1120999999999999</v>
      </c>
      <c r="BF753" s="51">
        <v>172.5</v>
      </c>
      <c r="BG753" s="51">
        <v>747.13</v>
      </c>
      <c r="BH753" s="51">
        <v>680</v>
      </c>
      <c r="BI753" s="51">
        <v>744.17</v>
      </c>
      <c r="BJ753" s="51">
        <v>791.88</v>
      </c>
      <c r="BK753" s="51">
        <v>3245.79</v>
      </c>
      <c r="BL753" s="51">
        <v>142.84</v>
      </c>
      <c r="BM753" s="51">
        <v>9943.17</v>
      </c>
      <c r="BN753" s="51">
        <v>2296.86</v>
      </c>
      <c r="BO753" s="51">
        <v>43983.35</v>
      </c>
      <c r="BP753" s="51">
        <v>24015.55</v>
      </c>
      <c r="BQ753" s="51">
        <v>3620.04</v>
      </c>
      <c r="BR753" s="51">
        <v>1856.3</v>
      </c>
      <c r="BS753" s="51">
        <v>1049.4000000000001</v>
      </c>
      <c r="BT753" s="51">
        <v>23.542000000000002</v>
      </c>
    </row>
    <row r="754" spans="1:72" s="41" customFormat="1" ht="15" customHeight="1">
      <c r="A754" s="48" t="s">
        <v>1437</v>
      </c>
      <c r="B754" s="49">
        <v>112.39666666667</v>
      </c>
      <c r="C754" s="49">
        <v>115.59</v>
      </c>
      <c r="D754" s="49">
        <v>113.11</v>
      </c>
      <c r="E754" s="49">
        <v>108.49</v>
      </c>
      <c r="F754" s="49">
        <v>314.04000000000002</v>
      </c>
      <c r="G754" s="49">
        <v>294.42</v>
      </c>
      <c r="H754" s="49">
        <v>4.8838999999999997</v>
      </c>
      <c r="I754" s="49">
        <v>42.392970796119997</v>
      </c>
      <c r="J754" s="49">
        <v>15.11138495446</v>
      </c>
      <c r="K754" s="49">
        <v>271.07990593108002</v>
      </c>
      <c r="L754" s="49">
        <v>2.4590100000000001</v>
      </c>
      <c r="M754" s="49">
        <v>5.6985017759999996</v>
      </c>
      <c r="N754" s="49">
        <v>2.2888364839999999</v>
      </c>
      <c r="O754" s="49">
        <v>2.6136485446400002</v>
      </c>
      <c r="P754" s="49">
        <v>3.35</v>
      </c>
      <c r="Q754" s="49">
        <v>1.9559456339200001</v>
      </c>
      <c r="R754" s="49">
        <v>2.5350000000000001</v>
      </c>
      <c r="S754" s="49">
        <v>2230.2199999999998</v>
      </c>
      <c r="T754" s="49">
        <v>1491.3</v>
      </c>
      <c r="U754" s="49">
        <v>1514.62</v>
      </c>
      <c r="V754" s="49">
        <v>2153.15</v>
      </c>
      <c r="W754" s="49">
        <v>1776.96</v>
      </c>
      <c r="X754" s="49">
        <v>2441.48</v>
      </c>
      <c r="Y754" s="49">
        <v>720.6</v>
      </c>
      <c r="Z754" s="49">
        <v>1956.88</v>
      </c>
      <c r="AA754" s="49">
        <v>601.42999999999995</v>
      </c>
      <c r="AB754" s="49">
        <v>2162.3000000000002</v>
      </c>
      <c r="AC754" s="49">
        <v>2361.13</v>
      </c>
      <c r="AD754" s="49" t="s">
        <v>1599</v>
      </c>
      <c r="AE754" s="49">
        <v>335.52952720000002</v>
      </c>
      <c r="AF754" s="49" t="s">
        <v>1599</v>
      </c>
      <c r="AG754" s="49">
        <v>422</v>
      </c>
      <c r="AH754" s="49">
        <v>419</v>
      </c>
      <c r="AI754" s="49">
        <v>407.13</v>
      </c>
      <c r="AJ754" s="49">
        <v>391.67</v>
      </c>
      <c r="AK754" s="49">
        <v>446.65605252</v>
      </c>
      <c r="AL754" s="49">
        <v>486.3</v>
      </c>
      <c r="AM754" s="49">
        <v>0.97017463973999996</v>
      </c>
      <c r="AN754" s="49">
        <v>1.3889106</v>
      </c>
      <c r="AO754" s="49">
        <v>0.76669354846000004</v>
      </c>
      <c r="AP754" s="49">
        <v>6.2486646969999997</v>
      </c>
      <c r="AQ754" s="49">
        <v>3.3422039200000002</v>
      </c>
      <c r="AR754" s="49">
        <v>13.007300000000001</v>
      </c>
      <c r="AS754" s="49">
        <v>14.9583467</v>
      </c>
      <c r="AT754" s="49">
        <v>0.35983646400000002</v>
      </c>
      <c r="AU754" s="49">
        <v>0.80093844599999997</v>
      </c>
      <c r="AV754" s="49">
        <v>0.41998011000000002</v>
      </c>
      <c r="AW754" s="49">
        <v>4258</v>
      </c>
      <c r="AX754" s="49">
        <v>385.66500000000002</v>
      </c>
      <c r="AY754" s="49">
        <v>250.94987798125001</v>
      </c>
      <c r="AZ754" s="49">
        <v>631.23568545621004</v>
      </c>
      <c r="BA754" s="49">
        <v>717.98299999999995</v>
      </c>
      <c r="BB754" s="49">
        <v>460.29849643746002</v>
      </c>
      <c r="BC754" s="49">
        <v>3.1113802060000002</v>
      </c>
      <c r="BD754" s="49">
        <v>1.7454000000000001</v>
      </c>
      <c r="BE754" s="49">
        <v>2.1217000000000001</v>
      </c>
      <c r="BF754" s="49">
        <v>178.75</v>
      </c>
      <c r="BG754" s="49">
        <v>938.13</v>
      </c>
      <c r="BH754" s="49">
        <v>792.5</v>
      </c>
      <c r="BI754" s="49">
        <v>872.5</v>
      </c>
      <c r="BJ754" s="49">
        <v>977.5</v>
      </c>
      <c r="BK754" s="49">
        <v>3498.37</v>
      </c>
      <c r="BL754" s="49">
        <v>152.07</v>
      </c>
      <c r="BM754" s="49">
        <v>10230.89</v>
      </c>
      <c r="BN754" s="49">
        <v>2344.84</v>
      </c>
      <c r="BO754" s="49">
        <v>43949.67</v>
      </c>
      <c r="BP754" s="49">
        <v>33924.18</v>
      </c>
      <c r="BQ754" s="49">
        <v>3962.21</v>
      </c>
      <c r="BR754" s="49">
        <v>1947.83</v>
      </c>
      <c r="BS754" s="49">
        <v>1043.26</v>
      </c>
      <c r="BT754" s="49">
        <v>25.314</v>
      </c>
    </row>
    <row r="755" spans="1:72" s="41" customFormat="1" ht="15" customHeight="1">
      <c r="A755" s="41" t="s">
        <v>1438</v>
      </c>
      <c r="B755" s="51">
        <v>103.41333333333</v>
      </c>
      <c r="C755" s="51">
        <v>105.78</v>
      </c>
      <c r="D755" s="51">
        <v>102.68</v>
      </c>
      <c r="E755" s="51">
        <v>101.78</v>
      </c>
      <c r="F755" s="51">
        <v>310.85000000000002</v>
      </c>
      <c r="G755" s="51">
        <v>302</v>
      </c>
      <c r="H755" s="51">
        <v>6.5305999999999997</v>
      </c>
      <c r="I755" s="51">
        <v>32.204187228709998</v>
      </c>
      <c r="J755" s="51">
        <v>16.287523919009999</v>
      </c>
      <c r="K755" s="51">
        <v>243.43602963927</v>
      </c>
      <c r="L755" s="51">
        <v>2.4553500000000001</v>
      </c>
      <c r="M755" s="51">
        <v>5.8541479479999996</v>
      </c>
      <c r="N755" s="51">
        <v>2.2910411040000001</v>
      </c>
      <c r="O755" s="51">
        <v>3.24066791571</v>
      </c>
      <c r="P755" s="51">
        <v>4.09</v>
      </c>
      <c r="Q755" s="51">
        <v>3.1070037471399998</v>
      </c>
      <c r="R755" s="51">
        <v>2.5249999999999999</v>
      </c>
      <c r="S755" s="51">
        <v>2094.61</v>
      </c>
      <c r="T755" s="51">
        <v>1443.75</v>
      </c>
      <c r="U755" s="51">
        <v>1643.39</v>
      </c>
      <c r="V755" s="51">
        <v>2145.25</v>
      </c>
      <c r="W755" s="51">
        <v>1682.74</v>
      </c>
      <c r="X755" s="51">
        <v>2064.31</v>
      </c>
      <c r="Y755" s="51">
        <v>720.79</v>
      </c>
      <c r="Z755" s="51">
        <v>1947.51</v>
      </c>
      <c r="AA755" s="51">
        <v>579.45000000000005</v>
      </c>
      <c r="AB755" s="51">
        <v>2266.17</v>
      </c>
      <c r="AC755" s="51">
        <v>2275.7600000000002</v>
      </c>
      <c r="AD755" s="51" t="s">
        <v>1599</v>
      </c>
      <c r="AE755" s="51">
        <v>348.16665519999998</v>
      </c>
      <c r="AF755" s="51" t="s">
        <v>1599</v>
      </c>
      <c r="AG755" s="51">
        <v>431</v>
      </c>
      <c r="AH755" s="51">
        <v>429</v>
      </c>
      <c r="AI755" s="51">
        <v>409.06</v>
      </c>
      <c r="AJ755" s="51">
        <v>402.38</v>
      </c>
      <c r="AK755" s="51">
        <v>427.30683589799997</v>
      </c>
      <c r="AL755" s="51">
        <v>495.28</v>
      </c>
      <c r="AM755" s="51">
        <v>0.96240781171000001</v>
      </c>
      <c r="AN755" s="51">
        <v>1.45711603125</v>
      </c>
      <c r="AO755" s="51">
        <v>0.90703010040999998</v>
      </c>
      <c r="AP755" s="51">
        <v>6.128623138</v>
      </c>
      <c r="AQ755" s="51">
        <v>3.6748259624999999</v>
      </c>
      <c r="AR755" s="51">
        <v>13.007300000000001</v>
      </c>
      <c r="AS755" s="51">
        <v>14.991415999999999</v>
      </c>
      <c r="AT755" s="51">
        <v>0.353468544</v>
      </c>
      <c r="AU755" s="51">
        <v>0.81350478000000004</v>
      </c>
      <c r="AV755" s="51">
        <v>0.43342829199999999</v>
      </c>
      <c r="AW755" s="51">
        <v>4263.3416666666699</v>
      </c>
      <c r="AX755" s="51">
        <v>378.84</v>
      </c>
      <c r="AY755" s="51">
        <v>235.71008729149</v>
      </c>
      <c r="AZ755" s="51">
        <v>620.50266636237995</v>
      </c>
      <c r="BA755" s="51">
        <v>705.77499999999998</v>
      </c>
      <c r="BB755" s="51">
        <v>432.34529400140002</v>
      </c>
      <c r="BC755" s="51">
        <v>3.4242157839999998</v>
      </c>
      <c r="BD755" s="51">
        <v>1.7027000000000001</v>
      </c>
      <c r="BE755" s="51">
        <v>2.0943999999999998</v>
      </c>
      <c r="BF755" s="51">
        <v>249.5</v>
      </c>
      <c r="BG755" s="51">
        <v>954</v>
      </c>
      <c r="BH755" s="51">
        <v>856</v>
      </c>
      <c r="BI755" s="51">
        <v>925</v>
      </c>
      <c r="BJ755" s="51">
        <v>1202</v>
      </c>
      <c r="BK755" s="51">
        <v>3244.41</v>
      </c>
      <c r="BL755" s="51">
        <v>151.25</v>
      </c>
      <c r="BM755" s="51">
        <v>10161.379999999999</v>
      </c>
      <c r="BN755" s="51">
        <v>2380.41</v>
      </c>
      <c r="BO755" s="51">
        <v>42991.11</v>
      </c>
      <c r="BP755" s="51">
        <v>33132.74</v>
      </c>
      <c r="BQ755" s="51">
        <v>4360.43</v>
      </c>
      <c r="BR755" s="51">
        <v>1936.86</v>
      </c>
      <c r="BS755" s="51">
        <v>965</v>
      </c>
      <c r="BT755" s="51">
        <v>24.545000000000002</v>
      </c>
    </row>
    <row r="756" spans="1:72" s="41" customFormat="1" ht="15" customHeight="1">
      <c r="A756" s="48" t="s">
        <v>1439</v>
      </c>
      <c r="B756" s="49">
        <v>110.09666666667</v>
      </c>
      <c r="C756" s="49">
        <v>112.37</v>
      </c>
      <c r="D756" s="49">
        <v>108.32</v>
      </c>
      <c r="E756" s="49">
        <v>109.6</v>
      </c>
      <c r="F756" s="49">
        <v>371.86</v>
      </c>
      <c r="G756" s="49">
        <v>280</v>
      </c>
      <c r="H756" s="49">
        <v>8.1372999999999998</v>
      </c>
      <c r="I756" s="49">
        <v>29.170722673810001</v>
      </c>
      <c r="J756" s="49">
        <v>16.679091287910001</v>
      </c>
      <c r="K756" s="49">
        <v>248.79106483488999</v>
      </c>
      <c r="L756" s="49">
        <v>2.3666200000000002</v>
      </c>
      <c r="M756" s="49">
        <v>5.7412714039999999</v>
      </c>
      <c r="N756" s="49">
        <v>2.2729632199999998</v>
      </c>
      <c r="O756" s="49">
        <v>2.9852499358100002</v>
      </c>
      <c r="P756" s="49">
        <v>3.71</v>
      </c>
      <c r="Q756" s="49">
        <v>2.8690831407499999</v>
      </c>
      <c r="R756" s="49">
        <v>2.3766666666699998</v>
      </c>
      <c r="S756" s="49">
        <v>1813.33</v>
      </c>
      <c r="T756" s="49">
        <v>1482.95</v>
      </c>
      <c r="U756" s="49">
        <v>1634.21</v>
      </c>
      <c r="V756" s="49">
        <v>2146.29</v>
      </c>
      <c r="W756" s="49">
        <v>1716.92</v>
      </c>
      <c r="X756" s="49">
        <v>1811.19</v>
      </c>
      <c r="Y756" s="49">
        <v>724.09</v>
      </c>
      <c r="Z756" s="49">
        <v>1962.88</v>
      </c>
      <c r="AA756" s="49">
        <v>529.83000000000004</v>
      </c>
      <c r="AB756" s="49">
        <v>2218.4499999999998</v>
      </c>
      <c r="AC756" s="49">
        <v>2079.3000000000002</v>
      </c>
      <c r="AD756" s="49" t="s">
        <v>1599</v>
      </c>
      <c r="AE756" s="49">
        <v>344.84005919999998</v>
      </c>
      <c r="AF756" s="49" t="s">
        <v>1599</v>
      </c>
      <c r="AG756" s="49">
        <v>464</v>
      </c>
      <c r="AH756" s="49">
        <v>458</v>
      </c>
      <c r="AI756" s="49">
        <v>442.86</v>
      </c>
      <c r="AJ756" s="49">
        <v>406.45</v>
      </c>
      <c r="AK756" s="49">
        <v>438.381378036</v>
      </c>
      <c r="AL756" s="49">
        <v>522.29</v>
      </c>
      <c r="AM756" s="49">
        <v>0.96246988554000001</v>
      </c>
      <c r="AN756" s="49">
        <v>1.46056075</v>
      </c>
      <c r="AO756" s="49">
        <v>0.92178844869999998</v>
      </c>
      <c r="AP756" s="49">
        <v>6.0816647320000001</v>
      </c>
      <c r="AQ756" s="49">
        <v>3.7037616</v>
      </c>
      <c r="AR756" s="49">
        <v>12.5939</v>
      </c>
      <c r="AS756" s="49">
        <v>15.12589782</v>
      </c>
      <c r="AT756" s="49">
        <v>0.34546782399999998</v>
      </c>
      <c r="AU756" s="49">
        <v>0.80204075600000002</v>
      </c>
      <c r="AV756" s="49">
        <v>0.42879858999999998</v>
      </c>
      <c r="AW756" s="49">
        <v>4277.0666666666702</v>
      </c>
      <c r="AX756" s="49">
        <v>370.26499999999999</v>
      </c>
      <c r="AY756" s="49">
        <v>231.13496913754</v>
      </c>
      <c r="AZ756" s="49">
        <v>596.78461077555005</v>
      </c>
      <c r="BA756" s="49">
        <v>678.79750000000001</v>
      </c>
      <c r="BB756" s="49">
        <v>423.95349869857</v>
      </c>
      <c r="BC756" s="49">
        <v>3.6100652499999999</v>
      </c>
      <c r="BD756" s="49">
        <v>1.6173999999999999</v>
      </c>
      <c r="BE756" s="49">
        <v>2.0579999999999998</v>
      </c>
      <c r="BF756" s="49">
        <v>255</v>
      </c>
      <c r="BG756" s="49">
        <v>842.5</v>
      </c>
      <c r="BH756" s="49">
        <v>827.5</v>
      </c>
      <c r="BI756" s="49">
        <v>707.5</v>
      </c>
      <c r="BJ756" s="49">
        <v>1170</v>
      </c>
      <c r="BK756" s="49">
        <v>2830.32</v>
      </c>
      <c r="BL756" s="49">
        <v>131.21</v>
      </c>
      <c r="BM756" s="49">
        <v>9377.15</v>
      </c>
      <c r="BN756" s="49">
        <v>2142.48</v>
      </c>
      <c r="BO756" s="49">
        <v>35769.39</v>
      </c>
      <c r="BP756" s="49">
        <v>28062.55</v>
      </c>
      <c r="BQ756" s="49">
        <v>3751.48</v>
      </c>
      <c r="BR756" s="49">
        <v>1848.5</v>
      </c>
      <c r="BS756" s="49">
        <v>958.38</v>
      </c>
      <c r="BT756" s="49">
        <v>21.905000000000001</v>
      </c>
    </row>
    <row r="757" spans="1:72" s="41" customFormat="1" ht="15" customHeight="1">
      <c r="A757" s="41" t="s">
        <v>1563</v>
      </c>
      <c r="B757" s="51">
        <v>116.8</v>
      </c>
      <c r="C757" s="51">
        <v>120.08</v>
      </c>
      <c r="D757" s="51">
        <v>115.73</v>
      </c>
      <c r="E757" s="51">
        <v>114.59</v>
      </c>
      <c r="F757" s="51">
        <v>374.08</v>
      </c>
      <c r="G757" s="51">
        <v>291.35680000000002</v>
      </c>
      <c r="H757" s="51">
        <v>7.6740000000000004</v>
      </c>
      <c r="I757" s="51">
        <v>33.55773104275</v>
      </c>
      <c r="J757" s="51">
        <v>15.53392071335</v>
      </c>
      <c r="K757" s="51">
        <v>263.24491050026</v>
      </c>
      <c r="L757" s="51">
        <v>2.3222900000000002</v>
      </c>
      <c r="M757" s="51">
        <v>6.0338244779999997</v>
      </c>
      <c r="N757" s="51">
        <v>2.2886160219999998</v>
      </c>
      <c r="O757" s="51">
        <v>2.96427731058</v>
      </c>
      <c r="P757" s="51">
        <v>3.51</v>
      </c>
      <c r="Q757" s="51">
        <v>3.2728319317299999</v>
      </c>
      <c r="R757" s="51">
        <v>2.11</v>
      </c>
      <c r="S757" s="51">
        <v>1700.5</v>
      </c>
      <c r="T757" s="51">
        <v>1607.14</v>
      </c>
      <c r="U757" s="51">
        <v>1608.06</v>
      </c>
      <c r="V757" s="51">
        <v>2146.19</v>
      </c>
      <c r="W757" s="51">
        <v>1501.1</v>
      </c>
      <c r="X757" s="51">
        <v>1554.5</v>
      </c>
      <c r="Y757" s="51">
        <v>737.06</v>
      </c>
      <c r="Z757" s="51">
        <v>1751.76</v>
      </c>
      <c r="AA757" s="51">
        <v>528.14</v>
      </c>
      <c r="AB757" s="51">
        <v>2000.53</v>
      </c>
      <c r="AC757" s="51">
        <v>1884.59</v>
      </c>
      <c r="AD757" s="51" t="s">
        <v>1599</v>
      </c>
      <c r="AE757" s="51">
        <v>335.71455680000003</v>
      </c>
      <c r="AF757" s="51" t="s">
        <v>1599</v>
      </c>
      <c r="AG757" s="51">
        <v>444</v>
      </c>
      <c r="AH757" s="51">
        <v>441</v>
      </c>
      <c r="AI757" s="51">
        <v>427.55</v>
      </c>
      <c r="AJ757" s="51">
        <v>411.92</v>
      </c>
      <c r="AK757" s="51">
        <v>379.89280413</v>
      </c>
      <c r="AL757" s="51">
        <v>459.59</v>
      </c>
      <c r="AM757" s="51">
        <v>0.95185945594999999</v>
      </c>
      <c r="AN757" s="51">
        <v>1.4385145500000001</v>
      </c>
      <c r="AO757" s="51">
        <v>0.93866268920999996</v>
      </c>
      <c r="AP757" s="51">
        <v>5.984110297</v>
      </c>
      <c r="AQ757" s="51">
        <v>3.6698655675</v>
      </c>
      <c r="AR757" s="51">
        <v>12.456099999999999</v>
      </c>
      <c r="AS757" s="51">
        <v>14.85693418</v>
      </c>
      <c r="AT757" s="51">
        <v>0.34530454399999999</v>
      </c>
      <c r="AU757" s="51">
        <v>0.79300181400000003</v>
      </c>
      <c r="AV757" s="51">
        <v>0.41777549000000003</v>
      </c>
      <c r="AW757" s="51">
        <v>4206.0583333333298</v>
      </c>
      <c r="AX757" s="51">
        <v>370.09</v>
      </c>
      <c r="AY757" s="51">
        <v>222.29826780850999</v>
      </c>
      <c r="AZ757" s="51">
        <v>590.65145700764003</v>
      </c>
      <c r="BA757" s="51">
        <v>671.82150000000001</v>
      </c>
      <c r="BB757" s="51">
        <v>407.74500173518999</v>
      </c>
      <c r="BC757" s="51">
        <v>3.3988626540000002</v>
      </c>
      <c r="BD757" s="51">
        <v>1.6362000000000001</v>
      </c>
      <c r="BE757" s="51">
        <v>2.0301999999999998</v>
      </c>
      <c r="BF757" s="51">
        <v>287.5</v>
      </c>
      <c r="BG757" s="51">
        <v>783.75</v>
      </c>
      <c r="BH757" s="51">
        <v>730.13</v>
      </c>
      <c r="BI757" s="51">
        <v>690</v>
      </c>
      <c r="BJ757" s="51">
        <v>1101.8800000000001</v>
      </c>
      <c r="BK757" s="51">
        <v>2563.44</v>
      </c>
      <c r="BL757" s="51">
        <v>130.74</v>
      </c>
      <c r="BM757" s="51">
        <v>9024.4599999999991</v>
      </c>
      <c r="BN757" s="51">
        <v>2066.38</v>
      </c>
      <c r="BO757" s="51">
        <v>31559.31</v>
      </c>
      <c r="BP757" s="51">
        <v>25658.63</v>
      </c>
      <c r="BQ757" s="51">
        <v>3629.73</v>
      </c>
      <c r="BR757" s="51">
        <v>1836.57</v>
      </c>
      <c r="BS757" s="51">
        <v>956.59</v>
      </c>
      <c r="BT757" s="51">
        <v>21.556000000000001</v>
      </c>
    </row>
    <row r="758" spans="1:72" s="41" customFormat="1" ht="15" customHeight="1">
      <c r="A758" s="48" t="s">
        <v>1564</v>
      </c>
      <c r="B758" s="49">
        <v>105.08333333333</v>
      </c>
      <c r="C758" s="49">
        <v>108.92</v>
      </c>
      <c r="D758" s="49">
        <v>106.48</v>
      </c>
      <c r="E758" s="49">
        <v>99.85</v>
      </c>
      <c r="F758" s="49">
        <v>402.2</v>
      </c>
      <c r="G758" s="49">
        <v>269.08655771317001</v>
      </c>
      <c r="H758" s="49">
        <v>7.2561</v>
      </c>
      <c r="I758" s="49">
        <v>51.330030472979999</v>
      </c>
      <c r="J758" s="49">
        <v>18.880754361280001</v>
      </c>
      <c r="K758" s="49">
        <v>344.92667574040001</v>
      </c>
      <c r="L758" s="49">
        <v>2.2391299999999998</v>
      </c>
      <c r="M758" s="49">
        <v>5.6391974979999997</v>
      </c>
      <c r="N758" s="49">
        <v>2.2121157079999998</v>
      </c>
      <c r="O758" s="49">
        <v>3.3085736350000001</v>
      </c>
      <c r="P758" s="49">
        <v>4.01</v>
      </c>
      <c r="Q758" s="49">
        <v>3.5507209049899999</v>
      </c>
      <c r="R758" s="49">
        <v>2.3650000000000002</v>
      </c>
      <c r="S758" s="49">
        <v>1540.53</v>
      </c>
      <c r="T758" s="49">
        <v>1621.09</v>
      </c>
      <c r="U758" s="49">
        <v>1581.28</v>
      </c>
      <c r="V758" s="49">
        <v>2146.19</v>
      </c>
      <c r="W758" s="49">
        <v>1056.6400000000001</v>
      </c>
      <c r="X758" s="49">
        <v>1301.05</v>
      </c>
      <c r="Y758" s="49">
        <v>678.2</v>
      </c>
      <c r="Z758" s="49">
        <v>1533.4</v>
      </c>
      <c r="AA758" s="49">
        <v>535.54</v>
      </c>
      <c r="AB758" s="49">
        <v>1737.34</v>
      </c>
      <c r="AC758" s="49">
        <v>1556.87</v>
      </c>
      <c r="AD758" s="49" t="s">
        <v>1599</v>
      </c>
      <c r="AE758" s="49">
        <v>322.96719839999997</v>
      </c>
      <c r="AF758" s="49" t="s">
        <v>1599</v>
      </c>
      <c r="AG758" s="49">
        <v>418</v>
      </c>
      <c r="AH758" s="49">
        <v>412</v>
      </c>
      <c r="AI758" s="49">
        <v>405.67</v>
      </c>
      <c r="AJ758" s="49">
        <v>411.09</v>
      </c>
      <c r="AK758" s="49">
        <v>316.68634299600001</v>
      </c>
      <c r="AL758" s="49">
        <v>382.5</v>
      </c>
      <c r="AM758" s="49">
        <v>0.89148039815000002</v>
      </c>
      <c r="AN758" s="49">
        <v>1.52601040625</v>
      </c>
      <c r="AO758" s="49">
        <v>0.84180772252000002</v>
      </c>
      <c r="AP758" s="49">
        <v>5.8403690729999997</v>
      </c>
      <c r="AQ758" s="49">
        <v>3.5428243400000001</v>
      </c>
      <c r="AR758" s="49">
        <v>12.0152</v>
      </c>
      <c r="AS758" s="49">
        <v>14.04122478</v>
      </c>
      <c r="AT758" s="49">
        <v>0.33260136000000001</v>
      </c>
      <c r="AU758" s="49">
        <v>0.767869146</v>
      </c>
      <c r="AV758" s="49">
        <v>0.40278407399999999</v>
      </c>
      <c r="AW758" s="49">
        <v>4268.3916666666701</v>
      </c>
      <c r="AX758" s="49">
        <v>356.47500000000002</v>
      </c>
      <c r="AY758" s="49">
        <v>217.76156846548</v>
      </c>
      <c r="AZ758" s="49">
        <v>574.59984363069998</v>
      </c>
      <c r="BA758" s="49">
        <v>653.56399999999996</v>
      </c>
      <c r="BB758" s="49">
        <v>399.42367516915999</v>
      </c>
      <c r="BC758" s="49">
        <v>2.8887135860000002</v>
      </c>
      <c r="BD758" s="49">
        <v>1.5561</v>
      </c>
      <c r="BE758" s="49">
        <v>1.7790999999999999</v>
      </c>
      <c r="BF758" s="49">
        <v>320</v>
      </c>
      <c r="BG758" s="49">
        <v>784</v>
      </c>
      <c r="BH758" s="49">
        <v>736</v>
      </c>
      <c r="BI758" s="49">
        <v>601</v>
      </c>
      <c r="BJ758" s="49">
        <v>1013</v>
      </c>
      <c r="BK758" s="49">
        <v>2408.42</v>
      </c>
      <c r="BL758" s="49">
        <v>108.57</v>
      </c>
      <c r="BM758" s="49">
        <v>7544.81</v>
      </c>
      <c r="BN758" s="49">
        <v>1985.2</v>
      </c>
      <c r="BO758" s="49">
        <v>25395.77</v>
      </c>
      <c r="BP758" s="49">
        <v>21481.89</v>
      </c>
      <c r="BQ758" s="49">
        <v>3105.36</v>
      </c>
      <c r="BR758" s="49">
        <v>1732.74</v>
      </c>
      <c r="BS758" s="49">
        <v>869.25</v>
      </c>
      <c r="BT758" s="49">
        <v>19.074999999999999</v>
      </c>
    </row>
    <row r="759" spans="1:72" s="41" customFormat="1" ht="15" customHeight="1">
      <c r="A759" s="41" t="s">
        <v>1566</v>
      </c>
      <c r="B759" s="51">
        <v>95.973333333330004</v>
      </c>
      <c r="C759" s="51">
        <v>98.6</v>
      </c>
      <c r="D759" s="51">
        <v>97.75</v>
      </c>
      <c r="E759" s="51">
        <v>91.57</v>
      </c>
      <c r="F759" s="51">
        <v>406.97</v>
      </c>
      <c r="G759" s="51">
        <v>274.61946388545999</v>
      </c>
      <c r="H759" s="51">
        <v>8.7853999999999992</v>
      </c>
      <c r="I759" s="51">
        <v>70.043639803389993</v>
      </c>
      <c r="J759" s="51">
        <v>21.210847976659998</v>
      </c>
      <c r="K759" s="51">
        <v>454.04014274839</v>
      </c>
      <c r="L759" s="51">
        <v>2.3232200000000001</v>
      </c>
      <c r="M759" s="51">
        <v>5.9178614659999997</v>
      </c>
      <c r="N759" s="51">
        <v>2.41736583</v>
      </c>
      <c r="O759" s="51">
        <v>3.3693845046500002</v>
      </c>
      <c r="P759" s="51">
        <v>4.21</v>
      </c>
      <c r="Q759" s="51">
        <v>3.5381535139600002</v>
      </c>
      <c r="R759" s="51">
        <v>2.36</v>
      </c>
      <c r="S759" s="51">
        <v>1384.57</v>
      </c>
      <c r="T759" s="51">
        <v>1625</v>
      </c>
      <c r="U759" s="51">
        <v>1623.3</v>
      </c>
      <c r="V759" s="51">
        <v>2146.11</v>
      </c>
      <c r="W759" s="51">
        <v>1025.95</v>
      </c>
      <c r="X759" s="51">
        <v>1173.04</v>
      </c>
      <c r="Y759" s="51">
        <v>671.11</v>
      </c>
      <c r="Z759" s="51">
        <v>1598.78</v>
      </c>
      <c r="AA759" s="51">
        <v>535.41999999999996</v>
      </c>
      <c r="AB759" s="51">
        <v>1638.85</v>
      </c>
      <c r="AC759" s="51">
        <v>1496.22</v>
      </c>
      <c r="AD759" s="51" t="s">
        <v>1599</v>
      </c>
      <c r="AE759" s="51">
        <v>289.8350896</v>
      </c>
      <c r="AF759" s="51" t="s">
        <v>1599</v>
      </c>
      <c r="AG759" s="51">
        <v>431</v>
      </c>
      <c r="AH759" s="51">
        <v>421</v>
      </c>
      <c r="AI759" s="51">
        <v>412.55</v>
      </c>
      <c r="AJ759" s="51">
        <v>395.8</v>
      </c>
      <c r="AK759" s="51" t="s">
        <v>1599</v>
      </c>
      <c r="AL759" s="51">
        <v>382.86</v>
      </c>
      <c r="AM759" s="51">
        <v>0.87670059121999999</v>
      </c>
      <c r="AN759" s="51">
        <v>1.67068859375</v>
      </c>
      <c r="AO759" s="51">
        <v>0.93284398558000003</v>
      </c>
      <c r="AP759" s="51">
        <v>5.7080918729999999</v>
      </c>
      <c r="AQ759" s="51">
        <v>3.3157484799999999</v>
      </c>
      <c r="AR759" s="51">
        <v>11.202199999999999</v>
      </c>
      <c r="AS759" s="51">
        <v>12.628063360000001</v>
      </c>
      <c r="AT759" s="51">
        <v>0.33077262400000002</v>
      </c>
      <c r="AU759" s="51">
        <v>0.782199176</v>
      </c>
      <c r="AV759" s="51">
        <v>0.39352467000000002</v>
      </c>
      <c r="AW759" s="51">
        <v>4356.6000000000004</v>
      </c>
      <c r="AX759" s="51">
        <v>354.51499999999999</v>
      </c>
      <c r="AY759" s="51">
        <v>220.19366882334</v>
      </c>
      <c r="AZ759" s="51">
        <v>574.45609783927</v>
      </c>
      <c r="BA759" s="51">
        <v>653.40049999999997</v>
      </c>
      <c r="BB759" s="51">
        <v>403.88469402645001</v>
      </c>
      <c r="BC759" s="51">
        <v>2.742988204</v>
      </c>
      <c r="BD759" s="51">
        <v>1.4622999999999999</v>
      </c>
      <c r="BE759" s="51">
        <v>1.6093999999999999</v>
      </c>
      <c r="BF759" s="51">
        <v>320</v>
      </c>
      <c r="BG759" s="51">
        <v>749.38</v>
      </c>
      <c r="BH759" s="51">
        <v>703.75</v>
      </c>
      <c r="BI759" s="51">
        <v>591.25</v>
      </c>
      <c r="BJ759" s="51">
        <v>888.75</v>
      </c>
      <c r="BK759" s="51">
        <v>2430.79</v>
      </c>
      <c r="BL759" s="51">
        <v>108.85</v>
      </c>
      <c r="BM759" s="51">
        <v>7981.84</v>
      </c>
      <c r="BN759" s="51">
        <v>2072.7199999999998</v>
      </c>
      <c r="BO759" s="51">
        <v>24647.48</v>
      </c>
      <c r="BP759" s="51">
        <v>22057.39</v>
      </c>
      <c r="BQ759" s="51">
        <v>3587.57</v>
      </c>
      <c r="BR759" s="51">
        <v>1764.56</v>
      </c>
      <c r="BS759" s="51">
        <v>908.65</v>
      </c>
      <c r="BT759" s="51">
        <v>19.724</v>
      </c>
    </row>
    <row r="760" spans="1:72" s="41" customFormat="1" ht="15" customHeight="1">
      <c r="A760" s="48" t="s">
        <v>1575</v>
      </c>
      <c r="B760" s="49">
        <v>88.22</v>
      </c>
      <c r="C760" s="49">
        <v>90.16</v>
      </c>
      <c r="D760" s="49">
        <v>90.63</v>
      </c>
      <c r="E760" s="49">
        <v>83.87</v>
      </c>
      <c r="F760" s="49">
        <v>430.81</v>
      </c>
      <c r="G760" s="49">
        <v>234.98445322436999</v>
      </c>
      <c r="H760" s="49">
        <v>7.7629000000000001</v>
      </c>
      <c r="I760" s="49">
        <v>59.102622250380001</v>
      </c>
      <c r="J760" s="49">
        <v>23.733790735749999</v>
      </c>
      <c r="K760" s="49">
        <v>391.31952732705003</v>
      </c>
      <c r="L760" s="49">
        <v>2.2984599999999999</v>
      </c>
      <c r="M760" s="49">
        <v>5.8971380379999996</v>
      </c>
      <c r="N760" s="49">
        <v>2.4550648320000001</v>
      </c>
      <c r="O760" s="49">
        <v>3.3343993531599998</v>
      </c>
      <c r="P760" s="49">
        <v>4.49</v>
      </c>
      <c r="Q760" s="49">
        <v>3.1531980594900002</v>
      </c>
      <c r="R760" s="49">
        <v>2.36</v>
      </c>
      <c r="S760" s="49">
        <v>1248.0999999999999</v>
      </c>
      <c r="T760" s="49">
        <v>1641.67</v>
      </c>
      <c r="U760" s="49">
        <v>1623.2</v>
      </c>
      <c r="V760" s="49">
        <v>2146.13</v>
      </c>
      <c r="W760" s="49">
        <v>909.32</v>
      </c>
      <c r="X760" s="49">
        <v>1249.29</v>
      </c>
      <c r="Y760" s="49">
        <v>664.45</v>
      </c>
      <c r="Z760" s="49">
        <v>1548.32</v>
      </c>
      <c r="AA760" s="49">
        <v>536.54999999999995</v>
      </c>
      <c r="AB760" s="49">
        <v>1402.02</v>
      </c>
      <c r="AC760" s="49">
        <v>1304.75</v>
      </c>
      <c r="AD760" s="49" t="s">
        <v>1599</v>
      </c>
      <c r="AE760" s="49">
        <v>312.6567192</v>
      </c>
      <c r="AF760" s="49" t="s">
        <v>1599</v>
      </c>
      <c r="AG760" s="49">
        <v>439</v>
      </c>
      <c r="AH760" s="49">
        <v>428</v>
      </c>
      <c r="AI760" s="49">
        <v>423.36</v>
      </c>
      <c r="AJ760" s="49">
        <v>392.24</v>
      </c>
      <c r="AK760" s="49" t="s">
        <v>1599</v>
      </c>
      <c r="AL760" s="49">
        <v>419.14</v>
      </c>
      <c r="AM760" s="49">
        <v>0.90106243450000001</v>
      </c>
      <c r="AN760" s="49">
        <v>1.6190178125000001</v>
      </c>
      <c r="AO760" s="49">
        <v>0.93416641822000002</v>
      </c>
      <c r="AP760" s="49">
        <v>5.6493387500000001</v>
      </c>
      <c r="AQ760" s="49">
        <v>3.3069299999999999</v>
      </c>
      <c r="AR760" s="49">
        <v>10.7475</v>
      </c>
      <c r="AS760" s="49">
        <v>11.51252564</v>
      </c>
      <c r="AT760" s="49">
        <v>0.32362096000000001</v>
      </c>
      <c r="AU760" s="49">
        <v>0.77095561400000001</v>
      </c>
      <c r="AV760" s="49">
        <v>0.39065866399999999</v>
      </c>
      <c r="AW760" s="49">
        <v>4146.9576487579598</v>
      </c>
      <c r="AX760" s="49">
        <v>346.85</v>
      </c>
      <c r="AY760" s="49">
        <v>208.21222566034001</v>
      </c>
      <c r="AZ760" s="49">
        <v>542.97576951494</v>
      </c>
      <c r="BA760" s="49">
        <v>617.59400000000005</v>
      </c>
      <c r="BB760" s="49">
        <v>381.90803351781</v>
      </c>
      <c r="BC760" s="49">
        <v>2.5926331199999999</v>
      </c>
      <c r="BD760" s="49">
        <v>1.3227</v>
      </c>
      <c r="BE760" s="49">
        <v>1.48</v>
      </c>
      <c r="BF760" s="49">
        <v>320</v>
      </c>
      <c r="BG760" s="49">
        <v>752</v>
      </c>
      <c r="BH760" s="49">
        <v>708</v>
      </c>
      <c r="BI760" s="49">
        <v>678</v>
      </c>
      <c r="BJ760" s="49">
        <v>731</v>
      </c>
      <c r="BK760" s="49">
        <v>2224.7600000000002</v>
      </c>
      <c r="BL760" s="49">
        <v>99.81</v>
      </c>
      <c r="BM760" s="49">
        <v>7746.01</v>
      </c>
      <c r="BN760" s="49">
        <v>1870.1</v>
      </c>
      <c r="BO760" s="49">
        <v>21124.04</v>
      </c>
      <c r="BP760" s="49">
        <v>22773.97</v>
      </c>
      <c r="BQ760" s="49">
        <v>3124.97</v>
      </c>
      <c r="BR760" s="49">
        <v>1680.78</v>
      </c>
      <c r="BS760" s="49">
        <v>881.24</v>
      </c>
      <c r="BT760" s="49">
        <v>18.943999999999999</v>
      </c>
    </row>
    <row r="761" spans="1:72" s="41" customFormat="1" ht="15" customHeight="1">
      <c r="A761" s="41" t="s">
        <v>1576</v>
      </c>
      <c r="B761" s="51">
        <v>90.326666666669993</v>
      </c>
      <c r="C761" s="51">
        <v>93.13</v>
      </c>
      <c r="D761" s="51">
        <v>90.59</v>
      </c>
      <c r="E761" s="51">
        <v>87.26</v>
      </c>
      <c r="F761" s="51">
        <v>389.79</v>
      </c>
      <c r="G761" s="51">
        <v>191.21987979183999</v>
      </c>
      <c r="H761" s="51">
        <v>5.6195000000000004</v>
      </c>
      <c r="I761" s="51">
        <v>39.022049938450003</v>
      </c>
      <c r="J761" s="51">
        <v>21.84177616254</v>
      </c>
      <c r="K761" s="51">
        <v>268.54710666569002</v>
      </c>
      <c r="L761" s="51">
        <v>2.3090199999999999</v>
      </c>
      <c r="M761" s="51">
        <v>5.2928516959999996</v>
      </c>
      <c r="N761" s="51">
        <v>2.2709790619999999</v>
      </c>
      <c r="O761" s="51">
        <v>3.14687079089</v>
      </c>
      <c r="P761" s="51">
        <v>4.1500000000000004</v>
      </c>
      <c r="Q761" s="51">
        <v>2.83311237266</v>
      </c>
      <c r="R761" s="51">
        <v>2.4575</v>
      </c>
      <c r="S761" s="51">
        <v>1108.0999999999999</v>
      </c>
      <c r="T761" s="51">
        <v>1619.05</v>
      </c>
      <c r="U761" s="51">
        <v>1621.79</v>
      </c>
      <c r="V761" s="51">
        <v>2146.1</v>
      </c>
      <c r="W761" s="51">
        <v>888.99</v>
      </c>
      <c r="X761" s="51">
        <v>1038.81</v>
      </c>
      <c r="Y761" s="51">
        <v>626</v>
      </c>
      <c r="Z761" s="51">
        <v>1575.9</v>
      </c>
      <c r="AA761" s="51">
        <v>542.15</v>
      </c>
      <c r="AB761" s="51">
        <v>1408.01</v>
      </c>
      <c r="AC761" s="51">
        <v>1359.15</v>
      </c>
      <c r="AD761" s="51" t="s">
        <v>1599</v>
      </c>
      <c r="AE761" s="51">
        <v>343.55666239999999</v>
      </c>
      <c r="AF761" s="51" t="s">
        <v>1599</v>
      </c>
      <c r="AG761" s="51">
        <v>431</v>
      </c>
      <c r="AH761" s="51">
        <v>420</v>
      </c>
      <c r="AI761" s="51">
        <v>411.62</v>
      </c>
      <c r="AJ761" s="51">
        <v>409.08</v>
      </c>
      <c r="AK761" s="51" t="s">
        <v>1599</v>
      </c>
      <c r="AL761" s="51">
        <v>437.95</v>
      </c>
      <c r="AM761" s="51">
        <v>0.95008123013000001</v>
      </c>
      <c r="AN761" s="51">
        <v>1.5707917499999999</v>
      </c>
      <c r="AO761" s="51">
        <v>1.0687900611700001</v>
      </c>
      <c r="AP761" s="51">
        <v>5.4564345000000003</v>
      </c>
      <c r="AQ761" s="51">
        <v>3.3069299999999999</v>
      </c>
      <c r="AR761" s="51">
        <v>10.7475</v>
      </c>
      <c r="AS761" s="51">
        <v>11.464024</v>
      </c>
      <c r="AT761" s="51">
        <v>0.320943168</v>
      </c>
      <c r="AU761" s="51">
        <v>0.762578058</v>
      </c>
      <c r="AV761" s="51">
        <v>0.38691080999999999</v>
      </c>
      <c r="AW761" s="51">
        <v>4325.1583333333301</v>
      </c>
      <c r="AX761" s="51">
        <v>343.98</v>
      </c>
      <c r="AY761" s="51">
        <v>202.13324297200001</v>
      </c>
      <c r="AZ761" s="51">
        <v>540.62792158816001</v>
      </c>
      <c r="BA761" s="51">
        <v>614.92349999999999</v>
      </c>
      <c r="BB761" s="51">
        <v>370.75781255008002</v>
      </c>
      <c r="BC761" s="51">
        <v>2.1975652160000001</v>
      </c>
      <c r="BD761" s="51">
        <v>1.2885</v>
      </c>
      <c r="BE761" s="51">
        <v>1.496</v>
      </c>
      <c r="BF761" s="51">
        <v>317.5</v>
      </c>
      <c r="BG761" s="51">
        <v>725</v>
      </c>
      <c r="BH761" s="51">
        <v>675</v>
      </c>
      <c r="BI761" s="51">
        <v>636.25</v>
      </c>
      <c r="BJ761" s="51">
        <v>622.5</v>
      </c>
      <c r="BK761" s="51">
        <v>2255.54</v>
      </c>
      <c r="BL761" s="51">
        <v>92.56</v>
      </c>
      <c r="BM761" s="51">
        <v>7651.08</v>
      </c>
      <c r="BN761" s="51">
        <v>1999.86</v>
      </c>
      <c r="BO761" s="51">
        <v>19391.169999999998</v>
      </c>
      <c r="BP761" s="51">
        <v>22032.89</v>
      </c>
      <c r="BQ761" s="51">
        <v>2967.21</v>
      </c>
      <c r="BR761" s="51">
        <v>1664.45</v>
      </c>
      <c r="BS761" s="51">
        <v>914.67</v>
      </c>
      <c r="BT761" s="51">
        <v>19.425999999999998</v>
      </c>
    </row>
    <row r="762" spans="1:72" s="41" customFormat="1" ht="15" customHeight="1">
      <c r="A762" s="48" t="s">
        <v>1577</v>
      </c>
      <c r="B762" s="49">
        <v>87.376666666670005</v>
      </c>
      <c r="C762" s="49">
        <v>91.07</v>
      </c>
      <c r="D762" s="49">
        <v>86.28</v>
      </c>
      <c r="E762" s="49">
        <v>84.78</v>
      </c>
      <c r="F762" s="49">
        <v>342.16</v>
      </c>
      <c r="G762" s="49">
        <v>169.09656696556999</v>
      </c>
      <c r="H762" s="49">
        <v>5.2769000000000004</v>
      </c>
      <c r="I762" s="49">
        <v>35.72328224044</v>
      </c>
      <c r="J762" s="49">
        <v>19.586267422630002</v>
      </c>
      <c r="K762" s="49">
        <v>247.17644268952</v>
      </c>
      <c r="L762" s="49">
        <v>2.4120400000000002</v>
      </c>
      <c r="M762" s="49">
        <v>4.7154617180000002</v>
      </c>
      <c r="N762" s="49">
        <v>2.0412576580000001</v>
      </c>
      <c r="O762" s="49">
        <v>3.0466595502299998</v>
      </c>
      <c r="P762" s="49">
        <v>3.8</v>
      </c>
      <c r="Q762" s="49">
        <v>2.8499786506999998</v>
      </c>
      <c r="R762" s="49">
        <v>2.4900000000000002</v>
      </c>
      <c r="S762" s="49">
        <v>1173.25</v>
      </c>
      <c r="T762" s="49">
        <v>1639.29</v>
      </c>
      <c r="U762" s="49">
        <v>1677.21</v>
      </c>
      <c r="V762" s="49">
        <v>2146.14</v>
      </c>
      <c r="W762" s="49">
        <v>945.74</v>
      </c>
      <c r="X762" s="49">
        <v>1061.58</v>
      </c>
      <c r="Y762" s="49">
        <v>648.91999999999996</v>
      </c>
      <c r="Z762" s="49">
        <v>1651.6</v>
      </c>
      <c r="AA762" s="49">
        <v>518.67999999999995</v>
      </c>
      <c r="AB762" s="49">
        <v>1377.58</v>
      </c>
      <c r="AC762" s="49">
        <v>1347.28</v>
      </c>
      <c r="AD762" s="49" t="s">
        <v>1599</v>
      </c>
      <c r="AE762" s="49">
        <v>320.92006240000001</v>
      </c>
      <c r="AF762" s="49" t="s">
        <v>1599</v>
      </c>
      <c r="AG762" s="49">
        <v>440</v>
      </c>
      <c r="AH762" s="49">
        <v>430</v>
      </c>
      <c r="AI762" s="49">
        <v>417.5</v>
      </c>
      <c r="AJ762" s="49">
        <v>421.21</v>
      </c>
      <c r="AK762" s="49" t="s">
        <v>1599</v>
      </c>
      <c r="AL762" s="49">
        <v>422.68</v>
      </c>
      <c r="AM762" s="49">
        <v>0.96972615114000005</v>
      </c>
      <c r="AN762" s="49">
        <v>1.653465</v>
      </c>
      <c r="AO762" s="49">
        <v>1.0889968319400001</v>
      </c>
      <c r="AP762" s="49">
        <v>5.2042259719999997</v>
      </c>
      <c r="AQ762" s="49">
        <v>3.3069299999999999</v>
      </c>
      <c r="AR762" s="49">
        <v>10.7475</v>
      </c>
      <c r="AS762" s="49">
        <v>11.464024</v>
      </c>
      <c r="AT762" s="49">
        <v>0.33299323199999997</v>
      </c>
      <c r="AU762" s="49">
        <v>0.79234042800000004</v>
      </c>
      <c r="AV762" s="49">
        <v>0.40741377600000001</v>
      </c>
      <c r="AW762" s="49">
        <v>4333.3249999999998</v>
      </c>
      <c r="AX762" s="49">
        <v>356.89499999999998</v>
      </c>
      <c r="AY762" s="49">
        <v>209.22189911389</v>
      </c>
      <c r="AZ762" s="49">
        <v>562.42936662250997</v>
      </c>
      <c r="BA762" s="49">
        <v>639.721</v>
      </c>
      <c r="BB762" s="49">
        <v>383.76000163312</v>
      </c>
      <c r="BC762" s="49">
        <v>2.2255638900000001</v>
      </c>
      <c r="BD762" s="49">
        <v>1.27</v>
      </c>
      <c r="BE762" s="49">
        <v>1.4323999999999999</v>
      </c>
      <c r="BF762" s="49">
        <v>300</v>
      </c>
      <c r="BG762" s="49">
        <v>665.63</v>
      </c>
      <c r="BH762" s="49">
        <v>625</v>
      </c>
      <c r="BI762" s="49">
        <v>588.75</v>
      </c>
      <c r="BJ762" s="49">
        <v>563.13</v>
      </c>
      <c r="BK762" s="49">
        <v>2350.7199999999998</v>
      </c>
      <c r="BL762" s="49">
        <v>93.34</v>
      </c>
      <c r="BM762" s="49">
        <v>8049.86</v>
      </c>
      <c r="BN762" s="49">
        <v>2099.9899999999998</v>
      </c>
      <c r="BO762" s="49">
        <v>21249.5</v>
      </c>
      <c r="BP762" s="49">
        <v>25562.7</v>
      </c>
      <c r="BQ762" s="49">
        <v>2938.92</v>
      </c>
      <c r="BR762" s="49">
        <v>1725.07</v>
      </c>
      <c r="BS762" s="49">
        <v>989.05</v>
      </c>
      <c r="BT762" s="49">
        <v>21.018000000000001</v>
      </c>
    </row>
    <row r="763" spans="1:72" s="41" customFormat="1" ht="15" customHeight="1">
      <c r="A763" s="41" t="s">
        <v>1578</v>
      </c>
      <c r="B763" s="51">
        <v>78.066666666670002</v>
      </c>
      <c r="C763" s="51">
        <v>80.900000000000006</v>
      </c>
      <c r="D763" s="51">
        <v>76.78</v>
      </c>
      <c r="E763" s="51">
        <v>76.52</v>
      </c>
      <c r="F763" s="51">
        <v>379.23</v>
      </c>
      <c r="G763" s="51">
        <v>215</v>
      </c>
      <c r="H763" s="51">
        <v>5.5030000000000001</v>
      </c>
      <c r="I763" s="51">
        <v>36.044260036140003</v>
      </c>
      <c r="J763" s="51">
        <v>20.576742402939999</v>
      </c>
      <c r="K763" s="51">
        <v>252.11901984184999</v>
      </c>
      <c r="L763" s="51">
        <v>2.5123099999999998</v>
      </c>
      <c r="M763" s="51">
        <v>4.6294815380000003</v>
      </c>
      <c r="N763" s="51">
        <v>2.0454464360000002</v>
      </c>
      <c r="O763" s="51">
        <v>2.94939406624</v>
      </c>
      <c r="P763" s="51">
        <v>4.04</v>
      </c>
      <c r="Q763" s="51">
        <v>2.4215155320499999</v>
      </c>
      <c r="R763" s="51">
        <v>2.38666666667</v>
      </c>
      <c r="S763" s="51">
        <v>1158.4100000000001</v>
      </c>
      <c r="T763" s="51">
        <v>1670.45</v>
      </c>
      <c r="U763" s="51">
        <v>1745.96</v>
      </c>
      <c r="V763" s="51">
        <v>2146.1</v>
      </c>
      <c r="W763" s="51">
        <v>940.39</v>
      </c>
      <c r="X763" s="51">
        <v>1067.05</v>
      </c>
      <c r="Y763" s="51">
        <v>645.66999999999996</v>
      </c>
      <c r="Z763" s="51">
        <v>1409.24</v>
      </c>
      <c r="AA763" s="51">
        <v>571.15</v>
      </c>
      <c r="AB763" s="51">
        <v>1259.95</v>
      </c>
      <c r="AC763" s="51">
        <v>1233.8</v>
      </c>
      <c r="AD763" s="51" t="s">
        <v>1599</v>
      </c>
      <c r="AE763" s="51">
        <v>302.24781999999999</v>
      </c>
      <c r="AF763" s="51" t="s">
        <v>1599</v>
      </c>
      <c r="AG763" s="51">
        <v>467</v>
      </c>
      <c r="AH763" s="51">
        <v>457</v>
      </c>
      <c r="AI763" s="51">
        <v>446.39</v>
      </c>
      <c r="AJ763" s="51">
        <v>432.35</v>
      </c>
      <c r="AK763" s="51" t="s">
        <v>1599</v>
      </c>
      <c r="AL763" s="51">
        <v>386.33</v>
      </c>
      <c r="AM763" s="51">
        <v>1.01413735297</v>
      </c>
      <c r="AN763" s="51">
        <v>1.6810227499999999</v>
      </c>
      <c r="AO763" s="51">
        <v>1.10465443442</v>
      </c>
      <c r="AP763" s="51">
        <v>4.8706669659999999</v>
      </c>
      <c r="AQ763" s="51">
        <v>3.3069299999999999</v>
      </c>
      <c r="AR763" s="51">
        <v>10.7475</v>
      </c>
      <c r="AS763" s="51">
        <v>11.464024</v>
      </c>
      <c r="AT763" s="51">
        <v>0.34572907200000003</v>
      </c>
      <c r="AU763" s="51">
        <v>0.80512722400000003</v>
      </c>
      <c r="AV763" s="51">
        <v>0.41733456600000002</v>
      </c>
      <c r="AW763" s="51">
        <v>4399.3249999999998</v>
      </c>
      <c r="AX763" s="51">
        <v>370.54500000000002</v>
      </c>
      <c r="AY763" s="51">
        <v>220.74880635411</v>
      </c>
      <c r="AZ763" s="51">
        <v>583.41625217207002</v>
      </c>
      <c r="BA763" s="51">
        <v>663.59199999999998</v>
      </c>
      <c r="BB763" s="51">
        <v>404.90294106760001</v>
      </c>
      <c r="BC763" s="51">
        <v>2.2238001939999998</v>
      </c>
      <c r="BD763" s="51">
        <v>1.3461000000000001</v>
      </c>
      <c r="BE763" s="51">
        <v>1.5355000000000001</v>
      </c>
      <c r="BF763" s="51">
        <v>300</v>
      </c>
      <c r="BG763" s="51">
        <v>625</v>
      </c>
      <c r="BH763" s="51">
        <v>584.38</v>
      </c>
      <c r="BI763" s="51">
        <v>519.38</v>
      </c>
      <c r="BJ763" s="51">
        <v>513.75</v>
      </c>
      <c r="BK763" s="51">
        <v>2401.69</v>
      </c>
      <c r="BL763" s="51">
        <v>111.84</v>
      </c>
      <c r="BM763" s="51">
        <v>8375.4</v>
      </c>
      <c r="BN763" s="51">
        <v>2216.48</v>
      </c>
      <c r="BO763" s="51">
        <v>24172.37</v>
      </c>
      <c r="BP763" s="51">
        <v>28946.81</v>
      </c>
      <c r="BQ763" s="51">
        <v>3129.48</v>
      </c>
      <c r="BR763" s="51">
        <v>1797.55</v>
      </c>
      <c r="BS763" s="51">
        <v>1010.95</v>
      </c>
      <c r="BT763" s="51">
        <v>23.326000000000001</v>
      </c>
    </row>
    <row r="764" spans="1:72" s="41" customFormat="1" ht="15" customHeight="1">
      <c r="A764" s="48" t="s">
        <v>1579</v>
      </c>
      <c r="B764" s="49">
        <v>80.41</v>
      </c>
      <c r="C764" s="49">
        <v>83.09</v>
      </c>
      <c r="D764" s="49">
        <v>80.03</v>
      </c>
      <c r="E764" s="49">
        <v>78.11</v>
      </c>
      <c r="F764" s="49">
        <v>317.99</v>
      </c>
      <c r="G764" s="49">
        <v>172</v>
      </c>
      <c r="H764" s="49">
        <v>3.2728000000000002</v>
      </c>
      <c r="I764" s="49">
        <v>20.183970921349999</v>
      </c>
      <c r="J764" s="49">
        <v>20.19478822332</v>
      </c>
      <c r="K764" s="49">
        <v>149.37872119292999</v>
      </c>
      <c r="L764" s="49">
        <v>2.6246800000000001</v>
      </c>
      <c r="M764" s="49">
        <v>4.5582723119999997</v>
      </c>
      <c r="N764" s="49">
        <v>2.1159942759999999</v>
      </c>
      <c r="O764" s="49">
        <v>2.7695719741199998</v>
      </c>
      <c r="P764" s="49">
        <v>4.04</v>
      </c>
      <c r="Q764" s="49">
        <v>1.9412159223600001</v>
      </c>
      <c r="R764" s="49">
        <v>2.3275000000000001</v>
      </c>
      <c r="S764" s="49">
        <v>1078.5</v>
      </c>
      <c r="T764" s="49">
        <v>1681.25</v>
      </c>
      <c r="U764" s="49">
        <v>1779.84</v>
      </c>
      <c r="V764" s="49">
        <v>1970.67</v>
      </c>
      <c r="W764" s="49">
        <v>941.97</v>
      </c>
      <c r="X764" s="49">
        <v>1060</v>
      </c>
      <c r="Y764" s="49">
        <v>626.59</v>
      </c>
      <c r="Z764" s="49">
        <v>1351.77</v>
      </c>
      <c r="AA764" s="49">
        <v>605.12</v>
      </c>
      <c r="AB764" s="49">
        <v>1223.58</v>
      </c>
      <c r="AC764" s="49">
        <v>1218.3399999999999</v>
      </c>
      <c r="AD764" s="49" t="s">
        <v>1599</v>
      </c>
      <c r="AE764" s="49">
        <v>302.77535119999999</v>
      </c>
      <c r="AF764" s="49" t="s">
        <v>1599</v>
      </c>
      <c r="AG764" s="49">
        <v>517</v>
      </c>
      <c r="AH764" s="49">
        <v>507</v>
      </c>
      <c r="AI764" s="49">
        <v>484.64</v>
      </c>
      <c r="AJ764" s="49">
        <v>440.66</v>
      </c>
      <c r="AK764" s="49" t="s">
        <v>1599</v>
      </c>
      <c r="AL764" s="49">
        <v>380.36</v>
      </c>
      <c r="AM764" s="49">
        <v>1.0721073191599999</v>
      </c>
      <c r="AN764" s="49">
        <v>1.6810227499999999</v>
      </c>
      <c r="AO764" s="49">
        <v>1.0913243133899999</v>
      </c>
      <c r="AP764" s="49">
        <v>4.8611871000000004</v>
      </c>
      <c r="AQ764" s="49">
        <v>3.3069299999999999</v>
      </c>
      <c r="AR764" s="49">
        <v>10.7475</v>
      </c>
      <c r="AS764" s="49">
        <v>11.464024</v>
      </c>
      <c r="AT764" s="49">
        <v>0.35186840000000003</v>
      </c>
      <c r="AU764" s="49">
        <v>0.80468629999999997</v>
      </c>
      <c r="AV764" s="49">
        <v>0.41601179399999999</v>
      </c>
      <c r="AW764" s="49">
        <v>4475.6166666666704</v>
      </c>
      <c r="AX764" s="49">
        <v>377.125</v>
      </c>
      <c r="AY764" s="49">
        <v>228.22894836642001</v>
      </c>
      <c r="AZ764" s="49">
        <v>585.23703219692004</v>
      </c>
      <c r="BA764" s="49">
        <v>665.66300000000001</v>
      </c>
      <c r="BB764" s="49">
        <v>418.62320325342</v>
      </c>
      <c r="BC764" s="49">
        <v>2.211013398</v>
      </c>
      <c r="BD764" s="49">
        <v>1.4117</v>
      </c>
      <c r="BE764" s="49">
        <v>1.63</v>
      </c>
      <c r="BF764" s="49">
        <v>300</v>
      </c>
      <c r="BG764" s="49">
        <v>631</v>
      </c>
      <c r="BH764" s="49">
        <v>569.38</v>
      </c>
      <c r="BI764" s="49">
        <v>443.75</v>
      </c>
      <c r="BJ764" s="49">
        <v>508.75</v>
      </c>
      <c r="BK764" s="49">
        <v>2501.8200000000002</v>
      </c>
      <c r="BL764" s="49">
        <v>122.23</v>
      </c>
      <c r="BM764" s="49">
        <v>9037.9500000000007</v>
      </c>
      <c r="BN764" s="49">
        <v>2201.2600000000002</v>
      </c>
      <c r="BO764" s="49">
        <v>28154.14</v>
      </c>
      <c r="BP764" s="49">
        <v>28194.61</v>
      </c>
      <c r="BQ764" s="49">
        <v>3309.81</v>
      </c>
      <c r="BR764" s="49">
        <v>1897.71</v>
      </c>
      <c r="BS764" s="49">
        <v>1053.25</v>
      </c>
      <c r="BT764" s="49">
        <v>23.652999999999999</v>
      </c>
    </row>
    <row r="765" spans="1:72" s="41" customFormat="1" ht="15" customHeight="1">
      <c r="A765" s="41" t="s">
        <v>1580</v>
      </c>
      <c r="B765" s="51">
        <v>80.253333333330005</v>
      </c>
      <c r="C765" s="51">
        <v>82.71</v>
      </c>
      <c r="D765" s="51">
        <v>81.209999999999994</v>
      </c>
      <c r="E765" s="51">
        <v>76.84</v>
      </c>
      <c r="F765" s="51">
        <v>207.48</v>
      </c>
      <c r="G765" s="51">
        <v>144.66999999999999</v>
      </c>
      <c r="H765" s="51">
        <v>2.3835999999999999</v>
      </c>
      <c r="I765" s="51">
        <v>16.537137278909999</v>
      </c>
      <c r="J765" s="51">
        <v>18.415329793600002</v>
      </c>
      <c r="K765" s="51">
        <v>120.03831493101001</v>
      </c>
      <c r="L765" s="51">
        <v>2.6526999999999998</v>
      </c>
      <c r="M765" s="51">
        <v>5.064673526</v>
      </c>
      <c r="N765" s="51">
        <v>2.2912615660000002</v>
      </c>
      <c r="O765" s="51">
        <v>2.7027579769300001</v>
      </c>
      <c r="P765" s="51">
        <v>3.96</v>
      </c>
      <c r="Q765" s="51">
        <v>1.85827393078</v>
      </c>
      <c r="R765" s="51">
        <v>2.29</v>
      </c>
      <c r="S765" s="51">
        <v>1086.67</v>
      </c>
      <c r="T765" s="51">
        <v>1750</v>
      </c>
      <c r="U765" s="51">
        <v>1762.2</v>
      </c>
      <c r="V765" s="51">
        <v>2042.62</v>
      </c>
      <c r="W765" s="51">
        <v>949.98</v>
      </c>
      <c r="X765" s="51">
        <v>1036.67</v>
      </c>
      <c r="Y765" s="51">
        <v>651.12</v>
      </c>
      <c r="Z765" s="51">
        <v>1243.01</v>
      </c>
      <c r="AA765" s="51">
        <v>605.27</v>
      </c>
      <c r="AB765" s="51">
        <v>1188.57</v>
      </c>
      <c r="AC765" s="51">
        <v>1158.5999999999999</v>
      </c>
      <c r="AD765" s="51" t="s">
        <v>1599</v>
      </c>
      <c r="AE765" s="51">
        <v>298.1771688</v>
      </c>
      <c r="AF765" s="51" t="s">
        <v>1599</v>
      </c>
      <c r="AG765" s="51">
        <v>492</v>
      </c>
      <c r="AH765" s="51">
        <v>482</v>
      </c>
      <c r="AI765" s="51">
        <v>468.95</v>
      </c>
      <c r="AJ765" s="51">
        <v>448.28</v>
      </c>
      <c r="AK765" s="51">
        <v>311.88027096000002</v>
      </c>
      <c r="AL765" s="51">
        <v>394.75</v>
      </c>
      <c r="AM765" s="51">
        <v>1.0981034128</v>
      </c>
      <c r="AN765" s="51">
        <v>1.6603544374999999</v>
      </c>
      <c r="AO765" s="51">
        <v>1.30137951422</v>
      </c>
      <c r="AP765" s="51">
        <v>5.0792240179999997</v>
      </c>
      <c r="AQ765" s="51">
        <v>3.3106227385000002</v>
      </c>
      <c r="AR765" s="51">
        <v>10.692399999999999</v>
      </c>
      <c r="AS765" s="51">
        <v>11.064987779999999</v>
      </c>
      <c r="AT765" s="51">
        <v>0.35000700800000001</v>
      </c>
      <c r="AU765" s="51">
        <v>0.81306385599999997</v>
      </c>
      <c r="AV765" s="51">
        <v>0.44599462600000001</v>
      </c>
      <c r="AW765" s="51">
        <v>4492.3416666666699</v>
      </c>
      <c r="AX765" s="51">
        <v>375.13</v>
      </c>
      <c r="AY765" s="51">
        <v>224.02125084593001</v>
      </c>
      <c r="AZ765" s="51">
        <v>579.53511580331997</v>
      </c>
      <c r="BA765" s="51">
        <v>659.17750000000001</v>
      </c>
      <c r="BB765" s="51">
        <v>410.90533999832002</v>
      </c>
      <c r="BC765" s="51">
        <v>2.1909513559999998</v>
      </c>
      <c r="BD765" s="51">
        <v>1.4012</v>
      </c>
      <c r="BE765" s="51">
        <v>1.6173</v>
      </c>
      <c r="BF765" s="51">
        <v>322.5</v>
      </c>
      <c r="BG765" s="51">
        <v>612.5</v>
      </c>
      <c r="BH765" s="51">
        <v>547.5</v>
      </c>
      <c r="BI765" s="51">
        <v>357.5</v>
      </c>
      <c r="BJ765" s="51">
        <v>496.88</v>
      </c>
      <c r="BK765" s="51">
        <v>2416.1799999999998</v>
      </c>
      <c r="BL765" s="51">
        <v>127.6</v>
      </c>
      <c r="BM765" s="51">
        <v>8936.59</v>
      </c>
      <c r="BN765" s="51">
        <v>2093.06</v>
      </c>
      <c r="BO765" s="51">
        <v>26862.9</v>
      </c>
      <c r="BP765" s="51">
        <v>26727.95</v>
      </c>
      <c r="BQ765" s="51">
        <v>3133.84</v>
      </c>
      <c r="BR765" s="51">
        <v>1854.54</v>
      </c>
      <c r="BS765" s="51">
        <v>958.85</v>
      </c>
      <c r="BT765" s="51">
        <v>21.920999999999999</v>
      </c>
    </row>
    <row r="766" spans="1:72" s="41" customFormat="1" ht="15" customHeight="1">
      <c r="A766" s="48" t="s">
        <v>1581</v>
      </c>
      <c r="B766" s="49">
        <v>76.473333333330004</v>
      </c>
      <c r="C766" s="49">
        <v>78.53</v>
      </c>
      <c r="D766" s="49">
        <v>77.52</v>
      </c>
      <c r="E766" s="49">
        <v>73.37</v>
      </c>
      <c r="F766" s="49">
        <v>187.23</v>
      </c>
      <c r="G766" s="49">
        <v>136.84</v>
      </c>
      <c r="H766" s="49">
        <v>2.3048999999999999</v>
      </c>
      <c r="I766" s="49">
        <v>13.812076862290001</v>
      </c>
      <c r="J766" s="49">
        <v>16.033125947769999</v>
      </c>
      <c r="K766" s="49">
        <v>104.51384047273</v>
      </c>
      <c r="L766" s="49">
        <v>2.7476400000000001</v>
      </c>
      <c r="M766" s="49">
        <v>4.9021930319999996</v>
      </c>
      <c r="N766" s="49">
        <v>2.347699838</v>
      </c>
      <c r="O766" s="49">
        <v>2.6877732537100001</v>
      </c>
      <c r="P766" s="49">
        <v>3.82</v>
      </c>
      <c r="Q766" s="49">
        <v>1.84581976113</v>
      </c>
      <c r="R766" s="49">
        <v>2.3975</v>
      </c>
      <c r="S766" s="49">
        <v>1114.75</v>
      </c>
      <c r="T766" s="49">
        <v>1750</v>
      </c>
      <c r="U766" s="49">
        <v>1720.35</v>
      </c>
      <c r="V766" s="49">
        <v>2100.41</v>
      </c>
      <c r="W766" s="49">
        <v>972.06</v>
      </c>
      <c r="X766" s="49">
        <v>1051.75</v>
      </c>
      <c r="Y766" s="49">
        <v>628.38</v>
      </c>
      <c r="Z766" s="49">
        <v>1113.19</v>
      </c>
      <c r="AA766" s="49">
        <v>580.70000000000005</v>
      </c>
      <c r="AB766" s="49">
        <v>1053.74</v>
      </c>
      <c r="AC766" s="49">
        <v>1075.05</v>
      </c>
      <c r="AD766" s="49" t="s">
        <v>1599</v>
      </c>
      <c r="AE766" s="49">
        <v>282.48902079999999</v>
      </c>
      <c r="AF766" s="49" t="s">
        <v>1599</v>
      </c>
      <c r="AG766" s="49">
        <v>476</v>
      </c>
      <c r="AH766" s="49">
        <v>468</v>
      </c>
      <c r="AI766" s="49">
        <v>460.91</v>
      </c>
      <c r="AJ766" s="49">
        <v>444.64</v>
      </c>
      <c r="AK766" s="49">
        <v>284.68260642600001</v>
      </c>
      <c r="AL766" s="49">
        <v>369.86</v>
      </c>
      <c r="AM766" s="49">
        <v>1.1059515844300001</v>
      </c>
      <c r="AN766" s="49">
        <v>1.6017942187500001</v>
      </c>
      <c r="AO766" s="49">
        <v>1.2895834150600001</v>
      </c>
      <c r="AP766" s="49">
        <v>5.5887117000000002</v>
      </c>
      <c r="AQ766" s="49">
        <v>3.3289762000000001</v>
      </c>
      <c r="AR766" s="49">
        <v>10.196400000000001</v>
      </c>
      <c r="AS766" s="49">
        <v>10.998849180000001</v>
      </c>
      <c r="AT766" s="49">
        <v>0.34958247999999997</v>
      </c>
      <c r="AU766" s="49">
        <v>0.83511005599999999</v>
      </c>
      <c r="AV766" s="49">
        <v>0.452388024</v>
      </c>
      <c r="AW766" s="49">
        <v>4525.6583333333301</v>
      </c>
      <c r="AX766" s="49">
        <v>374.67500000000001</v>
      </c>
      <c r="AY766" s="49">
        <v>222.59745794015001</v>
      </c>
      <c r="AZ766" s="49">
        <v>581.45172635579002</v>
      </c>
      <c r="BA766" s="49">
        <v>661.35749999999996</v>
      </c>
      <c r="BB766" s="49">
        <v>408.29378370252999</v>
      </c>
      <c r="BC766" s="49">
        <v>2.1029870179999999</v>
      </c>
      <c r="BD766" s="49">
        <v>1.3573999999999999</v>
      </c>
      <c r="BE766" s="49">
        <v>1.5807</v>
      </c>
      <c r="BF766" s="49">
        <v>345</v>
      </c>
      <c r="BG766" s="49">
        <v>606</v>
      </c>
      <c r="BH766" s="49">
        <v>537.5</v>
      </c>
      <c r="BI766" s="49">
        <v>313.5</v>
      </c>
      <c r="BJ766" s="49">
        <v>453</v>
      </c>
      <c r="BK766" s="49">
        <v>2296.42</v>
      </c>
      <c r="BL766" s="49">
        <v>128.37</v>
      </c>
      <c r="BM766" s="49">
        <v>8856.31</v>
      </c>
      <c r="BN766" s="49">
        <v>2115.1799999999998</v>
      </c>
      <c r="BO766" s="49">
        <v>23999.96</v>
      </c>
      <c r="BP766" s="49">
        <v>23288.61</v>
      </c>
      <c r="BQ766" s="49">
        <v>2967.46</v>
      </c>
      <c r="BR766" s="49">
        <v>1912.73</v>
      </c>
      <c r="BS766" s="49">
        <v>970.61</v>
      </c>
      <c r="BT766" s="49">
        <v>21.975999999999999</v>
      </c>
    </row>
    <row r="767" spans="1:72" s="41" customFormat="1" ht="15" customHeight="1">
      <c r="A767" s="41" t="s">
        <v>1595</v>
      </c>
      <c r="B767" s="51">
        <v>82.46</v>
      </c>
      <c r="C767" s="51">
        <v>84.11</v>
      </c>
      <c r="D767" s="51">
        <v>83.83</v>
      </c>
      <c r="E767" s="51">
        <v>79.44</v>
      </c>
      <c r="F767" s="51">
        <v>194.28</v>
      </c>
      <c r="G767" s="51">
        <v>133.74510000000001</v>
      </c>
      <c r="H767" s="51">
        <v>2.1610999999999998</v>
      </c>
      <c r="I767" s="51">
        <v>13.52052961513</v>
      </c>
      <c r="J767" s="51">
        <v>14.366062552300001</v>
      </c>
      <c r="K767" s="51">
        <v>100.25219027939001</v>
      </c>
      <c r="L767" s="51">
        <v>2.8832399999999998</v>
      </c>
      <c r="M767" s="51">
        <v>5.0609256719999998</v>
      </c>
      <c r="N767" s="51">
        <v>2.5507453400000002</v>
      </c>
      <c r="O767" s="51">
        <v>2.9580387730200002</v>
      </c>
      <c r="P767" s="51">
        <v>3.9</v>
      </c>
      <c r="Q767" s="51">
        <v>2.62661631905</v>
      </c>
      <c r="R767" s="51">
        <v>2.3475000000000001</v>
      </c>
      <c r="S767" s="51">
        <v>1073.95</v>
      </c>
      <c r="T767" s="51">
        <v>1737.5</v>
      </c>
      <c r="U767" s="51">
        <v>1755.34</v>
      </c>
      <c r="V767" s="51">
        <v>2088.2600000000002</v>
      </c>
      <c r="W767" s="51">
        <v>1005.24</v>
      </c>
      <c r="X767" s="51">
        <v>1016.84</v>
      </c>
      <c r="Y767" s="51">
        <v>614.92999999999995</v>
      </c>
      <c r="Z767" s="51">
        <v>1029.97</v>
      </c>
      <c r="AA767" s="51">
        <v>546.73</v>
      </c>
      <c r="AB767" s="51">
        <v>1026.1400000000001</v>
      </c>
      <c r="AC767" s="51">
        <v>1034.83</v>
      </c>
      <c r="AD767" s="51" t="s">
        <v>1599</v>
      </c>
      <c r="AE767" s="51">
        <v>291.11454959999998</v>
      </c>
      <c r="AF767" s="51" t="s">
        <v>1599</v>
      </c>
      <c r="AG767" s="51">
        <v>501</v>
      </c>
      <c r="AH767" s="51">
        <v>490</v>
      </c>
      <c r="AI767" s="51">
        <v>482.88</v>
      </c>
      <c r="AJ767" s="51">
        <v>455.1</v>
      </c>
      <c r="AK767" s="51">
        <v>277.16485154399999</v>
      </c>
      <c r="AL767" s="51">
        <v>378.18</v>
      </c>
      <c r="AM767" s="51">
        <v>1.1427169987500001</v>
      </c>
      <c r="AN767" s="51">
        <v>1.653465</v>
      </c>
      <c r="AO767" s="51">
        <v>1.46155255581</v>
      </c>
      <c r="AP767" s="51">
        <v>5.6722667979999999</v>
      </c>
      <c r="AQ767" s="51">
        <v>3.3653524300000002</v>
      </c>
      <c r="AR767" s="51">
        <v>9.4799000000000007</v>
      </c>
      <c r="AS767" s="51">
        <v>10.912869000000001</v>
      </c>
      <c r="AT767" s="51">
        <v>0.35810569599999997</v>
      </c>
      <c r="AU767" s="51">
        <v>0.91116944600000005</v>
      </c>
      <c r="AV767" s="51">
        <v>0.53219526800000005</v>
      </c>
      <c r="AW767" s="51">
        <v>4586.5833333333303</v>
      </c>
      <c r="AX767" s="51">
        <v>383.81</v>
      </c>
      <c r="AY767" s="51">
        <v>223.11462208585999</v>
      </c>
      <c r="AZ767" s="51">
        <v>596.40128866505995</v>
      </c>
      <c r="BA767" s="51">
        <v>678.36149999999998</v>
      </c>
      <c r="BB767" s="51">
        <v>409.24237901803002</v>
      </c>
      <c r="BC767" s="51">
        <v>2.0979163920000001</v>
      </c>
      <c r="BD767" s="51">
        <v>1.3581000000000001</v>
      </c>
      <c r="BE767" s="51">
        <v>1.5412999999999999</v>
      </c>
      <c r="BF767" s="51">
        <v>345</v>
      </c>
      <c r="BG767" s="51">
        <v>637</v>
      </c>
      <c r="BH767" s="51">
        <v>550</v>
      </c>
      <c r="BI767" s="51">
        <v>313.38</v>
      </c>
      <c r="BJ767" s="51">
        <v>407.5</v>
      </c>
      <c r="BK767" s="51">
        <v>2343.23</v>
      </c>
      <c r="BL767" s="51">
        <v>117.39</v>
      </c>
      <c r="BM767" s="51">
        <v>8809.42</v>
      </c>
      <c r="BN767" s="51">
        <v>2149.4299999999998</v>
      </c>
      <c r="BO767" s="51">
        <v>25793.75</v>
      </c>
      <c r="BP767" s="51">
        <v>23894.560000000001</v>
      </c>
      <c r="BQ767" s="51">
        <v>2767.56</v>
      </c>
      <c r="BR767" s="51">
        <v>1999.77</v>
      </c>
      <c r="BS767" s="51">
        <v>1050.74</v>
      </c>
      <c r="BT767" s="51">
        <v>25.01</v>
      </c>
    </row>
    <row r="768" spans="1:72" s="41" customFormat="1" ht="15" customHeight="1">
      <c r="A768" s="48" t="s">
        <v>1596</v>
      </c>
      <c r="B768" s="49">
        <v>74.123333333329995</v>
      </c>
      <c r="C768" s="49">
        <v>75.7</v>
      </c>
      <c r="D768" s="49">
        <v>75.08</v>
      </c>
      <c r="E768" s="49">
        <v>71.59</v>
      </c>
      <c r="F768" s="49">
        <v>160.47999999999999</v>
      </c>
      <c r="G768" s="49">
        <v>103</v>
      </c>
      <c r="H768" s="49">
        <v>2.1463999999999999</v>
      </c>
      <c r="I768" s="49">
        <v>10.10875599841</v>
      </c>
      <c r="J768" s="49">
        <v>13.4302962772</v>
      </c>
      <c r="K768" s="49">
        <v>83.220229002829996</v>
      </c>
      <c r="L768" s="49">
        <v>2.9648400000000001</v>
      </c>
      <c r="M768" s="49">
        <v>4.8528095440000003</v>
      </c>
      <c r="N768" s="49">
        <v>2.7017618099999998</v>
      </c>
      <c r="O768" s="49">
        <v>2.7122365637899999</v>
      </c>
      <c r="P768" s="49">
        <v>3.43</v>
      </c>
      <c r="Q768" s="49">
        <v>2.47270969137</v>
      </c>
      <c r="R768" s="49">
        <v>2.234</v>
      </c>
      <c r="S768" s="49">
        <v>1047.69</v>
      </c>
      <c r="T768" s="49">
        <v>1773.08</v>
      </c>
      <c r="U768" s="49">
        <v>1787.31</v>
      </c>
      <c r="V768" s="49">
        <v>2016.88</v>
      </c>
      <c r="W768" s="49">
        <v>934.06</v>
      </c>
      <c r="X768" s="49">
        <v>992.5</v>
      </c>
      <c r="Y768" s="49">
        <v>595</v>
      </c>
      <c r="Z768" s="49">
        <v>988.32</v>
      </c>
      <c r="AA768" s="49">
        <v>519.19000000000005</v>
      </c>
      <c r="AB768" s="49">
        <v>967.27</v>
      </c>
      <c r="AC768" s="49">
        <v>961.79</v>
      </c>
      <c r="AD768" s="49" t="s">
        <v>1599</v>
      </c>
      <c r="AE768" s="49">
        <v>268.135448</v>
      </c>
      <c r="AF768" s="49" t="s">
        <v>1599</v>
      </c>
      <c r="AG768" s="49">
        <v>510</v>
      </c>
      <c r="AH768" s="49">
        <v>495</v>
      </c>
      <c r="AI768" s="49">
        <v>492.68</v>
      </c>
      <c r="AJ768" s="49">
        <v>470.53</v>
      </c>
      <c r="AK768" s="49">
        <v>260.50894593300001</v>
      </c>
      <c r="AL768" s="49">
        <v>367.74</v>
      </c>
      <c r="AM768" s="49">
        <v>1.11147560431</v>
      </c>
      <c r="AN768" s="49">
        <v>1.6121283749999999</v>
      </c>
      <c r="AO768" s="49">
        <v>1.4054814117900001</v>
      </c>
      <c r="AP768" s="49">
        <v>5.4910470340000002</v>
      </c>
      <c r="AQ768" s="49">
        <v>3.3951148</v>
      </c>
      <c r="AR768" s="49">
        <v>9.6038999999999994</v>
      </c>
      <c r="AS768" s="49">
        <v>10.912869000000001</v>
      </c>
      <c r="AT768" s="49">
        <v>0.355036032</v>
      </c>
      <c r="AU768" s="49">
        <v>0.93828627200000003</v>
      </c>
      <c r="AV768" s="49">
        <v>0.55997348000000002</v>
      </c>
      <c r="AW768" s="49">
        <v>4786.75</v>
      </c>
      <c r="AX768" s="49">
        <v>380.52</v>
      </c>
      <c r="AY768" s="49">
        <v>217.20548682997</v>
      </c>
      <c r="AZ768" s="49">
        <v>598.17415342609002</v>
      </c>
      <c r="BA768" s="49">
        <v>680.37800000000004</v>
      </c>
      <c r="BB768" s="49">
        <v>398.40369642767001</v>
      </c>
      <c r="BC768" s="49">
        <v>2.0734451100000002</v>
      </c>
      <c r="BD768" s="49">
        <v>1.3505</v>
      </c>
      <c r="BE768" s="49">
        <v>1.5568</v>
      </c>
      <c r="BF768" s="49">
        <v>345</v>
      </c>
      <c r="BG768" s="49">
        <v>510</v>
      </c>
      <c r="BH768" s="49">
        <v>485.63</v>
      </c>
      <c r="BI768" s="49">
        <v>329.25</v>
      </c>
      <c r="BJ768" s="49">
        <v>372.5</v>
      </c>
      <c r="BK768" s="49">
        <v>2268.6</v>
      </c>
      <c r="BL768" s="49">
        <v>105.15</v>
      </c>
      <c r="BM768" s="49">
        <v>8217.4699999999993</v>
      </c>
      <c r="BN768" s="49">
        <v>2083.6</v>
      </c>
      <c r="BO768" s="49">
        <v>25533.8</v>
      </c>
      <c r="BP768" s="49">
        <v>21970.39</v>
      </c>
      <c r="BQ768" s="49">
        <v>2475.6999999999998</v>
      </c>
      <c r="BR768" s="49">
        <v>1992.13</v>
      </c>
      <c r="BS768" s="49">
        <v>1062.73</v>
      </c>
      <c r="BT768" s="49">
        <v>24.266999999999999</v>
      </c>
    </row>
    <row r="769" spans="1:72" s="41" customFormat="1" ht="15" customHeight="1">
      <c r="A769" s="41" t="s">
        <v>1597</v>
      </c>
      <c r="B769" s="51">
        <v>73.263333333329996</v>
      </c>
      <c r="C769" s="51">
        <v>74.89</v>
      </c>
      <c r="D769" s="51">
        <v>74.67</v>
      </c>
      <c r="E769" s="51">
        <v>70.23</v>
      </c>
      <c r="F769" s="51">
        <v>139.41999999999999</v>
      </c>
      <c r="G769" s="51">
        <v>98.58</v>
      </c>
      <c r="H769" s="51">
        <v>2.1833999999999998</v>
      </c>
      <c r="I769" s="51">
        <v>10.35062473915</v>
      </c>
      <c r="J769" s="51">
        <v>12.679231002430001</v>
      </c>
      <c r="K769" s="51">
        <v>84.310528834129997</v>
      </c>
      <c r="L769" s="51">
        <v>3.1728700000000001</v>
      </c>
      <c r="M769" s="51">
        <v>4.5721614180000003</v>
      </c>
      <c r="N769" s="51">
        <v>2.912964406</v>
      </c>
      <c r="O769" s="51">
        <v>2.6945068102900001</v>
      </c>
      <c r="P769" s="51">
        <v>3.2340862423000001</v>
      </c>
      <c r="Q769" s="51">
        <v>2.7644341885700001</v>
      </c>
      <c r="R769" s="51">
        <v>2.085</v>
      </c>
      <c r="S769" s="51">
        <v>1012.73</v>
      </c>
      <c r="T769" s="51">
        <v>1850</v>
      </c>
      <c r="U769" s="51">
        <v>1810.35</v>
      </c>
      <c r="V769" s="51">
        <v>1971.27</v>
      </c>
      <c r="W769" s="51">
        <v>816.97</v>
      </c>
      <c r="X769" s="51">
        <v>927.95</v>
      </c>
      <c r="Y769" s="51">
        <v>591.89</v>
      </c>
      <c r="Z769" s="51">
        <v>1007.12</v>
      </c>
      <c r="AA769" s="51">
        <v>491.56</v>
      </c>
      <c r="AB769" s="51">
        <v>990.58</v>
      </c>
      <c r="AC769" s="51">
        <v>910.95</v>
      </c>
      <c r="AD769" s="51" t="s">
        <v>1599</v>
      </c>
      <c r="AE769" s="51">
        <v>266.86779840000003</v>
      </c>
      <c r="AF769" s="51" t="s">
        <v>1599</v>
      </c>
      <c r="AG769" s="51">
        <v>514</v>
      </c>
      <c r="AH769" s="51">
        <v>496</v>
      </c>
      <c r="AI769" s="51">
        <v>495.75</v>
      </c>
      <c r="AJ769" s="51">
        <v>508.24</v>
      </c>
      <c r="AK769" s="51">
        <v>256.999925448</v>
      </c>
      <c r="AL769" s="51">
        <v>345.5</v>
      </c>
      <c r="AM769" s="51">
        <v>1.1008424395800001</v>
      </c>
      <c r="AN769" s="51">
        <v>1.5928379500000001</v>
      </c>
      <c r="AO769" s="51">
        <v>1.4049524387300001</v>
      </c>
      <c r="AP769" s="51">
        <v>5.1394101440000002</v>
      </c>
      <c r="AQ769" s="51">
        <v>3.255782816</v>
      </c>
      <c r="AR769" s="51">
        <v>9.6452000000000009</v>
      </c>
      <c r="AS769" s="51">
        <v>10.361713999999999</v>
      </c>
      <c r="AT769" s="51">
        <v>0.35395838400000001</v>
      </c>
      <c r="AU769" s="51">
        <v>0.90918528799999998</v>
      </c>
      <c r="AV769" s="51">
        <v>0.54211605799999996</v>
      </c>
      <c r="AW769" s="51">
        <v>5064.7416666666704</v>
      </c>
      <c r="AX769" s="51">
        <v>379.36500000000001</v>
      </c>
      <c r="AY769" s="51">
        <v>210.73252654432</v>
      </c>
      <c r="AZ769" s="51">
        <v>604.88229035973995</v>
      </c>
      <c r="BA769" s="51">
        <v>688.00800000000004</v>
      </c>
      <c r="BB769" s="51">
        <v>386.53083196981999</v>
      </c>
      <c r="BC769" s="51">
        <v>2.0388325759999999</v>
      </c>
      <c r="BD769" s="51">
        <v>1.3188</v>
      </c>
      <c r="BE769" s="51">
        <v>1.534</v>
      </c>
      <c r="BF769" s="51">
        <v>344.5</v>
      </c>
      <c r="BG769" s="51">
        <v>454.55</v>
      </c>
      <c r="BH769" s="51">
        <v>390</v>
      </c>
      <c r="BI769" s="51">
        <v>287.5</v>
      </c>
      <c r="BJ769" s="51">
        <v>328</v>
      </c>
      <c r="BK769" s="51">
        <v>2184.75</v>
      </c>
      <c r="BL769" s="51">
        <v>113.45</v>
      </c>
      <c r="BM769" s="51">
        <v>8396.52</v>
      </c>
      <c r="BN769" s="51">
        <v>2122.89</v>
      </c>
      <c r="BO769" s="51">
        <v>27216.68</v>
      </c>
      <c r="BP769" s="51">
        <v>21233.279999999999</v>
      </c>
      <c r="BQ769" s="51">
        <v>2375.4499999999998</v>
      </c>
      <c r="BR769" s="51">
        <v>1942.9</v>
      </c>
      <c r="BS769" s="51">
        <v>970.64</v>
      </c>
      <c r="BT769" s="51">
        <v>23.417000000000002</v>
      </c>
    </row>
    <row r="770" spans="1:72" s="41" customFormat="1" ht="15" customHeight="1">
      <c r="A770" s="48" t="s">
        <v>1598</v>
      </c>
      <c r="B770" s="49">
        <v>78.983333333329995</v>
      </c>
      <c r="C770" s="49">
        <v>80.099999999999994</v>
      </c>
      <c r="D770" s="49">
        <v>80.459999999999994</v>
      </c>
      <c r="E770" s="49">
        <v>76.39</v>
      </c>
      <c r="F770" s="49">
        <v>140.63</v>
      </c>
      <c r="G770" s="49">
        <v>96.75</v>
      </c>
      <c r="H770" s="49">
        <v>2.5539999999999998</v>
      </c>
      <c r="I770" s="49">
        <v>9.5452839896799997</v>
      </c>
      <c r="J770" s="49">
        <v>12.988910097730001</v>
      </c>
      <c r="K770" s="49">
        <v>85.192100927490003</v>
      </c>
      <c r="L770" s="49">
        <v>3.3874599999999999</v>
      </c>
      <c r="M770" s="49">
        <v>4.265719238</v>
      </c>
      <c r="N770" s="49">
        <v>2.812654196</v>
      </c>
      <c r="O770" s="49">
        <v>2.4667046747399999</v>
      </c>
      <c r="P770" s="49">
        <v>2.4752341865299998</v>
      </c>
      <c r="Q770" s="49">
        <v>2.8623798376899998</v>
      </c>
      <c r="R770" s="49">
        <v>2.0625</v>
      </c>
      <c r="S770" s="49">
        <v>1047.3800000000001</v>
      </c>
      <c r="T770" s="49">
        <v>1960.48</v>
      </c>
      <c r="U770" s="49">
        <v>1879.02</v>
      </c>
      <c r="V770" s="49">
        <v>2159.21</v>
      </c>
      <c r="W770" s="49">
        <v>878.5</v>
      </c>
      <c r="X770" s="49">
        <v>998.1</v>
      </c>
      <c r="Y770" s="49">
        <v>633.85</v>
      </c>
      <c r="Z770" s="49">
        <v>1135.74</v>
      </c>
      <c r="AA770" s="49">
        <v>517.23</v>
      </c>
      <c r="AB770" s="49">
        <v>1107.99</v>
      </c>
      <c r="AC770" s="49">
        <v>1038.8</v>
      </c>
      <c r="AD770" s="49" t="s">
        <v>1599</v>
      </c>
      <c r="AE770" s="49">
        <v>242.38483919999999</v>
      </c>
      <c r="AF770" s="49" t="s">
        <v>1599</v>
      </c>
      <c r="AG770" s="49">
        <v>547</v>
      </c>
      <c r="AH770" s="49">
        <v>524</v>
      </c>
      <c r="AI770" s="49">
        <v>533.45000000000005</v>
      </c>
      <c r="AJ770" s="49">
        <v>502.76</v>
      </c>
      <c r="AK770" s="49">
        <v>249.85328163299999</v>
      </c>
      <c r="AL770" s="49">
        <v>345.5</v>
      </c>
      <c r="AM770" s="49">
        <v>1.11815780753</v>
      </c>
      <c r="AN770" s="49">
        <v>1.5501234374999999</v>
      </c>
      <c r="AO770" s="49">
        <v>1.51291583962</v>
      </c>
      <c r="AP770" s="49">
        <v>4.9473877420000001</v>
      </c>
      <c r="AQ770" s="49">
        <v>3.059130712</v>
      </c>
      <c r="AR770" s="49">
        <v>9.6452000000000009</v>
      </c>
      <c r="AS770" s="49">
        <v>9.7973312799999999</v>
      </c>
      <c r="AT770" s="49">
        <v>0.36114270399999998</v>
      </c>
      <c r="AU770" s="49">
        <v>0.85120378200000002</v>
      </c>
      <c r="AV770" s="49">
        <v>0.52117216799999999</v>
      </c>
      <c r="AW770" s="49">
        <v>5098.1750000000002</v>
      </c>
      <c r="AX770" s="49">
        <v>387.065</v>
      </c>
      <c r="AY770" s="49">
        <v>211.0462499994</v>
      </c>
      <c r="AZ770" s="49">
        <v>617.29234368698997</v>
      </c>
      <c r="BA770" s="49">
        <v>702.12350000000004</v>
      </c>
      <c r="BB770" s="49">
        <v>387.10627131984</v>
      </c>
      <c r="BC770" s="49">
        <v>2.0542649160000002</v>
      </c>
      <c r="BD770" s="49">
        <v>1.2991999999999999</v>
      </c>
      <c r="BE770" s="49">
        <v>1.4924999999999999</v>
      </c>
      <c r="BF770" s="49">
        <v>342.5</v>
      </c>
      <c r="BG770" s="49">
        <v>458.75</v>
      </c>
      <c r="BH770" s="49">
        <v>392.25</v>
      </c>
      <c r="BI770" s="49">
        <v>334.63</v>
      </c>
      <c r="BJ770" s="49">
        <v>341.25</v>
      </c>
      <c r="BK770" s="49">
        <v>2159.73</v>
      </c>
      <c r="BL770" s="49">
        <v>114.43</v>
      </c>
      <c r="BM770" s="49">
        <v>8476.68</v>
      </c>
      <c r="BN770" s="49">
        <v>2109.12</v>
      </c>
      <c r="BO770" s="49">
        <v>28743.14</v>
      </c>
      <c r="BP770" s="49">
        <v>21091.26</v>
      </c>
      <c r="BQ770" s="49">
        <v>2404.65</v>
      </c>
      <c r="BR770" s="49">
        <v>1951.02</v>
      </c>
      <c r="BS770" s="49">
        <v>950.42</v>
      </c>
      <c r="BT770" s="49">
        <v>24.256</v>
      </c>
    </row>
    <row r="771" spans="1:72" s="41" customFormat="1" ht="15" customHeight="1">
      <c r="A771" s="41" t="s">
        <v>1600</v>
      </c>
      <c r="B771" s="51">
        <v>84.724333333329994</v>
      </c>
      <c r="C771" s="51">
        <v>86.162999999999997</v>
      </c>
      <c r="D771" s="51">
        <v>86.61</v>
      </c>
      <c r="E771" s="51">
        <v>81.400000000000006</v>
      </c>
      <c r="F771" s="51">
        <v>152.61000000000001</v>
      </c>
      <c r="G771" s="51">
        <v>97.604600000000005</v>
      </c>
      <c r="H771" s="51">
        <v>2.5844999999999998</v>
      </c>
      <c r="I771" s="51">
        <v>11.191944563690001</v>
      </c>
      <c r="J771" s="51">
        <v>12.5440734797</v>
      </c>
      <c r="K771" s="51">
        <v>93.089278527909997</v>
      </c>
      <c r="L771" s="51">
        <v>3.4596100000000001</v>
      </c>
      <c r="M771" s="51">
        <v>4.1166869259999999</v>
      </c>
      <c r="N771" s="51">
        <v>2.7473974440000002</v>
      </c>
      <c r="O771" s="51">
        <v>2.83496393834</v>
      </c>
      <c r="P771" s="51">
        <v>3.5785446888200001</v>
      </c>
      <c r="Q771" s="51">
        <v>2.6783471261999998</v>
      </c>
      <c r="R771" s="51">
        <v>2.2480000000000002</v>
      </c>
      <c r="S771" s="51">
        <v>1099.0899999999999</v>
      </c>
      <c r="T771" s="51">
        <v>2000</v>
      </c>
      <c r="U771" s="51">
        <v>1882.62</v>
      </c>
      <c r="V771" s="51">
        <v>2173.94</v>
      </c>
      <c r="W771" s="51">
        <v>860.82</v>
      </c>
      <c r="X771" s="51">
        <v>998.41</v>
      </c>
      <c r="Y771" s="51">
        <v>583.92999999999995</v>
      </c>
      <c r="Z771" s="51">
        <v>1126.53</v>
      </c>
      <c r="AA771" s="51">
        <v>514.55999999999995</v>
      </c>
      <c r="AB771" s="51">
        <v>1066.77</v>
      </c>
      <c r="AC771" s="51">
        <v>989.42</v>
      </c>
      <c r="AD771" s="51" t="s">
        <v>1599</v>
      </c>
      <c r="AE771" s="51">
        <v>207.607148</v>
      </c>
      <c r="AF771" s="51" t="s">
        <v>1599</v>
      </c>
      <c r="AG771" s="51">
        <v>635</v>
      </c>
      <c r="AH771" s="51">
        <v>600</v>
      </c>
      <c r="AI771" s="51">
        <v>626</v>
      </c>
      <c r="AJ771" s="51">
        <v>541.15</v>
      </c>
      <c r="AK771" s="51">
        <v>230.805363105</v>
      </c>
      <c r="AL771" s="51">
        <v>315.82</v>
      </c>
      <c r="AM771" s="51">
        <v>1.0742535098399999</v>
      </c>
      <c r="AN771" s="51">
        <v>1.5570128750000001</v>
      </c>
      <c r="AO771" s="51">
        <v>1.65885950598</v>
      </c>
      <c r="AP771" s="51">
        <v>4.9337190980000001</v>
      </c>
      <c r="AQ771" s="51">
        <v>2.8880522000000002</v>
      </c>
      <c r="AR771" s="51">
        <v>9.7444000000000006</v>
      </c>
      <c r="AS771" s="51">
        <v>9.0499650999999997</v>
      </c>
      <c r="AT771" s="51">
        <v>0.356309616</v>
      </c>
      <c r="AU771" s="51">
        <v>0.89287110000000003</v>
      </c>
      <c r="AV771" s="51">
        <v>0.52800648999999999</v>
      </c>
      <c r="AW771" s="51">
        <v>4241.2793245800103</v>
      </c>
      <c r="AX771" s="51">
        <v>381.88499999999999</v>
      </c>
      <c r="AY771" s="51">
        <v>205.60939308595999</v>
      </c>
      <c r="AZ771" s="51">
        <v>608.71551146468005</v>
      </c>
      <c r="BA771" s="51">
        <v>692.36800000000005</v>
      </c>
      <c r="BB771" s="51">
        <v>377.13385339026001</v>
      </c>
      <c r="BC771" s="51">
        <v>2.1148919660000001</v>
      </c>
      <c r="BD771" s="51">
        <v>1.2924</v>
      </c>
      <c r="BE771" s="51">
        <v>1.4697</v>
      </c>
      <c r="BF771" s="51">
        <v>346.25</v>
      </c>
      <c r="BG771" s="51">
        <v>528.75</v>
      </c>
      <c r="BH771" s="51">
        <v>450.63</v>
      </c>
      <c r="BI771" s="51">
        <v>385.63</v>
      </c>
      <c r="BJ771" s="51">
        <v>353.13</v>
      </c>
      <c r="BK771" s="51">
        <v>2136.5700000000002</v>
      </c>
      <c r="BL771" s="51">
        <v>110.2</v>
      </c>
      <c r="BM771" s="51">
        <v>8349.1299999999992</v>
      </c>
      <c r="BN771" s="51">
        <v>2153.84</v>
      </c>
      <c r="BO771" s="51">
        <v>26074.87</v>
      </c>
      <c r="BP771" s="51">
        <v>20438.650000000001</v>
      </c>
      <c r="BQ771" s="51">
        <v>2406.7199999999998</v>
      </c>
      <c r="BR771" s="51">
        <v>1918.7</v>
      </c>
      <c r="BS771" s="51">
        <v>925</v>
      </c>
      <c r="BT771" s="51">
        <v>23.437000000000001</v>
      </c>
    </row>
    <row r="772" spans="1:72" s="41" customFormat="1" ht="15" customHeight="1">
      <c r="A772" s="48" t="s">
        <v>1602</v>
      </c>
      <c r="B772" s="49">
        <v>92.22</v>
      </c>
      <c r="C772" s="49">
        <v>94</v>
      </c>
      <c r="D772" s="49">
        <v>93.08</v>
      </c>
      <c r="E772" s="49">
        <v>89.58</v>
      </c>
      <c r="F772" s="49">
        <v>162.47</v>
      </c>
      <c r="G772" s="49">
        <v>99.85</v>
      </c>
      <c r="H772" s="49">
        <v>2.6395</v>
      </c>
      <c r="I772" s="49">
        <v>11.54929514615</v>
      </c>
      <c r="J772" s="49">
        <v>12.502000000000001</v>
      </c>
      <c r="K772" s="49">
        <v>95.427494310130001</v>
      </c>
      <c r="L772" s="49">
        <v>3.6111399999999998</v>
      </c>
      <c r="M772" s="49">
        <v>4.0459186239999996</v>
      </c>
      <c r="N772" s="49">
        <v>2.7313037179999999</v>
      </c>
      <c r="O772" s="49">
        <v>2.84695076117</v>
      </c>
      <c r="P772" s="49">
        <v>3.6354613233899999</v>
      </c>
      <c r="Q772" s="49">
        <v>2.6528909601100001</v>
      </c>
      <c r="R772" s="49">
        <v>2.2524999999999999</v>
      </c>
      <c r="S772" s="49">
        <v>1071.67</v>
      </c>
      <c r="T772" s="49">
        <v>2050</v>
      </c>
      <c r="U772" s="49">
        <v>1851.82</v>
      </c>
      <c r="V772" s="49">
        <v>2106.2199999999998</v>
      </c>
      <c r="W772" s="49">
        <v>829.6</v>
      </c>
      <c r="X772" s="49">
        <v>957.64</v>
      </c>
      <c r="Y772" s="49">
        <v>619.04</v>
      </c>
      <c r="Z772" s="49">
        <v>1111.6300000000001</v>
      </c>
      <c r="AA772" s="49">
        <v>509.31</v>
      </c>
      <c r="AB772" s="49">
        <v>1047.44</v>
      </c>
      <c r="AC772" s="49">
        <v>894.81</v>
      </c>
      <c r="AD772" s="49" t="s">
        <v>1599</v>
      </c>
      <c r="AE772" s="49">
        <v>223.80708000000001</v>
      </c>
      <c r="AF772" s="49" t="s">
        <v>1599</v>
      </c>
      <c r="AG772" s="49">
        <v>620</v>
      </c>
      <c r="AH772" s="49">
        <v>587</v>
      </c>
      <c r="AI772" s="49">
        <v>609.9</v>
      </c>
      <c r="AJ772" s="49">
        <v>594.37</v>
      </c>
      <c r="AK772" s="49">
        <v>231.055220061</v>
      </c>
      <c r="AL772" s="49">
        <v>314.68</v>
      </c>
      <c r="AM772" s="49">
        <v>1.0431175720200001</v>
      </c>
      <c r="AN772" s="49">
        <v>1.5639023125</v>
      </c>
      <c r="AO772" s="49">
        <v>1.76930908023</v>
      </c>
      <c r="AP772" s="49">
        <v>5.1665269699999996</v>
      </c>
      <c r="AQ772" s="49">
        <v>2.8880522000000002</v>
      </c>
      <c r="AR772" s="49">
        <v>9.8106000000000009</v>
      </c>
      <c r="AS772" s="49">
        <v>8.7082490000000004</v>
      </c>
      <c r="AT772" s="49">
        <v>0.34896201599999999</v>
      </c>
      <c r="AU772" s="49">
        <v>0.94049089200000002</v>
      </c>
      <c r="AV772" s="49">
        <v>0.57959459800000002</v>
      </c>
      <c r="AW772" s="49">
        <v>4235.9847696317202</v>
      </c>
      <c r="AX772" s="49">
        <v>374.01</v>
      </c>
      <c r="AY772" s="49">
        <v>201.54481094656001</v>
      </c>
      <c r="AZ772" s="49">
        <v>594.24510179353001</v>
      </c>
      <c r="BA772" s="49">
        <v>675.90899999999999</v>
      </c>
      <c r="BB772" s="49">
        <v>369.67849592021997</v>
      </c>
      <c r="BC772" s="49">
        <v>2.1594252900000002</v>
      </c>
      <c r="BD772" s="49">
        <v>1.4181999999999999</v>
      </c>
      <c r="BE772" s="49">
        <v>1.5544</v>
      </c>
      <c r="BF772" s="49">
        <v>347.5</v>
      </c>
      <c r="BG772" s="49">
        <v>527.9</v>
      </c>
      <c r="BH772" s="49">
        <v>461.5</v>
      </c>
      <c r="BI772" s="49">
        <v>380</v>
      </c>
      <c r="BJ772" s="49">
        <v>352</v>
      </c>
      <c r="BK772" s="49">
        <v>2184.67</v>
      </c>
      <c r="BL772" s="49">
        <v>120.98</v>
      </c>
      <c r="BM772" s="49">
        <v>8276.7099999999991</v>
      </c>
      <c r="BN772" s="49">
        <v>2252.1</v>
      </c>
      <c r="BO772" s="49">
        <v>25573.93</v>
      </c>
      <c r="BP772" s="49">
        <v>19644.64</v>
      </c>
      <c r="BQ772" s="49">
        <v>2495.5</v>
      </c>
      <c r="BR772" s="49">
        <v>1915.95</v>
      </c>
      <c r="BS772" s="49">
        <v>920.9</v>
      </c>
      <c r="BT772" s="49">
        <v>23.100999999999999</v>
      </c>
    </row>
    <row r="773" spans="1:72" ht="15" customHeight="1"/>
    <row r="774" spans="1:72" ht="15" customHeight="1"/>
    <row r="775" spans="1:72" ht="15" customHeight="1"/>
    <row r="776" spans="1:72" ht="15" customHeight="1"/>
    <row r="777" spans="1:72" ht="15" customHeight="1"/>
    <row r="778" spans="1:72" ht="15" customHeight="1"/>
    <row r="779" spans="1:72" ht="15" customHeight="1"/>
    <row r="780" spans="1:72" ht="15" customHeight="1"/>
    <row r="781" spans="1:72" ht="15" customHeight="1"/>
    <row r="782" spans="1:72" ht="15" customHeight="1"/>
    <row r="783" spans="1:72" ht="15" customHeight="1"/>
    <row r="784" spans="1:72" ht="15" customHeight="1"/>
    <row r="785" s="50" customFormat="1" ht="15" customHeight="1"/>
    <row r="786" s="50" customFormat="1" ht="15" customHeight="1"/>
    <row r="787" s="50" customFormat="1" ht="15" customHeight="1"/>
    <row r="788" s="50" customFormat="1" ht="15" customHeight="1"/>
    <row r="789" s="50" customFormat="1" ht="15" customHeight="1"/>
    <row r="790" s="50" customFormat="1" ht="15" customHeight="1"/>
    <row r="791" s="50" customFormat="1" ht="15" customHeight="1"/>
    <row r="792" s="50" customFormat="1" ht="15" customHeight="1"/>
    <row r="793" s="50" customFormat="1" ht="15" customHeight="1"/>
    <row r="794" s="50" customFormat="1" ht="15" customHeight="1"/>
    <row r="795" s="50" customFormat="1" ht="15" customHeight="1"/>
    <row r="796" s="50" customFormat="1" ht="15" customHeight="1"/>
    <row r="797" s="50" customFormat="1" ht="15" customHeight="1"/>
    <row r="798" s="50" customFormat="1" ht="15" customHeight="1"/>
    <row r="799" s="50" customFormat="1" ht="15" customHeight="1"/>
    <row r="800" s="50" customFormat="1" ht="15" customHeight="1"/>
    <row r="801" s="50" customFormat="1" ht="15" customHeight="1"/>
    <row r="802" s="50" customFormat="1" ht="15" customHeight="1"/>
    <row r="803" s="50" customFormat="1" ht="15" customHeight="1"/>
    <row r="804" s="50" customFormat="1" ht="15" customHeight="1"/>
    <row r="805" s="50" customFormat="1" ht="15" customHeight="1"/>
    <row r="806" s="50" customFormat="1" ht="15" customHeight="1"/>
    <row r="807" s="50" customFormat="1" ht="15" customHeight="1"/>
    <row r="808" s="50" customFormat="1" ht="15" customHeight="1"/>
    <row r="809" s="50" customFormat="1" ht="15" customHeight="1"/>
    <row r="810" s="50" customFormat="1" ht="15" customHeight="1"/>
    <row r="811" s="50" customFormat="1" ht="15" customHeight="1"/>
    <row r="812" s="50" customFormat="1" ht="15" customHeight="1"/>
    <row r="813" s="50" customFormat="1" ht="15" customHeight="1"/>
    <row r="814" s="50" customFormat="1" ht="15" customHeight="1"/>
    <row r="815" s="50" customFormat="1" ht="15" customHeight="1"/>
    <row r="816" s="50" customFormat="1" ht="15" customHeight="1"/>
    <row r="817" s="50" customFormat="1" ht="15" customHeight="1"/>
    <row r="818" s="50" customFormat="1" ht="15" customHeight="1"/>
    <row r="819" s="50" customFormat="1" ht="15" customHeight="1"/>
    <row r="820" s="50" customFormat="1" ht="15" customHeight="1"/>
    <row r="821" s="50" customFormat="1" ht="15" customHeight="1"/>
    <row r="822" s="50" customFormat="1" ht="15" customHeight="1"/>
    <row r="823" s="50" customFormat="1" ht="15" customHeight="1"/>
    <row r="824" s="50" customFormat="1" ht="15" customHeight="1"/>
    <row r="825" s="50" customFormat="1" ht="15" customHeight="1"/>
    <row r="826" s="50" customFormat="1" ht="15" customHeight="1"/>
    <row r="827" s="50" customFormat="1" ht="15" customHeight="1"/>
    <row r="828" s="50" customFormat="1" ht="15" customHeight="1"/>
    <row r="829" s="50" customFormat="1" ht="15" customHeight="1"/>
    <row r="830" s="50" customFormat="1" ht="15" customHeight="1"/>
    <row r="831" s="50" customFormat="1" ht="15" customHeight="1"/>
    <row r="832" s="50" customFormat="1" ht="15" customHeight="1"/>
    <row r="833" s="50" customFormat="1" ht="15" customHeight="1"/>
    <row r="834" s="50" customFormat="1" ht="15" customHeight="1"/>
    <row r="835" s="50" customFormat="1" ht="15" customHeight="1"/>
    <row r="836" s="50" customFormat="1" ht="15" customHeight="1"/>
    <row r="837" s="50" customFormat="1" ht="15" customHeight="1"/>
    <row r="838" s="50" customFormat="1" ht="15" customHeight="1"/>
    <row r="839" s="50" customFormat="1" ht="15" customHeight="1"/>
    <row r="840" s="50" customFormat="1" ht="15" customHeight="1"/>
    <row r="841" s="50" customFormat="1" ht="15" customHeight="1"/>
    <row r="842" s="50" customFormat="1" ht="15" customHeight="1"/>
    <row r="843" s="50" customFormat="1" ht="15" customHeight="1"/>
    <row r="844" s="50" customFormat="1" ht="15" customHeight="1"/>
    <row r="845" s="50" customFormat="1" ht="15" customHeight="1"/>
    <row r="846" s="50" customFormat="1" ht="15" customHeight="1"/>
    <row r="847" s="50" customFormat="1" ht="15" customHeight="1"/>
    <row r="848" s="50" customFormat="1" ht="15" customHeight="1"/>
    <row r="849" s="50" customFormat="1" ht="15" customHeight="1"/>
    <row r="850" s="50" customFormat="1" ht="15" customHeight="1"/>
    <row r="851" s="50" customFormat="1" ht="15" customHeight="1"/>
    <row r="852" s="50" customFormat="1" ht="15" customHeight="1"/>
    <row r="853" s="50" customFormat="1" ht="15" customHeight="1"/>
    <row r="854" s="50" customFormat="1" ht="15" customHeight="1"/>
    <row r="855" s="50" customFormat="1" ht="15" customHeight="1"/>
    <row r="856" s="50" customFormat="1" ht="15" customHeight="1"/>
    <row r="857" s="50" customFormat="1" ht="15" customHeight="1"/>
    <row r="858" s="50" customFormat="1" ht="15" customHeight="1"/>
    <row r="859" s="50" customFormat="1" ht="15" customHeight="1"/>
    <row r="860" s="50" customFormat="1" ht="15" customHeight="1"/>
    <row r="861" s="50" customFormat="1" ht="15" customHeight="1"/>
    <row r="862" s="50" customFormat="1" ht="15" customHeight="1"/>
  </sheetData>
  <pageMargins left="0.7" right="0.7" top="0.75" bottom="0.75" header="0.3" footer="0.3"/>
  <pageSetup scale="60" orientation="landscape" r:id="rId1"/>
  <headerFooter>
    <oddFooter>&amp;L&amp;F, &amp;A, &amp;D, &amp;T&amp;Cp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W85"/>
  <sheetViews>
    <sheetView topLeftCell="A66" zoomScale="70" zoomScaleNormal="70" workbookViewId="0">
      <selection activeCell="T79" sqref="T79"/>
    </sheetView>
  </sheetViews>
  <sheetFormatPr defaultColWidth="9.1640625" defaultRowHeight="15"/>
  <cols>
    <col min="1" max="1" width="10.71875" style="58" customWidth="1"/>
    <col min="2" max="5" width="9.27734375" style="58" customWidth="1"/>
    <col min="6" max="9" width="9.1640625" style="58" customWidth="1"/>
    <col min="10" max="11" width="9.71875" style="58" customWidth="1"/>
    <col min="12" max="19" width="9.1640625" style="58" customWidth="1"/>
    <col min="20" max="20" width="10.5546875" style="58" customWidth="1"/>
    <col min="21" max="21" width="10.1640625" style="58" customWidth="1"/>
    <col min="22" max="22" width="9.71875" style="58" customWidth="1"/>
    <col min="23" max="31" width="9.1640625" style="58" customWidth="1"/>
    <col min="32" max="32" width="9.1640625" style="58"/>
    <col min="33" max="33" width="9.71875" style="58" customWidth="1"/>
    <col min="34" max="47" width="9.1640625" style="58" customWidth="1"/>
    <col min="48" max="48" width="9.71875" style="58" customWidth="1"/>
    <col min="49" max="49" width="9.1640625" style="58" customWidth="1"/>
    <col min="50" max="51" width="10.27734375" style="58" customWidth="1"/>
    <col min="52" max="55" width="9.1640625" style="58" customWidth="1"/>
    <col min="56" max="56" width="9.71875" style="58" customWidth="1"/>
    <col min="57" max="64" width="9.1640625" style="58" customWidth="1"/>
    <col min="65" max="65" width="9.83203125" style="58" bestFit="1" customWidth="1"/>
    <col min="66" max="67" width="9.1640625" style="58" customWidth="1"/>
    <col min="68" max="69" width="9.1640625" style="58"/>
    <col min="70" max="71" width="9.71875" style="58" customWidth="1"/>
    <col min="72" max="16384" width="9.1640625" style="58"/>
  </cols>
  <sheetData>
    <row r="1" spans="1:75" s="55" customFormat="1" ht="30.6" thickBot="1">
      <c r="A1" s="42" t="s">
        <v>135</v>
      </c>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row>
    <row r="2" spans="1:75" s="55" customFormat="1" ht="15.3" thickTop="1">
      <c r="A2" s="53" t="s">
        <v>956</v>
      </c>
    </row>
    <row r="3" spans="1:75" s="55" customFormat="1" ht="14.1">
      <c r="A3" s="54" t="s">
        <v>954</v>
      </c>
      <c r="B3" s="56"/>
      <c r="C3" s="56"/>
      <c r="D3" s="56"/>
      <c r="E3" s="56"/>
      <c r="F3" s="56"/>
      <c r="G3" s="56"/>
      <c r="H3" s="56"/>
      <c r="I3" s="56"/>
      <c r="J3" s="56"/>
      <c r="K3" s="56"/>
    </row>
    <row r="4" spans="1:75" s="55" customFormat="1" ht="12.3">
      <c r="A4" s="55" t="s">
        <v>1422</v>
      </c>
    </row>
    <row r="5" spans="1:75" s="55" customFormat="1" ht="17.7">
      <c r="A5" s="64"/>
    </row>
    <row r="6" spans="1:75" s="55" customFormat="1" ht="17.7">
      <c r="A6" s="64"/>
    </row>
    <row r="7" spans="1:75" ht="37.5">
      <c r="A7" s="56"/>
      <c r="B7" s="57" t="s">
        <v>123</v>
      </c>
      <c r="C7" s="57" t="s">
        <v>117</v>
      </c>
      <c r="D7" s="57" t="s">
        <v>118</v>
      </c>
      <c r="E7" s="57" t="s">
        <v>119</v>
      </c>
      <c r="F7" s="57" t="s">
        <v>25</v>
      </c>
      <c r="G7" s="57" t="s">
        <v>129</v>
      </c>
      <c r="H7" s="57" t="s">
        <v>26</v>
      </c>
      <c r="I7" s="57" t="s">
        <v>27</v>
      </c>
      <c r="J7" s="57" t="s">
        <v>28</v>
      </c>
      <c r="K7" s="57" t="s">
        <v>845</v>
      </c>
      <c r="L7" s="57" t="s">
        <v>6</v>
      </c>
      <c r="M7" s="57" t="s">
        <v>1054</v>
      </c>
      <c r="N7" s="57" t="s">
        <v>1289</v>
      </c>
      <c r="O7" s="57" t="s">
        <v>29</v>
      </c>
      <c r="P7" s="57" t="s">
        <v>30</v>
      </c>
      <c r="Q7" s="57" t="s">
        <v>31</v>
      </c>
      <c r="R7" s="57" t="s">
        <v>32</v>
      </c>
      <c r="S7" s="57" t="s">
        <v>33</v>
      </c>
      <c r="T7" s="57" t="s">
        <v>127</v>
      </c>
      <c r="U7" s="57" t="s">
        <v>46</v>
      </c>
      <c r="V7" s="57" t="s">
        <v>34</v>
      </c>
      <c r="W7" s="57" t="s">
        <v>35</v>
      </c>
      <c r="X7" s="57" t="s">
        <v>36</v>
      </c>
      <c r="Y7" s="57" t="s">
        <v>12</v>
      </c>
      <c r="Z7" s="57" t="s">
        <v>37</v>
      </c>
      <c r="AA7" s="57" t="s">
        <v>38</v>
      </c>
      <c r="AB7" s="57" t="s">
        <v>7</v>
      </c>
      <c r="AC7" s="57" t="s">
        <v>10</v>
      </c>
      <c r="AD7" s="57" t="s">
        <v>11</v>
      </c>
      <c r="AE7" s="57" t="s">
        <v>39</v>
      </c>
      <c r="AF7" s="57" t="s">
        <v>40</v>
      </c>
      <c r="AG7" s="57" t="s">
        <v>41</v>
      </c>
      <c r="AH7" s="57" t="s">
        <v>42</v>
      </c>
      <c r="AI7" s="57" t="s">
        <v>43</v>
      </c>
      <c r="AJ7" s="57" t="s">
        <v>44</v>
      </c>
      <c r="AK7" s="57" t="s">
        <v>130</v>
      </c>
      <c r="AL7" s="57" t="s">
        <v>45</v>
      </c>
      <c r="AM7" s="57" t="s">
        <v>8</v>
      </c>
      <c r="AN7" s="57" t="s">
        <v>9</v>
      </c>
      <c r="AO7" s="57" t="s">
        <v>24</v>
      </c>
      <c r="AP7" s="57" t="s">
        <v>133</v>
      </c>
      <c r="AQ7" s="57" t="s">
        <v>1291</v>
      </c>
      <c r="AR7" s="57" t="s">
        <v>114</v>
      </c>
      <c r="AS7" s="57" t="s">
        <v>47</v>
      </c>
      <c r="AT7" s="57" t="s">
        <v>48</v>
      </c>
      <c r="AU7" s="57" t="s">
        <v>49</v>
      </c>
      <c r="AV7" s="57" t="s">
        <v>50</v>
      </c>
      <c r="AW7" s="57" t="s">
        <v>51</v>
      </c>
      <c r="AX7" s="57" t="s">
        <v>52</v>
      </c>
      <c r="AY7" s="57" t="s">
        <v>53</v>
      </c>
      <c r="AZ7" s="57" t="s">
        <v>14</v>
      </c>
      <c r="BA7" s="57" t="s">
        <v>54</v>
      </c>
      <c r="BB7" s="57" t="s">
        <v>56</v>
      </c>
      <c r="BC7" s="57" t="s">
        <v>55</v>
      </c>
      <c r="BD7" s="57" t="s">
        <v>57</v>
      </c>
      <c r="BE7" s="57" t="s">
        <v>0</v>
      </c>
      <c r="BF7" s="57" t="s">
        <v>1</v>
      </c>
      <c r="BG7" s="57" t="s">
        <v>19</v>
      </c>
      <c r="BH7" s="57" t="s">
        <v>1098</v>
      </c>
      <c r="BI7" s="57" t="s">
        <v>20</v>
      </c>
      <c r="BJ7" s="57" t="s">
        <v>846</v>
      </c>
      <c r="BK7" s="57" t="s">
        <v>15</v>
      </c>
      <c r="BL7" s="57" t="s">
        <v>16</v>
      </c>
      <c r="BM7" s="57" t="s">
        <v>17</v>
      </c>
      <c r="BN7" s="57" t="s">
        <v>21</v>
      </c>
      <c r="BO7" s="57" t="s">
        <v>18</v>
      </c>
      <c r="BP7" s="57" t="s">
        <v>23</v>
      </c>
      <c r="BQ7" s="57" t="s">
        <v>124</v>
      </c>
      <c r="BR7" s="57" t="s">
        <v>22</v>
      </c>
      <c r="BS7" s="57" t="s">
        <v>957</v>
      </c>
      <c r="BT7" s="55"/>
      <c r="BU7" s="55"/>
      <c r="BV7" s="55"/>
      <c r="BW7" s="55"/>
    </row>
    <row r="8" spans="1:75" s="55" customFormat="1" ht="12.3">
      <c r="B8" s="7" t="s">
        <v>4</v>
      </c>
      <c r="C8" s="7" t="s">
        <v>4</v>
      </c>
      <c r="D8" s="7" t="s">
        <v>4</v>
      </c>
      <c r="E8" s="7" t="s">
        <v>4</v>
      </c>
      <c r="F8" s="7" t="s">
        <v>2</v>
      </c>
      <c r="G8" s="7" t="s">
        <v>2</v>
      </c>
      <c r="H8" s="7" t="s">
        <v>5</v>
      </c>
      <c r="I8" s="7" t="s">
        <v>5</v>
      </c>
      <c r="J8" s="7" t="s">
        <v>5</v>
      </c>
      <c r="K8" s="7" t="s">
        <v>847</v>
      </c>
      <c r="L8" s="7" t="s">
        <v>848</v>
      </c>
      <c r="M8" s="7" t="s">
        <v>848</v>
      </c>
      <c r="N8" s="7" t="s">
        <v>848</v>
      </c>
      <c r="O8" s="7" t="s">
        <v>848</v>
      </c>
      <c r="P8" s="7" t="s">
        <v>848</v>
      </c>
      <c r="Q8" s="7" t="s">
        <v>848</v>
      </c>
      <c r="R8" s="7" t="s">
        <v>848</v>
      </c>
      <c r="S8" s="7" t="s">
        <v>2</v>
      </c>
      <c r="T8" s="7" t="s">
        <v>2</v>
      </c>
      <c r="U8" s="7" t="s">
        <v>2</v>
      </c>
      <c r="V8" s="7" t="s">
        <v>2</v>
      </c>
      <c r="W8" s="7" t="s">
        <v>2</v>
      </c>
      <c r="X8" s="7" t="s">
        <v>2</v>
      </c>
      <c r="Y8" s="7" t="s">
        <v>2</v>
      </c>
      <c r="Z8" s="7" t="s">
        <v>2</v>
      </c>
      <c r="AA8" s="7" t="s">
        <v>2</v>
      </c>
      <c r="AB8" s="7" t="s">
        <v>2</v>
      </c>
      <c r="AC8" s="7" t="s">
        <v>2</v>
      </c>
      <c r="AD8" s="7" t="s">
        <v>2</v>
      </c>
      <c r="AE8" s="7" t="s">
        <v>2</v>
      </c>
      <c r="AF8" s="7" t="s">
        <v>2</v>
      </c>
      <c r="AG8" s="7" t="s">
        <v>2</v>
      </c>
      <c r="AH8" s="7" t="s">
        <v>2</v>
      </c>
      <c r="AI8" s="7" t="s">
        <v>2</v>
      </c>
      <c r="AJ8" s="7" t="s">
        <v>2</v>
      </c>
      <c r="AK8" s="7" t="s">
        <v>848</v>
      </c>
      <c r="AL8" s="7" t="s">
        <v>848</v>
      </c>
      <c r="AM8" s="7" t="s">
        <v>848</v>
      </c>
      <c r="AN8" s="7" t="s">
        <v>848</v>
      </c>
      <c r="AO8" s="7" t="s">
        <v>848</v>
      </c>
      <c r="AP8" s="7" t="s">
        <v>848</v>
      </c>
      <c r="AQ8" s="7" t="s">
        <v>848</v>
      </c>
      <c r="AR8" s="7" t="s">
        <v>848</v>
      </c>
      <c r="AS8" s="7" t="s">
        <v>848</v>
      </c>
      <c r="AT8" s="7" t="s">
        <v>848</v>
      </c>
      <c r="AU8" s="7" t="s">
        <v>2</v>
      </c>
      <c r="AV8" s="7" t="s">
        <v>13</v>
      </c>
      <c r="AW8" s="7" t="s">
        <v>13</v>
      </c>
      <c r="AX8" s="7" t="s">
        <v>13</v>
      </c>
      <c r="AY8" s="7" t="s">
        <v>13</v>
      </c>
      <c r="AZ8" s="7" t="s">
        <v>955</v>
      </c>
      <c r="BA8" s="7" t="s">
        <v>848</v>
      </c>
      <c r="BB8" s="7" t="s">
        <v>848</v>
      </c>
      <c r="BC8" s="7" t="s">
        <v>848</v>
      </c>
      <c r="BD8" s="7" t="s">
        <v>2</v>
      </c>
      <c r="BE8" s="7" t="s">
        <v>2</v>
      </c>
      <c r="BF8" s="7" t="s">
        <v>2</v>
      </c>
      <c r="BG8" s="7" t="s">
        <v>2</v>
      </c>
      <c r="BH8" s="7" t="s">
        <v>2</v>
      </c>
      <c r="BI8" s="7" t="s">
        <v>2</v>
      </c>
      <c r="BJ8" s="7" t="s">
        <v>849</v>
      </c>
      <c r="BK8" s="7" t="s">
        <v>2</v>
      </c>
      <c r="BL8" s="7" t="s">
        <v>2</v>
      </c>
      <c r="BM8" s="7" t="s">
        <v>2</v>
      </c>
      <c r="BN8" s="7" t="s">
        <v>2</v>
      </c>
      <c r="BO8" s="7" t="s">
        <v>2</v>
      </c>
      <c r="BP8" s="7" t="s">
        <v>125</v>
      </c>
      <c r="BQ8" s="7" t="s">
        <v>125</v>
      </c>
      <c r="BR8" s="7" t="s">
        <v>125</v>
      </c>
      <c r="BS8" s="55" t="s">
        <v>847</v>
      </c>
    </row>
    <row r="9" spans="1:75">
      <c r="A9" s="65">
        <v>1960</v>
      </c>
      <c r="B9" s="60">
        <v>8.51497812263902</v>
      </c>
      <c r="C9" s="60" t="s">
        <v>137</v>
      </c>
      <c r="D9" s="60">
        <v>8.51497812263902</v>
      </c>
      <c r="E9" s="60" t="s">
        <v>137</v>
      </c>
      <c r="F9" s="60" t="s">
        <v>137</v>
      </c>
      <c r="G9" s="60" t="s">
        <v>137</v>
      </c>
      <c r="H9" s="60">
        <v>0.73134776286708703</v>
      </c>
      <c r="I9" s="60">
        <v>2.1145039764340701</v>
      </c>
      <c r="J9" s="60" t="s">
        <v>137</v>
      </c>
      <c r="K9" s="60">
        <v>18.933322179791901</v>
      </c>
      <c r="L9" s="60">
        <v>3.0769715818435399</v>
      </c>
      <c r="M9" s="60">
        <v>4.8243703438366898</v>
      </c>
      <c r="N9" s="60">
        <v>3.63555967964448</v>
      </c>
      <c r="O9" s="60">
        <v>5.3790627958874202</v>
      </c>
      <c r="P9" s="60">
        <v>4.85981058577313</v>
      </c>
      <c r="Q9" s="60">
        <v>5.8581008044779601</v>
      </c>
      <c r="R9" s="60">
        <v>5.4192869228451199</v>
      </c>
      <c r="S9" s="60">
        <v>1631.6020328725201</v>
      </c>
      <c r="T9" s="60" t="s">
        <v>137</v>
      </c>
      <c r="U9" s="60" t="s">
        <v>137</v>
      </c>
      <c r="V9" s="60">
        <v>1708.21941755384</v>
      </c>
      <c r="W9" s="60">
        <v>1172.33305083397</v>
      </c>
      <c r="X9" s="60" t="s">
        <v>137</v>
      </c>
      <c r="Y9" s="60">
        <v>479.72930635686299</v>
      </c>
      <c r="Z9" s="60">
        <v>1169.72109453801</v>
      </c>
      <c r="AA9" s="60">
        <v>423.18045254946202</v>
      </c>
      <c r="AB9" s="60">
        <v>105.28115356036101</v>
      </c>
      <c r="AC9" s="60">
        <v>232.464110339896</v>
      </c>
      <c r="AD9" s="60">
        <v>191.064603049026</v>
      </c>
      <c r="AE9" s="60">
        <v>560.78266348080501</v>
      </c>
      <c r="AF9" s="60" t="s">
        <v>137</v>
      </c>
      <c r="AG9" s="60" t="s">
        <v>137</v>
      </c>
      <c r="AH9" s="60" t="s">
        <v>137</v>
      </c>
      <c r="AI9" s="60" t="s">
        <v>137</v>
      </c>
      <c r="AJ9" s="60">
        <v>302.95210424670398</v>
      </c>
      <c r="AK9" s="60" t="s">
        <v>137</v>
      </c>
      <c r="AL9" s="60">
        <v>0.74632733222438197</v>
      </c>
      <c r="AM9" s="60">
        <v>0.67902157173814404</v>
      </c>
      <c r="AN9" s="60">
        <v>3.8475857543598</v>
      </c>
      <c r="AO9" s="60">
        <v>1.56785410151423</v>
      </c>
      <c r="AP9" s="60" t="s">
        <v>137</v>
      </c>
      <c r="AQ9" s="60">
        <v>8.3880272199140506</v>
      </c>
      <c r="AR9" s="60">
        <v>0.63917919089962905</v>
      </c>
      <c r="AS9" s="60">
        <v>0.65741403268205101</v>
      </c>
      <c r="AT9" s="60">
        <v>0.34586654618922702</v>
      </c>
      <c r="AU9" s="60">
        <v>9073.2570635068405</v>
      </c>
      <c r="AV9" s="60" t="s">
        <v>137</v>
      </c>
      <c r="AW9" s="60">
        <v>166.85176818553401</v>
      </c>
      <c r="AX9" s="60" t="s">
        <v>137</v>
      </c>
      <c r="AY9" s="60">
        <v>779.27704788478695</v>
      </c>
      <c r="AZ9" s="60" t="s">
        <v>137</v>
      </c>
      <c r="BA9" s="60">
        <v>3.4192684544283001</v>
      </c>
      <c r="BB9" s="60" t="s">
        <v>137</v>
      </c>
      <c r="BC9" s="60">
        <v>4.0758707346261698</v>
      </c>
      <c r="BD9" s="60">
        <v>67.910863694800895</v>
      </c>
      <c r="BE9" s="60">
        <v>5.2239125919077605E-10</v>
      </c>
      <c r="BF9" s="60">
        <v>276.86736737111198</v>
      </c>
      <c r="BG9" s="60">
        <v>220.710307008103</v>
      </c>
      <c r="BH9" s="60">
        <v>148.881508869371</v>
      </c>
      <c r="BI9" s="60">
        <v>2671.8841450295499</v>
      </c>
      <c r="BJ9" s="60">
        <v>59.657081799586699</v>
      </c>
      <c r="BK9" s="60">
        <v>3545.7611445808502</v>
      </c>
      <c r="BL9" s="60">
        <v>1038.77501890086</v>
      </c>
      <c r="BM9" s="60">
        <v>11475.542921063499</v>
      </c>
      <c r="BN9" s="60">
        <v>8520.2014374015598</v>
      </c>
      <c r="BO9" s="60">
        <v>1286.0837475227599</v>
      </c>
      <c r="BP9" s="60">
        <v>184.247397116587</v>
      </c>
      <c r="BQ9" s="60">
        <v>436.196701424298</v>
      </c>
      <c r="BR9" s="60">
        <v>4.7730889352261201</v>
      </c>
      <c r="BS9" s="60">
        <v>19.142739898616899</v>
      </c>
      <c r="BT9" s="55"/>
      <c r="BU9" s="55"/>
      <c r="BV9" s="55"/>
      <c r="BW9" s="55"/>
    </row>
    <row r="10" spans="1:75">
      <c r="A10" s="66">
        <v>1961</v>
      </c>
      <c r="B10" s="61">
        <v>8.0450247775147492</v>
      </c>
      <c r="C10" s="61" t="s">
        <v>137</v>
      </c>
      <c r="D10" s="61">
        <v>8.0450247775147492</v>
      </c>
      <c r="E10" s="61" t="s">
        <v>137</v>
      </c>
      <c r="F10" s="61" t="s">
        <v>137</v>
      </c>
      <c r="G10" s="61" t="s">
        <v>137</v>
      </c>
      <c r="H10" s="61">
        <v>0.76863294052688702</v>
      </c>
      <c r="I10" s="61">
        <v>2.0741508471128101</v>
      </c>
      <c r="J10" s="61" t="s">
        <v>137</v>
      </c>
      <c r="K10" s="61">
        <v>19.194252335874001</v>
      </c>
      <c r="L10" s="61">
        <v>2.4522379930909701</v>
      </c>
      <c r="M10" s="61">
        <v>4.5889521640956596</v>
      </c>
      <c r="N10" s="61">
        <v>3.4303360923549602</v>
      </c>
      <c r="O10" s="61">
        <v>4.8772322186232699</v>
      </c>
      <c r="P10" s="61">
        <v>4.5733706079326204</v>
      </c>
      <c r="Q10" s="61">
        <v>5.0145664282170097</v>
      </c>
      <c r="R10" s="61">
        <v>5.0432548840892402</v>
      </c>
      <c r="S10" s="61">
        <v>1298.5626511901501</v>
      </c>
      <c r="T10" s="61" t="s">
        <v>137</v>
      </c>
      <c r="U10" s="61" t="s">
        <v>137</v>
      </c>
      <c r="V10" s="61">
        <v>1692.27352406003</v>
      </c>
      <c r="W10" s="61">
        <v>1170.45716110233</v>
      </c>
      <c r="X10" s="61" t="s">
        <v>137</v>
      </c>
      <c r="Y10" s="61">
        <v>560.24800998404203</v>
      </c>
      <c r="Z10" s="61">
        <v>1472.3590994092799</v>
      </c>
      <c r="AA10" s="61">
        <v>496.57958141039802</v>
      </c>
      <c r="AB10" s="61">
        <v>106.317512119113</v>
      </c>
      <c r="AC10" s="61">
        <v>230.36783264191399</v>
      </c>
      <c r="AD10" s="61">
        <v>212.22809524547901</v>
      </c>
      <c r="AE10" s="61">
        <v>609.52592183782099</v>
      </c>
      <c r="AF10" s="61" t="s">
        <v>137</v>
      </c>
      <c r="AG10" s="61" t="s">
        <v>137</v>
      </c>
      <c r="AH10" s="61" t="s">
        <v>137</v>
      </c>
      <c r="AI10" s="61" t="s">
        <v>137</v>
      </c>
      <c r="AJ10" s="61">
        <v>300.30916004685798</v>
      </c>
      <c r="AK10" s="61" t="s">
        <v>137</v>
      </c>
      <c r="AL10" s="61">
        <v>0.69136824927192297</v>
      </c>
      <c r="AM10" s="61">
        <v>0.68156390909720199</v>
      </c>
      <c r="AN10" s="61">
        <v>3.4944615586154</v>
      </c>
      <c r="AO10" s="61">
        <v>1.6001885112062999</v>
      </c>
      <c r="AP10" s="61" t="s">
        <v>137</v>
      </c>
      <c r="AQ10" s="61">
        <v>8.6798286454640206</v>
      </c>
      <c r="AR10" s="61">
        <v>0.63714837605748897</v>
      </c>
      <c r="AS10" s="61">
        <v>0.64392655027086598</v>
      </c>
      <c r="AT10" s="61">
        <v>0.30463485542882301</v>
      </c>
      <c r="AU10" s="61">
        <v>8010.1288420148303</v>
      </c>
      <c r="AV10" s="61" t="s">
        <v>137</v>
      </c>
      <c r="AW10" s="61">
        <v>169.40670009212599</v>
      </c>
      <c r="AX10" s="61" t="s">
        <v>137</v>
      </c>
      <c r="AY10" s="61">
        <v>778.76496150062201</v>
      </c>
      <c r="AZ10" s="61" t="s">
        <v>137</v>
      </c>
      <c r="BA10" s="61">
        <v>3.4444150138211</v>
      </c>
      <c r="BB10" s="61" t="s">
        <v>137</v>
      </c>
      <c r="BC10" s="61">
        <v>3.08123594942214</v>
      </c>
      <c r="BD10" s="61">
        <v>66.614854845663501</v>
      </c>
      <c r="BE10" s="61">
        <v>5.1242196035125803E-10</v>
      </c>
      <c r="BF10" s="61">
        <v>266.459419382654</v>
      </c>
      <c r="BG10" s="61">
        <v>216.498278248406</v>
      </c>
      <c r="BH10" s="61">
        <v>153.726588105377</v>
      </c>
      <c r="BI10" s="61">
        <v>2620.8939895900598</v>
      </c>
      <c r="BJ10" s="61">
        <v>56.468900030708603</v>
      </c>
      <c r="BK10" s="61">
        <v>3244.0622975067599</v>
      </c>
      <c r="BL10" s="61">
        <v>906.85876433163901</v>
      </c>
      <c r="BM10" s="61">
        <v>12553.7829048154</v>
      </c>
      <c r="BN10" s="61">
        <v>8767.5397416100204</v>
      </c>
      <c r="BO10" s="61">
        <v>1098.16296286277</v>
      </c>
      <c r="BP10" s="61">
        <v>180.62874102381801</v>
      </c>
      <c r="BQ10" s="61">
        <v>427.87233689329997</v>
      </c>
      <c r="BR10" s="61">
        <v>4.7370421106371703</v>
      </c>
      <c r="BS10" s="61">
        <v>19.515166744893499</v>
      </c>
      <c r="BT10" s="55"/>
      <c r="BU10" s="55"/>
      <c r="BV10" s="55"/>
      <c r="BW10" s="55"/>
    </row>
    <row r="11" spans="1:75">
      <c r="A11" s="65">
        <v>1962</v>
      </c>
      <c r="B11" s="60">
        <v>7.64613777440701</v>
      </c>
      <c r="C11" s="60" t="s">
        <v>137</v>
      </c>
      <c r="D11" s="60">
        <v>7.64613777440701</v>
      </c>
      <c r="E11" s="60" t="s">
        <v>137</v>
      </c>
      <c r="F11" s="60" t="s">
        <v>137</v>
      </c>
      <c r="G11" s="60" t="s">
        <v>137</v>
      </c>
      <c r="H11" s="60">
        <v>0.80485660783231705</v>
      </c>
      <c r="I11" s="60">
        <v>2.0361564102797698</v>
      </c>
      <c r="J11" s="60" t="s">
        <v>137</v>
      </c>
      <c r="K11" s="60">
        <v>19.453505334772299</v>
      </c>
      <c r="L11" s="60">
        <v>2.3037343614600401</v>
      </c>
      <c r="M11" s="60">
        <v>4.1882306533924298</v>
      </c>
      <c r="N11" s="60">
        <v>3.4317271477033202</v>
      </c>
      <c r="O11" s="60">
        <v>4.8945342463802799</v>
      </c>
      <c r="P11" s="60">
        <v>4.3311391482160699</v>
      </c>
      <c r="Q11" s="60">
        <v>5.5565338366761603</v>
      </c>
      <c r="R11" s="60">
        <v>4.7959372997793004</v>
      </c>
      <c r="S11" s="60">
        <v>1263.70871352672</v>
      </c>
      <c r="T11" s="60" t="s">
        <v>137</v>
      </c>
      <c r="U11" s="60" t="s">
        <v>137</v>
      </c>
      <c r="V11" s="60">
        <v>1380.0272612044901</v>
      </c>
      <c r="W11" s="60">
        <v>1087.7427456778801</v>
      </c>
      <c r="X11" s="60" t="s">
        <v>137</v>
      </c>
      <c r="Y11" s="60">
        <v>505.75177094663201</v>
      </c>
      <c r="Z11" s="60">
        <v>1141.8903123621001</v>
      </c>
      <c r="AA11" s="60">
        <v>447.74340772171797</v>
      </c>
      <c r="AB11" s="60">
        <v>114.201301295934</v>
      </c>
      <c r="AC11" s="60">
        <v>244.74348016501</v>
      </c>
      <c r="AD11" s="60">
        <v>224.86100677465299</v>
      </c>
      <c r="AE11" s="60">
        <v>678.72467828509502</v>
      </c>
      <c r="AF11" s="60" t="s">
        <v>137</v>
      </c>
      <c r="AG11" s="60" t="s">
        <v>137</v>
      </c>
      <c r="AH11" s="60" t="s">
        <v>137</v>
      </c>
      <c r="AI11" s="60" t="s">
        <v>137</v>
      </c>
      <c r="AJ11" s="60">
        <v>323.61523577107801</v>
      </c>
      <c r="AK11" s="60" t="s">
        <v>137</v>
      </c>
      <c r="AL11" s="60">
        <v>0.66093818564430096</v>
      </c>
      <c r="AM11" s="60">
        <v>0.543320129901805</v>
      </c>
      <c r="AN11" s="60">
        <v>3.5923014066765799</v>
      </c>
      <c r="AO11" s="60">
        <v>1.60750930229977</v>
      </c>
      <c r="AP11" s="60" t="s">
        <v>137</v>
      </c>
      <c r="AQ11" s="60">
        <v>11.3303023284108</v>
      </c>
      <c r="AR11" s="60">
        <v>0.63545806533566795</v>
      </c>
      <c r="AS11" s="60">
        <v>0.64599358299830101</v>
      </c>
      <c r="AT11" s="60">
        <v>0.31028899016535499</v>
      </c>
      <c r="AU11" s="60">
        <v>7067.1440521476397</v>
      </c>
      <c r="AV11" s="60" t="s">
        <v>137</v>
      </c>
      <c r="AW11" s="60">
        <v>183.05457474386299</v>
      </c>
      <c r="AX11" s="60" t="s">
        <v>137</v>
      </c>
      <c r="AY11" s="60">
        <v>805.16330239172498</v>
      </c>
      <c r="AZ11" s="60" t="s">
        <v>137</v>
      </c>
      <c r="BA11" s="60">
        <v>3.2663344805044998</v>
      </c>
      <c r="BB11" s="60" t="s">
        <v>137</v>
      </c>
      <c r="BC11" s="60">
        <v>2.8352750795492998</v>
      </c>
      <c r="BD11" s="60">
        <v>57.849068687947799</v>
      </c>
      <c r="BE11" s="60">
        <v>5.0303537989519802E-10</v>
      </c>
      <c r="BF11" s="60">
        <v>256.548043746551</v>
      </c>
      <c r="BG11" s="60">
        <v>212.53244800572099</v>
      </c>
      <c r="BH11" s="60">
        <v>150.91061396855901</v>
      </c>
      <c r="BI11" s="60">
        <v>2505.4199837168298</v>
      </c>
      <c r="BJ11" s="60">
        <v>55.384195326461302</v>
      </c>
      <c r="BK11" s="60">
        <v>3245.29921770188</v>
      </c>
      <c r="BL11" s="60">
        <v>781.13010574726002</v>
      </c>
      <c r="BM11" s="60">
        <v>12431.9325394999</v>
      </c>
      <c r="BN11" s="60">
        <v>8858.4530399544401</v>
      </c>
      <c r="BO11" s="60">
        <v>935.26853007014699</v>
      </c>
      <c r="BP11" s="60">
        <v>177.21936433707799</v>
      </c>
      <c r="BQ11" s="60">
        <v>420.03454221249001</v>
      </c>
      <c r="BR11" s="60">
        <v>5.45152017076924</v>
      </c>
      <c r="BS11" s="60">
        <v>19.879317439030601</v>
      </c>
      <c r="BT11" s="55"/>
      <c r="BU11" s="55"/>
      <c r="BV11" s="55"/>
      <c r="BW11" s="55"/>
    </row>
    <row r="12" spans="1:75">
      <c r="A12" s="66">
        <v>1963</v>
      </c>
      <c r="B12" s="61">
        <v>7.6863294052688698</v>
      </c>
      <c r="C12" s="61" t="s">
        <v>137</v>
      </c>
      <c r="D12" s="61">
        <v>7.6863294052688698</v>
      </c>
      <c r="E12" s="61" t="s">
        <v>137</v>
      </c>
      <c r="F12" s="61" t="s">
        <v>137</v>
      </c>
      <c r="G12" s="61" t="s">
        <v>137</v>
      </c>
      <c r="H12" s="61">
        <v>0.81987513656201205</v>
      </c>
      <c r="I12" s="61">
        <v>2.00536917292421</v>
      </c>
      <c r="J12" s="61" t="s">
        <v>137</v>
      </c>
      <c r="K12" s="61">
        <v>19.489519254309901</v>
      </c>
      <c r="L12" s="61">
        <v>2.83031999617014</v>
      </c>
      <c r="M12" s="61">
        <v>4.1287972437002303</v>
      </c>
      <c r="N12" s="61">
        <v>3.1949882441895401</v>
      </c>
      <c r="O12" s="61">
        <v>4.8828688601871404</v>
      </c>
      <c r="P12" s="61">
        <v>4.1752182323177296</v>
      </c>
      <c r="Q12" s="61">
        <v>5.5526094865858298</v>
      </c>
      <c r="R12" s="61">
        <v>4.9212984575256398</v>
      </c>
      <c r="S12" s="61">
        <v>1467.2348798057701</v>
      </c>
      <c r="T12" s="61" t="s">
        <v>137</v>
      </c>
      <c r="U12" s="61" t="s">
        <v>137</v>
      </c>
      <c r="V12" s="61">
        <v>1375.8700442751399</v>
      </c>
      <c r="W12" s="61">
        <v>1139.59227835717</v>
      </c>
      <c r="X12" s="61" t="s">
        <v>137</v>
      </c>
      <c r="Y12" s="61">
        <v>564.14241688271102</v>
      </c>
      <c r="Z12" s="61">
        <v>1145.6900996853501</v>
      </c>
      <c r="AA12" s="61">
        <v>466.389387579703</v>
      </c>
      <c r="AB12" s="61">
        <v>122.865842827645</v>
      </c>
      <c r="AC12" s="61">
        <v>275.533558263874</v>
      </c>
      <c r="AD12" s="61">
        <v>245.14266583204201</v>
      </c>
      <c r="AE12" s="61">
        <v>643.92651610940197</v>
      </c>
      <c r="AF12" s="61" t="s">
        <v>137</v>
      </c>
      <c r="AG12" s="61" t="s">
        <v>137</v>
      </c>
      <c r="AH12" s="61" t="s">
        <v>137</v>
      </c>
      <c r="AI12" s="61" t="s">
        <v>137</v>
      </c>
      <c r="AJ12" s="61">
        <v>330.44384149851402</v>
      </c>
      <c r="AK12" s="61" t="s">
        <v>137</v>
      </c>
      <c r="AL12" s="61">
        <v>0.73831464120610402</v>
      </c>
      <c r="AM12" s="61">
        <v>0.48171934456021198</v>
      </c>
      <c r="AN12" s="61">
        <v>3.4144810309705802</v>
      </c>
      <c r="AO12" s="61">
        <v>1.6808925646553301</v>
      </c>
      <c r="AP12" s="61" t="s">
        <v>137</v>
      </c>
      <c r="AQ12" s="61">
        <v>10.2331602360297</v>
      </c>
      <c r="AR12" s="61">
        <v>0.64957502878201401</v>
      </c>
      <c r="AS12" s="61">
        <v>0.85009601592776596</v>
      </c>
      <c r="AT12" s="61">
        <v>0.93892783868362095</v>
      </c>
      <c r="AU12" s="61">
        <v>6884.9527014755304</v>
      </c>
      <c r="AV12" s="61" t="s">
        <v>137</v>
      </c>
      <c r="AW12" s="61">
        <v>181.837202813647</v>
      </c>
      <c r="AX12" s="61" t="s">
        <v>137</v>
      </c>
      <c r="AY12" s="61">
        <v>808.84505879319397</v>
      </c>
      <c r="AZ12" s="61" t="s">
        <v>137</v>
      </c>
      <c r="BA12" s="61">
        <v>3.3081534741976899</v>
      </c>
      <c r="BB12" s="61" t="s">
        <v>137</v>
      </c>
      <c r="BC12" s="61">
        <v>2.6716826976113999</v>
      </c>
      <c r="BD12" s="61">
        <v>58.928525440394601</v>
      </c>
      <c r="BE12" s="61">
        <v>5.1242196035125803E-10</v>
      </c>
      <c r="BF12" s="61">
        <v>266.459419382654</v>
      </c>
      <c r="BG12" s="61">
        <v>216.498278248406</v>
      </c>
      <c r="BH12" s="61">
        <v>153.726588105377</v>
      </c>
      <c r="BI12" s="61">
        <v>2555.9364760655899</v>
      </c>
      <c r="BJ12" s="61">
        <v>56.468900030708603</v>
      </c>
      <c r="BK12" s="61">
        <v>3309.9939230719501</v>
      </c>
      <c r="BL12" s="61">
        <v>895.75628852402804</v>
      </c>
      <c r="BM12" s="61">
        <v>12850.176307048599</v>
      </c>
      <c r="BN12" s="61">
        <v>8924.6824761177395</v>
      </c>
      <c r="BO12" s="61">
        <v>1083.8151479729399</v>
      </c>
      <c r="BP12" s="61">
        <v>179.80886588725599</v>
      </c>
      <c r="BQ12" s="61">
        <v>414.707362695276</v>
      </c>
      <c r="BR12" s="61">
        <v>6.5544319966829701</v>
      </c>
      <c r="BS12" s="61">
        <v>19.515166744893499</v>
      </c>
      <c r="BT12" s="55"/>
      <c r="BU12" s="55"/>
      <c r="BV12" s="55"/>
      <c r="BW12" s="55"/>
    </row>
    <row r="13" spans="1:75">
      <c r="A13" s="65">
        <v>1964</v>
      </c>
      <c r="B13" s="60">
        <v>7.3275697391760097</v>
      </c>
      <c r="C13" s="60" t="s">
        <v>137</v>
      </c>
      <c r="D13" s="60">
        <v>7.3275697391760097</v>
      </c>
      <c r="E13" s="60" t="s">
        <v>137</v>
      </c>
      <c r="F13" s="60" t="s">
        <v>137</v>
      </c>
      <c r="G13" s="60" t="s">
        <v>137</v>
      </c>
      <c r="H13" s="60">
        <v>0.75802445577682898</v>
      </c>
      <c r="I13" s="60">
        <v>1.94129963246585</v>
      </c>
      <c r="J13" s="60" t="s">
        <v>137</v>
      </c>
      <c r="K13" s="60">
        <v>18.433858542501401</v>
      </c>
      <c r="L13" s="60">
        <v>2.5557636775911101</v>
      </c>
      <c r="M13" s="60">
        <v>5.1028100739407902</v>
      </c>
      <c r="N13" s="60">
        <v>3.9774449876084299</v>
      </c>
      <c r="O13" s="60">
        <v>4.6845911367008002</v>
      </c>
      <c r="P13" s="60">
        <v>4.1388175713385804</v>
      </c>
      <c r="Q13" s="60">
        <v>5.2531145320297998</v>
      </c>
      <c r="R13" s="60">
        <v>4.6623537312661298</v>
      </c>
      <c r="S13" s="60">
        <v>1498.2353368429001</v>
      </c>
      <c r="T13" s="60" t="s">
        <v>137</v>
      </c>
      <c r="U13" s="60" t="s">
        <v>137</v>
      </c>
      <c r="V13" s="60">
        <v>1593.75062951776</v>
      </c>
      <c r="W13" s="60">
        <v>1210.0723399793401</v>
      </c>
      <c r="X13" s="60" t="s">
        <v>137</v>
      </c>
      <c r="Y13" s="60">
        <v>558.44082781776603</v>
      </c>
      <c r="Z13" s="60">
        <v>1177.4646546400099</v>
      </c>
      <c r="AA13" s="60">
        <v>449.80328956401701</v>
      </c>
      <c r="AB13" s="60">
        <v>127.061996395596</v>
      </c>
      <c r="AC13" s="60">
        <v>276.08092928787403</v>
      </c>
      <c r="AD13" s="60">
        <v>243.75539749596899</v>
      </c>
      <c r="AE13" s="60">
        <v>607.16495533630996</v>
      </c>
      <c r="AF13" s="60" t="s">
        <v>137</v>
      </c>
      <c r="AG13" s="60" t="s">
        <v>137</v>
      </c>
      <c r="AH13" s="60" t="s">
        <v>137</v>
      </c>
      <c r="AI13" s="60" t="s">
        <v>137</v>
      </c>
      <c r="AJ13" s="60">
        <v>341.245765002822</v>
      </c>
      <c r="AK13" s="60" t="s">
        <v>137</v>
      </c>
      <c r="AL13" s="60">
        <v>0.86115789423224298</v>
      </c>
      <c r="AM13" s="60">
        <v>0.424493695235024</v>
      </c>
      <c r="AN13" s="60">
        <v>4.2494008741453699</v>
      </c>
      <c r="AO13" s="60">
        <v>1.7062194481205899</v>
      </c>
      <c r="AP13" s="60" t="s">
        <v>137</v>
      </c>
      <c r="AQ13" s="60">
        <v>9.1635047183926801</v>
      </c>
      <c r="AR13" s="60">
        <v>0.63968133241869796</v>
      </c>
      <c r="AS13" s="60">
        <v>0.70095704786083801</v>
      </c>
      <c r="AT13" s="60">
        <v>0.63838292917338602</v>
      </c>
      <c r="AU13" s="60">
        <v>7521.1186502176997</v>
      </c>
      <c r="AV13" s="60" t="s">
        <v>137</v>
      </c>
      <c r="AW13" s="60">
        <v>152.893532730186</v>
      </c>
      <c r="AX13" s="60" t="s">
        <v>137</v>
      </c>
      <c r="AY13" s="60">
        <v>731.91805662786305</v>
      </c>
      <c r="AZ13" s="60" t="s">
        <v>137</v>
      </c>
      <c r="BA13" s="60">
        <v>3.2865834778994998</v>
      </c>
      <c r="BB13" s="60" t="s">
        <v>137</v>
      </c>
      <c r="BC13" s="60">
        <v>2.47878208286</v>
      </c>
      <c r="BD13" s="60">
        <v>63.168704648069102</v>
      </c>
      <c r="BE13" s="60">
        <v>5.0534963718455302E-10</v>
      </c>
      <c r="BF13" s="60">
        <v>267.835307707813</v>
      </c>
      <c r="BG13" s="60">
        <v>305.73653049665398</v>
      </c>
      <c r="BH13" s="60">
        <v>164.23863208498</v>
      </c>
      <c r="BI13" s="60">
        <v>2658.0664794526301</v>
      </c>
      <c r="BJ13" s="60">
        <v>51.747802847698203</v>
      </c>
      <c r="BK13" s="60">
        <v>4900.64495158511</v>
      </c>
      <c r="BL13" s="60">
        <v>1404.2824167963399</v>
      </c>
      <c r="BM13" s="60">
        <v>17246.277630546101</v>
      </c>
      <c r="BN13" s="60">
        <v>8801.5061809642903</v>
      </c>
      <c r="BO13" s="60">
        <v>1649.9244529378</v>
      </c>
      <c r="BP13" s="60">
        <v>177.37772265177799</v>
      </c>
      <c r="BQ13" s="60">
        <v>447.13757022786899</v>
      </c>
      <c r="BR13" s="60">
        <v>6.5341708087962704</v>
      </c>
      <c r="BS13" s="60">
        <v>19.788279765496299</v>
      </c>
      <c r="BT13" s="55"/>
      <c r="BU13" s="55"/>
      <c r="BV13" s="55"/>
      <c r="BW13" s="55"/>
    </row>
    <row r="14" spans="1:75">
      <c r="A14" s="66">
        <v>1965</v>
      </c>
      <c r="B14" s="61">
        <v>7.1075940147544996</v>
      </c>
      <c r="C14" s="61" t="s">
        <v>137</v>
      </c>
      <c r="D14" s="61">
        <v>7.1075940147544996</v>
      </c>
      <c r="E14" s="61" t="s">
        <v>137</v>
      </c>
      <c r="F14" s="61" t="s">
        <v>137</v>
      </c>
      <c r="G14" s="61" t="s">
        <v>137</v>
      </c>
      <c r="H14" s="61">
        <v>0.80085566363431004</v>
      </c>
      <c r="I14" s="61">
        <v>2.0560272611935999</v>
      </c>
      <c r="J14" s="61" t="s">
        <v>137</v>
      </c>
      <c r="K14" s="61">
        <v>19.4993858537328</v>
      </c>
      <c r="L14" s="61">
        <v>1.82849529826757</v>
      </c>
      <c r="M14" s="61">
        <v>5.0070997694786401</v>
      </c>
      <c r="N14" s="61">
        <v>3.3948976084175002</v>
      </c>
      <c r="O14" s="61">
        <v>5.0068495020837496</v>
      </c>
      <c r="P14" s="61">
        <v>4.2360304306488397</v>
      </c>
      <c r="Q14" s="61">
        <v>5.7181144436968703</v>
      </c>
      <c r="R14" s="61">
        <v>5.0664131420665601</v>
      </c>
      <c r="S14" s="61">
        <v>1752.5391439197499</v>
      </c>
      <c r="T14" s="61" t="s">
        <v>137</v>
      </c>
      <c r="U14" s="61" t="s">
        <v>137</v>
      </c>
      <c r="V14" s="61">
        <v>1621.31977765792</v>
      </c>
      <c r="W14" s="61">
        <v>1364.0657513316401</v>
      </c>
      <c r="X14" s="61" t="s">
        <v>137</v>
      </c>
      <c r="Y14" s="61">
        <v>584.96666655938998</v>
      </c>
      <c r="Z14" s="61">
        <v>1351.4439323828999</v>
      </c>
      <c r="AA14" s="61">
        <v>485.64387977574398</v>
      </c>
      <c r="AB14" s="61">
        <v>121.854204341046</v>
      </c>
      <c r="AC14" s="61">
        <v>278.66023083550698</v>
      </c>
      <c r="AD14" s="61">
        <v>239.91466698394899</v>
      </c>
      <c r="AE14" s="61">
        <v>594.58110564624997</v>
      </c>
      <c r="AF14" s="61" t="s">
        <v>137</v>
      </c>
      <c r="AG14" s="61" t="s">
        <v>137</v>
      </c>
      <c r="AH14" s="61" t="s">
        <v>137</v>
      </c>
      <c r="AI14" s="61" t="s">
        <v>137</v>
      </c>
      <c r="AJ14" s="61">
        <v>297.626328244597</v>
      </c>
      <c r="AK14" s="61" t="s">
        <v>137</v>
      </c>
      <c r="AL14" s="61">
        <v>0.797894166128162</v>
      </c>
      <c r="AM14" s="61">
        <v>0.48051339818058603</v>
      </c>
      <c r="AN14" s="61">
        <v>4.4127981290900102</v>
      </c>
      <c r="AO14" s="61">
        <v>1.7530724384790299</v>
      </c>
      <c r="AP14" s="61" t="s">
        <v>137</v>
      </c>
      <c r="AQ14" s="61">
        <v>9.94979255750372</v>
      </c>
      <c r="AR14" s="61">
        <v>0.62347128964764498</v>
      </c>
      <c r="AS14" s="61">
        <v>0.68140446257950604</v>
      </c>
      <c r="AT14" s="61">
        <v>0.22131979954393999</v>
      </c>
      <c r="AU14" s="61">
        <v>6333.8172832468299</v>
      </c>
      <c r="AV14" s="61" t="s">
        <v>137</v>
      </c>
      <c r="AW14" s="61">
        <v>175.31231011744799</v>
      </c>
      <c r="AX14" s="61" t="s">
        <v>137</v>
      </c>
      <c r="AY14" s="61">
        <v>784.58484462380397</v>
      </c>
      <c r="AZ14" s="61" t="s">
        <v>137</v>
      </c>
      <c r="BA14" s="61">
        <v>3.1930365576494801</v>
      </c>
      <c r="BB14" s="61" t="s">
        <v>137</v>
      </c>
      <c r="BC14" s="61">
        <v>2.5269915973936201</v>
      </c>
      <c r="BD14" s="61">
        <v>70.074870568002197</v>
      </c>
      <c r="BE14" s="61">
        <v>5.0053478977144396E-10</v>
      </c>
      <c r="BF14" s="61">
        <v>270.28878647658001</v>
      </c>
      <c r="BG14" s="61">
        <v>329.10162427472397</v>
      </c>
      <c r="BH14" s="61">
        <v>147.657762982576</v>
      </c>
      <c r="BI14" s="61">
        <v>2703.5477494984102</v>
      </c>
      <c r="BJ14" s="61">
        <v>53.365350836132102</v>
      </c>
      <c r="BK14" s="61">
        <v>6471.1348316973799</v>
      </c>
      <c r="BL14" s="61">
        <v>1587.5712194575799</v>
      </c>
      <c r="BM14" s="61">
        <v>19474.724177962398</v>
      </c>
      <c r="BN14" s="61">
        <v>8684.2786025345504</v>
      </c>
      <c r="BO14" s="61">
        <v>1557.91453316362</v>
      </c>
      <c r="BP14" s="61">
        <v>175.78781816773099</v>
      </c>
      <c r="BQ14" s="61">
        <v>490.73265013842001</v>
      </c>
      <c r="BR14" s="61">
        <v>6.4719148317447699</v>
      </c>
      <c r="BS14" s="61">
        <v>19.978631264704401</v>
      </c>
      <c r="BT14" s="55"/>
      <c r="BU14" s="55"/>
      <c r="BV14" s="55"/>
      <c r="BW14" s="55"/>
    </row>
    <row r="15" spans="1:75">
      <c r="A15" s="65">
        <v>1966</v>
      </c>
      <c r="B15" s="60">
        <v>6.5652246752346803</v>
      </c>
      <c r="C15" s="60" t="s">
        <v>137</v>
      </c>
      <c r="D15" s="60">
        <v>6.5652246752346803</v>
      </c>
      <c r="E15" s="60" t="s">
        <v>137</v>
      </c>
      <c r="F15" s="60" t="s">
        <v>137</v>
      </c>
      <c r="G15" s="60" t="s">
        <v>137</v>
      </c>
      <c r="H15" s="60">
        <v>0.77237937355702202</v>
      </c>
      <c r="I15" s="60">
        <v>2.0512883511608999</v>
      </c>
      <c r="J15" s="60" t="s">
        <v>137</v>
      </c>
      <c r="K15" s="60">
        <v>19.131058994965201</v>
      </c>
      <c r="L15" s="60">
        <v>2.4988081858264599</v>
      </c>
      <c r="M15" s="60">
        <v>4.48330021066716</v>
      </c>
      <c r="N15" s="60">
        <v>3.5680880987179902</v>
      </c>
      <c r="O15" s="60">
        <v>4.2206912236577701</v>
      </c>
      <c r="P15" s="60">
        <v>3.66977136050967</v>
      </c>
      <c r="Q15" s="60">
        <v>4.5797020468954903</v>
      </c>
      <c r="R15" s="60">
        <v>4.4131807147130004</v>
      </c>
      <c r="S15" s="60">
        <v>1562.66024821992</v>
      </c>
      <c r="T15" s="60" t="s">
        <v>137</v>
      </c>
      <c r="U15" s="60" t="s">
        <v>137</v>
      </c>
      <c r="V15" s="60">
        <v>1430.37418926133</v>
      </c>
      <c r="W15" s="60">
        <v>1137.5217224061</v>
      </c>
      <c r="X15" s="60" t="s">
        <v>137</v>
      </c>
      <c r="Y15" s="60">
        <v>606.61951893505795</v>
      </c>
      <c r="Z15" s="60">
        <v>1262.35753865726</v>
      </c>
      <c r="AA15" s="60">
        <v>516.70168686346096</v>
      </c>
      <c r="AB15" s="60">
        <v>125.085747600735</v>
      </c>
      <c r="AC15" s="60">
        <v>281.41964300289101</v>
      </c>
      <c r="AD15" s="60">
        <v>234.493573250064</v>
      </c>
      <c r="AE15" s="60">
        <v>700.94634993070895</v>
      </c>
      <c r="AF15" s="60" t="s">
        <v>137</v>
      </c>
      <c r="AG15" s="60" t="s">
        <v>137</v>
      </c>
      <c r="AH15" s="60" t="s">
        <v>137</v>
      </c>
      <c r="AI15" s="60" t="s">
        <v>137</v>
      </c>
      <c r="AJ15" s="60">
        <v>303.90312383002703</v>
      </c>
      <c r="AK15" s="60" t="s">
        <v>137</v>
      </c>
      <c r="AL15" s="60">
        <v>0.74240944473931403</v>
      </c>
      <c r="AM15" s="60">
        <v>0.40561985539455497</v>
      </c>
      <c r="AN15" s="60">
        <v>4.9352628284751301</v>
      </c>
      <c r="AO15" s="60">
        <v>1.7553535935181801</v>
      </c>
      <c r="AP15" s="60" t="s">
        <v>137</v>
      </c>
      <c r="AQ15" s="60">
        <v>11.174644782861501</v>
      </c>
      <c r="AR15" s="60">
        <v>0.63216561914473801</v>
      </c>
      <c r="AS15" s="60">
        <v>0.68023432924244398</v>
      </c>
      <c r="AT15" s="60">
        <v>0.192169597264682</v>
      </c>
      <c r="AU15" s="60">
        <v>7633.1357065989596</v>
      </c>
      <c r="AV15" s="60" t="s">
        <v>137</v>
      </c>
      <c r="AW15" s="60">
        <v>177.767940195233</v>
      </c>
      <c r="AX15" s="60" t="s">
        <v>137</v>
      </c>
      <c r="AY15" s="60">
        <v>777.64274494234098</v>
      </c>
      <c r="AZ15" s="60" t="s">
        <v>137</v>
      </c>
      <c r="BA15" s="60">
        <v>3.0064867115707101</v>
      </c>
      <c r="BB15" s="60" t="s">
        <v>137</v>
      </c>
      <c r="BC15" s="60">
        <v>2.2763870630974599</v>
      </c>
      <c r="BD15" s="60">
        <v>62.755824101507997</v>
      </c>
      <c r="BE15" s="60">
        <v>4.8273710847313799E-10</v>
      </c>
      <c r="BF15" s="60">
        <v>241.368554236569</v>
      </c>
      <c r="BG15" s="60">
        <v>286.021736770335</v>
      </c>
      <c r="BH15" s="60">
        <v>132.752704830113</v>
      </c>
      <c r="BI15" s="60">
        <v>2607.4168067475598</v>
      </c>
      <c r="BJ15" s="60">
        <v>45.956572726642797</v>
      </c>
      <c r="BK15" s="60">
        <v>7393.1831812139098</v>
      </c>
      <c r="BL15" s="60">
        <v>1258.2542732352399</v>
      </c>
      <c r="BM15" s="60">
        <v>17250.650799380001</v>
      </c>
      <c r="BN15" s="60">
        <v>8394.7983163478802</v>
      </c>
      <c r="BO15" s="60">
        <v>1357.01424001036</v>
      </c>
      <c r="BP15" s="60">
        <v>169.585546206614</v>
      </c>
      <c r="BQ15" s="60">
        <v>481.38946737865098</v>
      </c>
      <c r="BR15" s="60">
        <v>6.2417908125576798</v>
      </c>
      <c r="BS15" s="60">
        <v>20.715208805118099</v>
      </c>
      <c r="BT15" s="55"/>
      <c r="BU15" s="55"/>
      <c r="BV15" s="55"/>
      <c r="BW15" s="55"/>
    </row>
    <row r="16" spans="1:75">
      <c r="A16" s="66">
        <v>1967</v>
      </c>
      <c r="B16" s="61">
        <v>6.3644633930138399</v>
      </c>
      <c r="C16" s="61" t="s">
        <v>137</v>
      </c>
      <c r="D16" s="61">
        <v>6.3644633930138399</v>
      </c>
      <c r="E16" s="61" t="s">
        <v>137</v>
      </c>
      <c r="F16" s="61" t="s">
        <v>137</v>
      </c>
      <c r="G16" s="61" t="s">
        <v>137</v>
      </c>
      <c r="H16" s="61">
        <v>0.76564973149038595</v>
      </c>
      <c r="I16" s="61">
        <v>2.1851996314605202</v>
      </c>
      <c r="J16" s="61" t="s">
        <v>137</v>
      </c>
      <c r="K16" s="61">
        <v>19.685948970581901</v>
      </c>
      <c r="L16" s="61">
        <v>2.8621741577078601</v>
      </c>
      <c r="M16" s="61">
        <v>4.1355054898026298</v>
      </c>
      <c r="N16" s="61">
        <v>3.5369119161639699</v>
      </c>
      <c r="O16" s="61">
        <v>4.0011977660703604</v>
      </c>
      <c r="P16" s="61">
        <v>3.4388235720005702</v>
      </c>
      <c r="Q16" s="61">
        <v>3.8218684025332101</v>
      </c>
      <c r="R16" s="61">
        <v>4.7431981724586096</v>
      </c>
      <c r="S16" s="61">
        <v>1561.7260642894801</v>
      </c>
      <c r="T16" s="61" t="s">
        <v>137</v>
      </c>
      <c r="U16" s="61" t="s">
        <v>137</v>
      </c>
      <c r="V16" s="61">
        <v>1354.0196480686</v>
      </c>
      <c r="W16" s="61">
        <v>1069.2816908935599</v>
      </c>
      <c r="X16" s="61" t="s">
        <v>137</v>
      </c>
      <c r="Y16" s="61">
        <v>548.99478403271598</v>
      </c>
      <c r="Z16" s="61">
        <v>1037.6148965302</v>
      </c>
      <c r="AA16" s="61">
        <v>473.22736268731302</v>
      </c>
      <c r="AB16" s="61">
        <v>125.61596006609901</v>
      </c>
      <c r="AC16" s="61">
        <v>258.89727873724098</v>
      </c>
      <c r="AD16" s="61">
        <v>248.34566837514001</v>
      </c>
      <c r="AE16" s="61">
        <v>906.210261363163</v>
      </c>
      <c r="AF16" s="61" t="s">
        <v>137</v>
      </c>
      <c r="AG16" s="61" t="s">
        <v>137</v>
      </c>
      <c r="AH16" s="61" t="s">
        <v>137</v>
      </c>
      <c r="AI16" s="61" t="s">
        <v>137</v>
      </c>
      <c r="AJ16" s="61">
        <v>314.44277410145799</v>
      </c>
      <c r="AK16" s="61" t="s">
        <v>137</v>
      </c>
      <c r="AL16" s="61">
        <v>0.75906992911039095</v>
      </c>
      <c r="AM16" s="61">
        <v>0.76090429825875305</v>
      </c>
      <c r="AN16" s="61">
        <v>4.98214660695223</v>
      </c>
      <c r="AO16" s="61">
        <v>1.7808721651363899</v>
      </c>
      <c r="AP16" s="61" t="s">
        <v>137</v>
      </c>
      <c r="AQ16" s="61">
        <v>10.9717836217492</v>
      </c>
      <c r="AR16" s="61">
        <v>0.61927278711218903</v>
      </c>
      <c r="AS16" s="61">
        <v>0.70419861226130598</v>
      </c>
      <c r="AT16" s="61">
        <v>0.201262197647499</v>
      </c>
      <c r="AU16" s="61">
        <v>6218.1764411909598</v>
      </c>
      <c r="AV16" s="61" t="s">
        <v>137</v>
      </c>
      <c r="AW16" s="61">
        <v>188.20228686296201</v>
      </c>
      <c r="AX16" s="61" t="s">
        <v>137</v>
      </c>
      <c r="AY16" s="61">
        <v>798.59581250122005</v>
      </c>
      <c r="AZ16" s="61" t="s">
        <v>137</v>
      </c>
      <c r="BA16" s="61">
        <v>3.2374222813185201</v>
      </c>
      <c r="BB16" s="61" t="s">
        <v>137</v>
      </c>
      <c r="BC16" s="61">
        <v>1.86686938436054</v>
      </c>
      <c r="BD16" s="61">
        <v>57.423729861779002</v>
      </c>
      <c r="BE16" s="61">
        <v>327.79379129432198</v>
      </c>
      <c r="BF16" s="61">
        <v>215.33898698167101</v>
      </c>
      <c r="BG16" s="61">
        <v>235.67655797438499</v>
      </c>
      <c r="BH16" s="61">
        <v>122.02542595628</v>
      </c>
      <c r="BI16" s="61">
        <v>2584.6987197184799</v>
      </c>
      <c r="BJ16" s="61">
        <v>42.397853881280099</v>
      </c>
      <c r="BK16" s="61">
        <v>5430.2391245479603</v>
      </c>
      <c r="BL16" s="61">
        <v>1089.4956413567099</v>
      </c>
      <c r="BM16" s="61">
        <v>15829.9278313343</v>
      </c>
      <c r="BN16" s="61">
        <v>9262.9261577871293</v>
      </c>
      <c r="BO16" s="61">
        <v>1307.9849579627401</v>
      </c>
      <c r="BP16" s="61">
        <v>167.24661322243099</v>
      </c>
      <c r="BQ16" s="61">
        <v>527.57254258705802</v>
      </c>
      <c r="BR16" s="61">
        <v>7.4133237699752996</v>
      </c>
      <c r="BS16" s="61">
        <v>20.8972841521866</v>
      </c>
      <c r="BT16" s="55"/>
      <c r="BU16" s="55"/>
      <c r="BV16" s="55"/>
      <c r="BW16" s="55"/>
    </row>
    <row r="17" spans="1:75">
      <c r="A17" s="65">
        <v>1968</v>
      </c>
      <c r="B17" s="60">
        <v>6.37212983184543</v>
      </c>
      <c r="C17" s="60" t="s">
        <v>137</v>
      </c>
      <c r="D17" s="60">
        <v>6.37212983184543</v>
      </c>
      <c r="E17" s="60" t="s">
        <v>137</v>
      </c>
      <c r="F17" s="60" t="s">
        <v>137</v>
      </c>
      <c r="G17" s="60" t="s">
        <v>137</v>
      </c>
      <c r="H17" s="60">
        <v>0.77237937355702202</v>
      </c>
      <c r="I17" s="60">
        <v>2.1810153188563501</v>
      </c>
      <c r="J17" s="60" t="s">
        <v>137</v>
      </c>
      <c r="K17" s="60">
        <v>19.747777417586398</v>
      </c>
      <c r="L17" s="60">
        <v>3.4799713587981098</v>
      </c>
      <c r="M17" s="60">
        <v>4.1853307304621099</v>
      </c>
      <c r="N17" s="60">
        <v>3.6026756091187102</v>
      </c>
      <c r="O17" s="60">
        <v>3.6142527311383899</v>
      </c>
      <c r="P17" s="60">
        <v>3.2683295947889501</v>
      </c>
      <c r="Q17" s="60">
        <v>3.5400724506277599</v>
      </c>
      <c r="R17" s="60">
        <v>4.03471530440717</v>
      </c>
      <c r="S17" s="60">
        <v>1927.40836176375</v>
      </c>
      <c r="T17" s="60" t="s">
        <v>137</v>
      </c>
      <c r="U17" s="60" t="s">
        <v>137</v>
      </c>
      <c r="V17" s="60">
        <v>1306.9342878155101</v>
      </c>
      <c r="W17" s="60">
        <v>815.00908304443703</v>
      </c>
      <c r="X17" s="60" t="s">
        <v>137</v>
      </c>
      <c r="Y17" s="60">
        <v>534.87673899747494</v>
      </c>
      <c r="Z17" s="60">
        <v>859.67433400591403</v>
      </c>
      <c r="AA17" s="60">
        <v>465.43902875285102</v>
      </c>
      <c r="AB17" s="60">
        <v>121.475424055717</v>
      </c>
      <c r="AC17" s="60">
        <v>231.53680846066601</v>
      </c>
      <c r="AD17" s="60">
        <v>253.75880668738</v>
      </c>
      <c r="AE17" s="60">
        <v>882.99053634516702</v>
      </c>
      <c r="AF17" s="60" t="s">
        <v>137</v>
      </c>
      <c r="AG17" s="60" t="s">
        <v>137</v>
      </c>
      <c r="AH17" s="60" t="s">
        <v>137</v>
      </c>
      <c r="AI17" s="60" t="s">
        <v>137</v>
      </c>
      <c r="AJ17" s="60">
        <v>303.02212860706402</v>
      </c>
      <c r="AK17" s="60" t="s">
        <v>137</v>
      </c>
      <c r="AL17" s="60">
        <v>0.73899005688762998</v>
      </c>
      <c r="AM17" s="60">
        <v>0.81103857032724602</v>
      </c>
      <c r="AN17" s="60">
        <v>5.2387033292428704</v>
      </c>
      <c r="AO17" s="60">
        <v>1.85322624666366</v>
      </c>
      <c r="AP17" s="60" t="s">
        <v>137</v>
      </c>
      <c r="AQ17" s="60">
        <v>12.451747043759999</v>
      </c>
      <c r="AR17" s="60">
        <v>0.54170420899776395</v>
      </c>
      <c r="AS17" s="60">
        <v>0.73788130629688897</v>
      </c>
      <c r="AT17" s="60">
        <v>0.20242776081973601</v>
      </c>
      <c r="AU17" s="60">
        <v>5814.4196276171797</v>
      </c>
      <c r="AV17" s="60" t="s">
        <v>137</v>
      </c>
      <c r="AW17" s="60">
        <v>193.328166325018</v>
      </c>
      <c r="AX17" s="60" t="s">
        <v>137</v>
      </c>
      <c r="AY17" s="60">
        <v>813.57682867062704</v>
      </c>
      <c r="AZ17" s="60" t="s">
        <v>137</v>
      </c>
      <c r="BA17" s="60">
        <v>3.3044159636833799</v>
      </c>
      <c r="BB17" s="60" t="s">
        <v>137</v>
      </c>
      <c r="BC17" s="60">
        <v>1.8446189476606101</v>
      </c>
      <c r="BD17" s="60">
        <v>55.514767474411002</v>
      </c>
      <c r="BE17" s="60">
        <v>292.055950626249</v>
      </c>
      <c r="BF17" s="60">
        <v>181.026415677427</v>
      </c>
      <c r="BG17" s="60">
        <v>171.371673507964</v>
      </c>
      <c r="BH17" s="60">
        <v>115.856906033553</v>
      </c>
      <c r="BI17" s="60">
        <v>2669.4980049542801</v>
      </c>
      <c r="BJ17" s="60">
        <v>42.336044413094299</v>
      </c>
      <c r="BK17" s="60">
        <v>5995.3655871098599</v>
      </c>
      <c r="BL17" s="60">
        <v>1160.9425177855301</v>
      </c>
      <c r="BM17" s="60">
        <v>15094.626188661799</v>
      </c>
      <c r="BN17" s="60">
        <v>10014.381315275299</v>
      </c>
      <c r="BO17" s="60">
        <v>1269.0756300835101</v>
      </c>
      <c r="BP17" s="60">
        <v>187.90541947316899</v>
      </c>
      <c r="BQ17" s="60">
        <v>565.80811922289104</v>
      </c>
      <c r="BR17" s="60">
        <v>10.3529409406844</v>
      </c>
      <c r="BS17" s="60">
        <v>20.715208805118099</v>
      </c>
      <c r="BT17" s="55"/>
      <c r="BU17" s="55"/>
      <c r="BV17" s="55"/>
      <c r="BW17" s="55"/>
    </row>
    <row r="18" spans="1:75">
      <c r="A18" s="66">
        <v>1969</v>
      </c>
      <c r="B18" s="61">
        <v>5.8192246787466697</v>
      </c>
      <c r="C18" s="61" t="s">
        <v>137</v>
      </c>
      <c r="D18" s="61">
        <v>5.8192246787466697</v>
      </c>
      <c r="E18" s="61" t="s">
        <v>137</v>
      </c>
      <c r="F18" s="61" t="s">
        <v>137</v>
      </c>
      <c r="G18" s="61" t="s">
        <v>137</v>
      </c>
      <c r="H18" s="61">
        <v>0.77895133495034197</v>
      </c>
      <c r="I18" s="61">
        <v>2.0702689909809502</v>
      </c>
      <c r="J18" s="61" t="s">
        <v>137</v>
      </c>
      <c r="K18" s="61">
        <v>19.301098210975798</v>
      </c>
      <c r="L18" s="61">
        <v>4.11339762298336</v>
      </c>
      <c r="M18" s="61">
        <v>4.0172124066725798</v>
      </c>
      <c r="N18" s="61">
        <v>3.3436750667094</v>
      </c>
      <c r="O18" s="61">
        <v>3.3274968202408099</v>
      </c>
      <c r="P18" s="61">
        <v>2.7327496059461902</v>
      </c>
      <c r="Q18" s="61">
        <v>3.9527963387188598</v>
      </c>
      <c r="R18" s="61">
        <v>3.29725380555803</v>
      </c>
      <c r="S18" s="61">
        <v>1655.3479545474099</v>
      </c>
      <c r="T18" s="61" t="s">
        <v>137</v>
      </c>
      <c r="U18" s="61" t="s">
        <v>137</v>
      </c>
      <c r="V18" s="61">
        <v>1519.0696548200699</v>
      </c>
      <c r="W18" s="61">
        <v>829.87718766716898</v>
      </c>
      <c r="X18" s="61" t="s">
        <v>137</v>
      </c>
      <c r="Y18" s="61">
        <v>489.12034412646602</v>
      </c>
      <c r="Z18" s="61">
        <v>903.43081298652396</v>
      </c>
      <c r="AA18" s="61">
        <v>433.76897867822998</v>
      </c>
      <c r="AB18" s="61">
        <v>117.151940213031</v>
      </c>
      <c r="AC18" s="61">
        <v>239.58099294178601</v>
      </c>
      <c r="AD18" s="61">
        <v>246.32426773356201</v>
      </c>
      <c r="AE18" s="61">
        <v>771.48638465706802</v>
      </c>
      <c r="AF18" s="61" t="s">
        <v>137</v>
      </c>
      <c r="AG18" s="61" t="s">
        <v>137</v>
      </c>
      <c r="AH18" s="61" t="s">
        <v>137</v>
      </c>
      <c r="AI18" s="61" t="s">
        <v>137</v>
      </c>
      <c r="AJ18" s="61">
        <v>267.56596516654599</v>
      </c>
      <c r="AK18" s="61" t="s">
        <v>137</v>
      </c>
      <c r="AL18" s="61">
        <v>0.73087781873943602</v>
      </c>
      <c r="AM18" s="61">
        <v>0.779104070506215</v>
      </c>
      <c r="AN18" s="61">
        <v>5.6032566027427899</v>
      </c>
      <c r="AO18" s="61">
        <v>1.8359768247583099</v>
      </c>
      <c r="AP18" s="61" t="s">
        <v>137</v>
      </c>
      <c r="AQ18" s="61">
        <v>13.1322305863276</v>
      </c>
      <c r="AR18" s="61">
        <v>0.51417733603390303</v>
      </c>
      <c r="AS18" s="61">
        <v>0.72143087259504801</v>
      </c>
      <c r="AT18" s="61">
        <v>0.32345572344923301</v>
      </c>
      <c r="AU18" s="61">
        <v>5097.0107844141103</v>
      </c>
      <c r="AV18" s="61" t="s">
        <v>137</v>
      </c>
      <c r="AW18" s="61">
        <v>178.19657303658099</v>
      </c>
      <c r="AX18" s="61" t="s">
        <v>137</v>
      </c>
      <c r="AY18" s="61">
        <v>760.20203005919097</v>
      </c>
      <c r="AZ18" s="61" t="s">
        <v>137</v>
      </c>
      <c r="BA18" s="61">
        <v>2.8729176220749402</v>
      </c>
      <c r="BB18" s="61" t="s">
        <v>137</v>
      </c>
      <c r="BC18" s="61">
        <v>2.30111388477683</v>
      </c>
      <c r="BD18" s="61">
        <v>51.548250107007902</v>
      </c>
      <c r="BE18" s="61">
        <v>265.75986721835199</v>
      </c>
      <c r="BF18" s="61">
        <v>179.846117040005</v>
      </c>
      <c r="BG18" s="61">
        <v>121.882973586348</v>
      </c>
      <c r="BH18" s="61">
        <v>100.805466875927</v>
      </c>
      <c r="BI18" s="61">
        <v>2696.3165389739602</v>
      </c>
      <c r="BJ18" s="61">
        <v>45.087536093596299</v>
      </c>
      <c r="BK18" s="61">
        <v>6723.4497166237297</v>
      </c>
      <c r="BL18" s="61">
        <v>1328.30294553517</v>
      </c>
      <c r="BM18" s="61">
        <v>15704.804429267901</v>
      </c>
      <c r="BN18" s="61">
        <v>10829.2563824802</v>
      </c>
      <c r="BO18" s="61">
        <v>1312.34207994649</v>
      </c>
      <c r="BP18" s="61">
        <v>188.24657261299899</v>
      </c>
      <c r="BQ18" s="61">
        <v>569.035405347915</v>
      </c>
      <c r="BR18" s="61">
        <v>8.2049540614769398</v>
      </c>
      <c r="BS18" s="61">
        <v>21.824213191808401</v>
      </c>
      <c r="BT18" s="55"/>
      <c r="BU18" s="55"/>
      <c r="BV18" s="55"/>
      <c r="BW18" s="55"/>
    </row>
    <row r="19" spans="1:75">
      <c r="A19" s="65">
        <v>1970</v>
      </c>
      <c r="B19" s="60">
        <v>5.2122356108199703</v>
      </c>
      <c r="C19" s="60" t="s">
        <v>137</v>
      </c>
      <c r="D19" s="60">
        <v>5.2122356108199703</v>
      </c>
      <c r="E19" s="60" t="s">
        <v>137</v>
      </c>
      <c r="F19" s="60">
        <v>33.599535342475797</v>
      </c>
      <c r="G19" s="60" t="s">
        <v>137</v>
      </c>
      <c r="H19" s="60">
        <v>0.732297565156525</v>
      </c>
      <c r="I19" s="60">
        <v>1.92645094068987</v>
      </c>
      <c r="J19" s="60" t="s">
        <v>137</v>
      </c>
      <c r="K19" s="60">
        <v>18.050857043520299</v>
      </c>
      <c r="L19" s="60">
        <v>2.9076520969450201</v>
      </c>
      <c r="M19" s="60">
        <v>4.9392034892228898</v>
      </c>
      <c r="N19" s="60">
        <v>3.93525974740521</v>
      </c>
      <c r="O19" s="60">
        <v>3.5968733347394002</v>
      </c>
      <c r="P19" s="60">
        <v>2.6993401469809601</v>
      </c>
      <c r="Q19" s="60">
        <v>4.2674283075979398</v>
      </c>
      <c r="R19" s="60">
        <v>3.8234530936112101</v>
      </c>
      <c r="S19" s="60">
        <v>1710.9199289456001</v>
      </c>
      <c r="T19" s="60" t="s">
        <v>137</v>
      </c>
      <c r="U19" s="60" t="s">
        <v>137</v>
      </c>
      <c r="V19" s="60">
        <v>1630.6364238244</v>
      </c>
      <c r="W19" s="60">
        <v>1120.1819445829401</v>
      </c>
      <c r="X19" s="60" t="s">
        <v>137</v>
      </c>
      <c r="Y19" s="60">
        <v>503.63406074245302</v>
      </c>
      <c r="Z19" s="60">
        <v>1233.4188401361901</v>
      </c>
      <c r="AA19" s="60">
        <v>441.891324856707</v>
      </c>
      <c r="AB19" s="60">
        <v>113.54345042438</v>
      </c>
      <c r="AC19" s="60">
        <v>251.565751794947</v>
      </c>
      <c r="AD19" s="60">
        <v>223.13537573592899</v>
      </c>
      <c r="AE19" s="60">
        <v>544.089911523404</v>
      </c>
      <c r="AF19" s="60" t="s">
        <v>137</v>
      </c>
      <c r="AG19" s="60" t="s">
        <v>137</v>
      </c>
      <c r="AH19" s="60" t="s">
        <v>137</v>
      </c>
      <c r="AI19" s="60" t="s">
        <v>137</v>
      </c>
      <c r="AJ19" s="60">
        <v>236.499806300036</v>
      </c>
      <c r="AK19" s="60" t="s">
        <v>137</v>
      </c>
      <c r="AL19" s="60">
        <v>0.71542600360635</v>
      </c>
      <c r="AM19" s="60">
        <v>0.723861784381437</v>
      </c>
      <c r="AN19" s="60">
        <v>5.6184094809055596</v>
      </c>
      <c r="AO19" s="60">
        <v>1.8090852840437499</v>
      </c>
      <c r="AP19" s="60" t="s">
        <v>137</v>
      </c>
      <c r="AQ19" s="60">
        <v>11.775899670813301</v>
      </c>
      <c r="AR19" s="60">
        <v>0.483381688100322</v>
      </c>
      <c r="AS19" s="60">
        <v>0.71225199621854896</v>
      </c>
      <c r="AT19" s="60">
        <v>0.35426689561420299</v>
      </c>
      <c r="AU19" s="60">
        <v>4634.91590243062</v>
      </c>
      <c r="AV19" s="60">
        <v>185.18513132987599</v>
      </c>
      <c r="AW19" s="60">
        <v>185.79537930084001</v>
      </c>
      <c r="AX19" s="60">
        <v>753.83572883759905</v>
      </c>
      <c r="AY19" s="60">
        <v>755.58636982932501</v>
      </c>
      <c r="AZ19" s="60" t="s">
        <v>137</v>
      </c>
      <c r="BA19" s="60">
        <v>2.91318022562317</v>
      </c>
      <c r="BB19" s="60" t="s">
        <v>137</v>
      </c>
      <c r="BC19" s="60">
        <v>1.7539244624288099</v>
      </c>
      <c r="BD19" s="60">
        <v>47.383960098363403</v>
      </c>
      <c r="BE19" s="60">
        <v>232.612167755602</v>
      </c>
      <c r="BF19" s="60">
        <v>183.074391289131</v>
      </c>
      <c r="BG19" s="60">
        <v>78.614297435921003</v>
      </c>
      <c r="BH19" s="60">
        <v>135.69043119076801</v>
      </c>
      <c r="BI19" s="60">
        <v>2645.6207396815898</v>
      </c>
      <c r="BJ19" s="60">
        <v>42.387106124354098</v>
      </c>
      <c r="BK19" s="60">
        <v>6098.3156646593598</v>
      </c>
      <c r="BL19" s="60">
        <v>1304.81785273895</v>
      </c>
      <c r="BM19" s="60">
        <v>15823.8734748484</v>
      </c>
      <c r="BN19" s="60">
        <v>12260.384293814701</v>
      </c>
      <c r="BO19" s="60">
        <v>1274.2695572512901</v>
      </c>
      <c r="BP19" s="60">
        <v>154.823499927455</v>
      </c>
      <c r="BQ19" s="60">
        <v>570.76133754846796</v>
      </c>
      <c r="BR19" s="60">
        <v>7.6280996370471303</v>
      </c>
      <c r="BS19" s="60">
        <v>23.214606751241</v>
      </c>
      <c r="BT19" s="55"/>
      <c r="BU19" s="55"/>
      <c r="BV19" s="55"/>
      <c r="BW19" s="55"/>
    </row>
    <row r="20" spans="1:75">
      <c r="A20" s="66">
        <v>1971</v>
      </c>
      <c r="B20" s="61">
        <v>6.9220737641998999</v>
      </c>
      <c r="C20" s="61" t="s">
        <v>137</v>
      </c>
      <c r="D20" s="61">
        <v>6.9220737641998999</v>
      </c>
      <c r="E20" s="61" t="s">
        <v>137</v>
      </c>
      <c r="F20" s="61">
        <v>35.552426197192403</v>
      </c>
      <c r="G20" s="61" t="s">
        <v>137</v>
      </c>
      <c r="H20" s="61">
        <v>0.737262294411823</v>
      </c>
      <c r="I20" s="61">
        <v>2.0571401524895299</v>
      </c>
      <c r="J20" s="61" t="s">
        <v>137</v>
      </c>
      <c r="K20" s="61">
        <v>18.7324385071054</v>
      </c>
      <c r="L20" s="61">
        <v>2.2035950799642299</v>
      </c>
      <c r="M20" s="61">
        <v>4.0626224348318196</v>
      </c>
      <c r="N20" s="61">
        <v>3.8156494305002999</v>
      </c>
      <c r="O20" s="61">
        <v>3.4843493889093602</v>
      </c>
      <c r="P20" s="61">
        <v>2.7718310847960801</v>
      </c>
      <c r="Q20" s="61">
        <v>3.9886274118457998</v>
      </c>
      <c r="R20" s="61">
        <v>3.6928632763154599</v>
      </c>
      <c r="S20" s="61">
        <v>1497.16127186318</v>
      </c>
      <c r="T20" s="61" t="s">
        <v>137</v>
      </c>
      <c r="U20" s="61" t="s">
        <v>137</v>
      </c>
      <c r="V20" s="61">
        <v>1804.7156991792499</v>
      </c>
      <c r="W20" s="61">
        <v>1068.7913993017301</v>
      </c>
      <c r="X20" s="61" t="s">
        <v>137</v>
      </c>
      <c r="Y20" s="61">
        <v>514.37698040676696</v>
      </c>
      <c r="Z20" s="61">
        <v>1244.1301218199501</v>
      </c>
      <c r="AA20" s="61">
        <v>418.80594224227201</v>
      </c>
      <c r="AB20" s="61">
        <v>116.25377379811</v>
      </c>
      <c r="AC20" s="61">
        <v>239.20065552028001</v>
      </c>
      <c r="AD20" s="61">
        <v>228.428434218597</v>
      </c>
      <c r="AE20" s="61">
        <v>456.84662868310397</v>
      </c>
      <c r="AF20" s="61" t="s">
        <v>137</v>
      </c>
      <c r="AG20" s="61" t="s">
        <v>137</v>
      </c>
      <c r="AH20" s="61" t="s">
        <v>137</v>
      </c>
      <c r="AI20" s="61" t="s">
        <v>137</v>
      </c>
      <c r="AJ20" s="61">
        <v>252.83318146417301</v>
      </c>
      <c r="AK20" s="61" t="s">
        <v>137</v>
      </c>
      <c r="AL20" s="61">
        <v>0.57410887925957699</v>
      </c>
      <c r="AM20" s="61">
        <v>0.62670708276368003</v>
      </c>
      <c r="AN20" s="61">
        <v>5.5125033488144801</v>
      </c>
      <c r="AO20" s="61">
        <v>1.8024716406041801</v>
      </c>
      <c r="AP20" s="61">
        <v>3.2634437606948499</v>
      </c>
      <c r="AQ20" s="61">
        <v>13.544859995884901</v>
      </c>
      <c r="AR20" s="61">
        <v>0.46624418074724</v>
      </c>
      <c r="AS20" s="61">
        <v>0.71637259533791497</v>
      </c>
      <c r="AT20" s="61">
        <v>0.40590385209006502</v>
      </c>
      <c r="AU20" s="61">
        <v>4270.5781873750302</v>
      </c>
      <c r="AV20" s="61">
        <v>181.98090967065201</v>
      </c>
      <c r="AW20" s="61">
        <v>177.209184265153</v>
      </c>
      <c r="AX20" s="61" t="s">
        <v>137</v>
      </c>
      <c r="AY20" s="61">
        <v>719.74772716392397</v>
      </c>
      <c r="AZ20" s="61" t="s">
        <v>137</v>
      </c>
      <c r="BA20" s="61">
        <v>3.2079101610185599</v>
      </c>
      <c r="BB20" s="61" t="s">
        <v>137</v>
      </c>
      <c r="BC20" s="61">
        <v>1.3620920889258401</v>
      </c>
      <c r="BD20" s="61">
        <v>46.078893400738998</v>
      </c>
      <c r="BE20" s="61">
        <v>252.921925999612</v>
      </c>
      <c r="BF20" s="61">
        <v>177.147745740619</v>
      </c>
      <c r="BG20" s="61">
        <v>65.534426169939806</v>
      </c>
      <c r="BH20" s="61">
        <v>133.11680315768999</v>
      </c>
      <c r="BI20" s="61">
        <v>2572.0186488218701</v>
      </c>
      <c r="BJ20" s="61">
        <v>42.310663895967402</v>
      </c>
      <c r="BK20" s="61">
        <v>4429.3762937880701</v>
      </c>
      <c r="BL20" s="61">
        <v>1038.82305233444</v>
      </c>
      <c r="BM20" s="61">
        <v>14384.6700142473</v>
      </c>
      <c r="BN20" s="61">
        <v>12009.593185805001</v>
      </c>
      <c r="BO20" s="61">
        <v>1266.7941108703901</v>
      </c>
      <c r="BP20" s="61">
        <v>167.12985299016199</v>
      </c>
      <c r="BQ20" s="61">
        <v>503.96656374956302</v>
      </c>
      <c r="BR20" s="61">
        <v>6.3307962305843404</v>
      </c>
      <c r="BS20" s="61">
        <v>24.4146488114656</v>
      </c>
      <c r="BT20" s="55"/>
      <c r="BU20" s="55"/>
      <c r="BV20" s="55"/>
      <c r="BW20" s="55"/>
    </row>
    <row r="21" spans="1:75">
      <c r="A21" s="65">
        <v>1972</v>
      </c>
      <c r="B21" s="60">
        <v>6.8337153143724203</v>
      </c>
      <c r="C21" s="60" t="s">
        <v>137</v>
      </c>
      <c r="D21" s="60">
        <v>6.8337153143724203</v>
      </c>
      <c r="E21" s="60" t="s">
        <v>137</v>
      </c>
      <c r="F21" s="60">
        <v>36.045970888997402</v>
      </c>
      <c r="G21" s="60" t="s">
        <v>137</v>
      </c>
      <c r="H21" s="60">
        <v>0.71340984051140599</v>
      </c>
      <c r="I21" s="60">
        <v>2.0357186841682702</v>
      </c>
      <c r="J21" s="60" t="s">
        <v>137</v>
      </c>
      <c r="K21" s="60">
        <v>18.340952194109601</v>
      </c>
      <c r="L21" s="60">
        <v>2.41808388047024</v>
      </c>
      <c r="M21" s="60">
        <v>4.16628217868133</v>
      </c>
      <c r="N21" s="60">
        <v>3.7400675160813202</v>
      </c>
      <c r="O21" s="60">
        <v>2.9371521192528598</v>
      </c>
      <c r="P21" s="60">
        <v>2.62696874856662</v>
      </c>
      <c r="Q21" s="60">
        <v>3.1408324122434701</v>
      </c>
      <c r="R21" s="60">
        <v>3.0436305405031199</v>
      </c>
      <c r="S21" s="60">
        <v>878.84582773736702</v>
      </c>
      <c r="T21" s="60" t="s">
        <v>137</v>
      </c>
      <c r="U21" s="60" t="s">
        <v>137</v>
      </c>
      <c r="V21" s="60">
        <v>1599.2927679474999</v>
      </c>
      <c r="W21" s="60">
        <v>815.75912070056404</v>
      </c>
      <c r="X21" s="60" t="s">
        <v>137</v>
      </c>
      <c r="Y21" s="60">
        <v>525.67040879787805</v>
      </c>
      <c r="Z21" s="60">
        <v>903.33956559492503</v>
      </c>
      <c r="AA21" s="60">
        <v>487.49672434946098</v>
      </c>
      <c r="AB21" s="60">
        <v>112.893088732141</v>
      </c>
      <c r="AC21" s="60">
        <v>209.33885333216901</v>
      </c>
      <c r="AD21" s="60">
        <v>211.16305481031901</v>
      </c>
      <c r="AE21" s="60">
        <v>486.05425971579501</v>
      </c>
      <c r="AF21" s="60" t="s">
        <v>137</v>
      </c>
      <c r="AG21" s="60" t="s">
        <v>137</v>
      </c>
      <c r="AH21" s="60" t="s">
        <v>137</v>
      </c>
      <c r="AI21" s="60" t="s">
        <v>137</v>
      </c>
      <c r="AJ21" s="60">
        <v>262.13118153001301</v>
      </c>
      <c r="AK21" s="60" t="s">
        <v>137</v>
      </c>
      <c r="AL21" s="60">
        <v>0.51102673312422298</v>
      </c>
      <c r="AM21" s="60">
        <v>0.58192965850136602</v>
      </c>
      <c r="AN21" s="60">
        <v>5.5580884556895702</v>
      </c>
      <c r="AO21" s="60">
        <v>1.7746024730716099</v>
      </c>
      <c r="AP21" s="60">
        <v>4.0104897402643802</v>
      </c>
      <c r="AQ21" s="60">
        <v>15.479639562316001</v>
      </c>
      <c r="AR21" s="60">
        <v>0.56330987819016198</v>
      </c>
      <c r="AS21" s="60">
        <v>0.70637927414490098</v>
      </c>
      <c r="AT21" s="60">
        <v>0.60179874835771396</v>
      </c>
      <c r="AU21" s="60">
        <v>4031.3006562698301</v>
      </c>
      <c r="AV21" s="60">
        <v>197.051307526519</v>
      </c>
      <c r="AW21" s="60">
        <v>154.381263688563</v>
      </c>
      <c r="AX21" s="60" t="s">
        <v>137</v>
      </c>
      <c r="AY21" s="60">
        <v>641.80066629375006</v>
      </c>
      <c r="AZ21" s="60" t="s">
        <v>137</v>
      </c>
      <c r="BA21" s="60">
        <v>3.1051789106364698</v>
      </c>
      <c r="BB21" s="60" t="s">
        <v>137</v>
      </c>
      <c r="BC21" s="60">
        <v>1.2457449991351099</v>
      </c>
      <c r="BD21" s="60">
        <v>43.180069294111398</v>
      </c>
      <c r="BE21" s="60">
        <v>341.68576571862098</v>
      </c>
      <c r="BF21" s="60">
        <v>253.44823281326299</v>
      </c>
      <c r="BG21" s="60">
        <v>109.827567552414</v>
      </c>
      <c r="BH21" s="60">
        <v>125.785419248064</v>
      </c>
      <c r="BI21" s="60">
        <v>2215.7132095981501</v>
      </c>
      <c r="BJ21" s="60">
        <v>38.786966592014899</v>
      </c>
      <c r="BK21" s="60">
        <v>3971.3460687521101</v>
      </c>
      <c r="BL21" s="60">
        <v>1132.6632814330001</v>
      </c>
      <c r="BM21" s="60">
        <v>14042.7530426455</v>
      </c>
      <c r="BN21" s="60">
        <v>11564.3735146899</v>
      </c>
      <c r="BO21" s="60">
        <v>1418.1523772587</v>
      </c>
      <c r="BP21" s="60">
        <v>218.37537797864701</v>
      </c>
      <c r="BQ21" s="60">
        <v>477.32750513164501</v>
      </c>
      <c r="BR21" s="60">
        <v>6.3251917736710404</v>
      </c>
      <c r="BS21" s="60">
        <v>26.6326575848462</v>
      </c>
      <c r="BT21" s="55"/>
      <c r="BU21" s="55"/>
      <c r="BV21" s="55"/>
      <c r="BW21" s="55"/>
    </row>
    <row r="22" spans="1:75">
      <c r="A22" s="66">
        <v>1973</v>
      </c>
      <c r="B22" s="61">
        <v>9.0897023938691195</v>
      </c>
      <c r="C22" s="61" t="s">
        <v>137</v>
      </c>
      <c r="D22" s="61">
        <v>9.0897023938691195</v>
      </c>
      <c r="E22" s="61" t="s">
        <v>137</v>
      </c>
      <c r="F22" s="61">
        <v>37.168222077156699</v>
      </c>
      <c r="G22" s="61" t="s">
        <v>137</v>
      </c>
      <c r="H22" s="61">
        <v>0.67990650141140396</v>
      </c>
      <c r="I22" s="61">
        <v>2.24533205063064</v>
      </c>
      <c r="J22" s="61" t="s">
        <v>137</v>
      </c>
      <c r="K22" s="61">
        <v>18.930604808224999</v>
      </c>
      <c r="L22" s="61">
        <v>3.66178215760142</v>
      </c>
      <c r="M22" s="61">
        <v>4.4467504017309203</v>
      </c>
      <c r="N22" s="61">
        <v>3.5609601175671202</v>
      </c>
      <c r="O22" s="61">
        <v>2.5521045982145298</v>
      </c>
      <c r="P22" s="61">
        <v>2.1420083076432199</v>
      </c>
      <c r="Q22" s="61">
        <v>2.8035609219119402</v>
      </c>
      <c r="R22" s="61">
        <v>2.71070258356001</v>
      </c>
      <c r="S22" s="61">
        <v>1660.9144534478601</v>
      </c>
      <c r="T22" s="61" t="s">
        <v>137</v>
      </c>
      <c r="U22" s="61" t="s">
        <v>137</v>
      </c>
      <c r="V22" s="61">
        <v>1768.3019080874501</v>
      </c>
      <c r="W22" s="61">
        <v>1222.3369874540899</v>
      </c>
      <c r="X22" s="61" t="s">
        <v>137</v>
      </c>
      <c r="Y22" s="61">
        <v>939.99771861798797</v>
      </c>
      <c r="Z22" s="61">
        <v>1411.61540293034</v>
      </c>
      <c r="AA22" s="61">
        <v>976.69108536082604</v>
      </c>
      <c r="AB22" s="61">
        <v>165.21466170310001</v>
      </c>
      <c r="AC22" s="61">
        <v>316.71231974079001</v>
      </c>
      <c r="AD22" s="61">
        <v>302.36953021101601</v>
      </c>
      <c r="AE22" s="61">
        <v>937.55868894625803</v>
      </c>
      <c r="AF22" s="61" t="s">
        <v>137</v>
      </c>
      <c r="AG22" s="61" t="s">
        <v>137</v>
      </c>
      <c r="AH22" s="61" t="s">
        <v>137</v>
      </c>
      <c r="AI22" s="61" t="s">
        <v>137</v>
      </c>
      <c r="AJ22" s="61">
        <v>452.655847439659</v>
      </c>
      <c r="AK22" s="61" t="s">
        <v>137</v>
      </c>
      <c r="AL22" s="61">
        <v>0.46972905514176699</v>
      </c>
      <c r="AM22" s="61">
        <v>0.52773695109551799</v>
      </c>
      <c r="AN22" s="61">
        <v>6.5105094572650302</v>
      </c>
      <c r="AO22" s="61">
        <v>1.7129679138505101</v>
      </c>
      <c r="AP22" s="61">
        <v>4.5037330418492099</v>
      </c>
      <c r="AQ22" s="61">
        <v>16.202778664244999</v>
      </c>
      <c r="AR22" s="61">
        <v>0.47609045678640599</v>
      </c>
      <c r="AS22" s="61">
        <v>0.73447838085938799</v>
      </c>
      <c r="AT22" s="61">
        <v>0.67529285015182605</v>
      </c>
      <c r="AU22" s="61">
        <v>3652.1366586230602</v>
      </c>
      <c r="AV22" s="61">
        <v>432.12914639704798</v>
      </c>
      <c r="AW22" s="61">
        <v>220.254631915555</v>
      </c>
      <c r="AX22" s="61" t="s">
        <v>137</v>
      </c>
      <c r="AY22" s="61">
        <v>723.70817812482699</v>
      </c>
      <c r="AZ22" s="61" t="s">
        <v>137</v>
      </c>
      <c r="BA22" s="61">
        <v>4.5021951580960096</v>
      </c>
      <c r="BB22" s="61" t="s">
        <v>137</v>
      </c>
      <c r="BC22" s="61">
        <v>2.19515368497354</v>
      </c>
      <c r="BD22" s="61">
        <v>44.517687592413303</v>
      </c>
      <c r="BE22" s="61">
        <v>384.47093829811502</v>
      </c>
      <c r="BF22" s="61">
        <v>322.14617566873699</v>
      </c>
      <c r="BG22" s="61">
        <v>209.637837935183</v>
      </c>
      <c r="BH22" s="61">
        <v>137.60012528564101</v>
      </c>
      <c r="BI22" s="61">
        <v>1939.6938907951701</v>
      </c>
      <c r="BJ22" s="61">
        <v>33.444924569427599</v>
      </c>
      <c r="BK22" s="61">
        <v>5780.3654199160101</v>
      </c>
      <c r="BL22" s="61">
        <v>1391.1642470545601</v>
      </c>
      <c r="BM22" s="61">
        <v>15547.8428622754</v>
      </c>
      <c r="BN22" s="61">
        <v>10920.917237670499</v>
      </c>
      <c r="BO22" s="61">
        <v>2736.8934723481302</v>
      </c>
      <c r="BP22" s="61">
        <v>315.106984945791</v>
      </c>
      <c r="BQ22" s="61">
        <v>492.71906823115802</v>
      </c>
      <c r="BR22" s="61">
        <v>8.2804787551059391</v>
      </c>
      <c r="BS22" s="61">
        <v>30.886599784538799</v>
      </c>
      <c r="BT22" s="55"/>
      <c r="BU22" s="55"/>
      <c r="BV22" s="55"/>
      <c r="BW22" s="55"/>
    </row>
    <row r="23" spans="1:75">
      <c r="A23" s="65">
        <v>1974</v>
      </c>
      <c r="B23" s="60">
        <v>29.157855852327501</v>
      </c>
      <c r="C23" s="60" t="s">
        <v>137</v>
      </c>
      <c r="D23" s="60">
        <v>29.157855852327501</v>
      </c>
      <c r="E23" s="60" t="s">
        <v>137</v>
      </c>
      <c r="F23" s="60">
        <v>44.872547701329403</v>
      </c>
      <c r="G23" s="60" t="s">
        <v>137</v>
      </c>
      <c r="H23" s="60">
        <v>0.77045819025373197</v>
      </c>
      <c r="I23" s="60">
        <v>4.5961816177205401</v>
      </c>
      <c r="J23" s="60" t="s">
        <v>137</v>
      </c>
      <c r="K23" s="60">
        <v>31.206081673470699</v>
      </c>
      <c r="L23" s="60">
        <v>4.1471904654692198</v>
      </c>
      <c r="M23" s="60">
        <v>3.8563646382516099</v>
      </c>
      <c r="N23" s="60">
        <v>3.43664027022042</v>
      </c>
      <c r="O23" s="60">
        <v>2.9058893346371599</v>
      </c>
      <c r="P23" s="60">
        <v>2.3642083426449898</v>
      </c>
      <c r="Q23" s="60">
        <v>3.3332371207856699</v>
      </c>
      <c r="R23" s="60">
        <v>3.0201961057946298</v>
      </c>
      <c r="S23" s="60">
        <v>2650.3318952664999</v>
      </c>
      <c r="T23" s="60" t="s">
        <v>137</v>
      </c>
      <c r="U23" s="60" t="s">
        <v>137</v>
      </c>
      <c r="V23" s="60">
        <v>2861.0234288167799</v>
      </c>
      <c r="W23" s="60">
        <v>1777.5090358042301</v>
      </c>
      <c r="X23" s="60" t="s">
        <v>137</v>
      </c>
      <c r="Y23" s="60">
        <v>735.69901327964101</v>
      </c>
      <c r="Z23" s="60">
        <v>2210.8607723775199</v>
      </c>
      <c r="AA23" s="60">
        <v>489.72802208081998</v>
      </c>
      <c r="AB23" s="60">
        <v>172.511164059013</v>
      </c>
      <c r="AC23" s="60">
        <v>348.63454505012999</v>
      </c>
      <c r="AD23" s="60">
        <v>321.31427474055801</v>
      </c>
      <c r="AE23" s="60">
        <v>1373.97934469852</v>
      </c>
      <c r="AF23" s="60" t="s">
        <v>137</v>
      </c>
      <c r="AG23" s="60" t="s">
        <v>137</v>
      </c>
      <c r="AH23" s="60" t="s">
        <v>137</v>
      </c>
      <c r="AI23" s="60" t="s">
        <v>137</v>
      </c>
      <c r="AJ23" s="60">
        <v>477.433900441513</v>
      </c>
      <c r="AK23" s="60" t="s">
        <v>137</v>
      </c>
      <c r="AL23" s="60">
        <v>0.48883136815250799</v>
      </c>
      <c r="AM23" s="60">
        <v>0.48877601914458702</v>
      </c>
      <c r="AN23" s="60">
        <v>4.2035800347386596</v>
      </c>
      <c r="AO23" s="60">
        <v>1.4848650285354099</v>
      </c>
      <c r="AP23" s="60">
        <v>3.7821305488285999</v>
      </c>
      <c r="AQ23" s="60">
        <v>12.3585431023726</v>
      </c>
      <c r="AR23" s="60">
        <v>0.62354023749135001</v>
      </c>
      <c r="AS23" s="60">
        <v>1.7268281849085301</v>
      </c>
      <c r="AT23" s="60">
        <v>1.7396857377516599</v>
      </c>
      <c r="AU23" s="60">
        <v>3937.49964198215</v>
      </c>
      <c r="AV23" s="60">
        <v>319.95268914571301</v>
      </c>
      <c r="AW23" s="60">
        <v>216.959255207197</v>
      </c>
      <c r="AX23" s="60" t="s">
        <v>137</v>
      </c>
      <c r="AY23" s="60">
        <v>655.77589768852499</v>
      </c>
      <c r="AZ23" s="60" t="s">
        <v>137</v>
      </c>
      <c r="BA23" s="60">
        <v>3.8755153949921102</v>
      </c>
      <c r="BB23" s="60" t="s">
        <v>137</v>
      </c>
      <c r="BC23" s="60">
        <v>1.99681508894726</v>
      </c>
      <c r="BD23" s="60">
        <v>144.848353728018</v>
      </c>
      <c r="BE23" s="60">
        <v>883.69119065754501</v>
      </c>
      <c r="BF23" s="60">
        <v>806.54574341791499</v>
      </c>
      <c r="BG23" s="60">
        <v>759.16699263794396</v>
      </c>
      <c r="BH23" s="60">
        <v>160.73351900121</v>
      </c>
      <c r="BI23" s="60">
        <v>2031.93586142251</v>
      </c>
      <c r="BJ23" s="60">
        <v>35.547346846879101</v>
      </c>
      <c r="BK23" s="60">
        <v>5468.9247746113997</v>
      </c>
      <c r="BL23" s="60">
        <v>1573.4837367678999</v>
      </c>
      <c r="BM23" s="60">
        <v>21743.569946737702</v>
      </c>
      <c r="BN23" s="60">
        <v>10162.7420423037</v>
      </c>
      <c r="BO23" s="60">
        <v>3293.2659712713398</v>
      </c>
      <c r="BP23" s="60">
        <v>423.07453278260499</v>
      </c>
      <c r="BQ23" s="60">
        <v>491.43941340572297</v>
      </c>
      <c r="BR23" s="60">
        <v>12.507937070864701</v>
      </c>
      <c r="BS23" s="60">
        <v>37.639939930354402</v>
      </c>
      <c r="BT23" s="55"/>
      <c r="BU23" s="55"/>
      <c r="BV23" s="55"/>
      <c r="BW23" s="55"/>
    </row>
    <row r="24" spans="1:75">
      <c r="A24" s="66">
        <v>1975</v>
      </c>
      <c r="B24" s="61">
        <v>24.956436002412499</v>
      </c>
      <c r="C24" s="61" t="s">
        <v>137</v>
      </c>
      <c r="D24" s="61">
        <v>24.956436002412499</v>
      </c>
      <c r="E24" s="61" t="s">
        <v>137</v>
      </c>
      <c r="F24" s="61">
        <v>64.206157138233706</v>
      </c>
      <c r="G24" s="61" t="s">
        <v>137</v>
      </c>
      <c r="H24" s="61">
        <v>1.0286381359702099</v>
      </c>
      <c r="I24" s="61">
        <v>4.0238735249687396</v>
      </c>
      <c r="J24" s="61" t="s">
        <v>137</v>
      </c>
      <c r="K24" s="61">
        <v>31.620520177295401</v>
      </c>
      <c r="L24" s="61">
        <v>2.9806584126020601</v>
      </c>
      <c r="M24" s="61">
        <v>3.4498250507815</v>
      </c>
      <c r="N24" s="61">
        <v>3.2195241356524198</v>
      </c>
      <c r="O24" s="61">
        <v>2.73223034185669</v>
      </c>
      <c r="P24" s="61">
        <v>2.1084969490938001</v>
      </c>
      <c r="Q24" s="61">
        <v>3.46527415897169</v>
      </c>
      <c r="R24" s="61">
        <v>2.6229629369056999</v>
      </c>
      <c r="S24" s="61">
        <v>941.323503498322</v>
      </c>
      <c r="T24" s="61" t="s">
        <v>137</v>
      </c>
      <c r="U24" s="61" t="s">
        <v>137</v>
      </c>
      <c r="V24" s="61">
        <v>2051.2958176615298</v>
      </c>
      <c r="W24" s="61">
        <v>1038.6115402226501</v>
      </c>
      <c r="X24" s="61" t="s">
        <v>137</v>
      </c>
      <c r="Y24" s="61">
        <v>526.08062806693601</v>
      </c>
      <c r="Z24" s="61">
        <v>1347.59569751136</v>
      </c>
      <c r="AA24" s="61">
        <v>370.78816529158797</v>
      </c>
      <c r="AB24" s="61">
        <v>141.08756446445801</v>
      </c>
      <c r="AC24" s="61">
        <v>286.18865906231702</v>
      </c>
      <c r="AD24" s="61">
        <v>267.62134201110302</v>
      </c>
      <c r="AE24" s="61">
        <v>816.75861480794504</v>
      </c>
      <c r="AF24" s="61" t="s">
        <v>137</v>
      </c>
      <c r="AG24" s="61" t="s">
        <v>137</v>
      </c>
      <c r="AH24" s="61" t="s">
        <v>137</v>
      </c>
      <c r="AI24" s="61" t="s">
        <v>137</v>
      </c>
      <c r="AJ24" s="61">
        <v>356.56664501637198</v>
      </c>
      <c r="AK24" s="61" t="s">
        <v>137</v>
      </c>
      <c r="AL24" s="61">
        <v>0.52069821921592896</v>
      </c>
      <c r="AM24" s="61">
        <v>0.54543736508296503</v>
      </c>
      <c r="AN24" s="61">
        <v>3.17464441456187</v>
      </c>
      <c r="AO24" s="61">
        <v>1.3889726898533501</v>
      </c>
      <c r="AP24" s="61">
        <v>3.53466776215144</v>
      </c>
      <c r="AQ24" s="61">
        <v>14.081183891980199</v>
      </c>
      <c r="AR24" s="61">
        <v>0.81432664274188704</v>
      </c>
      <c r="AS24" s="61">
        <v>1.18521025967204</v>
      </c>
      <c r="AT24" s="61">
        <v>1.0790932352364999</v>
      </c>
      <c r="AU24" s="61">
        <v>4406.37279738913</v>
      </c>
      <c r="AV24" s="61">
        <v>302.77843923197599</v>
      </c>
      <c r="AW24" s="61">
        <v>161.496187347323</v>
      </c>
      <c r="AX24" s="61" t="s">
        <v>137</v>
      </c>
      <c r="AY24" s="61">
        <v>534.50473950033597</v>
      </c>
      <c r="AZ24" s="61" t="s">
        <v>137</v>
      </c>
      <c r="BA24" s="61">
        <v>2.9253392105222602</v>
      </c>
      <c r="BB24" s="61" t="s">
        <v>137</v>
      </c>
      <c r="BC24" s="61">
        <v>1.3417946568608301</v>
      </c>
      <c r="BD24" s="61">
        <v>160.67487162635501</v>
      </c>
      <c r="BE24" s="61">
        <v>580.10406505296896</v>
      </c>
      <c r="BF24" s="61">
        <v>484.41679659062299</v>
      </c>
      <c r="BG24" s="61">
        <v>401.88652754185</v>
      </c>
      <c r="BH24" s="61">
        <v>194.564112540102</v>
      </c>
      <c r="BI24" s="61">
        <v>2077.45806635487</v>
      </c>
      <c r="BJ24" s="61">
        <v>41.384743609964403</v>
      </c>
      <c r="BK24" s="61">
        <v>2953.7463683470201</v>
      </c>
      <c r="BL24" s="61">
        <v>984.80140610590001</v>
      </c>
      <c r="BM24" s="61">
        <v>16450.016953161299</v>
      </c>
      <c r="BN24" s="61">
        <v>10935.4599974384</v>
      </c>
      <c r="BO24" s="61">
        <v>1782.57407206311</v>
      </c>
      <c r="BP24" s="61">
        <v>385.21102752752699</v>
      </c>
      <c r="BQ24" s="61">
        <v>406.36987476626302</v>
      </c>
      <c r="BR24" s="61">
        <v>10.569890775247501</v>
      </c>
      <c r="BS24" s="61">
        <v>41.802844456512702</v>
      </c>
      <c r="BT24" s="55"/>
      <c r="BU24" s="55"/>
      <c r="BV24" s="55"/>
      <c r="BW24" s="55"/>
    </row>
    <row r="25" spans="1:75">
      <c r="A25" s="65">
        <v>1976</v>
      </c>
      <c r="B25" s="60">
        <v>27.483716535984801</v>
      </c>
      <c r="C25" s="60" t="s">
        <v>137</v>
      </c>
      <c r="D25" s="60">
        <v>27.483716535984801</v>
      </c>
      <c r="E25" s="60" t="s">
        <v>137</v>
      </c>
      <c r="F25" s="60">
        <v>64.183812018236793</v>
      </c>
      <c r="G25" s="60" t="s">
        <v>137</v>
      </c>
      <c r="H25" s="60">
        <v>1.3726103637920699</v>
      </c>
      <c r="I25" s="60">
        <v>4.1003750316288796</v>
      </c>
      <c r="J25" s="60" t="s">
        <v>137</v>
      </c>
      <c r="K25" s="60">
        <v>36.161189282751899</v>
      </c>
      <c r="L25" s="60">
        <v>4.8344636758581796</v>
      </c>
      <c r="M25" s="60">
        <v>7.43610187600461</v>
      </c>
      <c r="N25" s="60">
        <v>6.6485488575066096</v>
      </c>
      <c r="O25" s="60">
        <v>2.8053635116733902</v>
      </c>
      <c r="P25" s="60">
        <v>2.19200329515406</v>
      </c>
      <c r="Q25" s="60">
        <v>3.35149406029893</v>
      </c>
      <c r="R25" s="60">
        <v>2.8725097595169502</v>
      </c>
      <c r="S25" s="60">
        <v>988.98841419853204</v>
      </c>
      <c r="T25" s="60" t="s">
        <v>137</v>
      </c>
      <c r="U25" s="60" t="s">
        <v>137</v>
      </c>
      <c r="V25" s="60">
        <v>1684.54936181885</v>
      </c>
      <c r="W25" s="60">
        <v>960.71106525492996</v>
      </c>
      <c r="X25" s="60" t="s">
        <v>137</v>
      </c>
      <c r="Y25" s="60">
        <v>546.28710891810601</v>
      </c>
      <c r="Z25" s="60">
        <v>1035.8580363768001</v>
      </c>
      <c r="AA25" s="60">
        <v>472.63484549511702</v>
      </c>
      <c r="AB25" s="60">
        <v>131.851014785475</v>
      </c>
      <c r="AC25" s="60">
        <v>265.55382656514399</v>
      </c>
      <c r="AD25" s="60">
        <v>248.637437720131</v>
      </c>
      <c r="AE25" s="60">
        <v>554.59169701582596</v>
      </c>
      <c r="AF25" s="60" t="s">
        <v>137</v>
      </c>
      <c r="AG25" s="60" t="s">
        <v>137</v>
      </c>
      <c r="AH25" s="60" t="s">
        <v>137</v>
      </c>
      <c r="AI25" s="60" t="s">
        <v>137</v>
      </c>
      <c r="AJ25" s="60">
        <v>314.11311831605502</v>
      </c>
      <c r="AK25" s="60" t="s">
        <v>137</v>
      </c>
      <c r="AL25" s="60">
        <v>0.61107746898806103</v>
      </c>
      <c r="AM25" s="60">
        <v>0.51044563313472602</v>
      </c>
      <c r="AN25" s="60">
        <v>3.7361784536389</v>
      </c>
      <c r="AO25" s="60">
        <v>1.4422326269907899</v>
      </c>
      <c r="AP25" s="60">
        <v>3.70092777141239</v>
      </c>
      <c r="AQ25" s="60">
        <v>19.6413273934721</v>
      </c>
      <c r="AR25" s="60">
        <v>0.69764918188705505</v>
      </c>
      <c r="AS25" s="60">
        <v>0.69343784511170803</v>
      </c>
      <c r="AT25" s="60">
        <v>0.602195872516466</v>
      </c>
      <c r="AU25" s="60">
        <v>5167.5885308342704</v>
      </c>
      <c r="AV25" s="60">
        <v>336.37225022701801</v>
      </c>
      <c r="AW25" s="60">
        <v>217.45338447673501</v>
      </c>
      <c r="AX25" s="60" t="s">
        <v>137</v>
      </c>
      <c r="AY25" s="60">
        <v>622.80923464808097</v>
      </c>
      <c r="AZ25" s="60" t="s">
        <v>137</v>
      </c>
      <c r="BA25" s="60">
        <v>4.12966665563214</v>
      </c>
      <c r="BB25" s="60" t="s">
        <v>137</v>
      </c>
      <c r="BC25" s="60">
        <v>1.8284666722721099</v>
      </c>
      <c r="BD25" s="60">
        <v>84.680409817875102</v>
      </c>
      <c r="BE25" s="60">
        <v>283.383976111447</v>
      </c>
      <c r="BF25" s="60">
        <v>214.851923514655</v>
      </c>
      <c r="BG25" s="60">
        <v>193.780286652998</v>
      </c>
      <c r="BH25" s="60">
        <v>131.156169624895</v>
      </c>
      <c r="BI25" s="60">
        <v>2103.0635173400601</v>
      </c>
      <c r="BJ25" s="60">
        <v>53.691318448245298</v>
      </c>
      <c r="BK25" s="60">
        <v>3310.2162991364198</v>
      </c>
      <c r="BL25" s="60">
        <v>1054.9603613822201</v>
      </c>
      <c r="BM25" s="60">
        <v>17925.956568108799</v>
      </c>
      <c r="BN25" s="60">
        <v>11752.2623644217</v>
      </c>
      <c r="BO25" s="60">
        <v>1681.2015316632601</v>
      </c>
      <c r="BP25" s="60">
        <v>294.96156051422099</v>
      </c>
      <c r="BQ25" s="60">
        <v>377.274857480908</v>
      </c>
      <c r="BR25" s="60">
        <v>10.293100744548299</v>
      </c>
      <c r="BS25" s="60">
        <v>42.315965889160502</v>
      </c>
      <c r="BT25" s="55"/>
      <c r="BU25" s="55"/>
      <c r="BV25" s="55"/>
      <c r="BW25" s="55"/>
    </row>
    <row r="26" spans="1:75">
      <c r="A26" s="66">
        <v>1977</v>
      </c>
      <c r="B26" s="61">
        <v>27.469108493496101</v>
      </c>
      <c r="C26" s="61" t="s">
        <v>137</v>
      </c>
      <c r="D26" s="61">
        <v>27.469108493496101</v>
      </c>
      <c r="E26" s="61" t="s">
        <v>137</v>
      </c>
      <c r="F26" s="61">
        <v>62.695848231630599</v>
      </c>
      <c r="G26" s="61" t="s">
        <v>137</v>
      </c>
      <c r="H26" s="61">
        <v>1.7270669009978801</v>
      </c>
      <c r="I26" s="61">
        <v>3.9167748143179102</v>
      </c>
      <c r="J26" s="61">
        <v>6.0582071834434403</v>
      </c>
      <c r="K26" s="61">
        <v>43.697056410055403</v>
      </c>
      <c r="L26" s="61">
        <v>8.2856945475637698</v>
      </c>
      <c r="M26" s="61">
        <v>11.2999728299636</v>
      </c>
      <c r="N26" s="61">
        <v>10.7840070387892</v>
      </c>
      <c r="O26" s="61">
        <v>4.2727234334571396</v>
      </c>
      <c r="P26" s="61">
        <v>3.7073657879468098</v>
      </c>
      <c r="Q26" s="61">
        <v>4.5196280511206997</v>
      </c>
      <c r="R26" s="61">
        <v>4.5912211682888602</v>
      </c>
      <c r="S26" s="61">
        <v>1263.96520665858</v>
      </c>
      <c r="T26" s="61" t="s">
        <v>137</v>
      </c>
      <c r="U26" s="61" t="s">
        <v>137</v>
      </c>
      <c r="V26" s="61">
        <v>1864.2484807923399</v>
      </c>
      <c r="W26" s="61">
        <v>1158.71979012836</v>
      </c>
      <c r="X26" s="61" t="s">
        <v>137</v>
      </c>
      <c r="Y26" s="61">
        <v>612.48933767456595</v>
      </c>
      <c r="Z26" s="61">
        <v>1268.5197079797699</v>
      </c>
      <c r="AA26" s="61">
        <v>502.452585754447</v>
      </c>
      <c r="AB26" s="61">
        <v>104.687452490783</v>
      </c>
      <c r="AC26" s="61">
        <v>208.45041646854199</v>
      </c>
      <c r="AD26" s="61">
        <v>193.18372803989001</v>
      </c>
      <c r="AE26" s="61">
        <v>551.40436595467202</v>
      </c>
      <c r="AF26" s="61" t="s">
        <v>137</v>
      </c>
      <c r="AG26" s="61" t="s">
        <v>137</v>
      </c>
      <c r="AH26" s="61" t="s">
        <v>137</v>
      </c>
      <c r="AI26" s="61" t="s">
        <v>137</v>
      </c>
      <c r="AJ26" s="61">
        <v>225.65185705843899</v>
      </c>
      <c r="AK26" s="61" t="s">
        <v>137</v>
      </c>
      <c r="AL26" s="61">
        <v>0.59846147360527902</v>
      </c>
      <c r="AM26" s="61">
        <v>0.55528480108033196</v>
      </c>
      <c r="AN26" s="61">
        <v>3.2933781233628001</v>
      </c>
      <c r="AO26" s="61">
        <v>1.42490434243015</v>
      </c>
      <c r="AP26" s="61">
        <v>3.71783942849307</v>
      </c>
      <c r="AQ26" s="61">
        <v>17.302555911756802</v>
      </c>
      <c r="AR26" s="61">
        <v>0.67535394070610499</v>
      </c>
      <c r="AS26" s="61">
        <v>0.53036269919858003</v>
      </c>
      <c r="AT26" s="61">
        <v>0.39117700947496398</v>
      </c>
      <c r="AU26" s="61">
        <v>4927.4439291823701</v>
      </c>
      <c r="AV26" s="61">
        <v>347.09672388789102</v>
      </c>
      <c r="AW26" s="61">
        <v>202.36560270342301</v>
      </c>
      <c r="AX26" s="61" t="s">
        <v>137</v>
      </c>
      <c r="AY26" s="61">
        <v>579.29704059139999</v>
      </c>
      <c r="AZ26" s="61" t="s">
        <v>137</v>
      </c>
      <c r="BA26" s="61">
        <v>3.5602536827796598</v>
      </c>
      <c r="BB26" s="61" t="s">
        <v>137</v>
      </c>
      <c r="BC26" s="61">
        <v>1.78102863265142</v>
      </c>
      <c r="BD26" s="61">
        <v>135.077400184059</v>
      </c>
      <c r="BE26" s="61">
        <v>293.12770503223601</v>
      </c>
      <c r="BF26" s="61">
        <v>214.06156209625701</v>
      </c>
      <c r="BG26" s="61">
        <v>264.00774175160899</v>
      </c>
      <c r="BH26" s="61">
        <v>120.881019565888</v>
      </c>
      <c r="BI26" s="61">
        <v>2500.5968671898399</v>
      </c>
      <c r="BJ26" s="61">
        <v>50.412864224064798</v>
      </c>
      <c r="BK26" s="61">
        <v>2861.1377299759201</v>
      </c>
      <c r="BL26" s="61">
        <v>1351.0472719198599</v>
      </c>
      <c r="BM26" s="61">
        <v>23620.263263907102</v>
      </c>
      <c r="BN26" s="61">
        <v>11189.134485811001</v>
      </c>
      <c r="BO26" s="61">
        <v>1289.10605395158</v>
      </c>
      <c r="BP26" s="61">
        <v>322.94147068079099</v>
      </c>
      <c r="BQ26" s="61">
        <v>346.11659520356898</v>
      </c>
      <c r="BR26" s="61">
        <v>10.135222880085999</v>
      </c>
      <c r="BS26" s="61">
        <v>45.742292874905203</v>
      </c>
      <c r="BT26" s="55"/>
      <c r="BU26" s="55"/>
      <c r="BV26" s="55"/>
      <c r="BW26" s="55"/>
    </row>
    <row r="27" spans="1:75">
      <c r="A27" s="65">
        <v>1978</v>
      </c>
      <c r="B27" s="60">
        <v>24.298757367894201</v>
      </c>
      <c r="C27" s="60" t="s">
        <v>137</v>
      </c>
      <c r="D27" s="60">
        <v>24.298757367894201</v>
      </c>
      <c r="E27" s="60" t="s">
        <v>137</v>
      </c>
      <c r="F27" s="60">
        <v>54.664975415175697</v>
      </c>
      <c r="G27" s="60" t="s">
        <v>137</v>
      </c>
      <c r="H27" s="60">
        <v>1.7040483392839301</v>
      </c>
      <c r="I27" s="60">
        <v>4.3309191485610201</v>
      </c>
      <c r="J27" s="60">
        <v>5.7114574242618099</v>
      </c>
      <c r="K27" s="60">
        <v>45.151443247962199</v>
      </c>
      <c r="L27" s="60">
        <v>6.4020014420279097</v>
      </c>
      <c r="M27" s="60">
        <v>6.7534712098912504</v>
      </c>
      <c r="N27" s="60">
        <v>6.1162170156785098</v>
      </c>
      <c r="O27" s="60">
        <v>2.65151175721993</v>
      </c>
      <c r="P27" s="60">
        <v>1.4027251084236501</v>
      </c>
      <c r="Q27" s="60">
        <v>3.5271485186749501</v>
      </c>
      <c r="R27" s="60">
        <v>3.02458061212451</v>
      </c>
      <c r="S27" s="60">
        <v>1285.2474985850299</v>
      </c>
      <c r="T27" s="60" t="s">
        <v>137</v>
      </c>
      <c r="U27" s="60" t="s">
        <v>137</v>
      </c>
      <c r="V27" s="60">
        <v>2030.12198654342</v>
      </c>
      <c r="W27" s="60">
        <v>1129.34353598909</v>
      </c>
      <c r="X27" s="60" t="s">
        <v>137</v>
      </c>
      <c r="Y27" s="60">
        <v>504.787088545931</v>
      </c>
      <c r="Z27" s="60">
        <v>1141.8848301144601</v>
      </c>
      <c r="AA27" s="60">
        <v>401.24302892338801</v>
      </c>
      <c r="AB27" s="60">
        <v>103.390542627077</v>
      </c>
      <c r="AC27" s="60">
        <v>189.516198513684</v>
      </c>
      <c r="AD27" s="60">
        <v>176.528120785103</v>
      </c>
      <c r="AE27" s="60">
        <v>650.24885612073899</v>
      </c>
      <c r="AF27" s="60" t="s">
        <v>137</v>
      </c>
      <c r="AG27" s="60" t="s">
        <v>137</v>
      </c>
      <c r="AH27" s="60" t="s">
        <v>137</v>
      </c>
      <c r="AI27" s="60" t="s">
        <v>137</v>
      </c>
      <c r="AJ27" s="60">
        <v>240.31314270670799</v>
      </c>
      <c r="AK27" s="60" t="s">
        <v>137</v>
      </c>
      <c r="AL27" s="60">
        <v>0.54037301062665299</v>
      </c>
      <c r="AM27" s="60">
        <v>0.56464041475923399</v>
      </c>
      <c r="AN27" s="60">
        <v>4.0225103543871397</v>
      </c>
      <c r="AO27" s="60">
        <v>1.30753896603621</v>
      </c>
      <c r="AP27" s="60">
        <v>4.1276063991576999</v>
      </c>
      <c r="AQ27" s="60">
        <v>15.1791845322092</v>
      </c>
      <c r="AR27" s="60">
        <v>0.66066778578713903</v>
      </c>
      <c r="AS27" s="60">
        <v>0.57951859343370704</v>
      </c>
      <c r="AT27" s="60">
        <v>0.32414542328770801</v>
      </c>
      <c r="AU27" s="60">
        <v>4266.5811823461599</v>
      </c>
      <c r="AV27" s="60">
        <v>359.83637870673101</v>
      </c>
      <c r="AW27" s="60">
        <v>183.14992408329499</v>
      </c>
      <c r="AX27" s="60" t="s">
        <v>137</v>
      </c>
      <c r="AY27" s="60">
        <v>512.21549491021199</v>
      </c>
      <c r="AZ27" s="60" t="s">
        <v>137</v>
      </c>
      <c r="BA27" s="60">
        <v>3.0224518842129</v>
      </c>
      <c r="BB27" s="60" t="s">
        <v>137</v>
      </c>
      <c r="BC27" s="60">
        <v>1.85415195334689</v>
      </c>
      <c r="BD27" s="60">
        <v>58.8461035288598</v>
      </c>
      <c r="BE27" s="60">
        <v>263.05364427952497</v>
      </c>
      <c r="BF27" s="60">
        <v>184.43540673114501</v>
      </c>
      <c r="BG27" s="60">
        <v>255.90902578248199</v>
      </c>
      <c r="BH27" s="60">
        <v>111.010048781549</v>
      </c>
      <c r="BI27" s="60">
        <v>2492.4345502118499</v>
      </c>
      <c r="BJ27" s="60">
        <v>40.351613848360998</v>
      </c>
      <c r="BK27" s="60">
        <v>2567.5164398153001</v>
      </c>
      <c r="BL27" s="60">
        <v>1245.19374047215</v>
      </c>
      <c r="BM27" s="60">
        <v>24220.7661950521</v>
      </c>
      <c r="BN27" s="60">
        <v>8670.8939921006095</v>
      </c>
      <c r="BO27" s="60">
        <v>1117.2725403934301</v>
      </c>
      <c r="BP27" s="60">
        <v>363.52038385605698</v>
      </c>
      <c r="BQ27" s="60">
        <v>490.33481472821302</v>
      </c>
      <c r="BR27" s="60">
        <v>10.1937519845083</v>
      </c>
      <c r="BS27" s="60">
        <v>53.157725191879102</v>
      </c>
      <c r="BT27" s="55"/>
      <c r="BU27" s="55"/>
      <c r="BV27" s="55"/>
      <c r="BW27" s="55"/>
    </row>
    <row r="28" spans="1:75">
      <c r="A28" s="66">
        <v>1979</v>
      </c>
      <c r="B28" s="61">
        <v>52.2180415234808</v>
      </c>
      <c r="C28" s="61">
        <v>54.153864918642299</v>
      </c>
      <c r="D28" s="61">
        <v>50.282218128319201</v>
      </c>
      <c r="E28" s="61" t="s">
        <v>137</v>
      </c>
      <c r="F28" s="61">
        <v>52.092265805555201</v>
      </c>
      <c r="G28" s="61" t="s">
        <v>137</v>
      </c>
      <c r="H28" s="61">
        <v>1.98992792653141</v>
      </c>
      <c r="I28" s="61">
        <v>5.4967350349987001</v>
      </c>
      <c r="J28" s="61">
        <v>6.2268266747980396</v>
      </c>
      <c r="K28" s="61">
        <v>54.514401857948201</v>
      </c>
      <c r="L28" s="61">
        <v>5.5529669554351697</v>
      </c>
      <c r="M28" s="61">
        <v>6.4523131954514401</v>
      </c>
      <c r="N28" s="61">
        <v>6.1585599225115697</v>
      </c>
      <c r="O28" s="61">
        <v>2.5386617948031001</v>
      </c>
      <c r="P28" s="61">
        <v>1.32015299614649</v>
      </c>
      <c r="Q28" s="61">
        <v>3.5456187276486202</v>
      </c>
      <c r="R28" s="61">
        <v>2.7502043433669101</v>
      </c>
      <c r="S28" s="61">
        <v>1660.24071497472</v>
      </c>
      <c r="T28" s="61" t="s">
        <v>137</v>
      </c>
      <c r="U28" s="61">
        <v>665.90914405855005</v>
      </c>
      <c r="V28" s="61">
        <v>1498.62933676066</v>
      </c>
      <c r="W28" s="61">
        <v>1102.6111943195899</v>
      </c>
      <c r="X28" s="61" t="s">
        <v>137</v>
      </c>
      <c r="Y28" s="61">
        <v>502.11952552942898</v>
      </c>
      <c r="Z28" s="61">
        <v>1116.6924639691999</v>
      </c>
      <c r="AA28" s="61">
        <v>409.83240198753799</v>
      </c>
      <c r="AB28" s="61">
        <v>110.031285958551</v>
      </c>
      <c r="AC28" s="61">
        <v>194.81478719722401</v>
      </c>
      <c r="AD28" s="61">
        <v>182.31168778878501</v>
      </c>
      <c r="AE28" s="61">
        <v>527.95345566602998</v>
      </c>
      <c r="AF28" s="61" t="s">
        <v>137</v>
      </c>
      <c r="AG28" s="61" t="s">
        <v>137</v>
      </c>
      <c r="AH28" s="61" t="s">
        <v>137</v>
      </c>
      <c r="AI28" s="61">
        <v>263.59799508146102</v>
      </c>
      <c r="AJ28" s="61">
        <v>270.31540714983697</v>
      </c>
      <c r="AK28" s="61" t="s">
        <v>137</v>
      </c>
      <c r="AL28" s="61">
        <v>0.54911330368141398</v>
      </c>
      <c r="AM28" s="61">
        <v>0.67195200428742397</v>
      </c>
      <c r="AN28" s="61">
        <v>4.86354686913731</v>
      </c>
      <c r="AO28" s="61">
        <v>1.2488611528354701</v>
      </c>
      <c r="AP28" s="61">
        <v>3.9983498159958302</v>
      </c>
      <c r="AQ28" s="61">
        <v>20.187796217174501</v>
      </c>
      <c r="AR28" s="61">
        <v>0.71723063601533099</v>
      </c>
      <c r="AS28" s="61">
        <v>0.57728546180879803</v>
      </c>
      <c r="AT28" s="61">
        <v>0.35911453555496903</v>
      </c>
      <c r="AU28" s="61">
        <v>3953.6045439755198</v>
      </c>
      <c r="AV28" s="61">
        <v>356.71144462674198</v>
      </c>
      <c r="AW28" s="61">
        <v>286.75479760503799</v>
      </c>
      <c r="AX28" s="61" t="s">
        <v>137</v>
      </c>
      <c r="AY28" s="61">
        <v>617.10007895283297</v>
      </c>
      <c r="AZ28" s="61">
        <v>442.67464467330001</v>
      </c>
      <c r="BA28" s="61">
        <v>2.8792402079350801</v>
      </c>
      <c r="BB28" s="61" t="s">
        <v>137</v>
      </c>
      <c r="BC28" s="61">
        <v>2.1283796915892301</v>
      </c>
      <c r="BD28" s="61">
        <v>59.831342847510399</v>
      </c>
      <c r="BE28" s="61">
        <v>326.03338909271599</v>
      </c>
      <c r="BF28" s="61">
        <v>246.59085682801299</v>
      </c>
      <c r="BG28" s="61">
        <v>258.01959190041202</v>
      </c>
      <c r="BH28" s="61">
        <v>128.955339942329</v>
      </c>
      <c r="BI28" s="61">
        <v>2703.0442742980199</v>
      </c>
      <c r="BJ28" s="61">
        <v>39.629920570752603</v>
      </c>
      <c r="BK28" s="61">
        <v>3347.89915159254</v>
      </c>
      <c r="BL28" s="61">
        <v>2037.5681501962499</v>
      </c>
      <c r="BM28" s="61">
        <v>26050.194266978</v>
      </c>
      <c r="BN28" s="61">
        <v>10094.66827815</v>
      </c>
      <c r="BO28" s="61">
        <v>1250.73153574361</v>
      </c>
      <c r="BP28" s="61">
        <v>517.15781560133098</v>
      </c>
      <c r="BQ28" s="61">
        <v>746.72607569623995</v>
      </c>
      <c r="BR28" s="61">
        <v>18.7180968348558</v>
      </c>
      <c r="BS28" s="61">
        <v>59.298630079373197</v>
      </c>
      <c r="BT28" s="55"/>
      <c r="BU28" s="55"/>
      <c r="BV28" s="55"/>
      <c r="BW28" s="55"/>
    </row>
    <row r="29" spans="1:75">
      <c r="A29" s="65">
        <v>1980</v>
      </c>
      <c r="B29" s="60">
        <v>56.526047563165299</v>
      </c>
      <c r="C29" s="60">
        <v>58.094353009096302</v>
      </c>
      <c r="D29" s="60">
        <v>54.957742117234197</v>
      </c>
      <c r="E29" s="60" t="s">
        <v>137</v>
      </c>
      <c r="F29" s="60">
        <v>61.542706442118799</v>
      </c>
      <c r="G29" s="60" t="s">
        <v>137</v>
      </c>
      <c r="H29" s="60">
        <v>2.4364620645045698</v>
      </c>
      <c r="I29" s="60">
        <v>6.46997582309971</v>
      </c>
      <c r="J29" s="60">
        <v>8.7332827244312199</v>
      </c>
      <c r="K29" s="60">
        <v>66.261701434012295</v>
      </c>
      <c r="L29" s="60">
        <v>3.9915943457286498</v>
      </c>
      <c r="M29" s="60">
        <v>5.3144003229099797</v>
      </c>
      <c r="N29" s="60">
        <v>4.97240128493066</v>
      </c>
      <c r="O29" s="60">
        <v>2.5439755845507501</v>
      </c>
      <c r="P29" s="60">
        <v>1.7039102951780301</v>
      </c>
      <c r="Q29" s="60">
        <v>3.1420061565144102</v>
      </c>
      <c r="R29" s="60">
        <v>2.7859639235786</v>
      </c>
      <c r="S29" s="60">
        <v>1033.1007998733101</v>
      </c>
      <c r="T29" s="60">
        <v>1895.8920070888</v>
      </c>
      <c r="U29" s="60">
        <v>773.36908875996903</v>
      </c>
      <c r="V29" s="60">
        <v>1316.6094166082601</v>
      </c>
      <c r="W29" s="60">
        <v>894.89833447348497</v>
      </c>
      <c r="X29" s="60" t="s">
        <v>137</v>
      </c>
      <c r="Y29" s="60">
        <v>454.16956076547598</v>
      </c>
      <c r="Z29" s="60">
        <v>916.23494510653495</v>
      </c>
      <c r="AA29" s="60">
        <v>402.329262775296</v>
      </c>
      <c r="AB29" s="60">
        <v>119.937884384882</v>
      </c>
      <c r="AC29" s="60">
        <v>192.048660317779</v>
      </c>
      <c r="AD29" s="60">
        <v>197.565515689845</v>
      </c>
      <c r="AE29" s="60">
        <v>629.73792524159501</v>
      </c>
      <c r="AF29" s="60" t="s">
        <v>137</v>
      </c>
      <c r="AG29" s="60" t="s">
        <v>137</v>
      </c>
      <c r="AH29" s="60" t="s">
        <v>137</v>
      </c>
      <c r="AI29" s="60">
        <v>258.03500339353502</v>
      </c>
      <c r="AJ29" s="60">
        <v>264.81927899003199</v>
      </c>
      <c r="AK29" s="60" t="s">
        <v>137</v>
      </c>
      <c r="AL29" s="60">
        <v>0.57841379435894602</v>
      </c>
      <c r="AM29" s="60">
        <v>0.61353615521538496</v>
      </c>
      <c r="AN29" s="60">
        <v>4.2314970630081596</v>
      </c>
      <c r="AO29" s="60">
        <v>1.16079587658554</v>
      </c>
      <c r="AP29" s="60">
        <v>4.4146341748729103</v>
      </c>
      <c r="AQ29" s="60">
        <v>15.5482595393274</v>
      </c>
      <c r="AR29" s="60">
        <v>0.74648546070879396</v>
      </c>
      <c r="AS29" s="60">
        <v>1.01508727767804</v>
      </c>
      <c r="AT29" s="60">
        <v>0.96836271240165095</v>
      </c>
      <c r="AU29" s="60">
        <v>3489.2794257724399</v>
      </c>
      <c r="AV29" s="60">
        <v>385.88601853293898</v>
      </c>
      <c r="AW29" s="60">
        <v>299.75510420860201</v>
      </c>
      <c r="AX29" s="60">
        <v>607.13517202546996</v>
      </c>
      <c r="AY29" s="60">
        <v>607.44386142738097</v>
      </c>
      <c r="AZ29" s="60">
        <v>419.75629086121199</v>
      </c>
      <c r="BA29" s="60">
        <v>3.16115301762866</v>
      </c>
      <c r="BB29" s="60" t="s">
        <v>137</v>
      </c>
      <c r="BC29" s="60">
        <v>2.1840640147705002</v>
      </c>
      <c r="BD29" s="60">
        <v>68.481576642603599</v>
      </c>
      <c r="BE29" s="60">
        <v>340.68306738339999</v>
      </c>
      <c r="BF29" s="60">
        <v>276.35382514543198</v>
      </c>
      <c r="BG29" s="60">
        <v>307.49633318019801</v>
      </c>
      <c r="BH29" s="60">
        <v>163.28256520382001</v>
      </c>
      <c r="BI29" s="60">
        <v>2721.2424584206201</v>
      </c>
      <c r="BJ29" s="60">
        <v>43.0667348035239</v>
      </c>
      <c r="BK29" s="60">
        <v>3345.5166651944701</v>
      </c>
      <c r="BL29" s="60">
        <v>1388.66838904563</v>
      </c>
      <c r="BM29" s="60">
        <v>25718.741611844802</v>
      </c>
      <c r="BN29" s="60">
        <v>9994.2345138967994</v>
      </c>
      <c r="BO29" s="60">
        <v>1167.0742723871799</v>
      </c>
      <c r="BP29" s="60">
        <v>931.95887726587296</v>
      </c>
      <c r="BQ29" s="60">
        <v>1041.17549323863</v>
      </c>
      <c r="BR29" s="60">
        <v>31.896623068302102</v>
      </c>
      <c r="BS29" s="60">
        <v>65.224355011240803</v>
      </c>
      <c r="BT29" s="55"/>
      <c r="BU29" s="55"/>
      <c r="BV29" s="55"/>
      <c r="BW29" s="55"/>
    </row>
    <row r="30" spans="1:75">
      <c r="A30" s="66">
        <v>1981</v>
      </c>
      <c r="B30" s="61">
        <v>54.342465271827599</v>
      </c>
      <c r="C30" s="61">
        <v>56.166132281361499</v>
      </c>
      <c r="D30" s="61">
        <v>52.518798262293799</v>
      </c>
      <c r="E30" s="61" t="s">
        <v>137</v>
      </c>
      <c r="F30" s="61">
        <v>82.114781346125696</v>
      </c>
      <c r="G30" s="61" t="s">
        <v>137</v>
      </c>
      <c r="H30" s="61">
        <v>3.03731784787671</v>
      </c>
      <c r="I30" s="61">
        <v>7.0445355127224598</v>
      </c>
      <c r="J30" s="61">
        <v>9.2349900858851601</v>
      </c>
      <c r="K30" s="61">
        <v>76.629461987384502</v>
      </c>
      <c r="L30" s="61">
        <v>3.18466604901782</v>
      </c>
      <c r="M30" s="61">
        <v>4.3929570315260902</v>
      </c>
      <c r="N30" s="61">
        <v>3.4307143183752302</v>
      </c>
      <c r="O30" s="61">
        <v>2.2514948066966398</v>
      </c>
      <c r="P30" s="61">
        <v>1.4904903149817199</v>
      </c>
      <c r="Q30" s="61">
        <v>2.7766016304452101</v>
      </c>
      <c r="R30" s="61">
        <v>2.4873481527937402</v>
      </c>
      <c r="S30" s="61">
        <v>872.78221687516202</v>
      </c>
      <c r="T30" s="61">
        <v>1925.63399187444</v>
      </c>
      <c r="U30" s="61">
        <v>715.913683320117</v>
      </c>
      <c r="V30" s="61">
        <v>1596.8890012807301</v>
      </c>
      <c r="W30" s="61">
        <v>873.93078244788796</v>
      </c>
      <c r="X30" s="61" t="s">
        <v>137</v>
      </c>
      <c r="Y30" s="61">
        <v>441.68727191182001</v>
      </c>
      <c r="Z30" s="61">
        <v>776.20061404856096</v>
      </c>
      <c r="AA30" s="61">
        <v>386.81136121488697</v>
      </c>
      <c r="AB30" s="61">
        <v>122.093796564795</v>
      </c>
      <c r="AC30" s="61">
        <v>200.28048365219701</v>
      </c>
      <c r="AD30" s="61">
        <v>193.52819426853401</v>
      </c>
      <c r="AE30" s="61">
        <v>702.90554011700499</v>
      </c>
      <c r="AF30" s="61" t="s">
        <v>137</v>
      </c>
      <c r="AG30" s="61" t="s">
        <v>137</v>
      </c>
      <c r="AH30" s="61" t="s">
        <v>137</v>
      </c>
      <c r="AI30" s="61">
        <v>236.73723111450499</v>
      </c>
      <c r="AJ30" s="61">
        <v>267.93737680563498</v>
      </c>
      <c r="AK30" s="61" t="s">
        <v>137</v>
      </c>
      <c r="AL30" s="61">
        <v>0.61452086692776198</v>
      </c>
      <c r="AM30" s="61">
        <v>0.62133951787784802</v>
      </c>
      <c r="AN30" s="61">
        <v>3.7892837283407501</v>
      </c>
      <c r="AO30" s="61">
        <v>1.18524344126715</v>
      </c>
      <c r="AP30" s="61">
        <v>4.1940382361695603</v>
      </c>
      <c r="AQ30" s="61">
        <v>15.5642858904974</v>
      </c>
      <c r="AR30" s="61">
        <v>0.63903041473403599</v>
      </c>
      <c r="AS30" s="61">
        <v>0.66612442650654002</v>
      </c>
      <c r="AT30" s="61">
        <v>0.572878983996578</v>
      </c>
      <c r="AU30" s="61">
        <v>3555.4791679885998</v>
      </c>
      <c r="AV30" s="61">
        <v>325.87102429395901</v>
      </c>
      <c r="AW30" s="61">
        <v>236.701497963354</v>
      </c>
      <c r="AX30" s="61" t="s">
        <v>137</v>
      </c>
      <c r="AY30" s="61">
        <v>535.088232704186</v>
      </c>
      <c r="AZ30" s="61">
        <v>374.72972757377403</v>
      </c>
      <c r="BA30" s="61">
        <v>2.8653775816395601</v>
      </c>
      <c r="BB30" s="61" t="s">
        <v>137</v>
      </c>
      <c r="BC30" s="61">
        <v>1.71953028076852</v>
      </c>
      <c r="BD30" s="61">
        <v>74.975808219645799</v>
      </c>
      <c r="BE30" s="61">
        <v>272.01861314072301</v>
      </c>
      <c r="BF30" s="61">
        <v>247.06921653316499</v>
      </c>
      <c r="BG30" s="61">
        <v>279.48428936344601</v>
      </c>
      <c r="BH30" s="61">
        <v>168.71152079382401</v>
      </c>
      <c r="BI30" s="61">
        <v>1933.7713783071999</v>
      </c>
      <c r="BJ30" s="61">
        <v>43.017609250516102</v>
      </c>
      <c r="BK30" s="61">
        <v>2667.6583992145402</v>
      </c>
      <c r="BL30" s="61">
        <v>1112.9217544528799</v>
      </c>
      <c r="BM30" s="61">
        <v>21683.578019907902</v>
      </c>
      <c r="BN30" s="61">
        <v>9116.6754243180203</v>
      </c>
      <c r="BO30" s="61">
        <v>1295.0459687682101</v>
      </c>
      <c r="BP30" s="61">
        <v>704.07707700118601</v>
      </c>
      <c r="BQ30" s="61">
        <v>685.28271567947104</v>
      </c>
      <c r="BR30" s="61">
        <v>16.115421456207802</v>
      </c>
      <c r="BS30" s="61">
        <v>65.298840380496102</v>
      </c>
      <c r="BT30" s="55"/>
      <c r="BU30" s="55"/>
      <c r="BV30" s="55"/>
      <c r="BW30" s="55"/>
    </row>
    <row r="31" spans="1:75">
      <c r="A31" s="65">
        <v>1982</v>
      </c>
      <c r="B31" s="60">
        <v>51.531474983439502</v>
      </c>
      <c r="C31" s="60">
        <v>52.748622190799097</v>
      </c>
      <c r="D31" s="60">
        <v>50.125792491475799</v>
      </c>
      <c r="E31" s="60">
        <v>51.720010268043801</v>
      </c>
      <c r="F31" s="60">
        <v>86.446866602902006</v>
      </c>
      <c r="G31" s="60" t="s">
        <v>137</v>
      </c>
      <c r="H31" s="60">
        <v>3.89083902270787</v>
      </c>
      <c r="I31" s="60">
        <v>7.0240298787221196</v>
      </c>
      <c r="J31" s="60">
        <v>9.5520846167447697</v>
      </c>
      <c r="K31" s="60">
        <v>87.111434406735199</v>
      </c>
      <c r="L31" s="60">
        <v>2.7395558032977001</v>
      </c>
      <c r="M31" s="60">
        <v>4.8735060641867003</v>
      </c>
      <c r="N31" s="60">
        <v>3.8255707900145799</v>
      </c>
      <c r="O31" s="60">
        <v>2.4359966992880602</v>
      </c>
      <c r="P31" s="60">
        <v>1.80725989527792</v>
      </c>
      <c r="Q31" s="60">
        <v>2.9144183694477799</v>
      </c>
      <c r="R31" s="60">
        <v>2.5863281699270599</v>
      </c>
      <c r="S31" s="60">
        <v>733.05090850408897</v>
      </c>
      <c r="T31" s="60">
        <v>1306.15387070619</v>
      </c>
      <c r="U31" s="60">
        <v>557.05555311588398</v>
      </c>
      <c r="V31" s="60">
        <v>923.25216701780096</v>
      </c>
      <c r="W31" s="60">
        <v>702.53452401226298</v>
      </c>
      <c r="X31" s="60" t="s">
        <v>137</v>
      </c>
      <c r="Y31" s="60">
        <v>386.091455084627</v>
      </c>
      <c r="Z31" s="60">
        <v>705.95446365358805</v>
      </c>
      <c r="AA31" s="60">
        <v>344.93379686267701</v>
      </c>
      <c r="AB31" s="60">
        <v>100.565955875974</v>
      </c>
      <c r="AC31" s="60">
        <v>172.46361002783701</v>
      </c>
      <c r="AD31" s="60">
        <v>171.30609199538901</v>
      </c>
      <c r="AE31" s="60">
        <v>430.09424001588002</v>
      </c>
      <c r="AF31" s="60" t="s">
        <v>137</v>
      </c>
      <c r="AG31" s="60" t="s">
        <v>137</v>
      </c>
      <c r="AH31" s="60" t="s">
        <v>137</v>
      </c>
      <c r="AI31" s="60">
        <v>209.224015087884</v>
      </c>
      <c r="AJ31" s="60">
        <v>253.109732854491</v>
      </c>
      <c r="AK31" s="60" t="s">
        <v>137</v>
      </c>
      <c r="AL31" s="60">
        <v>0.59075511219694399</v>
      </c>
      <c r="AM31" s="60">
        <v>0.60701297910724406</v>
      </c>
      <c r="AN31" s="60">
        <v>3.7718645840317602</v>
      </c>
      <c r="AO31" s="60">
        <v>1.19927108532547</v>
      </c>
      <c r="AP31" s="60">
        <v>3.7518053226739898</v>
      </c>
      <c r="AQ31" s="60">
        <v>20.966860724125599</v>
      </c>
      <c r="AR31" s="60">
        <v>0.63051918000366702</v>
      </c>
      <c r="AS31" s="60">
        <v>0.69333040862381801</v>
      </c>
      <c r="AT31" s="60">
        <v>0.29302305919155902</v>
      </c>
      <c r="AU31" s="60">
        <v>4047.0355582955999</v>
      </c>
      <c r="AV31" s="60">
        <v>277.67410700901098</v>
      </c>
      <c r="AW31" s="60">
        <v>231.16818933258801</v>
      </c>
      <c r="AX31" s="60" t="s">
        <v>137</v>
      </c>
      <c r="AY31" s="60">
        <v>535.69431539597497</v>
      </c>
      <c r="AZ31" s="60">
        <v>366.90164761259001</v>
      </c>
      <c r="BA31" s="60">
        <v>2.5211795035850701</v>
      </c>
      <c r="BB31" s="60" t="s">
        <v>137</v>
      </c>
      <c r="BC31" s="60">
        <v>1.3537831070186499</v>
      </c>
      <c r="BD31" s="60">
        <v>67.810168599779402</v>
      </c>
      <c r="BE31" s="60">
        <v>263.006512031927</v>
      </c>
      <c r="BF31" s="60">
        <v>218.481528624671</v>
      </c>
      <c r="BG31" s="60">
        <v>195.66000832582699</v>
      </c>
      <c r="BH31" s="60">
        <v>131.404603910925</v>
      </c>
      <c r="BI31" s="60">
        <v>1565.1222232385501</v>
      </c>
      <c r="BJ31" s="60">
        <v>51.299094619880698</v>
      </c>
      <c r="BK31" s="60">
        <v>2336.7789888476</v>
      </c>
      <c r="BL31" s="60">
        <v>861.19341614175005</v>
      </c>
      <c r="BM31" s="60">
        <v>20244.674700789699</v>
      </c>
      <c r="BN31" s="60">
        <v>7635.65977634515</v>
      </c>
      <c r="BO31" s="60">
        <v>1175.5910980915901</v>
      </c>
      <c r="BP31" s="60">
        <v>593.17011572828005</v>
      </c>
      <c r="BQ31" s="60">
        <v>518.18662373081997</v>
      </c>
      <c r="BR31" s="60">
        <v>12.5168080902688</v>
      </c>
      <c r="BS31" s="60">
        <v>63.353944627718299</v>
      </c>
      <c r="BT31" s="55"/>
      <c r="BU31" s="55"/>
      <c r="BV31" s="55"/>
      <c r="BW31" s="55"/>
    </row>
    <row r="32" spans="1:75">
      <c r="A32" s="66">
        <v>1983</v>
      </c>
      <c r="B32" s="61">
        <v>48.088064310766597</v>
      </c>
      <c r="C32" s="61">
        <v>48.365960225437298</v>
      </c>
      <c r="D32" s="61">
        <v>46.582384619310801</v>
      </c>
      <c r="E32" s="61">
        <v>49.315848087551799</v>
      </c>
      <c r="F32" s="61">
        <v>61.918427126320999</v>
      </c>
      <c r="G32" s="61" t="s">
        <v>137</v>
      </c>
      <c r="H32" s="61">
        <v>4.2035619594104698</v>
      </c>
      <c r="I32" s="61">
        <v>6.5667988179797003</v>
      </c>
      <c r="J32" s="61">
        <v>8.9921620486240794</v>
      </c>
      <c r="K32" s="61">
        <v>88.355937595847294</v>
      </c>
      <c r="L32" s="61">
        <v>3.4372192397385799</v>
      </c>
      <c r="M32" s="61">
        <v>4.7204068597943003</v>
      </c>
      <c r="N32" s="61">
        <v>4.4291706834100699</v>
      </c>
      <c r="O32" s="61">
        <v>3.4002911303362402</v>
      </c>
      <c r="P32" s="61">
        <v>3.0112499171206499</v>
      </c>
      <c r="Q32" s="61">
        <v>4.0860780100966103</v>
      </c>
      <c r="R32" s="61">
        <v>3.1035822162457398</v>
      </c>
      <c r="S32" s="61">
        <v>1183.4425400673899</v>
      </c>
      <c r="T32" s="61">
        <v>1565.22217093574</v>
      </c>
      <c r="U32" s="61">
        <v>733.83301194337002</v>
      </c>
      <c r="V32" s="61">
        <v>1152.7028953947499</v>
      </c>
      <c r="W32" s="61">
        <v>813.02644377912895</v>
      </c>
      <c r="X32" s="61" t="s">
        <v>137</v>
      </c>
      <c r="Y32" s="61">
        <v>456.57492892786701</v>
      </c>
      <c r="Z32" s="61">
        <v>854.30539519667605</v>
      </c>
      <c r="AA32" s="61">
        <v>385.63053140975501</v>
      </c>
      <c r="AB32" s="61">
        <v>114.94465198492099</v>
      </c>
      <c r="AC32" s="61">
        <v>220.54174960301401</v>
      </c>
      <c r="AD32" s="61">
        <v>208.76745229851301</v>
      </c>
      <c r="AE32" s="61">
        <v>416.387741593638</v>
      </c>
      <c r="AF32" s="61" t="s">
        <v>137</v>
      </c>
      <c r="AG32" s="61" t="s">
        <v>137</v>
      </c>
      <c r="AH32" s="61" t="s">
        <v>137</v>
      </c>
      <c r="AI32" s="61">
        <v>222.62934305440899</v>
      </c>
      <c r="AJ32" s="61">
        <v>255.23768788451201</v>
      </c>
      <c r="AK32" s="61" t="s">
        <v>137</v>
      </c>
      <c r="AL32" s="61">
        <v>0.695283470734119</v>
      </c>
      <c r="AM32" s="61">
        <v>0.60511835033827799</v>
      </c>
      <c r="AN32" s="61">
        <v>3.9561179537444899</v>
      </c>
      <c r="AO32" s="61">
        <v>1.25169033137481</v>
      </c>
      <c r="AP32" s="61">
        <v>3.1310388668673399</v>
      </c>
      <c r="AQ32" s="61">
        <v>21.4150605897449</v>
      </c>
      <c r="AR32" s="61">
        <v>0.62788568991927995</v>
      </c>
      <c r="AS32" s="61">
        <v>0.78782108555343</v>
      </c>
      <c r="AT32" s="61">
        <v>0.30276185414500301</v>
      </c>
      <c r="AU32" s="61">
        <v>4307.4065594839203</v>
      </c>
      <c r="AV32" s="61">
        <v>260.67488921034601</v>
      </c>
      <c r="AW32" s="61">
        <v>223.280618163517</v>
      </c>
      <c r="AX32" s="61" t="s">
        <v>137</v>
      </c>
      <c r="AY32" s="61">
        <v>532.04944791423395</v>
      </c>
      <c r="AZ32" s="61">
        <v>372.618541159313</v>
      </c>
      <c r="BA32" s="61">
        <v>3.0059589148960701</v>
      </c>
      <c r="BB32" s="61" t="s">
        <v>137</v>
      </c>
      <c r="BC32" s="61">
        <v>1.72548719311693</v>
      </c>
      <c r="BD32" s="61">
        <v>64.536363897892102</v>
      </c>
      <c r="BE32" s="61">
        <v>274.15709468479099</v>
      </c>
      <c r="BF32" s="61">
        <v>218.35281666368701</v>
      </c>
      <c r="BG32" s="61">
        <v>185.721501549652</v>
      </c>
      <c r="BH32" s="61">
        <v>120.661550297446</v>
      </c>
      <c r="BI32" s="61">
        <v>2332.3215587841801</v>
      </c>
      <c r="BJ32" s="61">
        <v>47.021522400348502</v>
      </c>
      <c r="BK32" s="61">
        <v>2581.1978292129202</v>
      </c>
      <c r="BL32" s="61">
        <v>689.66250713683598</v>
      </c>
      <c r="BM32" s="61">
        <v>21059.1022604016</v>
      </c>
      <c r="BN32" s="61">
        <v>7576.6265473223602</v>
      </c>
      <c r="BO32" s="61">
        <v>1239.31437774712</v>
      </c>
      <c r="BP32" s="61">
        <v>685.10358137307799</v>
      </c>
      <c r="BQ32" s="61">
        <v>686.36424460294904</v>
      </c>
      <c r="BR32" s="61">
        <v>18.526939231415898</v>
      </c>
      <c r="BS32" s="61">
        <v>61.673885743403901</v>
      </c>
      <c r="BT32" s="55"/>
      <c r="BU32" s="55"/>
      <c r="BV32" s="55"/>
      <c r="BW32" s="55"/>
    </row>
    <row r="33" spans="1:75">
      <c r="A33" s="65">
        <v>1984</v>
      </c>
      <c r="B33" s="60">
        <v>47.346006754578703</v>
      </c>
      <c r="C33" s="60">
        <v>47.750815048014204</v>
      </c>
      <c r="D33" s="60">
        <v>45.581705205053098</v>
      </c>
      <c r="E33" s="60">
        <v>48.705500010668999</v>
      </c>
      <c r="F33" s="60">
        <v>51.326392700537497</v>
      </c>
      <c r="G33" s="60">
        <v>54.497161778538398</v>
      </c>
      <c r="H33" s="60">
        <v>4.4017735435777201</v>
      </c>
      <c r="I33" s="60">
        <v>6.2337734553115798</v>
      </c>
      <c r="J33" s="60">
        <v>8.6836477196204793</v>
      </c>
      <c r="K33" s="60">
        <v>88.970684776624296</v>
      </c>
      <c r="L33" s="60">
        <v>3.9723588433017101</v>
      </c>
      <c r="M33" s="60">
        <v>5.2865355522317499</v>
      </c>
      <c r="N33" s="60">
        <v>5.0347391842728602</v>
      </c>
      <c r="O33" s="60">
        <v>4.5452663873429398</v>
      </c>
      <c r="P33" s="60">
        <v>4.1453688530655901</v>
      </c>
      <c r="Q33" s="60">
        <v>4.8321633762351199</v>
      </c>
      <c r="R33" s="60">
        <v>4.6582170570140802</v>
      </c>
      <c r="S33" s="60">
        <v>1914.20503597832</v>
      </c>
      <c r="T33" s="60">
        <v>1386.98696183229</v>
      </c>
      <c r="U33" s="60">
        <v>618.67990986004497</v>
      </c>
      <c r="V33" s="60">
        <v>1685.55044669329</v>
      </c>
      <c r="W33" s="60">
        <v>1208.3462464573399</v>
      </c>
      <c r="X33" s="60" t="s">
        <v>137</v>
      </c>
      <c r="Y33" s="60">
        <v>467.671169021048</v>
      </c>
      <c r="Z33" s="60">
        <v>1200.33297384191</v>
      </c>
      <c r="AA33" s="60">
        <v>326.886258760354</v>
      </c>
      <c r="AB33" s="60">
        <v>130.51686852313301</v>
      </c>
      <c r="AC33" s="60">
        <v>225.38158190124801</v>
      </c>
      <c r="AD33" s="60">
        <v>195.94662102682199</v>
      </c>
      <c r="AE33" s="60">
        <v>385.46466317785399</v>
      </c>
      <c r="AF33" s="60" t="s">
        <v>137</v>
      </c>
      <c r="AG33" s="60" t="s">
        <v>137</v>
      </c>
      <c r="AH33" s="60" t="s">
        <v>137</v>
      </c>
      <c r="AI33" s="60">
        <v>232.485762554443</v>
      </c>
      <c r="AJ33" s="60">
        <v>252.55624725863399</v>
      </c>
      <c r="AK33" s="60" t="s">
        <v>137</v>
      </c>
      <c r="AL33" s="60">
        <v>0.61256495389523802</v>
      </c>
      <c r="AM33" s="60">
        <v>0.58423941679842994</v>
      </c>
      <c r="AN33" s="60">
        <v>3.7686973749844501</v>
      </c>
      <c r="AO33" s="60">
        <v>1.44869104602438</v>
      </c>
      <c r="AP33" s="60">
        <v>3.1850133608741902</v>
      </c>
      <c r="AQ33" s="60">
        <v>19.455673270766301</v>
      </c>
      <c r="AR33" s="60">
        <v>0.60132161453709598</v>
      </c>
      <c r="AS33" s="60">
        <v>0.79461444028182304</v>
      </c>
      <c r="AT33" s="60">
        <v>0.19010798480737401</v>
      </c>
      <c r="AU33" s="60">
        <v>4619.4955421376098</v>
      </c>
      <c r="AV33" s="60">
        <v>291.20094524589501</v>
      </c>
      <c r="AW33" s="60">
        <v>259.89529969538398</v>
      </c>
      <c r="AX33" s="60" t="s">
        <v>137</v>
      </c>
      <c r="AY33" s="60">
        <v>582.98624437291096</v>
      </c>
      <c r="AZ33" s="60">
        <v>376.31433481027199</v>
      </c>
      <c r="BA33" s="60">
        <v>2.9591357850300199</v>
      </c>
      <c r="BB33" s="60" t="s">
        <v>137</v>
      </c>
      <c r="BC33" s="60">
        <v>1.58770562486147</v>
      </c>
      <c r="BD33" s="60">
        <v>54.821837479335898</v>
      </c>
      <c r="BE33" s="60">
        <v>291.17193167263201</v>
      </c>
      <c r="BF33" s="60">
        <v>217.60179947065001</v>
      </c>
      <c r="BG33" s="60">
        <v>248.96409056895999</v>
      </c>
      <c r="BH33" s="60">
        <v>139.472391470236</v>
      </c>
      <c r="BI33" s="60">
        <v>2074.5948321722799</v>
      </c>
      <c r="BJ33" s="60">
        <v>43.354568046914302</v>
      </c>
      <c r="BK33" s="60">
        <v>2283.4787436768302</v>
      </c>
      <c r="BL33" s="60">
        <v>733.80853176410403</v>
      </c>
      <c r="BM33" s="60">
        <v>20282.131813149499</v>
      </c>
      <c r="BN33" s="60">
        <v>7878.7739793733599</v>
      </c>
      <c r="BO33" s="60">
        <v>1528.49030343092</v>
      </c>
      <c r="BP33" s="60">
        <v>597.64230604709599</v>
      </c>
      <c r="BQ33" s="60">
        <v>593.21704532516196</v>
      </c>
      <c r="BR33" s="60">
        <v>13.5021294852111</v>
      </c>
      <c r="BS33" s="60">
        <v>60.316596792529197</v>
      </c>
      <c r="BT33" s="55"/>
      <c r="BU33" s="55"/>
      <c r="BV33" s="55"/>
      <c r="BW33" s="55"/>
    </row>
    <row r="34" spans="1:75">
      <c r="A34" s="66">
        <v>1985</v>
      </c>
      <c r="B34" s="61">
        <v>45.542674072633098</v>
      </c>
      <c r="C34" s="61">
        <v>45.787001723237402</v>
      </c>
      <c r="D34" s="61">
        <v>44.328016609629103</v>
      </c>
      <c r="E34" s="61">
        <v>46.513003885032902</v>
      </c>
      <c r="F34" s="61">
        <v>56.5443991398419</v>
      </c>
      <c r="G34" s="61">
        <v>58.5004165026794</v>
      </c>
      <c r="H34" s="61">
        <v>4.20662406440354</v>
      </c>
      <c r="I34" s="61">
        <v>6.1151720551236401</v>
      </c>
      <c r="J34" s="61">
        <v>8.7622876296703094</v>
      </c>
      <c r="K34" s="61">
        <v>86.090362157744195</v>
      </c>
      <c r="L34" s="61">
        <v>3.7770820930612299</v>
      </c>
      <c r="M34" s="61">
        <v>5.4128347714866596</v>
      </c>
      <c r="N34" s="61">
        <v>4.43749275185451</v>
      </c>
      <c r="O34" s="61">
        <v>2.93105222770888</v>
      </c>
      <c r="P34" s="61">
        <v>2.4405165809013201</v>
      </c>
      <c r="Q34" s="61">
        <v>3.6913032622554902</v>
      </c>
      <c r="R34" s="61">
        <v>2.6613635065877101</v>
      </c>
      <c r="S34" s="61">
        <v>988.75909804533399</v>
      </c>
      <c r="T34" s="61">
        <v>1132.1445249999399</v>
      </c>
      <c r="U34" s="61">
        <v>469.248704960515</v>
      </c>
      <c r="V34" s="61">
        <v>1516.0879759494901</v>
      </c>
      <c r="W34" s="61">
        <v>838.67211267414802</v>
      </c>
      <c r="X34" s="61" t="s">
        <v>137</v>
      </c>
      <c r="Y34" s="61">
        <v>375.985350329862</v>
      </c>
      <c r="Z34" s="61">
        <v>958.32285357006106</v>
      </c>
      <c r="AA34" s="61">
        <v>263.31539945121398</v>
      </c>
      <c r="AB34" s="61">
        <v>98.540831883704698</v>
      </c>
      <c r="AC34" s="61">
        <v>188.034559905035</v>
      </c>
      <c r="AD34" s="61">
        <v>172.58048696481501</v>
      </c>
      <c r="AE34" s="61">
        <v>329.93307858596899</v>
      </c>
      <c r="AF34" s="61" t="s">
        <v>137</v>
      </c>
      <c r="AG34" s="61" t="s">
        <v>137</v>
      </c>
      <c r="AH34" s="61" t="s">
        <v>137</v>
      </c>
      <c r="AI34" s="61">
        <v>215.555626469098</v>
      </c>
      <c r="AJ34" s="61">
        <v>227.56537761480001</v>
      </c>
      <c r="AK34" s="61" t="s">
        <v>137</v>
      </c>
      <c r="AL34" s="61">
        <v>0.633415943796522</v>
      </c>
      <c r="AM34" s="61">
        <v>0.66748917987079004</v>
      </c>
      <c r="AN34" s="61">
        <v>3.6090265541856099</v>
      </c>
      <c r="AO34" s="61">
        <v>1.4039671627744501</v>
      </c>
      <c r="AP34" s="61">
        <v>3.0905772411834098</v>
      </c>
      <c r="AQ34" s="61">
        <v>17.577629263471799</v>
      </c>
      <c r="AR34" s="61">
        <v>0.58703575139618902</v>
      </c>
      <c r="AS34" s="61">
        <v>0.75177019673345902</v>
      </c>
      <c r="AT34" s="61">
        <v>0.14989152325070201</v>
      </c>
      <c r="AU34" s="61">
        <v>4375.8104912619601</v>
      </c>
      <c r="AV34" s="61">
        <v>291.32232900047899</v>
      </c>
      <c r="AW34" s="61">
        <v>203.95215730240099</v>
      </c>
      <c r="AX34" s="61">
        <v>514.34460847204298</v>
      </c>
      <c r="AY34" s="61">
        <v>514.56637264504002</v>
      </c>
      <c r="AZ34" s="61">
        <v>353.30336740576598</v>
      </c>
      <c r="BA34" s="61">
        <v>2.20863819198226</v>
      </c>
      <c r="BB34" s="61" t="s">
        <v>137</v>
      </c>
      <c r="BC34" s="61">
        <v>1.2711320542436799</v>
      </c>
      <c r="BD34" s="61">
        <v>60.314025749164699</v>
      </c>
      <c r="BE34" s="61">
        <v>263.31539945121398</v>
      </c>
      <c r="BF34" s="61">
        <v>203.35041320291299</v>
      </c>
      <c r="BG34" s="61">
        <v>187.01536456251401</v>
      </c>
      <c r="BH34" s="61">
        <v>139.406376644771</v>
      </c>
      <c r="BI34" s="61">
        <v>1743.6198457722101</v>
      </c>
      <c r="BJ34" s="61">
        <v>44.498347886050396</v>
      </c>
      <c r="BK34" s="61">
        <v>2374.6693017528801</v>
      </c>
      <c r="BL34" s="61">
        <v>654.83998835950695</v>
      </c>
      <c r="BM34" s="61">
        <v>19332.390450111601</v>
      </c>
      <c r="BN34" s="61">
        <v>8207.8034785990003</v>
      </c>
      <c r="BO34" s="61">
        <v>1312.5700237861599</v>
      </c>
      <c r="BP34" s="61">
        <v>532.61892057923797</v>
      </c>
      <c r="BQ34" s="61">
        <v>490.05006305395898</v>
      </c>
      <c r="BR34" s="61">
        <v>10.245398353578199</v>
      </c>
      <c r="BS34" s="61">
        <v>59.687609229928697</v>
      </c>
      <c r="BT34" s="55"/>
      <c r="BU34" s="55"/>
      <c r="BV34" s="55"/>
      <c r="BW34" s="55"/>
    </row>
    <row r="35" spans="1:75">
      <c r="A35" s="65">
        <v>1986</v>
      </c>
      <c r="B35" s="60">
        <v>20.902924169974199</v>
      </c>
      <c r="C35" s="60">
        <v>21.515930947316701</v>
      </c>
      <c r="D35" s="60">
        <v>19.2217075628073</v>
      </c>
      <c r="E35" s="60">
        <v>21.971133999798699</v>
      </c>
      <c r="F35" s="60">
        <v>45.338224027208902</v>
      </c>
      <c r="G35" s="60">
        <v>44.238453452412301</v>
      </c>
      <c r="H35" s="60">
        <v>2.8186173009686502</v>
      </c>
      <c r="I35" s="60">
        <v>5.31677165298996</v>
      </c>
      <c r="J35" s="60">
        <v>5.9722640485640603</v>
      </c>
      <c r="K35" s="60">
        <v>63.549480387273498</v>
      </c>
      <c r="L35" s="60">
        <v>3.0147066372298399</v>
      </c>
      <c r="M35" s="60">
        <v>6.2527905163736399</v>
      </c>
      <c r="N35" s="60">
        <v>4.7264764732793401</v>
      </c>
      <c r="O35" s="60">
        <v>2.4174073998850298</v>
      </c>
      <c r="P35" s="60">
        <v>1.61473634991032</v>
      </c>
      <c r="Q35" s="60">
        <v>3.1506864711045099</v>
      </c>
      <c r="R35" s="60">
        <v>2.4868598538831201</v>
      </c>
      <c r="S35" s="60">
        <v>431.89665619493798</v>
      </c>
      <c r="T35" s="60">
        <v>1447.3029319314901</v>
      </c>
      <c r="U35" s="60">
        <v>466.97763810621802</v>
      </c>
      <c r="V35" s="60">
        <v>829.44065536256596</v>
      </c>
      <c r="W35" s="60">
        <v>374.358990361211</v>
      </c>
      <c r="X35" s="60" t="s">
        <v>137</v>
      </c>
      <c r="Y35" s="60">
        <v>303.59008913534001</v>
      </c>
      <c r="Z35" s="60">
        <v>498.78115803962902</v>
      </c>
      <c r="AA35" s="60">
        <v>269.11604462736801</v>
      </c>
      <c r="AB35" s="60">
        <v>69.278262963343096</v>
      </c>
      <c r="AC35" s="60">
        <v>127.54182593142799</v>
      </c>
      <c r="AD35" s="60">
        <v>120.047362875364</v>
      </c>
      <c r="AE35" s="60">
        <v>271.29373603044201</v>
      </c>
      <c r="AF35" s="60">
        <v>151.66765811771401</v>
      </c>
      <c r="AG35" s="60">
        <v>151.85573830800101</v>
      </c>
      <c r="AH35" s="60" t="s">
        <v>137</v>
      </c>
      <c r="AI35" s="60">
        <v>172.45155215189999</v>
      </c>
      <c r="AJ35" s="60">
        <v>167.39333583272</v>
      </c>
      <c r="AK35" s="60" t="s">
        <v>137</v>
      </c>
      <c r="AL35" s="60">
        <v>0.55603963266783296</v>
      </c>
      <c r="AM35" s="60">
        <v>0.57352792700678901</v>
      </c>
      <c r="AN35" s="60">
        <v>3.0475298120007999</v>
      </c>
      <c r="AO35" s="60">
        <v>1.3481553582730199</v>
      </c>
      <c r="AP35" s="60">
        <v>3.1365796678143498</v>
      </c>
      <c r="AQ35" s="60">
        <v>18.770146134745101</v>
      </c>
      <c r="AR35" s="60">
        <v>0.59747338128120997</v>
      </c>
      <c r="AS35" s="60">
        <v>0.67050504201382799</v>
      </c>
      <c r="AT35" s="60">
        <v>0.19428066279932499</v>
      </c>
      <c r="AU35" s="60">
        <v>3873.4915021676002</v>
      </c>
      <c r="AV35" s="60">
        <v>322.85792394079903</v>
      </c>
      <c r="AW35" s="60">
        <v>201.85766934223901</v>
      </c>
      <c r="AX35" s="60" t="s">
        <v>137</v>
      </c>
      <c r="AY35" s="60">
        <v>479.736582387618</v>
      </c>
      <c r="AZ35" s="60">
        <v>398.71053285678897</v>
      </c>
      <c r="BA35" s="60">
        <v>1.5386227336334199</v>
      </c>
      <c r="BB35" s="60" t="s">
        <v>137</v>
      </c>
      <c r="BC35" s="60">
        <v>1.17484873158592</v>
      </c>
      <c r="BD35" s="60">
        <v>52.439391645928303</v>
      </c>
      <c r="BE35" s="60">
        <v>201.26044293738201</v>
      </c>
      <c r="BF35" s="60">
        <v>176.49739688236099</v>
      </c>
      <c r="BG35" s="60">
        <v>103.057971081929</v>
      </c>
      <c r="BH35" s="60">
        <v>106.274739319468</v>
      </c>
      <c r="BI35" s="60">
        <v>1675.0525508989101</v>
      </c>
      <c r="BJ35" s="60">
        <v>38.251622906168798</v>
      </c>
      <c r="BK35" s="60">
        <v>2001.1187459536</v>
      </c>
      <c r="BL35" s="60">
        <v>591.50905451723202</v>
      </c>
      <c r="BM35" s="60">
        <v>8974.9533252083693</v>
      </c>
      <c r="BN35" s="60">
        <v>5653.6097730785796</v>
      </c>
      <c r="BO35" s="60">
        <v>1098.36248002088</v>
      </c>
      <c r="BP35" s="60">
        <v>535.60162254879401</v>
      </c>
      <c r="BQ35" s="60">
        <v>677.40040808395895</v>
      </c>
      <c r="BR35" s="60">
        <v>7.9229972790445302</v>
      </c>
      <c r="BS35" s="60">
        <v>68.650681996985398</v>
      </c>
      <c r="BT35" s="55"/>
      <c r="BU35" s="55"/>
      <c r="BV35" s="55"/>
      <c r="BW35" s="55"/>
    </row>
    <row r="36" spans="1:75">
      <c r="A36" s="66">
        <v>1987</v>
      </c>
      <c r="B36" s="61">
        <v>24.1204035057916</v>
      </c>
      <c r="C36" s="61">
        <v>24.380715552811601</v>
      </c>
      <c r="D36" s="61">
        <v>22.514222790136099</v>
      </c>
      <c r="E36" s="61">
        <v>25.466272174427001</v>
      </c>
      <c r="F36" s="61">
        <v>36.554457666641703</v>
      </c>
      <c r="G36" s="61">
        <v>35.218558395551703</v>
      </c>
      <c r="H36" s="61">
        <v>2.2098831225742499</v>
      </c>
      <c r="I36" s="61">
        <v>3.44276528569462</v>
      </c>
      <c r="J36" s="61">
        <v>4.4529975702999902</v>
      </c>
      <c r="K36" s="61">
        <v>46.2191256303187</v>
      </c>
      <c r="L36" s="61">
        <v>2.6508184989010202</v>
      </c>
      <c r="M36" s="61">
        <v>3.32975662596278</v>
      </c>
      <c r="N36" s="61">
        <v>2.9886149190659399</v>
      </c>
      <c r="O36" s="61">
        <v>2.19489579493092</v>
      </c>
      <c r="P36" s="61">
        <v>1.79310547960852</v>
      </c>
      <c r="Q36" s="61">
        <v>3.0500161062351001</v>
      </c>
      <c r="R36" s="61">
        <v>1.74155405721426</v>
      </c>
      <c r="S36" s="61">
        <v>587.86214192990201</v>
      </c>
      <c r="T36" s="61">
        <v>1008.23840509628</v>
      </c>
      <c r="U36" s="61">
        <v>509.65775674005602</v>
      </c>
      <c r="V36" s="61">
        <v>664.29418977833404</v>
      </c>
      <c r="W36" s="61">
        <v>455.37992565928499</v>
      </c>
      <c r="X36" s="61" t="s">
        <v>137</v>
      </c>
      <c r="Y36" s="61">
        <v>286.78633605738003</v>
      </c>
      <c r="Z36" s="61">
        <v>444.302817275454</v>
      </c>
      <c r="AA36" s="61">
        <v>270.17067348163403</v>
      </c>
      <c r="AB36" s="61">
        <v>73.1111307549602</v>
      </c>
      <c r="AC36" s="61">
        <v>100.62002171536599</v>
      </c>
      <c r="AD36" s="61">
        <v>96.720879564257203</v>
      </c>
      <c r="AE36" s="61">
        <v>285.26877220879499</v>
      </c>
      <c r="AF36" s="61">
        <v>253.88732415740199</v>
      </c>
      <c r="AG36" s="61">
        <v>204.59419184935501</v>
      </c>
      <c r="AH36" s="61" t="s">
        <v>137</v>
      </c>
      <c r="AI36" s="61">
        <v>149.011477400969</v>
      </c>
      <c r="AJ36" s="61">
        <v>150.067125829948</v>
      </c>
      <c r="AK36" s="61" t="s">
        <v>137</v>
      </c>
      <c r="AL36" s="61">
        <v>0.52248504824853204</v>
      </c>
      <c r="AM36" s="61">
        <v>0.60611832425729295</v>
      </c>
      <c r="AN36" s="61">
        <v>3.17152013269975</v>
      </c>
      <c r="AO36" s="61">
        <v>1.2074139196637399</v>
      </c>
      <c r="AP36" s="61">
        <v>2.87445424006218</v>
      </c>
      <c r="AQ36" s="61">
        <v>15.2066543893229</v>
      </c>
      <c r="AR36" s="61">
        <v>0.628241015164275</v>
      </c>
      <c r="AS36" s="61">
        <v>0.63977649268815195</v>
      </c>
      <c r="AT36" s="61">
        <v>0.19800331236097601</v>
      </c>
      <c r="AU36" s="61">
        <v>3649.5250522330098</v>
      </c>
      <c r="AV36" s="61">
        <v>344.164649774785</v>
      </c>
      <c r="AW36" s="61">
        <v>268.20670216517999</v>
      </c>
      <c r="AX36" s="61" t="s">
        <v>137</v>
      </c>
      <c r="AY36" s="61">
        <v>533.424666462196</v>
      </c>
      <c r="AZ36" s="61">
        <v>530.91251230695002</v>
      </c>
      <c r="BA36" s="61">
        <v>2.1911849636223399</v>
      </c>
      <c r="BB36" s="61" t="s">
        <v>137</v>
      </c>
      <c r="BC36" s="61">
        <v>1.3088489724166801</v>
      </c>
      <c r="BD36" s="61">
        <v>45.388451602746798</v>
      </c>
      <c r="BE36" s="61">
        <v>212.68048096955201</v>
      </c>
      <c r="BF36" s="61">
        <v>183.436914836238</v>
      </c>
      <c r="BG36" s="61">
        <v>109.663372999925</v>
      </c>
      <c r="BH36" s="61">
        <v>89.447650199433895</v>
      </c>
      <c r="BI36" s="61">
        <v>2080.76059327645</v>
      </c>
      <c r="BJ36" s="61">
        <v>33.630101053310398</v>
      </c>
      <c r="BK36" s="61">
        <v>2369.3979141447699</v>
      </c>
      <c r="BL36" s="61">
        <v>793.35357955834695</v>
      </c>
      <c r="BM36" s="61">
        <v>8859.2497432202108</v>
      </c>
      <c r="BN36" s="61">
        <v>6476.4086503408298</v>
      </c>
      <c r="BO36" s="61">
        <v>1061.7962241321</v>
      </c>
      <c r="BP36" s="61">
        <v>593.47491274798904</v>
      </c>
      <c r="BQ36" s="61">
        <v>738.69691137084897</v>
      </c>
      <c r="BR36" s="61">
        <v>9.3181854206706998</v>
      </c>
      <c r="BS36" s="61">
        <v>75.230222947871894</v>
      </c>
      <c r="BT36" s="55"/>
      <c r="BU36" s="55"/>
      <c r="BV36" s="55"/>
      <c r="BW36" s="55"/>
    </row>
    <row r="37" spans="1:75">
      <c r="A37" s="65">
        <v>1988</v>
      </c>
      <c r="B37" s="60">
        <v>18.371584512224601</v>
      </c>
      <c r="C37" s="60">
        <v>18.6871104517571</v>
      </c>
      <c r="D37" s="60">
        <v>16.4974991241228</v>
      </c>
      <c r="E37" s="60">
        <v>19.930143960793998</v>
      </c>
      <c r="F37" s="60">
        <v>43.532177701421197</v>
      </c>
      <c r="G37" s="60">
        <v>35.080590035374698</v>
      </c>
      <c r="H37" s="60">
        <v>2.0991143273946999</v>
      </c>
      <c r="I37" s="60">
        <v>2.94583338710693</v>
      </c>
      <c r="J37" s="60">
        <v>4.1691031834479402</v>
      </c>
      <c r="K37" s="60">
        <v>42.319281542171296</v>
      </c>
      <c r="L37" s="60">
        <v>1.97795236661425</v>
      </c>
      <c r="M37" s="60">
        <v>3.7867793623211199</v>
      </c>
      <c r="N37" s="60">
        <v>2.5953083395125498</v>
      </c>
      <c r="O37" s="60">
        <v>1.9697348229143401</v>
      </c>
      <c r="P37" s="60">
        <v>1.6998768249621901</v>
      </c>
      <c r="Q37" s="60">
        <v>2.5123089637331102</v>
      </c>
      <c r="R37" s="60">
        <v>1.69696323763264</v>
      </c>
      <c r="S37" s="60">
        <v>705.044445544165</v>
      </c>
      <c r="T37" s="60">
        <v>1168.0354203327599</v>
      </c>
      <c r="U37" s="60">
        <v>679.55965812039403</v>
      </c>
      <c r="V37" s="60">
        <v>736.87442493875301</v>
      </c>
      <c r="W37" s="60">
        <v>545.68650949021696</v>
      </c>
      <c r="X37" s="60" t="s">
        <v>137</v>
      </c>
      <c r="Y37" s="60">
        <v>378.839166519895</v>
      </c>
      <c r="Z37" s="60">
        <v>578.45266474935102</v>
      </c>
      <c r="AA37" s="60">
        <v>333.90272502165402</v>
      </c>
      <c r="AB37" s="60">
        <v>87.792492186378794</v>
      </c>
      <c r="AC37" s="60">
        <v>133.4248244106</v>
      </c>
      <c r="AD37" s="60">
        <v>122.900127302285</v>
      </c>
      <c r="AE37" s="60">
        <v>346.34866304309998</v>
      </c>
      <c r="AF37" s="60" t="s">
        <v>137</v>
      </c>
      <c r="AG37" s="60">
        <v>274.299528312181</v>
      </c>
      <c r="AH37" s="60" t="s">
        <v>137</v>
      </c>
      <c r="AI37" s="60">
        <v>175.654677464896</v>
      </c>
      <c r="AJ37" s="60">
        <v>181.24260718083499</v>
      </c>
      <c r="AK37" s="60" t="s">
        <v>137</v>
      </c>
      <c r="AL37" s="60">
        <v>0.59682251560256805</v>
      </c>
      <c r="AM37" s="60">
        <v>0.56595783754386797</v>
      </c>
      <c r="AN37" s="60">
        <v>3.1418998190051601</v>
      </c>
      <c r="AO37" s="60">
        <v>1.25185437834614</v>
      </c>
      <c r="AP37" s="60">
        <v>3.0092228950907902</v>
      </c>
      <c r="AQ37" s="60">
        <v>15.5280370066145</v>
      </c>
      <c r="AR37" s="60">
        <v>0.65537459083252503</v>
      </c>
      <c r="AS37" s="60">
        <v>0.60873940764250001</v>
      </c>
      <c r="AT37" s="60">
        <v>0.280436681201987</v>
      </c>
      <c r="AU37" s="60">
        <v>3080.5126871760199</v>
      </c>
      <c r="AV37" s="60">
        <v>338.67098075841199</v>
      </c>
      <c r="AW37" s="60">
        <v>250.72141906587001</v>
      </c>
      <c r="AX37" s="60" t="s">
        <v>137</v>
      </c>
      <c r="AY37" s="60">
        <v>502.19772303334599</v>
      </c>
      <c r="AZ37" s="60">
        <v>447.91126200155497</v>
      </c>
      <c r="BA37" s="60">
        <v>1.74677933979552</v>
      </c>
      <c r="BB37" s="60" t="s">
        <v>137</v>
      </c>
      <c r="BC37" s="60">
        <v>1.4790954542594701</v>
      </c>
      <c r="BD37" s="60">
        <v>39.4442097595674</v>
      </c>
      <c r="BE37" s="60">
        <v>224.89024657221699</v>
      </c>
      <c r="BF37" s="60">
        <v>197.68913673010999</v>
      </c>
      <c r="BG37" s="60">
        <v>141.72662393831899</v>
      </c>
      <c r="BH37" s="60">
        <v>108.388361206406</v>
      </c>
      <c r="BI37" s="60">
        <v>3183.5669263453201</v>
      </c>
      <c r="BJ37" s="60">
        <v>30.332098011312901</v>
      </c>
      <c r="BK37" s="60">
        <v>3247.4962957444</v>
      </c>
      <c r="BL37" s="60">
        <v>819.12267561620502</v>
      </c>
      <c r="BM37" s="60">
        <v>8802.0919097328206</v>
      </c>
      <c r="BN37" s="60">
        <v>17198.570023219701</v>
      </c>
      <c r="BO37" s="60">
        <v>1549.6935164003401</v>
      </c>
      <c r="BP37" s="60">
        <v>545.5388017427</v>
      </c>
      <c r="BQ37" s="60">
        <v>661.992838119878</v>
      </c>
      <c r="BR37" s="60">
        <v>8.1515433014593199</v>
      </c>
      <c r="BS37" s="60">
        <v>80.113152710164997</v>
      </c>
      <c r="BT37" s="55"/>
      <c r="BU37" s="55"/>
      <c r="BV37" s="55"/>
      <c r="BW37" s="55"/>
    </row>
    <row r="38" spans="1:75">
      <c r="A38" s="66">
        <v>1989</v>
      </c>
      <c r="B38" s="61">
        <v>22.401339204335201</v>
      </c>
      <c r="C38" s="61">
        <v>22.875736920278801</v>
      </c>
      <c r="D38" s="61">
        <v>19.720643287404101</v>
      </c>
      <c r="E38" s="61">
        <v>24.607637405322802</v>
      </c>
      <c r="F38" s="61">
        <v>47.718829074323502</v>
      </c>
      <c r="G38" s="61">
        <v>38.928518455369201</v>
      </c>
      <c r="H38" s="61">
        <v>2.1306038595465502</v>
      </c>
      <c r="I38" s="61">
        <v>2.6245355990877899</v>
      </c>
      <c r="J38" s="61">
        <v>4.11888840431003</v>
      </c>
      <c r="K38" s="61">
        <v>41.1402096467015</v>
      </c>
      <c r="L38" s="61">
        <v>1.5584383554966099</v>
      </c>
      <c r="M38" s="61">
        <v>2.9978831133168802</v>
      </c>
      <c r="N38" s="61">
        <v>2.07905496655968</v>
      </c>
      <c r="O38" s="61">
        <v>2.2915607257729</v>
      </c>
      <c r="P38" s="61">
        <v>1.9204240793110401</v>
      </c>
      <c r="Q38" s="61">
        <v>3.0483333221229398</v>
      </c>
      <c r="R38" s="61">
        <v>1.9059527165149199</v>
      </c>
      <c r="S38" s="61">
        <v>649.01793403279498</v>
      </c>
      <c r="T38" s="61">
        <v>1026.5827044278799</v>
      </c>
      <c r="U38" s="61">
        <v>512.87276599399001</v>
      </c>
      <c r="V38" s="61">
        <v>972.89902171926701</v>
      </c>
      <c r="W38" s="61">
        <v>440.03876372265398</v>
      </c>
      <c r="X38" s="61" t="s">
        <v>137</v>
      </c>
      <c r="Y38" s="61">
        <v>345.33363145892002</v>
      </c>
      <c r="Z38" s="61">
        <v>541.85986172554203</v>
      </c>
      <c r="AA38" s="61">
        <v>310.90491486801602</v>
      </c>
      <c r="AB38" s="61">
        <v>94.354566304525903</v>
      </c>
      <c r="AC38" s="61">
        <v>140.04743807429</v>
      </c>
      <c r="AD38" s="61">
        <v>133.03193302792499</v>
      </c>
      <c r="AE38" s="61">
        <v>375.67590007756098</v>
      </c>
      <c r="AF38" s="61" t="s">
        <v>137</v>
      </c>
      <c r="AG38" s="61">
        <v>274.48791373234798</v>
      </c>
      <c r="AH38" s="61" t="s">
        <v>137</v>
      </c>
      <c r="AI38" s="61">
        <v>202.50573441861101</v>
      </c>
      <c r="AJ38" s="61">
        <v>212.51831679982001</v>
      </c>
      <c r="AK38" s="61" t="s">
        <v>137</v>
      </c>
      <c r="AL38" s="61">
        <v>0.68663837055082</v>
      </c>
      <c r="AM38" s="61">
        <v>0.55934734752951198</v>
      </c>
      <c r="AN38" s="61">
        <v>3.2261172497447301</v>
      </c>
      <c r="AO38" s="61">
        <v>1.3807516694302799</v>
      </c>
      <c r="AP38" s="61">
        <v>2.9146472434797799</v>
      </c>
      <c r="AQ38" s="61">
        <v>14.0079878506337</v>
      </c>
      <c r="AR38" s="61">
        <v>0.629898518730579</v>
      </c>
      <c r="AS38" s="61">
        <v>0.63134974170454605</v>
      </c>
      <c r="AT38" s="61">
        <v>0.35419719466636601</v>
      </c>
      <c r="AU38" s="61">
        <v>3977.70659757967</v>
      </c>
      <c r="AV38" s="61">
        <v>343.77858365180498</v>
      </c>
      <c r="AW38" s="61">
        <v>239.33295004983</v>
      </c>
      <c r="AX38" s="61" t="s">
        <v>137</v>
      </c>
      <c r="AY38" s="61">
        <v>609.39319791848902</v>
      </c>
      <c r="AZ38" s="61">
        <v>439.91737371886899</v>
      </c>
      <c r="BA38" s="61">
        <v>2.1024225422884002</v>
      </c>
      <c r="BB38" s="61" t="s">
        <v>137</v>
      </c>
      <c r="BC38" s="61">
        <v>1.2179603241891199</v>
      </c>
      <c r="BD38" s="61">
        <v>38.928518455369201</v>
      </c>
      <c r="BE38" s="61">
        <v>195.00885521930201</v>
      </c>
      <c r="BF38" s="61">
        <v>180.82924701848901</v>
      </c>
      <c r="BG38" s="61">
        <v>129.29081868712001</v>
      </c>
      <c r="BH38" s="61">
        <v>123.482934885311</v>
      </c>
      <c r="BI38" s="61">
        <v>2450.3074567579201</v>
      </c>
      <c r="BJ38" s="61">
        <v>34.947763503642697</v>
      </c>
      <c r="BK38" s="61">
        <v>3576.9155243051</v>
      </c>
      <c r="BL38" s="61">
        <v>845.722063442896</v>
      </c>
      <c r="BM38" s="61">
        <v>10717.188565251099</v>
      </c>
      <c r="BN38" s="61">
        <v>16711.856003057499</v>
      </c>
      <c r="BO38" s="61">
        <v>2083.01060633821</v>
      </c>
      <c r="BP38" s="61">
        <v>478.98611855792097</v>
      </c>
      <c r="BQ38" s="61">
        <v>639.98798280291896</v>
      </c>
      <c r="BR38" s="61">
        <v>6.9155780510078397</v>
      </c>
      <c r="BS38" s="61">
        <v>79.633135886075195</v>
      </c>
      <c r="BT38" s="55"/>
      <c r="BU38" s="55"/>
      <c r="BV38" s="55"/>
      <c r="BW38" s="55"/>
    </row>
    <row r="39" spans="1:75">
      <c r="A39" s="65">
        <v>1990</v>
      </c>
      <c r="B39" s="60">
        <v>27.6745064632835</v>
      </c>
      <c r="C39" s="60">
        <v>28.6472217696783</v>
      </c>
      <c r="D39" s="60">
        <v>24.7513205684184</v>
      </c>
      <c r="E39" s="60">
        <v>29.624977051753799</v>
      </c>
      <c r="F39" s="60">
        <v>47.980568481234499</v>
      </c>
      <c r="G39" s="60">
        <v>39.7654081215274</v>
      </c>
      <c r="H39" s="60">
        <v>2.0542940874948701</v>
      </c>
      <c r="I39" s="60">
        <v>3.41105554076676</v>
      </c>
      <c r="J39" s="60">
        <v>4.4029227547485803</v>
      </c>
      <c r="K39" s="60">
        <v>44.1450773033202</v>
      </c>
      <c r="L39" s="60">
        <v>1.5321526069637901</v>
      </c>
      <c r="M39" s="60">
        <v>2.3855616090426199</v>
      </c>
      <c r="N39" s="60">
        <v>1.4294076627349599</v>
      </c>
      <c r="O39" s="60">
        <v>2.4887500711313599</v>
      </c>
      <c r="P39" s="60">
        <v>2.27074914864271</v>
      </c>
      <c r="Q39" s="60">
        <v>3.39761836080466</v>
      </c>
      <c r="R39" s="60">
        <v>1.7978815951520699</v>
      </c>
      <c r="S39" s="60">
        <v>407.028435981565</v>
      </c>
      <c r="T39" s="60">
        <v>1603.3170635767201</v>
      </c>
      <c r="U39" s="60">
        <v>498.55439434492803</v>
      </c>
      <c r="V39" s="60">
        <v>1165.6455754558699</v>
      </c>
      <c r="W39" s="60">
        <v>350.47990884296701</v>
      </c>
      <c r="X39" s="60" t="s">
        <v>137</v>
      </c>
      <c r="Y39" s="60">
        <v>298.46735981709099</v>
      </c>
      <c r="Z39" s="60">
        <v>541.09178909089701</v>
      </c>
      <c r="AA39" s="60">
        <v>242.120431705725</v>
      </c>
      <c r="AB39" s="60">
        <v>96.676813509142903</v>
      </c>
      <c r="AC39" s="60">
        <v>132.17941019984801</v>
      </c>
      <c r="AD39" s="60">
        <v>125.72420934787699</v>
      </c>
      <c r="AE39" s="60">
        <v>327.62361913053002</v>
      </c>
      <c r="AF39" s="60" t="s">
        <v>137</v>
      </c>
      <c r="AG39" s="60">
        <v>188.898288516457</v>
      </c>
      <c r="AH39" s="60" t="s">
        <v>137</v>
      </c>
      <c r="AI39" s="60">
        <v>156.14550255719701</v>
      </c>
      <c r="AJ39" s="60">
        <v>163.927225008356</v>
      </c>
      <c r="AK39" s="60" t="s">
        <v>137</v>
      </c>
      <c r="AL39" s="60">
        <v>0.65420900327081599</v>
      </c>
      <c r="AM39" s="60">
        <v>0.64236808440633997</v>
      </c>
      <c r="AN39" s="60">
        <v>3.1004720794130201</v>
      </c>
      <c r="AO39" s="60">
        <v>1.3089030336412499</v>
      </c>
      <c r="AP39" s="60">
        <v>3.21342801437115</v>
      </c>
      <c r="AQ39" s="60">
        <v>13.0545450084132</v>
      </c>
      <c r="AR39" s="60">
        <v>0.705416554441753</v>
      </c>
      <c r="AS39" s="60">
        <v>0.62007337329746004</v>
      </c>
      <c r="AT39" s="60">
        <v>0.33466446515661102</v>
      </c>
      <c r="AU39" s="60">
        <v>4103.1681851426101</v>
      </c>
      <c r="AV39" s="60">
        <v>415.44922734904901</v>
      </c>
      <c r="AW39" s="60">
        <v>214.33101379691999</v>
      </c>
      <c r="AX39" s="60">
        <v>644.71368908818499</v>
      </c>
      <c r="AY39" s="60">
        <v>644.81318112194504</v>
      </c>
      <c r="AZ39" s="60">
        <v>429.24666477281198</v>
      </c>
      <c r="BA39" s="60">
        <v>2.2004231423840399</v>
      </c>
      <c r="BB39" s="60" t="s">
        <v>137</v>
      </c>
      <c r="BC39" s="60">
        <v>1.04591591318274</v>
      </c>
      <c r="BD39" s="60">
        <v>37.850217362822598</v>
      </c>
      <c r="BE39" s="60">
        <v>187.09397722272999</v>
      </c>
      <c r="BF39" s="60">
        <v>159.44971061353101</v>
      </c>
      <c r="BG39" s="60">
        <v>139.884525020658</v>
      </c>
      <c r="BH39" s="60">
        <v>114.465407674533</v>
      </c>
      <c r="BI39" s="60">
        <v>1983.0631032029601</v>
      </c>
      <c r="BJ39" s="60">
        <v>39.311810310255197</v>
      </c>
      <c r="BK39" s="60">
        <v>3219.3136979711899</v>
      </c>
      <c r="BL39" s="60">
        <v>980.42646918640196</v>
      </c>
      <c r="BM39" s="60">
        <v>7360.8441620058002</v>
      </c>
      <c r="BN39" s="60">
        <v>10721.963623727201</v>
      </c>
      <c r="BO39" s="60">
        <v>1830.6703665376899</v>
      </c>
      <c r="BP39" s="60">
        <v>463.83904185556497</v>
      </c>
      <c r="BQ39" s="60">
        <v>570.43150351911697</v>
      </c>
      <c r="BR39" s="60">
        <v>5.8462407503625604</v>
      </c>
      <c r="BS39" s="60">
        <v>82.672356585730199</v>
      </c>
      <c r="BT39" s="55"/>
      <c r="BU39" s="55"/>
      <c r="BV39" s="55"/>
      <c r="BW39" s="55"/>
    </row>
    <row r="40" spans="1:75">
      <c r="A40" s="66">
        <v>1991</v>
      </c>
      <c r="B40" s="61">
        <v>23.6483093945284</v>
      </c>
      <c r="C40" s="61">
        <v>24.4977969550546</v>
      </c>
      <c r="D40" s="61">
        <v>20.219838641267</v>
      </c>
      <c r="E40" s="61">
        <v>26.227292587263602</v>
      </c>
      <c r="F40" s="61">
        <v>48.425877701852002</v>
      </c>
      <c r="G40" s="61">
        <v>38.455844057353097</v>
      </c>
      <c r="H40" s="61">
        <v>1.8149530634475599</v>
      </c>
      <c r="I40" s="61">
        <v>3.80183833974414</v>
      </c>
      <c r="J40" s="61">
        <v>4.8710735805980603</v>
      </c>
      <c r="K40" s="61">
        <v>43.413610034400698</v>
      </c>
      <c r="L40" s="61">
        <v>1.4589516478129201</v>
      </c>
      <c r="M40" s="61">
        <v>2.28707485052947</v>
      </c>
      <c r="N40" s="61">
        <v>1.3086279568628001</v>
      </c>
      <c r="O40" s="61">
        <v>2.0436636005516302</v>
      </c>
      <c r="P40" s="61">
        <v>1.7455532870088</v>
      </c>
      <c r="Q40" s="61">
        <v>2.6408125598516201</v>
      </c>
      <c r="R40" s="61">
        <v>1.74463655258869</v>
      </c>
      <c r="S40" s="61">
        <v>528.61525323282206</v>
      </c>
      <c r="T40" s="61">
        <v>1511.1722424019099</v>
      </c>
      <c r="U40" s="61">
        <v>583.34870324037797</v>
      </c>
      <c r="V40" s="61">
        <v>1092.43082933296</v>
      </c>
      <c r="W40" s="61">
        <v>413.85813128389498</v>
      </c>
      <c r="X40" s="61" t="s">
        <v>137</v>
      </c>
      <c r="Y40" s="61">
        <v>292.48823191769901</v>
      </c>
      <c r="Z40" s="61">
        <v>554.04901253001299</v>
      </c>
      <c r="AA40" s="61">
        <v>240.60336295142901</v>
      </c>
      <c r="AB40" s="61">
        <v>95.573963336613204</v>
      </c>
      <c r="AC40" s="61">
        <v>131.14053233780501</v>
      </c>
      <c r="AD40" s="61">
        <v>128.322471807677</v>
      </c>
      <c r="AE40" s="61">
        <v>358.04120313028</v>
      </c>
      <c r="AF40" s="61">
        <v>292.38649688050998</v>
      </c>
      <c r="AG40" s="61">
        <v>218.73032995584401</v>
      </c>
      <c r="AH40" s="61" t="s">
        <v>137</v>
      </c>
      <c r="AI40" s="61">
        <v>153.96173587998899</v>
      </c>
      <c r="AJ40" s="61">
        <v>157.07686271870901</v>
      </c>
      <c r="AK40" s="61" t="s">
        <v>137</v>
      </c>
      <c r="AL40" s="61">
        <v>0.68300224156825995</v>
      </c>
      <c r="AM40" s="61">
        <v>0.63598742883221604</v>
      </c>
      <c r="AN40" s="61">
        <v>3.2514823090640799</v>
      </c>
      <c r="AO40" s="61">
        <v>1.2892919523444999</v>
      </c>
      <c r="AP40" s="61">
        <v>2.84594610382223</v>
      </c>
      <c r="AQ40" s="61">
        <v>14.094066847019899</v>
      </c>
      <c r="AR40" s="61">
        <v>0.74726671788462395</v>
      </c>
      <c r="AS40" s="61">
        <v>0.580073894261253</v>
      </c>
      <c r="AT40" s="61">
        <v>0.24122394667828001</v>
      </c>
      <c r="AU40" s="61">
        <v>4272.9549846586197</v>
      </c>
      <c r="AV40" s="61">
        <v>385.83521529025001</v>
      </c>
      <c r="AW40" s="61">
        <v>233.76778580271599</v>
      </c>
      <c r="AX40" s="61" t="s">
        <v>137</v>
      </c>
      <c r="AY40" s="61">
        <v>674.52754073537596</v>
      </c>
      <c r="AZ40" s="61">
        <v>454.60504837873901</v>
      </c>
      <c r="BA40" s="61">
        <v>2.0478143900689298</v>
      </c>
      <c r="BB40" s="61" t="s">
        <v>137</v>
      </c>
      <c r="BC40" s="61">
        <v>1.0081128305109099</v>
      </c>
      <c r="BD40" s="61">
        <v>38.455844057353097</v>
      </c>
      <c r="BE40" s="61">
        <v>193.19483562146399</v>
      </c>
      <c r="BF40" s="61">
        <v>162.51663515719201</v>
      </c>
      <c r="BG40" s="61">
        <v>168.956463011241</v>
      </c>
      <c r="BH40" s="61">
        <v>129.93090274563099</v>
      </c>
      <c r="BI40" s="61">
        <v>1589.73814222131</v>
      </c>
      <c r="BJ40" s="61">
        <v>42.435718712177597</v>
      </c>
      <c r="BK40" s="61">
        <v>2855.2334953671898</v>
      </c>
      <c r="BL40" s="61">
        <v>680.74982784490101</v>
      </c>
      <c r="BM40" s="61">
        <v>6830.5412643722602</v>
      </c>
      <c r="BN40" s="61">
        <v>9956.54357856772</v>
      </c>
      <c r="BO40" s="61">
        <v>1363.6462649744799</v>
      </c>
      <c r="BP40" s="61">
        <v>442.159801279438</v>
      </c>
      <c r="BQ40" s="61">
        <v>458.80467071389199</v>
      </c>
      <c r="BR40" s="61">
        <v>4.9459810884801501</v>
      </c>
      <c r="BS40" s="61">
        <v>81.912127459797404</v>
      </c>
      <c r="BT40" s="55"/>
      <c r="BU40" s="55"/>
      <c r="BV40" s="55"/>
      <c r="BW40" s="55"/>
    </row>
    <row r="41" spans="1:75">
      <c r="A41" s="65">
        <v>1992</v>
      </c>
      <c r="B41" s="60">
        <v>22.794962095071899</v>
      </c>
      <c r="C41" s="60">
        <v>23.1445014919295</v>
      </c>
      <c r="D41" s="60">
        <v>20.597857314824001</v>
      </c>
      <c r="E41" s="60">
        <v>24.642527478462199</v>
      </c>
      <c r="F41" s="60">
        <v>46.214101684532402</v>
      </c>
      <c r="G41" s="60">
        <v>34.554466089353298</v>
      </c>
      <c r="H41" s="60">
        <v>2.1232021649122799</v>
      </c>
      <c r="I41" s="60">
        <v>3.0659598524368401</v>
      </c>
      <c r="J41" s="60">
        <v>4.3084576594751001</v>
      </c>
      <c r="K41" s="60">
        <v>43.277278870512902</v>
      </c>
      <c r="L41" s="60">
        <v>1.31774355247341</v>
      </c>
      <c r="M41" s="60">
        <v>1.69207028598819</v>
      </c>
      <c r="N41" s="60">
        <v>1.12702487070798</v>
      </c>
      <c r="O41" s="60">
        <v>1.9225465774361901</v>
      </c>
      <c r="P41" s="60">
        <v>1.7308864362724301</v>
      </c>
      <c r="Q41" s="60">
        <v>2.0257465863324202</v>
      </c>
      <c r="R41" s="60">
        <v>2.01100381352015</v>
      </c>
      <c r="S41" s="60">
        <v>692.18787417718897</v>
      </c>
      <c r="T41" s="60">
        <v>957.69600266225495</v>
      </c>
      <c r="U41" s="60">
        <v>577.03961001237894</v>
      </c>
      <c r="V41" s="60">
        <v>730.93681302883397</v>
      </c>
      <c r="W41" s="60">
        <v>471.57858056048002</v>
      </c>
      <c r="X41" s="60" t="s">
        <v>137</v>
      </c>
      <c r="Y41" s="60">
        <v>282.22809586275201</v>
      </c>
      <c r="Z41" s="60">
        <v>514.022650178905</v>
      </c>
      <c r="AA41" s="60">
        <v>244.97718299764</v>
      </c>
      <c r="AB41" s="60">
        <v>94.285755592365405</v>
      </c>
      <c r="AC41" s="60">
        <v>124.930373856868</v>
      </c>
      <c r="AD41" s="60">
        <v>123.137736092984</v>
      </c>
      <c r="AE41" s="60">
        <v>321.441422770222</v>
      </c>
      <c r="AF41" s="60">
        <v>273.63941353996501</v>
      </c>
      <c r="AG41" s="60">
        <v>213.21903208314799</v>
      </c>
      <c r="AH41" s="60" t="s">
        <v>137</v>
      </c>
      <c r="AI41" s="60">
        <v>173.940790716262</v>
      </c>
      <c r="AJ41" s="60">
        <v>181.20122333098999</v>
      </c>
      <c r="AK41" s="60" t="s">
        <v>137</v>
      </c>
      <c r="AL41" s="60">
        <v>0.56695290170305901</v>
      </c>
      <c r="AM41" s="60">
        <v>0.58631638560498001</v>
      </c>
      <c r="AN41" s="60">
        <v>2.9416137087147201</v>
      </c>
      <c r="AO41" s="60">
        <v>1.2672652495108601</v>
      </c>
      <c r="AP41" s="60">
        <v>3.1775028673940602</v>
      </c>
      <c r="AQ41" s="60">
        <v>13.126702377990201</v>
      </c>
      <c r="AR41" s="60">
        <v>0.752325039063934</v>
      </c>
      <c r="AS41" s="60">
        <v>0.56276566279250295</v>
      </c>
      <c r="AT41" s="60">
        <v>0.23919480268962401</v>
      </c>
      <c r="AU41" s="60">
        <v>4122.0152426908298</v>
      </c>
      <c r="AV41" s="60">
        <v>397.01084168684798</v>
      </c>
      <c r="AW41" s="60">
        <v>251.07914218278299</v>
      </c>
      <c r="AX41" s="60" t="s">
        <v>137</v>
      </c>
      <c r="AY41" s="60">
        <v>727.70139943973095</v>
      </c>
      <c r="AZ41" s="60">
        <v>456.31269707372098</v>
      </c>
      <c r="BA41" s="60">
        <v>1.53194129486776</v>
      </c>
      <c r="BB41" s="60" t="s">
        <v>137</v>
      </c>
      <c r="BC41" s="60">
        <v>1.0325393783174099</v>
      </c>
      <c r="BD41" s="60">
        <v>37.750254860622903</v>
      </c>
      <c r="BE41" s="60">
        <v>165.22976960457399</v>
      </c>
      <c r="BF41" s="60">
        <v>144.692332671207</v>
      </c>
      <c r="BG41" s="60">
        <v>140.939278232947</v>
      </c>
      <c r="BH41" s="60">
        <v>133.93351003593</v>
      </c>
      <c r="BI41" s="60">
        <v>1503.1592222465099</v>
      </c>
      <c r="BJ41" s="60">
        <v>39.667728123384698</v>
      </c>
      <c r="BK41" s="60">
        <v>2733.7865714990899</v>
      </c>
      <c r="BL41" s="60">
        <v>648.78506792738301</v>
      </c>
      <c r="BM41" s="60">
        <v>7311.5951955883202</v>
      </c>
      <c r="BN41" s="60">
        <v>8390.4185834696309</v>
      </c>
      <c r="BO41" s="60">
        <v>1485.7721339628199</v>
      </c>
      <c r="BP41" s="60">
        <v>411.93717261666001</v>
      </c>
      <c r="BQ41" s="60">
        <v>431.05498025678997</v>
      </c>
      <c r="BR41" s="60">
        <v>4.7289784211262003</v>
      </c>
      <c r="BS41" s="60">
        <v>83.4431452616694</v>
      </c>
      <c r="BT41" s="55"/>
      <c r="BU41" s="55"/>
      <c r="BV41" s="55"/>
      <c r="BW41" s="55"/>
    </row>
    <row r="42" spans="1:75">
      <c r="A42" s="66">
        <v>1993</v>
      </c>
      <c r="B42" s="61">
        <v>19.510145387289</v>
      </c>
      <c r="C42" s="61">
        <v>19.7177001254516</v>
      </c>
      <c r="D42" s="61">
        <v>17.3090997918897</v>
      </c>
      <c r="E42" s="61">
        <v>21.503636244525499</v>
      </c>
      <c r="F42" s="61">
        <v>36.2979449065841</v>
      </c>
      <c r="G42" s="61">
        <v>31.229747811914699</v>
      </c>
      <c r="H42" s="61">
        <v>2.45686887732065</v>
      </c>
      <c r="I42" s="61">
        <v>3.0949790258114001</v>
      </c>
      <c r="J42" s="61">
        <v>4.0622019650105301</v>
      </c>
      <c r="K42" s="61">
        <v>47.300237779790898</v>
      </c>
      <c r="L42" s="61">
        <v>1.29389623770595</v>
      </c>
      <c r="M42" s="61">
        <v>1.80740596733784</v>
      </c>
      <c r="N42" s="61">
        <v>1.3407553399869501</v>
      </c>
      <c r="O42" s="61">
        <v>1.8707053356230801</v>
      </c>
      <c r="P42" s="61">
        <v>1.67087037873794</v>
      </c>
      <c r="Q42" s="61">
        <v>2.1369723858204699</v>
      </c>
      <c r="R42" s="61">
        <v>1.8042781657022799</v>
      </c>
      <c r="S42" s="61">
        <v>521.58988385711098</v>
      </c>
      <c r="T42" s="61">
        <v>1265.19093473262</v>
      </c>
      <c r="U42" s="61">
        <v>422.54283206414499</v>
      </c>
      <c r="V42" s="61">
        <v>856.18742919280305</v>
      </c>
      <c r="W42" s="61">
        <v>437.60261771687601</v>
      </c>
      <c r="X42" s="61" t="s">
        <v>137</v>
      </c>
      <c r="Y42" s="61">
        <v>295.50002489110102</v>
      </c>
      <c r="Z42" s="61">
        <v>556.53630953845004</v>
      </c>
      <c r="AA42" s="61">
        <v>241.149644618742</v>
      </c>
      <c r="AB42" s="61">
        <v>82.685946200498407</v>
      </c>
      <c r="AC42" s="61">
        <v>118.26565517595201</v>
      </c>
      <c r="AD42" s="61">
        <v>114.716951838808</v>
      </c>
      <c r="AE42" s="61">
        <v>272.71244538259202</v>
      </c>
      <c r="AF42" s="61">
        <v>234.488585580034</v>
      </c>
      <c r="AG42" s="61">
        <v>182.55163249561301</v>
      </c>
      <c r="AH42" s="61" t="s">
        <v>137</v>
      </c>
      <c r="AI42" s="61">
        <v>156.12846627119501</v>
      </c>
      <c r="AJ42" s="61">
        <v>162.458403099718</v>
      </c>
      <c r="AK42" s="61" t="s">
        <v>137</v>
      </c>
      <c r="AL42" s="61">
        <v>0.51322108374021802</v>
      </c>
      <c r="AM42" s="61">
        <v>0.50102072661975505</v>
      </c>
      <c r="AN42" s="61">
        <v>3.0322781874687701</v>
      </c>
      <c r="AO42" s="61">
        <v>1.3963831262248001</v>
      </c>
      <c r="AP42" s="61">
        <v>3.3678797185146498</v>
      </c>
      <c r="AQ42" s="61">
        <v>13.1948339275247</v>
      </c>
      <c r="AR42" s="61">
        <v>0.71763740118767205</v>
      </c>
      <c r="AS42" s="61">
        <v>0.55197010529887203</v>
      </c>
      <c r="AT42" s="61">
        <v>0.25598739497018302</v>
      </c>
      <c r="AU42" s="61">
        <v>3122.3994201498699</v>
      </c>
      <c r="AV42" s="61">
        <v>359.48866798120702</v>
      </c>
      <c r="AW42" s="61">
        <v>451.57056890978498</v>
      </c>
      <c r="AX42" s="61" t="s">
        <v>137</v>
      </c>
      <c r="AY42" s="61">
        <v>878.39103018968603</v>
      </c>
      <c r="AZ42" s="61">
        <v>766.22644807698498</v>
      </c>
      <c r="BA42" s="61">
        <v>1.4831185829490201</v>
      </c>
      <c r="BB42" s="61" t="s">
        <v>137</v>
      </c>
      <c r="BC42" s="61">
        <v>0.96299606282217698</v>
      </c>
      <c r="BD42" s="61">
        <v>36.4910190816191</v>
      </c>
      <c r="BE42" s="61">
        <v>141.32546927126</v>
      </c>
      <c r="BF42" s="61">
        <v>129.68116577489801</v>
      </c>
      <c r="BG42" s="61">
        <v>99.095320336724797</v>
      </c>
      <c r="BH42" s="61">
        <v>130.373336692398</v>
      </c>
      <c r="BI42" s="61">
        <v>1319.52586907097</v>
      </c>
      <c r="BJ42" s="61">
        <v>33.699166510612699</v>
      </c>
      <c r="BK42" s="61">
        <v>2216.1941951724898</v>
      </c>
      <c r="BL42" s="61">
        <v>470.74379986163802</v>
      </c>
      <c r="BM42" s="61">
        <v>5978.8990171832602</v>
      </c>
      <c r="BN42" s="61">
        <v>6132.1352323124302</v>
      </c>
      <c r="BO42" s="61">
        <v>1114.40483088464</v>
      </c>
      <c r="BP42" s="61">
        <v>416.77377571409801</v>
      </c>
      <c r="BQ42" s="61">
        <v>433.28837527571898</v>
      </c>
      <c r="BR42" s="61">
        <v>4.9910446543253197</v>
      </c>
      <c r="BS42" s="61">
        <v>86.322609761991799</v>
      </c>
      <c r="BT42" s="55"/>
      <c r="BU42" s="55"/>
      <c r="BV42" s="55"/>
      <c r="BW42" s="55"/>
    </row>
    <row r="43" spans="1:75">
      <c r="A43" s="65">
        <v>1994</v>
      </c>
      <c r="B43" s="60">
        <v>18.973704773054401</v>
      </c>
      <c r="C43" s="60">
        <v>18.9060268500284</v>
      </c>
      <c r="D43" s="60">
        <v>17.5166389008476</v>
      </c>
      <c r="E43" s="60">
        <v>20.498448568287301</v>
      </c>
      <c r="F43" s="60">
        <v>38.576416124821101</v>
      </c>
      <c r="G43" s="60">
        <v>34.112658995826699</v>
      </c>
      <c r="H43" s="60">
        <v>2.2930872742927702</v>
      </c>
      <c r="I43" s="60">
        <v>2.9181127987093798</v>
      </c>
      <c r="J43" s="60">
        <v>3.7979257980473999</v>
      </c>
      <c r="K43" s="60">
        <v>44.291513986699101</v>
      </c>
      <c r="L43" s="60">
        <v>1.6672257284740799</v>
      </c>
      <c r="M43" s="60">
        <v>3.9503703196634699</v>
      </c>
      <c r="N43" s="60">
        <v>3.1287304762205901</v>
      </c>
      <c r="O43" s="60">
        <v>1.78214881335368</v>
      </c>
      <c r="P43" s="60">
        <v>1.58957665780649</v>
      </c>
      <c r="Q43" s="60">
        <v>1.88082461849459</v>
      </c>
      <c r="R43" s="60">
        <v>1.8760718368237299</v>
      </c>
      <c r="S43" s="60">
        <v>725.54714538169799</v>
      </c>
      <c r="T43" s="60">
        <v>1140.33120191803</v>
      </c>
      <c r="U43" s="60">
        <v>449.46102997856599</v>
      </c>
      <c r="V43" s="60">
        <v>1221.4869842619401</v>
      </c>
      <c r="W43" s="60">
        <v>631.09663221746803</v>
      </c>
      <c r="X43" s="60" t="s">
        <v>137</v>
      </c>
      <c r="Y43" s="60">
        <v>300.76865203614398</v>
      </c>
      <c r="Z43" s="60">
        <v>735.20120204864202</v>
      </c>
      <c r="AA43" s="60">
        <v>229.80635921623301</v>
      </c>
      <c r="AB43" s="60">
        <v>86.765087846482402</v>
      </c>
      <c r="AC43" s="60">
        <v>128.44871684905601</v>
      </c>
      <c r="AD43" s="60">
        <v>124.052637643088</v>
      </c>
      <c r="AE43" s="60">
        <v>319.58908621881602</v>
      </c>
      <c r="AF43" s="60">
        <v>274.59322004226402</v>
      </c>
      <c r="AG43" s="60">
        <v>217.723859428944</v>
      </c>
      <c r="AH43" s="60" t="s">
        <v>137</v>
      </c>
      <c r="AI43" s="60">
        <v>165.47849338001799</v>
      </c>
      <c r="AJ43" s="60">
        <v>178.823982642602</v>
      </c>
      <c r="AK43" s="60" t="s">
        <v>137</v>
      </c>
      <c r="AL43" s="60">
        <v>0.52524935586837496</v>
      </c>
      <c r="AM43" s="60">
        <v>0.49127006219145303</v>
      </c>
      <c r="AN43" s="60">
        <v>2.7861607540801501</v>
      </c>
      <c r="AO43" s="60">
        <v>1.4556615557021799</v>
      </c>
      <c r="AP43" s="60">
        <v>3.5533198694871002</v>
      </c>
      <c r="AQ43" s="60">
        <v>15.616183106463</v>
      </c>
      <c r="AR43" s="60">
        <v>0.74246662613819803</v>
      </c>
      <c r="AS43" s="60">
        <v>0.58004956351153203</v>
      </c>
      <c r="AT43" s="60">
        <v>0.31886254380986001</v>
      </c>
      <c r="AU43" s="60">
        <v>3154.9785624553701</v>
      </c>
      <c r="AV43" s="60">
        <v>394.43489750413102</v>
      </c>
      <c r="AW43" s="60">
        <v>367.310979324313</v>
      </c>
      <c r="AX43" s="60" t="s">
        <v>137</v>
      </c>
      <c r="AY43" s="60">
        <v>980.57669825683195</v>
      </c>
      <c r="AZ43" s="60">
        <v>717.97916116567205</v>
      </c>
      <c r="BA43" s="60">
        <v>2.1053108958028299</v>
      </c>
      <c r="BB43" s="60" t="s">
        <v>137</v>
      </c>
      <c r="BC43" s="60">
        <v>1.3445612778118801</v>
      </c>
      <c r="BD43" s="60">
        <v>38.019068523430498</v>
      </c>
      <c r="BE43" s="60">
        <v>191.597361227448</v>
      </c>
      <c r="BF43" s="60">
        <v>157.775153317941</v>
      </c>
      <c r="BG43" s="60">
        <v>112.128882395837</v>
      </c>
      <c r="BH43" s="60">
        <v>134.360582478092</v>
      </c>
      <c r="BI43" s="60">
        <v>1763.74539460847</v>
      </c>
      <c r="BJ43" s="60">
        <v>31.613552161734201</v>
      </c>
      <c r="BK43" s="60">
        <v>2755.7863050679398</v>
      </c>
      <c r="BL43" s="60">
        <v>654.20665240369999</v>
      </c>
      <c r="BM43" s="60">
        <v>6525.5650539815397</v>
      </c>
      <c r="BN43" s="60">
        <v>7571.75029338896</v>
      </c>
      <c r="BO43" s="60">
        <v>1191.59921913737</v>
      </c>
      <c r="BP43" s="60">
        <v>458.63138854858897</v>
      </c>
      <c r="BQ43" s="60">
        <v>484.01060968334002</v>
      </c>
      <c r="BR43" s="60">
        <v>6.3116032908619903</v>
      </c>
      <c r="BS43" s="60">
        <v>83.729913881806397</v>
      </c>
      <c r="BT43" s="55"/>
      <c r="BU43" s="55"/>
      <c r="BV43" s="55"/>
      <c r="BW43" s="55"/>
    </row>
    <row r="44" spans="1:75">
      <c r="A44" s="66">
        <v>1995</v>
      </c>
      <c r="B44" s="61">
        <v>18.693784194409002</v>
      </c>
      <c r="C44" s="61">
        <v>18.565955699190201</v>
      </c>
      <c r="D44" s="61">
        <v>17.531542131497702</v>
      </c>
      <c r="E44" s="61">
        <v>19.983854752539202</v>
      </c>
      <c r="F44" s="61">
        <v>42.832518334095496</v>
      </c>
      <c r="G44" s="61">
        <v>38.325883938828397</v>
      </c>
      <c r="H44" s="61">
        <v>1.87391134480327</v>
      </c>
      <c r="I44" s="61">
        <v>2.96725294220664</v>
      </c>
      <c r="J44" s="61">
        <v>3.7523556149689199</v>
      </c>
      <c r="K44" s="61">
        <v>39.404041689062197</v>
      </c>
      <c r="L44" s="61">
        <v>1.5583381469258799</v>
      </c>
      <c r="M44" s="61">
        <v>3.6252433219573699</v>
      </c>
      <c r="N44" s="61">
        <v>3.0142593782143998</v>
      </c>
      <c r="O44" s="61">
        <v>1.61948731006424</v>
      </c>
      <c r="P44" s="61">
        <v>1.54715968100676</v>
      </c>
      <c r="Q44" s="61">
        <v>1.8955524370682899</v>
      </c>
      <c r="R44" s="61">
        <v>1.41581390768228</v>
      </c>
      <c r="S44" s="61">
        <v>728.44110573267096</v>
      </c>
      <c r="T44" s="61">
        <v>989.90024063410499</v>
      </c>
      <c r="U44" s="61">
        <v>538.51153304941704</v>
      </c>
      <c r="V44" s="61">
        <v>1078.0203096785499</v>
      </c>
      <c r="W44" s="61">
        <v>683.47448613797201</v>
      </c>
      <c r="X44" s="61" t="s">
        <v>137</v>
      </c>
      <c r="Y44" s="61">
        <v>282.038616046588</v>
      </c>
      <c r="Z44" s="61">
        <v>680.02946286257202</v>
      </c>
      <c r="AA44" s="61">
        <v>214.22605262555101</v>
      </c>
      <c r="AB44" s="61">
        <v>113.15360265066801</v>
      </c>
      <c r="AC44" s="61">
        <v>134.34230896452499</v>
      </c>
      <c r="AD44" s="61">
        <v>129.42952445679001</v>
      </c>
      <c r="AE44" s="61">
        <v>349.17124066327102</v>
      </c>
      <c r="AF44" s="61">
        <v>323.832187887629</v>
      </c>
      <c r="AG44" s="61">
        <v>285.97772818648701</v>
      </c>
      <c r="AH44" s="61" t="s">
        <v>137</v>
      </c>
      <c r="AI44" s="61">
        <v>182.06948010490601</v>
      </c>
      <c r="AJ44" s="61">
        <v>192.539631106906</v>
      </c>
      <c r="AK44" s="61" t="s">
        <v>137</v>
      </c>
      <c r="AL44" s="61">
        <v>0.48422793866490499</v>
      </c>
      <c r="AM44" s="61">
        <v>0.57818369582086904</v>
      </c>
      <c r="AN44" s="61">
        <v>2.0329128952049502</v>
      </c>
      <c r="AO44" s="61">
        <v>1.33071820281326</v>
      </c>
      <c r="AP44" s="61">
        <v>2.8513097772879599</v>
      </c>
      <c r="AQ44" s="61">
        <v>14.7272659877697</v>
      </c>
      <c r="AR44" s="61">
        <v>0.74845850413289206</v>
      </c>
      <c r="AS44" s="61">
        <v>0.552862774746677</v>
      </c>
      <c r="AT44" s="61">
        <v>0.318519599362933</v>
      </c>
      <c r="AU44" s="61">
        <v>2875.8038927760599</v>
      </c>
      <c r="AV44" s="61">
        <v>369.35182437653702</v>
      </c>
      <c r="AW44" s="61">
        <v>278.08953147089301</v>
      </c>
      <c r="AX44" s="61">
        <v>648.53374673055498</v>
      </c>
      <c r="AY44" s="61">
        <v>804.99434370016797</v>
      </c>
      <c r="AZ44" s="61">
        <v>635.80896278251896</v>
      </c>
      <c r="BA44" s="61">
        <v>2.3149468508603102</v>
      </c>
      <c r="BB44" s="61" t="s">
        <v>137</v>
      </c>
      <c r="BC44" s="61">
        <v>1.71893062666388</v>
      </c>
      <c r="BD44" s="61">
        <v>35.538134840971601</v>
      </c>
      <c r="BE44" s="61">
        <v>217.332617473894</v>
      </c>
      <c r="BF44" s="61">
        <v>162.78460244324401</v>
      </c>
      <c r="BG44" s="61">
        <v>138.013978508044</v>
      </c>
      <c r="BH44" s="61">
        <v>122.38898478395799</v>
      </c>
      <c r="BI44" s="61">
        <v>1964.3785626003601</v>
      </c>
      <c r="BJ44" s="61">
        <v>30.874661228166602</v>
      </c>
      <c r="BK44" s="61">
        <v>3193.65171260029</v>
      </c>
      <c r="BL44" s="61">
        <v>686.41182177278699</v>
      </c>
      <c r="BM44" s="61">
        <v>6760.01505385571</v>
      </c>
      <c r="BN44" s="61">
        <v>8951.3009810753792</v>
      </c>
      <c r="BO44" s="61">
        <v>1121.75397357469</v>
      </c>
      <c r="BP44" s="61">
        <v>417.93299865518901</v>
      </c>
      <c r="BQ44" s="61">
        <v>461.63674524393099</v>
      </c>
      <c r="BR44" s="61">
        <v>5.65735376190732</v>
      </c>
      <c r="BS44" s="61">
        <v>91.920036920467595</v>
      </c>
      <c r="BT44" s="55"/>
      <c r="BU44" s="55"/>
      <c r="BV44" s="55"/>
      <c r="BW44" s="55"/>
    </row>
    <row r="45" spans="1:75">
      <c r="A45" s="65">
        <v>1996</v>
      </c>
      <c r="B45" s="60">
        <v>22.646459037869501</v>
      </c>
      <c r="C45" s="60">
        <v>22.901536686190202</v>
      </c>
      <c r="D45" s="60">
        <v>20.5614765211606</v>
      </c>
      <c r="E45" s="60">
        <v>24.4763639062576</v>
      </c>
      <c r="F45" s="60">
        <v>42.225516935244002</v>
      </c>
      <c r="G45" s="60">
        <v>37.172022076483401</v>
      </c>
      <c r="H45" s="60">
        <v>3.03228175413197</v>
      </c>
      <c r="I45" s="60">
        <v>3.1542754120245098</v>
      </c>
      <c r="J45" s="60">
        <v>4.0673794574626001</v>
      </c>
      <c r="K45" s="60">
        <v>54.573092060160903</v>
      </c>
      <c r="L45" s="60">
        <v>1.6142718361192401</v>
      </c>
      <c r="M45" s="60">
        <v>2.9879666337081301</v>
      </c>
      <c r="N45" s="60">
        <v>2.0028493623383201</v>
      </c>
      <c r="O45" s="60">
        <v>1.84160516921323</v>
      </c>
      <c r="P45" s="60">
        <v>2.0950960682064501</v>
      </c>
      <c r="Q45" s="60">
        <v>1.8516147488433099</v>
      </c>
      <c r="R45" s="60">
        <v>1.5780988681653501</v>
      </c>
      <c r="S45" s="60">
        <v>833.530909494551</v>
      </c>
      <c r="T45" s="60">
        <v>1066.8899899329299</v>
      </c>
      <c r="U45" s="60">
        <v>649.89348659116195</v>
      </c>
      <c r="V45" s="60">
        <v>995.08008676436805</v>
      </c>
      <c r="W45" s="60">
        <v>588.80423820709495</v>
      </c>
      <c r="X45" s="60">
        <v>807.37620859789399</v>
      </c>
      <c r="Y45" s="60">
        <v>338.070303462808</v>
      </c>
      <c r="Z45" s="60">
        <v>611.63183934304698</v>
      </c>
      <c r="AA45" s="60">
        <v>296.666395329583</v>
      </c>
      <c r="AB45" s="60">
        <v>132.713388482657</v>
      </c>
      <c r="AC45" s="60">
        <v>183.887879579821</v>
      </c>
      <c r="AD45" s="60">
        <v>166.38733483850899</v>
      </c>
      <c r="AE45" s="60">
        <v>375.82364380303699</v>
      </c>
      <c r="AF45" s="60">
        <v>317.27592995839802</v>
      </c>
      <c r="AG45" s="60">
        <v>258.07665907728801</v>
      </c>
      <c r="AH45" s="60" t="s">
        <v>137</v>
      </c>
      <c r="AI45" s="60">
        <v>207.85408818943699</v>
      </c>
      <c r="AJ45" s="60">
        <v>230.23530344082801</v>
      </c>
      <c r="AK45" s="60" t="s">
        <v>137</v>
      </c>
      <c r="AL45" s="60">
        <v>0.52078445618260305</v>
      </c>
      <c r="AM45" s="60">
        <v>0.545275607198908</v>
      </c>
      <c r="AN45" s="60">
        <v>1.9407570325622401</v>
      </c>
      <c r="AO45" s="60">
        <v>1.5235183130307901</v>
      </c>
      <c r="AP45" s="60">
        <v>3.6537932313755599</v>
      </c>
      <c r="AQ45" s="60">
        <v>14.5497584474292</v>
      </c>
      <c r="AR45" s="60">
        <v>0.75761758328778495</v>
      </c>
      <c r="AS45" s="60">
        <v>0.54666097457148999</v>
      </c>
      <c r="AT45" s="60">
        <v>0.292313439809327</v>
      </c>
      <c r="AU45" s="60">
        <v>3388.5106287332101</v>
      </c>
      <c r="AV45" s="60">
        <v>315.32033465460597</v>
      </c>
      <c r="AW45" s="60">
        <v>279.58820741900598</v>
      </c>
      <c r="AX45" s="60">
        <v>568.27650208096304</v>
      </c>
      <c r="AY45" s="60">
        <v>822.18019540593104</v>
      </c>
      <c r="AZ45" s="60">
        <v>587.26453037339002</v>
      </c>
      <c r="BA45" s="60">
        <v>1.9666856363281999</v>
      </c>
      <c r="BB45" s="60" t="s">
        <v>137</v>
      </c>
      <c r="BC45" s="60">
        <v>1.54572433910493</v>
      </c>
      <c r="BD45" s="60">
        <v>36.635065142880599</v>
      </c>
      <c r="BE45" s="60">
        <v>219.704108503817</v>
      </c>
      <c r="BF45" s="60">
        <v>195.00131697495601</v>
      </c>
      <c r="BG45" s="60">
        <v>170.44916912970399</v>
      </c>
      <c r="BH45" s="60">
        <v>124.76624102645999</v>
      </c>
      <c r="BI45" s="60">
        <v>1669.82793276238</v>
      </c>
      <c r="BJ45" s="60">
        <v>33.270997607056003</v>
      </c>
      <c r="BK45" s="60">
        <v>2545.0723555067798</v>
      </c>
      <c r="BL45" s="60">
        <v>858.75217406945603</v>
      </c>
      <c r="BM45" s="60">
        <v>6837.2731857440403</v>
      </c>
      <c r="BN45" s="60">
        <v>8318.6551122544297</v>
      </c>
      <c r="BO45" s="60">
        <v>1136.9161979519999</v>
      </c>
      <c r="BP45" s="60">
        <v>429.96757143663098</v>
      </c>
      <c r="BQ45" s="60">
        <v>440.41096790773503</v>
      </c>
      <c r="BR45" s="60">
        <v>5.7684146617860197</v>
      </c>
      <c r="BS45" s="60">
        <v>90.168621795811902</v>
      </c>
      <c r="BT45" s="55"/>
      <c r="BU45" s="55"/>
      <c r="BV45" s="55"/>
      <c r="BW45" s="55"/>
    </row>
    <row r="46" spans="1:75">
      <c r="A46" s="66">
        <v>1997</v>
      </c>
      <c r="B46" s="61">
        <v>22.312112752439901</v>
      </c>
      <c r="C46" s="61">
        <v>22.218034089944901</v>
      </c>
      <c r="D46" s="61">
        <v>21.062191014778001</v>
      </c>
      <c r="E46" s="61">
        <v>23.656113152596799</v>
      </c>
      <c r="F46" s="61">
        <v>40.849972295325401</v>
      </c>
      <c r="G46" s="61">
        <v>36.485555397275498</v>
      </c>
      <c r="H46" s="61">
        <v>2.8883711031294301</v>
      </c>
      <c r="I46" s="61">
        <v>3.1869942059982201</v>
      </c>
      <c r="J46" s="61">
        <v>4.5486922781898</v>
      </c>
      <c r="K46" s="61">
        <v>53.3071621843443</v>
      </c>
      <c r="L46" s="61">
        <v>1.88395389691644</v>
      </c>
      <c r="M46" s="61">
        <v>4.8508360106896804</v>
      </c>
      <c r="N46" s="61">
        <v>2.0205213510085298</v>
      </c>
      <c r="O46" s="61">
        <v>2.3976457658169199</v>
      </c>
      <c r="P46" s="61">
        <v>2.3511044968994899</v>
      </c>
      <c r="Q46" s="61">
        <v>2.4964155268180899</v>
      </c>
      <c r="R46" s="61">
        <v>2.34545383784807</v>
      </c>
      <c r="S46" s="61">
        <v>764.45186645398599</v>
      </c>
      <c r="T46" s="61">
        <v>1150.36718676546</v>
      </c>
      <c r="U46" s="61">
        <v>705.58073185140199</v>
      </c>
      <c r="V46" s="61">
        <v>1175.967886419</v>
      </c>
      <c r="W46" s="61">
        <v>635.26512627170905</v>
      </c>
      <c r="X46" s="61">
        <v>758.632643923253</v>
      </c>
      <c r="Y46" s="61">
        <v>343.81906452415399</v>
      </c>
      <c r="Z46" s="61">
        <v>657.28118484631602</v>
      </c>
      <c r="AA46" s="61">
        <v>320.930122569937</v>
      </c>
      <c r="AB46" s="61">
        <v>113.17030003685601</v>
      </c>
      <c r="AC46" s="61">
        <v>136.27649296555401</v>
      </c>
      <c r="AD46" s="61">
        <v>127.582574504639</v>
      </c>
      <c r="AE46" s="61">
        <v>353.23844606056798</v>
      </c>
      <c r="AF46" s="61">
        <v>299.20502512186602</v>
      </c>
      <c r="AG46" s="61">
        <v>244.85187023411501</v>
      </c>
      <c r="AH46" s="61" t="s">
        <v>137</v>
      </c>
      <c r="AI46" s="61">
        <v>167.18432356712199</v>
      </c>
      <c r="AJ46" s="61">
        <v>185.614771192376</v>
      </c>
      <c r="AK46" s="61">
        <v>1.12662281909923</v>
      </c>
      <c r="AL46" s="61">
        <v>0.60176968138480902</v>
      </c>
      <c r="AM46" s="61">
        <v>0.53416195402275002</v>
      </c>
      <c r="AN46" s="61">
        <v>2.1509607577879999</v>
      </c>
      <c r="AO46" s="61">
        <v>1.5648813083912101</v>
      </c>
      <c r="AP46" s="61">
        <v>3.9493899471580201</v>
      </c>
      <c r="AQ46" s="61">
        <v>17.181671566271199</v>
      </c>
      <c r="AR46" s="61">
        <v>0.73000206907204601</v>
      </c>
      <c r="AS46" s="61">
        <v>0.56288369669360605</v>
      </c>
      <c r="AT46" s="61">
        <v>0.29171762546565599</v>
      </c>
      <c r="AU46" s="61">
        <v>4110.1702163300697</v>
      </c>
      <c r="AV46" s="61">
        <v>331.40957247736497</v>
      </c>
      <c r="AW46" s="61">
        <v>277.28886320070302</v>
      </c>
      <c r="AX46" s="61">
        <v>655.91465309146804</v>
      </c>
      <c r="AY46" s="61">
        <v>773.40511748109702</v>
      </c>
      <c r="AZ46" s="61">
        <v>564.41609196003196</v>
      </c>
      <c r="BA46" s="61">
        <v>2.0339152615334402</v>
      </c>
      <c r="BB46" s="61" t="s">
        <v>137</v>
      </c>
      <c r="BC46" s="61">
        <v>1.1842311824126399</v>
      </c>
      <c r="BD46" s="61">
        <v>37.824946449765903</v>
      </c>
      <c r="BE46" s="61">
        <v>217.62679926915001</v>
      </c>
      <c r="BF46" s="61">
        <v>200.07553918124799</v>
      </c>
      <c r="BG46" s="61">
        <v>136.744455444067</v>
      </c>
      <c r="BH46" s="61">
        <v>130.932506941497</v>
      </c>
      <c r="BI46" s="61">
        <v>1861.37143401551</v>
      </c>
      <c r="BJ46" s="61">
        <v>35.089911860321301</v>
      </c>
      <c r="BK46" s="61">
        <v>2649.8023767778</v>
      </c>
      <c r="BL46" s="61">
        <v>726.44264462408103</v>
      </c>
      <c r="BM46" s="61">
        <v>6571.9583624919896</v>
      </c>
      <c r="BN46" s="61">
        <v>8062.3999440830803</v>
      </c>
      <c r="BO46" s="61">
        <v>1531.7648506522501</v>
      </c>
      <c r="BP46" s="61">
        <v>385.34406663304401</v>
      </c>
      <c r="BQ46" s="61">
        <v>459.61965314490101</v>
      </c>
      <c r="BR46" s="61">
        <v>5.7098599419723</v>
      </c>
      <c r="BS46" s="61">
        <v>85.922130896238599</v>
      </c>
      <c r="BT46" s="55"/>
      <c r="BU46" s="55"/>
      <c r="BV46" s="55"/>
      <c r="BW46" s="55"/>
    </row>
    <row r="47" spans="1:75">
      <c r="A47" s="65">
        <v>1998</v>
      </c>
      <c r="B47" s="60">
        <v>15.899104081414</v>
      </c>
      <c r="C47" s="60">
        <v>15.4757183408632</v>
      </c>
      <c r="D47" s="60">
        <v>14.7589705394494</v>
      </c>
      <c r="E47" s="60">
        <v>17.4626233639293</v>
      </c>
      <c r="F47" s="60">
        <v>35.573204994967703</v>
      </c>
      <c r="G47" s="60">
        <v>32.662605504259901</v>
      </c>
      <c r="H47" s="60">
        <v>2.5397262385294601</v>
      </c>
      <c r="I47" s="60">
        <v>2.9400097294640801</v>
      </c>
      <c r="J47" s="60">
        <v>3.6742515522070902</v>
      </c>
      <c r="K47" s="60">
        <v>47.306851752969699</v>
      </c>
      <c r="L47" s="60">
        <v>2.0401172722917198</v>
      </c>
      <c r="M47" s="60">
        <v>3.6281890334377702</v>
      </c>
      <c r="N47" s="60">
        <v>2.2180390753055801</v>
      </c>
      <c r="O47" s="60">
        <v>2.49000265210806</v>
      </c>
      <c r="P47" s="60">
        <v>2.5247885754359101</v>
      </c>
      <c r="Q47" s="60">
        <v>2.6343157526612599</v>
      </c>
      <c r="R47" s="60">
        <v>2.3109483520728502</v>
      </c>
      <c r="S47" s="60">
        <v>800.66839648564701</v>
      </c>
      <c r="T47" s="60">
        <v>1203.2844235974901</v>
      </c>
      <c r="U47" s="60">
        <v>805.53629807289303</v>
      </c>
      <c r="V47" s="60">
        <v>1106.7377087837699</v>
      </c>
      <c r="W47" s="60">
        <v>816.69190587699995</v>
      </c>
      <c r="X47" s="60">
        <v>835.65643914398095</v>
      </c>
      <c r="Y47" s="60">
        <v>296.02926527442702</v>
      </c>
      <c r="Z47" s="60">
        <v>761.72518378767495</v>
      </c>
      <c r="AA47" s="60">
        <v>207.29147592358001</v>
      </c>
      <c r="AB47" s="60">
        <v>103.507814083485</v>
      </c>
      <c r="AC47" s="60">
        <v>124.115264136161</v>
      </c>
      <c r="AD47" s="60">
        <v>119.309225464919</v>
      </c>
      <c r="AE47" s="60">
        <v>370.15320840189497</v>
      </c>
      <c r="AF47" s="60">
        <v>316.24119832314</v>
      </c>
      <c r="AG47" s="60">
        <v>259.24111317497602</v>
      </c>
      <c r="AH47" s="60" t="s">
        <v>137</v>
      </c>
      <c r="AI47" s="60">
        <v>135.71101137544801</v>
      </c>
      <c r="AJ47" s="60">
        <v>153.49305021519399</v>
      </c>
      <c r="AK47" s="60">
        <v>1.2230085523413201</v>
      </c>
      <c r="AL47" s="60">
        <v>0.59571554161627305</v>
      </c>
      <c r="AM47" s="60">
        <v>0.53839092969562596</v>
      </c>
      <c r="AN47" s="60">
        <v>2.0884672403281099</v>
      </c>
      <c r="AO47" s="60">
        <v>1.6944509875039699</v>
      </c>
      <c r="AP47" s="60">
        <v>3.3470474338509999</v>
      </c>
      <c r="AQ47" s="60">
        <v>17.329323992131901</v>
      </c>
      <c r="AR47" s="60">
        <v>0.72712251667166405</v>
      </c>
      <c r="AS47" s="60">
        <v>0.59195711593245304</v>
      </c>
      <c r="AT47" s="60">
        <v>0.23940948493776601</v>
      </c>
      <c r="AU47" s="60">
        <v>4059.97798910352</v>
      </c>
      <c r="AV47" s="60">
        <v>348.54479608534098</v>
      </c>
      <c r="AW47" s="60">
        <v>197.668242973292</v>
      </c>
      <c r="AX47" s="60">
        <v>640.52642694168799</v>
      </c>
      <c r="AY47" s="60">
        <v>589.19608113254105</v>
      </c>
      <c r="AZ47" s="60">
        <v>457.64765455566697</v>
      </c>
      <c r="BA47" s="60">
        <v>1.7581846386970299</v>
      </c>
      <c r="BB47" s="60" t="s">
        <v>137</v>
      </c>
      <c r="BC47" s="60">
        <v>0.87813902195434601</v>
      </c>
      <c r="BD47" s="60">
        <v>39.551700396377697</v>
      </c>
      <c r="BE47" s="60">
        <v>227.40791020851501</v>
      </c>
      <c r="BF47" s="60">
        <v>210.59657827208699</v>
      </c>
      <c r="BG47" s="60">
        <v>101.272635938007</v>
      </c>
      <c r="BH47" s="60">
        <v>136.90973214130801</v>
      </c>
      <c r="BI47" s="60">
        <v>1652.0065777637101</v>
      </c>
      <c r="BJ47" s="60">
        <v>37.726237301160303</v>
      </c>
      <c r="BK47" s="60">
        <v>2012.9482965579</v>
      </c>
      <c r="BL47" s="60">
        <v>643.34390206282399</v>
      </c>
      <c r="BM47" s="60">
        <v>6742.4493568019898</v>
      </c>
      <c r="BN47" s="60">
        <v>5634.0159956320003</v>
      </c>
      <c r="BO47" s="60">
        <v>1246.75072818695</v>
      </c>
      <c r="BP47" s="60">
        <v>357.986496872271</v>
      </c>
      <c r="BQ47" s="60">
        <v>453.05357243270299</v>
      </c>
      <c r="BR47" s="60">
        <v>6.7551768911603096</v>
      </c>
      <c r="BS47" s="60">
        <v>82.170929882388705</v>
      </c>
      <c r="BT47" s="55"/>
      <c r="BU47" s="55"/>
      <c r="BV47" s="55"/>
      <c r="BW47" s="55"/>
    </row>
    <row r="48" spans="1:75">
      <c r="A48" s="66">
        <v>1999</v>
      </c>
      <c r="B48" s="61">
        <v>22.423473941765899</v>
      </c>
      <c r="C48" s="61">
        <v>22.097067408681799</v>
      </c>
      <c r="D48" s="61">
        <v>21.298801800843599</v>
      </c>
      <c r="E48" s="61">
        <v>23.874552615772298</v>
      </c>
      <c r="F48" s="61">
        <v>32.127088647063403</v>
      </c>
      <c r="G48" s="61">
        <v>30.119016353770899</v>
      </c>
      <c r="H48" s="61">
        <v>2.8125420379791599</v>
      </c>
      <c r="I48" s="61">
        <v>2.64399632026202</v>
      </c>
      <c r="J48" s="61">
        <v>3.8930958724233502</v>
      </c>
      <c r="K48" s="61">
        <v>49.360781917839901</v>
      </c>
      <c r="L48" s="61">
        <v>1.40873199327281</v>
      </c>
      <c r="M48" s="61">
        <v>2.8422184925710701</v>
      </c>
      <c r="N48" s="61">
        <v>1.8472920868640199</v>
      </c>
      <c r="O48" s="61">
        <v>2.2820056156091799</v>
      </c>
      <c r="P48" s="61">
        <v>2.04652760152499</v>
      </c>
      <c r="Q48" s="61">
        <v>2.5659069177957798</v>
      </c>
      <c r="R48" s="61">
        <v>2.2337374309279698</v>
      </c>
      <c r="S48" s="61">
        <v>914.59317374726595</v>
      </c>
      <c r="T48" s="61">
        <v>1071.6209114051901</v>
      </c>
      <c r="U48" s="61">
        <v>506.107633529076</v>
      </c>
      <c r="V48" s="61">
        <v>1033.4127346237999</v>
      </c>
      <c r="W48" s="61">
        <v>541.00073318775503</v>
      </c>
      <c r="X48" s="61">
        <v>861.23759685030802</v>
      </c>
      <c r="Y48" s="61">
        <v>250.23351955549799</v>
      </c>
      <c r="Z48" s="61">
        <v>529.17358030893001</v>
      </c>
      <c r="AA48" s="61">
        <v>204.94435458437701</v>
      </c>
      <c r="AB48" s="61">
        <v>94.226362409150198</v>
      </c>
      <c r="AC48" s="61">
        <v>111.94330920280299</v>
      </c>
      <c r="AD48" s="61">
        <v>104.712387705895</v>
      </c>
      <c r="AE48" s="61">
        <v>308.24219908881798</v>
      </c>
      <c r="AF48" s="61">
        <v>268.380619837312</v>
      </c>
      <c r="AG48" s="61">
        <v>239.00403185974301</v>
      </c>
      <c r="AH48" s="61" t="s">
        <v>137</v>
      </c>
      <c r="AI48" s="61">
        <v>119.464791108781</v>
      </c>
      <c r="AJ48" s="61">
        <v>139.02540056924099</v>
      </c>
      <c r="AK48" s="61">
        <v>1.0552502623076601</v>
      </c>
      <c r="AL48" s="61">
        <v>0.46385952963652</v>
      </c>
      <c r="AM48" s="61">
        <v>0.54376364213094597</v>
      </c>
      <c r="AN48" s="61">
        <v>2.2462080260068</v>
      </c>
      <c r="AO48" s="61">
        <v>1.6403742579759</v>
      </c>
      <c r="AP48" s="61">
        <v>3.2385490946802702</v>
      </c>
      <c r="AQ48" s="61">
        <v>15.319095880372</v>
      </c>
      <c r="AR48" s="61">
        <v>0.73423891556185195</v>
      </c>
      <c r="AS48" s="61">
        <v>0.57820487382249397</v>
      </c>
      <c r="AT48" s="61">
        <v>0.17134791952703199</v>
      </c>
      <c r="AU48" s="61">
        <v>3773.5824822425898</v>
      </c>
      <c r="AV48" s="61">
        <v>334.121721929459</v>
      </c>
      <c r="AW48" s="61">
        <v>232.17120914394701</v>
      </c>
      <c r="AX48" s="61">
        <v>564.78877430405998</v>
      </c>
      <c r="AY48" s="61">
        <v>745.50875183990797</v>
      </c>
      <c r="AZ48" s="61">
        <v>546.64546369706704</v>
      </c>
      <c r="BA48" s="61">
        <v>1.4531019119675499</v>
      </c>
      <c r="BB48" s="61">
        <v>0.73342203754346902</v>
      </c>
      <c r="BC48" s="61">
        <v>0.779828981170125</v>
      </c>
      <c r="BD48" s="61">
        <v>53.109996480038397</v>
      </c>
      <c r="BE48" s="61">
        <v>212.305562955103</v>
      </c>
      <c r="BF48" s="61">
        <v>191.696454367249</v>
      </c>
      <c r="BG48" s="61">
        <v>81.823086489088993</v>
      </c>
      <c r="BH48" s="61">
        <v>139.59307909087701</v>
      </c>
      <c r="BI48" s="61">
        <v>1688.87772462046</v>
      </c>
      <c r="BJ48" s="61">
        <v>34.234427129931603</v>
      </c>
      <c r="BK48" s="61">
        <v>1951.6487707239401</v>
      </c>
      <c r="BL48" s="61">
        <v>623.660516465716</v>
      </c>
      <c r="BM48" s="61">
        <v>6704.9554553491798</v>
      </c>
      <c r="BN48" s="61">
        <v>7458.8956074733896</v>
      </c>
      <c r="BO48" s="61">
        <v>1335.55419914495</v>
      </c>
      <c r="BP48" s="61">
        <v>345.90337780472902</v>
      </c>
      <c r="BQ48" s="61">
        <v>467.72884298435798</v>
      </c>
      <c r="BR48" s="61">
        <v>6.4714834455126597</v>
      </c>
      <c r="BS48" s="61">
        <v>80.591388006249801</v>
      </c>
      <c r="BT48" s="55"/>
      <c r="BU48" s="55"/>
      <c r="BV48" s="55"/>
      <c r="BW48" s="55"/>
    </row>
    <row r="49" spans="1:75">
      <c r="A49" s="65">
        <v>2000</v>
      </c>
      <c r="B49" s="60">
        <v>35.482467945725197</v>
      </c>
      <c r="C49" s="60">
        <v>35.536762398604999</v>
      </c>
      <c r="D49" s="60">
        <v>32.785620212047597</v>
      </c>
      <c r="E49" s="60">
        <v>38.125021226522797</v>
      </c>
      <c r="F49" s="60">
        <v>32.994121156899602</v>
      </c>
      <c r="G49" s="60">
        <v>33.396335205288501</v>
      </c>
      <c r="H49" s="60">
        <v>5.41522559940225</v>
      </c>
      <c r="I49" s="60">
        <v>4.8496120938554004</v>
      </c>
      <c r="J49" s="60">
        <v>5.9232303219767397</v>
      </c>
      <c r="K49" s="60">
        <v>92.826979716054893</v>
      </c>
      <c r="L49" s="60">
        <v>1.1385066663965699</v>
      </c>
      <c r="M49" s="60">
        <v>2.4128653173661601</v>
      </c>
      <c r="N49" s="60">
        <v>1.1475983797820299</v>
      </c>
      <c r="O49" s="60">
        <v>2.3582836140808898</v>
      </c>
      <c r="P49" s="60">
        <v>2.2540850371701402</v>
      </c>
      <c r="Q49" s="60">
        <v>2.2700164842430501</v>
      </c>
      <c r="R49" s="60">
        <v>2.5497437857084901</v>
      </c>
      <c r="S49" s="60">
        <v>566.032478513922</v>
      </c>
      <c r="T49" s="60">
        <v>1094.3741489100701</v>
      </c>
      <c r="U49" s="60">
        <v>512.67103399524797</v>
      </c>
      <c r="V49" s="60">
        <v>951.189089980885</v>
      </c>
      <c r="W49" s="60">
        <v>389.95908910202297</v>
      </c>
      <c r="X49" s="60">
        <v>557.44353268895202</v>
      </c>
      <c r="Y49" s="60">
        <v>266.25732057409101</v>
      </c>
      <c r="Z49" s="60">
        <v>425.01455725691602</v>
      </c>
      <c r="AA49" s="60">
        <v>256.02914301545297</v>
      </c>
      <c r="AB49" s="60">
        <v>97.077083902940103</v>
      </c>
      <c r="AC49" s="60">
        <v>111.280267486672</v>
      </c>
      <c r="AD49" s="60">
        <v>110.61305303661</v>
      </c>
      <c r="AE49" s="60">
        <v>254.39514844387301</v>
      </c>
      <c r="AF49" s="60">
        <v>217.21129761625599</v>
      </c>
      <c r="AG49" s="60">
        <v>180.33469363115799</v>
      </c>
      <c r="AH49" s="60" t="s">
        <v>137</v>
      </c>
      <c r="AI49" s="60">
        <v>124.32708568128599</v>
      </c>
      <c r="AJ49" s="60">
        <v>143.39873514239201</v>
      </c>
      <c r="AK49" s="60">
        <v>0.89546044819825499</v>
      </c>
      <c r="AL49" s="60">
        <v>0.53293151925041904</v>
      </c>
      <c r="AM49" s="60">
        <v>0.45652865640763401</v>
      </c>
      <c r="AN49" s="60">
        <v>2.4201701500115398</v>
      </c>
      <c r="AO49" s="60">
        <v>1.64737647178428</v>
      </c>
      <c r="AP49" s="60">
        <v>3.2912107198595302</v>
      </c>
      <c r="AQ49" s="60">
        <v>17.6191231843483</v>
      </c>
      <c r="AR49" s="60">
        <v>0.69778874170119998</v>
      </c>
      <c r="AS49" s="60">
        <v>0.53744804783545297</v>
      </c>
      <c r="AT49" s="60">
        <v>0.22669579815834201</v>
      </c>
      <c r="AU49" s="60">
        <v>3740.8587927154299</v>
      </c>
      <c r="AV49" s="60">
        <v>346.18688836720298</v>
      </c>
      <c r="AW49" s="60">
        <v>238.74755555616099</v>
      </c>
      <c r="AX49" s="60">
        <v>614.69705534444904</v>
      </c>
      <c r="AY49" s="60">
        <v>747.48586170753799</v>
      </c>
      <c r="AZ49" s="60">
        <v>563.40132828071205</v>
      </c>
      <c r="BA49" s="60">
        <v>1.6366969472174</v>
      </c>
      <c r="BB49" s="60">
        <v>0.79087432129297197</v>
      </c>
      <c r="BC49" s="60">
        <v>0.83859534224244303</v>
      </c>
      <c r="BD49" s="60">
        <v>55.304431653469798</v>
      </c>
      <c r="BE49" s="60">
        <v>185.607642993826</v>
      </c>
      <c r="BF49" s="60">
        <v>173.088207021513</v>
      </c>
      <c r="BG49" s="60">
        <v>126.851921524102</v>
      </c>
      <c r="BH49" s="60">
        <v>141.40337638671301</v>
      </c>
      <c r="BI49" s="60">
        <v>1947.1443940609699</v>
      </c>
      <c r="BJ49" s="60">
        <v>36.186695165986301</v>
      </c>
      <c r="BK49" s="60">
        <v>2279.38367235435</v>
      </c>
      <c r="BL49" s="60">
        <v>570.56786088247395</v>
      </c>
      <c r="BM49" s="60">
        <v>6832.2445456597598</v>
      </c>
      <c r="BN49" s="60">
        <v>10856.9376223504</v>
      </c>
      <c r="BO49" s="60">
        <v>1417.9721097576</v>
      </c>
      <c r="BP49" s="60">
        <v>350.72017587091898</v>
      </c>
      <c r="BQ49" s="60">
        <v>684.556788601265</v>
      </c>
      <c r="BR49" s="60">
        <v>6.2258230731201296</v>
      </c>
      <c r="BS49" s="60">
        <v>79.559627835429396</v>
      </c>
      <c r="BT49" s="55"/>
      <c r="BU49" s="55"/>
      <c r="BV49" s="55"/>
      <c r="BW49" s="55"/>
    </row>
    <row r="50" spans="1:75">
      <c r="A50" s="66">
        <v>2001</v>
      </c>
      <c r="B50" s="61">
        <v>31.800493397500201</v>
      </c>
      <c r="C50" s="61">
        <v>31.891573803881201</v>
      </c>
      <c r="D50" s="61">
        <v>29.6627666325783</v>
      </c>
      <c r="E50" s="61">
        <v>33.847139756041003</v>
      </c>
      <c r="F50" s="61">
        <v>42.196157484114202</v>
      </c>
      <c r="G50" s="61">
        <v>44.222443628161102</v>
      </c>
      <c r="H50" s="61">
        <v>5.1658326132067103</v>
      </c>
      <c r="I50" s="61">
        <v>5.2985967966512399</v>
      </c>
      <c r="J50" s="61">
        <v>6.0516526568448503</v>
      </c>
      <c r="K50" s="61">
        <v>92.019973920917494</v>
      </c>
      <c r="L50" s="61">
        <v>1.39563450806516</v>
      </c>
      <c r="M50" s="61">
        <v>1.79312176745001</v>
      </c>
      <c r="N50" s="61">
        <v>0.79289599753708395</v>
      </c>
      <c r="O50" s="61">
        <v>2.0869767875773002</v>
      </c>
      <c r="P50" s="61">
        <v>2.1110919867996798</v>
      </c>
      <c r="Q50" s="61">
        <v>2.16925793438255</v>
      </c>
      <c r="R50" s="61">
        <v>1.98058044154965</v>
      </c>
      <c r="S50" s="61">
        <v>415.37777721950698</v>
      </c>
      <c r="T50" s="61">
        <v>1131.4403123966099</v>
      </c>
      <c r="U50" s="61">
        <v>607.65622647058797</v>
      </c>
      <c r="V50" s="61">
        <v>991.46659849862601</v>
      </c>
      <c r="W50" s="61">
        <v>375.38528753436998</v>
      </c>
      <c r="X50" s="61">
        <v>398.68540172888601</v>
      </c>
      <c r="Y50" s="61">
        <v>255.73428778250999</v>
      </c>
      <c r="Z50" s="61">
        <v>461.28153776096201</v>
      </c>
      <c r="AA50" s="61">
        <v>267.22709549855699</v>
      </c>
      <c r="AB50" s="61">
        <v>122.669752578705</v>
      </c>
      <c r="AC50" s="61">
        <v>117.05992171266701</v>
      </c>
      <c r="AD50" s="61">
        <v>124.363040033129</v>
      </c>
      <c r="AE50" s="61">
        <v>225.70564124178401</v>
      </c>
      <c r="AF50" s="61">
        <v>199.87756640676301</v>
      </c>
      <c r="AG50" s="61">
        <v>175.12538929877999</v>
      </c>
      <c r="AH50" s="61" t="s">
        <v>137</v>
      </c>
      <c r="AI50" s="61">
        <v>140.674534669606</v>
      </c>
      <c r="AJ50" s="61">
        <v>165.59611307176399</v>
      </c>
      <c r="AK50" s="61">
        <v>1.0149734765853899</v>
      </c>
      <c r="AL50" s="61">
        <v>0.76165070872511997</v>
      </c>
      <c r="AM50" s="61">
        <v>0.77764634614419403</v>
      </c>
      <c r="AN50" s="61">
        <v>2.75068122991126</v>
      </c>
      <c r="AO50" s="61">
        <v>1.8318361894468</v>
      </c>
      <c r="AP50" s="61">
        <v>3.8024532723324902</v>
      </c>
      <c r="AQ50" s="61">
        <v>17.8615664279952</v>
      </c>
      <c r="AR50" s="61">
        <v>0.69035302118900199</v>
      </c>
      <c r="AS50" s="61">
        <v>0.61423023001311605</v>
      </c>
      <c r="AT50" s="61">
        <v>0.24862813927519201</v>
      </c>
      <c r="AU50" s="61">
        <v>3923.6582659692599</v>
      </c>
      <c r="AV50" s="61">
        <v>347.431897533224</v>
      </c>
      <c r="AW50" s="61">
        <v>207.703035612907</v>
      </c>
      <c r="AX50" s="61">
        <v>616.287501252266</v>
      </c>
      <c r="AY50" s="61">
        <v>628.58658446169795</v>
      </c>
      <c r="AZ50" s="61">
        <v>535.15827646177604</v>
      </c>
      <c r="BA50" s="61">
        <v>1.38171603342372</v>
      </c>
      <c r="BB50" s="61">
        <v>0.67287499924119898</v>
      </c>
      <c r="BC50" s="61">
        <v>0.75104263282170003</v>
      </c>
      <c r="BD50" s="61">
        <v>57.458597425176798</v>
      </c>
      <c r="BE50" s="61">
        <v>187.40607626740001</v>
      </c>
      <c r="BF50" s="61">
        <v>165.68425978372301</v>
      </c>
      <c r="BG50" s="61">
        <v>125.95639160629899</v>
      </c>
      <c r="BH50" s="61">
        <v>146.91118659846299</v>
      </c>
      <c r="BI50" s="61">
        <v>1885.20896390297</v>
      </c>
      <c r="BJ50" s="61">
        <v>39.215492742683097</v>
      </c>
      <c r="BK50" s="61">
        <v>2061.0507719512102</v>
      </c>
      <c r="BL50" s="61">
        <v>621.80431785552605</v>
      </c>
      <c r="BM50" s="61">
        <v>5856.1301909474696</v>
      </c>
      <c r="BN50" s="61">
        <v>7763.08309869802</v>
      </c>
      <c r="BO50" s="61">
        <v>1156.70250710547</v>
      </c>
      <c r="BP50" s="61">
        <v>353.878578047367</v>
      </c>
      <c r="BQ50" s="61">
        <v>691.50007300884795</v>
      </c>
      <c r="BR50" s="61">
        <v>5.7145186893766704</v>
      </c>
      <c r="BS50" s="61">
        <v>76.576877911608094</v>
      </c>
      <c r="BT50" s="55"/>
      <c r="BU50" s="55"/>
      <c r="BV50" s="55"/>
      <c r="BW50" s="55"/>
    </row>
    <row r="51" spans="1:75">
      <c r="A51" s="65">
        <v>2002</v>
      </c>
      <c r="B51" s="60">
        <v>32.937134394780102</v>
      </c>
      <c r="C51" s="60">
        <v>32.992271521349601</v>
      </c>
      <c r="D51" s="60">
        <v>31.342124287439798</v>
      </c>
      <c r="E51" s="60">
        <v>34.477007375550897</v>
      </c>
      <c r="F51" s="60">
        <v>33.441379183341297</v>
      </c>
      <c r="G51" s="60">
        <v>34.385836293091799</v>
      </c>
      <c r="H51" s="60">
        <v>4.4329750205253902</v>
      </c>
      <c r="I51" s="60">
        <v>4.0321794647699898</v>
      </c>
      <c r="J51" s="60">
        <v>5.65738342162431</v>
      </c>
      <c r="K51" s="60">
        <v>76.832982730477795</v>
      </c>
      <c r="L51" s="60">
        <v>2.34909138053639</v>
      </c>
      <c r="M51" s="60">
        <v>1.79249205791453</v>
      </c>
      <c r="N51" s="60">
        <v>0.87441698529558798</v>
      </c>
      <c r="O51" s="60">
        <v>1.9898838691240699</v>
      </c>
      <c r="P51" s="60">
        <v>2.0638989165358201</v>
      </c>
      <c r="Q51" s="60">
        <v>1.9342459585957099</v>
      </c>
      <c r="R51" s="60">
        <v>1.9714957213737501</v>
      </c>
      <c r="S51" s="60">
        <v>556.26899661436403</v>
      </c>
      <c r="T51" s="60">
        <v>955.76196681355998</v>
      </c>
      <c r="U51" s="60">
        <v>844.09305780794</v>
      </c>
      <c r="V51" s="60">
        <v>950.58906153625503</v>
      </c>
      <c r="W51" s="60">
        <v>542.91721939158901</v>
      </c>
      <c r="X51" s="60">
        <v>545.056630833437</v>
      </c>
      <c r="Y51" s="60">
        <v>280.99732370543501</v>
      </c>
      <c r="Z51" s="60">
        <v>610.05928367415197</v>
      </c>
      <c r="AA51" s="60">
        <v>258.58470409719001</v>
      </c>
      <c r="AB51" s="60">
        <v>143.97919688497799</v>
      </c>
      <c r="AC51" s="60">
        <v>131.16695214110501</v>
      </c>
      <c r="AD51" s="60">
        <v>134.43167418180499</v>
      </c>
      <c r="AE51" s="60">
        <v>253.52300857573999</v>
      </c>
      <c r="AF51" s="60">
        <v>231.19627372944299</v>
      </c>
      <c r="AG51" s="60">
        <v>198.43600842210299</v>
      </c>
      <c r="AH51" s="60" t="s">
        <v>137</v>
      </c>
      <c r="AI51" s="60">
        <v>171.71336847389799</v>
      </c>
      <c r="AJ51" s="60">
        <v>195.655397496825</v>
      </c>
      <c r="AK51" s="60">
        <v>1.00343021186785</v>
      </c>
      <c r="AL51" s="60">
        <v>0.69840937872430997</v>
      </c>
      <c r="AM51" s="60">
        <v>0.74591850746566102</v>
      </c>
      <c r="AN51" s="60">
        <v>2.78608902895642</v>
      </c>
      <c r="AO51" s="60">
        <v>1.8375763760028301</v>
      </c>
      <c r="AP51" s="60">
        <v>4.3648177543131403</v>
      </c>
      <c r="AQ51" s="60">
        <v>13.7273866316543</v>
      </c>
      <c r="AR51" s="60">
        <v>0.72562334590711597</v>
      </c>
      <c r="AS51" s="60">
        <v>0.60961664682411398</v>
      </c>
      <c r="AT51" s="60">
        <v>0.20060698434911101</v>
      </c>
      <c r="AU51" s="60">
        <v>3626.2836754589398</v>
      </c>
      <c r="AV51" s="60">
        <v>311.86178844920403</v>
      </c>
      <c r="AW51" s="60">
        <v>215.90878610277301</v>
      </c>
      <c r="AX51" s="60">
        <v>642.60861049950904</v>
      </c>
      <c r="AY51" s="60">
        <v>696.07851679644205</v>
      </c>
      <c r="AZ51" s="60">
        <v>532.12877198694196</v>
      </c>
      <c r="BA51" s="60">
        <v>1.3467060999389</v>
      </c>
      <c r="BB51" s="60">
        <v>0.99300402198475402</v>
      </c>
      <c r="BC51" s="60">
        <v>1.0106654525185901</v>
      </c>
      <c r="BD51" s="60">
        <v>58.1373773183658</v>
      </c>
      <c r="BE51" s="60">
        <v>201.09421521016</v>
      </c>
      <c r="BF51" s="60">
        <v>175.81711857362501</v>
      </c>
      <c r="BG51" s="60">
        <v>124.75587487905599</v>
      </c>
      <c r="BH51" s="60">
        <v>148.646703370822</v>
      </c>
      <c r="BI51" s="60">
        <v>1783.64812960731</v>
      </c>
      <c r="BJ51" s="60">
        <v>38.727421118211403</v>
      </c>
      <c r="BK51" s="60">
        <v>2060.5439053864102</v>
      </c>
      <c r="BL51" s="60">
        <v>598.13231263035402</v>
      </c>
      <c r="BM51" s="60">
        <v>5365.1550136641899</v>
      </c>
      <c r="BN51" s="60">
        <v>8947.5416659876901</v>
      </c>
      <c r="BO51" s="60">
        <v>1028.96551333358</v>
      </c>
      <c r="BP51" s="60">
        <v>409.56681234097101</v>
      </c>
      <c r="BQ51" s="60">
        <v>712.862242638721</v>
      </c>
      <c r="BR51" s="60">
        <v>6.0793859070606198</v>
      </c>
      <c r="BS51" s="60">
        <v>75.682808598419896</v>
      </c>
      <c r="BT51" s="55"/>
      <c r="BU51" s="55"/>
      <c r="BV51" s="55"/>
      <c r="BW51" s="55"/>
    </row>
    <row r="52" spans="1:75">
      <c r="A52" s="66">
        <v>2003</v>
      </c>
      <c r="B52" s="61">
        <v>36.296960712154601</v>
      </c>
      <c r="C52" s="61">
        <v>36.237284979653303</v>
      </c>
      <c r="D52" s="61">
        <v>33.5830477471536</v>
      </c>
      <c r="E52" s="61">
        <v>39.070549409656799</v>
      </c>
      <c r="F52" s="61">
        <v>32.769769301323201</v>
      </c>
      <c r="G52" s="61">
        <v>37.975618786289999</v>
      </c>
      <c r="H52" s="61">
        <v>6.89791850496231</v>
      </c>
      <c r="I52" s="61">
        <v>4.90676499331986</v>
      </c>
      <c r="J52" s="61">
        <v>5.94191656720922</v>
      </c>
      <c r="K52" s="61">
        <v>111.116235800422</v>
      </c>
      <c r="L52" s="61">
        <v>2.1990979835331999</v>
      </c>
      <c r="M52" s="61">
        <v>1.7777209570797801</v>
      </c>
      <c r="N52" s="61">
        <v>1.0230063047993101</v>
      </c>
      <c r="O52" s="61">
        <v>1.9048990095823</v>
      </c>
      <c r="P52" s="61">
        <v>1.93560344739406</v>
      </c>
      <c r="Q52" s="61">
        <v>1.84030345804183</v>
      </c>
      <c r="R52" s="61">
        <v>1.93878970464506</v>
      </c>
      <c r="S52" s="61">
        <v>586.96966899611198</v>
      </c>
      <c r="T52" s="61">
        <v>1252.46280210189</v>
      </c>
      <c r="U52" s="61">
        <v>804.26073171799396</v>
      </c>
      <c r="V52" s="61">
        <v>1519.0634780524399</v>
      </c>
      <c r="W52" s="61">
        <v>598.73836899288904</v>
      </c>
      <c r="X52" s="61">
        <v>574.04021763892797</v>
      </c>
      <c r="Y52" s="61">
        <v>331.58343640864598</v>
      </c>
      <c r="Z52" s="61">
        <v>701.581567523952</v>
      </c>
      <c r="AA52" s="61">
        <v>292.19534335646699</v>
      </c>
      <c r="AB52" s="61">
        <v>131.553837071678</v>
      </c>
      <c r="AC52" s="61">
        <v>132.34459030097099</v>
      </c>
      <c r="AD52" s="61">
        <v>133.80723226158901</v>
      </c>
      <c r="AE52" s="61">
        <v>248.206111458164</v>
      </c>
      <c r="AF52" s="61">
        <v>228.23574540173399</v>
      </c>
      <c r="AG52" s="61">
        <v>190.24180997990999</v>
      </c>
      <c r="AH52" s="61" t="s">
        <v>137</v>
      </c>
      <c r="AI52" s="61">
        <v>174.05221729731099</v>
      </c>
      <c r="AJ52" s="61">
        <v>183.55542161141</v>
      </c>
      <c r="AK52" s="61">
        <v>0.99274009510935801</v>
      </c>
      <c r="AL52" s="61">
        <v>0.47073176609865403</v>
      </c>
      <c r="AM52" s="61">
        <v>0.85504944514173498</v>
      </c>
      <c r="AN52" s="61">
        <v>2.6710908587803601</v>
      </c>
      <c r="AO52" s="61">
        <v>1.83344839928182</v>
      </c>
      <c r="AP52" s="61">
        <v>4.8780182375139596</v>
      </c>
      <c r="AQ52" s="61">
        <v>13.5365544556486</v>
      </c>
      <c r="AR52" s="61">
        <v>0.75001279943285803</v>
      </c>
      <c r="AS52" s="61">
        <v>0.594980611779937</v>
      </c>
      <c r="AT52" s="61">
        <v>0.196314936457435</v>
      </c>
      <c r="AU52" s="61">
        <v>3323.4987770592802</v>
      </c>
      <c r="AV52" s="61">
        <v>351.03303122102898</v>
      </c>
      <c r="AW52" s="61">
        <v>235.077259973232</v>
      </c>
      <c r="AX52" s="61">
        <v>692.84558066407601</v>
      </c>
      <c r="AY52" s="61">
        <v>692.04311278072305</v>
      </c>
      <c r="AZ52" s="61">
        <v>542.43828561930195</v>
      </c>
      <c r="BA52" s="61">
        <v>1.7572809421213</v>
      </c>
      <c r="BB52" s="61">
        <v>1.26111605648489</v>
      </c>
      <c r="BC52" s="61">
        <v>1.3598817835464201</v>
      </c>
      <c r="BD52" s="61">
        <v>55.263906068107602</v>
      </c>
      <c r="BE52" s="61">
        <v>215.61165852552199</v>
      </c>
      <c r="BF52" s="61">
        <v>187.56234786751699</v>
      </c>
      <c r="BG52" s="61">
        <v>173.56058833293099</v>
      </c>
      <c r="BH52" s="61">
        <v>141.29975983323001</v>
      </c>
      <c r="BI52" s="61">
        <v>1797.7018944515801</v>
      </c>
      <c r="BJ52" s="61">
        <v>40.129131792637203</v>
      </c>
      <c r="BK52" s="61">
        <v>2234.6021125202801</v>
      </c>
      <c r="BL52" s="61">
        <v>646.87584784042997</v>
      </c>
      <c r="BM52" s="61">
        <v>6147.98007763036</v>
      </c>
      <c r="BN52" s="61">
        <v>12094.5915648596</v>
      </c>
      <c r="BO52" s="61">
        <v>1039.5836763561299</v>
      </c>
      <c r="BP52" s="61">
        <v>456.566737308244</v>
      </c>
      <c r="BQ52" s="61">
        <v>868.79151665104496</v>
      </c>
      <c r="BR52" s="61">
        <v>6.12454912345589</v>
      </c>
      <c r="BS52" s="61">
        <v>79.617969721094497</v>
      </c>
      <c r="BT52" s="55"/>
      <c r="BU52" s="55"/>
      <c r="BV52" s="55"/>
      <c r="BW52" s="55"/>
    </row>
    <row r="53" spans="1:75">
      <c r="A53" s="65">
        <v>2004</v>
      </c>
      <c r="B53" s="60">
        <v>44.378607463438499</v>
      </c>
      <c r="C53" s="60">
        <v>45.045805125056702</v>
      </c>
      <c r="D53" s="60">
        <v>39.347772321431599</v>
      </c>
      <c r="E53" s="60">
        <v>48.742244943827203</v>
      </c>
      <c r="F53" s="60">
        <v>62.272564240708697</v>
      </c>
      <c r="G53" s="60">
        <v>64.314829922181502</v>
      </c>
      <c r="H53" s="60">
        <v>6.9330110683683399</v>
      </c>
      <c r="I53" s="60">
        <v>5.0308097146969599</v>
      </c>
      <c r="J53" s="60">
        <v>6.03050305367824</v>
      </c>
      <c r="K53" s="60">
        <v>112.19209988792601</v>
      </c>
      <c r="L53" s="60">
        <v>1.82279216074602</v>
      </c>
      <c r="M53" s="60">
        <v>2.0864002527723802</v>
      </c>
      <c r="N53" s="60">
        <v>0.93270042782904306</v>
      </c>
      <c r="O53" s="60">
        <v>1.98245368121409</v>
      </c>
      <c r="P53" s="60">
        <v>2.0945769176016502</v>
      </c>
      <c r="Q53" s="60">
        <v>2.02481545296809</v>
      </c>
      <c r="R53" s="60">
        <v>1.82796867307253</v>
      </c>
      <c r="S53" s="60">
        <v>777.114557331622</v>
      </c>
      <c r="T53" s="60">
        <v>1162.16408848742</v>
      </c>
      <c r="U53" s="60">
        <v>762.80522130306701</v>
      </c>
      <c r="V53" s="60">
        <v>1519.0967544386101</v>
      </c>
      <c r="W53" s="60">
        <v>587.20908631100497</v>
      </c>
      <c r="X53" s="60">
        <v>773.23339495675395</v>
      </c>
      <c r="Y53" s="60">
        <v>360.47765693854302</v>
      </c>
      <c r="Z53" s="60">
        <v>727.10146772880296</v>
      </c>
      <c r="AA53" s="60">
        <v>305.65525830201699</v>
      </c>
      <c r="AB53" s="60">
        <v>116.42140196018001</v>
      </c>
      <c r="AC53" s="60">
        <v>131.49316929140599</v>
      </c>
      <c r="AD53" s="60">
        <v>129.10831979348899</v>
      </c>
      <c r="AE53" s="60">
        <v>279.52209831123599</v>
      </c>
      <c r="AF53" s="60">
        <v>265.12455404688802</v>
      </c>
      <c r="AG53" s="60">
        <v>241.26912672257001</v>
      </c>
      <c r="AH53" s="60">
        <v>266.179181514937</v>
      </c>
      <c r="AI53" s="60">
        <v>169.881958114013</v>
      </c>
      <c r="AJ53" s="60">
        <v>184.510083049006</v>
      </c>
      <c r="AK53" s="60">
        <v>1.04908120117407</v>
      </c>
      <c r="AL53" s="60">
        <v>0.61696694384364603</v>
      </c>
      <c r="AM53" s="60">
        <v>1.0085414668335</v>
      </c>
      <c r="AN53" s="60">
        <v>3.1438395855232799</v>
      </c>
      <c r="AO53" s="60">
        <v>1.9631418683711801</v>
      </c>
      <c r="AP53" s="60">
        <v>5.4088032348298398</v>
      </c>
      <c r="AQ53" s="60">
        <v>11.8991364871763</v>
      </c>
      <c r="AR53" s="60">
        <v>0.78762604369317601</v>
      </c>
      <c r="AS53" s="60">
        <v>0.534752073643329</v>
      </c>
      <c r="AT53" s="60">
        <v>0.18580897332840399</v>
      </c>
      <c r="AU53" s="60">
        <v>3222.7937445606799</v>
      </c>
      <c r="AV53" s="60">
        <v>389.64959008078398</v>
      </c>
      <c r="AW53" s="60">
        <v>231.99420880786499</v>
      </c>
      <c r="AX53" s="60">
        <v>689.67203359353198</v>
      </c>
      <c r="AY53" s="60">
        <v>683.66523079241995</v>
      </c>
      <c r="AZ53" s="60">
        <v>546.67992847387097</v>
      </c>
      <c r="BA53" s="60">
        <v>1.6062381001480399</v>
      </c>
      <c r="BB53" s="60">
        <v>1.4190940974291899</v>
      </c>
      <c r="BC53" s="60">
        <v>1.5058615987037101</v>
      </c>
      <c r="BD53" s="60">
        <v>51.748831664913197</v>
      </c>
      <c r="BE53" s="60">
        <v>240.80113302711499</v>
      </c>
      <c r="BF53" s="60">
        <v>219.12395908111699</v>
      </c>
      <c r="BG53" s="60">
        <v>205.718757469434</v>
      </c>
      <c r="BH53" s="60">
        <v>147.660586716588</v>
      </c>
      <c r="BI53" s="60">
        <v>2017.66460052856</v>
      </c>
      <c r="BJ53" s="60">
        <v>44.574561820459301</v>
      </c>
      <c r="BK53" s="60">
        <v>3370.59536644539</v>
      </c>
      <c r="BL53" s="60">
        <v>1042.6742720084201</v>
      </c>
      <c r="BM53" s="60">
        <v>10011.909286076499</v>
      </c>
      <c r="BN53" s="60">
        <v>16257.6490598936</v>
      </c>
      <c r="BO53" s="60">
        <v>1232.2728763776299</v>
      </c>
      <c r="BP53" s="60">
        <v>481.27775775566499</v>
      </c>
      <c r="BQ53" s="60">
        <v>994.22442836214395</v>
      </c>
      <c r="BR53" s="60">
        <v>7.8303823041084097</v>
      </c>
      <c r="BS53" s="60">
        <v>85.026074182526798</v>
      </c>
      <c r="BT53" s="55"/>
      <c r="BU53" s="55"/>
      <c r="BV53" s="55"/>
      <c r="BW53" s="55"/>
    </row>
    <row r="54" spans="1:75">
      <c r="A54" s="66">
        <v>2005</v>
      </c>
      <c r="B54" s="61">
        <v>60.876160060699704</v>
      </c>
      <c r="C54" s="61">
        <v>62.065503719135897</v>
      </c>
      <c r="D54" s="61">
        <v>56.204935765095101</v>
      </c>
      <c r="E54" s="61">
        <v>64.358040697868105</v>
      </c>
      <c r="F54" s="61">
        <v>54.297098091451097</v>
      </c>
      <c r="G54" s="61">
        <v>52.6735084324323</v>
      </c>
      <c r="H54" s="61">
        <v>10.1656023677445</v>
      </c>
      <c r="I54" s="61">
        <v>7.2136314213727397</v>
      </c>
      <c r="J54" s="61">
        <v>6.8297658926273996</v>
      </c>
      <c r="K54" s="61">
        <v>162.365231681795</v>
      </c>
      <c r="L54" s="61">
        <v>1.7537557126082399</v>
      </c>
      <c r="M54" s="61">
        <v>2.8871682762433601</v>
      </c>
      <c r="N54" s="61">
        <v>1.27075707079081</v>
      </c>
      <c r="O54" s="61">
        <v>1.87799235518806</v>
      </c>
      <c r="P54" s="61">
        <v>2.1012867175176599</v>
      </c>
      <c r="Q54" s="61">
        <v>1.84805276768641</v>
      </c>
      <c r="R54" s="61">
        <v>1.6846375803600999</v>
      </c>
      <c r="S54" s="61">
        <v>703.47633872482095</v>
      </c>
      <c r="T54" s="61">
        <v>996.78285836325199</v>
      </c>
      <c r="U54" s="61">
        <v>771.44992317835397</v>
      </c>
      <c r="V54" s="61">
        <v>1335.1470196814701</v>
      </c>
      <c r="W54" s="61">
        <v>513.73084773624203</v>
      </c>
      <c r="X54" s="61">
        <v>719.25948302677398</v>
      </c>
      <c r="Y54" s="61">
        <v>313.197215130399</v>
      </c>
      <c r="Z54" s="61">
        <v>620.942399557974</v>
      </c>
      <c r="AA54" s="61">
        <v>269.95438325235699</v>
      </c>
      <c r="AB54" s="61">
        <v>108.406433057435</v>
      </c>
      <c r="AC54" s="61">
        <v>112.505047391411</v>
      </c>
      <c r="AD54" s="61">
        <v>109.70432274039101</v>
      </c>
      <c r="AE54" s="61">
        <v>326.40446970851798</v>
      </c>
      <c r="AF54" s="61">
        <v>302.58390335791</v>
      </c>
      <c r="AG54" s="61">
        <v>248.353395800633</v>
      </c>
      <c r="AH54" s="61" t="s">
        <v>137</v>
      </c>
      <c r="AI54" s="61">
        <v>154.74723627797999</v>
      </c>
      <c r="AJ54" s="61">
        <v>173.709330369529</v>
      </c>
      <c r="AK54" s="61">
        <v>1.3369689990250699</v>
      </c>
      <c r="AL54" s="61">
        <v>0.68735774161791596</v>
      </c>
      <c r="AM54" s="61">
        <v>0.997298567021212</v>
      </c>
      <c r="AN54" s="61">
        <v>3.11798840289251</v>
      </c>
      <c r="AO54" s="61">
        <v>1.8578027954735501</v>
      </c>
      <c r="AP54" s="61">
        <v>5.0607248399736999</v>
      </c>
      <c r="AQ54" s="61">
        <v>11.066755704693</v>
      </c>
      <c r="AR54" s="61">
        <v>0.75871064946831002</v>
      </c>
      <c r="AS54" s="61">
        <v>0.53505376420169404</v>
      </c>
      <c r="AT54" s="61">
        <v>0.24847884039497301</v>
      </c>
      <c r="AU54" s="61">
        <v>3180.7457404492802</v>
      </c>
      <c r="AV54" s="61">
        <v>381.24531157947303</v>
      </c>
      <c r="AW54" s="61">
        <v>231.596648935941</v>
      </c>
      <c r="AX54" s="61">
        <v>637.52439491128098</v>
      </c>
      <c r="AY54" s="61">
        <v>751.82414625657202</v>
      </c>
      <c r="AZ54" s="61">
        <v>579.91338575967598</v>
      </c>
      <c r="BA54" s="61">
        <v>1.38757930498538</v>
      </c>
      <c r="BB54" s="61">
        <v>1.5807183405609</v>
      </c>
      <c r="BC54" s="61">
        <v>1.6966096240783901</v>
      </c>
      <c r="BD54" s="61">
        <v>50.168564152855701</v>
      </c>
      <c r="BE54" s="61">
        <v>258.57951647667699</v>
      </c>
      <c r="BF54" s="61">
        <v>229.72546587228601</v>
      </c>
      <c r="BG54" s="61">
        <v>247.82368037420801</v>
      </c>
      <c r="BH54" s="61">
        <v>176.73016917483301</v>
      </c>
      <c r="BI54" s="61">
        <v>2164.4407013771101</v>
      </c>
      <c r="BJ54" s="61">
        <v>74.112651589445903</v>
      </c>
      <c r="BK54" s="61">
        <v>4194.6351709084001</v>
      </c>
      <c r="BL54" s="61">
        <v>1113.24975014143</v>
      </c>
      <c r="BM54" s="61">
        <v>8414.4402335074392</v>
      </c>
      <c r="BN54" s="61">
        <v>16810.983401850699</v>
      </c>
      <c r="BO54" s="61">
        <v>1574.95760215934</v>
      </c>
      <c r="BP54" s="61">
        <v>507.20712908819098</v>
      </c>
      <c r="BQ54" s="61">
        <v>1022.21680012923</v>
      </c>
      <c r="BR54" s="61">
        <v>8.3329604993013398</v>
      </c>
      <c r="BS54" s="61">
        <v>87.704323898804304</v>
      </c>
      <c r="BT54" s="55"/>
      <c r="BU54" s="55"/>
      <c r="BV54" s="55"/>
      <c r="BW54" s="55"/>
    </row>
    <row r="55" spans="1:75">
      <c r="A55" s="65">
        <v>2006</v>
      </c>
      <c r="B55" s="60">
        <v>71.490056507315799</v>
      </c>
      <c r="C55" s="60">
        <v>72.716754211097495</v>
      </c>
      <c r="D55" s="60">
        <v>68.312508071720103</v>
      </c>
      <c r="E55" s="60">
        <v>73.4409072391297</v>
      </c>
      <c r="F55" s="60">
        <v>54.588771470186401</v>
      </c>
      <c r="G55" s="60">
        <v>56.373105883730403</v>
      </c>
      <c r="H55" s="60">
        <v>7.4722899938009402</v>
      </c>
      <c r="I55" s="60">
        <v>9.4197659380290304</v>
      </c>
      <c r="J55" s="60">
        <v>7.8675664352057497</v>
      </c>
      <c r="K55" s="60">
        <v>140.850341303687</v>
      </c>
      <c r="L55" s="60">
        <v>1.77023273658268</v>
      </c>
      <c r="M55" s="60">
        <v>2.8046385918408201</v>
      </c>
      <c r="N55" s="60">
        <v>1.65615072331623</v>
      </c>
      <c r="O55" s="60">
        <v>2.0817937909367399</v>
      </c>
      <c r="P55" s="60">
        <v>2.1236522373281002</v>
      </c>
      <c r="Q55" s="60">
        <v>1.95071943086664</v>
      </c>
      <c r="R55" s="60">
        <v>2.1710097046154901</v>
      </c>
      <c r="S55" s="60">
        <v>674.89788830467796</v>
      </c>
      <c r="T55" s="60">
        <v>973.31224829028099</v>
      </c>
      <c r="U55" s="60">
        <v>839.96929792461799</v>
      </c>
      <c r="V55" s="60">
        <v>1133.6838892936901</v>
      </c>
      <c r="W55" s="60">
        <v>565.24063077169205</v>
      </c>
      <c r="X55" s="60">
        <v>643.38067045949197</v>
      </c>
      <c r="Y55" s="60">
        <v>298.74048640158497</v>
      </c>
      <c r="Z55" s="60">
        <v>666.47461900269104</v>
      </c>
      <c r="AA55" s="60">
        <v>252.831521882559</v>
      </c>
      <c r="AB55" s="60">
        <v>129.678729135993</v>
      </c>
      <c r="AC55" s="60">
        <v>135.50119821138699</v>
      </c>
      <c r="AD55" s="60">
        <v>136.71134520426</v>
      </c>
      <c r="AE55" s="60">
        <v>339.02971648183097</v>
      </c>
      <c r="AF55" s="60">
        <v>308.1679747252</v>
      </c>
      <c r="AG55" s="60">
        <v>244.10306390220501</v>
      </c>
      <c r="AH55" s="60" t="s">
        <v>137</v>
      </c>
      <c r="AI55" s="60">
        <v>176.775991229917</v>
      </c>
      <c r="AJ55" s="60">
        <v>213.55673034162601</v>
      </c>
      <c r="AK55" s="60">
        <v>0.99751372720788001</v>
      </c>
      <c r="AL55" s="60">
        <v>0.753111252815858</v>
      </c>
      <c r="AM55" s="60">
        <v>0.92207301735793101</v>
      </c>
      <c r="AN55" s="60">
        <v>2.9466877620032501</v>
      </c>
      <c r="AO55" s="60">
        <v>1.6971047178634899</v>
      </c>
      <c r="AP55" s="60">
        <v>4.48802222897306</v>
      </c>
      <c r="AQ55" s="60">
        <v>10.679940197629</v>
      </c>
      <c r="AR55" s="60">
        <v>0.71796819021124803</v>
      </c>
      <c r="AS55" s="60">
        <v>0.54227357647131402</v>
      </c>
      <c r="AT55" s="60">
        <v>0.36237776440146402</v>
      </c>
      <c r="AU55" s="60">
        <v>3301.8152616246798</v>
      </c>
      <c r="AV55" s="60">
        <v>354.15546470817799</v>
      </c>
      <c r="AW55" s="60">
        <v>266.25084397485602</v>
      </c>
      <c r="AX55" s="60">
        <v>692.64145446616601</v>
      </c>
      <c r="AY55" s="60">
        <v>833.28753161266798</v>
      </c>
      <c r="AZ55" s="60">
        <v>662.28099934740806</v>
      </c>
      <c r="BA55" s="60">
        <v>1.40843805422095</v>
      </c>
      <c r="BB55" s="60">
        <v>2.16407191340486</v>
      </c>
      <c r="BC55" s="60">
        <v>2.3116189013687598</v>
      </c>
      <c r="BD55" s="60">
        <v>48.929035074071102</v>
      </c>
      <c r="BE55" s="60">
        <v>255.62254648111801</v>
      </c>
      <c r="BF55" s="60">
        <v>224.22100997201201</v>
      </c>
      <c r="BG55" s="60">
        <v>247.023670130901</v>
      </c>
      <c r="BH55" s="60">
        <v>198.31086185324301</v>
      </c>
      <c r="BI55" s="60">
        <v>2857.78786535367</v>
      </c>
      <c r="BJ55" s="60">
        <v>77.100297692475607</v>
      </c>
      <c r="BK55" s="60">
        <v>7475.1716982527996</v>
      </c>
      <c r="BL55" s="60">
        <v>1434.2012966186501</v>
      </c>
      <c r="BM55" s="60">
        <v>9764.4843344081492</v>
      </c>
      <c r="BN55" s="60">
        <v>26971.4736566846</v>
      </c>
      <c r="BO55" s="60">
        <v>3642.2014753083099</v>
      </c>
      <c r="BP55" s="60">
        <v>672.03566331101501</v>
      </c>
      <c r="BQ55" s="60">
        <v>1268.5741961772501</v>
      </c>
      <c r="BR55" s="60">
        <v>12.8541393908191</v>
      </c>
      <c r="BS55" s="60">
        <v>89.926155162043798</v>
      </c>
      <c r="BT55" s="55"/>
      <c r="BU55" s="55"/>
      <c r="BV55" s="55"/>
      <c r="BW55" s="55"/>
    </row>
    <row r="56" spans="1:75">
      <c r="A56" s="66">
        <v>2007</v>
      </c>
      <c r="B56" s="61">
        <v>74.522447633877803</v>
      </c>
      <c r="C56" s="61">
        <v>76.177709335418399</v>
      </c>
      <c r="D56" s="61">
        <v>71.643359998011206</v>
      </c>
      <c r="E56" s="61">
        <v>75.746273568203904</v>
      </c>
      <c r="F56" s="61">
        <v>68.881192141628404</v>
      </c>
      <c r="G56" s="61">
        <v>65.6512844728814</v>
      </c>
      <c r="H56" s="61">
        <v>7.3163277539934297</v>
      </c>
      <c r="I56" s="61">
        <v>8.9647129779944397</v>
      </c>
      <c r="J56" s="61">
        <v>8.0513007653525008</v>
      </c>
      <c r="K56" s="61">
        <v>136.91760337067501</v>
      </c>
      <c r="L56" s="61">
        <v>2.04576652634394</v>
      </c>
      <c r="M56" s="61">
        <v>2.85414013179847</v>
      </c>
      <c r="N56" s="61">
        <v>2.0006164309655401</v>
      </c>
      <c r="O56" s="61">
        <v>2.13361355433792</v>
      </c>
      <c r="P56" s="61">
        <v>2.6429106825779001</v>
      </c>
      <c r="Q56" s="61">
        <v>2.0132486164672998</v>
      </c>
      <c r="R56" s="61">
        <v>1.7446813639685399</v>
      </c>
      <c r="S56" s="61">
        <v>962.88143046810603</v>
      </c>
      <c r="T56" s="61">
        <v>1307.3001669678099</v>
      </c>
      <c r="U56" s="61">
        <v>1222.3551188428701</v>
      </c>
      <c r="V56" s="61">
        <v>1440.9968362320401</v>
      </c>
      <c r="W56" s="61">
        <v>855.79913028891701</v>
      </c>
      <c r="X56" s="61">
        <v>930.95217220516099</v>
      </c>
      <c r="Y56" s="61">
        <v>401.45078015736601</v>
      </c>
      <c r="Z56" s="61">
        <v>928.49137333783301</v>
      </c>
      <c r="AA56" s="61">
        <v>337.35561476950198</v>
      </c>
      <c r="AB56" s="61">
        <v>180.63683644852</v>
      </c>
      <c r="AC56" s="61">
        <v>171.50309558874099</v>
      </c>
      <c r="AD56" s="61">
        <v>170.48527089423899</v>
      </c>
      <c r="AE56" s="61">
        <v>342.06530552812097</v>
      </c>
      <c r="AF56" s="61">
        <v>321.180242986037</v>
      </c>
      <c r="AG56" s="61">
        <v>285.35835836246099</v>
      </c>
      <c r="AH56" s="61" t="s">
        <v>137</v>
      </c>
      <c r="AI56" s="61">
        <v>250.014027265035</v>
      </c>
      <c r="AJ56" s="61">
        <v>267.42834960071599</v>
      </c>
      <c r="AK56" s="61">
        <v>1.08667232325354</v>
      </c>
      <c r="AL56" s="61">
        <v>0.70817736934294495</v>
      </c>
      <c r="AM56" s="61">
        <v>1.0024978610533399</v>
      </c>
      <c r="AN56" s="61">
        <v>2.8244540249599801</v>
      </c>
      <c r="AO56" s="61">
        <v>1.8061350788549499</v>
      </c>
      <c r="AP56" s="61">
        <v>4.3169034196824603</v>
      </c>
      <c r="AQ56" s="61">
        <v>10.143138203628</v>
      </c>
      <c r="AR56" s="61">
        <v>0.71352302512319998</v>
      </c>
      <c r="AS56" s="61">
        <v>0.47966773770105797</v>
      </c>
      <c r="AT56" s="61">
        <v>0.23279144221206299</v>
      </c>
      <c r="AU56" s="61">
        <v>3473.8201662716101</v>
      </c>
      <c r="AV56" s="61">
        <v>399.58362654026399</v>
      </c>
      <c r="AW56" s="61">
        <v>280.814688351472</v>
      </c>
      <c r="AX56" s="61">
        <v>796.22863277995702</v>
      </c>
      <c r="AY56" s="61">
        <v>844.91163969769502</v>
      </c>
      <c r="AZ56" s="61">
        <v>671.40275984445805</v>
      </c>
      <c r="BA56" s="61">
        <v>1.4619733808786</v>
      </c>
      <c r="BB56" s="61">
        <v>2.2588963456405802</v>
      </c>
      <c r="BC56" s="61">
        <v>2.3714399077489001</v>
      </c>
      <c r="BD56" s="61">
        <v>54.512196342421902</v>
      </c>
      <c r="BE56" s="61">
        <v>410.73422684244798</v>
      </c>
      <c r="BF56" s="61">
        <v>355.29202666975499</v>
      </c>
      <c r="BG56" s="61">
        <v>321.81552729263001</v>
      </c>
      <c r="BH56" s="61">
        <v>204.775491266286</v>
      </c>
      <c r="BI56" s="61">
        <v>2764.5258928920198</v>
      </c>
      <c r="BJ56" s="61">
        <v>128.87757304279299</v>
      </c>
      <c r="BK56" s="61">
        <v>7459.1295151955001</v>
      </c>
      <c r="BL56" s="61">
        <v>2703.54514878177</v>
      </c>
      <c r="BM56" s="61">
        <v>15233.027340865799</v>
      </c>
      <c r="BN56" s="61">
        <v>39012.803242542403</v>
      </c>
      <c r="BO56" s="61">
        <v>3397.63940462969</v>
      </c>
      <c r="BP56" s="61">
        <v>730.08732521408899</v>
      </c>
      <c r="BQ56" s="61">
        <v>1367.43571636517</v>
      </c>
      <c r="BR56" s="61">
        <v>14.0333386421364</v>
      </c>
      <c r="BS56" s="61">
        <v>95.429714492810206</v>
      </c>
      <c r="BT56" s="55"/>
      <c r="BU56" s="55"/>
      <c r="BV56" s="55"/>
      <c r="BW56" s="55"/>
    </row>
    <row r="57" spans="1:75">
      <c r="A57" s="65">
        <v>2008</v>
      </c>
      <c r="B57" s="60">
        <v>94.317583667592203</v>
      </c>
      <c r="C57" s="60">
        <v>94.945810736869404</v>
      </c>
      <c r="D57" s="60">
        <v>91.192816293241194</v>
      </c>
      <c r="E57" s="60">
        <v>96.814123972666195</v>
      </c>
      <c r="F57" s="60">
        <v>123.601420650503</v>
      </c>
      <c r="G57" s="60">
        <v>117.274875552857</v>
      </c>
      <c r="H57" s="60">
        <v>8.6131149722985096</v>
      </c>
      <c r="I57" s="60">
        <v>13.037204756107499</v>
      </c>
      <c r="J57" s="60">
        <v>12.1814558611268</v>
      </c>
      <c r="K57" s="60">
        <v>174.823643364551</v>
      </c>
      <c r="L57" s="60">
        <v>2.5060959614738798</v>
      </c>
      <c r="M57" s="60">
        <v>2.9966765184474302</v>
      </c>
      <c r="N57" s="60">
        <v>2.2569537936355801</v>
      </c>
      <c r="O57" s="60">
        <v>2.3537699977751898</v>
      </c>
      <c r="P57" s="60">
        <v>2.7123890398886501</v>
      </c>
      <c r="Q57" s="60">
        <v>2.1924364393131301</v>
      </c>
      <c r="R57" s="60">
        <v>2.1564845141237901</v>
      </c>
      <c r="S57" s="60">
        <v>1190.2689175640601</v>
      </c>
      <c r="T57" s="60">
        <v>1556.8730407630301</v>
      </c>
      <c r="U57" s="60">
        <v>1170.36384170477</v>
      </c>
      <c r="V57" s="60">
        <v>2085.6350966146601</v>
      </c>
      <c r="W57" s="60">
        <v>1014.18237505635</v>
      </c>
      <c r="X57" s="60">
        <v>1093.88128421587</v>
      </c>
      <c r="Y57" s="60">
        <v>507.48826798133803</v>
      </c>
      <c r="Z57" s="60">
        <v>1226.0653152326099</v>
      </c>
      <c r="AA57" s="60">
        <v>429.95385247569101</v>
      </c>
      <c r="AB57" s="60">
        <v>194.989705974891</v>
      </c>
      <c r="AC57" s="60">
        <v>216.96815770954399</v>
      </c>
      <c r="AD57" s="60">
        <v>202.10328867730999</v>
      </c>
      <c r="AE57" s="60">
        <v>632.26958483552596</v>
      </c>
      <c r="AF57" s="60" t="s">
        <v>137</v>
      </c>
      <c r="AG57" s="60">
        <v>468.985780530623</v>
      </c>
      <c r="AH57" s="60" t="s">
        <v>137</v>
      </c>
      <c r="AI57" s="60">
        <v>264.037750670653</v>
      </c>
      <c r="AJ57" s="60">
        <v>317.04528613640599</v>
      </c>
      <c r="AK57" s="60">
        <v>1.15497946455744</v>
      </c>
      <c r="AL57" s="60">
        <v>0.82094767412013403</v>
      </c>
      <c r="AM57" s="60">
        <v>1.07679173535396</v>
      </c>
      <c r="AN57" s="60">
        <v>3.1462468276401601</v>
      </c>
      <c r="AO57" s="60">
        <v>1.81404288449206</v>
      </c>
      <c r="AP57" s="60">
        <v>4.4587124818797603</v>
      </c>
      <c r="AQ57" s="60">
        <v>10.222483900738901</v>
      </c>
      <c r="AR57" s="60">
        <v>0.67772100354956299</v>
      </c>
      <c r="AS57" s="60">
        <v>0.45566907573825699</v>
      </c>
      <c r="AT57" s="60">
        <v>0.27436111302827199</v>
      </c>
      <c r="AU57" s="60">
        <v>3489.8420482921701</v>
      </c>
      <c r="AV57" s="60">
        <v>512.36665458853497</v>
      </c>
      <c r="AW57" s="60">
        <v>284.24184018346699</v>
      </c>
      <c r="AX57" s="60">
        <v>931.87016007636896</v>
      </c>
      <c r="AY57" s="60">
        <v>864.58997859316798</v>
      </c>
      <c r="AZ57" s="60">
        <v>627.66734252403899</v>
      </c>
      <c r="BA57" s="60">
        <v>1.5305323894629801</v>
      </c>
      <c r="BB57" s="60">
        <v>2.4602699693867902</v>
      </c>
      <c r="BC57" s="60">
        <v>2.5149860350961601</v>
      </c>
      <c r="BD57" s="60">
        <v>236.05014796088099</v>
      </c>
      <c r="BE57" s="60">
        <v>837.87419682630798</v>
      </c>
      <c r="BF57" s="60">
        <v>855.14719653891598</v>
      </c>
      <c r="BG57" s="60">
        <v>500.78733274213801</v>
      </c>
      <c r="BH57" s="60">
        <v>443.40312949798903</v>
      </c>
      <c r="BI57" s="60">
        <v>2501.8880527196702</v>
      </c>
      <c r="BJ57" s="60">
        <v>151.694457527677</v>
      </c>
      <c r="BK57" s="60">
        <v>6764.1891829471897</v>
      </c>
      <c r="BL57" s="60">
        <v>2033.0487597603101</v>
      </c>
      <c r="BM57" s="60">
        <v>17999.988625630202</v>
      </c>
      <c r="BN57" s="60">
        <v>20528.876123244299</v>
      </c>
      <c r="BO57" s="60">
        <v>1823.04530671675</v>
      </c>
      <c r="BP57" s="60">
        <v>847.68467719791397</v>
      </c>
      <c r="BQ57" s="60">
        <v>1531.1090022988999</v>
      </c>
      <c r="BR57" s="60">
        <v>14.5832577597059</v>
      </c>
      <c r="BS57" s="60">
        <v>102.833904333566</v>
      </c>
      <c r="BT57" s="55"/>
      <c r="BU57" s="55"/>
      <c r="BV57" s="55"/>
      <c r="BW57" s="55"/>
    </row>
    <row r="58" spans="1:75">
      <c r="A58" s="66">
        <v>2009</v>
      </c>
      <c r="B58" s="61">
        <v>64.021949640347799</v>
      </c>
      <c r="C58" s="61">
        <v>64.131095787980499</v>
      </c>
      <c r="D58" s="61">
        <v>64.019873738237294</v>
      </c>
      <c r="E58" s="61">
        <v>63.914879394825597</v>
      </c>
      <c r="F58" s="61">
        <v>74.479158858261002</v>
      </c>
      <c r="G58" s="61">
        <v>67.055691259766107</v>
      </c>
      <c r="H58" s="61">
        <v>4.0951745176917296</v>
      </c>
      <c r="I58" s="61">
        <v>9.02945226806332</v>
      </c>
      <c r="J58" s="61">
        <v>9.2635683764296797</v>
      </c>
      <c r="K58" s="61">
        <v>98.931011155256698</v>
      </c>
      <c r="L58" s="61">
        <v>2.99469956556571</v>
      </c>
      <c r="M58" s="61">
        <v>3.2874492653032599</v>
      </c>
      <c r="N58" s="61">
        <v>1.70446358412668</v>
      </c>
      <c r="O58" s="61">
        <v>2.82392055859837</v>
      </c>
      <c r="P58" s="61">
        <v>3.25227129418758</v>
      </c>
      <c r="Q58" s="61">
        <v>2.6075263602960801</v>
      </c>
      <c r="R58" s="61">
        <v>2.6119640213114401</v>
      </c>
      <c r="S58" s="61">
        <v>751.97921227858001</v>
      </c>
      <c r="T58" s="61">
        <v>1171.46082316557</v>
      </c>
      <c r="U58" s="61">
        <v>1234.7896922167599</v>
      </c>
      <c r="V58" s="61">
        <v>1402.2051710227599</v>
      </c>
      <c r="W58" s="61">
        <v>768.32846449567705</v>
      </c>
      <c r="X58" s="61">
        <v>724.65933105726106</v>
      </c>
      <c r="Y58" s="61">
        <v>439.15948833842202</v>
      </c>
      <c r="Z58" s="61">
        <v>884.35243387548098</v>
      </c>
      <c r="AA58" s="61">
        <v>439.11111010200699</v>
      </c>
      <c r="AB58" s="61">
        <v>133.028594139587</v>
      </c>
      <c r="AC58" s="61">
        <v>171.579946508381</v>
      </c>
      <c r="AD58" s="61">
        <v>156.594268326102</v>
      </c>
      <c r="AE58" s="61">
        <v>575.34825536687799</v>
      </c>
      <c r="AF58" s="61">
        <v>474.866946298225</v>
      </c>
      <c r="AG58" s="61">
        <v>338.32945281561001</v>
      </c>
      <c r="AH58" s="61" t="s">
        <v>137</v>
      </c>
      <c r="AI58" s="61">
        <v>192.77371576381299</v>
      </c>
      <c r="AJ58" s="61">
        <v>232.287979547503</v>
      </c>
      <c r="AK58" s="61">
        <v>1.1868938443991599</v>
      </c>
      <c r="AL58" s="61">
        <v>0.87821079921466405</v>
      </c>
      <c r="AM58" s="61">
        <v>0.94237985228495702</v>
      </c>
      <c r="AN58" s="61">
        <v>2.8298404383856601</v>
      </c>
      <c r="AO58" s="61">
        <v>1.95702571509764</v>
      </c>
      <c r="AP58" s="61">
        <v>4.4333432561341901</v>
      </c>
      <c r="AQ58" s="61">
        <v>9.24532880164187</v>
      </c>
      <c r="AR58" s="61">
        <v>0.54358327159025999</v>
      </c>
      <c r="AS58" s="61">
        <v>0.56887748633832902</v>
      </c>
      <c r="AT58" s="61">
        <v>0.41469993475259098</v>
      </c>
      <c r="AU58" s="61">
        <v>4390.5308501487798</v>
      </c>
      <c r="AV58" s="61">
        <v>436.93021488492502</v>
      </c>
      <c r="AW58" s="61">
        <v>297.73638497534102</v>
      </c>
      <c r="AX58" s="61">
        <v>776.38603379335302</v>
      </c>
      <c r="AY58" s="61">
        <v>835.06825019113796</v>
      </c>
      <c r="AZ58" s="61">
        <v>585.33192906564602</v>
      </c>
      <c r="BA58" s="61">
        <v>1.4327088542189601</v>
      </c>
      <c r="BB58" s="61">
        <v>1.8662099074001599</v>
      </c>
      <c r="BC58" s="61">
        <v>1.9911299433390499</v>
      </c>
      <c r="BD58" s="61">
        <v>230.91968917463899</v>
      </c>
      <c r="BE58" s="61">
        <v>299.04877255486701</v>
      </c>
      <c r="BF58" s="61">
        <v>266.857807654493</v>
      </c>
      <c r="BG58" s="61">
        <v>260.28787036989502</v>
      </c>
      <c r="BH58" s="61">
        <v>578.96222481336997</v>
      </c>
      <c r="BI58" s="61">
        <v>1725.8896101852699</v>
      </c>
      <c r="BJ58" s="61">
        <v>82.912522141922807</v>
      </c>
      <c r="BK58" s="61">
        <v>5338.6129427339101</v>
      </c>
      <c r="BL58" s="61">
        <v>1782.32316852242</v>
      </c>
      <c r="BM58" s="61">
        <v>14071.719140253501</v>
      </c>
      <c r="BN58" s="61">
        <v>15192.1099398855</v>
      </c>
      <c r="BO58" s="61">
        <v>1715.8182116504199</v>
      </c>
      <c r="BP58" s="61">
        <v>1008.65089586615</v>
      </c>
      <c r="BQ58" s="61">
        <v>1247.53735751217</v>
      </c>
      <c r="BR58" s="61">
        <v>15.180606804721901</v>
      </c>
      <c r="BS58" s="61">
        <v>96.462108015198098</v>
      </c>
      <c r="BT58" s="55"/>
      <c r="BU58" s="55"/>
      <c r="BV58" s="55"/>
      <c r="BW58" s="55"/>
    </row>
    <row r="59" spans="1:75">
      <c r="A59" s="65">
        <v>2010</v>
      </c>
      <c r="B59" s="60">
        <v>79.040771784717293</v>
      </c>
      <c r="C59" s="60">
        <v>79.635629979923493</v>
      </c>
      <c r="D59" s="60">
        <v>78.061154819415805</v>
      </c>
      <c r="E59" s="60">
        <v>79.425530554812696</v>
      </c>
      <c r="F59" s="60">
        <v>98.966041666666797</v>
      </c>
      <c r="G59" s="60">
        <v>91.622708333333406</v>
      </c>
      <c r="H59" s="60">
        <v>4.3852537698412704</v>
      </c>
      <c r="I59" s="60">
        <v>8.2875000000000103</v>
      </c>
      <c r="J59" s="60">
        <v>10.848333333333301</v>
      </c>
      <c r="K59" s="60">
        <v>100</v>
      </c>
      <c r="L59" s="60">
        <v>3.13300385383334</v>
      </c>
      <c r="M59" s="60">
        <v>4.3200998646666697</v>
      </c>
      <c r="N59" s="60">
        <v>1.73593615983334</v>
      </c>
      <c r="O59" s="60">
        <v>2.8849352675938702</v>
      </c>
      <c r="P59" s="60">
        <v>3.2896454696163402</v>
      </c>
      <c r="Q59" s="60">
        <v>2.8051186664986001</v>
      </c>
      <c r="R59" s="60">
        <v>2.5600416666666699</v>
      </c>
      <c r="S59" s="60">
        <v>1123.5833333333301</v>
      </c>
      <c r="T59" s="60">
        <v>1240.65736285703</v>
      </c>
      <c r="U59" s="60">
        <v>1138.9595756880699</v>
      </c>
      <c r="V59" s="60">
        <v>1400.99166666667</v>
      </c>
      <c r="W59" s="60">
        <v>933.02333333333399</v>
      </c>
      <c r="X59" s="60">
        <v>1187.405</v>
      </c>
      <c r="Y59" s="60">
        <v>447.10166666666697</v>
      </c>
      <c r="Z59" s="60">
        <v>1000.85583333333</v>
      </c>
      <c r="AA59" s="60">
        <v>398.34583333333399</v>
      </c>
      <c r="AB59" s="60">
        <v>158.38666512309399</v>
      </c>
      <c r="AC59" s="60">
        <v>185.91420833333399</v>
      </c>
      <c r="AD59" s="60">
        <v>165.40389885642901</v>
      </c>
      <c r="AE59" s="60">
        <v>488.906944444445</v>
      </c>
      <c r="AF59" s="60">
        <v>441.50833333333401</v>
      </c>
      <c r="AG59" s="60">
        <v>383.65833333333399</v>
      </c>
      <c r="AH59" s="60">
        <v>429.18633333333401</v>
      </c>
      <c r="AI59" s="60">
        <v>229.677099142857</v>
      </c>
      <c r="AJ59" s="60">
        <v>223.58210540486201</v>
      </c>
      <c r="AK59" s="60">
        <v>1.00224122918895</v>
      </c>
      <c r="AL59" s="60">
        <v>0.86832060132812605</v>
      </c>
      <c r="AM59" s="60">
        <v>1.03320325571745</v>
      </c>
      <c r="AN59" s="60">
        <v>3.4189063241666702</v>
      </c>
      <c r="AO59" s="60">
        <v>1.8922913007593101</v>
      </c>
      <c r="AP59" s="60">
        <v>5.3143171406666703</v>
      </c>
      <c r="AQ59" s="60">
        <v>10.635638034999999</v>
      </c>
      <c r="AR59" s="60">
        <v>0.44179145550575699</v>
      </c>
      <c r="AS59" s="60">
        <v>0.79248467005961098</v>
      </c>
      <c r="AT59" s="60">
        <v>0.46934689633333398</v>
      </c>
      <c r="AU59" s="60">
        <v>4333.2250000000004</v>
      </c>
      <c r="AV59" s="60">
        <v>428.56080208333401</v>
      </c>
      <c r="AW59" s="60">
        <v>278.17198677422601</v>
      </c>
      <c r="AX59" s="60">
        <v>812.693675501955</v>
      </c>
      <c r="AY59" s="60">
        <v>848.271956662501</v>
      </c>
      <c r="AZ59" s="60">
        <v>569.08783153161403</v>
      </c>
      <c r="BA59" s="60">
        <v>2.2833804789714298</v>
      </c>
      <c r="BB59" s="60">
        <v>3.3807708393876701</v>
      </c>
      <c r="BC59" s="60">
        <v>3.6538649060951198</v>
      </c>
      <c r="BD59" s="60">
        <v>105.3125</v>
      </c>
      <c r="BE59" s="60">
        <v>456.427083333334</v>
      </c>
      <c r="BF59" s="60">
        <v>381.88958333333397</v>
      </c>
      <c r="BG59" s="60">
        <v>288.90416666666698</v>
      </c>
      <c r="BH59" s="60">
        <v>332.145833333334</v>
      </c>
      <c r="BI59" s="60">
        <v>2173.1170000000002</v>
      </c>
      <c r="BJ59" s="60">
        <v>145.863185425686</v>
      </c>
      <c r="BK59" s="60">
        <v>7534.7795833333403</v>
      </c>
      <c r="BL59" s="60">
        <v>2148.4492500000001</v>
      </c>
      <c r="BM59" s="60">
        <v>20405.623250000001</v>
      </c>
      <c r="BN59" s="60">
        <v>21808.852416666701</v>
      </c>
      <c r="BO59" s="60">
        <v>2160.74325</v>
      </c>
      <c r="BP59" s="60">
        <v>1224.66425</v>
      </c>
      <c r="BQ59" s="60">
        <v>1609.75416666667</v>
      </c>
      <c r="BR59" s="60">
        <v>20.152958333333402</v>
      </c>
      <c r="BS59" s="60">
        <v>99.999999999999901</v>
      </c>
      <c r="BT59" s="55"/>
      <c r="BU59" s="55"/>
      <c r="BV59" s="55"/>
      <c r="BW59" s="55"/>
    </row>
    <row r="60" spans="1:75">
      <c r="A60" s="66">
        <v>2011</v>
      </c>
      <c r="B60" s="61">
        <v>93.705751267612797</v>
      </c>
      <c r="C60" s="61">
        <v>99.949709344721896</v>
      </c>
      <c r="D60" s="61">
        <v>95.529731767481593</v>
      </c>
      <c r="E60" s="61">
        <v>85.637812690634604</v>
      </c>
      <c r="F60" s="61">
        <v>109.417106395665</v>
      </c>
      <c r="G60" s="61">
        <v>104.77578737291201</v>
      </c>
      <c r="H60" s="61">
        <v>3.6024610877696599</v>
      </c>
      <c r="I60" s="61">
        <v>9.4733360448235704</v>
      </c>
      <c r="J60" s="61">
        <v>13.2039595039081</v>
      </c>
      <c r="K60" s="61">
        <v>97.7276111228486</v>
      </c>
      <c r="L60" s="61">
        <v>2.6848566945488499</v>
      </c>
      <c r="M60" s="61">
        <v>5.3841134860359503</v>
      </c>
      <c r="N60" s="61">
        <v>2.1690849466258801</v>
      </c>
      <c r="O60" s="61">
        <v>2.6312259391397701</v>
      </c>
      <c r="P60" s="61">
        <v>2.9407761109528301</v>
      </c>
      <c r="Q60" s="61">
        <v>2.5032958116933002</v>
      </c>
      <c r="R60" s="61">
        <v>2.4496058947731898</v>
      </c>
      <c r="S60" s="61">
        <v>1558.6933715849</v>
      </c>
      <c r="T60" s="61">
        <v>1697.2086785679801</v>
      </c>
      <c r="U60" s="61">
        <v>1299.20143062793</v>
      </c>
      <c r="V60" s="61">
        <v>1681.22659628006</v>
      </c>
      <c r="W60" s="61">
        <v>1075.14931391451</v>
      </c>
      <c r="X60" s="61">
        <v>1489.82736888657</v>
      </c>
      <c r="Y60" s="61">
        <v>484.270061470933</v>
      </c>
      <c r="Z60" s="61">
        <v>1169.1078698930801</v>
      </c>
      <c r="AA60" s="61">
        <v>368.18678367393801</v>
      </c>
      <c r="AB60" s="61">
        <v>186.67104501626901</v>
      </c>
      <c r="AC60" s="61">
        <v>262.78851598760099</v>
      </c>
      <c r="AD60" s="61">
        <v>242.124539673774</v>
      </c>
      <c r="AE60" s="61">
        <v>489.23421568938102</v>
      </c>
      <c r="AF60" s="61">
        <v>455.90711258035299</v>
      </c>
      <c r="AG60" s="61">
        <v>413.13144915082199</v>
      </c>
      <c r="AH60" s="61">
        <v>462.75621141291799</v>
      </c>
      <c r="AI60" s="61">
        <v>257.58946354999802</v>
      </c>
      <c r="AJ60" s="61">
        <v>284.93356221128499</v>
      </c>
      <c r="AK60" s="61">
        <v>1.0133151887692</v>
      </c>
      <c r="AL60" s="61">
        <v>0.87210069837449</v>
      </c>
      <c r="AM60" s="61">
        <v>0.80282401157405103</v>
      </c>
      <c r="AN60" s="61">
        <v>3.67343162527788</v>
      </c>
      <c r="AO60" s="61">
        <v>1.7354987821002901</v>
      </c>
      <c r="AP60" s="61">
        <v>5.9738567546769401</v>
      </c>
      <c r="AQ60" s="61">
        <v>10.9119631120855</v>
      </c>
      <c r="AR60" s="61">
        <v>0.409580752543239</v>
      </c>
      <c r="AS60" s="61">
        <v>0.75602596922837195</v>
      </c>
      <c r="AT60" s="61">
        <v>0.51638416583873303</v>
      </c>
      <c r="AU60" s="61">
        <v>4040.7410752773699</v>
      </c>
      <c r="AV60" s="61">
        <v>436.782467453555</v>
      </c>
      <c r="AW60" s="61">
        <v>351.82627691762798</v>
      </c>
      <c r="AX60" s="61">
        <v>743.94872363878699</v>
      </c>
      <c r="AY60" s="61">
        <v>846.38106649085205</v>
      </c>
      <c r="AZ60" s="61">
        <v>547.35532012988301</v>
      </c>
      <c r="BA60" s="61">
        <v>2.9987691525654099</v>
      </c>
      <c r="BB60" s="61">
        <v>4.0713353907276097</v>
      </c>
      <c r="BC60" s="61">
        <v>4.3453530449029198</v>
      </c>
      <c r="BD60" s="61">
        <v>147.349866500015</v>
      </c>
      <c r="BE60" s="61">
        <v>465.14170073626701</v>
      </c>
      <c r="BF60" s="61">
        <v>484.93787985830602</v>
      </c>
      <c r="BG60" s="61">
        <v>359.40378940223297</v>
      </c>
      <c r="BH60" s="61">
        <v>353.90808328017698</v>
      </c>
      <c r="BI60" s="61">
        <v>2163.49432875816</v>
      </c>
      <c r="BJ60" s="61">
        <v>151.135672254177</v>
      </c>
      <c r="BK60" s="61">
        <v>7953.6269000676102</v>
      </c>
      <c r="BL60" s="61">
        <v>2162.9766662757602</v>
      </c>
      <c r="BM60" s="61">
        <v>23472.678885175399</v>
      </c>
      <c r="BN60" s="61">
        <v>20640.752031393</v>
      </c>
      <c r="BO60" s="61">
        <v>1976.5626149274201</v>
      </c>
      <c r="BP60" s="61">
        <v>1413.7576366471001</v>
      </c>
      <c r="BQ60" s="61">
        <v>1549.14195446949</v>
      </c>
      <c r="BR60" s="61">
        <v>31.7346546900052</v>
      </c>
      <c r="BS60" s="61">
        <v>111.037828003177</v>
      </c>
      <c r="BT60" s="55"/>
      <c r="BU60" s="55"/>
      <c r="BV60" s="55"/>
      <c r="BW60" s="55"/>
    </row>
    <row r="61" spans="1:75">
      <c r="A61" s="65">
        <v>2012</v>
      </c>
      <c r="B61" s="60">
        <v>95.3115227885189</v>
      </c>
      <c r="C61" s="60">
        <v>101.625041232306</v>
      </c>
      <c r="D61" s="60">
        <v>98.8466397523094</v>
      </c>
      <c r="E61" s="60">
        <v>85.462887380941595</v>
      </c>
      <c r="F61" s="60">
        <v>87.464507443558503</v>
      </c>
      <c r="G61" s="60">
        <v>84.338424881193305</v>
      </c>
      <c r="H61" s="60">
        <v>2.4978783832768001</v>
      </c>
      <c r="I61" s="60">
        <v>10.413719989993799</v>
      </c>
      <c r="J61" s="60">
        <v>15.024559404505901</v>
      </c>
      <c r="K61" s="60">
        <v>90.018256344104699</v>
      </c>
      <c r="L61" s="60">
        <v>2.1709693118235802</v>
      </c>
      <c r="M61" s="60">
        <v>3.7312918948733298</v>
      </c>
      <c r="N61" s="60">
        <v>2.0574769234442098</v>
      </c>
      <c r="O61" s="60">
        <v>2.6301628049809098</v>
      </c>
      <c r="P61" s="60">
        <v>2.7797641587696802</v>
      </c>
      <c r="Q61" s="60">
        <v>2.49623863157889</v>
      </c>
      <c r="R61" s="60">
        <v>2.6144856245941601</v>
      </c>
      <c r="S61" s="60">
        <v>1008.242936277</v>
      </c>
      <c r="T61" s="60">
        <v>2217.20505909437</v>
      </c>
      <c r="U61" s="60">
        <v>1386.67516083494</v>
      </c>
      <c r="V61" s="60">
        <v>2141.1888079658502</v>
      </c>
      <c r="W61" s="60">
        <v>947.03510196916602</v>
      </c>
      <c r="X61" s="60">
        <v>1005.1070208878</v>
      </c>
      <c r="Y61" s="60">
        <v>540.509734771171</v>
      </c>
      <c r="Z61" s="60">
        <v>1112.4126601426301</v>
      </c>
      <c r="AA61" s="60">
        <v>482.59135922542799</v>
      </c>
      <c r="AB61" s="60">
        <v>218.08965288171001</v>
      </c>
      <c r="AC61" s="60">
        <v>270.85683074902698</v>
      </c>
      <c r="AD61" s="60">
        <v>246.816132531509</v>
      </c>
      <c r="AE61" s="60">
        <v>510.98931949738602</v>
      </c>
      <c r="AF61" s="60">
        <v>493.57513104811102</v>
      </c>
      <c r="AG61" s="60">
        <v>476.578207429928</v>
      </c>
      <c r="AH61" s="60">
        <v>394.317534496186</v>
      </c>
      <c r="AI61" s="60">
        <v>268.08780728544201</v>
      </c>
      <c r="AJ61" s="60">
        <v>284.31295334919901</v>
      </c>
      <c r="AK61" s="60">
        <v>0.99816236314297802</v>
      </c>
      <c r="AL61" s="60">
        <v>0.89310862200715802</v>
      </c>
      <c r="AM61" s="60">
        <v>0.787798219961383</v>
      </c>
      <c r="AN61" s="60">
        <v>3.8176170097380902</v>
      </c>
      <c r="AO61" s="60">
        <v>1.8870160245040299</v>
      </c>
      <c r="AP61" s="60">
        <v>5.5285924528591499</v>
      </c>
      <c r="AQ61" s="60">
        <v>10.405603917239601</v>
      </c>
      <c r="AR61" s="60">
        <v>0.38133389220719099</v>
      </c>
      <c r="AS61" s="60">
        <v>0.57693545260141299</v>
      </c>
      <c r="AT61" s="60">
        <v>0.43108209361528599</v>
      </c>
      <c r="AU61" s="60">
        <v>3905.0120009616298</v>
      </c>
      <c r="AV61" s="60">
        <v>409.69948162962902</v>
      </c>
      <c r="AW61" s="60">
        <v>327.215573268654</v>
      </c>
      <c r="AX61" s="60">
        <v>689.19468715704295</v>
      </c>
      <c r="AY61" s="60">
        <v>795.40793777345198</v>
      </c>
      <c r="AZ61" s="60">
        <v>553.97440601466803</v>
      </c>
      <c r="BA61" s="60">
        <v>1.7854445041259099</v>
      </c>
      <c r="BB61" s="60">
        <v>2.86431246627872</v>
      </c>
      <c r="BC61" s="60">
        <v>3.06535569110466</v>
      </c>
      <c r="BD61" s="60">
        <v>167.84824500868001</v>
      </c>
      <c r="BE61" s="60">
        <v>435.88606206664502</v>
      </c>
      <c r="BF61" s="60">
        <v>419.33224596546802</v>
      </c>
      <c r="BG61" s="60">
        <v>361.78814814888398</v>
      </c>
      <c r="BH61" s="60">
        <v>422.39554971034602</v>
      </c>
      <c r="BI61" s="60">
        <v>1836.4239945433201</v>
      </c>
      <c r="BJ61" s="60">
        <v>116.628755878638</v>
      </c>
      <c r="BK61" s="60">
        <v>7226.9889112739202</v>
      </c>
      <c r="BL61" s="60">
        <v>1873.9597425391501</v>
      </c>
      <c r="BM61" s="60">
        <v>19174.914900620399</v>
      </c>
      <c r="BN61" s="60">
        <v>15926.952155220901</v>
      </c>
      <c r="BO61" s="60">
        <v>1770.28414930383</v>
      </c>
      <c r="BP61" s="60">
        <v>1515.33028753758</v>
      </c>
      <c r="BQ61" s="60">
        <v>1407.6092491675199</v>
      </c>
      <c r="BR61" s="60">
        <v>28.2617302380099</v>
      </c>
      <c r="BS61" s="60">
        <v>110.227853812633</v>
      </c>
      <c r="BT61" s="55"/>
      <c r="BU61" s="55"/>
      <c r="BV61" s="55"/>
      <c r="BW61" s="55"/>
    </row>
    <row r="62" spans="1:75">
      <c r="A62" s="66">
        <v>2013</v>
      </c>
      <c r="B62" s="61">
        <v>94.8794037284284</v>
      </c>
      <c r="C62" s="61">
        <v>99.235936270671004</v>
      </c>
      <c r="D62" s="61">
        <v>96.115431704248195</v>
      </c>
      <c r="E62" s="61">
        <v>89.286843210366101</v>
      </c>
      <c r="F62" s="61">
        <v>77.088788486688998</v>
      </c>
      <c r="G62" s="61">
        <v>73.147287921243603</v>
      </c>
      <c r="H62" s="61">
        <v>3.3948675425200801</v>
      </c>
      <c r="I62" s="61">
        <v>10.7442325766454</v>
      </c>
      <c r="J62" s="61">
        <v>14.5456990132949</v>
      </c>
      <c r="K62" s="61">
        <v>102.15755288500399</v>
      </c>
      <c r="L62" s="61">
        <v>2.2233078580428098</v>
      </c>
      <c r="M62" s="61">
        <v>2.8041419586927701</v>
      </c>
      <c r="N62" s="61">
        <v>1.89239594239649</v>
      </c>
      <c r="O62" s="61">
        <v>2.6090595331451998</v>
      </c>
      <c r="P62" s="61">
        <v>3.1478827543688199</v>
      </c>
      <c r="Q62" s="61">
        <v>2.4924650527927699</v>
      </c>
      <c r="R62" s="61">
        <v>2.1868307922740202</v>
      </c>
      <c r="S62" s="61">
        <v>856.441368189542</v>
      </c>
      <c r="T62" s="61">
        <v>1380.46941417976</v>
      </c>
      <c r="U62" s="61">
        <v>1596.08260414448</v>
      </c>
      <c r="V62" s="61">
        <v>1659.7199423669499</v>
      </c>
      <c r="W62" s="61">
        <v>793.77338871470397</v>
      </c>
      <c r="X62" s="61">
        <v>817.65182457337096</v>
      </c>
      <c r="Y62" s="61">
        <v>502.65885146653699</v>
      </c>
      <c r="Z62" s="61">
        <v>962.12046382021197</v>
      </c>
      <c r="AA62" s="61">
        <v>495.43272262053199</v>
      </c>
      <c r="AB62" s="61">
        <v>185.067381570756</v>
      </c>
      <c r="AC62" s="61">
        <v>236.465090208004</v>
      </c>
      <c r="AD62" s="61">
        <v>221.782223743765</v>
      </c>
      <c r="AE62" s="61">
        <v>461.18230009928101</v>
      </c>
      <c r="AF62" s="61">
        <v>431.16079374456598</v>
      </c>
      <c r="AG62" s="61">
        <v>432.09947723947801</v>
      </c>
      <c r="AH62" s="61">
        <v>357.72262227348801</v>
      </c>
      <c r="AI62" s="61">
        <v>252.276490815188</v>
      </c>
      <c r="AJ62" s="61">
        <v>284.65222684120602</v>
      </c>
      <c r="AK62" s="61">
        <v>0.93165922508915899</v>
      </c>
      <c r="AL62" s="61">
        <v>0.84240725115161297</v>
      </c>
      <c r="AM62" s="61">
        <v>0.88183065114196801</v>
      </c>
      <c r="AN62" s="61">
        <v>3.7634666285414502</v>
      </c>
      <c r="AO62" s="61">
        <v>1.98158320522305</v>
      </c>
      <c r="AP62" s="61">
        <v>4.7160124828968799</v>
      </c>
      <c r="AQ62" s="61">
        <v>12.9218902784707</v>
      </c>
      <c r="AR62" s="61">
        <v>0.39548860175544398</v>
      </c>
      <c r="AS62" s="61">
        <v>0.41068653453495602</v>
      </c>
      <c r="AT62" s="61">
        <v>0.35557358805691702</v>
      </c>
      <c r="AU62" s="61">
        <v>4183.2717270743597</v>
      </c>
      <c r="AV62" s="61">
        <v>422.56339623061803</v>
      </c>
      <c r="AW62" s="61">
        <v>278.44071782086002</v>
      </c>
      <c r="AX62" s="61">
        <v>682.96017959836399</v>
      </c>
      <c r="AY62" s="61">
        <v>777.42972398297502</v>
      </c>
      <c r="AZ62" s="61">
        <v>510.72287737667602</v>
      </c>
      <c r="BA62" s="61">
        <v>1.8165870837309199</v>
      </c>
      <c r="BB62" s="61">
        <v>2.2944934268467598</v>
      </c>
      <c r="BC62" s="61">
        <v>2.5475750672754902</v>
      </c>
      <c r="BD62" s="61">
        <v>115.158831627818</v>
      </c>
      <c r="BE62" s="61">
        <v>374.65221800486302</v>
      </c>
      <c r="BF62" s="61">
        <v>347.10032272285099</v>
      </c>
      <c r="BG62" s="61">
        <v>309.60034530896002</v>
      </c>
      <c r="BH62" s="61">
        <v>360.09094543802001</v>
      </c>
      <c r="BI62" s="61">
        <v>1683.46525255753</v>
      </c>
      <c r="BJ62" s="61">
        <v>123.398324955966</v>
      </c>
      <c r="BK62" s="61">
        <v>6684.1088429973297</v>
      </c>
      <c r="BL62" s="61">
        <v>1950.6810765058499</v>
      </c>
      <c r="BM62" s="61">
        <v>20313.502045248599</v>
      </c>
      <c r="BN62" s="61">
        <v>13703.326915690501</v>
      </c>
      <c r="BO62" s="61">
        <v>1741.43305935478</v>
      </c>
      <c r="BP62" s="61">
        <v>1286.72099920298</v>
      </c>
      <c r="BQ62" s="61">
        <v>1355.16821013186</v>
      </c>
      <c r="BR62" s="61">
        <v>21.741913980782801</v>
      </c>
      <c r="BS62" s="61">
        <v>109.746792348043</v>
      </c>
      <c r="BT62" s="55"/>
      <c r="BU62" s="55"/>
      <c r="BV62" s="55"/>
      <c r="BW62" s="55"/>
    </row>
    <row r="63" spans="1:75">
      <c r="A63" s="65">
        <v>2014</v>
      </c>
      <c r="B63" s="60">
        <v>88.927426008728204</v>
      </c>
      <c r="C63" s="60">
        <v>91.424712534301904</v>
      </c>
      <c r="D63" s="60">
        <v>89.315533442859902</v>
      </c>
      <c r="E63" s="60">
        <v>86.042032049022794</v>
      </c>
      <c r="F63" s="60">
        <v>64.8047008468032</v>
      </c>
      <c r="G63" s="60">
        <v>66.845345093725996</v>
      </c>
      <c r="H63" s="60">
        <v>4.03769571240458</v>
      </c>
      <c r="I63" s="60">
        <v>9.2883965684459895</v>
      </c>
      <c r="J63" s="60">
        <v>14.8180670945034</v>
      </c>
      <c r="K63" s="60">
        <v>103.22717868807</v>
      </c>
      <c r="L63" s="60">
        <v>2.8297097835607401</v>
      </c>
      <c r="M63" s="60">
        <v>4.0878713737771601</v>
      </c>
      <c r="N63" s="60">
        <v>2.0481459268496098</v>
      </c>
      <c r="O63" s="60">
        <v>2.5138992970929102</v>
      </c>
      <c r="P63" s="60">
        <v>3.2669467629934501</v>
      </c>
      <c r="Q63" s="60">
        <v>2.3849862132293902</v>
      </c>
      <c r="R63" s="60">
        <v>1.8897649150559099</v>
      </c>
      <c r="S63" s="60">
        <v>1183.8424122122301</v>
      </c>
      <c r="T63" s="60">
        <v>1162.7675624953299</v>
      </c>
      <c r="U63" s="60">
        <v>1553.02575865786</v>
      </c>
      <c r="V63" s="60">
        <v>1289.0572595291301</v>
      </c>
      <c r="W63" s="60">
        <v>773.87621295101803</v>
      </c>
      <c r="X63" s="60">
        <v>1034.66823754444</v>
      </c>
      <c r="Y63" s="60">
        <v>448.04000058218901</v>
      </c>
      <c r="Z63" s="60">
        <v>837.17468732726297</v>
      </c>
      <c r="AA63" s="60">
        <v>482.794097243365</v>
      </c>
      <c r="AB63" s="60">
        <v>134.82388047255299</v>
      </c>
      <c r="AC63" s="60">
        <v>178.23484572685399</v>
      </c>
      <c r="AD63" s="60">
        <v>194.41801626505901</v>
      </c>
      <c r="AE63" s="60">
        <v>390.72561920324102</v>
      </c>
      <c r="AF63" s="60">
        <v>353.14696288255101</v>
      </c>
      <c r="AG63" s="60">
        <v>392.86483041756202</v>
      </c>
      <c r="AH63" s="60">
        <v>376.28786864265498</v>
      </c>
      <c r="AI63" s="60">
        <v>226.59157013624099</v>
      </c>
      <c r="AJ63" s="60">
        <v>263.25319994001001</v>
      </c>
      <c r="AK63" s="60">
        <v>0.96340292721498599</v>
      </c>
      <c r="AL63" s="60">
        <v>0.85733769932288195</v>
      </c>
      <c r="AM63" s="60">
        <v>0.72405152563136099</v>
      </c>
      <c r="AN63" s="60">
        <v>4.6669491361593796</v>
      </c>
      <c r="AO63" s="60">
        <v>2.14606918649736</v>
      </c>
      <c r="AP63" s="60">
        <v>5.9043963677849201</v>
      </c>
      <c r="AQ63" s="60">
        <v>16.443194028453402</v>
      </c>
      <c r="AR63" s="60">
        <v>0.40105573303393999</v>
      </c>
      <c r="AS63" s="60">
        <v>0.492071795445576</v>
      </c>
      <c r="AT63" s="60">
        <v>0.34651293485732798</v>
      </c>
      <c r="AU63" s="60">
        <v>4611.7995273869501</v>
      </c>
      <c r="AV63" s="60">
        <v>429.84292798223601</v>
      </c>
      <c r="AW63" s="60">
        <v>260.62446915925699</v>
      </c>
      <c r="AX63" s="60">
        <v>729.50510967685602</v>
      </c>
      <c r="AY63" s="60">
        <v>829.75706099786396</v>
      </c>
      <c r="AZ63" s="60">
        <v>478.04387176383199</v>
      </c>
      <c r="BA63" s="60">
        <v>1.6928390230414201</v>
      </c>
      <c r="BB63" s="60">
        <v>1.5837709519418699</v>
      </c>
      <c r="BC63" s="60">
        <v>1.80330577018912</v>
      </c>
      <c r="BD63" s="60">
        <v>102.07071506777601</v>
      </c>
      <c r="BE63" s="60">
        <v>396.96594781305203</v>
      </c>
      <c r="BF63" s="60">
        <v>352.99295199599101</v>
      </c>
      <c r="BG63" s="60">
        <v>285.01639694047998</v>
      </c>
      <c r="BH63" s="60">
        <v>274.100875355526</v>
      </c>
      <c r="BI63" s="60">
        <v>1725.6180586815501</v>
      </c>
      <c r="BJ63" s="60">
        <v>89.590407872895696</v>
      </c>
      <c r="BK63" s="60">
        <v>6342.2276027405796</v>
      </c>
      <c r="BL63" s="60">
        <v>1936.34037399982</v>
      </c>
      <c r="BM63" s="60">
        <v>20235.987840309001</v>
      </c>
      <c r="BN63" s="60">
        <v>15610.582734518501</v>
      </c>
      <c r="BO63" s="60">
        <v>1996.87820323448</v>
      </c>
      <c r="BP63" s="60">
        <v>1169.47627671389</v>
      </c>
      <c r="BQ63" s="60">
        <v>1278.5098239630499</v>
      </c>
      <c r="BR63" s="60">
        <v>17.6233117381977</v>
      </c>
      <c r="BS63" s="60">
        <v>108.24711509111199</v>
      </c>
      <c r="BT63" s="55"/>
      <c r="BU63" s="55"/>
      <c r="BV63" s="55"/>
      <c r="BW63" s="55"/>
    </row>
    <row r="64" spans="1:75">
      <c r="A64" s="66">
        <v>2015</v>
      </c>
      <c r="B64" s="61">
        <v>51.863717988552999</v>
      </c>
      <c r="C64" s="61">
        <v>53.516339991340701</v>
      </c>
      <c r="D64" s="61">
        <v>52.299440210174197</v>
      </c>
      <c r="E64" s="61">
        <v>49.7753737641439</v>
      </c>
      <c r="F64" s="61">
        <v>60.2293007855572</v>
      </c>
      <c r="G64" s="61">
        <v>57.949636185009503</v>
      </c>
      <c r="H64" s="61">
        <v>2.6709204469136401</v>
      </c>
      <c r="I64" s="61">
        <v>6.9704936559801096</v>
      </c>
      <c r="J64" s="61">
        <v>11.174039523689601</v>
      </c>
      <c r="K64" s="61">
        <v>73.141863280718994</v>
      </c>
      <c r="L64" s="61">
        <v>3.2036687819009502</v>
      </c>
      <c r="M64" s="61">
        <v>3.6032522367510502</v>
      </c>
      <c r="N64" s="61">
        <v>1.9836586185189999</v>
      </c>
      <c r="O64" s="61">
        <v>2.8379392838692801</v>
      </c>
      <c r="P64" s="61">
        <v>3.0401205169799201</v>
      </c>
      <c r="Q64" s="61">
        <v>2.4441221469855798</v>
      </c>
      <c r="R64" s="61">
        <v>3.02957518764231</v>
      </c>
      <c r="S64" s="61">
        <v>1127.66670875968</v>
      </c>
      <c r="T64" s="61">
        <v>1333.4350314943599</v>
      </c>
      <c r="U64" s="61">
        <v>1588.20494308654</v>
      </c>
      <c r="V64" s="61">
        <v>1408.1216585357599</v>
      </c>
      <c r="W64" s="61">
        <v>677.91196073716901</v>
      </c>
      <c r="X64" s="61">
        <v>923.12280187564704</v>
      </c>
      <c r="Y64" s="61">
        <v>400.70576719981898</v>
      </c>
      <c r="Z64" s="61">
        <v>772.17272825103601</v>
      </c>
      <c r="AA64" s="61">
        <v>397.97987762703099</v>
      </c>
      <c r="AB64" s="61">
        <v>123.986486148678</v>
      </c>
      <c r="AC64" s="61">
        <v>173.46592803593001</v>
      </c>
      <c r="AD64" s="61">
        <v>206.04441925275501</v>
      </c>
      <c r="AE64" s="61">
        <v>394.44925027033599</v>
      </c>
      <c r="AF64" s="61">
        <v>380.73890284081898</v>
      </c>
      <c r="AG64" s="61">
        <v>394.48331324531699</v>
      </c>
      <c r="AH64" s="61">
        <v>359.53725563878902</v>
      </c>
      <c r="AI64" s="61">
        <v>210.894070053706</v>
      </c>
      <c r="AJ64" s="61">
        <v>208.92436658086999</v>
      </c>
      <c r="AK64" s="61">
        <v>0.92317035794889102</v>
      </c>
      <c r="AL64" s="61">
        <v>0.97786029552827203</v>
      </c>
      <c r="AM64" s="61">
        <v>0.69046493461803204</v>
      </c>
      <c r="AN64" s="61">
        <v>4.6589506224841601</v>
      </c>
      <c r="AO64" s="61">
        <v>2.0345202319901698</v>
      </c>
      <c r="AP64" s="61">
        <v>5.3346757683295598</v>
      </c>
      <c r="AQ64" s="61">
        <v>13.5044985564366</v>
      </c>
      <c r="AR64" s="61">
        <v>0.37049113448161902</v>
      </c>
      <c r="AS64" s="61">
        <v>0.55875116225972599</v>
      </c>
      <c r="AT64" s="61">
        <v>0.30274918495398001</v>
      </c>
      <c r="AU64" s="61">
        <v>5015.7340353374602</v>
      </c>
      <c r="AV64" s="61">
        <v>397.08444717224</v>
      </c>
      <c r="AW64" s="61">
        <v>251.40093504390899</v>
      </c>
      <c r="AX64" s="61">
        <v>748.61201744354798</v>
      </c>
      <c r="AY64" s="61">
        <v>851.48972801135506</v>
      </c>
      <c r="AZ64" s="61">
        <v>461.12583650002699</v>
      </c>
      <c r="BA64" s="61">
        <v>1.5864012234039</v>
      </c>
      <c r="BB64" s="61">
        <v>1.3957133683248599</v>
      </c>
      <c r="BC64" s="61">
        <v>1.60572012482134</v>
      </c>
      <c r="BD64" s="61">
        <v>122.94817925497701</v>
      </c>
      <c r="BE64" s="61">
        <v>425.74354406539697</v>
      </c>
      <c r="BF64" s="61">
        <v>385.86538057533397</v>
      </c>
      <c r="BG64" s="61">
        <v>284.02134325650701</v>
      </c>
      <c r="BH64" s="61">
        <v>302.54521483790899</v>
      </c>
      <c r="BI64" s="61">
        <v>1701.1194472739201</v>
      </c>
      <c r="BJ64" s="61">
        <v>57.076772451142702</v>
      </c>
      <c r="BK64" s="61">
        <v>5631.0764269788697</v>
      </c>
      <c r="BL64" s="61">
        <v>1826.9531862969</v>
      </c>
      <c r="BM64" s="61">
        <v>16418.318174316901</v>
      </c>
      <c r="BN64" s="61">
        <v>12122.299176115701</v>
      </c>
      <c r="BO64" s="61">
        <v>1973.9613221419299</v>
      </c>
      <c r="BP64" s="61">
        <v>1186.0693825119199</v>
      </c>
      <c r="BQ64" s="61">
        <v>1076.25716377086</v>
      </c>
      <c r="BR64" s="61">
        <v>16.064780260146499</v>
      </c>
      <c r="BS64" s="61">
        <v>97.867946024006002</v>
      </c>
      <c r="BT64" s="55"/>
      <c r="BU64" s="55"/>
      <c r="BV64" s="55"/>
      <c r="BW64" s="55"/>
    </row>
    <row r="65" spans="1:75">
      <c r="A65" s="65">
        <v>2016</v>
      </c>
      <c r="B65" s="60">
        <v>45.528322217026698</v>
      </c>
      <c r="C65" s="60">
        <v>46.842272615223798</v>
      </c>
      <c r="D65" s="60">
        <v>43.814987615061</v>
      </c>
      <c r="E65" s="60">
        <v>45.927706420795197</v>
      </c>
      <c r="F65" s="60">
        <v>70.318796894881999</v>
      </c>
      <c r="G65" s="60">
        <v>68.004022767122905</v>
      </c>
      <c r="H65" s="60">
        <v>2.6503454796799901</v>
      </c>
      <c r="I65" s="60">
        <v>4.8529677488449403</v>
      </c>
      <c r="J65" s="60">
        <v>7.8402186212767404</v>
      </c>
      <c r="K65" s="60">
        <v>60.566710127461697</v>
      </c>
      <c r="L65" s="60">
        <v>3.0741777866085198</v>
      </c>
      <c r="M65" s="60">
        <v>3.8401950715170101</v>
      </c>
      <c r="N65" s="60">
        <v>2.07705211390219</v>
      </c>
      <c r="O65" s="60">
        <v>2.8552901534796602</v>
      </c>
      <c r="P65" s="60">
        <v>3.5111543239593002</v>
      </c>
      <c r="Q65" s="60">
        <v>2.4796776206064401</v>
      </c>
      <c r="R65" s="60">
        <v>2.5750385158732501</v>
      </c>
      <c r="S65" s="60">
        <v>1575.79400817022</v>
      </c>
      <c r="T65" s="60">
        <v>1481.2377386727801</v>
      </c>
      <c r="U65" s="60">
        <v>1585.21616687096</v>
      </c>
      <c r="V65" s="60">
        <v>1468.23056645629</v>
      </c>
      <c r="W65" s="60">
        <v>782.38302069195402</v>
      </c>
      <c r="X65" s="60">
        <v>1383.8866488317301</v>
      </c>
      <c r="Y65" s="60">
        <v>431.17276408788098</v>
      </c>
      <c r="Z65" s="60">
        <v>866.70478312769501</v>
      </c>
      <c r="AA65" s="60">
        <v>398.43359846697598</v>
      </c>
      <c r="AB65" s="60">
        <v>110.509034994114</v>
      </c>
      <c r="AC65" s="60">
        <v>169.25949640509199</v>
      </c>
      <c r="AD65" s="60">
        <v>165.463163291076</v>
      </c>
      <c r="AE65" s="60">
        <v>421.30307057300598</v>
      </c>
      <c r="AF65" s="60">
        <v>409.78237238737501</v>
      </c>
      <c r="AG65" s="60">
        <v>404.466899486035</v>
      </c>
      <c r="AH65" s="60">
        <v>378.69066660701498</v>
      </c>
      <c r="AI65" s="60">
        <v>187.490093514428</v>
      </c>
      <c r="AJ65" s="60">
        <v>177.205222245372</v>
      </c>
      <c r="AK65" s="60">
        <v>0.96271396250942998</v>
      </c>
      <c r="AL65" s="60">
        <v>1.0646721283024101</v>
      </c>
      <c r="AM65" s="60">
        <v>0.94612913308345803</v>
      </c>
      <c r="AN65" s="60">
        <v>4.3185709781390402</v>
      </c>
      <c r="AO65" s="60">
        <v>1.9701006605295199</v>
      </c>
      <c r="AP65" s="60">
        <v>4.9920729898104499</v>
      </c>
      <c r="AQ65" s="60">
        <v>11.928039963687301</v>
      </c>
      <c r="AR65" s="60">
        <v>0.38439546821042397</v>
      </c>
      <c r="AS65" s="60">
        <v>0.64790287177455097</v>
      </c>
      <c r="AT65" s="60">
        <v>0.42331920640308801</v>
      </c>
      <c r="AU65" s="60">
        <v>5094.4490451546499</v>
      </c>
      <c r="AV65" s="60">
        <v>411.98681367481799</v>
      </c>
      <c r="AW65" s="60">
        <v>291.78583958296099</v>
      </c>
      <c r="AX65" s="60">
        <v>690.82416429340503</v>
      </c>
      <c r="AY65" s="60">
        <v>785.76040198582803</v>
      </c>
      <c r="AZ65" s="60">
        <v>535.20083102735998</v>
      </c>
      <c r="BA65" s="60">
        <v>1.73993239698313</v>
      </c>
      <c r="BB65" s="60">
        <v>1.46875608753507</v>
      </c>
      <c r="BC65" s="60">
        <v>1.7070307122405</v>
      </c>
      <c r="BD65" s="60">
        <v>117.46459559692001</v>
      </c>
      <c r="BE65" s="60">
        <v>335.85161505940999</v>
      </c>
      <c r="BF65" s="60">
        <v>308.68824580846098</v>
      </c>
      <c r="BG65" s="60">
        <v>206.44648044874799</v>
      </c>
      <c r="BH65" s="60">
        <v>276.85123947624601</v>
      </c>
      <c r="BI65" s="60">
        <v>1705.96549076211</v>
      </c>
      <c r="BJ65" s="60">
        <v>62.131125315109202</v>
      </c>
      <c r="BK65" s="60">
        <v>5176.7610365620403</v>
      </c>
      <c r="BL65" s="60">
        <v>1985.0907388186899</v>
      </c>
      <c r="BM65" s="60">
        <v>19071.6420456655</v>
      </c>
      <c r="BN65" s="60">
        <v>10203.984296882099</v>
      </c>
      <c r="BO65" s="60">
        <v>2222.5819560475002</v>
      </c>
      <c r="BP65" s="60">
        <v>1328.2354731422699</v>
      </c>
      <c r="BQ65" s="60">
        <v>1049.71639105176</v>
      </c>
      <c r="BR65" s="60">
        <v>18.234695225951299</v>
      </c>
      <c r="BS65" s="60">
        <v>94.0323089848156</v>
      </c>
      <c r="BT65" s="55"/>
      <c r="BU65" s="55"/>
      <c r="BV65" s="55"/>
      <c r="BW65" s="55"/>
    </row>
    <row r="66" spans="1:75">
      <c r="A66" s="66">
        <v>2017</v>
      </c>
      <c r="B66" s="61">
        <v>54.258413950768002</v>
      </c>
      <c r="C66" s="61">
        <v>55.889608575270302</v>
      </c>
      <c r="D66" s="61">
        <v>54.577802714515698</v>
      </c>
      <c r="E66" s="61">
        <v>52.307830562517999</v>
      </c>
      <c r="F66" s="61">
        <v>90.954727246133203</v>
      </c>
      <c r="G66" s="61">
        <v>87.492827053554393</v>
      </c>
      <c r="H66" s="61">
        <v>3.0425761403138001</v>
      </c>
      <c r="I66" s="61">
        <v>5.8744001923879603</v>
      </c>
      <c r="J66" s="61">
        <v>8.8430006449271694</v>
      </c>
      <c r="K66" s="61">
        <v>70.864953859381998</v>
      </c>
      <c r="L66" s="61">
        <v>2.08526868802524</v>
      </c>
      <c r="M66" s="61">
        <v>3.41467598066304</v>
      </c>
      <c r="N66" s="61">
        <v>2.2867829403356801</v>
      </c>
      <c r="O66" s="61">
        <v>3.2351385296080499</v>
      </c>
      <c r="P66" s="61">
        <v>4.1631854405932804</v>
      </c>
      <c r="Q66" s="61">
        <v>2.4899125079110802</v>
      </c>
      <c r="R66" s="61">
        <v>3.0523176403197998</v>
      </c>
      <c r="S66" s="61">
        <v>1696.0827760218799</v>
      </c>
      <c r="T66" s="61">
        <v>1527.6022061994599</v>
      </c>
      <c r="U66" s="61">
        <v>1404.59129356882</v>
      </c>
      <c r="V66" s="61">
        <v>1500.9996053627001</v>
      </c>
      <c r="W66" s="61">
        <v>771.47884934676597</v>
      </c>
      <c r="X66" s="61">
        <v>1323.9272209144301</v>
      </c>
      <c r="Y66" s="61">
        <v>404.205519004346</v>
      </c>
      <c r="Z66" s="61">
        <v>873.80313156620196</v>
      </c>
      <c r="AA66" s="61">
        <v>359.88177886198099</v>
      </c>
      <c r="AB66" s="61">
        <v>100.326062025615</v>
      </c>
      <c r="AC66" s="61">
        <v>158.78489125221901</v>
      </c>
      <c r="AD66" s="61">
        <v>167.50952154624201</v>
      </c>
      <c r="AE66" s="61">
        <v>409.89651797861097</v>
      </c>
      <c r="AF66" s="61">
        <v>395.25429851457397</v>
      </c>
      <c r="AG66" s="61">
        <v>390.35728956049098</v>
      </c>
      <c r="AH66" s="61">
        <v>373.24473073073801</v>
      </c>
      <c r="AI66" s="61">
        <v>183.08693888302901</v>
      </c>
      <c r="AJ66" s="61">
        <v>178.99020576771699</v>
      </c>
      <c r="AK66" s="61">
        <v>0.923852385243636</v>
      </c>
      <c r="AL66" s="61">
        <v>1.1054948831949301</v>
      </c>
      <c r="AM66" s="61">
        <v>0.83438595717974395</v>
      </c>
      <c r="AN66" s="61">
        <v>4.5080043132706598</v>
      </c>
      <c r="AO66" s="61">
        <v>2.1829518796843601</v>
      </c>
      <c r="AP66" s="61">
        <v>5.5686607046453602</v>
      </c>
      <c r="AQ66" s="61">
        <v>13.6848681416033</v>
      </c>
      <c r="AR66" s="61">
        <v>0.37890392971564502</v>
      </c>
      <c r="AS66" s="61">
        <v>0.63249073301479997</v>
      </c>
      <c r="AT66" s="61">
        <v>0.362844482294508</v>
      </c>
      <c r="AU66" s="61">
        <v>4754.7289662650001</v>
      </c>
      <c r="AV66" s="61">
        <v>406.10110056490601</v>
      </c>
      <c r="AW66" s="61">
        <v>272.73422532953902</v>
      </c>
      <c r="AX66" s="61">
        <v>634.27049637067898</v>
      </c>
      <c r="AY66" s="61">
        <v>721.43486860471501</v>
      </c>
      <c r="AZ66" s="61">
        <v>500.25588717601602</v>
      </c>
      <c r="BA66" s="61">
        <v>1.8937155759771001</v>
      </c>
      <c r="BB66" s="61">
        <v>1.7127372303245401</v>
      </c>
      <c r="BC66" s="61">
        <v>2.0503645481414701</v>
      </c>
      <c r="BD66" s="61">
        <v>92.156074258299498</v>
      </c>
      <c r="BE66" s="61">
        <v>331.91813663117603</v>
      </c>
      <c r="BF66" s="61">
        <v>290.99912712020199</v>
      </c>
      <c r="BG66" s="61">
        <v>219.76173248216099</v>
      </c>
      <c r="BH66" s="61">
        <v>224.23574398506099</v>
      </c>
      <c r="BI66" s="61">
        <v>2021.8122201865999</v>
      </c>
      <c r="BJ66" s="61">
        <v>73.735134648368799</v>
      </c>
      <c r="BK66" s="61">
        <v>6339.76249543417</v>
      </c>
      <c r="BL66" s="61">
        <v>2378.3742396999201</v>
      </c>
      <c r="BM66" s="61">
        <v>20613.3362556838</v>
      </c>
      <c r="BN66" s="61">
        <v>10696.1515937203</v>
      </c>
      <c r="BO66" s="61">
        <v>2970.4353806737399</v>
      </c>
      <c r="BP66" s="61">
        <v>1292.1724426206399</v>
      </c>
      <c r="BQ66" s="61">
        <v>974.55872688165402</v>
      </c>
      <c r="BR66" s="61">
        <v>17.5358987889934</v>
      </c>
      <c r="BS66" s="61">
        <v>97.285144477110606</v>
      </c>
      <c r="BT66" s="55"/>
      <c r="BU66" s="55"/>
      <c r="BV66" s="55"/>
      <c r="BW66" s="55"/>
    </row>
    <row r="67" spans="1:75">
      <c r="A67" s="65">
        <v>2018</v>
      </c>
      <c r="B67" s="60">
        <v>67.152391380753798</v>
      </c>
      <c r="C67" s="60">
        <v>69.828923897472094</v>
      </c>
      <c r="D67" s="60">
        <v>67.942496574584695</v>
      </c>
      <c r="E67" s="60">
        <v>63.685753670204598</v>
      </c>
      <c r="F67" s="60">
        <v>105.151129251936</v>
      </c>
      <c r="G67" s="60">
        <v>95.935964530105807</v>
      </c>
      <c r="H67" s="60">
        <v>3.10447477750543</v>
      </c>
      <c r="I67" s="60">
        <v>7.5473595753779303</v>
      </c>
      <c r="J67" s="60">
        <v>10.4833048353729</v>
      </c>
      <c r="K67" s="60">
        <v>80.681111206388593</v>
      </c>
      <c r="L67" s="60">
        <v>2.25366002936142</v>
      </c>
      <c r="M67" s="60">
        <v>2.8748087984187198</v>
      </c>
      <c r="N67" s="60">
        <v>1.83657509546358</v>
      </c>
      <c r="O67" s="60">
        <v>2.79768096450585</v>
      </c>
      <c r="P67" s="60">
        <v>3.5419638015672499</v>
      </c>
      <c r="Q67" s="60">
        <v>2.3175433338875102</v>
      </c>
      <c r="R67" s="60">
        <v>2.53353575806279</v>
      </c>
      <c r="S67" s="60">
        <v>979.34070970545997</v>
      </c>
      <c r="T67" s="60">
        <v>1296.79023887325</v>
      </c>
      <c r="U67" s="60">
        <v>1498.4349094812001</v>
      </c>
      <c r="V67" s="60">
        <v>1420.76388449926</v>
      </c>
      <c r="W67" s="60">
        <v>627.48844475074395</v>
      </c>
      <c r="X67" s="60">
        <v>910.27650938419401</v>
      </c>
      <c r="Y67" s="60">
        <v>387.52735667036302</v>
      </c>
      <c r="Z67" s="60">
        <v>775.319173421149</v>
      </c>
      <c r="AA67" s="60">
        <v>398.14014788532302</v>
      </c>
      <c r="AB67" s="60">
        <v>123.684131091552</v>
      </c>
      <c r="AC67" s="60">
        <v>161.539631960245</v>
      </c>
      <c r="AD67" s="60">
        <v>165.64121796946799</v>
      </c>
      <c r="AE67" s="60">
        <v>413.31098636873497</v>
      </c>
      <c r="AF67" s="60">
        <v>400.94768229946402</v>
      </c>
      <c r="AG67" s="60">
        <v>394.05698249502802</v>
      </c>
      <c r="AH67" s="60">
        <v>399.04242345382198</v>
      </c>
      <c r="AI67" s="60">
        <v>200.32574123893599</v>
      </c>
      <c r="AJ67" s="60">
        <v>206.25806742257899</v>
      </c>
      <c r="AK67" s="60">
        <v>0.93099946890232099</v>
      </c>
      <c r="AL67" s="60">
        <v>1.1270899771998899</v>
      </c>
      <c r="AM67" s="60">
        <v>0.77604255161136904</v>
      </c>
      <c r="AN67" s="60">
        <v>4.1216892445231101</v>
      </c>
      <c r="AO67" s="60">
        <v>2.2038025692059802</v>
      </c>
      <c r="AP67" s="60">
        <v>5.7669105554745803</v>
      </c>
      <c r="AQ67" s="60">
        <v>12.0231354508912</v>
      </c>
      <c r="AR67" s="60">
        <v>0.37910548441852798</v>
      </c>
      <c r="AS67" s="60">
        <v>0.54947793997804995</v>
      </c>
      <c r="AT67" s="60">
        <v>0.27079491657799398</v>
      </c>
      <c r="AU67" s="60">
        <v>4780.8719437467398</v>
      </c>
      <c r="AV67" s="60">
        <v>406.31712257007803</v>
      </c>
      <c r="AW67" s="60">
        <v>264.98795735556303</v>
      </c>
      <c r="AX67" s="60">
        <v>628.80144393738601</v>
      </c>
      <c r="AY67" s="60">
        <v>715.21423380271597</v>
      </c>
      <c r="AZ67" s="60">
        <v>486.04749014428302</v>
      </c>
      <c r="BA67" s="60">
        <v>1.9793552441192199</v>
      </c>
      <c r="BB67" s="60">
        <v>1.3439157151854999</v>
      </c>
      <c r="BC67" s="60">
        <v>1.5379540881243401</v>
      </c>
      <c r="BD67" s="60">
        <v>86.363000875939207</v>
      </c>
      <c r="BE67" s="60">
        <v>386.54566120155198</v>
      </c>
      <c r="BF67" s="60">
        <v>340.67289053340397</v>
      </c>
      <c r="BG67" s="60">
        <v>245.08776545983301</v>
      </c>
      <c r="BH67" s="60">
        <v>211.73181670949799</v>
      </c>
      <c r="BI67" s="60">
        <v>2071.6066925130399</v>
      </c>
      <c r="BJ67" s="60">
        <v>68.532005112986994</v>
      </c>
      <c r="BK67" s="60">
        <v>6415.6197859086797</v>
      </c>
      <c r="BL67" s="60">
        <v>2201.2592703923201</v>
      </c>
      <c r="BM67" s="60">
        <v>19792.951411036898</v>
      </c>
      <c r="BN67" s="60">
        <v>12884.754665676401</v>
      </c>
      <c r="BO67" s="60">
        <v>2871.2791186650702</v>
      </c>
      <c r="BP67" s="60">
        <v>1247.03326194652</v>
      </c>
      <c r="BQ67" s="60">
        <v>864.16629777696699</v>
      </c>
      <c r="BR67" s="60">
        <v>15.438982992199</v>
      </c>
      <c r="BS67" s="60">
        <v>101.858304838056</v>
      </c>
      <c r="BT67" s="55"/>
      <c r="BU67" s="55"/>
      <c r="BV67" s="55"/>
      <c r="BW67" s="55"/>
    </row>
    <row r="68" spans="1:75">
      <c r="A68" s="55">
        <v>2019</v>
      </c>
      <c r="B68" s="62">
        <v>61.729715344227401</v>
      </c>
      <c r="C68" s="62">
        <v>64.367651448923695</v>
      </c>
      <c r="D68" s="62">
        <v>63.509002827992099</v>
      </c>
      <c r="E68" s="62">
        <v>57.312491755766203</v>
      </c>
      <c r="F68" s="62">
        <v>78.2945132274494</v>
      </c>
      <c r="G68" s="62">
        <v>72.319156531736695</v>
      </c>
      <c r="H68" s="62">
        <v>2.5793469490398402</v>
      </c>
      <c r="I68" s="62">
        <v>4.8275500003268403</v>
      </c>
      <c r="J68" s="62">
        <v>10.619734544414801</v>
      </c>
      <c r="K68" s="62">
        <v>61.466818822939501</v>
      </c>
      <c r="L68" s="62">
        <v>2.3531043464549599</v>
      </c>
      <c r="M68" s="62">
        <v>2.8948771159600901</v>
      </c>
      <c r="N68" s="62">
        <v>1.63028330267738</v>
      </c>
      <c r="O68" s="62">
        <v>2.57626129243822</v>
      </c>
      <c r="P68" s="62">
        <v>3.1171039204748299</v>
      </c>
      <c r="Q68" s="62">
        <v>2.3888690463899498</v>
      </c>
      <c r="R68" s="62">
        <v>2.2228109104498599</v>
      </c>
      <c r="S68" s="62">
        <v>739.51091535089904</v>
      </c>
      <c r="T68" s="62">
        <v>1344.8255225748201</v>
      </c>
      <c r="U68" s="62">
        <v>1455.5870061451501</v>
      </c>
      <c r="V68" s="62">
        <v>1414.7588924993299</v>
      </c>
      <c r="W68" s="62">
        <v>604.52213737475404</v>
      </c>
      <c r="X68" s="62">
        <v>668.88141176396095</v>
      </c>
      <c r="Y68" s="62">
        <v>370.88259106029199</v>
      </c>
      <c r="Z68" s="62">
        <v>769.45639071913695</v>
      </c>
      <c r="AA68" s="62">
        <v>348.84338465239802</v>
      </c>
      <c r="AB68" s="62">
        <v>128.73897693662099</v>
      </c>
      <c r="AC68" s="62">
        <v>170.96247404507599</v>
      </c>
      <c r="AD68" s="62">
        <v>162.35423974893101</v>
      </c>
      <c r="AE68" s="62">
        <v>420.19331537494702</v>
      </c>
      <c r="AF68" s="62">
        <v>412.57019103301701</v>
      </c>
      <c r="AG68" s="62">
        <v>395.55805816093903</v>
      </c>
      <c r="AH68" s="62">
        <v>353.73056129094999</v>
      </c>
      <c r="AI68" s="62">
        <v>212.38439547113501</v>
      </c>
      <c r="AJ68" s="62">
        <v>202.75044064822799</v>
      </c>
      <c r="AK68" s="62">
        <v>0.88031538558539402</v>
      </c>
      <c r="AL68" s="62">
        <v>1.1465310142661</v>
      </c>
      <c r="AM68" s="62">
        <v>0.56294458792305702</v>
      </c>
      <c r="AN68" s="62">
        <v>4.7886559385576097</v>
      </c>
      <c r="AO68" s="62">
        <v>2.0088820872130499</v>
      </c>
      <c r="AP68" s="61" t="s">
        <v>137</v>
      </c>
      <c r="AQ68" s="62">
        <v>12.667176601227901</v>
      </c>
      <c r="AR68" s="62">
        <v>0.367587003495005</v>
      </c>
      <c r="AS68" s="62">
        <v>0.57975478264115998</v>
      </c>
      <c r="AT68" s="62">
        <v>0.28149281336061899</v>
      </c>
      <c r="AU68" s="62">
        <v>4603.3869865388097</v>
      </c>
      <c r="AV68" s="62">
        <v>393.97186190363698</v>
      </c>
      <c r="AW68" s="62">
        <v>274.53654271829299</v>
      </c>
      <c r="AX68" s="62">
        <v>615.02030773475997</v>
      </c>
      <c r="AY68" s="62">
        <v>699.53923040518396</v>
      </c>
      <c r="AZ68" s="62">
        <v>503.561742475968</v>
      </c>
      <c r="BA68" s="62">
        <v>1.72594875164786</v>
      </c>
      <c r="BB68" s="62">
        <v>1.4178424881809399</v>
      </c>
      <c r="BC68" s="62">
        <v>1.6489990739954601</v>
      </c>
      <c r="BD68" s="62">
        <v>88.419865306669905</v>
      </c>
      <c r="BE68" s="62">
        <v>307.96249553036301</v>
      </c>
      <c r="BF68" s="62">
        <v>296.09387732415797</v>
      </c>
      <c r="BG68" s="62">
        <v>246.56870028076401</v>
      </c>
      <c r="BH68" s="62">
        <v>256.84065090502099</v>
      </c>
      <c r="BI68" s="62">
        <v>1803.90431144736</v>
      </c>
      <c r="BJ68" s="62">
        <v>94.341608820197607</v>
      </c>
      <c r="BK68" s="62">
        <v>6041.6812283113804</v>
      </c>
      <c r="BL68" s="62">
        <v>2006.9835062104</v>
      </c>
      <c r="BM68" s="62">
        <v>18759.074852865899</v>
      </c>
      <c r="BN68" s="62">
        <v>13986.9169196326</v>
      </c>
      <c r="BO68" s="62">
        <v>2563.79242455842</v>
      </c>
      <c r="BP68" s="62">
        <v>1399.8050031995699</v>
      </c>
      <c r="BQ68" s="62">
        <v>868.52266121938806</v>
      </c>
      <c r="BR68" s="62">
        <v>16.302679684695701</v>
      </c>
      <c r="BS68" s="61">
        <v>99.478022306711495</v>
      </c>
      <c r="BT68" s="55"/>
      <c r="BU68" s="55"/>
      <c r="BV68" s="55"/>
      <c r="BW68" s="55"/>
    </row>
    <row r="69" spans="1:75">
      <c r="A69" s="59">
        <v>2020</v>
      </c>
      <c r="B69" s="150">
        <v>41.6789328183458</v>
      </c>
      <c r="C69" s="150">
        <v>42.731793935000098</v>
      </c>
      <c r="D69" s="150">
        <v>42.595415869250097</v>
      </c>
      <c r="E69" s="150">
        <v>39.709588650787097</v>
      </c>
      <c r="F69" s="150">
        <v>61.405486863805699</v>
      </c>
      <c r="G69" s="150">
        <v>66.326882989574202</v>
      </c>
      <c r="H69" s="150">
        <v>2.0349375273715302</v>
      </c>
      <c r="I69" s="150">
        <v>3.27511827857357</v>
      </c>
      <c r="J69" s="150">
        <v>8.3982093453300397</v>
      </c>
      <c r="K69" s="150">
        <v>45.9705644321539</v>
      </c>
      <c r="L69" s="150">
        <v>2.39405548992768</v>
      </c>
      <c r="M69" s="150">
        <v>3.3575572606766699</v>
      </c>
      <c r="N69" s="150">
        <v>1.53135226625371</v>
      </c>
      <c r="O69" s="150">
        <v>2.7268543342095102</v>
      </c>
      <c r="P69" s="150">
        <v>3.4389160406713</v>
      </c>
      <c r="Q69" s="150">
        <v>2.7136967058555901</v>
      </c>
      <c r="R69" s="150">
        <v>2.0279502561016201</v>
      </c>
      <c r="S69" s="150">
        <v>1020.7178086082901</v>
      </c>
      <c r="T69" s="150">
        <v>1857.4414747979099</v>
      </c>
      <c r="U69" s="150">
        <v>1447.3244396458999</v>
      </c>
      <c r="V69" s="150">
        <v>1689.4872949727101</v>
      </c>
      <c r="W69" s="150">
        <v>759.440107205152</v>
      </c>
      <c r="X69" s="150">
        <v>832.48439399510005</v>
      </c>
      <c r="Y69" s="150">
        <v>410.79077824529202</v>
      </c>
      <c r="Z69" s="150">
        <v>846.30805042240002</v>
      </c>
      <c r="AA69" s="150">
        <v>398.20273932490397</v>
      </c>
      <c r="AB69" s="150">
        <v>98.596658802739299</v>
      </c>
      <c r="AC69" s="150">
        <v>167.15505993357499</v>
      </c>
      <c r="AD69" s="150">
        <v>173.325966411065</v>
      </c>
      <c r="AE69" s="150">
        <v>501.82077156527902</v>
      </c>
      <c r="AF69" s="150">
        <v>486.75183713981602</v>
      </c>
      <c r="AG69" s="150">
        <v>479.46150350157501</v>
      </c>
      <c r="AH69" s="150">
        <v>432.32857050644498</v>
      </c>
      <c r="AI69" s="150">
        <v>230.063531253528</v>
      </c>
      <c r="AJ69" s="150">
        <v>233.92928400797001</v>
      </c>
      <c r="AK69" s="150">
        <v>0.90627549705765298</v>
      </c>
      <c r="AL69" s="150">
        <v>1.22874636082049</v>
      </c>
      <c r="AM69" s="150">
        <v>0.60914041291966503</v>
      </c>
      <c r="AN69" s="150">
        <v>4.7149525419029796</v>
      </c>
      <c r="AO69" s="150">
        <v>1.6483505414711199</v>
      </c>
      <c r="AP69" s="60" t="s">
        <v>137</v>
      </c>
      <c r="AQ69" s="150">
        <v>12.802439756935099</v>
      </c>
      <c r="AR69" s="150">
        <v>0.37651568748540998</v>
      </c>
      <c r="AS69" s="150">
        <v>0.60072972275333103</v>
      </c>
      <c r="AT69" s="150">
        <v>0.28601846754052102</v>
      </c>
      <c r="AU69" s="150">
        <v>4380.5455512814297</v>
      </c>
      <c r="AV69" s="150">
        <v>403.54143379438301</v>
      </c>
      <c r="AW69" s="150">
        <v>281.783771810519</v>
      </c>
      <c r="AX69" s="150">
        <v>621.44767135837003</v>
      </c>
      <c r="AY69" s="150">
        <v>706.84987193400502</v>
      </c>
      <c r="AZ69" s="150">
        <v>516.85479000133398</v>
      </c>
      <c r="BA69" s="150">
        <v>1.60202635128351</v>
      </c>
      <c r="BB69" s="150">
        <v>1.34413211395306</v>
      </c>
      <c r="BC69" s="150">
        <v>1.74566449679736</v>
      </c>
      <c r="BD69" s="150">
        <v>76.8279940523242</v>
      </c>
      <c r="BE69" s="150">
        <v>315.61335958189397</v>
      </c>
      <c r="BF69" s="150">
        <v>267.74297482382002</v>
      </c>
      <c r="BG69" s="150">
        <v>231.439470457135</v>
      </c>
      <c r="BH69" s="150">
        <v>220.01486101088</v>
      </c>
      <c r="BI69" s="150">
        <v>1721.38078269474</v>
      </c>
      <c r="BJ69" s="150">
        <v>110.03016018306499</v>
      </c>
      <c r="BK69" s="150">
        <v>6236.7920343242004</v>
      </c>
      <c r="BL69" s="150">
        <v>1843.5090242536901</v>
      </c>
      <c r="BM69" s="150">
        <v>17299.405267363501</v>
      </c>
      <c r="BN69" s="150">
        <v>13927.9955273985</v>
      </c>
      <c r="BO69" s="150">
        <v>2289.5848405237002</v>
      </c>
      <c r="BP69" s="150">
        <v>1788.32473433984</v>
      </c>
      <c r="BQ69" s="150">
        <v>892.41091923292799</v>
      </c>
      <c r="BR69" s="150">
        <v>20.746218608249599</v>
      </c>
      <c r="BS69" s="60">
        <v>98.989525373877598</v>
      </c>
      <c r="BT69" s="55"/>
      <c r="BU69" s="55"/>
      <c r="BV69" s="55"/>
      <c r="BW69" s="55"/>
    </row>
    <row r="70" spans="1:75">
      <c r="A70" s="55">
        <v>2021</v>
      </c>
      <c r="B70" s="62">
        <v>68.678530223994798</v>
      </c>
      <c r="C70" s="62">
        <v>70.043516495548801</v>
      </c>
      <c r="D70" s="62">
        <v>68.414481888178202</v>
      </c>
      <c r="E70" s="62">
        <v>67.577592288257406</v>
      </c>
      <c r="F70" s="62">
        <v>137.26646645829501</v>
      </c>
      <c r="G70" s="62">
        <v>119.160049351878</v>
      </c>
      <c r="H70" s="62">
        <v>3.8295488069880399</v>
      </c>
      <c r="I70" s="62">
        <v>16.024408691392399</v>
      </c>
      <c r="J70" s="62">
        <v>10.7005688863996</v>
      </c>
      <c r="K70" s="62">
        <v>129.932808133745</v>
      </c>
      <c r="L70" s="62">
        <v>2.4127593454001501</v>
      </c>
      <c r="M70" s="62">
        <v>4.4863300355428199</v>
      </c>
      <c r="N70" s="62">
        <v>1.9699371243652699</v>
      </c>
      <c r="O70" s="62">
        <v>2.67364220523327</v>
      </c>
      <c r="P70" s="62">
        <v>3.1080919696068201</v>
      </c>
      <c r="Q70" s="62">
        <v>2.8148070995841699</v>
      </c>
      <c r="R70" s="62">
        <v>2.0997642922369102</v>
      </c>
      <c r="S70" s="62">
        <v>1627.0260723307599</v>
      </c>
      <c r="T70" s="62">
        <v>1546.20905229247</v>
      </c>
      <c r="U70" s="62">
        <v>1472.4840501608301</v>
      </c>
      <c r="V70" s="61" t="s">
        <v>137</v>
      </c>
      <c r="W70" s="62">
        <v>1124.1598268274599</v>
      </c>
      <c r="X70" s="62">
        <v>1524.3803199951301</v>
      </c>
      <c r="Y70" s="62">
        <v>580.01172314827204</v>
      </c>
      <c r="Z70" s="62">
        <v>1377.54348236942</v>
      </c>
      <c r="AA70" s="62">
        <v>478.245119194339</v>
      </c>
      <c r="AB70" s="61" t="s">
        <v>137</v>
      </c>
      <c r="AC70" s="62">
        <v>258.07257042933998</v>
      </c>
      <c r="AD70" s="61" t="s">
        <v>137</v>
      </c>
      <c r="AE70" s="62">
        <v>455.64909999647801</v>
      </c>
      <c r="AF70" s="62">
        <v>445.70585722514198</v>
      </c>
      <c r="AG70" s="62">
        <v>433.61487401519702</v>
      </c>
      <c r="AH70" s="62">
        <v>443.81415528789501</v>
      </c>
      <c r="AI70" s="62">
        <v>280.06197903982599</v>
      </c>
      <c r="AJ70" s="62">
        <v>313.44829931290701</v>
      </c>
      <c r="AK70" s="62">
        <v>0.91851812368374797</v>
      </c>
      <c r="AL70" s="62">
        <v>1.1986373599837701</v>
      </c>
      <c r="AM70" s="62">
        <v>0.64888573399634697</v>
      </c>
      <c r="AN70" s="62">
        <v>5.3553269937080197</v>
      </c>
      <c r="AO70" s="62">
        <v>2.2431558839914598</v>
      </c>
      <c r="AP70" s="61" t="s">
        <v>137</v>
      </c>
      <c r="AQ70" s="62">
        <v>13.621297376329199</v>
      </c>
      <c r="AR70" s="62">
        <v>0.38428206762248202</v>
      </c>
      <c r="AS70" s="62">
        <v>0.73594518564238598</v>
      </c>
      <c r="AT70" s="62">
        <v>0.38734534009385602</v>
      </c>
      <c r="AU70" s="62">
        <v>4131.1588102981004</v>
      </c>
      <c r="AV70" s="62">
        <v>411.86527335824599</v>
      </c>
      <c r="AW70" s="62">
        <v>269.81071619163703</v>
      </c>
      <c r="AX70" s="62">
        <v>655.59973826428597</v>
      </c>
      <c r="AY70" s="62">
        <v>745.69527313401602</v>
      </c>
      <c r="AZ70" s="62">
        <v>494.893514134344</v>
      </c>
      <c r="BA70" s="62">
        <v>2.2180471229105798</v>
      </c>
      <c r="BB70" s="62">
        <v>1.66977704462612</v>
      </c>
      <c r="BC70" s="62">
        <v>2.0592621500149999</v>
      </c>
      <c r="BD70" s="62">
        <v>122.514008599889</v>
      </c>
      <c r="BE70" s="62">
        <v>597.552432000473</v>
      </c>
      <c r="BF70" s="62">
        <v>535.13455410697395</v>
      </c>
      <c r="BG70" s="62">
        <v>480.46494814303998</v>
      </c>
      <c r="BH70" s="62">
        <v>209.01524908912799</v>
      </c>
      <c r="BI70" s="62">
        <v>2458.8131315027199</v>
      </c>
      <c r="BJ70" s="62">
        <v>160.79217885527601</v>
      </c>
      <c r="BK70" s="62">
        <v>9264.1690062677208</v>
      </c>
      <c r="BL70" s="62">
        <v>2187.8763380550999</v>
      </c>
      <c r="BM70" s="62">
        <v>32200.344882129299</v>
      </c>
      <c r="BN70" s="62">
        <v>18360.163804526001</v>
      </c>
      <c r="BO70" s="62">
        <v>2985.4793571827799</v>
      </c>
      <c r="BP70" s="62">
        <v>1789.4149702544</v>
      </c>
      <c r="BQ70" s="62">
        <v>1084.9403629230601</v>
      </c>
      <c r="BR70" s="62">
        <v>25.021756132285201</v>
      </c>
      <c r="BS70" s="61">
        <v>100.57081205768699</v>
      </c>
      <c r="BT70" s="55"/>
      <c r="BU70" s="55"/>
      <c r="BV70" s="55"/>
      <c r="BW70" s="55"/>
    </row>
    <row r="71" spans="1:75">
      <c r="A71" s="55"/>
      <c r="B71" s="55"/>
      <c r="C71" s="55"/>
      <c r="D71" s="55"/>
      <c r="E71" s="55"/>
      <c r="F71" s="55"/>
      <c r="G71" s="55"/>
      <c r="H71" s="55"/>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55"/>
      <c r="AK71" s="55"/>
      <c r="AL71" s="55"/>
      <c r="AM71" s="55"/>
      <c r="AN71" s="55"/>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c r="BV71" s="55"/>
      <c r="BW71" s="55"/>
    </row>
    <row r="72" spans="1:75">
      <c r="A72" s="55"/>
      <c r="B72" s="55"/>
      <c r="C72" s="55"/>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c r="BV72" s="55"/>
      <c r="BW72" s="55"/>
    </row>
    <row r="73" spans="1:75">
      <c r="A73" s="55"/>
      <c r="B73" s="55"/>
      <c r="C73" s="55"/>
      <c r="D73" s="55"/>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c r="BV73" s="55"/>
      <c r="BW73" s="55"/>
    </row>
    <row r="74" spans="1:75">
      <c r="A74" s="55"/>
      <c r="B74" s="55"/>
      <c r="C74" s="55"/>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c r="BV74" s="55"/>
      <c r="BW74" s="55"/>
    </row>
    <row r="75" spans="1:75">
      <c r="A75" s="55"/>
      <c r="B75" s="55"/>
      <c r="C75" s="55"/>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c r="BV75" s="55"/>
      <c r="BW75" s="55"/>
    </row>
    <row r="76" spans="1:75">
      <c r="A76" s="55"/>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c r="BV76" s="55"/>
      <c r="BW76" s="55"/>
    </row>
    <row r="77" spans="1:75">
      <c r="A77" s="55"/>
      <c r="B77" s="55"/>
      <c r="C77" s="55"/>
      <c r="D77" s="55"/>
      <c r="E77" s="55"/>
      <c r="F77" s="55"/>
      <c r="G77" s="55"/>
      <c r="H77" s="55"/>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55"/>
      <c r="AK77" s="55"/>
      <c r="AL77" s="55"/>
      <c r="AM77" s="55"/>
      <c r="AN77" s="55"/>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c r="BV77" s="55"/>
      <c r="BW77" s="55"/>
    </row>
    <row r="78" spans="1:75">
      <c r="A78" s="55"/>
      <c r="B78" s="55"/>
      <c r="C78" s="55"/>
      <c r="D78" s="55"/>
      <c r="E78" s="55"/>
      <c r="F78" s="55"/>
      <c r="G78" s="55"/>
      <c r="H78" s="55"/>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M78" s="55"/>
      <c r="AN78" s="55"/>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c r="BV78" s="55"/>
      <c r="BW78" s="55"/>
    </row>
    <row r="79" spans="1:75">
      <c r="A79" s="55"/>
      <c r="B79" s="55"/>
      <c r="C79" s="55"/>
      <c r="D79" s="55"/>
      <c r="E79" s="55"/>
      <c r="F79" s="55"/>
      <c r="G79" s="55"/>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c r="BV79" s="55"/>
      <c r="BW79" s="55"/>
    </row>
    <row r="80" spans="1:75">
      <c r="A80" s="55"/>
      <c r="B80" s="55"/>
      <c r="C80" s="55"/>
      <c r="D80" s="55"/>
      <c r="E80" s="55"/>
      <c r="F80" s="55"/>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c r="BV80" s="55"/>
      <c r="BW80" s="55"/>
    </row>
    <row r="81" spans="1:75">
      <c r="A81" s="55"/>
      <c r="B81" s="55"/>
      <c r="C81" s="55"/>
      <c r="D81" s="55"/>
      <c r="E81" s="55"/>
      <c r="F81" s="55"/>
      <c r="G81" s="55"/>
      <c r="H81" s="55"/>
      <c r="I81" s="55"/>
      <c r="J81" s="55"/>
      <c r="K81" s="55"/>
      <c r="L81" s="55"/>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c r="BV81" s="55"/>
      <c r="BW81" s="55"/>
    </row>
    <row r="82" spans="1:75">
      <c r="A82" s="55"/>
      <c r="B82" s="55"/>
      <c r="C82" s="55"/>
      <c r="D82" s="55"/>
      <c r="E82" s="55"/>
      <c r="F82" s="55"/>
      <c r="G82" s="55"/>
      <c r="H82" s="55"/>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c r="AY82" s="55"/>
      <c r="AZ82" s="55"/>
      <c r="BA82" s="55"/>
      <c r="BB82" s="55"/>
      <c r="BC82" s="55"/>
      <c r="BD82" s="55"/>
      <c r="BE82" s="55"/>
      <c r="BF82" s="55"/>
      <c r="BG82" s="55"/>
      <c r="BH82" s="55"/>
      <c r="BI82" s="55"/>
      <c r="BJ82" s="55"/>
      <c r="BK82" s="55"/>
      <c r="BL82" s="55"/>
      <c r="BM82" s="55"/>
      <c r="BN82" s="55"/>
      <c r="BO82" s="55"/>
      <c r="BP82" s="55"/>
      <c r="BQ82" s="55"/>
      <c r="BR82" s="55"/>
      <c r="BS82" s="55"/>
      <c r="BT82" s="55"/>
      <c r="BU82" s="55"/>
      <c r="BV82" s="55"/>
      <c r="BW82" s="55"/>
    </row>
    <row r="83" spans="1:75">
      <c r="A83" s="55"/>
      <c r="B83" s="55"/>
      <c r="C83" s="55"/>
      <c r="D83" s="55"/>
      <c r="E83" s="55"/>
      <c r="F83" s="55"/>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c r="BC83" s="55"/>
      <c r="BD83" s="55"/>
      <c r="BE83" s="55"/>
      <c r="BF83" s="55"/>
      <c r="BG83" s="55"/>
      <c r="BH83" s="55"/>
      <c r="BI83" s="55"/>
      <c r="BJ83" s="55"/>
      <c r="BK83" s="55"/>
      <c r="BL83" s="55"/>
      <c r="BM83" s="55"/>
      <c r="BN83" s="55"/>
      <c r="BO83" s="55"/>
      <c r="BP83" s="55"/>
      <c r="BQ83" s="55"/>
      <c r="BR83" s="55"/>
      <c r="BS83" s="55"/>
      <c r="BT83" s="55"/>
      <c r="BU83" s="55"/>
      <c r="BV83" s="55"/>
      <c r="BW83" s="55"/>
    </row>
    <row r="84" spans="1:75">
      <c r="A84" s="55"/>
      <c r="B84" s="55"/>
      <c r="C84" s="55"/>
      <c r="D84" s="55"/>
      <c r="E84" s="55"/>
      <c r="F84" s="55"/>
      <c r="G84" s="55"/>
      <c r="H84" s="55"/>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55"/>
      <c r="BJ84" s="55"/>
      <c r="BK84" s="55"/>
      <c r="BL84" s="55"/>
      <c r="BM84" s="55"/>
      <c r="BN84" s="55"/>
      <c r="BO84" s="55"/>
      <c r="BP84" s="55"/>
      <c r="BQ84" s="55"/>
      <c r="BR84" s="55"/>
      <c r="BS84" s="55"/>
      <c r="BT84" s="55"/>
      <c r="BU84" s="55"/>
      <c r="BV84" s="55"/>
      <c r="BW84" s="55"/>
    </row>
    <row r="85" spans="1:75">
      <c r="A85" s="55"/>
      <c r="B85" s="55"/>
      <c r="C85" s="55"/>
      <c r="D85" s="55"/>
      <c r="E85" s="55"/>
      <c r="F85" s="55"/>
      <c r="G85" s="55"/>
      <c r="H85" s="55"/>
      <c r="I85" s="55"/>
      <c r="J85" s="55"/>
      <c r="K85" s="55"/>
      <c r="L85" s="55"/>
      <c r="M85" s="55"/>
      <c r="N85" s="55"/>
      <c r="O85" s="55"/>
      <c r="P85" s="55"/>
      <c r="Q85" s="55"/>
      <c r="R85" s="55"/>
      <c r="S85" s="55"/>
      <c r="T85" s="55"/>
      <c r="U85" s="55"/>
      <c r="V85" s="55"/>
      <c r="W85" s="55"/>
      <c r="X85" s="55"/>
      <c r="Y85" s="55"/>
      <c r="Z85" s="55"/>
      <c r="AA85" s="55"/>
      <c r="AB85" s="55"/>
      <c r="AC85" s="55"/>
      <c r="AD85" s="55"/>
      <c r="AE85" s="55"/>
      <c r="AF85" s="55"/>
      <c r="AG85" s="55"/>
      <c r="AH85" s="55"/>
      <c r="AI85" s="55"/>
      <c r="AJ85" s="55"/>
      <c r="AK85" s="55"/>
      <c r="AL85" s="55"/>
      <c r="AM85" s="55"/>
      <c r="AN85" s="55"/>
      <c r="AO85" s="55"/>
      <c r="AP85" s="55"/>
      <c r="AQ85" s="55"/>
      <c r="AR85" s="55"/>
      <c r="AS85" s="55"/>
      <c r="AT85" s="55"/>
      <c r="AU85" s="55"/>
      <c r="AV85" s="55"/>
      <c r="AW85" s="55"/>
      <c r="AX85" s="55"/>
      <c r="AY85" s="55"/>
      <c r="AZ85" s="55"/>
      <c r="BA85" s="55"/>
      <c r="BB85" s="55"/>
      <c r="BC85" s="55"/>
      <c r="BD85" s="55"/>
      <c r="BE85" s="55"/>
      <c r="BF85" s="55"/>
      <c r="BG85" s="55"/>
      <c r="BH85" s="55"/>
      <c r="BI85" s="55"/>
      <c r="BJ85" s="55"/>
      <c r="BK85" s="55"/>
      <c r="BL85" s="55"/>
      <c r="BM85" s="55"/>
      <c r="BN85" s="55"/>
      <c r="BO85" s="55"/>
      <c r="BP85" s="55"/>
      <c r="BQ85" s="55"/>
      <c r="BR85" s="55"/>
      <c r="BS85" s="55"/>
      <c r="BT85" s="55"/>
      <c r="BU85" s="55"/>
      <c r="BV85" s="55"/>
      <c r="BW85" s="55"/>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Y326"/>
  <sheetViews>
    <sheetView topLeftCell="B1" zoomScale="70" zoomScaleNormal="70" workbookViewId="0">
      <pane xSplit="8" ySplit="3" topLeftCell="J30" activePane="bottomRight" state="frozen"/>
      <selection activeCell="B1" sqref="B1"/>
      <selection pane="topRight" activeCell="J1" sqref="J1"/>
      <selection pane="bottomLeft" activeCell="B4" sqref="B4"/>
      <selection pane="bottomRight" activeCell="M51" sqref="M51"/>
    </sheetView>
  </sheetViews>
  <sheetFormatPr defaultColWidth="12.5546875" defaultRowHeight="6.75" customHeight="1"/>
  <cols>
    <col min="1" max="1" width="21.1640625" style="94" hidden="1" customWidth="1"/>
    <col min="2" max="4" width="1.71875" style="103" customWidth="1"/>
    <col min="5" max="5" width="3.44140625" style="103" customWidth="1"/>
    <col min="6" max="6" width="24.27734375" style="103" customWidth="1"/>
    <col min="7" max="7" width="1.44140625" style="111" customWidth="1"/>
    <col min="8" max="8" width="11.83203125" style="121" bestFit="1" customWidth="1"/>
    <col min="9" max="9" width="1.44140625" style="111" customWidth="1"/>
    <col min="10" max="11" width="10.83203125" style="111" customWidth="1"/>
    <col min="12" max="14" width="11.27734375" style="111" customWidth="1"/>
    <col min="15" max="16" width="12.5546875" style="103"/>
    <col min="17" max="22" width="12.44140625" style="103" customWidth="1"/>
    <col min="23" max="257" width="12.5546875" style="103"/>
    <col min="258" max="258" width="18.71875" style="103" customWidth="1"/>
    <col min="259" max="259" width="1.5546875" style="103" customWidth="1"/>
    <col min="260" max="260" width="5.71875" style="103" customWidth="1"/>
    <col min="261" max="263" width="5.83203125" style="103" customWidth="1"/>
    <col min="264" max="264" width="1.71875" style="103" customWidth="1"/>
    <col min="265" max="269" width="5.83203125" style="103" customWidth="1"/>
    <col min="270" max="270" width="1.71875" style="103" customWidth="1"/>
    <col min="271" max="273" width="5.83203125" style="103" customWidth="1"/>
    <col min="274" max="275" width="12.5546875" style="103"/>
    <col min="276" max="276" width="11.27734375" style="103" customWidth="1"/>
    <col min="277" max="513" width="12.5546875" style="103"/>
    <col min="514" max="514" width="18.71875" style="103" customWidth="1"/>
    <col min="515" max="515" width="1.5546875" style="103" customWidth="1"/>
    <col min="516" max="516" width="5.71875" style="103" customWidth="1"/>
    <col min="517" max="519" width="5.83203125" style="103" customWidth="1"/>
    <col min="520" max="520" width="1.71875" style="103" customWidth="1"/>
    <col min="521" max="525" width="5.83203125" style="103" customWidth="1"/>
    <col min="526" max="526" width="1.71875" style="103" customWidth="1"/>
    <col min="527" max="529" width="5.83203125" style="103" customWidth="1"/>
    <col min="530" max="531" width="12.5546875" style="103"/>
    <col min="532" max="532" width="11.27734375" style="103" customWidth="1"/>
    <col min="533" max="769" width="12.5546875" style="103"/>
    <col min="770" max="770" width="18.71875" style="103" customWidth="1"/>
    <col min="771" max="771" width="1.5546875" style="103" customWidth="1"/>
    <col min="772" max="772" width="5.71875" style="103" customWidth="1"/>
    <col min="773" max="775" width="5.83203125" style="103" customWidth="1"/>
    <col min="776" max="776" width="1.71875" style="103" customWidth="1"/>
    <col min="777" max="781" width="5.83203125" style="103" customWidth="1"/>
    <col min="782" max="782" width="1.71875" style="103" customWidth="1"/>
    <col min="783" max="785" width="5.83203125" style="103" customWidth="1"/>
    <col min="786" max="787" width="12.5546875" style="103"/>
    <col min="788" max="788" width="11.27734375" style="103" customWidth="1"/>
    <col min="789" max="1025" width="12.5546875" style="103"/>
    <col min="1026" max="1026" width="18.71875" style="103" customWidth="1"/>
    <col min="1027" max="1027" width="1.5546875" style="103" customWidth="1"/>
    <col min="1028" max="1028" width="5.71875" style="103" customWidth="1"/>
    <col min="1029" max="1031" width="5.83203125" style="103" customWidth="1"/>
    <col min="1032" max="1032" width="1.71875" style="103" customWidth="1"/>
    <col min="1033" max="1037" width="5.83203125" style="103" customWidth="1"/>
    <col min="1038" max="1038" width="1.71875" style="103" customWidth="1"/>
    <col min="1039" max="1041" width="5.83203125" style="103" customWidth="1"/>
    <col min="1042" max="1043" width="12.5546875" style="103"/>
    <col min="1044" max="1044" width="11.27734375" style="103" customWidth="1"/>
    <col min="1045" max="1281" width="12.5546875" style="103"/>
    <col min="1282" max="1282" width="18.71875" style="103" customWidth="1"/>
    <col min="1283" max="1283" width="1.5546875" style="103" customWidth="1"/>
    <col min="1284" max="1284" width="5.71875" style="103" customWidth="1"/>
    <col min="1285" max="1287" width="5.83203125" style="103" customWidth="1"/>
    <col min="1288" max="1288" width="1.71875" style="103" customWidth="1"/>
    <col min="1289" max="1293" width="5.83203125" style="103" customWidth="1"/>
    <col min="1294" max="1294" width="1.71875" style="103" customWidth="1"/>
    <col min="1295" max="1297" width="5.83203125" style="103" customWidth="1"/>
    <col min="1298" max="1299" width="12.5546875" style="103"/>
    <col min="1300" max="1300" width="11.27734375" style="103" customWidth="1"/>
    <col min="1301" max="1537" width="12.5546875" style="103"/>
    <col min="1538" max="1538" width="18.71875" style="103" customWidth="1"/>
    <col min="1539" max="1539" width="1.5546875" style="103" customWidth="1"/>
    <col min="1540" max="1540" width="5.71875" style="103" customWidth="1"/>
    <col min="1541" max="1543" width="5.83203125" style="103" customWidth="1"/>
    <col min="1544" max="1544" width="1.71875" style="103" customWidth="1"/>
    <col min="1545" max="1549" width="5.83203125" style="103" customWidth="1"/>
    <col min="1550" max="1550" width="1.71875" style="103" customWidth="1"/>
    <col min="1551" max="1553" width="5.83203125" style="103" customWidth="1"/>
    <col min="1554" max="1555" width="12.5546875" style="103"/>
    <col min="1556" max="1556" width="11.27734375" style="103" customWidth="1"/>
    <col min="1557" max="1793" width="12.5546875" style="103"/>
    <col min="1794" max="1794" width="18.71875" style="103" customWidth="1"/>
    <col min="1795" max="1795" width="1.5546875" style="103" customWidth="1"/>
    <col min="1796" max="1796" width="5.71875" style="103" customWidth="1"/>
    <col min="1797" max="1799" width="5.83203125" style="103" customWidth="1"/>
    <col min="1800" max="1800" width="1.71875" style="103" customWidth="1"/>
    <col min="1801" max="1805" width="5.83203125" style="103" customWidth="1"/>
    <col min="1806" max="1806" width="1.71875" style="103" customWidth="1"/>
    <col min="1807" max="1809" width="5.83203125" style="103" customWidth="1"/>
    <col min="1810" max="1811" width="12.5546875" style="103"/>
    <col min="1812" max="1812" width="11.27734375" style="103" customWidth="1"/>
    <col min="1813" max="2049" width="12.5546875" style="103"/>
    <col min="2050" max="2050" width="18.71875" style="103" customWidth="1"/>
    <col min="2051" max="2051" width="1.5546875" style="103" customWidth="1"/>
    <col min="2052" max="2052" width="5.71875" style="103" customWidth="1"/>
    <col min="2053" max="2055" width="5.83203125" style="103" customWidth="1"/>
    <col min="2056" max="2056" width="1.71875" style="103" customWidth="1"/>
    <col min="2057" max="2061" width="5.83203125" style="103" customWidth="1"/>
    <col min="2062" max="2062" width="1.71875" style="103" customWidth="1"/>
    <col min="2063" max="2065" width="5.83203125" style="103" customWidth="1"/>
    <col min="2066" max="2067" width="12.5546875" style="103"/>
    <col min="2068" max="2068" width="11.27734375" style="103" customWidth="1"/>
    <col min="2069" max="2305" width="12.5546875" style="103"/>
    <col min="2306" max="2306" width="18.71875" style="103" customWidth="1"/>
    <col min="2307" max="2307" width="1.5546875" style="103" customWidth="1"/>
    <col min="2308" max="2308" width="5.71875" style="103" customWidth="1"/>
    <col min="2309" max="2311" width="5.83203125" style="103" customWidth="1"/>
    <col min="2312" max="2312" width="1.71875" style="103" customWidth="1"/>
    <col min="2313" max="2317" width="5.83203125" style="103" customWidth="1"/>
    <col min="2318" max="2318" width="1.71875" style="103" customWidth="1"/>
    <col min="2319" max="2321" width="5.83203125" style="103" customWidth="1"/>
    <col min="2322" max="2323" width="12.5546875" style="103"/>
    <col min="2324" max="2324" width="11.27734375" style="103" customWidth="1"/>
    <col min="2325" max="2561" width="12.5546875" style="103"/>
    <col min="2562" max="2562" width="18.71875" style="103" customWidth="1"/>
    <col min="2563" max="2563" width="1.5546875" style="103" customWidth="1"/>
    <col min="2564" max="2564" width="5.71875" style="103" customWidth="1"/>
    <col min="2565" max="2567" width="5.83203125" style="103" customWidth="1"/>
    <col min="2568" max="2568" width="1.71875" style="103" customWidth="1"/>
    <col min="2569" max="2573" width="5.83203125" style="103" customWidth="1"/>
    <col min="2574" max="2574" width="1.71875" style="103" customWidth="1"/>
    <col min="2575" max="2577" width="5.83203125" style="103" customWidth="1"/>
    <col min="2578" max="2579" width="12.5546875" style="103"/>
    <col min="2580" max="2580" width="11.27734375" style="103" customWidth="1"/>
    <col min="2581" max="2817" width="12.5546875" style="103"/>
    <col min="2818" max="2818" width="18.71875" style="103" customWidth="1"/>
    <col min="2819" max="2819" width="1.5546875" style="103" customWidth="1"/>
    <col min="2820" max="2820" width="5.71875" style="103" customWidth="1"/>
    <col min="2821" max="2823" width="5.83203125" style="103" customWidth="1"/>
    <col min="2824" max="2824" width="1.71875" style="103" customWidth="1"/>
    <col min="2825" max="2829" width="5.83203125" style="103" customWidth="1"/>
    <col min="2830" max="2830" width="1.71875" style="103" customWidth="1"/>
    <col min="2831" max="2833" width="5.83203125" style="103" customWidth="1"/>
    <col min="2834" max="2835" width="12.5546875" style="103"/>
    <col min="2836" max="2836" width="11.27734375" style="103" customWidth="1"/>
    <col min="2837" max="3073" width="12.5546875" style="103"/>
    <col min="3074" max="3074" width="18.71875" style="103" customWidth="1"/>
    <col min="3075" max="3075" width="1.5546875" style="103" customWidth="1"/>
    <col min="3076" max="3076" width="5.71875" style="103" customWidth="1"/>
    <col min="3077" max="3079" width="5.83203125" style="103" customWidth="1"/>
    <col min="3080" max="3080" width="1.71875" style="103" customWidth="1"/>
    <col min="3081" max="3085" width="5.83203125" style="103" customWidth="1"/>
    <col min="3086" max="3086" width="1.71875" style="103" customWidth="1"/>
    <col min="3087" max="3089" width="5.83203125" style="103" customWidth="1"/>
    <col min="3090" max="3091" width="12.5546875" style="103"/>
    <col min="3092" max="3092" width="11.27734375" style="103" customWidth="1"/>
    <col min="3093" max="3329" width="12.5546875" style="103"/>
    <col min="3330" max="3330" width="18.71875" style="103" customWidth="1"/>
    <col min="3331" max="3331" width="1.5546875" style="103" customWidth="1"/>
    <col min="3332" max="3332" width="5.71875" style="103" customWidth="1"/>
    <col min="3333" max="3335" width="5.83203125" style="103" customWidth="1"/>
    <col min="3336" max="3336" width="1.71875" style="103" customWidth="1"/>
    <col min="3337" max="3341" width="5.83203125" style="103" customWidth="1"/>
    <col min="3342" max="3342" width="1.71875" style="103" customWidth="1"/>
    <col min="3343" max="3345" width="5.83203125" style="103" customWidth="1"/>
    <col min="3346" max="3347" width="12.5546875" style="103"/>
    <col min="3348" max="3348" width="11.27734375" style="103" customWidth="1"/>
    <col min="3349" max="3585" width="12.5546875" style="103"/>
    <col min="3586" max="3586" width="18.71875" style="103" customWidth="1"/>
    <col min="3587" max="3587" width="1.5546875" style="103" customWidth="1"/>
    <col min="3588" max="3588" width="5.71875" style="103" customWidth="1"/>
    <col min="3589" max="3591" width="5.83203125" style="103" customWidth="1"/>
    <col min="3592" max="3592" width="1.71875" style="103" customWidth="1"/>
    <col min="3593" max="3597" width="5.83203125" style="103" customWidth="1"/>
    <col min="3598" max="3598" width="1.71875" style="103" customWidth="1"/>
    <col min="3599" max="3601" width="5.83203125" style="103" customWidth="1"/>
    <col min="3602" max="3603" width="12.5546875" style="103"/>
    <col min="3604" max="3604" width="11.27734375" style="103" customWidth="1"/>
    <col min="3605" max="3841" width="12.5546875" style="103"/>
    <col min="3842" max="3842" width="18.71875" style="103" customWidth="1"/>
    <col min="3843" max="3843" width="1.5546875" style="103" customWidth="1"/>
    <col min="3844" max="3844" width="5.71875" style="103" customWidth="1"/>
    <col min="3845" max="3847" width="5.83203125" style="103" customWidth="1"/>
    <col min="3848" max="3848" width="1.71875" style="103" customWidth="1"/>
    <col min="3849" max="3853" width="5.83203125" style="103" customWidth="1"/>
    <col min="3854" max="3854" width="1.71875" style="103" customWidth="1"/>
    <col min="3855" max="3857" width="5.83203125" style="103" customWidth="1"/>
    <col min="3858" max="3859" width="12.5546875" style="103"/>
    <col min="3860" max="3860" width="11.27734375" style="103" customWidth="1"/>
    <col min="3861" max="4097" width="12.5546875" style="103"/>
    <col min="4098" max="4098" width="18.71875" style="103" customWidth="1"/>
    <col min="4099" max="4099" width="1.5546875" style="103" customWidth="1"/>
    <col min="4100" max="4100" width="5.71875" style="103" customWidth="1"/>
    <col min="4101" max="4103" width="5.83203125" style="103" customWidth="1"/>
    <col min="4104" max="4104" width="1.71875" style="103" customWidth="1"/>
    <col min="4105" max="4109" width="5.83203125" style="103" customWidth="1"/>
    <col min="4110" max="4110" width="1.71875" style="103" customWidth="1"/>
    <col min="4111" max="4113" width="5.83203125" style="103" customWidth="1"/>
    <col min="4114" max="4115" width="12.5546875" style="103"/>
    <col min="4116" max="4116" width="11.27734375" style="103" customWidth="1"/>
    <col min="4117" max="4353" width="12.5546875" style="103"/>
    <col min="4354" max="4354" width="18.71875" style="103" customWidth="1"/>
    <col min="4355" max="4355" width="1.5546875" style="103" customWidth="1"/>
    <col min="4356" max="4356" width="5.71875" style="103" customWidth="1"/>
    <col min="4357" max="4359" width="5.83203125" style="103" customWidth="1"/>
    <col min="4360" max="4360" width="1.71875" style="103" customWidth="1"/>
    <col min="4361" max="4365" width="5.83203125" style="103" customWidth="1"/>
    <col min="4366" max="4366" width="1.71875" style="103" customWidth="1"/>
    <col min="4367" max="4369" width="5.83203125" style="103" customWidth="1"/>
    <col min="4370" max="4371" width="12.5546875" style="103"/>
    <col min="4372" max="4372" width="11.27734375" style="103" customWidth="1"/>
    <col min="4373" max="4609" width="12.5546875" style="103"/>
    <col min="4610" max="4610" width="18.71875" style="103" customWidth="1"/>
    <col min="4611" max="4611" width="1.5546875" style="103" customWidth="1"/>
    <col min="4612" max="4612" width="5.71875" style="103" customWidth="1"/>
    <col min="4613" max="4615" width="5.83203125" style="103" customWidth="1"/>
    <col min="4616" max="4616" width="1.71875" style="103" customWidth="1"/>
    <col min="4617" max="4621" width="5.83203125" style="103" customWidth="1"/>
    <col min="4622" max="4622" width="1.71875" style="103" customWidth="1"/>
    <col min="4623" max="4625" width="5.83203125" style="103" customWidth="1"/>
    <col min="4626" max="4627" width="12.5546875" style="103"/>
    <col min="4628" max="4628" width="11.27734375" style="103" customWidth="1"/>
    <col min="4629" max="4865" width="12.5546875" style="103"/>
    <col min="4866" max="4866" width="18.71875" style="103" customWidth="1"/>
    <col min="4867" max="4867" width="1.5546875" style="103" customWidth="1"/>
    <col min="4868" max="4868" width="5.71875" style="103" customWidth="1"/>
    <col min="4869" max="4871" width="5.83203125" style="103" customWidth="1"/>
    <col min="4872" max="4872" width="1.71875" style="103" customWidth="1"/>
    <col min="4873" max="4877" width="5.83203125" style="103" customWidth="1"/>
    <col min="4878" max="4878" width="1.71875" style="103" customWidth="1"/>
    <col min="4879" max="4881" width="5.83203125" style="103" customWidth="1"/>
    <col min="4882" max="4883" width="12.5546875" style="103"/>
    <col min="4884" max="4884" width="11.27734375" style="103" customWidth="1"/>
    <col min="4885" max="5121" width="12.5546875" style="103"/>
    <col min="5122" max="5122" width="18.71875" style="103" customWidth="1"/>
    <col min="5123" max="5123" width="1.5546875" style="103" customWidth="1"/>
    <col min="5124" max="5124" width="5.71875" style="103" customWidth="1"/>
    <col min="5125" max="5127" width="5.83203125" style="103" customWidth="1"/>
    <col min="5128" max="5128" width="1.71875" style="103" customWidth="1"/>
    <col min="5129" max="5133" width="5.83203125" style="103" customWidth="1"/>
    <col min="5134" max="5134" width="1.71875" style="103" customWidth="1"/>
    <col min="5135" max="5137" width="5.83203125" style="103" customWidth="1"/>
    <col min="5138" max="5139" width="12.5546875" style="103"/>
    <col min="5140" max="5140" width="11.27734375" style="103" customWidth="1"/>
    <col min="5141" max="5377" width="12.5546875" style="103"/>
    <col min="5378" max="5378" width="18.71875" style="103" customWidth="1"/>
    <col min="5379" max="5379" width="1.5546875" style="103" customWidth="1"/>
    <col min="5380" max="5380" width="5.71875" style="103" customWidth="1"/>
    <col min="5381" max="5383" width="5.83203125" style="103" customWidth="1"/>
    <col min="5384" max="5384" width="1.71875" style="103" customWidth="1"/>
    <col min="5385" max="5389" width="5.83203125" style="103" customWidth="1"/>
    <col min="5390" max="5390" width="1.71875" style="103" customWidth="1"/>
    <col min="5391" max="5393" width="5.83203125" style="103" customWidth="1"/>
    <col min="5394" max="5395" width="12.5546875" style="103"/>
    <col min="5396" max="5396" width="11.27734375" style="103" customWidth="1"/>
    <col min="5397" max="5633" width="12.5546875" style="103"/>
    <col min="5634" max="5634" width="18.71875" style="103" customWidth="1"/>
    <col min="5635" max="5635" width="1.5546875" style="103" customWidth="1"/>
    <col min="5636" max="5636" width="5.71875" style="103" customWidth="1"/>
    <col min="5637" max="5639" width="5.83203125" style="103" customWidth="1"/>
    <col min="5640" max="5640" width="1.71875" style="103" customWidth="1"/>
    <col min="5641" max="5645" width="5.83203125" style="103" customWidth="1"/>
    <col min="5646" max="5646" width="1.71875" style="103" customWidth="1"/>
    <col min="5647" max="5649" width="5.83203125" style="103" customWidth="1"/>
    <col min="5650" max="5651" width="12.5546875" style="103"/>
    <col min="5652" max="5652" width="11.27734375" style="103" customWidth="1"/>
    <col min="5653" max="5889" width="12.5546875" style="103"/>
    <col min="5890" max="5890" width="18.71875" style="103" customWidth="1"/>
    <col min="5891" max="5891" width="1.5546875" style="103" customWidth="1"/>
    <col min="5892" max="5892" width="5.71875" style="103" customWidth="1"/>
    <col min="5893" max="5895" width="5.83203125" style="103" customWidth="1"/>
    <col min="5896" max="5896" width="1.71875" style="103" customWidth="1"/>
    <col min="5897" max="5901" width="5.83203125" style="103" customWidth="1"/>
    <col min="5902" max="5902" width="1.71875" style="103" customWidth="1"/>
    <col min="5903" max="5905" width="5.83203125" style="103" customWidth="1"/>
    <col min="5906" max="5907" width="12.5546875" style="103"/>
    <col min="5908" max="5908" width="11.27734375" style="103" customWidth="1"/>
    <col min="5909" max="6145" width="12.5546875" style="103"/>
    <col min="6146" max="6146" width="18.71875" style="103" customWidth="1"/>
    <col min="6147" max="6147" width="1.5546875" style="103" customWidth="1"/>
    <col min="6148" max="6148" width="5.71875" style="103" customWidth="1"/>
    <col min="6149" max="6151" width="5.83203125" style="103" customWidth="1"/>
    <col min="6152" max="6152" width="1.71875" style="103" customWidth="1"/>
    <col min="6153" max="6157" width="5.83203125" style="103" customWidth="1"/>
    <col min="6158" max="6158" width="1.71875" style="103" customWidth="1"/>
    <col min="6159" max="6161" width="5.83203125" style="103" customWidth="1"/>
    <col min="6162" max="6163" width="12.5546875" style="103"/>
    <col min="6164" max="6164" width="11.27734375" style="103" customWidth="1"/>
    <col min="6165" max="6401" width="12.5546875" style="103"/>
    <col min="6402" max="6402" width="18.71875" style="103" customWidth="1"/>
    <col min="6403" max="6403" width="1.5546875" style="103" customWidth="1"/>
    <col min="6404" max="6404" width="5.71875" style="103" customWidth="1"/>
    <col min="6405" max="6407" width="5.83203125" style="103" customWidth="1"/>
    <col min="6408" max="6408" width="1.71875" style="103" customWidth="1"/>
    <col min="6409" max="6413" width="5.83203125" style="103" customWidth="1"/>
    <col min="6414" max="6414" width="1.71875" style="103" customWidth="1"/>
    <col min="6415" max="6417" width="5.83203125" style="103" customWidth="1"/>
    <col min="6418" max="6419" width="12.5546875" style="103"/>
    <col min="6420" max="6420" width="11.27734375" style="103" customWidth="1"/>
    <col min="6421" max="6657" width="12.5546875" style="103"/>
    <col min="6658" max="6658" width="18.71875" style="103" customWidth="1"/>
    <col min="6659" max="6659" width="1.5546875" style="103" customWidth="1"/>
    <col min="6660" max="6660" width="5.71875" style="103" customWidth="1"/>
    <col min="6661" max="6663" width="5.83203125" style="103" customWidth="1"/>
    <col min="6664" max="6664" width="1.71875" style="103" customWidth="1"/>
    <col min="6665" max="6669" width="5.83203125" style="103" customWidth="1"/>
    <col min="6670" max="6670" width="1.71875" style="103" customWidth="1"/>
    <col min="6671" max="6673" width="5.83203125" style="103" customWidth="1"/>
    <col min="6674" max="6675" width="12.5546875" style="103"/>
    <col min="6676" max="6676" width="11.27734375" style="103" customWidth="1"/>
    <col min="6677" max="6913" width="12.5546875" style="103"/>
    <col min="6914" max="6914" width="18.71875" style="103" customWidth="1"/>
    <col min="6915" max="6915" width="1.5546875" style="103" customWidth="1"/>
    <col min="6916" max="6916" width="5.71875" style="103" customWidth="1"/>
    <col min="6917" max="6919" width="5.83203125" style="103" customWidth="1"/>
    <col min="6920" max="6920" width="1.71875" style="103" customWidth="1"/>
    <col min="6921" max="6925" width="5.83203125" style="103" customWidth="1"/>
    <col min="6926" max="6926" width="1.71875" style="103" customWidth="1"/>
    <col min="6927" max="6929" width="5.83203125" style="103" customWidth="1"/>
    <col min="6930" max="6931" width="12.5546875" style="103"/>
    <col min="6932" max="6932" width="11.27734375" style="103" customWidth="1"/>
    <col min="6933" max="7169" width="12.5546875" style="103"/>
    <col min="7170" max="7170" width="18.71875" style="103" customWidth="1"/>
    <col min="7171" max="7171" width="1.5546875" style="103" customWidth="1"/>
    <col min="7172" max="7172" width="5.71875" style="103" customWidth="1"/>
    <col min="7173" max="7175" width="5.83203125" style="103" customWidth="1"/>
    <col min="7176" max="7176" width="1.71875" style="103" customWidth="1"/>
    <col min="7177" max="7181" width="5.83203125" style="103" customWidth="1"/>
    <col min="7182" max="7182" width="1.71875" style="103" customWidth="1"/>
    <col min="7183" max="7185" width="5.83203125" style="103" customWidth="1"/>
    <col min="7186" max="7187" width="12.5546875" style="103"/>
    <col min="7188" max="7188" width="11.27734375" style="103" customWidth="1"/>
    <col min="7189" max="7425" width="12.5546875" style="103"/>
    <col min="7426" max="7426" width="18.71875" style="103" customWidth="1"/>
    <col min="7427" max="7427" width="1.5546875" style="103" customWidth="1"/>
    <col min="7428" max="7428" width="5.71875" style="103" customWidth="1"/>
    <col min="7429" max="7431" width="5.83203125" style="103" customWidth="1"/>
    <col min="7432" max="7432" width="1.71875" style="103" customWidth="1"/>
    <col min="7433" max="7437" width="5.83203125" style="103" customWidth="1"/>
    <col min="7438" max="7438" width="1.71875" style="103" customWidth="1"/>
    <col min="7439" max="7441" width="5.83203125" style="103" customWidth="1"/>
    <col min="7442" max="7443" width="12.5546875" style="103"/>
    <col min="7444" max="7444" width="11.27734375" style="103" customWidth="1"/>
    <col min="7445" max="7681" width="12.5546875" style="103"/>
    <col min="7682" max="7682" width="18.71875" style="103" customWidth="1"/>
    <col min="7683" max="7683" width="1.5546875" style="103" customWidth="1"/>
    <col min="7684" max="7684" width="5.71875" style="103" customWidth="1"/>
    <col min="7685" max="7687" width="5.83203125" style="103" customWidth="1"/>
    <col min="7688" max="7688" width="1.71875" style="103" customWidth="1"/>
    <col min="7689" max="7693" width="5.83203125" style="103" customWidth="1"/>
    <col min="7694" max="7694" width="1.71875" style="103" customWidth="1"/>
    <col min="7695" max="7697" width="5.83203125" style="103" customWidth="1"/>
    <col min="7698" max="7699" width="12.5546875" style="103"/>
    <col min="7700" max="7700" width="11.27734375" style="103" customWidth="1"/>
    <col min="7701" max="7937" width="12.5546875" style="103"/>
    <col min="7938" max="7938" width="18.71875" style="103" customWidth="1"/>
    <col min="7939" max="7939" width="1.5546875" style="103" customWidth="1"/>
    <col min="7940" max="7940" width="5.71875" style="103" customWidth="1"/>
    <col min="7941" max="7943" width="5.83203125" style="103" customWidth="1"/>
    <col min="7944" max="7944" width="1.71875" style="103" customWidth="1"/>
    <col min="7945" max="7949" width="5.83203125" style="103" customWidth="1"/>
    <col min="7950" max="7950" width="1.71875" style="103" customWidth="1"/>
    <col min="7951" max="7953" width="5.83203125" style="103" customWidth="1"/>
    <col min="7954" max="7955" width="12.5546875" style="103"/>
    <col min="7956" max="7956" width="11.27734375" style="103" customWidth="1"/>
    <col min="7957" max="8193" width="12.5546875" style="103"/>
    <col min="8194" max="8194" width="18.71875" style="103" customWidth="1"/>
    <col min="8195" max="8195" width="1.5546875" style="103" customWidth="1"/>
    <col min="8196" max="8196" width="5.71875" style="103" customWidth="1"/>
    <col min="8197" max="8199" width="5.83203125" style="103" customWidth="1"/>
    <col min="8200" max="8200" width="1.71875" style="103" customWidth="1"/>
    <col min="8201" max="8205" width="5.83203125" style="103" customWidth="1"/>
    <col min="8206" max="8206" width="1.71875" style="103" customWidth="1"/>
    <col min="8207" max="8209" width="5.83203125" style="103" customWidth="1"/>
    <col min="8210" max="8211" width="12.5546875" style="103"/>
    <col min="8212" max="8212" width="11.27734375" style="103" customWidth="1"/>
    <col min="8213" max="8449" width="12.5546875" style="103"/>
    <col min="8450" max="8450" width="18.71875" style="103" customWidth="1"/>
    <col min="8451" max="8451" width="1.5546875" style="103" customWidth="1"/>
    <col min="8452" max="8452" width="5.71875" style="103" customWidth="1"/>
    <col min="8453" max="8455" width="5.83203125" style="103" customWidth="1"/>
    <col min="8456" max="8456" width="1.71875" style="103" customWidth="1"/>
    <col min="8457" max="8461" width="5.83203125" style="103" customWidth="1"/>
    <col min="8462" max="8462" width="1.71875" style="103" customWidth="1"/>
    <col min="8463" max="8465" width="5.83203125" style="103" customWidth="1"/>
    <col min="8466" max="8467" width="12.5546875" style="103"/>
    <col min="8468" max="8468" width="11.27734375" style="103" customWidth="1"/>
    <col min="8469" max="8705" width="12.5546875" style="103"/>
    <col min="8706" max="8706" width="18.71875" style="103" customWidth="1"/>
    <col min="8707" max="8707" width="1.5546875" style="103" customWidth="1"/>
    <col min="8708" max="8708" width="5.71875" style="103" customWidth="1"/>
    <col min="8709" max="8711" width="5.83203125" style="103" customWidth="1"/>
    <col min="8712" max="8712" width="1.71875" style="103" customWidth="1"/>
    <col min="8713" max="8717" width="5.83203125" style="103" customWidth="1"/>
    <col min="8718" max="8718" width="1.71875" style="103" customWidth="1"/>
    <col min="8719" max="8721" width="5.83203125" style="103" customWidth="1"/>
    <col min="8722" max="8723" width="12.5546875" style="103"/>
    <col min="8724" max="8724" width="11.27734375" style="103" customWidth="1"/>
    <col min="8725" max="8961" width="12.5546875" style="103"/>
    <col min="8962" max="8962" width="18.71875" style="103" customWidth="1"/>
    <col min="8963" max="8963" width="1.5546875" style="103" customWidth="1"/>
    <col min="8964" max="8964" width="5.71875" style="103" customWidth="1"/>
    <col min="8965" max="8967" width="5.83203125" style="103" customWidth="1"/>
    <col min="8968" max="8968" width="1.71875" style="103" customWidth="1"/>
    <col min="8969" max="8973" width="5.83203125" style="103" customWidth="1"/>
    <col min="8974" max="8974" width="1.71875" style="103" customWidth="1"/>
    <col min="8975" max="8977" width="5.83203125" style="103" customWidth="1"/>
    <col min="8978" max="8979" width="12.5546875" style="103"/>
    <col min="8980" max="8980" width="11.27734375" style="103" customWidth="1"/>
    <col min="8981" max="9217" width="12.5546875" style="103"/>
    <col min="9218" max="9218" width="18.71875" style="103" customWidth="1"/>
    <col min="9219" max="9219" width="1.5546875" style="103" customWidth="1"/>
    <col min="9220" max="9220" width="5.71875" style="103" customWidth="1"/>
    <col min="9221" max="9223" width="5.83203125" style="103" customWidth="1"/>
    <col min="9224" max="9224" width="1.71875" style="103" customWidth="1"/>
    <col min="9225" max="9229" width="5.83203125" style="103" customWidth="1"/>
    <col min="9230" max="9230" width="1.71875" style="103" customWidth="1"/>
    <col min="9231" max="9233" width="5.83203125" style="103" customWidth="1"/>
    <col min="9234" max="9235" width="12.5546875" style="103"/>
    <col min="9236" max="9236" width="11.27734375" style="103" customWidth="1"/>
    <col min="9237" max="9473" width="12.5546875" style="103"/>
    <col min="9474" max="9474" width="18.71875" style="103" customWidth="1"/>
    <col min="9475" max="9475" width="1.5546875" style="103" customWidth="1"/>
    <col min="9476" max="9476" width="5.71875" style="103" customWidth="1"/>
    <col min="9477" max="9479" width="5.83203125" style="103" customWidth="1"/>
    <col min="9480" max="9480" width="1.71875" style="103" customWidth="1"/>
    <col min="9481" max="9485" width="5.83203125" style="103" customWidth="1"/>
    <col min="9486" max="9486" width="1.71875" style="103" customWidth="1"/>
    <col min="9487" max="9489" width="5.83203125" style="103" customWidth="1"/>
    <col min="9490" max="9491" width="12.5546875" style="103"/>
    <col min="9492" max="9492" width="11.27734375" style="103" customWidth="1"/>
    <col min="9493" max="9729" width="12.5546875" style="103"/>
    <col min="9730" max="9730" width="18.71875" style="103" customWidth="1"/>
    <col min="9731" max="9731" width="1.5546875" style="103" customWidth="1"/>
    <col min="9732" max="9732" width="5.71875" style="103" customWidth="1"/>
    <col min="9733" max="9735" width="5.83203125" style="103" customWidth="1"/>
    <col min="9736" max="9736" width="1.71875" style="103" customWidth="1"/>
    <col min="9737" max="9741" width="5.83203125" style="103" customWidth="1"/>
    <col min="9742" max="9742" width="1.71875" style="103" customWidth="1"/>
    <col min="9743" max="9745" width="5.83203125" style="103" customWidth="1"/>
    <col min="9746" max="9747" width="12.5546875" style="103"/>
    <col min="9748" max="9748" width="11.27734375" style="103" customWidth="1"/>
    <col min="9749" max="9985" width="12.5546875" style="103"/>
    <col min="9986" max="9986" width="18.71875" style="103" customWidth="1"/>
    <col min="9987" max="9987" width="1.5546875" style="103" customWidth="1"/>
    <col min="9988" max="9988" width="5.71875" style="103" customWidth="1"/>
    <col min="9989" max="9991" width="5.83203125" style="103" customWidth="1"/>
    <col min="9992" max="9992" width="1.71875" style="103" customWidth="1"/>
    <col min="9993" max="9997" width="5.83203125" style="103" customWidth="1"/>
    <col min="9998" max="9998" width="1.71875" style="103" customWidth="1"/>
    <col min="9999" max="10001" width="5.83203125" style="103" customWidth="1"/>
    <col min="10002" max="10003" width="12.5546875" style="103"/>
    <col min="10004" max="10004" width="11.27734375" style="103" customWidth="1"/>
    <col min="10005" max="10241" width="12.5546875" style="103"/>
    <col min="10242" max="10242" width="18.71875" style="103" customWidth="1"/>
    <col min="10243" max="10243" width="1.5546875" style="103" customWidth="1"/>
    <col min="10244" max="10244" width="5.71875" style="103" customWidth="1"/>
    <col min="10245" max="10247" width="5.83203125" style="103" customWidth="1"/>
    <col min="10248" max="10248" width="1.71875" style="103" customWidth="1"/>
    <col min="10249" max="10253" width="5.83203125" style="103" customWidth="1"/>
    <col min="10254" max="10254" width="1.71875" style="103" customWidth="1"/>
    <col min="10255" max="10257" width="5.83203125" style="103" customWidth="1"/>
    <col min="10258" max="10259" width="12.5546875" style="103"/>
    <col min="10260" max="10260" width="11.27734375" style="103" customWidth="1"/>
    <col min="10261" max="10497" width="12.5546875" style="103"/>
    <col min="10498" max="10498" width="18.71875" style="103" customWidth="1"/>
    <col min="10499" max="10499" width="1.5546875" style="103" customWidth="1"/>
    <col min="10500" max="10500" width="5.71875" style="103" customWidth="1"/>
    <col min="10501" max="10503" width="5.83203125" style="103" customWidth="1"/>
    <col min="10504" max="10504" width="1.71875" style="103" customWidth="1"/>
    <col min="10505" max="10509" width="5.83203125" style="103" customWidth="1"/>
    <col min="10510" max="10510" width="1.71875" style="103" customWidth="1"/>
    <col min="10511" max="10513" width="5.83203125" style="103" customWidth="1"/>
    <col min="10514" max="10515" width="12.5546875" style="103"/>
    <col min="10516" max="10516" width="11.27734375" style="103" customWidth="1"/>
    <col min="10517" max="10753" width="12.5546875" style="103"/>
    <col min="10754" max="10754" width="18.71875" style="103" customWidth="1"/>
    <col min="10755" max="10755" width="1.5546875" style="103" customWidth="1"/>
    <col min="10756" max="10756" width="5.71875" style="103" customWidth="1"/>
    <col min="10757" max="10759" width="5.83203125" style="103" customWidth="1"/>
    <col min="10760" max="10760" width="1.71875" style="103" customWidth="1"/>
    <col min="10761" max="10765" width="5.83203125" style="103" customWidth="1"/>
    <col min="10766" max="10766" width="1.71875" style="103" customWidth="1"/>
    <col min="10767" max="10769" width="5.83203125" style="103" customWidth="1"/>
    <col min="10770" max="10771" width="12.5546875" style="103"/>
    <col min="10772" max="10772" width="11.27734375" style="103" customWidth="1"/>
    <col min="10773" max="11009" width="12.5546875" style="103"/>
    <col min="11010" max="11010" width="18.71875" style="103" customWidth="1"/>
    <col min="11011" max="11011" width="1.5546875" style="103" customWidth="1"/>
    <col min="11012" max="11012" width="5.71875" style="103" customWidth="1"/>
    <col min="11013" max="11015" width="5.83203125" style="103" customWidth="1"/>
    <col min="11016" max="11016" width="1.71875" style="103" customWidth="1"/>
    <col min="11017" max="11021" width="5.83203125" style="103" customWidth="1"/>
    <col min="11022" max="11022" width="1.71875" style="103" customWidth="1"/>
    <col min="11023" max="11025" width="5.83203125" style="103" customWidth="1"/>
    <col min="11026" max="11027" width="12.5546875" style="103"/>
    <col min="11028" max="11028" width="11.27734375" style="103" customWidth="1"/>
    <col min="11029" max="11265" width="12.5546875" style="103"/>
    <col min="11266" max="11266" width="18.71875" style="103" customWidth="1"/>
    <col min="11267" max="11267" width="1.5546875" style="103" customWidth="1"/>
    <col min="11268" max="11268" width="5.71875" style="103" customWidth="1"/>
    <col min="11269" max="11271" width="5.83203125" style="103" customWidth="1"/>
    <col min="11272" max="11272" width="1.71875" style="103" customWidth="1"/>
    <col min="11273" max="11277" width="5.83203125" style="103" customWidth="1"/>
    <col min="11278" max="11278" width="1.71875" style="103" customWidth="1"/>
    <col min="11279" max="11281" width="5.83203125" style="103" customWidth="1"/>
    <col min="11282" max="11283" width="12.5546875" style="103"/>
    <col min="11284" max="11284" width="11.27734375" style="103" customWidth="1"/>
    <col min="11285" max="11521" width="12.5546875" style="103"/>
    <col min="11522" max="11522" width="18.71875" style="103" customWidth="1"/>
    <col min="11523" max="11523" width="1.5546875" style="103" customWidth="1"/>
    <col min="11524" max="11524" width="5.71875" style="103" customWidth="1"/>
    <col min="11525" max="11527" width="5.83203125" style="103" customWidth="1"/>
    <col min="11528" max="11528" width="1.71875" style="103" customWidth="1"/>
    <col min="11529" max="11533" width="5.83203125" style="103" customWidth="1"/>
    <col min="11534" max="11534" width="1.71875" style="103" customWidth="1"/>
    <col min="11535" max="11537" width="5.83203125" style="103" customWidth="1"/>
    <col min="11538" max="11539" width="12.5546875" style="103"/>
    <col min="11540" max="11540" width="11.27734375" style="103" customWidth="1"/>
    <col min="11541" max="11777" width="12.5546875" style="103"/>
    <col min="11778" max="11778" width="18.71875" style="103" customWidth="1"/>
    <col min="11779" max="11779" width="1.5546875" style="103" customWidth="1"/>
    <col min="11780" max="11780" width="5.71875" style="103" customWidth="1"/>
    <col min="11781" max="11783" width="5.83203125" style="103" customWidth="1"/>
    <col min="11784" max="11784" width="1.71875" style="103" customWidth="1"/>
    <col min="11785" max="11789" width="5.83203125" style="103" customWidth="1"/>
    <col min="11790" max="11790" width="1.71875" style="103" customWidth="1"/>
    <col min="11791" max="11793" width="5.83203125" style="103" customWidth="1"/>
    <col min="11794" max="11795" width="12.5546875" style="103"/>
    <col min="11796" max="11796" width="11.27734375" style="103" customWidth="1"/>
    <col min="11797" max="12033" width="12.5546875" style="103"/>
    <col min="12034" max="12034" width="18.71875" style="103" customWidth="1"/>
    <col min="12035" max="12035" width="1.5546875" style="103" customWidth="1"/>
    <col min="12036" max="12036" width="5.71875" style="103" customWidth="1"/>
    <col min="12037" max="12039" width="5.83203125" style="103" customWidth="1"/>
    <col min="12040" max="12040" width="1.71875" style="103" customWidth="1"/>
    <col min="12041" max="12045" width="5.83203125" style="103" customWidth="1"/>
    <col min="12046" max="12046" width="1.71875" style="103" customWidth="1"/>
    <col min="12047" max="12049" width="5.83203125" style="103" customWidth="1"/>
    <col min="12050" max="12051" width="12.5546875" style="103"/>
    <col min="12052" max="12052" width="11.27734375" style="103" customWidth="1"/>
    <col min="12053" max="12289" width="12.5546875" style="103"/>
    <col min="12290" max="12290" width="18.71875" style="103" customWidth="1"/>
    <col min="12291" max="12291" width="1.5546875" style="103" customWidth="1"/>
    <col min="12292" max="12292" width="5.71875" style="103" customWidth="1"/>
    <col min="12293" max="12295" width="5.83203125" style="103" customWidth="1"/>
    <col min="12296" max="12296" width="1.71875" style="103" customWidth="1"/>
    <col min="12297" max="12301" width="5.83203125" style="103" customWidth="1"/>
    <col min="12302" max="12302" width="1.71875" style="103" customWidth="1"/>
    <col min="12303" max="12305" width="5.83203125" style="103" customWidth="1"/>
    <col min="12306" max="12307" width="12.5546875" style="103"/>
    <col min="12308" max="12308" width="11.27734375" style="103" customWidth="1"/>
    <col min="12309" max="12545" width="12.5546875" style="103"/>
    <col min="12546" max="12546" width="18.71875" style="103" customWidth="1"/>
    <col min="12547" max="12547" width="1.5546875" style="103" customWidth="1"/>
    <col min="12548" max="12548" width="5.71875" style="103" customWidth="1"/>
    <col min="12549" max="12551" width="5.83203125" style="103" customWidth="1"/>
    <col min="12552" max="12552" width="1.71875" style="103" customWidth="1"/>
    <col min="12553" max="12557" width="5.83203125" style="103" customWidth="1"/>
    <col min="12558" max="12558" width="1.71875" style="103" customWidth="1"/>
    <col min="12559" max="12561" width="5.83203125" style="103" customWidth="1"/>
    <col min="12562" max="12563" width="12.5546875" style="103"/>
    <col min="12564" max="12564" width="11.27734375" style="103" customWidth="1"/>
    <col min="12565" max="12801" width="12.5546875" style="103"/>
    <col min="12802" max="12802" width="18.71875" style="103" customWidth="1"/>
    <col min="12803" max="12803" width="1.5546875" style="103" customWidth="1"/>
    <col min="12804" max="12804" width="5.71875" style="103" customWidth="1"/>
    <col min="12805" max="12807" width="5.83203125" style="103" customWidth="1"/>
    <col min="12808" max="12808" width="1.71875" style="103" customWidth="1"/>
    <col min="12809" max="12813" width="5.83203125" style="103" customWidth="1"/>
    <col min="12814" max="12814" width="1.71875" style="103" customWidth="1"/>
    <col min="12815" max="12817" width="5.83203125" style="103" customWidth="1"/>
    <col min="12818" max="12819" width="12.5546875" style="103"/>
    <col min="12820" max="12820" width="11.27734375" style="103" customWidth="1"/>
    <col min="12821" max="13057" width="12.5546875" style="103"/>
    <col min="13058" max="13058" width="18.71875" style="103" customWidth="1"/>
    <col min="13059" max="13059" width="1.5546875" style="103" customWidth="1"/>
    <col min="13060" max="13060" width="5.71875" style="103" customWidth="1"/>
    <col min="13061" max="13063" width="5.83203125" style="103" customWidth="1"/>
    <col min="13064" max="13064" width="1.71875" style="103" customWidth="1"/>
    <col min="13065" max="13069" width="5.83203125" style="103" customWidth="1"/>
    <col min="13070" max="13070" width="1.71875" style="103" customWidth="1"/>
    <col min="13071" max="13073" width="5.83203125" style="103" customWidth="1"/>
    <col min="13074" max="13075" width="12.5546875" style="103"/>
    <col min="13076" max="13076" width="11.27734375" style="103" customWidth="1"/>
    <col min="13077" max="13313" width="12.5546875" style="103"/>
    <col min="13314" max="13314" width="18.71875" style="103" customWidth="1"/>
    <col min="13315" max="13315" width="1.5546875" style="103" customWidth="1"/>
    <col min="13316" max="13316" width="5.71875" style="103" customWidth="1"/>
    <col min="13317" max="13319" width="5.83203125" style="103" customWidth="1"/>
    <col min="13320" max="13320" width="1.71875" style="103" customWidth="1"/>
    <col min="13321" max="13325" width="5.83203125" style="103" customWidth="1"/>
    <col min="13326" max="13326" width="1.71875" style="103" customWidth="1"/>
    <col min="13327" max="13329" width="5.83203125" style="103" customWidth="1"/>
    <col min="13330" max="13331" width="12.5546875" style="103"/>
    <col min="13332" max="13332" width="11.27734375" style="103" customWidth="1"/>
    <col min="13333" max="13569" width="12.5546875" style="103"/>
    <col min="13570" max="13570" width="18.71875" style="103" customWidth="1"/>
    <col min="13571" max="13571" width="1.5546875" style="103" customWidth="1"/>
    <col min="13572" max="13572" width="5.71875" style="103" customWidth="1"/>
    <col min="13573" max="13575" width="5.83203125" style="103" customWidth="1"/>
    <col min="13576" max="13576" width="1.71875" style="103" customWidth="1"/>
    <col min="13577" max="13581" width="5.83203125" style="103" customWidth="1"/>
    <col min="13582" max="13582" width="1.71875" style="103" customWidth="1"/>
    <col min="13583" max="13585" width="5.83203125" style="103" customWidth="1"/>
    <col min="13586" max="13587" width="12.5546875" style="103"/>
    <col min="13588" max="13588" width="11.27734375" style="103" customWidth="1"/>
    <col min="13589" max="13825" width="12.5546875" style="103"/>
    <col min="13826" max="13826" width="18.71875" style="103" customWidth="1"/>
    <col min="13827" max="13827" width="1.5546875" style="103" customWidth="1"/>
    <col min="13828" max="13828" width="5.71875" style="103" customWidth="1"/>
    <col min="13829" max="13831" width="5.83203125" style="103" customWidth="1"/>
    <col min="13832" max="13832" width="1.71875" style="103" customWidth="1"/>
    <col min="13833" max="13837" width="5.83203125" style="103" customWidth="1"/>
    <col min="13838" max="13838" width="1.71875" style="103" customWidth="1"/>
    <col min="13839" max="13841" width="5.83203125" style="103" customWidth="1"/>
    <col min="13842" max="13843" width="12.5546875" style="103"/>
    <col min="13844" max="13844" width="11.27734375" style="103" customWidth="1"/>
    <col min="13845" max="14081" width="12.5546875" style="103"/>
    <col min="14082" max="14082" width="18.71875" style="103" customWidth="1"/>
    <col min="14083" max="14083" width="1.5546875" style="103" customWidth="1"/>
    <col min="14084" max="14084" width="5.71875" style="103" customWidth="1"/>
    <col min="14085" max="14087" width="5.83203125" style="103" customWidth="1"/>
    <col min="14088" max="14088" width="1.71875" style="103" customWidth="1"/>
    <col min="14089" max="14093" width="5.83203125" style="103" customWidth="1"/>
    <col min="14094" max="14094" width="1.71875" style="103" customWidth="1"/>
    <col min="14095" max="14097" width="5.83203125" style="103" customWidth="1"/>
    <col min="14098" max="14099" width="12.5546875" style="103"/>
    <col min="14100" max="14100" width="11.27734375" style="103" customWidth="1"/>
    <col min="14101" max="14337" width="12.5546875" style="103"/>
    <col min="14338" max="14338" width="18.71875" style="103" customWidth="1"/>
    <col min="14339" max="14339" width="1.5546875" style="103" customWidth="1"/>
    <col min="14340" max="14340" width="5.71875" style="103" customWidth="1"/>
    <col min="14341" max="14343" width="5.83203125" style="103" customWidth="1"/>
    <col min="14344" max="14344" width="1.71875" style="103" customWidth="1"/>
    <col min="14345" max="14349" width="5.83203125" style="103" customWidth="1"/>
    <col min="14350" max="14350" width="1.71875" style="103" customWidth="1"/>
    <col min="14351" max="14353" width="5.83203125" style="103" customWidth="1"/>
    <col min="14354" max="14355" width="12.5546875" style="103"/>
    <col min="14356" max="14356" width="11.27734375" style="103" customWidth="1"/>
    <col min="14357" max="14593" width="12.5546875" style="103"/>
    <col min="14594" max="14594" width="18.71875" style="103" customWidth="1"/>
    <col min="14595" max="14595" width="1.5546875" style="103" customWidth="1"/>
    <col min="14596" max="14596" width="5.71875" style="103" customWidth="1"/>
    <col min="14597" max="14599" width="5.83203125" style="103" customWidth="1"/>
    <col min="14600" max="14600" width="1.71875" style="103" customWidth="1"/>
    <col min="14601" max="14605" width="5.83203125" style="103" customWidth="1"/>
    <col min="14606" max="14606" width="1.71875" style="103" customWidth="1"/>
    <col min="14607" max="14609" width="5.83203125" style="103" customWidth="1"/>
    <col min="14610" max="14611" width="12.5546875" style="103"/>
    <col min="14612" max="14612" width="11.27734375" style="103" customWidth="1"/>
    <col min="14613" max="14849" width="12.5546875" style="103"/>
    <col min="14850" max="14850" width="18.71875" style="103" customWidth="1"/>
    <col min="14851" max="14851" width="1.5546875" style="103" customWidth="1"/>
    <col min="14852" max="14852" width="5.71875" style="103" customWidth="1"/>
    <col min="14853" max="14855" width="5.83203125" style="103" customWidth="1"/>
    <col min="14856" max="14856" width="1.71875" style="103" customWidth="1"/>
    <col min="14857" max="14861" width="5.83203125" style="103" customWidth="1"/>
    <col min="14862" max="14862" width="1.71875" style="103" customWidth="1"/>
    <col min="14863" max="14865" width="5.83203125" style="103" customWidth="1"/>
    <col min="14866" max="14867" width="12.5546875" style="103"/>
    <col min="14868" max="14868" width="11.27734375" style="103" customWidth="1"/>
    <col min="14869" max="15105" width="12.5546875" style="103"/>
    <col min="15106" max="15106" width="18.71875" style="103" customWidth="1"/>
    <col min="15107" max="15107" width="1.5546875" style="103" customWidth="1"/>
    <col min="15108" max="15108" width="5.71875" style="103" customWidth="1"/>
    <col min="15109" max="15111" width="5.83203125" style="103" customWidth="1"/>
    <col min="15112" max="15112" width="1.71875" style="103" customWidth="1"/>
    <col min="15113" max="15117" width="5.83203125" style="103" customWidth="1"/>
    <col min="15118" max="15118" width="1.71875" style="103" customWidth="1"/>
    <col min="15119" max="15121" width="5.83203125" style="103" customWidth="1"/>
    <col min="15122" max="15123" width="12.5546875" style="103"/>
    <col min="15124" max="15124" width="11.27734375" style="103" customWidth="1"/>
    <col min="15125" max="15361" width="12.5546875" style="103"/>
    <col min="15362" max="15362" width="18.71875" style="103" customWidth="1"/>
    <col min="15363" max="15363" width="1.5546875" style="103" customWidth="1"/>
    <col min="15364" max="15364" width="5.71875" style="103" customWidth="1"/>
    <col min="15365" max="15367" width="5.83203125" style="103" customWidth="1"/>
    <col min="15368" max="15368" width="1.71875" style="103" customWidth="1"/>
    <col min="15369" max="15373" width="5.83203125" style="103" customWidth="1"/>
    <col min="15374" max="15374" width="1.71875" style="103" customWidth="1"/>
    <col min="15375" max="15377" width="5.83203125" style="103" customWidth="1"/>
    <col min="15378" max="15379" width="12.5546875" style="103"/>
    <col min="15380" max="15380" width="11.27734375" style="103" customWidth="1"/>
    <col min="15381" max="15617" width="12.5546875" style="103"/>
    <col min="15618" max="15618" width="18.71875" style="103" customWidth="1"/>
    <col min="15619" max="15619" width="1.5546875" style="103" customWidth="1"/>
    <col min="15620" max="15620" width="5.71875" style="103" customWidth="1"/>
    <col min="15621" max="15623" width="5.83203125" style="103" customWidth="1"/>
    <col min="15624" max="15624" width="1.71875" style="103" customWidth="1"/>
    <col min="15625" max="15629" width="5.83203125" style="103" customWidth="1"/>
    <col min="15630" max="15630" width="1.71875" style="103" customWidth="1"/>
    <col min="15631" max="15633" width="5.83203125" style="103" customWidth="1"/>
    <col min="15634" max="15635" width="12.5546875" style="103"/>
    <col min="15636" max="15636" width="11.27734375" style="103" customWidth="1"/>
    <col min="15637" max="15873" width="12.5546875" style="103"/>
    <col min="15874" max="15874" width="18.71875" style="103" customWidth="1"/>
    <col min="15875" max="15875" width="1.5546875" style="103" customWidth="1"/>
    <col min="15876" max="15876" width="5.71875" style="103" customWidth="1"/>
    <col min="15877" max="15879" width="5.83203125" style="103" customWidth="1"/>
    <col min="15880" max="15880" width="1.71875" style="103" customWidth="1"/>
    <col min="15881" max="15885" width="5.83203125" style="103" customWidth="1"/>
    <col min="15886" max="15886" width="1.71875" style="103" customWidth="1"/>
    <col min="15887" max="15889" width="5.83203125" style="103" customWidth="1"/>
    <col min="15890" max="15891" width="12.5546875" style="103"/>
    <col min="15892" max="15892" width="11.27734375" style="103" customWidth="1"/>
    <col min="15893" max="16129" width="12.5546875" style="103"/>
    <col min="16130" max="16130" width="18.71875" style="103" customWidth="1"/>
    <col min="16131" max="16131" width="1.5546875" style="103" customWidth="1"/>
    <col min="16132" max="16132" width="5.71875" style="103" customWidth="1"/>
    <col min="16133" max="16135" width="5.83203125" style="103" customWidth="1"/>
    <col min="16136" max="16136" width="1.71875" style="103" customWidth="1"/>
    <col min="16137" max="16141" width="5.83203125" style="103" customWidth="1"/>
    <col min="16142" max="16142" width="1.71875" style="103" customWidth="1"/>
    <col min="16143" max="16145" width="5.83203125" style="103" customWidth="1"/>
    <col min="16146" max="16147" width="12.5546875" style="103"/>
    <col min="16148" max="16148" width="11.27734375" style="103" customWidth="1"/>
    <col min="16149" max="16384" width="12.5546875" style="103"/>
  </cols>
  <sheetData>
    <row r="1" spans="1:22" s="96" customFormat="1" ht="25.5" thickBot="1">
      <c r="A1" s="94"/>
      <c r="B1" s="93" t="s">
        <v>1034</v>
      </c>
      <c r="C1" s="87"/>
      <c r="D1" s="87"/>
      <c r="E1" s="87"/>
      <c r="F1" s="87"/>
      <c r="G1" s="87"/>
      <c r="H1" s="87"/>
      <c r="I1" s="87"/>
      <c r="J1" s="87"/>
      <c r="K1" s="87"/>
      <c r="L1" s="87"/>
      <c r="M1" s="95"/>
      <c r="N1" s="95"/>
      <c r="O1" s="95"/>
      <c r="P1" s="95"/>
      <c r="Q1" s="95"/>
      <c r="R1" s="88"/>
      <c r="S1" s="89"/>
      <c r="T1" s="89"/>
      <c r="U1" s="89"/>
      <c r="V1" s="75" t="s">
        <v>1362</v>
      </c>
    </row>
    <row r="2" spans="1:22" s="96" customFormat="1" ht="22.5" customHeight="1" thickTop="1">
      <c r="A2" s="94"/>
      <c r="B2" s="90"/>
      <c r="C2" s="90"/>
      <c r="D2" s="90"/>
      <c r="E2" s="90"/>
      <c r="F2" s="90"/>
      <c r="G2" s="90"/>
      <c r="H2" s="90"/>
      <c r="I2" s="90"/>
      <c r="J2" s="76"/>
      <c r="K2" s="76"/>
      <c r="L2" s="76"/>
      <c r="O2" s="170" t="s">
        <v>1278</v>
      </c>
      <c r="P2" s="170"/>
      <c r="Q2" s="170"/>
      <c r="R2" s="170"/>
      <c r="S2" s="170"/>
      <c r="T2" s="170"/>
      <c r="U2" s="170"/>
      <c r="V2" s="170"/>
    </row>
    <row r="3" spans="1:22" s="98" customFormat="1" ht="20.399999999999999" thickBot="1">
      <c r="A3" s="97"/>
      <c r="B3" s="77" t="s">
        <v>1035</v>
      </c>
      <c r="C3" s="77"/>
      <c r="D3" s="77"/>
      <c r="E3" s="77"/>
      <c r="F3" s="77"/>
      <c r="G3" s="78"/>
      <c r="H3" s="77" t="s">
        <v>1036</v>
      </c>
      <c r="I3" s="78"/>
      <c r="J3" s="91">
        <v>2014</v>
      </c>
      <c r="K3" s="91">
        <v>2015</v>
      </c>
      <c r="L3" s="91">
        <v>2016</v>
      </c>
      <c r="M3" s="91">
        <v>2017</v>
      </c>
      <c r="N3" s="91">
        <v>2018</v>
      </c>
      <c r="O3" s="91">
        <v>2019</v>
      </c>
      <c r="P3" s="91">
        <v>2020</v>
      </c>
      <c r="Q3" s="91">
        <v>2021</v>
      </c>
      <c r="R3" s="91">
        <v>2022</v>
      </c>
      <c r="S3" s="91">
        <v>2023</v>
      </c>
      <c r="T3" s="91">
        <v>2024</v>
      </c>
      <c r="U3" s="91">
        <v>2025</v>
      </c>
      <c r="V3" s="91">
        <v>2030</v>
      </c>
    </row>
    <row r="4" spans="1:22" s="101" customFormat="1" ht="17.7">
      <c r="A4" s="45"/>
      <c r="B4" s="79" t="s">
        <v>960</v>
      </c>
      <c r="C4" s="79"/>
      <c r="D4" s="79"/>
      <c r="E4" s="79"/>
      <c r="F4" s="79"/>
      <c r="G4" s="99"/>
      <c r="H4" s="100"/>
      <c r="I4" s="99"/>
      <c r="J4" s="99"/>
      <c r="K4" s="99"/>
      <c r="L4" s="99"/>
      <c r="M4" s="99" t="s">
        <v>1037</v>
      </c>
      <c r="N4" s="99"/>
      <c r="O4" s="99"/>
      <c r="P4" s="99"/>
      <c r="Q4" s="99"/>
      <c r="R4" s="99"/>
      <c r="S4" s="99"/>
      <c r="T4" s="99"/>
      <c r="U4" s="99"/>
      <c r="V4" s="99"/>
    </row>
    <row r="5" spans="1:22" ht="17.399999999999999">
      <c r="A5" s="94" t="s">
        <v>1038</v>
      </c>
      <c r="B5" s="80" t="s">
        <v>1039</v>
      </c>
      <c r="C5" s="102"/>
      <c r="D5" s="80"/>
      <c r="E5" s="102"/>
      <c r="F5" s="80"/>
      <c r="G5" s="132"/>
      <c r="H5" s="80" t="s">
        <v>1040</v>
      </c>
      <c r="I5" s="132"/>
      <c r="J5" s="132">
        <v>70.13</v>
      </c>
      <c r="K5" s="132">
        <v>58.939166666666701</v>
      </c>
      <c r="L5" s="132">
        <v>66.123333333333306</v>
      </c>
      <c r="M5" s="132">
        <v>88.518333333333302</v>
      </c>
      <c r="N5" s="132">
        <v>107.02249999999999</v>
      </c>
      <c r="O5" s="132">
        <v>94</v>
      </c>
      <c r="P5" s="132">
        <v>90</v>
      </c>
      <c r="Q5" s="132">
        <v>86.423805071299597</v>
      </c>
      <c r="R5" s="132">
        <v>82.989712033355502</v>
      </c>
      <c r="S5" s="132">
        <v>79.692074396600006</v>
      </c>
      <c r="T5" s="132">
        <v>76.525470037547393</v>
      </c>
      <c r="U5" s="132">
        <v>73.484692283495306</v>
      </c>
      <c r="V5" s="132">
        <v>60</v>
      </c>
    </row>
    <row r="6" spans="1:22" ht="17.399999999999999">
      <c r="A6" s="94" t="s">
        <v>1041</v>
      </c>
      <c r="B6" s="81" t="s">
        <v>1288</v>
      </c>
      <c r="C6" s="99"/>
      <c r="D6" s="81"/>
      <c r="E6" s="99"/>
      <c r="F6" s="81"/>
      <c r="G6" s="149"/>
      <c r="H6" s="81" t="s">
        <v>1043</v>
      </c>
      <c r="I6" s="149"/>
      <c r="J6" s="149">
        <v>96.234999999999999</v>
      </c>
      <c r="K6" s="149">
        <v>50.752777777777801</v>
      </c>
      <c r="L6" s="149">
        <v>42.8119444444444</v>
      </c>
      <c r="M6" s="149">
        <v>52.805</v>
      </c>
      <c r="N6" s="149">
        <v>68.347499999999997</v>
      </c>
      <c r="O6" s="149">
        <v>66</v>
      </c>
      <c r="P6" s="149">
        <v>65</v>
      </c>
      <c r="Q6" s="149">
        <v>65.483491133600097</v>
      </c>
      <c r="R6" s="149">
        <v>65.970578631450607</v>
      </c>
      <c r="S6" s="149">
        <v>66.461289244477896</v>
      </c>
      <c r="T6" s="149">
        <v>66.955649922590794</v>
      </c>
      <c r="U6" s="149">
        <v>67.453687816160198</v>
      </c>
      <c r="V6" s="149">
        <v>70</v>
      </c>
    </row>
    <row r="7" spans="1:22" ht="17.399999999999999">
      <c r="A7" s="94" t="s">
        <v>1044</v>
      </c>
      <c r="B7" s="80" t="s">
        <v>27</v>
      </c>
      <c r="C7" s="102"/>
      <c r="D7" s="80"/>
      <c r="E7" s="102"/>
      <c r="F7" s="80"/>
      <c r="G7" s="132"/>
      <c r="H7" s="80" t="s">
        <v>1045</v>
      </c>
      <c r="I7" s="132"/>
      <c r="J7" s="132">
        <v>10.0516666666667</v>
      </c>
      <c r="K7" s="132">
        <v>6.8211830783410203</v>
      </c>
      <c r="L7" s="132">
        <v>4.5634228440012699</v>
      </c>
      <c r="M7" s="132">
        <v>5.7170433039289996</v>
      </c>
      <c r="N7" s="132">
        <v>7.6816796538683798</v>
      </c>
      <c r="O7" s="132">
        <v>6</v>
      </c>
      <c r="P7" s="132">
        <v>6</v>
      </c>
      <c r="Q7" s="132">
        <v>6.0932069580141102</v>
      </c>
      <c r="R7" s="132">
        <v>6.1878618388652704</v>
      </c>
      <c r="S7" s="132">
        <v>6.2839871353006496</v>
      </c>
      <c r="T7" s="132">
        <v>6.3816056894808497</v>
      </c>
      <c r="U7" s="132">
        <v>6.4807406984078604</v>
      </c>
      <c r="V7" s="132">
        <v>7</v>
      </c>
    </row>
    <row r="8" spans="1:22" ht="17.399999999999999">
      <c r="A8" s="94" t="s">
        <v>1046</v>
      </c>
      <c r="B8" s="81" t="s">
        <v>26</v>
      </c>
      <c r="C8" s="99"/>
      <c r="D8" s="81"/>
      <c r="E8" s="99"/>
      <c r="F8" s="81"/>
      <c r="G8" s="149"/>
      <c r="H8" s="81" t="s">
        <v>1045</v>
      </c>
      <c r="I8" s="149"/>
      <c r="J8" s="149">
        <v>4.3694916666666703</v>
      </c>
      <c r="K8" s="149">
        <v>2.6137083333333302</v>
      </c>
      <c r="L8" s="149">
        <v>2.4922166666666699</v>
      </c>
      <c r="M8" s="149">
        <v>2.9596083333333301</v>
      </c>
      <c r="N8" s="149">
        <v>3.15509166666667</v>
      </c>
      <c r="O8" s="149">
        <v>2.8</v>
      </c>
      <c r="P8" s="149">
        <v>2.9</v>
      </c>
      <c r="Q8" s="149">
        <v>2.9947749876270402</v>
      </c>
      <c r="R8" s="149">
        <v>3.0926473194884498</v>
      </c>
      <c r="S8" s="149">
        <v>3.1937182199847598</v>
      </c>
      <c r="T8" s="149">
        <v>3.2980922216341799</v>
      </c>
      <c r="U8" s="149">
        <v>3.40587727318528</v>
      </c>
      <c r="V8" s="149">
        <v>4</v>
      </c>
    </row>
    <row r="9" spans="1:22" ht="17.399999999999999">
      <c r="A9" s="94" t="s">
        <v>1047</v>
      </c>
      <c r="B9" s="80" t="s">
        <v>1048</v>
      </c>
      <c r="C9" s="102"/>
      <c r="D9" s="80"/>
      <c r="E9" s="102"/>
      <c r="F9" s="80"/>
      <c r="G9" s="132"/>
      <c r="H9" s="80" t="s">
        <v>1045</v>
      </c>
      <c r="I9" s="132"/>
      <c r="J9" s="132">
        <v>16.035735552489399</v>
      </c>
      <c r="K9" s="132">
        <v>10.9346874235105</v>
      </c>
      <c r="L9" s="132">
        <v>7.3724439579912797</v>
      </c>
      <c r="M9" s="132">
        <v>8.6061241944719598</v>
      </c>
      <c r="N9" s="132">
        <v>10.669875822784199</v>
      </c>
      <c r="O9" s="132">
        <v>7.4000000000000101</v>
      </c>
      <c r="P9" s="132">
        <v>7.5</v>
      </c>
      <c r="Q9" s="132">
        <v>7.5944622838452096</v>
      </c>
      <c r="R9" s="132">
        <v>7.6901143174329896</v>
      </c>
      <c r="S9" s="132">
        <v>7.7869710856270604</v>
      </c>
      <c r="T9" s="132">
        <v>7.8850477620250601</v>
      </c>
      <c r="U9" s="132">
        <v>7.9843597113356601</v>
      </c>
      <c r="V9" s="132">
        <v>8.5</v>
      </c>
    </row>
    <row r="10" spans="1:22" ht="17.399999999999999">
      <c r="B10" s="99"/>
      <c r="C10" s="99"/>
      <c r="D10" s="99"/>
      <c r="E10" s="99"/>
      <c r="F10" s="99"/>
      <c r="G10" s="133"/>
      <c r="H10" s="104"/>
      <c r="I10" s="133"/>
      <c r="J10" s="133"/>
      <c r="K10" s="133"/>
      <c r="L10" s="133"/>
      <c r="M10" s="133"/>
      <c r="N10" s="133"/>
      <c r="O10" s="133"/>
      <c r="P10" s="133"/>
      <c r="Q10" s="133"/>
      <c r="R10" s="133"/>
      <c r="S10" s="133"/>
      <c r="T10" s="133"/>
      <c r="U10" s="133"/>
      <c r="V10" s="133"/>
    </row>
    <row r="11" spans="1:22" s="101" customFormat="1" ht="17.7">
      <c r="A11" s="45"/>
      <c r="B11" s="79" t="s">
        <v>1049</v>
      </c>
      <c r="C11" s="79"/>
      <c r="D11" s="79"/>
      <c r="E11" s="38"/>
      <c r="F11" s="38"/>
      <c r="G11" s="133"/>
      <c r="H11" s="100"/>
      <c r="I11" s="133"/>
      <c r="J11" s="133"/>
      <c r="K11" s="133"/>
      <c r="L11" s="133"/>
      <c r="M11" s="133"/>
      <c r="N11" s="133"/>
      <c r="O11" s="133"/>
      <c r="P11" s="133"/>
      <c r="Q11" s="133"/>
      <c r="R11" s="133"/>
      <c r="S11" s="133"/>
      <c r="T11" s="133"/>
      <c r="U11" s="133"/>
      <c r="V11" s="133"/>
    </row>
    <row r="12" spans="1:22" s="101" customFormat="1" ht="17.7">
      <c r="A12" s="45"/>
      <c r="B12" s="38"/>
      <c r="C12" s="79" t="s">
        <v>1050</v>
      </c>
      <c r="D12" s="79"/>
      <c r="E12" s="38"/>
      <c r="F12" s="38"/>
      <c r="G12" s="133"/>
      <c r="H12" s="100"/>
      <c r="I12" s="133"/>
      <c r="J12" s="133"/>
      <c r="K12" s="133"/>
      <c r="L12" s="133"/>
      <c r="M12" s="133"/>
      <c r="N12" s="133"/>
      <c r="O12" s="133"/>
      <c r="P12" s="133"/>
      <c r="Q12" s="133"/>
      <c r="R12" s="133"/>
      <c r="S12" s="133"/>
      <c r="T12" s="133"/>
      <c r="U12" s="133"/>
      <c r="V12" s="133"/>
    </row>
    <row r="13" spans="1:22" s="101" customFormat="1" ht="17.7">
      <c r="A13" s="45"/>
      <c r="B13" s="38"/>
      <c r="C13" s="79"/>
      <c r="D13" s="79" t="s">
        <v>970</v>
      </c>
      <c r="E13" s="38"/>
      <c r="F13" s="38"/>
      <c r="G13" s="133"/>
      <c r="H13" s="100"/>
      <c r="I13" s="133"/>
      <c r="J13" s="133"/>
      <c r="K13" s="133"/>
      <c r="L13" s="133"/>
      <c r="M13" s="133"/>
      <c r="N13" s="133"/>
      <c r="O13" s="133"/>
      <c r="P13" s="133"/>
      <c r="Q13" s="133"/>
      <c r="R13" s="133"/>
      <c r="S13" s="133"/>
      <c r="T13" s="133"/>
      <c r="U13" s="133"/>
      <c r="V13" s="133"/>
    </row>
    <row r="14" spans="1:22" ht="17.399999999999999">
      <c r="A14" s="94" t="s">
        <v>1051</v>
      </c>
      <c r="B14" s="99"/>
      <c r="C14" s="82"/>
      <c r="D14" s="80" t="s">
        <v>6</v>
      </c>
      <c r="E14" s="102"/>
      <c r="F14" s="80"/>
      <c r="G14" s="132"/>
      <c r="H14" s="80" t="s">
        <v>1052</v>
      </c>
      <c r="I14" s="132"/>
      <c r="J14" s="147">
        <v>3.0622400000000001</v>
      </c>
      <c r="K14" s="147">
        <v>3.1350449999999999</v>
      </c>
      <c r="L14" s="147">
        <v>2.8907616666666698</v>
      </c>
      <c r="M14" s="147">
        <v>2.0294108333333298</v>
      </c>
      <c r="N14" s="147">
        <v>2.2937683333333299</v>
      </c>
      <c r="O14" s="147">
        <v>2.2999999999999998</v>
      </c>
      <c r="P14" s="147">
        <v>2.3562325260426298</v>
      </c>
      <c r="Q14" s="147">
        <v>2.41383987686141</v>
      </c>
      <c r="R14" s="147">
        <v>2.4728556654433098</v>
      </c>
      <c r="S14" s="147">
        <v>2.5333143265766598</v>
      </c>
      <c r="T14" s="147">
        <v>2.59525113694336</v>
      </c>
      <c r="U14" s="147">
        <v>2.6587022357021999</v>
      </c>
      <c r="V14" s="147">
        <v>3</v>
      </c>
    </row>
    <row r="15" spans="1:22" ht="17.399999999999999">
      <c r="A15" s="94" t="s">
        <v>1053</v>
      </c>
      <c r="B15" s="99"/>
      <c r="C15" s="82"/>
      <c r="D15" s="82" t="s">
        <v>1054</v>
      </c>
      <c r="E15" s="99"/>
      <c r="F15" s="82"/>
      <c r="G15" s="134"/>
      <c r="H15" s="82" t="s">
        <v>1052</v>
      </c>
      <c r="I15" s="134"/>
      <c r="J15" s="148">
        <v>4.4237904920000002</v>
      </c>
      <c r="K15" s="148">
        <v>3.5260692279999999</v>
      </c>
      <c r="L15" s="148">
        <v>3.6110757008333301</v>
      </c>
      <c r="M15" s="148">
        <v>3.3232074443333302</v>
      </c>
      <c r="N15" s="148">
        <v>2.925971664</v>
      </c>
      <c r="O15" s="148">
        <v>2.85</v>
      </c>
      <c r="P15" s="148">
        <v>2.8960869220247099</v>
      </c>
      <c r="Q15" s="148">
        <v>2.9429191087447499</v>
      </c>
      <c r="R15" s="148">
        <v>2.9905086117236102</v>
      </c>
      <c r="S15" s="148">
        <v>3.0388676774087702</v>
      </c>
      <c r="T15" s="148">
        <v>3.0880087502831999</v>
      </c>
      <c r="U15" s="148">
        <v>3.13794447606774</v>
      </c>
      <c r="V15" s="148">
        <v>3.4</v>
      </c>
    </row>
    <row r="16" spans="1:22" ht="17.399999999999999">
      <c r="A16" s="94" t="s">
        <v>1055</v>
      </c>
      <c r="B16" s="99"/>
      <c r="C16" s="82"/>
      <c r="D16" s="80" t="s">
        <v>1289</v>
      </c>
      <c r="E16" s="102"/>
      <c r="F16" s="80"/>
      <c r="G16" s="132"/>
      <c r="H16" s="80" t="s">
        <v>1052</v>
      </c>
      <c r="I16" s="132"/>
      <c r="J16" s="147">
        <v>2.2164514606666699</v>
      </c>
      <c r="K16" s="147">
        <v>1.9411679100000001</v>
      </c>
      <c r="L16" s="147">
        <v>1.9531279735</v>
      </c>
      <c r="M16" s="147">
        <v>2.2255271463333299</v>
      </c>
      <c r="N16" s="147">
        <v>1.86926055433333</v>
      </c>
      <c r="O16" s="147">
        <v>1.75</v>
      </c>
      <c r="P16" s="147">
        <v>1.78678795120386</v>
      </c>
      <c r="Q16" s="147">
        <v>1.8243492471813101</v>
      </c>
      <c r="R16" s="147">
        <v>1.86270014494366</v>
      </c>
      <c r="S16" s="147">
        <v>1.90185724325202</v>
      </c>
      <c r="T16" s="147">
        <v>1.9418374898014299</v>
      </c>
      <c r="U16" s="147">
        <v>1.9826581885560901</v>
      </c>
      <c r="V16" s="147">
        <v>2.2000000000000002</v>
      </c>
    </row>
    <row r="17" spans="1:22" ht="17.399999999999999">
      <c r="A17" s="94" t="s">
        <v>1056</v>
      </c>
      <c r="B17" s="99"/>
      <c r="C17" s="82"/>
      <c r="D17" s="82" t="s">
        <v>1057</v>
      </c>
      <c r="E17" s="99"/>
      <c r="F17" s="82"/>
      <c r="G17" s="134"/>
      <c r="H17" s="82" t="s">
        <v>1052</v>
      </c>
      <c r="I17" s="134"/>
      <c r="J17" s="148">
        <v>2.7204779190616799</v>
      </c>
      <c r="K17" s="148">
        <v>2.7771495644186799</v>
      </c>
      <c r="L17" s="148">
        <v>2.6849336296830502</v>
      </c>
      <c r="M17" s="148">
        <v>3.14847924251821</v>
      </c>
      <c r="N17" s="148">
        <v>2.8474711888870501</v>
      </c>
      <c r="O17" s="148">
        <v>2.4500000000000002</v>
      </c>
      <c r="P17" s="148">
        <v>2.5102101119470501</v>
      </c>
      <c r="Q17" s="148">
        <v>2.57189992086581</v>
      </c>
      <c r="R17" s="148">
        <v>2.63510579113191</v>
      </c>
      <c r="S17" s="148">
        <v>2.69986498079574</v>
      </c>
      <c r="T17" s="148">
        <v>2.7662156635449802</v>
      </c>
      <c r="U17" s="148">
        <v>2.8341969512069198</v>
      </c>
      <c r="V17" s="148">
        <v>3.2</v>
      </c>
    </row>
    <row r="18" spans="1:22" ht="17.399999999999999">
      <c r="B18" s="99"/>
      <c r="C18" s="99"/>
      <c r="D18" s="99"/>
      <c r="E18" s="99"/>
      <c r="F18" s="99"/>
      <c r="G18" s="133"/>
      <c r="H18" s="104"/>
      <c r="I18" s="133"/>
      <c r="J18" s="133"/>
      <c r="K18" s="133"/>
      <c r="L18" s="133"/>
      <c r="M18" s="133"/>
      <c r="N18" s="133"/>
      <c r="O18" s="133"/>
      <c r="P18" s="133"/>
      <c r="Q18" s="133"/>
      <c r="R18" s="133"/>
      <c r="S18" s="133"/>
      <c r="T18" s="133"/>
      <c r="U18" s="133"/>
      <c r="V18" s="133"/>
    </row>
    <row r="19" spans="1:22" s="101" customFormat="1" ht="17.7">
      <c r="A19" s="45"/>
      <c r="B19" s="38"/>
      <c r="C19" s="79"/>
      <c r="D19" s="79" t="s">
        <v>1058</v>
      </c>
      <c r="E19" s="38"/>
      <c r="F19" s="38"/>
      <c r="G19" s="133"/>
      <c r="H19" s="100"/>
      <c r="I19" s="133"/>
      <c r="J19" s="133"/>
      <c r="K19" s="133"/>
      <c r="L19" s="133"/>
      <c r="M19" s="133"/>
      <c r="N19" s="133"/>
      <c r="O19" s="133"/>
      <c r="P19" s="133"/>
      <c r="Q19" s="133"/>
      <c r="R19" s="133"/>
      <c r="S19" s="133"/>
      <c r="T19" s="133"/>
      <c r="U19" s="133"/>
      <c r="V19" s="133"/>
    </row>
    <row r="20" spans="1:22" s="101" customFormat="1" ht="17.7">
      <c r="A20" s="45"/>
      <c r="B20" s="38"/>
      <c r="C20" s="79"/>
      <c r="D20" s="79"/>
      <c r="E20" s="79" t="s">
        <v>1059</v>
      </c>
      <c r="F20" s="79"/>
      <c r="G20" s="133"/>
      <c r="H20" s="100"/>
      <c r="I20" s="133"/>
      <c r="J20" s="133"/>
      <c r="K20" s="133"/>
      <c r="L20" s="133"/>
      <c r="M20" s="133"/>
      <c r="N20" s="133"/>
      <c r="O20" s="133"/>
      <c r="P20" s="133"/>
      <c r="Q20" s="133"/>
      <c r="R20" s="133"/>
      <c r="S20" s="133"/>
      <c r="T20" s="133"/>
      <c r="U20" s="133"/>
      <c r="V20" s="133"/>
    </row>
    <row r="21" spans="1:22" ht="17.399999999999999">
      <c r="A21" s="94" t="s">
        <v>1060</v>
      </c>
      <c r="B21" s="99"/>
      <c r="C21" s="82"/>
      <c r="D21" s="82"/>
      <c r="E21" s="80" t="s">
        <v>33</v>
      </c>
      <c r="F21" s="80"/>
      <c r="G21" s="132"/>
      <c r="H21" s="80" t="s">
        <v>1040</v>
      </c>
      <c r="I21" s="132"/>
      <c r="J21" s="135">
        <v>1281.1241666666699</v>
      </c>
      <c r="K21" s="135">
        <v>1103.51166666667</v>
      </c>
      <c r="L21" s="135">
        <v>1481.7766666666701</v>
      </c>
      <c r="M21" s="135">
        <v>1650.65</v>
      </c>
      <c r="N21" s="135">
        <v>996.86500000000001</v>
      </c>
      <c r="O21" s="135">
        <v>720</v>
      </c>
      <c r="P21" s="135">
        <v>754.22437633060497</v>
      </c>
      <c r="Q21" s="135">
        <v>790.07556923790401</v>
      </c>
      <c r="R21" s="135">
        <v>827.63090758681403</v>
      </c>
      <c r="S21" s="135">
        <v>866.97139598138494</v>
      </c>
      <c r="T21" s="135">
        <v>908.18188948685304</v>
      </c>
      <c r="U21" s="135">
        <v>951.35127665690698</v>
      </c>
      <c r="V21" s="135">
        <v>1200</v>
      </c>
    </row>
    <row r="22" spans="1:22" ht="17.399999999999999">
      <c r="A22" s="94" t="s">
        <v>1061</v>
      </c>
      <c r="B22" s="99"/>
      <c r="C22" s="82"/>
      <c r="D22" s="82"/>
      <c r="E22" s="82" t="s">
        <v>34</v>
      </c>
      <c r="F22" s="82"/>
      <c r="G22" s="134"/>
      <c r="H22" s="82" t="s">
        <v>1040</v>
      </c>
      <c r="I22" s="134"/>
      <c r="J22" s="136">
        <v>1394.9849999999999</v>
      </c>
      <c r="K22" s="136">
        <v>1377.9591666666699</v>
      </c>
      <c r="L22" s="136">
        <v>1380.63083333333</v>
      </c>
      <c r="M22" s="136">
        <v>1460.7925</v>
      </c>
      <c r="N22" s="136">
        <v>1446.21</v>
      </c>
      <c r="O22" s="136">
        <v>1400</v>
      </c>
      <c r="P22" s="136">
        <v>1424.93013348964</v>
      </c>
      <c r="Q22" s="136">
        <v>1450.30420380487</v>
      </c>
      <c r="R22" s="136">
        <v>1476.1301162344701</v>
      </c>
      <c r="S22" s="136">
        <v>1502.41591683862</v>
      </c>
      <c r="T22" s="136">
        <v>1529.1697949555901</v>
      </c>
      <c r="U22" s="136">
        <v>1556.40008575314</v>
      </c>
      <c r="V22" s="136">
        <v>1700</v>
      </c>
    </row>
    <row r="23" spans="1:22" ht="17.399999999999999">
      <c r="A23" s="94" t="s">
        <v>1062</v>
      </c>
      <c r="B23" s="99"/>
      <c r="C23" s="82"/>
      <c r="D23" s="82"/>
      <c r="E23" s="80" t="s">
        <v>35</v>
      </c>
      <c r="F23" s="80"/>
      <c r="G23" s="132"/>
      <c r="H23" s="80" t="s">
        <v>1040</v>
      </c>
      <c r="I23" s="132"/>
      <c r="J23" s="135">
        <v>837.46916666666596</v>
      </c>
      <c r="K23" s="135">
        <v>663.39083333333303</v>
      </c>
      <c r="L23" s="135">
        <v>735.70333333333394</v>
      </c>
      <c r="M23" s="135">
        <v>750.89916666666704</v>
      </c>
      <c r="N23" s="135">
        <v>638.65666666666698</v>
      </c>
      <c r="O23" s="135">
        <v>600</v>
      </c>
      <c r="P23" s="135">
        <v>622.52894147635095</v>
      </c>
      <c r="Q23" s="135">
        <v>645.90380495944396</v>
      </c>
      <c r="R23" s="135">
        <v>670.15635332825104</v>
      </c>
      <c r="S23" s="135">
        <v>695.319542101813</v>
      </c>
      <c r="T23" s="135">
        <v>721.42756422077196</v>
      </c>
      <c r="U23" s="135">
        <v>748.51589651036602</v>
      </c>
      <c r="V23" s="135">
        <v>900</v>
      </c>
    </row>
    <row r="24" spans="1:22" ht="17.399999999999999">
      <c r="A24" s="94" t="s">
        <v>1063</v>
      </c>
      <c r="B24" s="99"/>
      <c r="C24" s="82"/>
      <c r="D24" s="82"/>
      <c r="E24" s="82" t="s">
        <v>38</v>
      </c>
      <c r="F24" s="82"/>
      <c r="G24" s="134"/>
      <c r="H24" s="82" t="s">
        <v>1040</v>
      </c>
      <c r="I24" s="134"/>
      <c r="J24" s="136">
        <v>522.46749999999997</v>
      </c>
      <c r="K24" s="136">
        <v>389.45499999999998</v>
      </c>
      <c r="L24" s="136">
        <v>374.66166666666697</v>
      </c>
      <c r="M24" s="136">
        <v>350.24166666666702</v>
      </c>
      <c r="N24" s="136">
        <v>405.243333333333</v>
      </c>
      <c r="O24" s="136">
        <v>355</v>
      </c>
      <c r="P24" s="136">
        <v>362.735908033486</v>
      </c>
      <c r="Q24" s="136">
        <v>370.64039148416299</v>
      </c>
      <c r="R24" s="136">
        <v>378.71712382787302</v>
      </c>
      <c r="S24" s="136">
        <v>386.96985859023602</v>
      </c>
      <c r="T24" s="136">
        <v>395.40243109103898</v>
      </c>
      <c r="U24" s="136">
        <v>404.01876022663703</v>
      </c>
      <c r="V24" s="136">
        <v>450</v>
      </c>
    </row>
    <row r="25" spans="1:22" ht="17.399999999999999">
      <c r="A25" s="94" t="s">
        <v>1064</v>
      </c>
      <c r="B25" s="99"/>
      <c r="C25" s="82"/>
      <c r="D25" s="82"/>
      <c r="E25" s="80" t="s">
        <v>37</v>
      </c>
      <c r="F25" s="80"/>
      <c r="G25" s="132"/>
      <c r="H25" s="80" t="s">
        <v>1040</v>
      </c>
      <c r="I25" s="132"/>
      <c r="J25" s="135">
        <v>905.96916666666596</v>
      </c>
      <c r="K25" s="135">
        <v>755.63250000000005</v>
      </c>
      <c r="L25" s="135">
        <v>814.99416666666605</v>
      </c>
      <c r="M25" s="135">
        <v>850.39666666666699</v>
      </c>
      <c r="N25" s="135">
        <v>789.18333333333396</v>
      </c>
      <c r="O25" s="135">
        <v>760</v>
      </c>
      <c r="P25" s="135">
        <v>779.19959879528801</v>
      </c>
      <c r="Q25" s="135">
        <v>798.88422995097096</v>
      </c>
      <c r="R25" s="135">
        <v>819.06614666010501</v>
      </c>
      <c r="S25" s="135">
        <v>839.75791166362706</v>
      </c>
      <c r="T25" s="135">
        <v>860.97240507035201</v>
      </c>
      <c r="U25" s="135">
        <v>882.72283237451597</v>
      </c>
      <c r="V25" s="135">
        <v>1000</v>
      </c>
    </row>
    <row r="26" spans="1:22" ht="17.399999999999999">
      <c r="A26" s="94" t="s">
        <v>1065</v>
      </c>
      <c r="B26" s="99"/>
      <c r="C26" s="82"/>
      <c r="D26" s="82"/>
      <c r="E26" s="82" t="s">
        <v>12</v>
      </c>
      <c r="F26" s="82"/>
      <c r="G26" s="134"/>
      <c r="H26" s="82" t="s">
        <v>1040</v>
      </c>
      <c r="I26" s="134"/>
      <c r="J26" s="136">
        <v>484.85750000000002</v>
      </c>
      <c r="K26" s="136">
        <v>392.1225</v>
      </c>
      <c r="L26" s="136">
        <v>405.44749999999999</v>
      </c>
      <c r="M26" s="136">
        <v>393.37811183333298</v>
      </c>
      <c r="N26" s="136">
        <v>394.42416666666702</v>
      </c>
      <c r="O26" s="136">
        <v>390</v>
      </c>
      <c r="P26" s="136">
        <v>401.02802349385502</v>
      </c>
      <c r="Q26" s="136">
        <v>412.36788622407198</v>
      </c>
      <c r="R26" s="136">
        <v>424.02840606353499</v>
      </c>
      <c r="S26" s="136">
        <v>436.01865022797301</v>
      </c>
      <c r="T26" s="136">
        <v>448.34794232662301</v>
      </c>
      <c r="U26" s="136">
        <v>461.02586961226302</v>
      </c>
      <c r="V26" s="136">
        <v>530</v>
      </c>
    </row>
    <row r="27" spans="1:22" ht="17.399999999999999">
      <c r="B27" s="99"/>
      <c r="C27" s="99"/>
      <c r="D27" s="99"/>
      <c r="E27" s="99"/>
      <c r="F27" s="99"/>
      <c r="G27" s="133"/>
      <c r="H27" s="104"/>
      <c r="I27" s="133"/>
      <c r="J27" s="133"/>
      <c r="K27" s="133"/>
      <c r="L27" s="133"/>
      <c r="M27" s="133"/>
      <c r="N27" s="133"/>
      <c r="O27" s="133"/>
      <c r="P27" s="133"/>
      <c r="Q27" s="133"/>
      <c r="R27" s="133"/>
      <c r="S27" s="133"/>
      <c r="T27" s="133"/>
      <c r="U27" s="133"/>
      <c r="V27" s="133"/>
    </row>
    <row r="28" spans="1:22" ht="17.7">
      <c r="B28" s="99"/>
      <c r="C28" s="79"/>
      <c r="D28" s="79"/>
      <c r="E28" s="79" t="s">
        <v>979</v>
      </c>
      <c r="F28" s="79"/>
      <c r="G28" s="134"/>
      <c r="H28" s="82"/>
      <c r="I28" s="134"/>
      <c r="J28" s="134"/>
      <c r="K28" s="134"/>
      <c r="L28" s="134"/>
      <c r="M28" s="134"/>
      <c r="N28" s="134"/>
      <c r="O28" s="134"/>
      <c r="P28" s="134"/>
      <c r="Q28" s="134"/>
      <c r="R28" s="134"/>
      <c r="S28" s="134"/>
      <c r="T28" s="134"/>
      <c r="U28" s="134"/>
      <c r="V28" s="134"/>
    </row>
    <row r="29" spans="1:22" ht="17.399999999999999">
      <c r="A29" s="94" t="s">
        <v>1066</v>
      </c>
      <c r="B29" s="99"/>
      <c r="C29" s="82"/>
      <c r="D29" s="82"/>
      <c r="E29" s="80" t="s">
        <v>7</v>
      </c>
      <c r="F29" s="80"/>
      <c r="G29" s="132"/>
      <c r="H29" s="80" t="s">
        <v>1040</v>
      </c>
      <c r="I29" s="137"/>
      <c r="J29" s="137">
        <v>145.90297638888899</v>
      </c>
      <c r="K29" s="137">
        <v>121.33064930555599</v>
      </c>
      <c r="L29" s="137">
        <v>103.915682291667</v>
      </c>
      <c r="M29" s="137">
        <v>97.638639236111104</v>
      </c>
      <c r="N29" s="137">
        <v>125.885332986111</v>
      </c>
      <c r="O29" s="137">
        <v>125</v>
      </c>
      <c r="P29" s="137">
        <v>129.213117039</v>
      </c>
      <c r="Q29" s="137">
        <v>133.568236919474</v>
      </c>
      <c r="R29" s="137">
        <v>138.07014583815101</v>
      </c>
      <c r="S29" s="137">
        <v>142.72379131021401</v>
      </c>
      <c r="T29" s="137">
        <v>147.53428760653199</v>
      </c>
      <c r="U29" s="137">
        <v>152.506921374146</v>
      </c>
      <c r="V29" s="137">
        <v>180</v>
      </c>
    </row>
    <row r="30" spans="1:22" ht="17.399999999999999">
      <c r="A30" s="94" t="s">
        <v>1067</v>
      </c>
      <c r="B30" s="99"/>
      <c r="C30" s="82"/>
      <c r="D30" s="82"/>
      <c r="E30" s="82" t="s">
        <v>10</v>
      </c>
      <c r="F30" s="82"/>
      <c r="G30" s="134"/>
      <c r="H30" s="82" t="s">
        <v>1040</v>
      </c>
      <c r="I30" s="138"/>
      <c r="J30" s="138">
        <v>192.881219533333</v>
      </c>
      <c r="K30" s="138">
        <v>169.75022306666699</v>
      </c>
      <c r="L30" s="138">
        <v>159.16088719999999</v>
      </c>
      <c r="M30" s="138">
        <v>154.531538466667</v>
      </c>
      <c r="N30" s="138">
        <v>164.41454680000001</v>
      </c>
      <c r="O30" s="138">
        <v>168</v>
      </c>
      <c r="P30" s="138">
        <v>171.44281260430199</v>
      </c>
      <c r="Q30" s="138">
        <v>174.974947076825</v>
      </c>
      <c r="R30" s="138">
        <v>178.57985201865199</v>
      </c>
      <c r="S30" s="138">
        <v>182.25902667655399</v>
      </c>
      <c r="T30" s="138">
        <v>186.014001185393</v>
      </c>
      <c r="U30" s="138">
        <v>189.84633720449</v>
      </c>
      <c r="V30" s="138">
        <v>210</v>
      </c>
    </row>
    <row r="31" spans="1:22" ht="17.399999999999999">
      <c r="A31" s="94" t="s">
        <v>1068</v>
      </c>
      <c r="B31" s="99"/>
      <c r="C31" s="82"/>
      <c r="D31" s="82"/>
      <c r="E31" s="80" t="s">
        <v>1069</v>
      </c>
      <c r="F31" s="80"/>
      <c r="G31" s="132"/>
      <c r="H31" s="80" t="s">
        <v>1040</v>
      </c>
      <c r="I31" s="137"/>
      <c r="J31" s="137">
        <v>422.83333333333297</v>
      </c>
      <c r="K31" s="137">
        <v>386</v>
      </c>
      <c r="L31" s="137">
        <v>396.16666666666703</v>
      </c>
      <c r="M31" s="137">
        <v>398.91666666666703</v>
      </c>
      <c r="N31" s="137">
        <v>420.66666666666703</v>
      </c>
      <c r="O31" s="137">
        <v>410</v>
      </c>
      <c r="P31" s="137">
        <v>412.640576212116</v>
      </c>
      <c r="Q31" s="137">
        <v>415.29815886991997</v>
      </c>
      <c r="R31" s="137">
        <v>417.97285750223102</v>
      </c>
      <c r="S31" s="137">
        <v>420.66478234328099</v>
      </c>
      <c r="T31" s="137">
        <v>423.374044337258</v>
      </c>
      <c r="U31" s="137">
        <v>426.10075514287797</v>
      </c>
      <c r="V31" s="137">
        <v>440</v>
      </c>
    </row>
    <row r="32" spans="1:22" ht="17.399999999999999">
      <c r="A32" s="94" t="s">
        <v>1070</v>
      </c>
      <c r="B32" s="99"/>
      <c r="C32" s="82"/>
      <c r="D32" s="82"/>
      <c r="E32" s="82" t="s">
        <v>1071</v>
      </c>
      <c r="F32" s="82"/>
      <c r="G32" s="134"/>
      <c r="H32" s="82" t="s">
        <v>1040</v>
      </c>
      <c r="I32" s="138"/>
      <c r="J32" s="138">
        <v>284.88592139999997</v>
      </c>
      <c r="K32" s="138">
        <v>204.44912861399999</v>
      </c>
      <c r="L32" s="138">
        <v>166.63254344999999</v>
      </c>
      <c r="M32" s="138">
        <v>174.19561552499999</v>
      </c>
      <c r="N32" s="138">
        <v>209.92883459999999</v>
      </c>
      <c r="O32" s="138">
        <v>212</v>
      </c>
      <c r="P32" s="138">
        <v>214.404365012065</v>
      </c>
      <c r="Q32" s="138">
        <v>216.83599875578699</v>
      </c>
      <c r="R32" s="138">
        <v>219.295210495242</v>
      </c>
      <c r="S32" s="138">
        <v>221.78231300197899</v>
      </c>
      <c r="T32" s="138">
        <v>224.29762259479401</v>
      </c>
      <c r="U32" s="138">
        <v>226.841459179965</v>
      </c>
      <c r="V32" s="138">
        <v>240</v>
      </c>
    </row>
    <row r="33" spans="1:22" ht="17.399999999999999">
      <c r="B33" s="99"/>
      <c r="C33" s="99"/>
      <c r="D33" s="99"/>
      <c r="E33" s="99"/>
      <c r="F33" s="99"/>
      <c r="G33" s="133"/>
      <c r="H33" s="104"/>
      <c r="I33" s="133"/>
      <c r="J33" s="133"/>
      <c r="K33" s="133"/>
      <c r="L33" s="133"/>
      <c r="M33" s="133"/>
      <c r="N33" s="133"/>
      <c r="O33" s="133"/>
      <c r="P33" s="133"/>
      <c r="Q33" s="133"/>
      <c r="R33" s="133"/>
      <c r="S33" s="133"/>
      <c r="T33" s="133"/>
      <c r="U33" s="133"/>
      <c r="V33" s="133"/>
    </row>
    <row r="34" spans="1:22" ht="17.7">
      <c r="B34" s="99"/>
      <c r="C34" s="79"/>
      <c r="D34" s="79"/>
      <c r="E34" s="79" t="s">
        <v>1072</v>
      </c>
      <c r="F34" s="79"/>
      <c r="G34" s="134"/>
      <c r="H34" s="82"/>
      <c r="I34" s="134"/>
      <c r="J34" s="148"/>
      <c r="K34" s="148"/>
      <c r="L34" s="148"/>
      <c r="M34" s="148"/>
      <c r="N34" s="148"/>
      <c r="O34" s="148"/>
      <c r="P34" s="148"/>
      <c r="Q34" s="148"/>
      <c r="R34" s="148"/>
      <c r="S34" s="148"/>
      <c r="T34" s="148"/>
      <c r="U34" s="148"/>
      <c r="V34" s="148"/>
    </row>
    <row r="35" spans="1:22" ht="17.399999999999999">
      <c r="A35" s="94" t="s">
        <v>1073</v>
      </c>
      <c r="B35" s="99"/>
      <c r="C35" s="82"/>
      <c r="D35" s="82"/>
      <c r="E35" s="80" t="s">
        <v>1279</v>
      </c>
      <c r="F35" s="80"/>
      <c r="G35" s="132"/>
      <c r="H35" s="80" t="s">
        <v>1052</v>
      </c>
      <c r="I35" s="132"/>
      <c r="J35" s="147">
        <v>0.92778906572916597</v>
      </c>
      <c r="K35" s="147">
        <v>0.95691416276041597</v>
      </c>
      <c r="L35" s="147">
        <v>1.0011500927083301</v>
      </c>
      <c r="M35" s="147">
        <v>1.07588211775</v>
      </c>
      <c r="N35" s="147">
        <v>1.14714875572917</v>
      </c>
      <c r="O35" s="147">
        <v>1.1399999999999999</v>
      </c>
      <c r="P35" s="147">
        <v>1.1363043111828799</v>
      </c>
      <c r="Q35" s="147">
        <v>1.1326206031691299</v>
      </c>
      <c r="R35" s="147">
        <v>1.12894883711898</v>
      </c>
      <c r="S35" s="147">
        <v>1.1252889743186001</v>
      </c>
      <c r="T35" s="147">
        <v>1.12164097617964</v>
      </c>
      <c r="U35" s="147">
        <v>1.11800480423886</v>
      </c>
      <c r="V35" s="147">
        <v>1.1000000000000001</v>
      </c>
    </row>
    <row r="36" spans="1:22" ht="17.399999999999999">
      <c r="A36" s="94" t="s">
        <v>1074</v>
      </c>
      <c r="B36" s="99"/>
      <c r="C36" s="82"/>
      <c r="D36" s="82"/>
      <c r="E36" s="82" t="s">
        <v>1075</v>
      </c>
      <c r="F36" s="82"/>
      <c r="G36" s="134"/>
      <c r="H36" s="82" t="s">
        <v>1052</v>
      </c>
      <c r="I36" s="134"/>
      <c r="J36" s="148">
        <v>5.0504537269999998</v>
      </c>
      <c r="K36" s="148">
        <v>4.5591541600000003</v>
      </c>
      <c r="L36" s="148">
        <v>4.0609100400000004</v>
      </c>
      <c r="M36" s="148">
        <v>4.3872489154999998</v>
      </c>
      <c r="N36" s="148">
        <v>4.1950427951666702</v>
      </c>
      <c r="O36" s="148">
        <v>4.3499999999999996</v>
      </c>
      <c r="P36" s="148">
        <v>4.3361450892384399</v>
      </c>
      <c r="Q36" s="148">
        <v>4.3223343068796796</v>
      </c>
      <c r="R36" s="148">
        <v>4.3085675123731404</v>
      </c>
      <c r="S36" s="148">
        <v>4.29484456561587</v>
      </c>
      <c r="T36" s="148">
        <v>4.2811653269511796</v>
      </c>
      <c r="U36" s="148">
        <v>4.2675296571671799</v>
      </c>
      <c r="V36" s="148">
        <v>4.2</v>
      </c>
    </row>
    <row r="37" spans="1:22" ht="17.399999999999999">
      <c r="A37" s="94" t="s">
        <v>1076</v>
      </c>
      <c r="B37" s="99"/>
      <c r="C37" s="82"/>
      <c r="D37" s="82"/>
      <c r="E37" s="80" t="s">
        <v>24</v>
      </c>
      <c r="F37" s="80"/>
      <c r="G37" s="132"/>
      <c r="H37" s="80" t="s">
        <v>1052</v>
      </c>
      <c r="I37" s="132"/>
      <c r="J37" s="147">
        <v>2.3224215231677001</v>
      </c>
      <c r="K37" s="147">
        <v>1.9909400487134501</v>
      </c>
      <c r="L37" s="147">
        <v>1.85255761515873</v>
      </c>
      <c r="M37" s="147">
        <v>2.1244773964702501</v>
      </c>
      <c r="N37" s="147">
        <v>2.2430235618083301</v>
      </c>
      <c r="O37" s="147">
        <v>2.1</v>
      </c>
      <c r="P37" s="147">
        <v>2.11743935321299</v>
      </c>
      <c r="Q37" s="147">
        <v>2.1350235307309702</v>
      </c>
      <c r="R37" s="147">
        <v>2.1527537352407098</v>
      </c>
      <c r="S37" s="147">
        <v>2.1706311794166302</v>
      </c>
      <c r="T37" s="147">
        <v>2.1886570860037602</v>
      </c>
      <c r="U37" s="147">
        <v>2.2068326879013398</v>
      </c>
      <c r="V37" s="147">
        <v>2.2999999999999998</v>
      </c>
    </row>
    <row r="38" spans="1:22" ht="17.399999999999999">
      <c r="A38" s="94" t="s">
        <v>1077</v>
      </c>
      <c r="B38" s="99"/>
      <c r="C38" s="82"/>
      <c r="D38" s="82"/>
      <c r="E38" s="82" t="s">
        <v>1078</v>
      </c>
      <c r="F38" s="82"/>
      <c r="G38" s="134"/>
      <c r="H38" s="82" t="s">
        <v>1052</v>
      </c>
      <c r="I38" s="134"/>
      <c r="J38" s="148">
        <v>0.78355015653208104</v>
      </c>
      <c r="K38" s="148">
        <v>0.67567491782504496</v>
      </c>
      <c r="L38" s="148">
        <v>0.88967978415183302</v>
      </c>
      <c r="M38" s="148">
        <v>0.81203535563819595</v>
      </c>
      <c r="N38" s="148">
        <v>0.78985375212504705</v>
      </c>
      <c r="O38" s="148">
        <v>0.67</v>
      </c>
      <c r="P38" s="148">
        <v>0.68821861044199095</v>
      </c>
      <c r="Q38" s="148">
        <v>0.70693262053538097</v>
      </c>
      <c r="R38" s="148">
        <v>0.72615550116563499</v>
      </c>
      <c r="S38" s="148">
        <v>0.74590108951794198</v>
      </c>
      <c r="T38" s="148">
        <v>0.76618359903761901</v>
      </c>
      <c r="U38" s="148">
        <v>0.78701762966136402</v>
      </c>
      <c r="V38" s="148">
        <v>0.9</v>
      </c>
    </row>
    <row r="39" spans="1:22" ht="17.399999999999999">
      <c r="A39" s="94" t="s">
        <v>1079</v>
      </c>
      <c r="B39" s="99"/>
      <c r="C39" s="82"/>
      <c r="D39" s="82"/>
      <c r="E39" s="80" t="s">
        <v>1080</v>
      </c>
      <c r="F39" s="80"/>
      <c r="G39" s="132"/>
      <c r="H39" s="80" t="s">
        <v>1052</v>
      </c>
      <c r="I39" s="132"/>
      <c r="J39" s="147">
        <v>17.794406611666702</v>
      </c>
      <c r="K39" s="147">
        <v>13.2152271533333</v>
      </c>
      <c r="L39" s="147">
        <v>11.216371686666699</v>
      </c>
      <c r="M39" s="147">
        <v>13.318293138333299</v>
      </c>
      <c r="N39" s="147">
        <v>12.2371107466667</v>
      </c>
      <c r="O39" s="147">
        <v>12</v>
      </c>
      <c r="P39" s="147">
        <v>12.169348203873399</v>
      </c>
      <c r="Q39" s="147">
        <v>12.3410863089264</v>
      </c>
      <c r="R39" s="147">
        <v>12.5152480422816</v>
      </c>
      <c r="S39" s="147">
        <v>12.691867607030799</v>
      </c>
      <c r="T39" s="147">
        <v>12.8709796889516</v>
      </c>
      <c r="U39" s="147">
        <v>13.0526194633195</v>
      </c>
      <c r="V39" s="147">
        <v>14</v>
      </c>
    </row>
    <row r="40" spans="1:22" ht="17.399999999999999">
      <c r="A40" s="94" t="s">
        <v>1081</v>
      </c>
      <c r="B40" s="99"/>
      <c r="C40" s="82"/>
      <c r="D40" s="82"/>
      <c r="E40" s="82" t="s">
        <v>1082</v>
      </c>
      <c r="F40" s="82"/>
      <c r="G40" s="134"/>
      <c r="H40" s="82" t="s">
        <v>1052</v>
      </c>
      <c r="I40" s="134"/>
      <c r="J40" s="148">
        <v>0.37498749016666699</v>
      </c>
      <c r="K40" s="148">
        <v>0.29626418433333301</v>
      </c>
      <c r="L40" s="148">
        <v>0.39806251283333299</v>
      </c>
      <c r="M40" s="148">
        <v>0.3531250085</v>
      </c>
      <c r="N40" s="148">
        <v>0.27561424366666698</v>
      </c>
      <c r="O40" s="148">
        <v>0.28000000000000003</v>
      </c>
      <c r="P40" s="148">
        <v>0.28788225833264802</v>
      </c>
      <c r="Q40" s="148">
        <v>0.29598640950966298</v>
      </c>
      <c r="R40" s="148">
        <v>0.30431870001933498</v>
      </c>
      <c r="S40" s="148">
        <v>0.31288555219436398</v>
      </c>
      <c r="T40" s="148">
        <v>0.32169356916204001</v>
      </c>
      <c r="U40" s="148">
        <v>0.33074953993377898</v>
      </c>
      <c r="V40" s="148">
        <v>0.38</v>
      </c>
    </row>
    <row r="41" spans="1:22" ht="17.399999999999999">
      <c r="B41" s="99"/>
      <c r="C41" s="99"/>
      <c r="D41" s="99"/>
      <c r="E41" s="99"/>
      <c r="F41" s="99"/>
      <c r="G41" s="139"/>
      <c r="H41" s="104"/>
      <c r="I41" s="139"/>
      <c r="J41" s="139"/>
      <c r="K41" s="139"/>
      <c r="L41" s="139"/>
      <c r="M41" s="139"/>
      <c r="N41" s="139"/>
      <c r="O41" s="139"/>
      <c r="P41" s="139"/>
      <c r="Q41" s="139"/>
      <c r="R41" s="139"/>
      <c r="S41" s="139"/>
      <c r="T41" s="139"/>
      <c r="U41" s="139"/>
      <c r="V41" s="139"/>
    </row>
    <row r="42" spans="1:22" ht="17.7">
      <c r="B42" s="99"/>
      <c r="C42" s="99"/>
      <c r="D42" s="79" t="s">
        <v>995</v>
      </c>
      <c r="E42" s="99"/>
      <c r="F42" s="99"/>
      <c r="G42" s="83"/>
      <c r="H42" s="82"/>
      <c r="I42" s="83"/>
      <c r="J42" s="83"/>
      <c r="K42" s="83"/>
      <c r="L42" s="83"/>
      <c r="M42" s="83"/>
      <c r="N42" s="83"/>
      <c r="O42" s="83"/>
      <c r="P42" s="83"/>
      <c r="Q42" s="83"/>
      <c r="R42" s="83"/>
      <c r="S42" s="83"/>
      <c r="T42" s="83"/>
      <c r="U42" s="83"/>
      <c r="V42" s="83"/>
    </row>
    <row r="43" spans="1:22" ht="17.7">
      <c r="B43" s="99"/>
      <c r="C43" s="99"/>
      <c r="D43" s="79"/>
      <c r="E43" s="79" t="s">
        <v>996</v>
      </c>
      <c r="F43" s="79"/>
      <c r="G43" s="83"/>
      <c r="H43" s="82"/>
      <c r="I43" s="83"/>
      <c r="J43" s="83"/>
      <c r="K43" s="83"/>
      <c r="L43" s="83"/>
      <c r="M43" s="83"/>
      <c r="N43" s="83"/>
      <c r="O43" s="83"/>
      <c r="P43" s="83"/>
      <c r="Q43" s="83"/>
      <c r="R43" s="83"/>
      <c r="S43" s="83"/>
      <c r="T43" s="83"/>
      <c r="U43" s="83"/>
      <c r="V43" s="83"/>
    </row>
    <row r="44" spans="1:22" ht="17.399999999999999">
      <c r="A44" s="94" t="s">
        <v>1083</v>
      </c>
      <c r="B44" s="99"/>
      <c r="C44" s="99"/>
      <c r="D44" s="82"/>
      <c r="E44" s="80" t="s">
        <v>50</v>
      </c>
      <c r="F44" s="80"/>
      <c r="G44" s="132"/>
      <c r="H44" s="80" t="s">
        <v>1084</v>
      </c>
      <c r="I44" s="132"/>
      <c r="J44" s="137">
        <v>465.16509057971001</v>
      </c>
      <c r="K44" s="137">
        <v>388.57875000000001</v>
      </c>
      <c r="L44" s="137">
        <v>387.40625</v>
      </c>
      <c r="M44" s="137">
        <v>395.222916666667</v>
      </c>
      <c r="N44" s="137">
        <v>413.54833333333301</v>
      </c>
      <c r="O44" s="137">
        <v>400</v>
      </c>
      <c r="P44" s="137">
        <v>404.30603186028799</v>
      </c>
      <c r="Q44" s="137">
        <v>408.658418496531</v>
      </c>
      <c r="R44" s="137">
        <v>413.05765892158303</v>
      </c>
      <c r="S44" s="137">
        <v>417.50425752021403</v>
      </c>
      <c r="T44" s="137">
        <v>421.99872410693399</v>
      </c>
      <c r="U44" s="137">
        <v>426.54157398444698</v>
      </c>
      <c r="V44" s="137">
        <v>450</v>
      </c>
    </row>
    <row r="45" spans="1:22" s="107" customFormat="1" ht="17.399999999999999">
      <c r="A45" s="105" t="s">
        <v>1085</v>
      </c>
      <c r="B45" s="106"/>
      <c r="C45" s="106"/>
      <c r="D45" s="82"/>
      <c r="E45" s="82" t="s">
        <v>1086</v>
      </c>
      <c r="F45" s="82"/>
      <c r="G45" s="134"/>
      <c r="H45" s="82" t="s">
        <v>1084</v>
      </c>
      <c r="I45" s="134"/>
      <c r="J45" s="138">
        <v>282.04117576819698</v>
      </c>
      <c r="K45" s="138">
        <v>246.01583311526599</v>
      </c>
      <c r="L45" s="138">
        <v>274.37688334646299</v>
      </c>
      <c r="M45" s="138">
        <v>265.428524718652</v>
      </c>
      <c r="N45" s="138">
        <v>269.70393820628902</v>
      </c>
      <c r="O45" s="138">
        <v>275</v>
      </c>
      <c r="P45" s="138">
        <v>278.81496701199899</v>
      </c>
      <c r="Q45" s="138">
        <v>282.682857563281</v>
      </c>
      <c r="R45" s="138">
        <v>286.60440584132402</v>
      </c>
      <c r="S45" s="138">
        <v>290.58035621869999</v>
      </c>
      <c r="T45" s="138">
        <v>294.61146339436999</v>
      </c>
      <c r="U45" s="138">
        <v>298.698492536939</v>
      </c>
      <c r="V45" s="138">
        <v>320</v>
      </c>
    </row>
    <row r="46" spans="1:22" ht="17.399999999999999">
      <c r="A46" s="94" t="s">
        <v>1087</v>
      </c>
      <c r="B46" s="99"/>
      <c r="C46" s="99"/>
      <c r="D46" s="82"/>
      <c r="E46" s="80" t="s">
        <v>1088</v>
      </c>
      <c r="F46" s="80"/>
      <c r="G46" s="132"/>
      <c r="H46" s="80" t="s">
        <v>1084</v>
      </c>
      <c r="I46" s="132"/>
      <c r="J46" s="137">
        <v>897.94200000000001</v>
      </c>
      <c r="K46" s="137">
        <v>833.25049999999999</v>
      </c>
      <c r="L46" s="137">
        <v>738.87920833333305</v>
      </c>
      <c r="M46" s="137">
        <v>702.10987499999999</v>
      </c>
      <c r="N46" s="137">
        <v>727.94287499999996</v>
      </c>
      <c r="O46" s="137">
        <v>720</v>
      </c>
      <c r="P46" s="137">
        <v>730.94686569654198</v>
      </c>
      <c r="Q46" s="137">
        <v>742.06016732166495</v>
      </c>
      <c r="R46" s="137">
        <v>753.34243536392</v>
      </c>
      <c r="S46" s="137">
        <v>764.79623878535699</v>
      </c>
      <c r="T46" s="137">
        <v>776.424185606474</v>
      </c>
      <c r="U46" s="137">
        <v>788.22892350005804</v>
      </c>
      <c r="V46" s="137">
        <v>850</v>
      </c>
    </row>
    <row r="47" spans="1:22" ht="17.7">
      <c r="B47" s="99"/>
      <c r="C47" s="79"/>
      <c r="D47" s="99"/>
      <c r="E47" s="99"/>
      <c r="F47" s="99"/>
      <c r="G47" s="108"/>
      <c r="H47" s="99"/>
      <c r="I47" s="108"/>
      <c r="J47" s="108"/>
      <c r="K47" s="108"/>
      <c r="L47" s="108"/>
      <c r="M47" s="108"/>
      <c r="N47" s="108"/>
      <c r="O47" s="108"/>
      <c r="P47" s="108"/>
      <c r="Q47" s="108"/>
      <c r="R47" s="108"/>
      <c r="S47" s="108"/>
      <c r="T47" s="108"/>
      <c r="U47" s="108"/>
      <c r="V47" s="108"/>
    </row>
    <row r="48" spans="1:22" ht="17.7">
      <c r="B48" s="99"/>
      <c r="C48" s="79"/>
      <c r="D48" s="79"/>
      <c r="E48" s="79" t="s">
        <v>1002</v>
      </c>
      <c r="F48" s="79"/>
      <c r="G48" s="134"/>
      <c r="H48" s="82"/>
      <c r="I48" s="134"/>
      <c r="J48" s="134"/>
      <c r="K48" s="134"/>
      <c r="L48" s="134"/>
      <c r="M48" s="134"/>
      <c r="N48" s="134"/>
      <c r="O48" s="134"/>
      <c r="P48" s="134"/>
      <c r="Q48" s="134"/>
      <c r="R48" s="134"/>
      <c r="S48" s="134"/>
      <c r="T48" s="134"/>
      <c r="U48" s="134"/>
      <c r="V48" s="134"/>
    </row>
    <row r="49" spans="1:22" ht="17.399999999999999">
      <c r="A49" s="94" t="s">
        <v>1089</v>
      </c>
      <c r="B49" s="99"/>
      <c r="C49" s="82"/>
      <c r="D49" s="82"/>
      <c r="E49" s="80" t="s">
        <v>1090</v>
      </c>
      <c r="F49" s="80"/>
      <c r="G49" s="132"/>
      <c r="H49" s="80" t="s">
        <v>1052</v>
      </c>
      <c r="I49" s="132"/>
      <c r="J49" s="147">
        <v>1.8319473608333301</v>
      </c>
      <c r="K49" s="147">
        <v>1.5524199166666699</v>
      </c>
      <c r="L49" s="147">
        <v>1.6361219893333301</v>
      </c>
      <c r="M49" s="147">
        <v>1.8429888326666699</v>
      </c>
      <c r="N49" s="147">
        <v>2.0145817560000001</v>
      </c>
      <c r="O49" s="147">
        <v>1.88</v>
      </c>
      <c r="P49" s="147">
        <v>1.9070573037806899</v>
      </c>
      <c r="Q49" s="147">
        <v>1.9345040212251501</v>
      </c>
      <c r="R49" s="147">
        <v>1.9623457568460401</v>
      </c>
      <c r="S49" s="147">
        <v>1.9905881958171701</v>
      </c>
      <c r="T49" s="147">
        <v>2.01923710513445</v>
      </c>
      <c r="U49" s="147">
        <v>2.0482983347934298</v>
      </c>
      <c r="V49" s="147">
        <v>2.2000000000000002</v>
      </c>
    </row>
    <row r="50" spans="1:22" ht="17.399999999999999">
      <c r="A50" s="94" t="s">
        <v>1091</v>
      </c>
      <c r="B50" s="99"/>
      <c r="C50" s="82"/>
      <c r="D50" s="82"/>
      <c r="E50" s="82" t="s">
        <v>1092</v>
      </c>
      <c r="F50" s="82"/>
      <c r="G50" s="134"/>
      <c r="H50" s="82" t="s">
        <v>1052</v>
      </c>
      <c r="I50" s="134"/>
      <c r="J50" s="148">
        <v>1.95149166666667</v>
      </c>
      <c r="K50" s="148">
        <v>1.5713250000000001</v>
      </c>
      <c r="L50" s="148">
        <v>1.6051833333333301</v>
      </c>
      <c r="M50" s="148">
        <v>1.9954416666666701</v>
      </c>
      <c r="N50" s="148">
        <v>1.5653250000000001</v>
      </c>
      <c r="O50" s="148">
        <v>1.7</v>
      </c>
      <c r="P50" s="148">
        <v>1.7541376807741</v>
      </c>
      <c r="Q50" s="148">
        <v>1.8099994135950199</v>
      </c>
      <c r="R50" s="148">
        <v>1.8676401020976801</v>
      </c>
      <c r="S50" s="148">
        <v>1.92711639836136</v>
      </c>
      <c r="T50" s="148">
        <v>1.9884867585902</v>
      </c>
      <c r="U50" s="148">
        <v>2.0518115005667199</v>
      </c>
      <c r="V50" s="148">
        <v>2.4</v>
      </c>
    </row>
    <row r="51" spans="1:22" ht="17.399999999999999">
      <c r="A51" s="94" t="s">
        <v>1093</v>
      </c>
      <c r="B51" s="99"/>
      <c r="C51" s="82"/>
      <c r="D51" s="82"/>
      <c r="E51" s="80" t="s">
        <v>1094</v>
      </c>
      <c r="F51" s="80"/>
      <c r="G51" s="132"/>
      <c r="H51" s="80" t="s">
        <v>1040</v>
      </c>
      <c r="I51" s="132"/>
      <c r="J51" s="135">
        <v>4990.7722222222201</v>
      </c>
      <c r="K51" s="135">
        <v>4908.2951388888896</v>
      </c>
      <c r="L51" s="135">
        <v>4806.1798611111099</v>
      </c>
      <c r="M51" s="135">
        <v>4679.34375</v>
      </c>
      <c r="N51" s="135">
        <v>4862.9097222222199</v>
      </c>
      <c r="O51" s="135">
        <v>4900</v>
      </c>
      <c r="P51" s="135">
        <v>4862.2125240388104</v>
      </c>
      <c r="Q51" s="135">
        <v>4824.7164548816099</v>
      </c>
      <c r="R51" s="135">
        <v>4787.5095452778596</v>
      </c>
      <c r="S51" s="135">
        <v>4750.5895653072203</v>
      </c>
      <c r="T51" s="135">
        <v>4713.9543022458902</v>
      </c>
      <c r="U51" s="135">
        <v>4677.60156043401</v>
      </c>
      <c r="V51" s="135">
        <v>4500</v>
      </c>
    </row>
    <row r="52" spans="1:22" ht="17.399999999999999">
      <c r="B52" s="99"/>
      <c r="C52" s="82"/>
      <c r="D52" s="82"/>
      <c r="E52" s="82"/>
      <c r="F52" s="82"/>
      <c r="G52" s="134"/>
      <c r="H52" s="82"/>
      <c r="I52" s="134"/>
      <c r="J52" s="134"/>
      <c r="K52" s="134"/>
      <c r="L52" s="134"/>
      <c r="M52" s="134"/>
      <c r="N52" s="134"/>
      <c r="O52" s="134"/>
      <c r="P52" s="134"/>
      <c r="Q52" s="134"/>
      <c r="R52" s="134"/>
      <c r="S52" s="134"/>
      <c r="T52" s="134"/>
      <c r="U52" s="134"/>
      <c r="V52" s="134"/>
    </row>
    <row r="53" spans="1:22" ht="17.7">
      <c r="B53" s="99"/>
      <c r="C53" s="79" t="s">
        <v>1012</v>
      </c>
      <c r="D53" s="79"/>
      <c r="E53" s="99"/>
      <c r="F53" s="99"/>
      <c r="G53" s="134"/>
      <c r="H53" s="82"/>
      <c r="I53" s="134"/>
      <c r="J53" s="134"/>
      <c r="K53" s="134"/>
      <c r="L53" s="134"/>
      <c r="M53" s="134"/>
      <c r="N53" s="134"/>
      <c r="O53" s="134"/>
      <c r="P53" s="134"/>
      <c r="Q53" s="134"/>
      <c r="R53" s="134"/>
      <c r="S53" s="134"/>
      <c r="T53" s="134"/>
      <c r="U53" s="134"/>
      <c r="V53" s="134"/>
    </row>
    <row r="54" spans="1:22" ht="17.399999999999999">
      <c r="A54" s="94" t="s">
        <v>1095</v>
      </c>
      <c r="B54" s="99"/>
      <c r="C54" s="80" t="s">
        <v>0</v>
      </c>
      <c r="D54" s="80"/>
      <c r="E54" s="102"/>
      <c r="F54" s="80"/>
      <c r="G54" s="132"/>
      <c r="H54" s="80" t="s">
        <v>1040</v>
      </c>
      <c r="I54" s="132"/>
      <c r="J54" s="140">
        <v>429.58645833333298</v>
      </c>
      <c r="K54" s="140">
        <v>416.62395833333301</v>
      </c>
      <c r="L54" s="140">
        <v>315.81354166666699</v>
      </c>
      <c r="M54" s="140">
        <v>323.027083333333</v>
      </c>
      <c r="N54" s="140">
        <v>393.42500000000001</v>
      </c>
      <c r="O54" s="140">
        <v>370</v>
      </c>
      <c r="P54" s="140">
        <v>376.64306703843801</v>
      </c>
      <c r="Q54" s="140">
        <v>383.405405265193</v>
      </c>
      <c r="R54" s="140">
        <v>390.28915610323702</v>
      </c>
      <c r="S54" s="140">
        <v>397.29649942315501</v>
      </c>
      <c r="T54" s="140">
        <v>404.42965423343799</v>
      </c>
      <c r="U54" s="140">
        <v>411.69087938318199</v>
      </c>
      <c r="V54" s="140">
        <v>450</v>
      </c>
    </row>
    <row r="55" spans="1:22" ht="17.399999999999999">
      <c r="A55" s="94" t="s">
        <v>1096</v>
      </c>
      <c r="B55" s="99"/>
      <c r="C55" s="82" t="s">
        <v>57</v>
      </c>
      <c r="D55" s="82"/>
      <c r="E55" s="99"/>
      <c r="F55" s="82"/>
      <c r="G55" s="134"/>
      <c r="H55" s="82" t="s">
        <v>1040</v>
      </c>
      <c r="I55" s="134"/>
      <c r="J55" s="141">
        <v>110.458333333333</v>
      </c>
      <c r="K55" s="141">
        <v>120.314583333333</v>
      </c>
      <c r="L55" s="141">
        <v>110.45625</v>
      </c>
      <c r="M55" s="141">
        <v>89.6875</v>
      </c>
      <c r="N55" s="141">
        <v>87.9</v>
      </c>
      <c r="O55" s="141">
        <v>105</v>
      </c>
      <c r="P55" s="141">
        <v>106.677541989471</v>
      </c>
      <c r="Q55" s="141">
        <v>108.381885380146</v>
      </c>
      <c r="R55" s="141">
        <v>110.113458367033</v>
      </c>
      <c r="S55" s="141">
        <v>111.87269598623899</v>
      </c>
      <c r="T55" s="141">
        <v>113.66004022426</v>
      </c>
      <c r="U55" s="141">
        <v>115.475940129032</v>
      </c>
      <c r="V55" s="141">
        <v>125</v>
      </c>
    </row>
    <row r="56" spans="1:22" ht="17.399999999999999">
      <c r="A56" s="94" t="s">
        <v>1097</v>
      </c>
      <c r="B56" s="99"/>
      <c r="C56" s="80" t="s">
        <v>1098</v>
      </c>
      <c r="D56" s="80"/>
      <c r="E56" s="102"/>
      <c r="F56" s="80"/>
      <c r="G56" s="132"/>
      <c r="H56" s="80" t="s">
        <v>1040</v>
      </c>
      <c r="I56" s="132"/>
      <c r="J56" s="140">
        <v>296.625</v>
      </c>
      <c r="K56" s="140">
        <v>296.06458333333302</v>
      </c>
      <c r="L56" s="140">
        <v>260.33333333333297</v>
      </c>
      <c r="M56" s="140">
        <v>218.229166666667</v>
      </c>
      <c r="N56" s="140">
        <v>215.5</v>
      </c>
      <c r="O56" s="140">
        <v>240</v>
      </c>
      <c r="P56" s="140">
        <v>246.35949698280899</v>
      </c>
      <c r="Q56" s="140">
        <v>252.88750730676199</v>
      </c>
      <c r="R56" s="140">
        <v>259.58849622220998</v>
      </c>
      <c r="S56" s="140">
        <v>266.46704729928098</v>
      </c>
      <c r="T56" s="140">
        <v>273.52786556310502</v>
      </c>
      <c r="U56" s="140">
        <v>280.77578071211701</v>
      </c>
      <c r="V56" s="140">
        <v>320</v>
      </c>
    </row>
    <row r="57" spans="1:22" ht="17.399999999999999">
      <c r="A57" s="94" t="s">
        <v>1099</v>
      </c>
      <c r="B57" s="99"/>
      <c r="C57" s="82" t="s">
        <v>1</v>
      </c>
      <c r="D57" s="82"/>
      <c r="E57" s="99"/>
      <c r="F57" s="82"/>
      <c r="G57" s="134"/>
      <c r="H57" s="82" t="s">
        <v>1040</v>
      </c>
      <c r="I57" s="134"/>
      <c r="J57" s="141">
        <v>382</v>
      </c>
      <c r="K57" s="141">
        <v>377.66666666666703</v>
      </c>
      <c r="L57" s="141">
        <v>291.08333333333297</v>
      </c>
      <c r="M57" s="141">
        <v>283.33333333333297</v>
      </c>
      <c r="N57" s="141">
        <v>346.66666666666703</v>
      </c>
      <c r="O57" s="141">
        <v>340</v>
      </c>
      <c r="P57" s="141">
        <v>343.45532294061701</v>
      </c>
      <c r="Q57" s="141">
        <v>346.94576134189202</v>
      </c>
      <c r="R57" s="141">
        <v>350.47167207222901</v>
      </c>
      <c r="S57" s="141">
        <v>354.03341562678003</v>
      </c>
      <c r="T57" s="141">
        <v>357.63135616430998</v>
      </c>
      <c r="U57" s="141">
        <v>361.26586154442299</v>
      </c>
      <c r="V57" s="141">
        <v>380</v>
      </c>
    </row>
    <row r="58" spans="1:22" ht="17.399999999999999">
      <c r="A58" s="94" t="s">
        <v>1100</v>
      </c>
      <c r="B58" s="99"/>
      <c r="C58" s="80" t="s">
        <v>1101</v>
      </c>
      <c r="D58" s="80"/>
      <c r="E58" s="102"/>
      <c r="F58" s="80"/>
      <c r="G58" s="132"/>
      <c r="H58" s="80" t="s">
        <v>1040</v>
      </c>
      <c r="I58" s="132"/>
      <c r="J58" s="140">
        <v>308.4375</v>
      </c>
      <c r="K58" s="140">
        <v>277.9375</v>
      </c>
      <c r="L58" s="140">
        <v>194.129166666667</v>
      </c>
      <c r="M58" s="140">
        <v>213.875</v>
      </c>
      <c r="N58" s="140">
        <v>249.44958333333301</v>
      </c>
      <c r="O58" s="140">
        <v>250</v>
      </c>
      <c r="P58" s="140">
        <v>254.17820229024301</v>
      </c>
      <c r="Q58" s="140">
        <v>258.42623407799999</v>
      </c>
      <c r="R58" s="140">
        <v>262.74526241033402</v>
      </c>
      <c r="S58" s="140">
        <v>267.13647383894801</v>
      </c>
      <c r="T58" s="140">
        <v>271.60107474615398</v>
      </c>
      <c r="U58" s="140">
        <v>276.14029167630201</v>
      </c>
      <c r="V58" s="140">
        <v>300</v>
      </c>
    </row>
    <row r="59" spans="1:22" ht="17.399999999999999">
      <c r="B59" s="99"/>
      <c r="C59" s="82"/>
      <c r="D59" s="82"/>
      <c r="E59" s="82"/>
      <c r="F59" s="82"/>
      <c r="G59" s="134"/>
      <c r="H59" s="82"/>
      <c r="I59" s="134"/>
      <c r="J59" s="134"/>
      <c r="K59" s="134"/>
      <c r="L59" s="134"/>
      <c r="M59" s="134"/>
      <c r="N59" s="134"/>
      <c r="O59" s="134"/>
      <c r="P59" s="134"/>
      <c r="Q59" s="134"/>
      <c r="R59" s="134"/>
      <c r="S59" s="134"/>
      <c r="T59" s="134"/>
      <c r="U59" s="134"/>
      <c r="V59" s="134"/>
    </row>
    <row r="60" spans="1:22" ht="17.7">
      <c r="B60" s="99"/>
      <c r="C60" s="79" t="s">
        <v>1013</v>
      </c>
      <c r="D60" s="79"/>
      <c r="E60" s="99"/>
      <c r="F60" s="99"/>
      <c r="G60" s="134"/>
      <c r="H60" s="82"/>
      <c r="I60" s="134"/>
      <c r="J60" s="134"/>
      <c r="K60" s="134"/>
      <c r="L60" s="134"/>
      <c r="M60" s="134"/>
      <c r="N60" s="134"/>
      <c r="O60" s="134"/>
      <c r="P60" s="134"/>
      <c r="Q60" s="134"/>
      <c r="R60" s="134"/>
      <c r="S60" s="134"/>
      <c r="T60" s="134"/>
      <c r="U60" s="134"/>
      <c r="V60" s="134"/>
    </row>
    <row r="61" spans="1:22" ht="17.399999999999999">
      <c r="A61" s="94" t="s">
        <v>1102</v>
      </c>
      <c r="B61" s="99"/>
      <c r="C61" s="80" t="s">
        <v>1103</v>
      </c>
      <c r="D61" s="102"/>
      <c r="E61" s="102"/>
      <c r="F61" s="102"/>
      <c r="G61" s="132"/>
      <c r="H61" s="80" t="s">
        <v>1040</v>
      </c>
      <c r="I61" s="132"/>
      <c r="J61" s="135">
        <v>1867.42</v>
      </c>
      <c r="K61" s="135">
        <v>1664.6808333333299</v>
      </c>
      <c r="L61" s="135">
        <v>1604.18166666667</v>
      </c>
      <c r="M61" s="135">
        <v>1967.6541666666701</v>
      </c>
      <c r="N61" s="135">
        <v>2108.4749999999999</v>
      </c>
      <c r="O61" s="135">
        <v>1940</v>
      </c>
      <c r="P61" s="135">
        <v>1970</v>
      </c>
      <c r="Q61" s="135">
        <v>1991.87404055761</v>
      </c>
      <c r="R61" s="135">
        <v>2013.99096114075</v>
      </c>
      <c r="S61" s="135">
        <v>2036.3534585857501</v>
      </c>
      <c r="T61" s="135">
        <v>2058.9642596734302</v>
      </c>
      <c r="U61" s="135">
        <v>2081.82612146164</v>
      </c>
      <c r="V61" s="135">
        <v>2200</v>
      </c>
    </row>
    <row r="62" spans="1:22" ht="17.399999999999999">
      <c r="A62" s="94" t="s">
        <v>1104</v>
      </c>
      <c r="B62" s="99"/>
      <c r="C62" s="82" t="s">
        <v>15</v>
      </c>
      <c r="D62" s="99"/>
      <c r="E62" s="99"/>
      <c r="F62" s="99"/>
      <c r="G62" s="134"/>
      <c r="H62" s="82" t="s">
        <v>1040</v>
      </c>
      <c r="I62" s="134"/>
      <c r="J62" s="136">
        <v>6863.3975</v>
      </c>
      <c r="K62" s="136">
        <v>5510.4566666666697</v>
      </c>
      <c r="L62" s="136">
        <v>4867.8975</v>
      </c>
      <c r="M62" s="136">
        <v>6169.94</v>
      </c>
      <c r="N62" s="136">
        <v>6529.7983333333304</v>
      </c>
      <c r="O62" s="136">
        <v>6490</v>
      </c>
      <c r="P62" s="136">
        <v>6680</v>
      </c>
      <c r="Q62" s="136">
        <v>6711.3304075960496</v>
      </c>
      <c r="R62" s="136">
        <v>6742.80776046756</v>
      </c>
      <c r="S62" s="136">
        <v>6774.4327478144496</v>
      </c>
      <c r="T62" s="136">
        <v>6806.20606206909</v>
      </c>
      <c r="U62" s="136">
        <v>6838.1283989115</v>
      </c>
      <c r="V62" s="136">
        <v>7000</v>
      </c>
    </row>
    <row r="63" spans="1:22" ht="17.399999999999999">
      <c r="A63" s="94" t="s">
        <v>1105</v>
      </c>
      <c r="B63" s="99"/>
      <c r="C63" s="80" t="s">
        <v>1106</v>
      </c>
      <c r="D63" s="102"/>
      <c r="E63" s="102"/>
      <c r="F63" s="102"/>
      <c r="G63" s="132"/>
      <c r="H63" s="80" t="s">
        <v>1107</v>
      </c>
      <c r="I63" s="132"/>
      <c r="J63" s="142">
        <v>96.952462121212093</v>
      </c>
      <c r="K63" s="142">
        <v>55.8541666666667</v>
      </c>
      <c r="L63" s="142">
        <v>58.4241666666667</v>
      </c>
      <c r="M63" s="142">
        <v>71.760000000000005</v>
      </c>
      <c r="N63" s="142">
        <v>69.750833333333304</v>
      </c>
      <c r="O63" s="142">
        <v>77.7</v>
      </c>
      <c r="P63" s="142">
        <v>73</v>
      </c>
      <c r="Q63" s="142">
        <v>72.694303211230803</v>
      </c>
      <c r="R63" s="142">
        <v>72.389886566662597</v>
      </c>
      <c r="S63" s="142">
        <v>72.086744705528403</v>
      </c>
      <c r="T63" s="142">
        <v>71.784872289510602</v>
      </c>
      <c r="U63" s="142">
        <v>71.4842640026461</v>
      </c>
      <c r="V63" s="142">
        <v>70</v>
      </c>
    </row>
    <row r="64" spans="1:22" ht="17.399999999999999">
      <c r="A64" s="94" t="s">
        <v>1108</v>
      </c>
      <c r="B64" s="99"/>
      <c r="C64" s="82" t="s">
        <v>16</v>
      </c>
      <c r="D64" s="99"/>
      <c r="E64" s="99"/>
      <c r="F64" s="99"/>
      <c r="G64" s="134"/>
      <c r="H64" s="82" t="s">
        <v>1040</v>
      </c>
      <c r="I64" s="134"/>
      <c r="J64" s="136">
        <v>2095.4583333333298</v>
      </c>
      <c r="K64" s="136">
        <v>1787.8191666666701</v>
      </c>
      <c r="L64" s="136">
        <v>1866.65333333333</v>
      </c>
      <c r="M64" s="136">
        <v>2314.665</v>
      </c>
      <c r="N64" s="136">
        <v>2240.4349999999999</v>
      </c>
      <c r="O64" s="136">
        <v>1980</v>
      </c>
      <c r="P64" s="136">
        <v>2000</v>
      </c>
      <c r="Q64" s="136">
        <v>2009.7818763970199</v>
      </c>
      <c r="R64" s="136">
        <v>2019.61159534697</v>
      </c>
      <c r="S64" s="136">
        <v>2029.48939084481</v>
      </c>
      <c r="T64" s="136">
        <v>2039.41549802997</v>
      </c>
      <c r="U64" s="136">
        <v>2049.39015319192</v>
      </c>
      <c r="V64" s="136">
        <v>2100</v>
      </c>
    </row>
    <row r="65" spans="1:25" ht="17.399999999999999">
      <c r="A65" s="94" t="s">
        <v>1109</v>
      </c>
      <c r="B65" s="99"/>
      <c r="C65" s="80" t="s">
        <v>21</v>
      </c>
      <c r="D65" s="102"/>
      <c r="E65" s="102"/>
      <c r="F65" s="102"/>
      <c r="G65" s="135"/>
      <c r="H65" s="80" t="s">
        <v>1040</v>
      </c>
      <c r="I65" s="135"/>
      <c r="J65" s="135">
        <v>16893.375833333299</v>
      </c>
      <c r="K65" s="135">
        <v>11862.635</v>
      </c>
      <c r="L65" s="135">
        <v>9595.1791666666704</v>
      </c>
      <c r="M65" s="135">
        <v>10409.635</v>
      </c>
      <c r="N65" s="135">
        <v>13114.0641666667</v>
      </c>
      <c r="O65" s="135">
        <v>12880</v>
      </c>
      <c r="P65" s="135">
        <v>13700</v>
      </c>
      <c r="Q65" s="135">
        <v>14079.1281175104</v>
      </c>
      <c r="R65" s="135">
        <v>14468.748069290001</v>
      </c>
      <c r="S65" s="135">
        <v>14869.150202008401</v>
      </c>
      <c r="T65" s="135">
        <v>15280.632897268801</v>
      </c>
      <c r="U65" s="135">
        <v>15703.5027939629</v>
      </c>
      <c r="V65" s="135">
        <v>18000</v>
      </c>
    </row>
    <row r="66" spans="1:25" ht="17.399999999999999">
      <c r="A66" s="94" t="s">
        <v>1110</v>
      </c>
      <c r="B66" s="99"/>
      <c r="C66" s="82" t="s">
        <v>17</v>
      </c>
      <c r="D66" s="99"/>
      <c r="E66" s="99"/>
      <c r="F66" s="99"/>
      <c r="G66" s="134"/>
      <c r="H66" s="82" t="s">
        <v>1040</v>
      </c>
      <c r="I66" s="134"/>
      <c r="J66" s="136">
        <v>21898.871666666699</v>
      </c>
      <c r="K66" s="136">
        <v>16066.631666666701</v>
      </c>
      <c r="L66" s="136">
        <v>17933.761666666702</v>
      </c>
      <c r="M66" s="136">
        <v>20061.169166666699</v>
      </c>
      <c r="N66" s="136">
        <v>20145.205833333301</v>
      </c>
      <c r="O66" s="136">
        <v>21210</v>
      </c>
      <c r="P66" s="136">
        <v>21580</v>
      </c>
      <c r="Q66" s="136">
        <v>21717.9625504947</v>
      </c>
      <c r="R66" s="136">
        <v>21856.807105870601</v>
      </c>
      <c r="S66" s="136">
        <v>21996.539304851001</v>
      </c>
      <c r="T66" s="136">
        <v>22137.164822207498</v>
      </c>
      <c r="U66" s="136">
        <v>22278.689368991199</v>
      </c>
      <c r="V66" s="136">
        <v>23000</v>
      </c>
    </row>
    <row r="67" spans="1:25" ht="17.399999999999999">
      <c r="A67" s="94" t="s">
        <v>1111</v>
      </c>
      <c r="B67" s="99"/>
      <c r="C67" s="80" t="s">
        <v>18</v>
      </c>
      <c r="D67" s="102"/>
      <c r="E67" s="102"/>
      <c r="F67" s="102"/>
      <c r="G67" s="132"/>
      <c r="H67" s="80" t="s">
        <v>1040</v>
      </c>
      <c r="I67" s="132"/>
      <c r="J67" s="135">
        <v>2160.9708333333301</v>
      </c>
      <c r="K67" s="135">
        <v>1931.6783333333301</v>
      </c>
      <c r="L67" s="135">
        <v>2089.9749999999999</v>
      </c>
      <c r="M67" s="135">
        <v>2890.86666666667</v>
      </c>
      <c r="N67" s="135">
        <v>2922.3791666666698</v>
      </c>
      <c r="O67" s="135">
        <v>2870</v>
      </c>
      <c r="P67" s="135">
        <v>2650</v>
      </c>
      <c r="Q67" s="135">
        <v>2634.60363936556</v>
      </c>
      <c r="R67" s="135">
        <v>2619.2967307767099</v>
      </c>
      <c r="S67" s="135">
        <v>2604.0787545217499</v>
      </c>
      <c r="T67" s="135">
        <v>2588.9491939085101</v>
      </c>
      <c r="U67" s="135">
        <v>2573.9075352467498</v>
      </c>
      <c r="V67" s="135">
        <v>2500</v>
      </c>
    </row>
    <row r="68" spans="1:25" ht="17.399999999999999">
      <c r="B68" s="99"/>
      <c r="C68" s="81"/>
      <c r="D68" s="99"/>
      <c r="E68" s="99"/>
      <c r="F68" s="99"/>
      <c r="G68" s="149"/>
      <c r="H68" s="81"/>
      <c r="I68" s="149"/>
      <c r="J68" s="149"/>
      <c r="K68" s="149"/>
      <c r="L68" s="149"/>
      <c r="M68" s="149"/>
      <c r="N68" s="149"/>
      <c r="O68" s="149"/>
      <c r="P68" s="149"/>
      <c r="Q68" s="149"/>
      <c r="R68" s="149"/>
      <c r="S68" s="149"/>
      <c r="T68" s="149"/>
      <c r="U68" s="149"/>
      <c r="V68" s="149"/>
    </row>
    <row r="69" spans="1:25" ht="17.7">
      <c r="B69" s="79" t="s">
        <v>1029</v>
      </c>
      <c r="C69" s="99"/>
      <c r="D69" s="79"/>
      <c r="E69" s="99"/>
      <c r="F69" s="99"/>
      <c r="G69" s="134"/>
      <c r="H69" s="82"/>
      <c r="I69" s="134"/>
      <c r="J69" s="134"/>
      <c r="K69" s="134"/>
      <c r="L69" s="134"/>
      <c r="M69" s="134"/>
      <c r="N69" s="134"/>
      <c r="O69" s="134"/>
      <c r="P69" s="134"/>
      <c r="Q69" s="134"/>
      <c r="R69" s="134"/>
      <c r="S69" s="134"/>
      <c r="T69" s="134"/>
      <c r="U69" s="134"/>
      <c r="V69" s="134"/>
    </row>
    <row r="70" spans="1:25" ht="17.399999999999999">
      <c r="A70" s="94" t="s">
        <v>1112</v>
      </c>
      <c r="B70" s="99"/>
      <c r="C70" s="80" t="s">
        <v>23</v>
      </c>
      <c r="D70" s="102"/>
      <c r="E70" s="102"/>
      <c r="F70" s="102"/>
      <c r="G70" s="132"/>
      <c r="H70" s="80" t="s">
        <v>1113</v>
      </c>
      <c r="I70" s="132"/>
      <c r="J70" s="135">
        <v>1265.5775000000001</v>
      </c>
      <c r="K70" s="135">
        <v>1160.66333333333</v>
      </c>
      <c r="L70" s="135">
        <v>1248.98833333333</v>
      </c>
      <c r="M70" s="135">
        <v>1257.5591666666701</v>
      </c>
      <c r="N70" s="135">
        <v>1269.2266666666701</v>
      </c>
      <c r="O70" s="135">
        <v>1310</v>
      </c>
      <c r="P70" s="135">
        <v>1360</v>
      </c>
      <c r="Q70" s="135">
        <v>1353.87744380906</v>
      </c>
      <c r="R70" s="135">
        <v>1347.7824506286499</v>
      </c>
      <c r="S70" s="135">
        <v>1341.7148963734001</v>
      </c>
      <c r="T70" s="135">
        <v>1335.6746575165901</v>
      </c>
      <c r="U70" s="135">
        <v>1329.66161108757</v>
      </c>
      <c r="V70" s="135">
        <v>1300</v>
      </c>
    </row>
    <row r="71" spans="1:25" ht="17.399999999999999">
      <c r="A71" s="94" t="s">
        <v>1114</v>
      </c>
      <c r="B71" s="99"/>
      <c r="C71" s="82" t="s">
        <v>22</v>
      </c>
      <c r="D71" s="99"/>
      <c r="E71" s="99"/>
      <c r="F71" s="99"/>
      <c r="G71" s="134"/>
      <c r="H71" s="82" t="s">
        <v>1113</v>
      </c>
      <c r="I71" s="134"/>
      <c r="J71" s="134">
        <v>19.0715</v>
      </c>
      <c r="K71" s="134">
        <v>15.7206666666667</v>
      </c>
      <c r="L71" s="134">
        <v>17.146750000000001</v>
      </c>
      <c r="M71" s="134">
        <v>17.0661666666667</v>
      </c>
      <c r="N71" s="134">
        <v>15.713749999999999</v>
      </c>
      <c r="O71" s="134">
        <v>15.7</v>
      </c>
      <c r="P71" s="134">
        <v>15.6</v>
      </c>
      <c r="Q71" s="134">
        <v>15.7346479603647</v>
      </c>
      <c r="R71" s="134">
        <v>15.870458104910799</v>
      </c>
      <c r="S71" s="134">
        <v>16.007440464774799</v>
      </c>
      <c r="T71" s="134">
        <v>16.1456051576749</v>
      </c>
      <c r="U71" s="134">
        <v>16.284962388657799</v>
      </c>
      <c r="V71" s="134">
        <v>17</v>
      </c>
    </row>
    <row r="72" spans="1:25" ht="17.399999999999999">
      <c r="A72" s="94" t="s">
        <v>1115</v>
      </c>
      <c r="B72" s="99"/>
      <c r="C72" s="80" t="s">
        <v>124</v>
      </c>
      <c r="D72" s="102"/>
      <c r="E72" s="102"/>
      <c r="F72" s="102"/>
      <c r="G72" s="132"/>
      <c r="H72" s="80" t="s">
        <v>1113</v>
      </c>
      <c r="I72" s="132"/>
      <c r="J72" s="135">
        <v>1383.57083333333</v>
      </c>
      <c r="K72" s="135">
        <v>1053.20333333333</v>
      </c>
      <c r="L72" s="135">
        <v>987.08666666666704</v>
      </c>
      <c r="M72" s="135">
        <v>948.45333333333394</v>
      </c>
      <c r="N72" s="135">
        <v>879.54583333333301</v>
      </c>
      <c r="O72" s="135">
        <v>840</v>
      </c>
      <c r="P72" s="135">
        <v>850</v>
      </c>
      <c r="Q72" s="135">
        <v>886.89328840829899</v>
      </c>
      <c r="R72" s="135">
        <v>925.38788826315999</v>
      </c>
      <c r="S72" s="135">
        <v>965.55330267638203</v>
      </c>
      <c r="T72" s="135">
        <v>1007.4620514637101</v>
      </c>
      <c r="U72" s="135">
        <v>1051.1898020814299</v>
      </c>
      <c r="V72" s="135">
        <v>1300</v>
      </c>
    </row>
    <row r="73" spans="1:25" ht="17.7" thickBot="1">
      <c r="B73" s="84"/>
      <c r="C73" s="84"/>
      <c r="D73" s="84"/>
      <c r="E73" s="84"/>
      <c r="F73" s="84"/>
      <c r="G73" s="84"/>
      <c r="H73" s="84"/>
      <c r="I73" s="84"/>
      <c r="J73" s="84"/>
      <c r="K73" s="84"/>
      <c r="L73" s="84"/>
      <c r="M73" s="84"/>
      <c r="N73" s="84"/>
      <c r="O73" s="84"/>
      <c r="P73" s="84"/>
      <c r="Q73" s="84"/>
      <c r="R73" s="84"/>
      <c r="S73" s="84"/>
      <c r="T73" s="84"/>
      <c r="U73" s="84"/>
      <c r="V73" s="84"/>
      <c r="Y73" s="109"/>
    </row>
    <row r="74" spans="1:25" ht="17.7" thickTop="1">
      <c r="B74" s="99"/>
      <c r="C74" s="99"/>
      <c r="D74" s="99"/>
      <c r="E74" s="99"/>
      <c r="F74" s="99"/>
      <c r="G74" s="110"/>
      <c r="H74" s="104"/>
      <c r="I74" s="110"/>
      <c r="J74" s="110"/>
      <c r="K74" s="110"/>
      <c r="M74" s="110"/>
      <c r="N74" s="112"/>
      <c r="O74" s="112"/>
      <c r="P74" s="112"/>
      <c r="Q74" s="112"/>
      <c r="R74" s="112"/>
      <c r="S74" s="112"/>
      <c r="T74" s="112"/>
      <c r="U74" s="112"/>
      <c r="V74" s="112"/>
    </row>
    <row r="75" spans="1:25" ht="20.100000000000001">
      <c r="B75" s="99"/>
      <c r="C75" s="99"/>
      <c r="D75" s="99"/>
      <c r="E75" s="99"/>
      <c r="F75" s="99"/>
      <c r="G75" s="110"/>
      <c r="H75" s="104"/>
      <c r="I75" s="110"/>
      <c r="J75" s="110"/>
      <c r="K75" s="110"/>
      <c r="M75" s="110"/>
      <c r="N75" s="112"/>
      <c r="O75" s="112"/>
      <c r="P75" s="112"/>
      <c r="Q75" s="112"/>
      <c r="R75" s="112"/>
      <c r="S75" s="112"/>
      <c r="T75" s="112"/>
      <c r="U75" s="113"/>
      <c r="V75" s="114" t="s">
        <v>1363</v>
      </c>
    </row>
    <row r="76" spans="1:25" ht="17.399999999999999">
      <c r="B76" s="99"/>
      <c r="C76" s="99"/>
      <c r="D76" s="99"/>
      <c r="E76" s="99"/>
      <c r="F76" s="99"/>
      <c r="G76" s="110"/>
      <c r="H76" s="104"/>
      <c r="I76" s="110"/>
      <c r="J76" s="110"/>
      <c r="K76" s="110"/>
      <c r="M76" s="110"/>
      <c r="N76" s="112"/>
      <c r="O76" s="112"/>
      <c r="P76" s="112"/>
      <c r="Q76" s="112"/>
      <c r="R76" s="112"/>
      <c r="S76" s="112"/>
      <c r="T76" s="112"/>
      <c r="U76" s="112"/>
      <c r="V76" s="112"/>
    </row>
    <row r="77" spans="1:25" ht="17.399999999999999">
      <c r="B77" s="99"/>
      <c r="C77" s="99"/>
      <c r="D77" s="99"/>
      <c r="E77" s="99"/>
      <c r="F77" s="99"/>
      <c r="G77" s="110"/>
      <c r="H77" s="104"/>
      <c r="I77" s="110"/>
      <c r="J77" s="110"/>
      <c r="K77" s="110"/>
      <c r="M77" s="110"/>
      <c r="N77" s="112"/>
      <c r="O77" s="112"/>
      <c r="P77" s="112"/>
      <c r="Q77" s="112"/>
      <c r="R77" s="112"/>
      <c r="S77" s="112"/>
      <c r="T77" s="112"/>
      <c r="U77" s="112"/>
      <c r="V77" s="112"/>
    </row>
    <row r="78" spans="1:25" ht="17.399999999999999">
      <c r="B78" s="99"/>
      <c r="C78" s="99"/>
      <c r="D78" s="99"/>
      <c r="E78" s="99"/>
      <c r="F78" s="99"/>
      <c r="G78" s="110"/>
      <c r="H78" s="104"/>
      <c r="I78" s="110"/>
      <c r="J78" s="110"/>
      <c r="K78" s="110"/>
      <c r="M78" s="110"/>
      <c r="N78" s="112"/>
      <c r="O78" s="112"/>
      <c r="P78" s="112"/>
      <c r="Q78" s="112"/>
      <c r="R78" s="112"/>
      <c r="S78" s="112"/>
      <c r="T78" s="112"/>
      <c r="U78" s="112"/>
      <c r="V78" s="112"/>
    </row>
    <row r="79" spans="1:25" ht="17.399999999999999">
      <c r="B79" s="99"/>
      <c r="C79" s="99"/>
      <c r="D79" s="99"/>
      <c r="E79" s="99"/>
      <c r="F79" s="99"/>
      <c r="G79" s="110"/>
      <c r="H79" s="104"/>
      <c r="I79" s="110"/>
      <c r="J79" s="110"/>
      <c r="K79" s="110"/>
      <c r="M79" s="110"/>
      <c r="N79" s="112"/>
      <c r="O79" s="112"/>
      <c r="P79" s="112"/>
      <c r="Q79" s="112"/>
      <c r="R79" s="112"/>
      <c r="S79" s="112"/>
      <c r="T79" s="112"/>
      <c r="U79" s="112"/>
      <c r="V79" s="112"/>
    </row>
    <row r="80" spans="1:25" ht="17.399999999999999">
      <c r="B80" s="99"/>
      <c r="C80" s="99"/>
      <c r="D80" s="99"/>
      <c r="E80" s="99"/>
      <c r="F80" s="99"/>
      <c r="G80" s="110"/>
      <c r="H80" s="104"/>
      <c r="I80" s="110"/>
      <c r="J80" s="110"/>
      <c r="K80" s="110"/>
      <c r="M80" s="110"/>
      <c r="N80" s="112"/>
      <c r="O80" s="112"/>
      <c r="P80" s="112"/>
      <c r="Q80" s="112"/>
      <c r="R80" s="112"/>
      <c r="S80" s="112"/>
      <c r="T80" s="112"/>
      <c r="U80" s="112"/>
      <c r="V80" s="112"/>
    </row>
    <row r="81" spans="1:22" ht="17.399999999999999">
      <c r="B81" s="99"/>
      <c r="C81" s="99"/>
      <c r="D81" s="99"/>
      <c r="E81" s="99"/>
      <c r="F81" s="99"/>
      <c r="G81" s="110"/>
      <c r="H81" s="104"/>
      <c r="I81" s="110"/>
      <c r="J81" s="110"/>
      <c r="K81" s="110"/>
      <c r="M81" s="110"/>
      <c r="N81" s="112"/>
      <c r="O81" s="112"/>
      <c r="P81" s="112"/>
      <c r="Q81" s="112"/>
      <c r="R81" s="112"/>
      <c r="S81" s="112"/>
      <c r="T81" s="112"/>
      <c r="U81" s="112"/>
      <c r="V81" s="112"/>
    </row>
    <row r="82" spans="1:22" ht="17.399999999999999">
      <c r="B82" s="99"/>
      <c r="C82" s="99"/>
      <c r="D82" s="99"/>
      <c r="E82" s="99"/>
      <c r="F82" s="99"/>
      <c r="G82" s="110"/>
      <c r="H82" s="104"/>
      <c r="I82" s="110"/>
      <c r="J82" s="110"/>
      <c r="K82" s="110"/>
      <c r="M82" s="110"/>
      <c r="N82" s="112"/>
      <c r="O82" s="112"/>
      <c r="P82" s="112"/>
      <c r="Q82" s="112"/>
      <c r="R82" s="112"/>
      <c r="S82" s="112"/>
      <c r="T82" s="112"/>
      <c r="U82" s="112"/>
      <c r="V82" s="112"/>
    </row>
    <row r="83" spans="1:22" s="96" customFormat="1" ht="33" customHeight="1" thickBot="1">
      <c r="A83" s="94"/>
      <c r="B83" s="93" t="s">
        <v>1116</v>
      </c>
      <c r="C83" s="87"/>
      <c r="D83" s="87"/>
      <c r="E83" s="87"/>
      <c r="F83" s="87"/>
      <c r="G83" s="87"/>
      <c r="H83" s="87"/>
      <c r="I83" s="87"/>
      <c r="J83" s="87"/>
      <c r="K83" s="87"/>
      <c r="L83" s="87"/>
      <c r="M83" s="95"/>
      <c r="N83" s="95"/>
      <c r="O83" s="95"/>
      <c r="P83" s="95"/>
      <c r="Q83" s="95"/>
      <c r="R83" s="88"/>
      <c r="S83" s="89"/>
      <c r="T83" s="89"/>
      <c r="U83" s="89"/>
      <c r="V83" s="75" t="str">
        <f>V1</f>
        <v>Released: April 23, 2019</v>
      </c>
    </row>
    <row r="84" spans="1:22" s="96" customFormat="1" ht="22.5" customHeight="1" thickTop="1">
      <c r="A84" s="94"/>
      <c r="B84" s="92"/>
      <c r="C84" s="76"/>
      <c r="D84" s="76"/>
      <c r="E84" s="76"/>
      <c r="F84" s="76"/>
      <c r="G84" s="76"/>
      <c r="H84" s="76"/>
      <c r="I84" s="76"/>
      <c r="J84" s="76"/>
      <c r="K84" s="76"/>
      <c r="L84" s="76"/>
      <c r="O84" s="170" t="s">
        <v>1278</v>
      </c>
      <c r="P84" s="170"/>
      <c r="Q84" s="170"/>
      <c r="R84" s="170"/>
      <c r="S84" s="170"/>
      <c r="T84" s="170"/>
      <c r="U84" s="170"/>
      <c r="V84" s="170"/>
    </row>
    <row r="85" spans="1:22" s="98" customFormat="1" ht="22.5" customHeight="1" thickBot="1">
      <c r="A85" s="97"/>
      <c r="B85" s="77" t="s">
        <v>1035</v>
      </c>
      <c r="C85" s="77"/>
      <c r="D85" s="77"/>
      <c r="E85" s="77"/>
      <c r="F85" s="77"/>
      <c r="G85" s="78"/>
      <c r="H85" s="77" t="s">
        <v>1036</v>
      </c>
      <c r="I85" s="78"/>
      <c r="J85" s="91">
        <v>2014</v>
      </c>
      <c r="K85" s="91">
        <v>2015</v>
      </c>
      <c r="L85" s="91">
        <v>2016</v>
      </c>
      <c r="M85" s="91">
        <v>2017</v>
      </c>
      <c r="N85" s="91">
        <v>2018</v>
      </c>
      <c r="O85" s="91">
        <v>2019</v>
      </c>
      <c r="P85" s="91">
        <v>2020</v>
      </c>
      <c r="Q85" s="91">
        <v>2021</v>
      </c>
      <c r="R85" s="91">
        <v>2022</v>
      </c>
      <c r="S85" s="91">
        <v>2023</v>
      </c>
      <c r="T85" s="91">
        <v>2024</v>
      </c>
      <c r="U85" s="91">
        <v>2025</v>
      </c>
      <c r="V85" s="91">
        <v>2030</v>
      </c>
    </row>
    <row r="86" spans="1:22" ht="17.7">
      <c r="B86" s="79" t="s">
        <v>960</v>
      </c>
      <c r="C86" s="79"/>
      <c r="D86" s="79"/>
      <c r="E86" s="79"/>
      <c r="F86" s="79"/>
      <c r="G86" s="99"/>
      <c r="H86" s="100"/>
      <c r="I86" s="99"/>
      <c r="J86" s="99"/>
      <c r="K86" s="99"/>
      <c r="L86" s="99"/>
      <c r="M86" s="99" t="s">
        <v>1037</v>
      </c>
      <c r="N86" s="99"/>
      <c r="O86" s="99"/>
      <c r="P86" s="99"/>
      <c r="Q86" s="99"/>
      <c r="R86" s="99"/>
      <c r="S86" s="99"/>
      <c r="T86" s="99"/>
      <c r="U86" s="99"/>
      <c r="V86" s="99"/>
    </row>
    <row r="87" spans="1:22" ht="17.399999999999999">
      <c r="A87" s="94" t="s">
        <v>1117</v>
      </c>
      <c r="B87" s="80" t="s">
        <v>1039</v>
      </c>
      <c r="C87" s="102"/>
      <c r="D87" s="80"/>
      <c r="E87" s="102"/>
      <c r="F87" s="80"/>
      <c r="G87" s="132"/>
      <c r="H87" s="80" t="s">
        <v>1040</v>
      </c>
      <c r="I87" s="132"/>
      <c r="J87" s="132">
        <v>64.786945999411898</v>
      </c>
      <c r="K87" s="132">
        <v>60.2231568773391</v>
      </c>
      <c r="L87" s="132">
        <v>70.319801828976594</v>
      </c>
      <c r="M87" s="132">
        <v>90.988540757278798</v>
      </c>
      <c r="N87" s="132">
        <v>105.069979487833</v>
      </c>
      <c r="O87" s="132">
        <v>90.489867482154807</v>
      </c>
      <c r="P87" s="132">
        <v>85.190360033489597</v>
      </c>
      <c r="Q87" s="132">
        <v>80.456993800005407</v>
      </c>
      <c r="R87" s="132">
        <v>75.925711073351096</v>
      </c>
      <c r="S87" s="132">
        <v>71.655950488290699</v>
      </c>
      <c r="T87" s="132">
        <v>67.626281862438006</v>
      </c>
      <c r="U87" s="132">
        <v>63.819546135371702</v>
      </c>
      <c r="V87" s="132">
        <v>47.695871557672803</v>
      </c>
    </row>
    <row r="88" spans="1:22" ht="17.399999999999999">
      <c r="A88" s="94" t="s">
        <v>1118</v>
      </c>
      <c r="B88" s="81" t="s">
        <v>1288</v>
      </c>
      <c r="C88" s="99"/>
      <c r="D88" s="81"/>
      <c r="E88" s="99"/>
      <c r="F88" s="81"/>
      <c r="G88" s="149"/>
      <c r="H88" s="81" t="s">
        <v>1043</v>
      </c>
      <c r="I88" s="149"/>
      <c r="J88" s="149">
        <v>88.903062145350205</v>
      </c>
      <c r="K88" s="149">
        <v>51.8584274419417</v>
      </c>
      <c r="L88" s="149">
        <v>45.5289728675681</v>
      </c>
      <c r="M88" s="149">
        <v>54.278585167156798</v>
      </c>
      <c r="N88" s="149">
        <v>67.100566918588896</v>
      </c>
      <c r="O88" s="149">
        <v>63.535438870449099</v>
      </c>
      <c r="P88" s="149">
        <v>61.526371135298</v>
      </c>
      <c r="Q88" s="149">
        <v>60.962426218009902</v>
      </c>
      <c r="R88" s="149">
        <v>60.355229218052102</v>
      </c>
      <c r="S88" s="149">
        <v>59.759353581257201</v>
      </c>
      <c r="T88" s="149">
        <v>59.169341288935499</v>
      </c>
      <c r="U88" s="149">
        <v>58.581775439389901</v>
      </c>
      <c r="V88" s="149">
        <v>55.645183483951598</v>
      </c>
    </row>
    <row r="89" spans="1:22" ht="17.399999999999999">
      <c r="A89" s="94" t="s">
        <v>1119</v>
      </c>
      <c r="B89" s="80" t="s">
        <v>27</v>
      </c>
      <c r="C89" s="102"/>
      <c r="D89" s="80"/>
      <c r="E89" s="102"/>
      <c r="F89" s="80"/>
      <c r="G89" s="132"/>
      <c r="H89" s="80" t="s">
        <v>1045</v>
      </c>
      <c r="I89" s="132"/>
      <c r="J89" s="132">
        <v>9.2858517829377192</v>
      </c>
      <c r="K89" s="132">
        <v>6.9697826054997201</v>
      </c>
      <c r="L89" s="132">
        <v>4.8530371031707604</v>
      </c>
      <c r="M89" s="132">
        <v>5.87658407114162</v>
      </c>
      <c r="N89" s="132">
        <v>7.5415349451195404</v>
      </c>
      <c r="O89" s="132">
        <v>5.7759489882226402</v>
      </c>
      <c r="P89" s="132">
        <v>5.6793573355659701</v>
      </c>
      <c r="Q89" s="132">
        <v>5.6725240694811099</v>
      </c>
      <c r="R89" s="132">
        <v>5.6611572522467402</v>
      </c>
      <c r="S89" s="132">
        <v>5.6503118339628804</v>
      </c>
      <c r="T89" s="132">
        <v>5.6394853227300903</v>
      </c>
      <c r="U89" s="132">
        <v>5.6283549286402303</v>
      </c>
      <c r="V89" s="132">
        <v>5.5645183483951604</v>
      </c>
    </row>
    <row r="90" spans="1:22" s="107" customFormat="1" ht="17.399999999999999">
      <c r="A90" s="105" t="s">
        <v>1120</v>
      </c>
      <c r="B90" s="81" t="s">
        <v>26</v>
      </c>
      <c r="C90" s="99"/>
      <c r="D90" s="81"/>
      <c r="E90" s="99"/>
      <c r="F90" s="81"/>
      <c r="G90" s="149"/>
      <c r="H90" s="81" t="s">
        <v>1045</v>
      </c>
      <c r="I90" s="149"/>
      <c r="J90" s="149">
        <v>4.0365894860004801</v>
      </c>
      <c r="K90" s="149">
        <v>2.6706479899886899</v>
      </c>
      <c r="L90" s="149">
        <v>2.6503833560750998</v>
      </c>
      <c r="M90" s="149">
        <v>3.04219965878724</v>
      </c>
      <c r="N90" s="149">
        <v>3.0975301146852301</v>
      </c>
      <c r="O90" s="149">
        <v>2.6954428611705601</v>
      </c>
      <c r="P90" s="149">
        <v>2.7450227121902202</v>
      </c>
      <c r="Q90" s="149">
        <v>2.7880118494335702</v>
      </c>
      <c r="R90" s="149">
        <v>2.8294042849176</v>
      </c>
      <c r="S90" s="149">
        <v>2.871664671519</v>
      </c>
      <c r="T90" s="149">
        <v>2.9145552987667198</v>
      </c>
      <c r="U90" s="149">
        <v>2.9579159279718601</v>
      </c>
      <c r="V90" s="149">
        <v>3.1797247705115201</v>
      </c>
    </row>
    <row r="91" spans="1:22" s="107" customFormat="1" ht="17.399999999999999">
      <c r="A91" s="105" t="s">
        <v>1121</v>
      </c>
      <c r="B91" s="80" t="s">
        <v>1048</v>
      </c>
      <c r="C91" s="102"/>
      <c r="D91" s="80"/>
      <c r="E91" s="102"/>
      <c r="F91" s="80"/>
      <c r="G91" s="132"/>
      <c r="H91" s="80" t="s">
        <v>1045</v>
      </c>
      <c r="I91" s="132"/>
      <c r="J91" s="132">
        <v>14.814007319263901</v>
      </c>
      <c r="K91" s="132">
        <v>11.172899675270999</v>
      </c>
      <c r="L91" s="132">
        <v>7.8403306667517798</v>
      </c>
      <c r="M91" s="132">
        <v>8.8462881365169004</v>
      </c>
      <c r="N91" s="132">
        <v>10.4752144066684</v>
      </c>
      <c r="O91" s="132">
        <v>7.1236704188079401</v>
      </c>
      <c r="P91" s="132">
        <v>7.0991966694574602</v>
      </c>
      <c r="Q91" s="132">
        <v>7.0701307860908402</v>
      </c>
      <c r="R91" s="132">
        <v>7.0355395082198102</v>
      </c>
      <c r="S91" s="132">
        <v>7.0017353518563903</v>
      </c>
      <c r="T91" s="132">
        <v>6.9680913059646503</v>
      </c>
      <c r="U91" s="132">
        <v>6.9342089777442801</v>
      </c>
      <c r="V91" s="132">
        <v>6.7569151373369802</v>
      </c>
    </row>
    <row r="92" spans="1:22" ht="17.399999999999999">
      <c r="B92" s="99"/>
      <c r="C92" s="99"/>
      <c r="D92" s="99"/>
      <c r="E92" s="99"/>
      <c r="F92" s="99"/>
      <c r="G92" s="133"/>
      <c r="H92" s="104"/>
      <c r="I92" s="133"/>
      <c r="J92" s="133"/>
      <c r="K92" s="133"/>
      <c r="L92" s="133"/>
      <c r="M92" s="133"/>
      <c r="N92" s="133"/>
      <c r="O92" s="133"/>
      <c r="P92" s="133"/>
      <c r="Q92" s="133"/>
      <c r="R92" s="133"/>
      <c r="S92" s="133"/>
      <c r="T92" s="133"/>
      <c r="U92" s="133"/>
      <c r="V92" s="133"/>
    </row>
    <row r="93" spans="1:22" ht="17.7">
      <c r="B93" s="79" t="s">
        <v>1049</v>
      </c>
      <c r="C93" s="79"/>
      <c r="D93" s="79"/>
      <c r="E93" s="38"/>
      <c r="F93" s="38"/>
      <c r="G93" s="133"/>
      <c r="H93" s="100"/>
      <c r="I93" s="133"/>
      <c r="J93" s="133"/>
      <c r="K93" s="133"/>
      <c r="L93" s="133"/>
      <c r="M93" s="133"/>
      <c r="N93" s="133"/>
      <c r="O93" s="133"/>
      <c r="P93" s="133"/>
      <c r="Q93" s="133"/>
      <c r="R93" s="133"/>
      <c r="S93" s="133"/>
      <c r="T93" s="133"/>
      <c r="U93" s="133"/>
      <c r="V93" s="133"/>
    </row>
    <row r="94" spans="1:22" ht="17.7">
      <c r="B94" s="38"/>
      <c r="C94" s="79" t="s">
        <v>1050</v>
      </c>
      <c r="D94" s="79"/>
      <c r="E94" s="38"/>
      <c r="F94" s="38"/>
      <c r="G94" s="133"/>
      <c r="H94" s="100"/>
      <c r="I94" s="133"/>
      <c r="J94" s="133"/>
      <c r="K94" s="133"/>
      <c r="L94" s="133"/>
      <c r="M94" s="133"/>
      <c r="N94" s="133"/>
      <c r="O94" s="133"/>
      <c r="P94" s="133"/>
      <c r="Q94" s="133"/>
      <c r="R94" s="133"/>
      <c r="S94" s="133"/>
      <c r="T94" s="133"/>
      <c r="U94" s="133"/>
      <c r="V94" s="133"/>
    </row>
    <row r="95" spans="1:22" ht="17.7">
      <c r="B95" s="38"/>
      <c r="C95" s="79"/>
      <c r="D95" s="79" t="s">
        <v>970</v>
      </c>
      <c r="E95" s="38"/>
      <c r="F95" s="38"/>
      <c r="G95" s="133"/>
      <c r="H95" s="100"/>
      <c r="I95" s="133"/>
      <c r="J95" s="133"/>
      <c r="K95" s="133"/>
      <c r="L95" s="133"/>
      <c r="M95" s="133"/>
      <c r="N95" s="133"/>
      <c r="O95" s="133"/>
      <c r="P95" s="133"/>
      <c r="Q95" s="133"/>
      <c r="R95" s="133"/>
      <c r="S95" s="133"/>
      <c r="T95" s="133"/>
      <c r="U95" s="133"/>
      <c r="V95" s="133"/>
    </row>
    <row r="96" spans="1:22" ht="17.399999999999999">
      <c r="A96" s="94" t="s">
        <v>1122</v>
      </c>
      <c r="B96" s="99"/>
      <c r="C96" s="82"/>
      <c r="D96" s="80" t="s">
        <v>6</v>
      </c>
      <c r="E96" s="102"/>
      <c r="F96" s="80"/>
      <c r="G96" s="132"/>
      <c r="H96" s="80" t="s">
        <v>1052</v>
      </c>
      <c r="I96" s="132"/>
      <c r="J96" s="147">
        <v>2.8289345147189402</v>
      </c>
      <c r="K96" s="147">
        <v>3.2033419800503502</v>
      </c>
      <c r="L96" s="147">
        <v>3.0742217200403599</v>
      </c>
      <c r="M96" s="147">
        <v>2.08604391167946</v>
      </c>
      <c r="N96" s="147">
        <v>2.2519207805197499</v>
      </c>
      <c r="O96" s="147">
        <v>2.21411377881868</v>
      </c>
      <c r="P96" s="147">
        <v>2.23031441351322</v>
      </c>
      <c r="Q96" s="147">
        <v>2.2471852500201899</v>
      </c>
      <c r="R96" s="147">
        <v>2.26236867414464</v>
      </c>
      <c r="S96" s="147">
        <v>2.2778557005939799</v>
      </c>
      <c r="T96" s="147">
        <v>2.2934479828040399</v>
      </c>
      <c r="U96" s="147">
        <v>2.3090138193273999</v>
      </c>
      <c r="V96" s="147">
        <v>2.3847935778836402</v>
      </c>
    </row>
    <row r="97" spans="1:22" ht="17.399999999999999">
      <c r="A97" s="94" t="s">
        <v>1123</v>
      </c>
      <c r="B97" s="99"/>
      <c r="C97" s="82"/>
      <c r="D97" s="82" t="s">
        <v>1054</v>
      </c>
      <c r="E97" s="99"/>
      <c r="F97" s="82"/>
      <c r="G97" s="134"/>
      <c r="H97" s="82" t="s">
        <v>1052</v>
      </c>
      <c r="I97" s="134"/>
      <c r="J97" s="148">
        <v>4.0867514005121297</v>
      </c>
      <c r="K97" s="148">
        <v>3.6028846739412401</v>
      </c>
      <c r="L97" s="148">
        <v>3.8402499521908502</v>
      </c>
      <c r="M97" s="148">
        <v>3.4159454274287699</v>
      </c>
      <c r="N97" s="148">
        <v>2.8725901816763901</v>
      </c>
      <c r="O97" s="148">
        <v>2.7435757694057501</v>
      </c>
      <c r="P97" s="148">
        <v>2.74131875083962</v>
      </c>
      <c r="Q97" s="148">
        <v>2.7397361674928802</v>
      </c>
      <c r="R97" s="148">
        <v>2.73595952140231</v>
      </c>
      <c r="S97" s="148">
        <v>2.7324292093237301</v>
      </c>
      <c r="T97" s="148">
        <v>2.7289025475813902</v>
      </c>
      <c r="U97" s="148">
        <v>2.7252232544983901</v>
      </c>
      <c r="V97" s="148">
        <v>2.7027660549347901</v>
      </c>
    </row>
    <row r="98" spans="1:22" ht="17.399999999999999">
      <c r="A98" s="94" t="s">
        <v>1124</v>
      </c>
      <c r="B98" s="99"/>
      <c r="C98" s="81"/>
      <c r="D98" s="80" t="s">
        <v>1289</v>
      </c>
      <c r="E98" s="102"/>
      <c r="F98" s="80"/>
      <c r="G98" s="132"/>
      <c r="H98" s="80" t="s">
        <v>1052</v>
      </c>
      <c r="I98" s="132"/>
      <c r="J98" s="147">
        <v>2.0475847867179402</v>
      </c>
      <c r="K98" s="147">
        <v>1.9834562682288801</v>
      </c>
      <c r="L98" s="147">
        <v>2.0770817972952198</v>
      </c>
      <c r="M98" s="147">
        <v>2.287633079331</v>
      </c>
      <c r="N98" s="147">
        <v>1.8351577294607999</v>
      </c>
      <c r="O98" s="147">
        <v>1.6846517882315999</v>
      </c>
      <c r="P98" s="147">
        <v>1.6913012096284199</v>
      </c>
      <c r="Q98" s="147">
        <v>1.69839381578277</v>
      </c>
      <c r="R98" s="147">
        <v>1.70414897890523</v>
      </c>
      <c r="S98" s="147">
        <v>1.7100745524586101</v>
      </c>
      <c r="T98" s="147">
        <v>1.7160201610251899</v>
      </c>
      <c r="U98" s="147">
        <v>1.7218871278263099</v>
      </c>
      <c r="V98" s="147">
        <v>1.7488486237813401</v>
      </c>
    </row>
    <row r="99" spans="1:22" ht="17.399999999999999">
      <c r="A99" s="94" t="s">
        <v>1125</v>
      </c>
      <c r="B99" s="99"/>
      <c r="C99" s="82"/>
      <c r="D99" s="82" t="s">
        <v>1057</v>
      </c>
      <c r="E99" s="99"/>
      <c r="F99" s="82"/>
      <c r="G99" s="134"/>
      <c r="H99" s="82" t="s">
        <v>1052</v>
      </c>
      <c r="I99" s="134"/>
      <c r="J99" s="148">
        <v>2.5132105523291299</v>
      </c>
      <c r="K99" s="148">
        <v>2.8376497895822501</v>
      </c>
      <c r="L99" s="148">
        <v>2.8553309587629201</v>
      </c>
      <c r="M99" s="148">
        <v>3.2363412311722302</v>
      </c>
      <c r="N99" s="148">
        <v>2.7955218707146501</v>
      </c>
      <c r="O99" s="148">
        <v>2.35851250352425</v>
      </c>
      <c r="P99" s="148">
        <v>2.3760633688497301</v>
      </c>
      <c r="Q99" s="148">
        <v>2.3943326241724701</v>
      </c>
      <c r="R99" s="148">
        <v>2.4108082320466599</v>
      </c>
      <c r="S99" s="148">
        <v>2.4276114388261298</v>
      </c>
      <c r="T99" s="148">
        <v>2.4445309524188201</v>
      </c>
      <c r="U99" s="148">
        <v>2.4614264204370202</v>
      </c>
      <c r="V99" s="148">
        <v>2.54377981640922</v>
      </c>
    </row>
    <row r="100" spans="1:22" ht="17.399999999999999">
      <c r="B100" s="99"/>
      <c r="C100" s="99"/>
      <c r="D100" s="99"/>
      <c r="E100" s="99"/>
      <c r="F100" s="99"/>
      <c r="G100" s="133"/>
      <c r="H100" s="104"/>
      <c r="I100" s="133"/>
      <c r="J100" s="133"/>
      <c r="K100" s="133"/>
      <c r="L100" s="133"/>
      <c r="M100" s="133"/>
      <c r="N100" s="133"/>
      <c r="O100" s="133"/>
      <c r="P100" s="133"/>
      <c r="Q100" s="133"/>
      <c r="R100" s="133"/>
      <c r="S100" s="133"/>
      <c r="T100" s="133"/>
      <c r="U100" s="133"/>
      <c r="V100" s="133"/>
    </row>
    <row r="101" spans="1:22" ht="17.7">
      <c r="B101" s="38"/>
      <c r="C101" s="79"/>
      <c r="D101" s="79" t="s">
        <v>1058</v>
      </c>
      <c r="E101" s="38"/>
      <c r="F101" s="38"/>
      <c r="G101" s="133"/>
      <c r="H101" s="100"/>
      <c r="I101" s="133"/>
      <c r="J101" s="133"/>
      <c r="K101" s="133"/>
      <c r="L101" s="133"/>
      <c r="M101" s="133"/>
      <c r="N101" s="133"/>
      <c r="O101" s="133"/>
      <c r="P101" s="133"/>
      <c r="Q101" s="133"/>
      <c r="R101" s="133"/>
      <c r="S101" s="133"/>
      <c r="T101" s="133"/>
      <c r="U101" s="133"/>
      <c r="V101" s="133"/>
    </row>
    <row r="102" spans="1:22" ht="17.7">
      <c r="B102" s="38"/>
      <c r="C102" s="79"/>
      <c r="D102" s="79"/>
      <c r="E102" s="79" t="s">
        <v>978</v>
      </c>
      <c r="F102" s="79"/>
      <c r="G102" s="133"/>
      <c r="H102" s="100"/>
      <c r="I102" s="133"/>
      <c r="J102" s="133"/>
      <c r="K102" s="133"/>
      <c r="L102" s="133"/>
      <c r="M102" s="133"/>
      <c r="N102" s="133"/>
      <c r="O102" s="133"/>
      <c r="P102" s="133"/>
      <c r="Q102" s="133"/>
      <c r="R102" s="133"/>
      <c r="S102" s="133"/>
      <c r="T102" s="133"/>
      <c r="U102" s="133"/>
      <c r="V102" s="133"/>
    </row>
    <row r="103" spans="1:22" ht="17.399999999999999">
      <c r="A103" s="94" t="s">
        <v>1126</v>
      </c>
      <c r="B103" s="99"/>
      <c r="C103" s="82"/>
      <c r="D103" s="82"/>
      <c r="E103" s="80" t="s">
        <v>33</v>
      </c>
      <c r="F103" s="80"/>
      <c r="G103" s="132"/>
      <c r="H103" s="80" t="s">
        <v>1040</v>
      </c>
      <c r="I103" s="132"/>
      <c r="J103" s="135">
        <v>1183.5180693622499</v>
      </c>
      <c r="K103" s="135">
        <v>1127.5516770281299</v>
      </c>
      <c r="L103" s="135">
        <v>1575.81652802543</v>
      </c>
      <c r="M103" s="135">
        <v>1696.7133151437799</v>
      </c>
      <c r="N103" s="135">
        <v>978.67817610445297</v>
      </c>
      <c r="O103" s="135">
        <v>693.11387858671696</v>
      </c>
      <c r="P103" s="135">
        <v>713.918290729315</v>
      </c>
      <c r="Q103" s="135">
        <v>735.52773015799198</v>
      </c>
      <c r="R103" s="135">
        <v>757.18379574031405</v>
      </c>
      <c r="S103" s="135">
        <v>779.54627101358096</v>
      </c>
      <c r="T103" s="135">
        <v>802.56892784409001</v>
      </c>
      <c r="U103" s="135">
        <v>826.22386792230998</v>
      </c>
      <c r="V103" s="135">
        <v>953.91743115345605</v>
      </c>
    </row>
    <row r="104" spans="1:22" ht="17.399999999999999">
      <c r="A104" s="94" t="s">
        <v>1127</v>
      </c>
      <c r="B104" s="99"/>
      <c r="C104" s="82"/>
      <c r="D104" s="82"/>
      <c r="E104" s="82" t="s">
        <v>34</v>
      </c>
      <c r="F104" s="82"/>
      <c r="G104" s="134"/>
      <c r="H104" s="82" t="s">
        <v>1040</v>
      </c>
      <c r="I104" s="134"/>
      <c r="J104" s="136">
        <v>1288.70409047468</v>
      </c>
      <c r="K104" s="136">
        <v>1407.9780179801301</v>
      </c>
      <c r="L104" s="136">
        <v>1468.25154910987</v>
      </c>
      <c r="M104" s="136">
        <v>1501.55761997526</v>
      </c>
      <c r="N104" s="136">
        <v>1419.8253174341801</v>
      </c>
      <c r="O104" s="136">
        <v>1347.7214305852899</v>
      </c>
      <c r="P104" s="136">
        <v>1348.7812343839</v>
      </c>
      <c r="Q104" s="136">
        <v>1350.1733259416601</v>
      </c>
      <c r="R104" s="136">
        <v>1350.48340289269</v>
      </c>
      <c r="S104" s="136">
        <v>1350.9127647253399</v>
      </c>
      <c r="T104" s="136">
        <v>1351.3418149336901</v>
      </c>
      <c r="U104" s="136">
        <v>1351.6930396145699</v>
      </c>
      <c r="V104" s="136">
        <v>1351.3830274674001</v>
      </c>
    </row>
    <row r="105" spans="1:22" ht="17.399999999999999">
      <c r="A105" s="94" t="s">
        <v>1128</v>
      </c>
      <c r="B105" s="99"/>
      <c r="C105" s="82"/>
      <c r="D105" s="82"/>
      <c r="E105" s="80" t="s">
        <v>35</v>
      </c>
      <c r="F105" s="80"/>
      <c r="G105" s="132"/>
      <c r="H105" s="80" t="s">
        <v>1040</v>
      </c>
      <c r="I105" s="132"/>
      <c r="J105" s="135">
        <v>773.66419046065596</v>
      </c>
      <c r="K105" s="135">
        <v>677.84280786950399</v>
      </c>
      <c r="L105" s="135">
        <v>782.39420181858497</v>
      </c>
      <c r="M105" s="135">
        <v>771.85388447805599</v>
      </c>
      <c r="N105" s="135">
        <v>627.00500237272104</v>
      </c>
      <c r="O105" s="135">
        <v>577.59489882226399</v>
      </c>
      <c r="P105" s="135">
        <v>589.26071839597205</v>
      </c>
      <c r="Q105" s="135">
        <v>601.30977093809599</v>
      </c>
      <c r="R105" s="135">
        <v>613.11331742325694</v>
      </c>
      <c r="S105" s="135">
        <v>625.20373650248598</v>
      </c>
      <c r="T105" s="135">
        <v>637.532363765794</v>
      </c>
      <c r="U105" s="135">
        <v>650.06660987449698</v>
      </c>
      <c r="V105" s="135">
        <v>715.43807336509201</v>
      </c>
    </row>
    <row r="106" spans="1:22" ht="17.399999999999999">
      <c r="A106" s="94" t="s">
        <v>1129</v>
      </c>
      <c r="B106" s="99"/>
      <c r="C106" s="82"/>
      <c r="D106" s="82"/>
      <c r="E106" s="82" t="s">
        <v>38</v>
      </c>
      <c r="F106" s="82"/>
      <c r="G106" s="134"/>
      <c r="H106" s="82" t="s">
        <v>1040</v>
      </c>
      <c r="I106" s="134"/>
      <c r="J106" s="136">
        <v>482.66182388346999</v>
      </c>
      <c r="K106" s="136">
        <v>397.93928024653798</v>
      </c>
      <c r="L106" s="136">
        <v>398.439292527813</v>
      </c>
      <c r="M106" s="136">
        <v>360.01556923120199</v>
      </c>
      <c r="N106" s="136">
        <v>397.85006630301501</v>
      </c>
      <c r="O106" s="136">
        <v>341.74364846984002</v>
      </c>
      <c r="P106" s="136">
        <v>343.35114002719399</v>
      </c>
      <c r="Q106" s="136">
        <v>345.05089951860901</v>
      </c>
      <c r="R106" s="136">
        <v>346.481102509773</v>
      </c>
      <c r="S106" s="136">
        <v>347.94793883274599</v>
      </c>
      <c r="T106" s="136">
        <v>349.42086916860501</v>
      </c>
      <c r="U106" s="136">
        <v>350.87979695644299</v>
      </c>
      <c r="V106" s="136">
        <v>357.719036682546</v>
      </c>
    </row>
    <row r="107" spans="1:22" ht="17.399999999999999">
      <c r="A107" s="94" t="s">
        <v>1130</v>
      </c>
      <c r="B107" s="99"/>
      <c r="C107" s="82"/>
      <c r="D107" s="82"/>
      <c r="E107" s="80" t="s">
        <v>37</v>
      </c>
      <c r="F107" s="80"/>
      <c r="G107" s="132"/>
      <c r="H107" s="80" t="s">
        <v>1040</v>
      </c>
      <c r="I107" s="132"/>
      <c r="J107" s="135">
        <v>836.94532265742998</v>
      </c>
      <c r="K107" s="135">
        <v>772.09395997199204</v>
      </c>
      <c r="L107" s="135">
        <v>866.71716930642697</v>
      </c>
      <c r="M107" s="135">
        <v>874.12797836441405</v>
      </c>
      <c r="N107" s="135">
        <v>774.78545768855304</v>
      </c>
      <c r="O107" s="135">
        <v>731.62020517486906</v>
      </c>
      <c r="P107" s="135">
        <v>737.55882621468004</v>
      </c>
      <c r="Q107" s="135">
        <v>743.72822954346702</v>
      </c>
      <c r="R107" s="135">
        <v>749.34805866398494</v>
      </c>
      <c r="S107" s="135">
        <v>755.07698596043201</v>
      </c>
      <c r="T107" s="135">
        <v>760.84945982691602</v>
      </c>
      <c r="U107" s="135">
        <v>766.62184701186004</v>
      </c>
      <c r="V107" s="135">
        <v>794.93119262788002</v>
      </c>
    </row>
    <row r="108" spans="1:22" ht="17.399999999999999">
      <c r="A108" s="94" t="s">
        <v>1131</v>
      </c>
      <c r="B108" s="99"/>
      <c r="C108" s="82"/>
      <c r="D108" s="82"/>
      <c r="E108" s="82" t="s">
        <v>12</v>
      </c>
      <c r="F108" s="82"/>
      <c r="G108" s="134"/>
      <c r="H108" s="82" t="s">
        <v>1040</v>
      </c>
      <c r="I108" s="134"/>
      <c r="J108" s="136">
        <v>447.91724896492002</v>
      </c>
      <c r="K108" s="136">
        <v>400.66489175507598</v>
      </c>
      <c r="L108" s="136">
        <v>431.17892602793802</v>
      </c>
      <c r="M108" s="136">
        <v>404.35578725577</v>
      </c>
      <c r="N108" s="136">
        <v>387.228284717441</v>
      </c>
      <c r="O108" s="136">
        <v>375.43668423447201</v>
      </c>
      <c r="P108" s="136">
        <v>379.59690783289102</v>
      </c>
      <c r="Q108" s="136">
        <v>383.89747405682698</v>
      </c>
      <c r="R108" s="136">
        <v>387.93553389766902</v>
      </c>
      <c r="S108" s="136">
        <v>392.05066563105999</v>
      </c>
      <c r="T108" s="136">
        <v>396.20931835306197</v>
      </c>
      <c r="U108" s="136">
        <v>400.388990428255</v>
      </c>
      <c r="V108" s="136">
        <v>421.313532092777</v>
      </c>
    </row>
    <row r="109" spans="1:22" ht="17.399999999999999">
      <c r="B109" s="99"/>
      <c r="C109" s="99"/>
      <c r="D109" s="99"/>
      <c r="E109" s="99"/>
      <c r="F109" s="99"/>
      <c r="G109" s="133"/>
      <c r="H109" s="104"/>
      <c r="I109" s="133"/>
      <c r="J109" s="133"/>
      <c r="K109" s="133"/>
      <c r="L109" s="133"/>
      <c r="M109" s="133"/>
      <c r="N109" s="133"/>
      <c r="O109" s="133"/>
      <c r="P109" s="133"/>
      <c r="Q109" s="133"/>
      <c r="R109" s="133"/>
      <c r="S109" s="133"/>
      <c r="T109" s="133"/>
      <c r="U109" s="133"/>
      <c r="V109" s="133"/>
    </row>
    <row r="110" spans="1:22" ht="17.7">
      <c r="B110" s="99"/>
      <c r="C110" s="79"/>
      <c r="D110" s="79"/>
      <c r="E110" s="79" t="s">
        <v>979</v>
      </c>
      <c r="F110" s="79"/>
      <c r="G110" s="134"/>
      <c r="H110" s="82"/>
      <c r="I110" s="134"/>
      <c r="J110" s="134"/>
      <c r="K110" s="134"/>
      <c r="L110" s="134"/>
      <c r="M110" s="134"/>
      <c r="N110" s="134"/>
      <c r="O110" s="134"/>
      <c r="P110" s="134"/>
      <c r="Q110" s="134"/>
      <c r="R110" s="134"/>
      <c r="S110" s="134"/>
      <c r="T110" s="134"/>
      <c r="U110" s="134"/>
      <c r="V110" s="134"/>
    </row>
    <row r="111" spans="1:22" ht="17.399999999999999">
      <c r="A111" s="94" t="s">
        <v>1132</v>
      </c>
      <c r="B111" s="99"/>
      <c r="C111" s="82"/>
      <c r="D111" s="82"/>
      <c r="E111" s="80" t="s">
        <v>7</v>
      </c>
      <c r="F111" s="80"/>
      <c r="G111" s="132"/>
      <c r="H111" s="80" t="s">
        <v>1040</v>
      </c>
      <c r="I111" s="132"/>
      <c r="J111" s="140">
        <v>134.78694214259801</v>
      </c>
      <c r="K111" s="140">
        <v>123.973838457583</v>
      </c>
      <c r="L111" s="140">
        <v>110.51061429156999</v>
      </c>
      <c r="M111" s="140">
        <v>100.363359442904</v>
      </c>
      <c r="N111" s="140">
        <v>123.58867859253699</v>
      </c>
      <c r="O111" s="140">
        <v>120.332270587972</v>
      </c>
      <c r="P111" s="140">
        <v>122.307910684465</v>
      </c>
      <c r="Q111" s="140">
        <v>124.34651310298</v>
      </c>
      <c r="R111" s="140">
        <v>126.317753657821</v>
      </c>
      <c r="S111" s="140">
        <v>128.33156874207501</v>
      </c>
      <c r="T111" s="140">
        <v>130.37744574659899</v>
      </c>
      <c r="U111" s="140">
        <v>132.44829912401801</v>
      </c>
      <c r="V111" s="140">
        <v>143.08761467301801</v>
      </c>
    </row>
    <row r="112" spans="1:22" ht="17.399999999999999">
      <c r="A112" s="94" t="s">
        <v>1133</v>
      </c>
      <c r="B112" s="99"/>
      <c r="C112" s="82"/>
      <c r="D112" s="82"/>
      <c r="E112" s="82" t="s">
        <v>10</v>
      </c>
      <c r="F112" s="82"/>
      <c r="G112" s="134"/>
      <c r="H112" s="82" t="s">
        <v>1040</v>
      </c>
      <c r="I112" s="134"/>
      <c r="J112" s="141">
        <v>178.18601389144101</v>
      </c>
      <c r="K112" s="141">
        <v>173.44823301495299</v>
      </c>
      <c r="L112" s="141">
        <v>169.26191531221599</v>
      </c>
      <c r="M112" s="141">
        <v>158.843921440673</v>
      </c>
      <c r="N112" s="141">
        <v>161.41496470160399</v>
      </c>
      <c r="O112" s="141">
        <v>161.72657167023399</v>
      </c>
      <c r="P112" s="141">
        <v>162.28083256571699</v>
      </c>
      <c r="Q112" s="141">
        <v>162.89445044108001</v>
      </c>
      <c r="R112" s="141">
        <v>163.37931432320599</v>
      </c>
      <c r="S112" s="141">
        <v>163.88008331398601</v>
      </c>
      <c r="T112" s="141">
        <v>164.382332684153</v>
      </c>
      <c r="U112" s="141">
        <v>164.876611704537</v>
      </c>
      <c r="V112" s="141">
        <v>166.93555045185499</v>
      </c>
    </row>
    <row r="113" spans="1:22" ht="17.399999999999999">
      <c r="A113" s="94" t="s">
        <v>1134</v>
      </c>
      <c r="B113" s="99"/>
      <c r="C113" s="82"/>
      <c r="D113" s="82"/>
      <c r="E113" s="80" t="s">
        <v>1069</v>
      </c>
      <c r="F113" s="80"/>
      <c r="G113" s="132"/>
      <c r="H113" s="80" t="s">
        <v>1040</v>
      </c>
      <c r="I113" s="132"/>
      <c r="J113" s="140">
        <v>390.61857027546</v>
      </c>
      <c r="K113" s="140">
        <v>394.409013044289</v>
      </c>
      <c r="L113" s="140">
        <v>421.30909146412603</v>
      </c>
      <c r="M113" s="140">
        <v>410.04890192718398</v>
      </c>
      <c r="N113" s="140">
        <v>412.99201605159499</v>
      </c>
      <c r="O113" s="140">
        <v>394.689847528548</v>
      </c>
      <c r="P113" s="140">
        <v>390.58888057707497</v>
      </c>
      <c r="Q113" s="140">
        <v>386.62543688957601</v>
      </c>
      <c r="R113" s="140">
        <v>382.39542754964998</v>
      </c>
      <c r="S113" s="140">
        <v>378.24507699154299</v>
      </c>
      <c r="T113" s="140">
        <v>374.13964842742899</v>
      </c>
      <c r="U113" s="140">
        <v>370.05743585681802</v>
      </c>
      <c r="V113" s="140">
        <v>349.76972475626701</v>
      </c>
    </row>
    <row r="114" spans="1:22" ht="17.399999999999999">
      <c r="A114" s="94" t="s">
        <v>1135</v>
      </c>
      <c r="B114" s="99"/>
      <c r="C114" s="82"/>
      <c r="D114" s="82"/>
      <c r="E114" s="82" t="s">
        <v>1071</v>
      </c>
      <c r="F114" s="82"/>
      <c r="G114" s="134"/>
      <c r="H114" s="82" t="s">
        <v>1040</v>
      </c>
      <c r="I114" s="134"/>
      <c r="J114" s="141">
        <v>263.18107522792701</v>
      </c>
      <c r="K114" s="141">
        <v>208.90305449329699</v>
      </c>
      <c r="L114" s="141">
        <v>177.20775470578701</v>
      </c>
      <c r="M114" s="141">
        <v>179.05674752426901</v>
      </c>
      <c r="N114" s="141">
        <v>206.098888974998</v>
      </c>
      <c r="O114" s="141">
        <v>204.08353091719999</v>
      </c>
      <c r="P114" s="141">
        <v>202.94650053477301</v>
      </c>
      <c r="Q114" s="141">
        <v>201.865360974553</v>
      </c>
      <c r="R114" s="141">
        <v>200.62902236772899</v>
      </c>
      <c r="S114" s="141">
        <v>199.417853782539</v>
      </c>
      <c r="T114" s="141">
        <v>198.21393111636999</v>
      </c>
      <c r="U114" s="141">
        <v>197.00591401676601</v>
      </c>
      <c r="V114" s="141">
        <v>190.78348623069101</v>
      </c>
    </row>
    <row r="115" spans="1:22" ht="17.399999999999999">
      <c r="B115" s="99"/>
      <c r="C115" s="99"/>
      <c r="D115" s="99"/>
      <c r="E115" s="99"/>
      <c r="F115" s="99"/>
      <c r="G115" s="133"/>
      <c r="H115" s="104"/>
      <c r="I115" s="133"/>
      <c r="J115" s="133"/>
      <c r="K115" s="133"/>
      <c r="L115" s="133"/>
      <c r="M115" s="133"/>
      <c r="N115" s="133"/>
      <c r="O115" s="133"/>
      <c r="P115" s="133"/>
      <c r="Q115" s="133"/>
      <c r="R115" s="133"/>
      <c r="S115" s="133"/>
      <c r="T115" s="133"/>
      <c r="U115" s="133"/>
      <c r="V115" s="133"/>
    </row>
    <row r="116" spans="1:22" ht="17.7">
      <c r="B116" s="99"/>
      <c r="C116" s="79"/>
      <c r="D116" s="79"/>
      <c r="E116" s="79" t="s">
        <v>1072</v>
      </c>
      <c r="F116" s="79"/>
      <c r="G116" s="134"/>
      <c r="H116" s="82"/>
      <c r="I116" s="134"/>
      <c r="J116" s="148"/>
      <c r="K116" s="148"/>
      <c r="L116" s="148"/>
      <c r="M116" s="148"/>
      <c r="N116" s="148"/>
      <c r="O116" s="148"/>
      <c r="P116" s="148"/>
      <c r="Q116" s="148"/>
      <c r="R116" s="148"/>
      <c r="S116" s="148"/>
      <c r="T116" s="148"/>
      <c r="U116" s="148"/>
      <c r="V116" s="148"/>
    </row>
    <row r="117" spans="1:22" ht="17.399999999999999">
      <c r="A117" s="94" t="s">
        <v>1136</v>
      </c>
      <c r="B117" s="99"/>
      <c r="C117" s="82"/>
      <c r="D117" s="82"/>
      <c r="E117" s="80" t="s">
        <v>1279</v>
      </c>
      <c r="F117" s="80"/>
      <c r="G117" s="132"/>
      <c r="H117" s="80" t="s">
        <v>1052</v>
      </c>
      <c r="I117" s="132"/>
      <c r="J117" s="147">
        <v>0.85710281049822301</v>
      </c>
      <c r="K117" s="147">
        <v>0.97776054534310497</v>
      </c>
      <c r="L117" s="147">
        <v>1.06468734365547</v>
      </c>
      <c r="M117" s="147">
        <v>1.1059058641816899</v>
      </c>
      <c r="N117" s="147">
        <v>1.1262201521545201</v>
      </c>
      <c r="O117" s="147">
        <v>1.0974303077623</v>
      </c>
      <c r="P117" s="147">
        <v>1.0755797041919499</v>
      </c>
      <c r="Q117" s="147">
        <v>1.0544230119439599</v>
      </c>
      <c r="R117" s="147">
        <v>1.03285384565788</v>
      </c>
      <c r="S117" s="147">
        <v>1.0118151853785</v>
      </c>
      <c r="T117" s="147">
        <v>0.991204742242906</v>
      </c>
      <c r="U117" s="147">
        <v>0.97095812701272599</v>
      </c>
      <c r="V117" s="147">
        <v>0.87442431189066805</v>
      </c>
    </row>
    <row r="118" spans="1:22" ht="17.399999999999999">
      <c r="A118" s="94" t="s">
        <v>1137</v>
      </c>
      <c r="B118" s="99"/>
      <c r="C118" s="82"/>
      <c r="D118" s="82"/>
      <c r="E118" s="82" t="s">
        <v>1075</v>
      </c>
      <c r="F118" s="82"/>
      <c r="G118" s="134"/>
      <c r="H118" s="82" t="s">
        <v>1052</v>
      </c>
      <c r="I118" s="134"/>
      <c r="J118" s="148">
        <v>4.6656705102477902</v>
      </c>
      <c r="K118" s="148">
        <v>4.6584753693325602</v>
      </c>
      <c r="L118" s="148">
        <v>4.3186326953385299</v>
      </c>
      <c r="M118" s="148">
        <v>4.5096802179619901</v>
      </c>
      <c r="N118" s="148">
        <v>4.1185083551472204</v>
      </c>
      <c r="O118" s="148">
        <v>4.1875630164614197</v>
      </c>
      <c r="P118" s="148">
        <v>4.1044195701074502</v>
      </c>
      <c r="Q118" s="148">
        <v>4.0239147563945501</v>
      </c>
      <c r="R118" s="148">
        <v>3.94182657186458</v>
      </c>
      <c r="S118" s="148">
        <v>3.8617537801451101</v>
      </c>
      <c r="T118" s="148">
        <v>3.78330630256885</v>
      </c>
      <c r="U118" s="148">
        <v>3.7062386379593999</v>
      </c>
      <c r="V118" s="148">
        <v>3.3387110090370999</v>
      </c>
    </row>
    <row r="119" spans="1:22" ht="17.399999999999999">
      <c r="A119" s="94" t="s">
        <v>1138</v>
      </c>
      <c r="B119" s="99"/>
      <c r="C119" s="82"/>
      <c r="D119" s="82"/>
      <c r="E119" s="80" t="s">
        <v>24</v>
      </c>
      <c r="F119" s="80"/>
      <c r="G119" s="132"/>
      <c r="H119" s="80" t="s">
        <v>1052</v>
      </c>
      <c r="I119" s="132"/>
      <c r="J119" s="147">
        <v>2.14548121787164</v>
      </c>
      <c r="K119" s="147">
        <v>2.0343126933767399</v>
      </c>
      <c r="L119" s="147">
        <v>1.9701288154669101</v>
      </c>
      <c r="M119" s="147">
        <v>2.1837634182371</v>
      </c>
      <c r="N119" s="147">
        <v>2.2021017975652599</v>
      </c>
      <c r="O119" s="147">
        <v>2.02158214587792</v>
      </c>
      <c r="P119" s="147">
        <v>2.0042824538810402</v>
      </c>
      <c r="Q119" s="147">
        <v>1.9876187450109499</v>
      </c>
      <c r="R119" s="147">
        <v>1.96951349883308</v>
      </c>
      <c r="S119" s="147">
        <v>1.95174540879129</v>
      </c>
      <c r="T119" s="147">
        <v>1.93413697329387</v>
      </c>
      <c r="U119" s="147">
        <v>1.9165768565135299</v>
      </c>
      <c r="V119" s="147">
        <v>1.82834174304412</v>
      </c>
    </row>
    <row r="120" spans="1:22" ht="17.399999999999999">
      <c r="A120" s="94" t="s">
        <v>1139</v>
      </c>
      <c r="B120" s="99"/>
      <c r="C120" s="82"/>
      <c r="D120" s="82"/>
      <c r="E120" s="82" t="s">
        <v>1078</v>
      </c>
      <c r="F120" s="82"/>
      <c r="G120" s="134"/>
      <c r="H120" s="82" t="s">
        <v>1052</v>
      </c>
      <c r="I120" s="134"/>
      <c r="J120" s="148">
        <v>0.72385315384392801</v>
      </c>
      <c r="K120" s="148">
        <v>0.69039450123875001</v>
      </c>
      <c r="L120" s="148">
        <v>0.94614265432480205</v>
      </c>
      <c r="M120" s="148">
        <v>0.83469615017044396</v>
      </c>
      <c r="N120" s="148">
        <v>0.77544364534716304</v>
      </c>
      <c r="O120" s="148">
        <v>0.64498097035152802</v>
      </c>
      <c r="P120" s="148">
        <v>0.65143990228112403</v>
      </c>
      <c r="Q120" s="148">
        <v>0.65812507816003496</v>
      </c>
      <c r="R120" s="148">
        <v>0.66434587402432299</v>
      </c>
      <c r="S120" s="148">
        <v>0.67068465646491005</v>
      </c>
      <c r="T120" s="148">
        <v>0.67708369516021905</v>
      </c>
      <c r="U120" s="148">
        <v>0.68350436485130805</v>
      </c>
      <c r="V120" s="148">
        <v>0.71543807336509202</v>
      </c>
    </row>
    <row r="121" spans="1:22" s="116" customFormat="1" ht="17.399999999999999">
      <c r="A121" s="115" t="s">
        <v>1140</v>
      </c>
      <c r="B121" s="99"/>
      <c r="C121" s="82"/>
      <c r="D121" s="82"/>
      <c r="E121" s="80" t="s">
        <v>1080</v>
      </c>
      <c r="F121" s="80"/>
      <c r="G121" s="132"/>
      <c r="H121" s="80" t="s">
        <v>1052</v>
      </c>
      <c r="I121" s="132"/>
      <c r="J121" s="147">
        <v>16.438689009576901</v>
      </c>
      <c r="K121" s="147">
        <v>13.503120981094</v>
      </c>
      <c r="L121" s="147">
        <v>11.928210428691999</v>
      </c>
      <c r="M121" s="147">
        <v>13.6899556555286</v>
      </c>
      <c r="N121" s="147">
        <v>12.0138566669869</v>
      </c>
      <c r="O121" s="147">
        <v>11.5518979764453</v>
      </c>
      <c r="P121" s="147">
        <v>11.519012831787499</v>
      </c>
      <c r="Q121" s="147">
        <v>11.4890417498218</v>
      </c>
      <c r="R121" s="147">
        <v>11.4499626952275</v>
      </c>
      <c r="S121" s="147">
        <v>11.4120236389798</v>
      </c>
      <c r="T121" s="147">
        <v>11.37420652057</v>
      </c>
      <c r="U121" s="147">
        <v>11.335860900296201</v>
      </c>
      <c r="V121" s="147">
        <v>11.129036696790299</v>
      </c>
    </row>
    <row r="122" spans="1:22" ht="17.399999999999999">
      <c r="A122" s="94" t="s">
        <v>1141</v>
      </c>
      <c r="B122" s="99"/>
      <c r="C122" s="82"/>
      <c r="D122" s="82"/>
      <c r="E122" s="82" t="s">
        <v>1082</v>
      </c>
      <c r="F122" s="82"/>
      <c r="G122" s="134"/>
      <c r="H122" s="82" t="s">
        <v>1052</v>
      </c>
      <c r="I122" s="134"/>
      <c r="J122" s="148">
        <v>0.346417999085739</v>
      </c>
      <c r="K122" s="148">
        <v>0.30271830192560001</v>
      </c>
      <c r="L122" s="148">
        <v>0.42332525610704003</v>
      </c>
      <c r="M122" s="148">
        <v>0.362979374084276</v>
      </c>
      <c r="N122" s="148">
        <v>0.27058593219754101</v>
      </c>
      <c r="O122" s="148">
        <v>0.269544286117056</v>
      </c>
      <c r="P122" s="148">
        <v>0.272497702606804</v>
      </c>
      <c r="Q122" s="148">
        <v>0.27555112500726098</v>
      </c>
      <c r="R122" s="148">
        <v>0.27841539783387997</v>
      </c>
      <c r="S122" s="148">
        <v>0.28133427077031098</v>
      </c>
      <c r="T122" s="148">
        <v>0.28428365053898602</v>
      </c>
      <c r="U122" s="148">
        <v>0.28724738264703398</v>
      </c>
      <c r="V122" s="148">
        <v>0.30207385319859498</v>
      </c>
    </row>
    <row r="123" spans="1:22" ht="17.399999999999999">
      <c r="B123" s="99"/>
      <c r="C123" s="99"/>
      <c r="D123" s="99"/>
      <c r="E123" s="99"/>
      <c r="F123" s="99"/>
      <c r="G123" s="139"/>
      <c r="H123" s="104"/>
      <c r="I123" s="139"/>
      <c r="J123" s="139"/>
      <c r="K123" s="139"/>
      <c r="L123" s="139"/>
      <c r="M123" s="139"/>
      <c r="N123" s="139"/>
      <c r="O123" s="139"/>
      <c r="P123" s="139"/>
      <c r="Q123" s="139"/>
      <c r="R123" s="139"/>
      <c r="S123" s="139"/>
      <c r="T123" s="139"/>
      <c r="U123" s="139"/>
      <c r="V123" s="139"/>
    </row>
    <row r="124" spans="1:22" ht="17.7">
      <c r="B124" s="99"/>
      <c r="C124" s="99"/>
      <c r="D124" s="79" t="s">
        <v>995</v>
      </c>
      <c r="E124" s="99"/>
      <c r="F124" s="99"/>
      <c r="G124" s="83"/>
      <c r="H124" s="82"/>
      <c r="I124" s="83"/>
      <c r="J124" s="83"/>
      <c r="K124" s="83"/>
      <c r="L124" s="83"/>
      <c r="M124" s="83"/>
      <c r="N124" s="83"/>
      <c r="O124" s="83"/>
      <c r="P124" s="83"/>
      <c r="Q124" s="83"/>
      <c r="R124" s="83"/>
      <c r="S124" s="83"/>
      <c r="T124" s="83"/>
      <c r="U124" s="83"/>
      <c r="V124" s="83"/>
    </row>
    <row r="125" spans="1:22" ht="17.7">
      <c r="B125" s="99"/>
      <c r="C125" s="99"/>
      <c r="D125" s="79"/>
      <c r="E125" s="79" t="s">
        <v>996</v>
      </c>
      <c r="F125" s="79"/>
      <c r="G125" s="83"/>
      <c r="H125" s="82"/>
      <c r="I125" s="83"/>
      <c r="J125" s="83"/>
      <c r="K125" s="83"/>
      <c r="L125" s="83"/>
      <c r="M125" s="83"/>
      <c r="N125" s="83"/>
      <c r="O125" s="83"/>
      <c r="P125" s="83"/>
      <c r="Q125" s="83"/>
      <c r="R125" s="83"/>
      <c r="S125" s="83"/>
      <c r="T125" s="83"/>
      <c r="U125" s="83"/>
      <c r="V125" s="83"/>
    </row>
    <row r="126" spans="1:22" ht="17.399999999999999">
      <c r="A126" s="94" t="s">
        <v>1142</v>
      </c>
      <c r="B126" s="99"/>
      <c r="C126" s="99"/>
      <c r="D126" s="82"/>
      <c r="E126" s="80" t="s">
        <v>50</v>
      </c>
      <c r="F126" s="80"/>
      <c r="G126" s="132"/>
      <c r="H126" s="80" t="s">
        <v>1084</v>
      </c>
      <c r="I126" s="132"/>
      <c r="J126" s="140">
        <v>429.72516190217101</v>
      </c>
      <c r="K126" s="140">
        <v>397.04394113337702</v>
      </c>
      <c r="L126" s="140">
        <v>411.99270142622902</v>
      </c>
      <c r="M126" s="140">
        <v>406.25207352151801</v>
      </c>
      <c r="N126" s="140">
        <v>406.00354972609398</v>
      </c>
      <c r="O126" s="140">
        <v>385.06326588151001</v>
      </c>
      <c r="P126" s="140">
        <v>382.69973797654899</v>
      </c>
      <c r="Q126" s="140">
        <v>380.44411277853197</v>
      </c>
      <c r="R126" s="140">
        <v>377.89860573693602</v>
      </c>
      <c r="S126" s="140">
        <v>375.403258505157</v>
      </c>
      <c r="T126" s="140">
        <v>372.924264928296</v>
      </c>
      <c r="U126" s="140">
        <v>370.44027556836397</v>
      </c>
      <c r="V126" s="140">
        <v>357.719036682546</v>
      </c>
    </row>
    <row r="127" spans="1:22" ht="17.399999999999999">
      <c r="A127" s="94" t="s">
        <v>1143</v>
      </c>
      <c r="B127" s="106"/>
      <c r="C127" s="106"/>
      <c r="D127" s="82"/>
      <c r="E127" s="82" t="s">
        <v>1086</v>
      </c>
      <c r="F127" s="82"/>
      <c r="G127" s="134"/>
      <c r="H127" s="82" t="s">
        <v>1084</v>
      </c>
      <c r="I127" s="134"/>
      <c r="J127" s="141">
        <v>260.55306465285702</v>
      </c>
      <c r="K127" s="141">
        <v>251.37528997995</v>
      </c>
      <c r="L127" s="141">
        <v>291.79000952828801</v>
      </c>
      <c r="M127" s="141">
        <v>272.83561755012101</v>
      </c>
      <c r="N127" s="141">
        <v>264.78345446165599</v>
      </c>
      <c r="O127" s="141">
        <v>264.730995293538</v>
      </c>
      <c r="P127" s="141">
        <v>263.914971360864</v>
      </c>
      <c r="Q127" s="141">
        <v>263.16606749232</v>
      </c>
      <c r="R127" s="141">
        <v>262.208926589741</v>
      </c>
      <c r="S127" s="141">
        <v>261.27832379483601</v>
      </c>
      <c r="T127" s="141">
        <v>260.35093745438598</v>
      </c>
      <c r="U127" s="141">
        <v>259.41188066060198</v>
      </c>
      <c r="V127" s="141">
        <v>254.377981640922</v>
      </c>
    </row>
    <row r="128" spans="1:22" ht="17.399999999999999">
      <c r="A128" s="94" t="s">
        <v>1144</v>
      </c>
      <c r="B128" s="99"/>
      <c r="C128" s="99"/>
      <c r="D128" s="82"/>
      <c r="E128" s="80" t="s">
        <v>1088</v>
      </c>
      <c r="F128" s="80"/>
      <c r="G128" s="132"/>
      <c r="H128" s="80" t="s">
        <v>1084</v>
      </c>
      <c r="I128" s="132"/>
      <c r="J128" s="140">
        <v>829.52972856985502</v>
      </c>
      <c r="K128" s="140">
        <v>851.40286871414696</v>
      </c>
      <c r="L128" s="140">
        <v>785.77163137900595</v>
      </c>
      <c r="M128" s="140">
        <v>721.70307067302895</v>
      </c>
      <c r="N128" s="140">
        <v>714.66227143417802</v>
      </c>
      <c r="O128" s="140">
        <v>693.11387858671799</v>
      </c>
      <c r="P128" s="140">
        <v>691.88474060043495</v>
      </c>
      <c r="Q128" s="140">
        <v>690.82737368685002</v>
      </c>
      <c r="R128" s="140">
        <v>689.21868368149501</v>
      </c>
      <c r="S128" s="140">
        <v>687.67442477783698</v>
      </c>
      <c r="T128" s="140">
        <v>686.13339839500202</v>
      </c>
      <c r="U128" s="140">
        <v>684.55634208111996</v>
      </c>
      <c r="V128" s="140">
        <v>675.691513733698</v>
      </c>
    </row>
    <row r="129" spans="1:22" ht="17.7">
      <c r="B129" s="99"/>
      <c r="C129" s="79"/>
      <c r="D129" s="99"/>
      <c r="E129" s="99"/>
      <c r="F129" s="99"/>
      <c r="G129" s="108"/>
      <c r="H129" s="99"/>
      <c r="I129" s="108"/>
      <c r="J129" s="108"/>
      <c r="K129" s="108"/>
      <c r="L129" s="108"/>
      <c r="M129" s="108"/>
      <c r="N129" s="108"/>
      <c r="O129" s="108"/>
      <c r="P129" s="108"/>
      <c r="Q129" s="108"/>
      <c r="R129" s="108"/>
      <c r="S129" s="108"/>
      <c r="T129" s="108"/>
      <c r="U129" s="108"/>
      <c r="V129" s="108"/>
    </row>
    <row r="130" spans="1:22" ht="17.7">
      <c r="B130" s="99"/>
      <c r="C130" s="79"/>
      <c r="D130" s="79"/>
      <c r="E130" s="79" t="s">
        <v>1002</v>
      </c>
      <c r="F130" s="79"/>
      <c r="G130" s="134"/>
      <c r="H130" s="82"/>
      <c r="I130" s="134"/>
      <c r="J130" s="134"/>
      <c r="K130" s="134"/>
      <c r="L130" s="134"/>
      <c r="M130" s="134"/>
      <c r="N130" s="134"/>
      <c r="O130" s="134"/>
      <c r="P130" s="134"/>
      <c r="Q130" s="134"/>
      <c r="R130" s="134"/>
      <c r="S130" s="134"/>
      <c r="T130" s="134"/>
      <c r="U130" s="134"/>
      <c r="V130" s="134"/>
    </row>
    <row r="131" spans="1:22" ht="17.399999999999999">
      <c r="A131" s="94" t="s">
        <v>1145</v>
      </c>
      <c r="B131" s="99"/>
      <c r="C131" s="82"/>
      <c r="D131" s="82"/>
      <c r="E131" s="80" t="s">
        <v>1090</v>
      </c>
      <c r="F131" s="80"/>
      <c r="G131" s="132"/>
      <c r="H131" s="80" t="s">
        <v>1052</v>
      </c>
      <c r="I131" s="132"/>
      <c r="J131" s="147">
        <v>1.6923752280061899</v>
      </c>
      <c r="K131" s="147">
        <v>1.5862393967948101</v>
      </c>
      <c r="L131" s="147">
        <v>1.73995726255912</v>
      </c>
      <c r="M131" s="147">
        <v>1.89441958746362</v>
      </c>
      <c r="N131" s="147">
        <v>1.97782768837845</v>
      </c>
      <c r="O131" s="147">
        <v>1.8097973496430899</v>
      </c>
      <c r="P131" s="147">
        <v>1.80514331459525</v>
      </c>
      <c r="Q131" s="147">
        <v>1.8009433617669399</v>
      </c>
      <c r="R131" s="147">
        <v>1.7953128563745999</v>
      </c>
      <c r="S131" s="147">
        <v>1.78985790346219</v>
      </c>
      <c r="T131" s="147">
        <v>1.78441893335533</v>
      </c>
      <c r="U131" s="147">
        <v>1.7788938895198201</v>
      </c>
      <c r="V131" s="147">
        <v>1.7488486237813401</v>
      </c>
    </row>
    <row r="132" spans="1:22" ht="17.399999999999999">
      <c r="A132" s="94" t="s">
        <v>1146</v>
      </c>
      <c r="B132" s="99"/>
      <c r="C132" s="82"/>
      <c r="D132" s="82"/>
      <c r="E132" s="82" t="s">
        <v>1092</v>
      </c>
      <c r="F132" s="82"/>
      <c r="G132" s="134"/>
      <c r="H132" s="82" t="s">
        <v>1052</v>
      </c>
      <c r="I132" s="134"/>
      <c r="J132" s="148">
        <v>1.8028117100618199</v>
      </c>
      <c r="K132" s="148">
        <v>1.6055563275176601</v>
      </c>
      <c r="L132" s="148">
        <v>1.7070551076147</v>
      </c>
      <c r="M132" s="148">
        <v>2.0511267957629</v>
      </c>
      <c r="N132" s="148">
        <v>1.53676718112352</v>
      </c>
      <c r="O132" s="148">
        <v>1.6365188799964201</v>
      </c>
      <c r="P132" s="148">
        <v>1.6603957841495101</v>
      </c>
      <c r="Q132" s="148">
        <v>1.6850347132654699</v>
      </c>
      <c r="R132" s="148">
        <v>1.7086684518664099</v>
      </c>
      <c r="S132" s="148">
        <v>1.73278658225072</v>
      </c>
      <c r="T132" s="148">
        <v>1.75724456119207</v>
      </c>
      <c r="U132" s="148">
        <v>1.78194498272281</v>
      </c>
      <c r="V132" s="148">
        <v>1.9078348623069099</v>
      </c>
    </row>
    <row r="133" spans="1:22" ht="17.399999999999999">
      <c r="A133" s="94" t="s">
        <v>1147</v>
      </c>
      <c r="B133" s="99"/>
      <c r="C133" s="82"/>
      <c r="D133" s="82"/>
      <c r="E133" s="80" t="s">
        <v>1094</v>
      </c>
      <c r="F133" s="80"/>
      <c r="G133" s="132"/>
      <c r="H133" s="80" t="s">
        <v>1040</v>
      </c>
      <c r="I133" s="132"/>
      <c r="J133" s="135">
        <v>4610.5360110719503</v>
      </c>
      <c r="K133" s="135">
        <v>5015.2223872001296</v>
      </c>
      <c r="L133" s="135">
        <v>5111.2005150136401</v>
      </c>
      <c r="M133" s="135">
        <v>4809.9262997969499</v>
      </c>
      <c r="N133" s="135">
        <v>4774.1907053663799</v>
      </c>
      <c r="O133" s="135">
        <v>4717.0250070484899</v>
      </c>
      <c r="P133" s="135">
        <v>4602.3737275800904</v>
      </c>
      <c r="Q133" s="135">
        <v>4491.6117911834999</v>
      </c>
      <c r="R133" s="135">
        <v>4380.0015398243604</v>
      </c>
      <c r="S133" s="135">
        <v>4271.5415963167297</v>
      </c>
      <c r="T133" s="135">
        <v>4165.7660145559303</v>
      </c>
      <c r="U133" s="135">
        <v>4062.3754323871999</v>
      </c>
      <c r="V133" s="135">
        <v>3577.1903668254599</v>
      </c>
    </row>
    <row r="134" spans="1:22" ht="17.399999999999999">
      <c r="B134" s="99"/>
      <c r="C134" s="82"/>
      <c r="D134" s="82"/>
      <c r="E134" s="82"/>
      <c r="F134" s="82"/>
      <c r="G134" s="134"/>
      <c r="H134" s="82"/>
      <c r="I134" s="134"/>
      <c r="J134" s="134"/>
      <c r="K134" s="134"/>
      <c r="L134" s="134"/>
      <c r="M134" s="134"/>
      <c r="N134" s="134"/>
      <c r="O134" s="134"/>
      <c r="P134" s="134"/>
      <c r="Q134" s="134"/>
      <c r="R134" s="134"/>
      <c r="S134" s="134"/>
      <c r="T134" s="134"/>
      <c r="U134" s="134"/>
      <c r="V134" s="134"/>
    </row>
    <row r="135" spans="1:22" ht="17.7">
      <c r="B135" s="99"/>
      <c r="C135" s="79" t="s">
        <v>1012</v>
      </c>
      <c r="D135" s="79"/>
      <c r="E135" s="99"/>
      <c r="F135" s="99"/>
      <c r="G135" s="134"/>
      <c r="H135" s="82"/>
      <c r="I135" s="134"/>
      <c r="J135" s="134"/>
      <c r="K135" s="134"/>
      <c r="L135" s="134"/>
      <c r="M135" s="134"/>
      <c r="N135" s="134"/>
      <c r="O135" s="134"/>
      <c r="P135" s="134"/>
      <c r="Q135" s="134"/>
      <c r="R135" s="134"/>
      <c r="S135" s="134"/>
      <c r="T135" s="134"/>
      <c r="U135" s="134"/>
      <c r="V135" s="134"/>
    </row>
    <row r="136" spans="1:22" ht="17.399999999999999">
      <c r="A136" s="94" t="s">
        <v>1148</v>
      </c>
      <c r="B136" s="99"/>
      <c r="C136" s="80" t="s">
        <v>0</v>
      </c>
      <c r="D136" s="80"/>
      <c r="E136" s="102"/>
      <c r="F136" s="80"/>
      <c r="G136" s="132"/>
      <c r="H136" s="80" t="s">
        <v>1040</v>
      </c>
      <c r="I136" s="132"/>
      <c r="J136" s="140">
        <v>396.85718919321698</v>
      </c>
      <c r="K136" s="140">
        <v>425.70011455143799</v>
      </c>
      <c r="L136" s="140">
        <v>335.85641475385302</v>
      </c>
      <c r="M136" s="140">
        <v>332.04153118088402</v>
      </c>
      <c r="N136" s="140">
        <v>386.24734686632002</v>
      </c>
      <c r="O136" s="140">
        <v>356.18352094039602</v>
      </c>
      <c r="P136" s="140">
        <v>356.51509427913601</v>
      </c>
      <c r="Q136" s="140">
        <v>356.93460023960898</v>
      </c>
      <c r="R136" s="140">
        <v>357.06813501710002</v>
      </c>
      <c r="S136" s="140">
        <v>357.23324442726999</v>
      </c>
      <c r="T136" s="140">
        <v>357.39831166406998</v>
      </c>
      <c r="U136" s="140">
        <v>357.54283312427799</v>
      </c>
      <c r="V136" s="140">
        <v>357.719036682546</v>
      </c>
    </row>
    <row r="137" spans="1:22" ht="17.399999999999999">
      <c r="A137" s="94" t="s">
        <v>1149</v>
      </c>
      <c r="B137" s="99"/>
      <c r="C137" s="82" t="s">
        <v>57</v>
      </c>
      <c r="D137" s="82"/>
      <c r="E137" s="99"/>
      <c r="F137" s="82"/>
      <c r="G137" s="134"/>
      <c r="H137" s="82" t="s">
        <v>1040</v>
      </c>
      <c r="I137" s="134"/>
      <c r="J137" s="141">
        <v>102.042750275941</v>
      </c>
      <c r="K137" s="141">
        <v>122.93563748014201</v>
      </c>
      <c r="L137" s="141">
        <v>117.4662742971</v>
      </c>
      <c r="M137" s="141">
        <v>92.190334384610793</v>
      </c>
      <c r="N137" s="141">
        <v>86.296350739148593</v>
      </c>
      <c r="O137" s="141">
        <v>101.079107293896</v>
      </c>
      <c r="P137" s="141">
        <v>100.976646773008</v>
      </c>
      <c r="Q137" s="141">
        <v>100.89905984663901</v>
      </c>
      <c r="R137" s="141">
        <v>100.740711353506</v>
      </c>
      <c r="S137" s="141">
        <v>100.591488241189</v>
      </c>
      <c r="T137" s="141">
        <v>100.442452858251</v>
      </c>
      <c r="U137" s="141">
        <v>100.287853967722</v>
      </c>
      <c r="V137" s="141">
        <v>99.366399078485003</v>
      </c>
    </row>
    <row r="138" spans="1:22" ht="17.399999999999999">
      <c r="A138" s="94" t="s">
        <v>1150</v>
      </c>
      <c r="B138" s="99"/>
      <c r="C138" s="80" t="s">
        <v>1098</v>
      </c>
      <c r="D138" s="80"/>
      <c r="E138" s="102"/>
      <c r="F138" s="80"/>
      <c r="G138" s="132"/>
      <c r="H138" s="80" t="s">
        <v>1040</v>
      </c>
      <c r="I138" s="132"/>
      <c r="J138" s="140">
        <v>274.02577865500598</v>
      </c>
      <c r="K138" s="140">
        <v>302.51435261623999</v>
      </c>
      <c r="L138" s="140">
        <v>276.85519598946797</v>
      </c>
      <c r="M138" s="140">
        <v>224.31910631330999</v>
      </c>
      <c r="N138" s="140">
        <v>211.56841392817401</v>
      </c>
      <c r="O138" s="140">
        <v>231.03795952890599</v>
      </c>
      <c r="P138" s="140">
        <v>233.19393606260999</v>
      </c>
      <c r="Q138" s="140">
        <v>235.42782675089401</v>
      </c>
      <c r="R138" s="140">
        <v>237.49258407128201</v>
      </c>
      <c r="S138" s="140">
        <v>239.59659342049801</v>
      </c>
      <c r="T138" s="140">
        <v>241.71916258372099</v>
      </c>
      <c r="U138" s="140">
        <v>243.84647106805099</v>
      </c>
      <c r="V138" s="140">
        <v>254.377981640922</v>
      </c>
    </row>
    <row r="139" spans="1:22" ht="19.5" customHeight="1">
      <c r="A139" s="94" t="s">
        <v>1151</v>
      </c>
      <c r="B139" s="99"/>
      <c r="C139" s="82" t="s">
        <v>1</v>
      </c>
      <c r="D139" s="82"/>
      <c r="E139" s="99"/>
      <c r="F139" s="82"/>
      <c r="G139" s="134"/>
      <c r="H139" s="82" t="s">
        <v>1040</v>
      </c>
      <c r="I139" s="134"/>
      <c r="J139" s="141">
        <v>352.89624086375801</v>
      </c>
      <c r="K139" s="141">
        <v>385.89413797856599</v>
      </c>
      <c r="L139" s="141">
        <v>309.55672202023402</v>
      </c>
      <c r="M139" s="141">
        <v>291.24008075045498</v>
      </c>
      <c r="N139" s="141">
        <v>340.34207344980899</v>
      </c>
      <c r="O139" s="141">
        <v>327.303775999283</v>
      </c>
      <c r="P139" s="141">
        <v>325.10091796366203</v>
      </c>
      <c r="Q139" s="141">
        <v>322.99217728487599</v>
      </c>
      <c r="R139" s="141">
        <v>320.63987524688798</v>
      </c>
      <c r="S139" s="141">
        <v>318.332796497456</v>
      </c>
      <c r="T139" s="141">
        <v>316.04221291221103</v>
      </c>
      <c r="U139" s="141">
        <v>313.750015159925</v>
      </c>
      <c r="V139" s="141">
        <v>302.07385319859401</v>
      </c>
    </row>
    <row r="140" spans="1:22" s="104" customFormat="1" ht="19.5" customHeight="1">
      <c r="A140" s="117" t="s">
        <v>1152</v>
      </c>
      <c r="B140" s="99"/>
      <c r="C140" s="80" t="s">
        <v>1101</v>
      </c>
      <c r="D140" s="80"/>
      <c r="E140" s="102"/>
      <c r="F140" s="80"/>
      <c r="G140" s="132"/>
      <c r="H140" s="80" t="s">
        <v>1040</v>
      </c>
      <c r="I140" s="132"/>
      <c r="J140" s="140">
        <v>284.93830966339101</v>
      </c>
      <c r="K140" s="140">
        <v>283.99237062952602</v>
      </c>
      <c r="L140" s="140">
        <v>206.44943079938099</v>
      </c>
      <c r="M140" s="140">
        <v>219.843431542953</v>
      </c>
      <c r="N140" s="140">
        <v>244.89862042170401</v>
      </c>
      <c r="O140" s="140">
        <v>240.66454117594401</v>
      </c>
      <c r="P140" s="140">
        <v>240.59480628634401</v>
      </c>
      <c r="Q140" s="140">
        <v>240.58415266278601</v>
      </c>
      <c r="R140" s="140">
        <v>240.38064949111799</v>
      </c>
      <c r="S140" s="140">
        <v>240.19851519685</v>
      </c>
      <c r="T140" s="140">
        <v>240.01643930984699</v>
      </c>
      <c r="U140" s="140">
        <v>239.820669269223</v>
      </c>
      <c r="V140" s="140">
        <v>238.47935778836401</v>
      </c>
    </row>
    <row r="141" spans="1:22" s="104" customFormat="1" ht="19.5" customHeight="1">
      <c r="A141" s="117"/>
      <c r="B141" s="99"/>
      <c r="C141" s="82"/>
      <c r="D141" s="82"/>
      <c r="E141" s="82"/>
      <c r="F141" s="82"/>
      <c r="G141" s="134"/>
      <c r="H141" s="82"/>
      <c r="I141" s="134"/>
      <c r="J141" s="134"/>
      <c r="K141" s="134"/>
      <c r="L141" s="134"/>
      <c r="M141" s="134"/>
      <c r="N141" s="134"/>
      <c r="O141" s="134"/>
      <c r="P141" s="134"/>
      <c r="Q141" s="134"/>
      <c r="R141" s="134"/>
      <c r="S141" s="134"/>
      <c r="T141" s="134"/>
      <c r="U141" s="134"/>
      <c r="V141" s="134"/>
    </row>
    <row r="142" spans="1:22" s="99" customFormat="1" ht="19.5" customHeight="1">
      <c r="A142" s="94"/>
      <c r="C142" s="79" t="s">
        <v>1013</v>
      </c>
      <c r="D142" s="79"/>
      <c r="G142" s="134"/>
      <c r="H142" s="82"/>
      <c r="I142" s="134"/>
      <c r="J142" s="134"/>
      <c r="K142" s="134"/>
      <c r="L142" s="134"/>
      <c r="M142" s="134"/>
      <c r="N142" s="134"/>
      <c r="O142" s="134"/>
      <c r="P142" s="134"/>
      <c r="Q142" s="134"/>
      <c r="R142" s="134"/>
      <c r="S142" s="134"/>
      <c r="T142" s="134"/>
      <c r="U142" s="134"/>
      <c r="V142" s="134"/>
    </row>
    <row r="143" spans="1:22" s="99" customFormat="1" ht="19.5" customHeight="1">
      <c r="A143" s="94" t="s">
        <v>1153</v>
      </c>
      <c r="C143" s="80" t="s">
        <v>1103</v>
      </c>
      <c r="D143" s="102"/>
      <c r="E143" s="102"/>
      <c r="F143" s="102"/>
      <c r="G143" s="132"/>
      <c r="H143" s="80" t="s">
        <v>1040</v>
      </c>
      <c r="I143" s="132"/>
      <c r="J143" s="135">
        <v>1725.14528302042</v>
      </c>
      <c r="K143" s="135">
        <v>1700.94591841644</v>
      </c>
      <c r="L143" s="135">
        <v>1705.9898709131</v>
      </c>
      <c r="M143" s="135">
        <v>2022.56385313754</v>
      </c>
      <c r="N143" s="135">
        <v>2070.0079422608201</v>
      </c>
      <c r="O143" s="135">
        <v>1867.5568395253199</v>
      </c>
      <c r="P143" s="135">
        <v>1864.7223251774899</v>
      </c>
      <c r="Q143" s="135">
        <v>1854.35248076986</v>
      </c>
      <c r="R143" s="135">
        <v>1842.56207273564</v>
      </c>
      <c r="S143" s="135">
        <v>1831.00821141764</v>
      </c>
      <c r="T143" s="135">
        <v>1819.5261956710999</v>
      </c>
      <c r="U143" s="135">
        <v>1808.0119011981401</v>
      </c>
      <c r="V143" s="135">
        <v>1748.8486237813399</v>
      </c>
    </row>
    <row r="144" spans="1:22" ht="19.5" customHeight="1">
      <c r="A144" s="94" t="s">
        <v>1154</v>
      </c>
      <c r="B144" s="99"/>
      <c r="C144" s="82" t="s">
        <v>15</v>
      </c>
      <c r="D144" s="99"/>
      <c r="E144" s="99"/>
      <c r="F144" s="99"/>
      <c r="G144" s="134"/>
      <c r="H144" s="82" t="s">
        <v>1040</v>
      </c>
      <c r="I144" s="134"/>
      <c r="J144" s="136">
        <v>6340.4899929416597</v>
      </c>
      <c r="K144" s="136">
        <v>5630.5020086096501</v>
      </c>
      <c r="L144" s="136">
        <v>5176.8350182553404</v>
      </c>
      <c r="M144" s="136">
        <v>6342.1193782074997</v>
      </c>
      <c r="N144" s="136">
        <v>6410.66856916088</v>
      </c>
      <c r="O144" s="136">
        <v>6247.6514889274904</v>
      </c>
      <c r="P144" s="136">
        <v>6323.0178335967803</v>
      </c>
      <c r="Q144" s="136">
        <v>6247.9714767044197</v>
      </c>
      <c r="R144" s="136">
        <v>6168.8667342121098</v>
      </c>
      <c r="S144" s="136">
        <v>6091.3010639908398</v>
      </c>
      <c r="T144" s="136">
        <v>6014.7086890349301</v>
      </c>
      <c r="U144" s="136">
        <v>5938.7368616898302</v>
      </c>
      <c r="V144" s="136">
        <v>5564.5183483951596</v>
      </c>
    </row>
    <row r="145" spans="1:22" ht="19.5" customHeight="1">
      <c r="A145" s="94" t="s">
        <v>1155</v>
      </c>
      <c r="B145" s="99"/>
      <c r="C145" s="80" t="s">
        <v>1106</v>
      </c>
      <c r="D145" s="102"/>
      <c r="E145" s="102"/>
      <c r="F145" s="102"/>
      <c r="G145" s="132"/>
      <c r="H145" s="80" t="s">
        <v>1107</v>
      </c>
      <c r="I145" s="132"/>
      <c r="J145" s="142">
        <v>89.5658623692714</v>
      </c>
      <c r="K145" s="142">
        <v>57.070950128008398</v>
      </c>
      <c r="L145" s="142">
        <v>62.132013238238201</v>
      </c>
      <c r="M145" s="142">
        <v>73.7625465693622</v>
      </c>
      <c r="N145" s="142">
        <v>68.478297812073194</v>
      </c>
      <c r="O145" s="142">
        <v>74.798539397483296</v>
      </c>
      <c r="P145" s="142">
        <v>69.098847582719301</v>
      </c>
      <c r="Q145" s="142">
        <v>67.675394504285904</v>
      </c>
      <c r="R145" s="142">
        <v>66.228132107314806</v>
      </c>
      <c r="S145" s="142">
        <v>64.817539869457505</v>
      </c>
      <c r="T145" s="142">
        <v>63.436970782769002</v>
      </c>
      <c r="U145" s="142">
        <v>62.082226144051099</v>
      </c>
      <c r="V145" s="142">
        <v>55.645183483951598</v>
      </c>
    </row>
    <row r="146" spans="1:22" ht="19.5" customHeight="1">
      <c r="A146" s="94" t="s">
        <v>1156</v>
      </c>
      <c r="B146" s="99"/>
      <c r="C146" s="82" t="s">
        <v>16</v>
      </c>
      <c r="D146" s="99"/>
      <c r="E146" s="99"/>
      <c r="F146" s="99"/>
      <c r="G146" s="134"/>
      <c r="H146" s="82" t="s">
        <v>1040</v>
      </c>
      <c r="I146" s="134"/>
      <c r="J146" s="136">
        <v>1935.8098657590799</v>
      </c>
      <c r="K146" s="136">
        <v>1826.7668213126001</v>
      </c>
      <c r="L146" s="136">
        <v>1985.1191079810301</v>
      </c>
      <c r="M146" s="136">
        <v>2379.25842885971</v>
      </c>
      <c r="N146" s="136">
        <v>2199.5604615274701</v>
      </c>
      <c r="O146" s="136">
        <v>1906.0631661134701</v>
      </c>
      <c r="P146" s="136">
        <v>1893.1191118553199</v>
      </c>
      <c r="Q146" s="136">
        <v>1871.0239364632801</v>
      </c>
      <c r="R146" s="136">
        <v>1847.70428420179</v>
      </c>
      <c r="S146" s="136">
        <v>1824.8363141252501</v>
      </c>
      <c r="T146" s="136">
        <v>1802.2507700603401</v>
      </c>
      <c r="U146" s="136">
        <v>1779.84210543376</v>
      </c>
      <c r="V146" s="136">
        <v>1669.3555045185501</v>
      </c>
    </row>
    <row r="147" spans="1:22" ht="19.5" customHeight="1">
      <c r="A147" s="94" t="s">
        <v>1157</v>
      </c>
      <c r="B147" s="99"/>
      <c r="C147" s="80" t="s">
        <v>21</v>
      </c>
      <c r="D147" s="102"/>
      <c r="E147" s="102"/>
      <c r="F147" s="102"/>
      <c r="G147" s="135"/>
      <c r="H147" s="80" t="s">
        <v>1040</v>
      </c>
      <c r="I147" s="135"/>
      <c r="J147" s="135">
        <v>15606.305830057599</v>
      </c>
      <c r="K147" s="135">
        <v>12121.0625970328</v>
      </c>
      <c r="L147" s="135">
        <v>10204.130123207</v>
      </c>
      <c r="M147" s="135">
        <v>10700.128016409701</v>
      </c>
      <c r="N147" s="135">
        <v>12874.810932222599</v>
      </c>
      <c r="O147" s="135">
        <v>12399.0371613846</v>
      </c>
      <c r="P147" s="135">
        <v>12967.865916209001</v>
      </c>
      <c r="Q147" s="135">
        <v>13107.086904186701</v>
      </c>
      <c r="R147" s="135">
        <v>13237.1827614064</v>
      </c>
      <c r="S147" s="135">
        <v>13369.749736663</v>
      </c>
      <c r="T147" s="135">
        <v>13503.639857946901</v>
      </c>
      <c r="U147" s="135">
        <v>13638.084203713101</v>
      </c>
      <c r="V147" s="135">
        <v>14308.7614673018</v>
      </c>
    </row>
    <row r="148" spans="1:22" ht="19.5" customHeight="1">
      <c r="A148" s="94" t="s">
        <v>1158</v>
      </c>
      <c r="B148" s="99"/>
      <c r="C148" s="82" t="s">
        <v>17</v>
      </c>
      <c r="D148" s="99"/>
      <c r="E148" s="99"/>
      <c r="F148" s="99"/>
      <c r="G148" s="134"/>
      <c r="H148" s="82" t="s">
        <v>1040</v>
      </c>
      <c r="I148" s="134"/>
      <c r="J148" s="136">
        <v>20230.443691949</v>
      </c>
      <c r="K148" s="136">
        <v>16416.643364238698</v>
      </c>
      <c r="L148" s="136">
        <v>19071.9146007173</v>
      </c>
      <c r="M148" s="136">
        <v>20620.999510759499</v>
      </c>
      <c r="N148" s="136">
        <v>19777.676317470701</v>
      </c>
      <c r="O148" s="136">
        <v>20417.979673367001</v>
      </c>
      <c r="P148" s="136">
        <v>20426.7552169189</v>
      </c>
      <c r="Q148" s="136">
        <v>20218.526328855001</v>
      </c>
      <c r="R148" s="136">
        <v>19996.377630992502</v>
      </c>
      <c r="S148" s="136">
        <v>19778.415147007301</v>
      </c>
      <c r="T148" s="136">
        <v>19562.821988121301</v>
      </c>
      <c r="U148" s="136">
        <v>19348.462922519298</v>
      </c>
      <c r="V148" s="136">
        <v>18283.417430441201</v>
      </c>
    </row>
    <row r="149" spans="1:22" ht="19.5" customHeight="1">
      <c r="A149" s="94" t="s">
        <v>1159</v>
      </c>
      <c r="B149" s="99"/>
      <c r="C149" s="80" t="s">
        <v>18</v>
      </c>
      <c r="D149" s="102"/>
      <c r="E149" s="102"/>
      <c r="F149" s="102"/>
      <c r="G149" s="132"/>
      <c r="H149" s="80" t="s">
        <v>1040</v>
      </c>
      <c r="I149" s="132"/>
      <c r="J149" s="135">
        <v>1996.3311091611399</v>
      </c>
      <c r="K149" s="135">
        <v>1973.7599610596801</v>
      </c>
      <c r="L149" s="135">
        <v>2222.61371922441</v>
      </c>
      <c r="M149" s="135">
        <v>2971.5396756663399</v>
      </c>
      <c r="N149" s="135">
        <v>2869.0632259322801</v>
      </c>
      <c r="O149" s="135">
        <v>2762.8289326998301</v>
      </c>
      <c r="P149" s="135">
        <v>2508.3828232083001</v>
      </c>
      <c r="Q149" s="135">
        <v>2452.70719685426</v>
      </c>
      <c r="R149" s="135">
        <v>2396.3448230353401</v>
      </c>
      <c r="S149" s="135">
        <v>2341.48426571239</v>
      </c>
      <c r="T149" s="135">
        <v>2287.8788961228802</v>
      </c>
      <c r="U149" s="135">
        <v>2235.3718249256999</v>
      </c>
      <c r="V149" s="135">
        <v>1987.3279815696999</v>
      </c>
    </row>
    <row r="150" spans="1:22" ht="19.5" customHeight="1">
      <c r="B150" s="99"/>
      <c r="C150" s="81"/>
      <c r="D150" s="99"/>
      <c r="E150" s="99"/>
      <c r="F150" s="99"/>
      <c r="G150" s="149"/>
      <c r="H150" s="81"/>
      <c r="I150" s="149"/>
      <c r="J150" s="149"/>
      <c r="K150" s="149"/>
      <c r="L150" s="149"/>
      <c r="M150" s="149"/>
      <c r="N150" s="149"/>
      <c r="O150" s="149"/>
      <c r="P150" s="149"/>
      <c r="Q150" s="149"/>
      <c r="R150" s="149"/>
      <c r="S150" s="149"/>
      <c r="T150" s="149"/>
      <c r="U150" s="149"/>
      <c r="V150" s="149"/>
    </row>
    <row r="151" spans="1:22" ht="19.5" customHeight="1">
      <c r="B151" s="79" t="s">
        <v>1029</v>
      </c>
      <c r="C151" s="99"/>
      <c r="D151" s="79"/>
      <c r="E151" s="99"/>
      <c r="F151" s="99"/>
      <c r="G151" s="134"/>
      <c r="H151" s="82"/>
      <c r="I151" s="134"/>
      <c r="J151" s="134"/>
      <c r="K151" s="134"/>
      <c r="L151" s="134"/>
      <c r="M151" s="134"/>
      <c r="N151" s="134"/>
      <c r="O151" s="134"/>
      <c r="P151" s="134"/>
      <c r="Q151" s="134"/>
      <c r="R151" s="134"/>
      <c r="S151" s="134"/>
      <c r="T151" s="134"/>
      <c r="U151" s="134"/>
      <c r="V151" s="134"/>
    </row>
    <row r="152" spans="1:22" ht="19.5" customHeight="1">
      <c r="A152" s="94" t="s">
        <v>1160</v>
      </c>
      <c r="B152" s="99"/>
      <c r="C152" s="80" t="s">
        <v>23</v>
      </c>
      <c r="D152" s="102"/>
      <c r="E152" s="102"/>
      <c r="F152" s="102"/>
      <c r="G152" s="132"/>
      <c r="H152" s="80" t="s">
        <v>1113</v>
      </c>
      <c r="I152" s="132"/>
      <c r="J152" s="135">
        <v>1169.15586982134</v>
      </c>
      <c r="K152" s="135">
        <v>1185.94839320387</v>
      </c>
      <c r="L152" s="135">
        <v>1328.2544551097001</v>
      </c>
      <c r="M152" s="135">
        <v>1292.6528232299099</v>
      </c>
      <c r="N152" s="135">
        <v>1246.0708713782401</v>
      </c>
      <c r="O152" s="135">
        <v>1261.0821957619401</v>
      </c>
      <c r="P152" s="135">
        <v>1287.32099606162</v>
      </c>
      <c r="Q152" s="135">
        <v>1260.40399416164</v>
      </c>
      <c r="R152" s="135">
        <v>1233.06056171197</v>
      </c>
      <c r="S152" s="135">
        <v>1206.4167850051099</v>
      </c>
      <c r="T152" s="135">
        <v>1180.3483313648801</v>
      </c>
      <c r="U152" s="135">
        <v>1154.77656497304</v>
      </c>
      <c r="V152" s="135">
        <v>1033.4105504162401</v>
      </c>
    </row>
    <row r="153" spans="1:22" ht="19.5" customHeight="1">
      <c r="A153" s="94" t="s">
        <v>1161</v>
      </c>
      <c r="B153" s="99"/>
      <c r="C153" s="82" t="s">
        <v>22</v>
      </c>
      <c r="D153" s="99"/>
      <c r="E153" s="99"/>
      <c r="F153" s="99"/>
      <c r="G153" s="134"/>
      <c r="H153" s="82" t="s">
        <v>1113</v>
      </c>
      <c r="I153" s="134"/>
      <c r="J153" s="134">
        <v>17.6184833969454</v>
      </c>
      <c r="K153" s="134">
        <v>16.063141513985101</v>
      </c>
      <c r="L153" s="134">
        <v>18.2349558200989</v>
      </c>
      <c r="M153" s="134">
        <v>17.5424179697672</v>
      </c>
      <c r="N153" s="134">
        <v>15.427068048092099</v>
      </c>
      <c r="O153" s="134">
        <v>15.1137331858493</v>
      </c>
      <c r="P153" s="134">
        <v>14.7663290724715</v>
      </c>
      <c r="Q153" s="134">
        <v>14.6483075160589</v>
      </c>
      <c r="R153" s="134">
        <v>14.5195806462236</v>
      </c>
      <c r="S153" s="134">
        <v>14.3932551646202</v>
      </c>
      <c r="T153" s="134">
        <v>14.2680240277757</v>
      </c>
      <c r="U153" s="134">
        <v>14.1430667555393</v>
      </c>
      <c r="V153" s="134">
        <v>13.513830274674</v>
      </c>
    </row>
    <row r="154" spans="1:22" ht="19.5" customHeight="1">
      <c r="A154" s="94" t="s">
        <v>1162</v>
      </c>
      <c r="B154" s="99"/>
      <c r="C154" s="80" t="s">
        <v>124</v>
      </c>
      <c r="D154" s="102"/>
      <c r="E154" s="102"/>
      <c r="F154" s="102"/>
      <c r="G154" s="132"/>
      <c r="H154" s="80" t="s">
        <v>1113</v>
      </c>
      <c r="I154" s="132"/>
      <c r="J154" s="135">
        <v>1278.1595446389299</v>
      </c>
      <c r="K154" s="135">
        <v>1076.1473762563601</v>
      </c>
      <c r="L154" s="135">
        <v>1049.7313926706399</v>
      </c>
      <c r="M154" s="135">
        <v>974.92103078131004</v>
      </c>
      <c r="N154" s="135">
        <v>863.49938253117296</v>
      </c>
      <c r="O154" s="135">
        <v>808.63285835116994</v>
      </c>
      <c r="P154" s="135">
        <v>804.57562253851199</v>
      </c>
      <c r="Q154" s="135">
        <v>825.66102878557103</v>
      </c>
      <c r="R154" s="135">
        <v>846.61980037727699</v>
      </c>
      <c r="S154" s="135">
        <v>868.18720900727601</v>
      </c>
      <c r="T154" s="135">
        <v>890.303746250318</v>
      </c>
      <c r="U154" s="135">
        <v>912.93103347505803</v>
      </c>
      <c r="V154" s="135">
        <v>1033.4105504162401</v>
      </c>
    </row>
    <row r="155" spans="1:22" ht="19.5" customHeight="1" thickBot="1">
      <c r="B155" s="84"/>
      <c r="C155" s="84"/>
      <c r="D155" s="84"/>
      <c r="E155" s="84"/>
      <c r="F155" s="84"/>
      <c r="G155" s="84"/>
      <c r="H155" s="84"/>
      <c r="I155" s="84"/>
      <c r="J155" s="84"/>
      <c r="K155" s="84"/>
      <c r="L155" s="84"/>
      <c r="M155" s="84"/>
      <c r="N155" s="84"/>
      <c r="O155" s="84"/>
      <c r="P155" s="84"/>
      <c r="Q155" s="84"/>
      <c r="R155" s="84"/>
      <c r="S155" s="84"/>
      <c r="T155" s="84"/>
      <c r="U155" s="84"/>
      <c r="V155" s="84"/>
    </row>
    <row r="156" spans="1:22" ht="19.5" customHeight="1" thickTop="1">
      <c r="B156" s="82"/>
      <c r="C156" s="82"/>
      <c r="D156" s="82"/>
      <c r="E156" s="82"/>
      <c r="F156" s="82"/>
      <c r="G156" s="82"/>
      <c r="H156" s="82"/>
      <c r="I156" s="82"/>
      <c r="J156" s="82"/>
      <c r="K156" s="82"/>
      <c r="L156" s="82"/>
      <c r="M156" s="82"/>
      <c r="N156" s="82"/>
      <c r="O156" s="82"/>
      <c r="P156" s="82"/>
      <c r="Q156" s="82"/>
      <c r="R156" s="82"/>
      <c r="S156" s="82"/>
      <c r="T156" s="82"/>
      <c r="U156" s="82"/>
      <c r="V156" s="82"/>
    </row>
    <row r="157" spans="1:22" ht="19.5" customHeight="1">
      <c r="B157" s="82"/>
      <c r="C157" s="82"/>
      <c r="D157" s="82"/>
      <c r="E157" s="82"/>
      <c r="F157" s="82"/>
      <c r="G157" s="82"/>
      <c r="H157" s="82"/>
      <c r="I157" s="82"/>
      <c r="J157" s="82"/>
      <c r="K157" s="82"/>
      <c r="L157" s="82"/>
      <c r="M157" s="82"/>
      <c r="N157" s="82"/>
      <c r="O157" s="82"/>
      <c r="P157" s="82"/>
      <c r="Q157" s="82"/>
      <c r="R157" s="82"/>
      <c r="S157" s="82"/>
      <c r="T157" s="82"/>
      <c r="U157" s="82"/>
      <c r="V157" s="114" t="str">
        <f>V75</f>
        <v>Next update:  October 2019</v>
      </c>
    </row>
    <row r="158" spans="1:22" ht="19.5" customHeight="1">
      <c r="B158" s="82"/>
      <c r="C158" s="82"/>
      <c r="D158" s="82"/>
      <c r="E158" s="82"/>
      <c r="F158" s="82"/>
      <c r="G158" s="82"/>
      <c r="H158" s="82"/>
      <c r="I158" s="82"/>
      <c r="J158" s="82"/>
      <c r="K158" s="82"/>
      <c r="L158" s="82"/>
      <c r="M158" s="82"/>
      <c r="N158" s="82"/>
      <c r="O158" s="82"/>
      <c r="P158" s="82"/>
      <c r="Q158" s="82"/>
      <c r="R158" s="82"/>
      <c r="S158" s="82"/>
      <c r="T158" s="82"/>
      <c r="U158" s="82"/>
      <c r="V158" s="82"/>
    </row>
    <row r="159" spans="1:22" ht="19.5" customHeight="1">
      <c r="B159" s="82"/>
      <c r="C159" s="82"/>
      <c r="D159" s="82"/>
      <c r="E159" s="82"/>
      <c r="F159" s="82"/>
      <c r="G159" s="82"/>
      <c r="H159" s="82"/>
      <c r="I159" s="82"/>
      <c r="J159" s="82"/>
      <c r="K159" s="82"/>
      <c r="L159" s="82"/>
      <c r="M159" s="82"/>
      <c r="N159" s="82"/>
      <c r="O159" s="82"/>
      <c r="P159" s="82"/>
      <c r="Q159" s="82"/>
      <c r="R159" s="82"/>
      <c r="S159" s="82"/>
      <c r="T159" s="82"/>
      <c r="U159" s="82"/>
      <c r="V159" s="82"/>
    </row>
    <row r="160" spans="1:22" ht="19.5" customHeight="1">
      <c r="B160" s="82"/>
      <c r="C160" s="82"/>
      <c r="D160" s="82"/>
      <c r="E160" s="82"/>
      <c r="F160" s="82"/>
      <c r="G160" s="82"/>
      <c r="H160" s="82"/>
      <c r="I160" s="82"/>
      <c r="J160" s="82"/>
      <c r="K160" s="82"/>
      <c r="L160" s="82"/>
      <c r="M160" s="82"/>
      <c r="N160" s="82"/>
      <c r="O160" s="82"/>
      <c r="P160" s="82"/>
      <c r="Q160" s="82"/>
      <c r="R160" s="82"/>
      <c r="S160" s="82"/>
      <c r="T160" s="82"/>
      <c r="U160" s="82"/>
      <c r="V160" s="82"/>
    </row>
    <row r="161" spans="1:22" ht="19.5" customHeight="1">
      <c r="B161" s="82"/>
      <c r="C161" s="82"/>
      <c r="D161" s="82"/>
      <c r="E161" s="82"/>
      <c r="F161" s="82"/>
      <c r="G161" s="82"/>
      <c r="H161" s="82"/>
      <c r="I161" s="82"/>
      <c r="J161" s="82"/>
      <c r="K161" s="82"/>
      <c r="L161" s="82"/>
      <c r="M161" s="82"/>
      <c r="N161" s="82"/>
      <c r="O161" s="82"/>
      <c r="P161" s="82"/>
      <c r="Q161" s="82"/>
      <c r="R161" s="82"/>
      <c r="S161" s="82"/>
      <c r="T161" s="82"/>
      <c r="U161" s="82"/>
      <c r="V161" s="82"/>
    </row>
    <row r="162" spans="1:22" ht="19.5" customHeight="1">
      <c r="B162" s="82"/>
      <c r="C162" s="82"/>
      <c r="D162" s="82"/>
      <c r="E162" s="82"/>
      <c r="F162" s="82"/>
      <c r="G162" s="82"/>
      <c r="H162" s="82"/>
      <c r="I162" s="82"/>
      <c r="J162" s="82"/>
      <c r="K162" s="82"/>
      <c r="L162" s="82"/>
      <c r="M162" s="82"/>
      <c r="N162" s="82"/>
      <c r="O162" s="82"/>
      <c r="P162" s="82"/>
      <c r="Q162" s="82"/>
      <c r="R162" s="82"/>
      <c r="S162" s="82"/>
      <c r="T162" s="82"/>
      <c r="U162" s="82"/>
      <c r="V162" s="82"/>
    </row>
    <row r="163" spans="1:22" ht="19.5" customHeight="1">
      <c r="B163" s="82"/>
      <c r="C163" s="82"/>
      <c r="D163" s="82"/>
      <c r="E163" s="82"/>
      <c r="F163" s="82"/>
      <c r="G163" s="82"/>
      <c r="H163" s="82"/>
      <c r="I163" s="82"/>
      <c r="J163" s="82"/>
      <c r="K163" s="82"/>
      <c r="L163" s="82"/>
      <c r="M163" s="82"/>
      <c r="N163" s="82"/>
      <c r="O163" s="82"/>
      <c r="P163" s="82"/>
      <c r="Q163" s="82"/>
      <c r="R163" s="82"/>
      <c r="S163" s="82"/>
      <c r="T163" s="82"/>
      <c r="U163" s="82"/>
      <c r="V163" s="82"/>
    </row>
    <row r="164" spans="1:22" ht="19.5" customHeight="1">
      <c r="B164" s="82"/>
      <c r="C164" s="82"/>
      <c r="D164" s="82"/>
      <c r="E164" s="82"/>
      <c r="F164" s="82"/>
      <c r="G164" s="82"/>
      <c r="H164" s="82"/>
      <c r="I164" s="82"/>
      <c r="J164" s="82"/>
      <c r="K164" s="82"/>
      <c r="L164" s="82"/>
      <c r="M164" s="82"/>
      <c r="N164" s="82"/>
      <c r="O164" s="82"/>
      <c r="P164" s="82"/>
      <c r="Q164" s="82"/>
      <c r="R164" s="82"/>
      <c r="S164" s="82"/>
      <c r="T164" s="82"/>
      <c r="U164" s="82"/>
      <c r="V164" s="82"/>
    </row>
    <row r="165" spans="1:22" s="96" customFormat="1" ht="33" customHeight="1" thickBot="1">
      <c r="A165" s="94"/>
      <c r="B165" s="93" t="s">
        <v>1353</v>
      </c>
      <c r="C165" s="87"/>
      <c r="D165" s="87"/>
      <c r="E165" s="87"/>
      <c r="F165" s="87"/>
      <c r="G165" s="87"/>
      <c r="H165" s="87"/>
      <c r="I165" s="87"/>
      <c r="J165" s="87"/>
      <c r="K165" s="87"/>
      <c r="L165" s="87"/>
      <c r="M165" s="95"/>
      <c r="N165" s="95"/>
      <c r="O165" s="95"/>
      <c r="P165" s="95"/>
      <c r="Q165" s="95"/>
      <c r="R165" s="88"/>
      <c r="S165" s="74"/>
      <c r="T165" s="74"/>
      <c r="U165" s="74"/>
      <c r="V165" s="75" t="str">
        <f>V83</f>
        <v>Released: April 23, 2019</v>
      </c>
    </row>
    <row r="166" spans="1:22" s="96" customFormat="1" ht="22.5" customHeight="1" thickTop="1">
      <c r="A166" s="94"/>
      <c r="B166" s="85"/>
      <c r="C166" s="86"/>
      <c r="D166" s="86"/>
      <c r="E166" s="76"/>
      <c r="F166" s="76"/>
      <c r="G166" s="76"/>
      <c r="H166" s="76"/>
      <c r="I166" s="76"/>
      <c r="J166" s="76"/>
      <c r="K166" s="76"/>
      <c r="L166" s="76"/>
      <c r="O166" s="170" t="s">
        <v>1278</v>
      </c>
      <c r="P166" s="170"/>
      <c r="Q166" s="170"/>
      <c r="R166" s="170"/>
      <c r="S166" s="170"/>
      <c r="T166" s="170"/>
      <c r="U166" s="170"/>
      <c r="V166" s="170"/>
    </row>
    <row r="167" spans="1:22" s="98" customFormat="1" ht="22.5" customHeight="1" thickBot="1">
      <c r="A167" s="97"/>
      <c r="B167" s="77"/>
      <c r="C167" s="77"/>
      <c r="D167" s="77"/>
      <c r="E167" s="77"/>
      <c r="F167" s="77"/>
      <c r="G167" s="77"/>
      <c r="H167" s="77"/>
      <c r="I167" s="78"/>
      <c r="J167" s="91">
        <v>2014</v>
      </c>
      <c r="K167" s="91">
        <v>2015</v>
      </c>
      <c r="L167" s="91">
        <v>2016</v>
      </c>
      <c r="M167" s="91">
        <v>2017</v>
      </c>
      <c r="N167" s="91">
        <v>2018</v>
      </c>
      <c r="O167" s="91">
        <v>2019</v>
      </c>
      <c r="P167" s="91">
        <v>2020</v>
      </c>
      <c r="Q167" s="91">
        <v>2021</v>
      </c>
      <c r="R167" s="91">
        <v>2022</v>
      </c>
      <c r="S167" s="91">
        <v>2023</v>
      </c>
      <c r="T167" s="91">
        <v>2024</v>
      </c>
      <c r="U167" s="91">
        <v>2025</v>
      </c>
      <c r="V167" s="91">
        <v>2030</v>
      </c>
    </row>
    <row r="168" spans="1:22" ht="19.5" customHeight="1">
      <c r="B168" s="82"/>
      <c r="C168" s="82"/>
      <c r="D168" s="82"/>
      <c r="E168" s="82"/>
      <c r="F168" s="82"/>
      <c r="G168" s="82"/>
      <c r="H168" s="82"/>
      <c r="I168" s="82"/>
      <c r="J168" s="82"/>
      <c r="K168" s="82"/>
      <c r="L168" s="82"/>
      <c r="M168" s="82"/>
      <c r="N168" s="82"/>
      <c r="O168" s="82"/>
      <c r="P168" s="82"/>
      <c r="Q168" s="82"/>
      <c r="R168" s="82"/>
      <c r="S168" s="82"/>
      <c r="T168" s="82"/>
      <c r="U168" s="82"/>
      <c r="V168" s="82"/>
    </row>
    <row r="169" spans="1:22" ht="19.5" customHeight="1">
      <c r="B169" s="79" t="s">
        <v>1163</v>
      </c>
      <c r="C169" s="82"/>
      <c r="D169" s="82"/>
      <c r="E169" s="82"/>
      <c r="F169" s="82"/>
      <c r="G169" s="82"/>
      <c r="H169" s="82"/>
      <c r="I169" s="82"/>
      <c r="J169" s="82"/>
      <c r="K169" s="82"/>
      <c r="L169" s="82"/>
      <c r="M169" s="82"/>
      <c r="N169" s="82"/>
      <c r="O169" s="82"/>
      <c r="P169" s="82"/>
      <c r="Q169" s="82"/>
      <c r="R169" s="82"/>
      <c r="S169" s="82"/>
      <c r="T169" s="82"/>
      <c r="U169" s="82"/>
      <c r="V169" s="82"/>
    </row>
    <row r="170" spans="1:22" ht="19.5" customHeight="1">
      <c r="A170" s="94" t="s">
        <v>1164</v>
      </c>
      <c r="B170" s="80" t="s">
        <v>960</v>
      </c>
      <c r="C170" s="102"/>
      <c r="D170" s="80"/>
      <c r="E170" s="102"/>
      <c r="F170" s="80"/>
      <c r="G170" s="132"/>
      <c r="H170" s="80"/>
      <c r="I170" s="132"/>
      <c r="J170" s="132">
        <v>118.298978860733</v>
      </c>
      <c r="K170" s="132">
        <v>64.785126752011394</v>
      </c>
      <c r="L170" s="132">
        <v>55.053328517245902</v>
      </c>
      <c r="M170" s="132">
        <v>68.091595437979194</v>
      </c>
      <c r="N170" s="132">
        <v>87.003965828300693</v>
      </c>
      <c r="O170" s="132">
        <v>82.316262794960593</v>
      </c>
      <c r="P170" s="132">
        <v>81.196227399012798</v>
      </c>
      <c r="Q170" s="132">
        <v>81.723909195872906</v>
      </c>
      <c r="R170" s="132">
        <v>82.267009290106003</v>
      </c>
      <c r="S170" s="132">
        <v>82.825435707800096</v>
      </c>
      <c r="T170" s="132">
        <v>83.399111770521102</v>
      </c>
      <c r="U170" s="132">
        <v>83.987975821832094</v>
      </c>
      <c r="V170" s="132">
        <v>87.158979437887794</v>
      </c>
    </row>
    <row r="171" spans="1:22" ht="19.5" customHeight="1">
      <c r="A171" s="94" t="s">
        <v>1165</v>
      </c>
      <c r="B171" s="81" t="s">
        <v>1166</v>
      </c>
      <c r="C171" s="99"/>
      <c r="D171" s="81"/>
      <c r="E171" s="99"/>
      <c r="F171" s="81"/>
      <c r="G171" s="149"/>
      <c r="H171" s="81"/>
      <c r="I171" s="149"/>
      <c r="J171" s="149">
        <v>96.467707470334602</v>
      </c>
      <c r="K171" s="149">
        <v>81.624827144433596</v>
      </c>
      <c r="L171" s="149">
        <v>79.371595938452899</v>
      </c>
      <c r="M171" s="149">
        <v>83.756183725565407</v>
      </c>
      <c r="N171" s="149">
        <v>85.217556274334598</v>
      </c>
      <c r="O171" s="149">
        <v>83.421810988084104</v>
      </c>
      <c r="P171" s="149">
        <v>84.5956831358382</v>
      </c>
      <c r="Q171" s="149">
        <v>85.746541202159605</v>
      </c>
      <c r="R171" s="149">
        <v>86.924693309297695</v>
      </c>
      <c r="S171" s="149">
        <v>88.130845004414596</v>
      </c>
      <c r="T171" s="149">
        <v>89.365722479656895</v>
      </c>
      <c r="U171" s="149">
        <v>90.630073222736797</v>
      </c>
      <c r="V171" s="149">
        <v>97.416101625978797</v>
      </c>
    </row>
    <row r="172" spans="1:22" ht="19.5" customHeight="1">
      <c r="A172" s="94" t="s">
        <v>1167</v>
      </c>
      <c r="B172" s="82"/>
      <c r="C172" s="118" t="s">
        <v>1050</v>
      </c>
      <c r="D172" s="80"/>
      <c r="E172" s="102"/>
      <c r="F172" s="80"/>
      <c r="G172" s="132"/>
      <c r="H172" s="80"/>
      <c r="I172" s="132"/>
      <c r="J172" s="132">
        <v>101.884581568833</v>
      </c>
      <c r="K172" s="132">
        <v>87.857479288283898</v>
      </c>
      <c r="L172" s="132">
        <v>87.459515675095801</v>
      </c>
      <c r="M172" s="132">
        <v>86.990850184655997</v>
      </c>
      <c r="N172" s="132">
        <v>86.688224806235695</v>
      </c>
      <c r="O172" s="132">
        <v>84.449795206793397</v>
      </c>
      <c r="P172" s="132">
        <v>85.852820616519395</v>
      </c>
      <c r="Q172" s="132">
        <v>87.292252827127598</v>
      </c>
      <c r="R172" s="132">
        <v>88.768365924498397</v>
      </c>
      <c r="S172" s="132">
        <v>90.282149017376298</v>
      </c>
      <c r="T172" s="132">
        <v>91.834620789083402</v>
      </c>
      <c r="U172" s="132">
        <v>93.426830444714597</v>
      </c>
      <c r="V172" s="132">
        <v>102.014347320534</v>
      </c>
    </row>
    <row r="173" spans="1:22" ht="19.5" customHeight="1">
      <c r="A173" s="94" t="s">
        <v>1168</v>
      </c>
      <c r="B173" s="82"/>
      <c r="C173" s="82"/>
      <c r="D173" s="82" t="s">
        <v>970</v>
      </c>
      <c r="E173" s="82"/>
      <c r="F173" s="82"/>
      <c r="G173" s="82"/>
      <c r="H173" s="82"/>
      <c r="I173" s="82"/>
      <c r="J173" s="149">
        <v>101.76654608816401</v>
      </c>
      <c r="K173" s="149">
        <v>93.951128793744203</v>
      </c>
      <c r="L173" s="149">
        <v>91.292596034610995</v>
      </c>
      <c r="M173" s="149">
        <v>83.108306936578302</v>
      </c>
      <c r="N173" s="149">
        <v>79.083282050428807</v>
      </c>
      <c r="O173" s="149">
        <v>75.450816353460894</v>
      </c>
      <c r="P173" s="149">
        <v>77.067509085226604</v>
      </c>
      <c r="Q173" s="149">
        <v>78.719891653342998</v>
      </c>
      <c r="R173" s="149">
        <v>80.408771505847</v>
      </c>
      <c r="S173" s="149">
        <v>82.134974715227202</v>
      </c>
      <c r="T173" s="149">
        <v>83.899346414411198</v>
      </c>
      <c r="U173" s="149">
        <v>85.702751243069699</v>
      </c>
      <c r="V173" s="149">
        <v>95.336958672907002</v>
      </c>
    </row>
    <row r="174" spans="1:22" ht="19.5" customHeight="1">
      <c r="A174" s="94" t="s">
        <v>1169</v>
      </c>
      <c r="B174" s="82"/>
      <c r="C174" s="82"/>
      <c r="D174" s="80" t="s">
        <v>1058</v>
      </c>
      <c r="E174" s="102"/>
      <c r="F174" s="80"/>
      <c r="G174" s="132"/>
      <c r="H174" s="80"/>
      <c r="I174" s="132"/>
      <c r="J174" s="132">
        <v>106.016538131125</v>
      </c>
      <c r="K174" s="132">
        <v>88.463859893925004</v>
      </c>
      <c r="L174" s="132">
        <v>89.625669254954602</v>
      </c>
      <c r="M174" s="132">
        <v>90.203222704754097</v>
      </c>
      <c r="N174" s="132">
        <v>90.448413777613794</v>
      </c>
      <c r="O174" s="132">
        <v>87.546719786413405</v>
      </c>
      <c r="P174" s="132">
        <v>89.056911202693698</v>
      </c>
      <c r="Q174" s="132">
        <v>90.608919266751101</v>
      </c>
      <c r="R174" s="132">
        <v>92.202809911228599</v>
      </c>
      <c r="S174" s="132">
        <v>93.839798623841304</v>
      </c>
      <c r="T174" s="132">
        <v>95.521139166776805</v>
      </c>
      <c r="U174" s="132">
        <v>97.248124857835606</v>
      </c>
      <c r="V174" s="132">
        <v>106.60202198085599</v>
      </c>
    </row>
    <row r="175" spans="1:22" ht="19.5" customHeight="1">
      <c r="A175" s="94" t="s">
        <v>1170</v>
      </c>
      <c r="B175" s="82"/>
      <c r="C175" s="82"/>
      <c r="D175" s="82"/>
      <c r="E175" s="82" t="s">
        <v>1059</v>
      </c>
      <c r="F175" s="82"/>
      <c r="G175" s="82"/>
      <c r="H175" s="82"/>
      <c r="I175" s="82"/>
      <c r="J175" s="149">
        <v>106.34994079677099</v>
      </c>
      <c r="K175" s="149">
        <v>84.360730398581794</v>
      </c>
      <c r="L175" s="149">
        <v>88.273046649110597</v>
      </c>
      <c r="M175" s="149">
        <v>87.573182297484706</v>
      </c>
      <c r="N175" s="149">
        <v>85.009558015741604</v>
      </c>
      <c r="O175" s="149">
        <v>78.974268571440504</v>
      </c>
      <c r="P175" s="149">
        <v>81.214502112431603</v>
      </c>
      <c r="Q175" s="149">
        <v>83.522062267878297</v>
      </c>
      <c r="R175" s="149">
        <v>85.899091893538497</v>
      </c>
      <c r="S175" s="149">
        <v>88.347805822378206</v>
      </c>
      <c r="T175" s="149">
        <v>90.870493401852599</v>
      </c>
      <c r="U175" s="149">
        <v>93.469521124459703</v>
      </c>
      <c r="V175" s="149">
        <v>107.698341508281</v>
      </c>
    </row>
    <row r="176" spans="1:22" ht="19.5" customHeight="1">
      <c r="A176" s="94" t="s">
        <v>1171</v>
      </c>
      <c r="B176" s="82"/>
      <c r="C176" s="82"/>
      <c r="D176" s="82"/>
      <c r="E176" s="118" t="s">
        <v>979</v>
      </c>
      <c r="F176" s="80"/>
      <c r="G176" s="132"/>
      <c r="H176" s="80"/>
      <c r="I176" s="132"/>
      <c r="J176" s="132">
        <v>104.08341191292899</v>
      </c>
      <c r="K176" s="132">
        <v>87.064678388098699</v>
      </c>
      <c r="L176" s="132">
        <v>80.685376988006695</v>
      </c>
      <c r="M176" s="132">
        <v>80.545235865076407</v>
      </c>
      <c r="N176" s="132">
        <v>88.758761859588404</v>
      </c>
      <c r="O176" s="132">
        <v>89.101042515828496</v>
      </c>
      <c r="P176" s="132">
        <v>90.390872243865402</v>
      </c>
      <c r="Q176" s="132">
        <v>91.7077873385999</v>
      </c>
      <c r="R176" s="132">
        <v>93.048305915599499</v>
      </c>
      <c r="S176" s="132">
        <v>94.412915591888606</v>
      </c>
      <c r="T176" s="132">
        <v>95.802115128597094</v>
      </c>
      <c r="U176" s="132">
        <v>97.216414707510197</v>
      </c>
      <c r="V176" s="132">
        <v>104.633593424919</v>
      </c>
    </row>
    <row r="177" spans="1:22" ht="19.5" customHeight="1">
      <c r="A177" s="94" t="s">
        <v>1172</v>
      </c>
      <c r="B177" s="82"/>
      <c r="C177" s="82"/>
      <c r="D177" s="82"/>
      <c r="E177" s="82" t="s">
        <v>988</v>
      </c>
      <c r="F177" s="82"/>
      <c r="G177" s="82"/>
      <c r="H177" s="82"/>
      <c r="I177" s="82"/>
      <c r="J177" s="149">
        <v>107.32767502526301</v>
      </c>
      <c r="K177" s="149">
        <v>95.128377419404899</v>
      </c>
      <c r="L177" s="149">
        <v>99.497433799673104</v>
      </c>
      <c r="M177" s="149">
        <v>102.40516900084801</v>
      </c>
      <c r="N177" s="149">
        <v>99.133123518175395</v>
      </c>
      <c r="O177" s="149">
        <v>97.417703341533993</v>
      </c>
      <c r="P177" s="149">
        <v>98.166914526670595</v>
      </c>
      <c r="Q177" s="149">
        <v>98.937715529868399</v>
      </c>
      <c r="R177" s="149">
        <v>99.730651183924806</v>
      </c>
      <c r="S177" s="149">
        <v>100.546281071838</v>
      </c>
      <c r="T177" s="149">
        <v>101.38517993082399</v>
      </c>
      <c r="U177" s="149">
        <v>102.247938067474</v>
      </c>
      <c r="V177" s="149">
        <v>106.941423256558</v>
      </c>
    </row>
    <row r="178" spans="1:22" ht="19.5" customHeight="1">
      <c r="A178" s="94" t="s">
        <v>1173</v>
      </c>
      <c r="B178" s="82"/>
      <c r="C178" s="82"/>
      <c r="D178" s="80" t="s">
        <v>1174</v>
      </c>
      <c r="E178" s="102"/>
      <c r="F178" s="80"/>
      <c r="G178" s="132"/>
      <c r="H178" s="80"/>
      <c r="I178" s="132"/>
      <c r="J178" s="132">
        <v>91.905744826317004</v>
      </c>
      <c r="K178" s="132">
        <v>83.285728124251193</v>
      </c>
      <c r="L178" s="132">
        <v>80.247653632295396</v>
      </c>
      <c r="M178" s="132">
        <v>81.1603862692874</v>
      </c>
      <c r="N178" s="132">
        <v>81.419578049245004</v>
      </c>
      <c r="O178" s="132">
        <v>81.501434253489805</v>
      </c>
      <c r="P178" s="132">
        <v>82.535446962152207</v>
      </c>
      <c r="Q178" s="132">
        <v>83.5930874623226</v>
      </c>
      <c r="R178" s="132">
        <v>84.674864356646907</v>
      </c>
      <c r="S178" s="132">
        <v>85.781299652502597</v>
      </c>
      <c r="T178" s="132">
        <v>86.912929141135905</v>
      </c>
      <c r="U178" s="132">
        <v>88.070302788210498</v>
      </c>
      <c r="V178" s="132">
        <v>94.263626132220693</v>
      </c>
    </row>
    <row r="179" spans="1:22" ht="19.5" customHeight="1">
      <c r="A179" s="94" t="s">
        <v>1175</v>
      </c>
      <c r="B179" s="82"/>
      <c r="C179" s="82"/>
      <c r="D179" s="82"/>
      <c r="E179" s="82" t="s">
        <v>996</v>
      </c>
      <c r="F179" s="82"/>
      <c r="G179" s="82"/>
      <c r="H179" s="82"/>
      <c r="I179" s="82"/>
      <c r="J179" s="149">
        <v>104.870522799388</v>
      </c>
      <c r="K179" s="149">
        <v>96.069619710081099</v>
      </c>
      <c r="L179" s="149">
        <v>89.648048858909604</v>
      </c>
      <c r="M179" s="149">
        <v>85.560024792350305</v>
      </c>
      <c r="N179" s="149">
        <v>88.272623858350499</v>
      </c>
      <c r="O179" s="149">
        <v>87.962850591236702</v>
      </c>
      <c r="P179" s="149">
        <v>89.271199487400594</v>
      </c>
      <c r="Q179" s="149">
        <v>90.599037681718002</v>
      </c>
      <c r="R179" s="149">
        <v>91.946655901031406</v>
      </c>
      <c r="S179" s="149">
        <v>93.314349214867804</v>
      </c>
      <c r="T179" s="149">
        <v>94.702417100388899</v>
      </c>
      <c r="U179" s="149">
        <v>96.111163508314604</v>
      </c>
      <c r="V179" s="149">
        <v>103.476033323697</v>
      </c>
    </row>
    <row r="180" spans="1:22" ht="19.5" customHeight="1">
      <c r="A180" s="94" t="s">
        <v>1176</v>
      </c>
      <c r="B180" s="82"/>
      <c r="C180" s="82"/>
      <c r="D180" s="82"/>
      <c r="E180" s="118" t="s">
        <v>1002</v>
      </c>
      <c r="F180" s="80"/>
      <c r="G180" s="132"/>
      <c r="H180" s="80"/>
      <c r="I180" s="132"/>
      <c r="J180" s="132">
        <v>77.727711783181505</v>
      </c>
      <c r="K180" s="132">
        <v>69.305508972003807</v>
      </c>
      <c r="L180" s="132">
        <v>69.967561337749103</v>
      </c>
      <c r="M180" s="132">
        <v>76.349025790349302</v>
      </c>
      <c r="N180" s="132">
        <v>73.925218320953604</v>
      </c>
      <c r="O180" s="132">
        <v>74.435353019216805</v>
      </c>
      <c r="P180" s="132">
        <v>75.169356924072105</v>
      </c>
      <c r="Q180" s="132">
        <v>75.931514397556697</v>
      </c>
      <c r="R180" s="132">
        <v>76.722572307124295</v>
      </c>
      <c r="S180" s="132">
        <v>77.543300835042402</v>
      </c>
      <c r="T180" s="132">
        <v>78.3944942011168</v>
      </c>
      <c r="U180" s="132">
        <v>79.276971408245103</v>
      </c>
      <c r="V180" s="132">
        <v>84.189113954776204</v>
      </c>
    </row>
    <row r="181" spans="1:22" ht="19.5" customHeight="1">
      <c r="A181" s="94" t="s">
        <v>1177</v>
      </c>
      <c r="B181" s="82"/>
      <c r="C181" s="82"/>
      <c r="D181" s="82" t="s">
        <v>1012</v>
      </c>
      <c r="E181" s="82"/>
      <c r="F181" s="82"/>
      <c r="G181" s="82"/>
      <c r="H181" s="82"/>
      <c r="I181" s="82"/>
      <c r="J181" s="149">
        <v>101.472949639565</v>
      </c>
      <c r="K181" s="149">
        <v>98.405853781691405</v>
      </c>
      <c r="L181" s="149">
        <v>77.755519586555906</v>
      </c>
      <c r="M181" s="149">
        <v>74.265830504858897</v>
      </c>
      <c r="N181" s="149">
        <v>82.499335473452007</v>
      </c>
      <c r="O181" s="149">
        <v>86.421575537215105</v>
      </c>
      <c r="P181" s="149">
        <v>87.869482161139501</v>
      </c>
      <c r="Q181" s="149">
        <v>89.343876210001</v>
      </c>
      <c r="R181" s="149">
        <v>90.845284071689505</v>
      </c>
      <c r="S181" s="149">
        <v>92.374243396056102</v>
      </c>
      <c r="T181" s="149">
        <v>93.9313033511322</v>
      </c>
      <c r="U181" s="149">
        <v>95.517024885467805</v>
      </c>
      <c r="V181" s="149">
        <v>103.89604847051299</v>
      </c>
    </row>
    <row r="182" spans="1:22" ht="19.5" customHeight="1">
      <c r="A182" s="94" t="s">
        <v>1178</v>
      </c>
      <c r="B182" s="82"/>
      <c r="C182" s="82"/>
      <c r="D182" s="80" t="s">
        <v>1179</v>
      </c>
      <c r="E182" s="102"/>
      <c r="F182" s="80"/>
      <c r="G182" s="132"/>
      <c r="H182" s="80"/>
      <c r="I182" s="132"/>
      <c r="J182" s="132">
        <v>84.790440620357302</v>
      </c>
      <c r="K182" s="132">
        <v>66.937819167013302</v>
      </c>
      <c r="L182" s="132">
        <v>62.968074520778302</v>
      </c>
      <c r="M182" s="132">
        <v>78.199712999125595</v>
      </c>
      <c r="N182" s="132">
        <v>82.510017679242793</v>
      </c>
      <c r="O182" s="132">
        <v>80.973072102910606</v>
      </c>
      <c r="P182" s="132">
        <v>81.645882526480094</v>
      </c>
      <c r="Q182" s="132">
        <v>82.168197474524803</v>
      </c>
      <c r="R182" s="132">
        <v>82.698587424303597</v>
      </c>
      <c r="S182" s="132">
        <v>83.237195444369206</v>
      </c>
      <c r="T182" s="132">
        <v>83.784167971178405</v>
      </c>
      <c r="U182" s="132">
        <v>84.339654895440404</v>
      </c>
      <c r="V182" s="132">
        <v>87.250304825919898</v>
      </c>
    </row>
    <row r="183" spans="1:22" ht="19.5" customHeight="1">
      <c r="A183" s="94" t="s">
        <v>1180</v>
      </c>
      <c r="B183" s="82"/>
      <c r="C183" s="82"/>
      <c r="D183" s="82" t="s">
        <v>1181</v>
      </c>
      <c r="E183" s="82"/>
      <c r="F183" s="82"/>
      <c r="G183" s="82"/>
      <c r="H183" s="82"/>
      <c r="I183" s="82"/>
      <c r="J183" s="149">
        <v>89.049645042325807</v>
      </c>
      <c r="K183" s="149">
        <v>73.596771536612394</v>
      </c>
      <c r="L183" s="149">
        <v>68.294646392801496</v>
      </c>
      <c r="M183" s="149">
        <v>84.941715875071594</v>
      </c>
      <c r="N183" s="149">
        <v>90.574188486242505</v>
      </c>
      <c r="O183" s="149">
        <v>87.413121806161399</v>
      </c>
      <c r="P183" s="149">
        <v>88.991363447923305</v>
      </c>
      <c r="Q183" s="149">
        <v>89.683813734410606</v>
      </c>
      <c r="R183" s="149">
        <v>90.386012118529294</v>
      </c>
      <c r="S183" s="149">
        <v>91.098135780797094</v>
      </c>
      <c r="T183" s="149">
        <v>91.820366048959301</v>
      </c>
      <c r="U183" s="149">
        <v>92.552888504424303</v>
      </c>
      <c r="V183" s="149">
        <v>96.376690717973602</v>
      </c>
    </row>
    <row r="184" spans="1:22" ht="19.5" customHeight="1">
      <c r="A184" s="94" t="s">
        <v>1182</v>
      </c>
      <c r="B184" s="82"/>
      <c r="C184" s="82"/>
      <c r="D184" s="80" t="s">
        <v>1029</v>
      </c>
      <c r="E184" s="102"/>
      <c r="F184" s="80"/>
      <c r="G184" s="132"/>
      <c r="H184" s="80"/>
      <c r="I184" s="132"/>
      <c r="J184" s="132">
        <v>101.122052926649</v>
      </c>
      <c r="K184" s="132">
        <v>90.6372637662882</v>
      </c>
      <c r="L184" s="132">
        <v>97.452506318368805</v>
      </c>
      <c r="M184" s="132">
        <v>97.842509741851003</v>
      </c>
      <c r="N184" s="132">
        <v>97.172782469925593</v>
      </c>
      <c r="O184" s="132">
        <v>99.669168904964494</v>
      </c>
      <c r="P184" s="132">
        <v>102.771534194439</v>
      </c>
      <c r="Q184" s="132">
        <v>102.58428508951199</v>
      </c>
      <c r="R184" s="132">
        <v>102.40314073298499</v>
      </c>
      <c r="S184" s="132">
        <v>102.228244259946</v>
      </c>
      <c r="T184" s="132">
        <v>102.059745068014</v>
      </c>
      <c r="U184" s="132">
        <v>101.89779908462199</v>
      </c>
      <c r="V184" s="132">
        <v>101.192318015954</v>
      </c>
    </row>
    <row r="185" spans="1:22" ht="19.5" customHeight="1">
      <c r="B185" s="82"/>
      <c r="C185" s="82"/>
      <c r="D185" s="82"/>
      <c r="E185" s="82"/>
      <c r="F185" s="82"/>
      <c r="G185" s="82"/>
      <c r="H185" s="82"/>
      <c r="I185" s="82"/>
      <c r="J185" s="82"/>
      <c r="K185" s="82"/>
      <c r="L185" s="82"/>
      <c r="M185" s="82"/>
      <c r="N185" s="82"/>
      <c r="O185" s="82"/>
      <c r="P185" s="82"/>
      <c r="Q185" s="82"/>
      <c r="R185" s="82"/>
      <c r="S185" s="82"/>
      <c r="T185" s="82"/>
      <c r="U185" s="82"/>
      <c r="V185" s="82"/>
    </row>
    <row r="186" spans="1:22" ht="19.5" customHeight="1">
      <c r="B186" s="82"/>
      <c r="C186" s="82"/>
      <c r="D186" s="82"/>
      <c r="E186" s="82"/>
      <c r="F186" s="82"/>
      <c r="G186" s="82"/>
      <c r="H186" s="82"/>
      <c r="I186" s="82"/>
      <c r="J186" s="82"/>
      <c r="K186" s="82"/>
      <c r="L186" s="82"/>
      <c r="M186" s="82"/>
      <c r="N186" s="82"/>
      <c r="O186" s="82"/>
      <c r="P186" s="82"/>
      <c r="Q186" s="82"/>
      <c r="R186" s="82"/>
      <c r="S186" s="82"/>
      <c r="T186" s="82"/>
      <c r="U186" s="82"/>
      <c r="V186" s="82"/>
    </row>
    <row r="187" spans="1:22" ht="19.5" customHeight="1">
      <c r="B187" s="79" t="s">
        <v>1183</v>
      </c>
      <c r="C187" s="82"/>
      <c r="D187" s="82"/>
      <c r="E187" s="82"/>
      <c r="F187" s="82"/>
      <c r="G187" s="82"/>
      <c r="H187" s="82"/>
      <c r="I187" s="82"/>
      <c r="J187" s="82"/>
      <c r="K187" s="82"/>
      <c r="L187" s="82"/>
      <c r="M187" s="82"/>
      <c r="N187" s="82"/>
      <c r="O187" s="82"/>
      <c r="P187" s="82"/>
      <c r="Q187" s="82"/>
      <c r="R187" s="82"/>
      <c r="S187" s="82"/>
      <c r="T187" s="82"/>
      <c r="U187" s="82"/>
      <c r="V187" s="82"/>
    </row>
    <row r="188" spans="1:22" ht="19.5" customHeight="1">
      <c r="A188" s="94" t="s">
        <v>1184</v>
      </c>
      <c r="B188" s="80" t="s">
        <v>960</v>
      </c>
      <c r="C188" s="118"/>
      <c r="D188" s="80"/>
      <c r="E188" s="118"/>
      <c r="F188" s="80"/>
      <c r="G188" s="132"/>
      <c r="H188" s="80"/>
      <c r="I188" s="132"/>
      <c r="J188" s="132">
        <v>109.286033869042</v>
      </c>
      <c r="K188" s="132">
        <v>66.196471249248702</v>
      </c>
      <c r="L188" s="132">
        <v>58.547247336163998</v>
      </c>
      <c r="M188" s="132">
        <v>69.991770895709493</v>
      </c>
      <c r="N188" s="132">
        <v>85.416663831808194</v>
      </c>
      <c r="O188" s="132">
        <v>79.242422467470305</v>
      </c>
      <c r="P188" s="132">
        <v>76.857064949811004</v>
      </c>
      <c r="Q188" s="132">
        <v>76.081584814044803</v>
      </c>
      <c r="R188" s="132">
        <v>75.264524061955996</v>
      </c>
      <c r="S188" s="132">
        <v>74.473344622867998</v>
      </c>
      <c r="T188" s="132">
        <v>73.700584091845002</v>
      </c>
      <c r="U188" s="132">
        <v>72.941375015892504</v>
      </c>
      <c r="V188" s="132">
        <v>69.285391472789001</v>
      </c>
    </row>
    <row r="189" spans="1:22" ht="19.5" customHeight="1">
      <c r="A189" s="94" t="s">
        <v>1185</v>
      </c>
      <c r="B189" s="81" t="s">
        <v>1166</v>
      </c>
      <c r="C189" s="119"/>
      <c r="D189" s="81"/>
      <c r="E189" s="119"/>
      <c r="F189" s="81"/>
      <c r="G189" s="149"/>
      <c r="H189" s="81"/>
      <c r="I189" s="149"/>
      <c r="J189" s="149">
        <v>89.118040133575207</v>
      </c>
      <c r="K189" s="149">
        <v>83.403024647530501</v>
      </c>
      <c r="L189" s="149">
        <v>84.408855632025194</v>
      </c>
      <c r="M189" s="149">
        <v>86.093497805589095</v>
      </c>
      <c r="N189" s="149">
        <v>83.662845567498394</v>
      </c>
      <c r="O189" s="149">
        <v>80.3066874620541</v>
      </c>
      <c r="P189" s="149">
        <v>80.074852262456204</v>
      </c>
      <c r="Q189" s="149">
        <v>79.826489104274799</v>
      </c>
      <c r="R189" s="149">
        <v>79.525750694119395</v>
      </c>
      <c r="S189" s="149">
        <v>79.243758101959799</v>
      </c>
      <c r="T189" s="149">
        <v>78.973334424270007</v>
      </c>
      <c r="U189" s="149">
        <v>78.709864048646807</v>
      </c>
      <c r="V189" s="149">
        <v>77.439097846698104</v>
      </c>
    </row>
    <row r="190" spans="1:22" ht="19.5" customHeight="1">
      <c r="A190" s="94" t="s">
        <v>1186</v>
      </c>
      <c r="B190" s="82"/>
      <c r="C190" s="118" t="s">
        <v>1050</v>
      </c>
      <c r="D190" s="80"/>
      <c r="E190" s="118"/>
      <c r="F190" s="80"/>
      <c r="G190" s="132"/>
      <c r="H190" s="80"/>
      <c r="I190" s="132"/>
      <c r="J190" s="132">
        <v>94.122214234602396</v>
      </c>
      <c r="K190" s="132">
        <v>89.771455167490103</v>
      </c>
      <c r="L190" s="132">
        <v>93.010069219100899</v>
      </c>
      <c r="M190" s="132">
        <v>89.418431408223199</v>
      </c>
      <c r="N190" s="132">
        <v>85.106683194915604</v>
      </c>
      <c r="O190" s="132">
        <v>81.296284863381302</v>
      </c>
      <c r="P190" s="132">
        <v>81.264807757909793</v>
      </c>
      <c r="Q190" s="132">
        <v>81.265482799634995</v>
      </c>
      <c r="R190" s="132">
        <v>81.212491747508196</v>
      </c>
      <c r="S190" s="132">
        <v>81.178125289728996</v>
      </c>
      <c r="T190" s="132">
        <v>81.155123218001805</v>
      </c>
      <c r="U190" s="132">
        <v>81.138775036922596</v>
      </c>
      <c r="V190" s="132">
        <v>81.094386780666994</v>
      </c>
    </row>
    <row r="191" spans="1:22" ht="19.5" customHeight="1">
      <c r="A191" s="94" t="s">
        <v>1187</v>
      </c>
      <c r="B191" s="82"/>
      <c r="C191" s="82"/>
      <c r="D191" s="82" t="s">
        <v>970</v>
      </c>
      <c r="E191" s="82"/>
      <c r="F191" s="82"/>
      <c r="G191" s="82"/>
      <c r="H191" s="82"/>
      <c r="I191" s="82"/>
      <c r="J191" s="149">
        <v>94.013171623563693</v>
      </c>
      <c r="K191" s="149">
        <v>95.997854875485899</v>
      </c>
      <c r="L191" s="149">
        <v>97.086413191611598</v>
      </c>
      <c r="M191" s="149">
        <v>85.427541258503396</v>
      </c>
      <c r="N191" s="149">
        <v>77.640485158439404</v>
      </c>
      <c r="O191" s="149">
        <v>72.633344396224203</v>
      </c>
      <c r="P191" s="149">
        <v>72.948987176163101</v>
      </c>
      <c r="Q191" s="149">
        <v>73.284968527651898</v>
      </c>
      <c r="R191" s="149">
        <v>73.564457612074406</v>
      </c>
      <c r="S191" s="149">
        <v>73.852509501276401</v>
      </c>
      <c r="T191" s="149">
        <v>74.142646179258193</v>
      </c>
      <c r="U191" s="149">
        <v>74.430612919826103</v>
      </c>
      <c r="V191" s="149">
        <v>75.786322259368902</v>
      </c>
    </row>
    <row r="192" spans="1:22" ht="19.5" customHeight="1">
      <c r="A192" s="94" t="s">
        <v>1188</v>
      </c>
      <c r="B192" s="82"/>
      <c r="C192" s="82"/>
      <c r="D192" s="80" t="s">
        <v>1058</v>
      </c>
      <c r="E192" s="118"/>
      <c r="F192" s="80"/>
      <c r="G192" s="132"/>
      <c r="H192" s="80"/>
      <c r="I192" s="132"/>
      <c r="J192" s="132">
        <v>97.939365905401104</v>
      </c>
      <c r="K192" s="132">
        <v>90.391045779407506</v>
      </c>
      <c r="L192" s="132">
        <v>95.313696135471204</v>
      </c>
      <c r="M192" s="132">
        <v>92.720448933472298</v>
      </c>
      <c r="N192" s="132">
        <v>88.798271207651993</v>
      </c>
      <c r="O192" s="132">
        <v>84.277564595424295</v>
      </c>
      <c r="P192" s="132">
        <v>84.2976703203109</v>
      </c>
      <c r="Q192" s="132">
        <v>84.353162298927202</v>
      </c>
      <c r="R192" s="132">
        <v>84.354599310542994</v>
      </c>
      <c r="S192" s="132">
        <v>84.3770226203074</v>
      </c>
      <c r="T192" s="132">
        <v>84.412934385690505</v>
      </c>
      <c r="U192" s="132">
        <v>84.457469958501306</v>
      </c>
      <c r="V192" s="132">
        <v>84.741272469785102</v>
      </c>
    </row>
    <row r="193" spans="1:22" ht="19.5" customHeight="1">
      <c r="A193" s="94" t="s">
        <v>1189</v>
      </c>
      <c r="B193" s="82"/>
      <c r="C193" s="82"/>
      <c r="D193" s="82"/>
      <c r="E193" s="82" t="s">
        <v>1059</v>
      </c>
      <c r="F193" s="82"/>
      <c r="G193" s="82"/>
      <c r="H193" s="82"/>
      <c r="I193" s="82"/>
      <c r="J193" s="149">
        <v>98.247367338386397</v>
      </c>
      <c r="K193" s="149">
        <v>86.198529575647797</v>
      </c>
      <c r="L193" s="149">
        <v>93.875230335314797</v>
      </c>
      <c r="M193" s="149">
        <v>90.017014178448406</v>
      </c>
      <c r="N193" s="149">
        <v>83.458642033065402</v>
      </c>
      <c r="O193" s="149">
        <v>76.025224441805904</v>
      </c>
      <c r="P193" s="149">
        <v>76.874363054429395</v>
      </c>
      <c r="Q193" s="149">
        <v>77.755591072464398</v>
      </c>
      <c r="R193" s="149">
        <v>78.587447441084194</v>
      </c>
      <c r="S193" s="149">
        <v>79.438840658758707</v>
      </c>
      <c r="T193" s="149">
        <v>80.303114724513605</v>
      </c>
      <c r="U193" s="149">
        <v>81.175850783188693</v>
      </c>
      <c r="V193" s="149">
        <v>85.612771059222894</v>
      </c>
    </row>
    <row r="194" spans="1:22" ht="19.5" customHeight="1">
      <c r="A194" s="94" t="s">
        <v>1190</v>
      </c>
      <c r="B194" s="82"/>
      <c r="C194" s="82"/>
      <c r="D194" s="82"/>
      <c r="E194" s="118" t="s">
        <v>979</v>
      </c>
      <c r="F194" s="80"/>
      <c r="G194" s="132"/>
      <c r="H194" s="80"/>
      <c r="I194" s="132"/>
      <c r="J194" s="132">
        <v>96.153520419755793</v>
      </c>
      <c r="K194" s="132">
        <v>88.961383093441697</v>
      </c>
      <c r="L194" s="132">
        <v>85.806014825219094</v>
      </c>
      <c r="M194" s="132">
        <v>82.792944696738601</v>
      </c>
      <c r="N194" s="132">
        <v>87.1394453311446</v>
      </c>
      <c r="O194" s="132">
        <v>85.773846061480398</v>
      </c>
      <c r="P194" s="132">
        <v>85.560343891067205</v>
      </c>
      <c r="Q194" s="132">
        <v>85.376163097964195</v>
      </c>
      <c r="R194" s="132">
        <v>85.128127543967096</v>
      </c>
      <c r="S194" s="132">
        <v>84.892346652180606</v>
      </c>
      <c r="T194" s="132">
        <v>84.661235501401507</v>
      </c>
      <c r="U194" s="132">
        <v>84.429930516765097</v>
      </c>
      <c r="V194" s="132">
        <v>83.176507210211597</v>
      </c>
    </row>
    <row r="195" spans="1:22" ht="19.5" customHeight="1">
      <c r="A195" s="94" t="s">
        <v>1191</v>
      </c>
      <c r="B195" s="82"/>
      <c r="C195" s="82"/>
      <c r="D195" s="82"/>
      <c r="E195" s="82" t="s">
        <v>988</v>
      </c>
      <c r="F195" s="82"/>
      <c r="G195" s="82"/>
      <c r="H195" s="82"/>
      <c r="I195" s="82"/>
      <c r="J195" s="149">
        <v>99.150610097021598</v>
      </c>
      <c r="K195" s="149">
        <v>97.200749871741394</v>
      </c>
      <c r="L195" s="149">
        <v>105.811964923397</v>
      </c>
      <c r="M195" s="149">
        <v>105.26290478495601</v>
      </c>
      <c r="N195" s="149">
        <v>97.324536939610994</v>
      </c>
      <c r="O195" s="149">
        <v>93.779947508417905</v>
      </c>
      <c r="P195" s="149">
        <v>92.9208310211541</v>
      </c>
      <c r="Q195" s="149">
        <v>92.106927696670297</v>
      </c>
      <c r="R195" s="149">
        <v>91.241678292659003</v>
      </c>
      <c r="S195" s="149">
        <v>90.407225471505299</v>
      </c>
      <c r="T195" s="149">
        <v>89.595042687249205</v>
      </c>
      <c r="U195" s="149">
        <v>88.799677837249305</v>
      </c>
      <c r="V195" s="149">
        <v>85.011073130658204</v>
      </c>
    </row>
    <row r="196" spans="1:22" ht="19.5" customHeight="1">
      <c r="A196" s="94" t="s">
        <v>1192</v>
      </c>
      <c r="B196" s="82"/>
      <c r="C196" s="82"/>
      <c r="D196" s="80" t="s">
        <v>1174</v>
      </c>
      <c r="E196" s="118"/>
      <c r="F196" s="80"/>
      <c r="G196" s="132"/>
      <c r="H196" s="80"/>
      <c r="I196" s="132"/>
      <c r="J196" s="132">
        <v>84.9036436203954</v>
      </c>
      <c r="K196" s="132">
        <v>85.100108368292595</v>
      </c>
      <c r="L196" s="132">
        <v>85.340511680143706</v>
      </c>
      <c r="M196" s="132">
        <v>83.4252615910776</v>
      </c>
      <c r="N196" s="132">
        <v>79.934157728909298</v>
      </c>
      <c r="O196" s="132">
        <v>78.458021119189794</v>
      </c>
      <c r="P196" s="132">
        <v>78.124716024785798</v>
      </c>
      <c r="Q196" s="132">
        <v>77.821712595629606</v>
      </c>
      <c r="R196" s="132">
        <v>77.467424922910993</v>
      </c>
      <c r="S196" s="132">
        <v>77.131140169984107</v>
      </c>
      <c r="T196" s="132">
        <v>76.805777745693007</v>
      </c>
      <c r="U196" s="132">
        <v>76.486769928418695</v>
      </c>
      <c r="V196" s="132">
        <v>74.933096742714795</v>
      </c>
    </row>
    <row r="197" spans="1:22" ht="19.5" customHeight="1">
      <c r="A197" s="94" t="s">
        <v>1193</v>
      </c>
      <c r="B197" s="82"/>
      <c r="C197" s="82"/>
      <c r="D197" s="82"/>
      <c r="E197" s="82" t="s">
        <v>996</v>
      </c>
      <c r="F197" s="82"/>
      <c r="G197" s="82"/>
      <c r="H197" s="82"/>
      <c r="I197" s="82"/>
      <c r="J197" s="149">
        <v>96.8806630191647</v>
      </c>
      <c r="K197" s="149">
        <v>98.162497133143304</v>
      </c>
      <c r="L197" s="149">
        <v>95.337496044456401</v>
      </c>
      <c r="M197" s="149">
        <v>87.947677163064697</v>
      </c>
      <c r="N197" s="149">
        <v>86.662176440786695</v>
      </c>
      <c r="O197" s="149">
        <v>84.678156312272193</v>
      </c>
      <c r="P197" s="149">
        <v>84.500506943923597</v>
      </c>
      <c r="Q197" s="149">
        <v>84.343962951304306</v>
      </c>
      <c r="R197" s="149">
        <v>84.120248872494798</v>
      </c>
      <c r="S197" s="149">
        <v>83.904559365729199</v>
      </c>
      <c r="T197" s="149">
        <v>83.689421949878195</v>
      </c>
      <c r="U197" s="149">
        <v>83.470048564397104</v>
      </c>
      <c r="V197" s="149">
        <v>82.256326578408505</v>
      </c>
    </row>
    <row r="198" spans="1:22" ht="19.5" customHeight="1">
      <c r="A198" s="94" t="s">
        <v>1194</v>
      </c>
      <c r="B198" s="82"/>
      <c r="C198" s="82"/>
      <c r="D198" s="82"/>
      <c r="E198" s="118" t="s">
        <v>1002</v>
      </c>
      <c r="F198" s="80"/>
      <c r="G198" s="132"/>
      <c r="H198" s="80"/>
      <c r="I198" s="132"/>
      <c r="J198" s="132">
        <v>71.8058044482366</v>
      </c>
      <c r="K198" s="132">
        <v>70.815330031554893</v>
      </c>
      <c r="L198" s="132">
        <v>74.408000923435196</v>
      </c>
      <c r="M198" s="132">
        <v>78.479634481411296</v>
      </c>
      <c r="N198" s="132">
        <v>72.576525241105202</v>
      </c>
      <c r="O198" s="132">
        <v>71.6558003265568</v>
      </c>
      <c r="P198" s="132">
        <v>71.152273109417607</v>
      </c>
      <c r="Q198" s="132">
        <v>70.6891044437251</v>
      </c>
      <c r="R198" s="132">
        <v>70.192023987909707</v>
      </c>
      <c r="S198" s="132">
        <v>69.723858581995799</v>
      </c>
      <c r="T198" s="132">
        <v>69.277956198201394</v>
      </c>
      <c r="U198" s="132">
        <v>68.8499900733392</v>
      </c>
      <c r="V198" s="132">
        <v>66.924552762354693</v>
      </c>
    </row>
    <row r="199" spans="1:22" ht="19.5" customHeight="1">
      <c r="A199" s="94" t="s">
        <v>1195</v>
      </c>
      <c r="B199" s="82"/>
      <c r="C199" s="82"/>
      <c r="D199" s="82" t="s">
        <v>1012</v>
      </c>
      <c r="E199" s="82"/>
      <c r="F199" s="82"/>
      <c r="G199" s="82"/>
      <c r="H199" s="82"/>
      <c r="I199" s="82"/>
      <c r="J199" s="149">
        <v>93.741943657486402</v>
      </c>
      <c r="K199" s="149">
        <v>100.549626082429</v>
      </c>
      <c r="L199" s="149">
        <v>82.690216188471894</v>
      </c>
      <c r="M199" s="149">
        <v>76.338305199651799</v>
      </c>
      <c r="N199" s="149">
        <v>80.994216038267396</v>
      </c>
      <c r="O199" s="149">
        <v>83.194435297464096</v>
      </c>
      <c r="P199" s="149">
        <v>83.173698014041804</v>
      </c>
      <c r="Q199" s="149">
        <v>83.1754594508552</v>
      </c>
      <c r="R199" s="149">
        <v>83.112624707401494</v>
      </c>
      <c r="S199" s="149">
        <v>83.059253524256505</v>
      </c>
      <c r="T199" s="149">
        <v>83.007981434326396</v>
      </c>
      <c r="U199" s="149">
        <v>82.954054606018801</v>
      </c>
      <c r="V199" s="149">
        <v>82.590209719988593</v>
      </c>
    </row>
    <row r="200" spans="1:22" ht="19.5" customHeight="1">
      <c r="A200" s="94" t="s">
        <v>1196</v>
      </c>
      <c r="B200" s="82"/>
      <c r="C200" s="82"/>
      <c r="D200" s="80" t="s">
        <v>1179</v>
      </c>
      <c r="E200" s="118"/>
      <c r="F200" s="80"/>
      <c r="G200" s="132"/>
      <c r="H200" s="80"/>
      <c r="I200" s="132"/>
      <c r="J200" s="132">
        <v>78.330439152109406</v>
      </c>
      <c r="K200" s="132">
        <v>68.396060085489196</v>
      </c>
      <c r="L200" s="132">
        <v>66.964296847104407</v>
      </c>
      <c r="M200" s="132">
        <v>80.381967277156704</v>
      </c>
      <c r="N200" s="132">
        <v>81.004703357693799</v>
      </c>
      <c r="O200" s="132">
        <v>77.949388981014295</v>
      </c>
      <c r="P200" s="132">
        <v>77.282690307587103</v>
      </c>
      <c r="Q200" s="132">
        <v>76.495198855354502</v>
      </c>
      <c r="R200" s="132">
        <v>75.659366698709405</v>
      </c>
      <c r="S200" s="132">
        <v>74.843582636121795</v>
      </c>
      <c r="T200" s="132">
        <v>74.040861899296004</v>
      </c>
      <c r="U200" s="132">
        <v>73.2467991547921</v>
      </c>
      <c r="V200" s="132">
        <v>69.357988872414595</v>
      </c>
    </row>
    <row r="201" spans="1:22" ht="19.5" customHeight="1">
      <c r="A201" s="94" t="s">
        <v>1197</v>
      </c>
      <c r="B201" s="82"/>
      <c r="C201" s="82"/>
      <c r="D201" s="82" t="s">
        <v>1181</v>
      </c>
      <c r="E201" s="82"/>
      <c r="F201" s="82"/>
      <c r="G201" s="82"/>
      <c r="H201" s="82"/>
      <c r="I201" s="82"/>
      <c r="J201" s="149">
        <v>82.265143941593607</v>
      </c>
      <c r="K201" s="149">
        <v>75.200077784977594</v>
      </c>
      <c r="L201" s="149">
        <v>72.628915667517802</v>
      </c>
      <c r="M201" s="149">
        <v>87.312113613663598</v>
      </c>
      <c r="N201" s="149">
        <v>88.921751280119906</v>
      </c>
      <c r="O201" s="149">
        <v>84.148955408946804</v>
      </c>
      <c r="P201" s="149">
        <v>84.235625466663393</v>
      </c>
      <c r="Q201" s="149">
        <v>83.491927248949196</v>
      </c>
      <c r="R201" s="149">
        <v>82.692445521748695</v>
      </c>
      <c r="S201" s="149">
        <v>81.911828202615794</v>
      </c>
      <c r="T201" s="149">
        <v>81.142526169293205</v>
      </c>
      <c r="U201" s="149">
        <v>80.379779166560596</v>
      </c>
      <c r="V201" s="149">
        <v>76.612837693967094</v>
      </c>
    </row>
    <row r="202" spans="1:22" ht="19.5" customHeight="1">
      <c r="A202" s="94" t="s">
        <v>1198</v>
      </c>
      <c r="B202" s="82"/>
      <c r="C202" s="82"/>
      <c r="D202" s="80" t="s">
        <v>1029</v>
      </c>
      <c r="E202" s="118"/>
      <c r="F202" s="80"/>
      <c r="G202" s="132"/>
      <c r="H202" s="80"/>
      <c r="I202" s="132"/>
      <c r="J202" s="132">
        <v>93.4177810111008</v>
      </c>
      <c r="K202" s="132">
        <v>92.611797272271204</v>
      </c>
      <c r="L202" s="132">
        <v>103.637257630359</v>
      </c>
      <c r="M202" s="132">
        <v>100.572919193096</v>
      </c>
      <c r="N202" s="132">
        <v>95.399960390485603</v>
      </c>
      <c r="O202" s="132">
        <v>95.947339215603606</v>
      </c>
      <c r="P202" s="132">
        <v>97.279377769092306</v>
      </c>
      <c r="Q202" s="132">
        <v>95.501733377922804</v>
      </c>
      <c r="R202" s="132">
        <v>93.686688214695394</v>
      </c>
      <c r="S202" s="132">
        <v>91.919580016706405</v>
      </c>
      <c r="T202" s="132">
        <v>90.191162280893195</v>
      </c>
      <c r="U202" s="132">
        <v>88.495591227160503</v>
      </c>
      <c r="V202" s="132">
        <v>80.440930045201995</v>
      </c>
    </row>
    <row r="203" spans="1:22" ht="19.5" customHeight="1">
      <c r="B203" s="82"/>
      <c r="C203" s="82"/>
      <c r="D203" s="82"/>
      <c r="E203" s="82"/>
      <c r="F203" s="82"/>
      <c r="G203" s="82"/>
      <c r="H203" s="82"/>
      <c r="I203" s="82"/>
      <c r="J203" s="82"/>
      <c r="K203" s="82"/>
      <c r="L203" s="82"/>
      <c r="M203" s="82"/>
      <c r="N203" s="82"/>
      <c r="O203" s="82"/>
      <c r="P203" s="82"/>
      <c r="Q203" s="82"/>
      <c r="R203" s="82"/>
      <c r="S203" s="82"/>
      <c r="T203" s="82"/>
      <c r="U203" s="82"/>
      <c r="V203" s="82"/>
    </row>
    <row r="204" spans="1:22" ht="19.5" customHeight="1">
      <c r="B204" s="79" t="s">
        <v>1199</v>
      </c>
      <c r="C204" s="82"/>
      <c r="D204" s="82"/>
      <c r="E204" s="82"/>
      <c r="F204" s="82"/>
      <c r="G204" s="82"/>
      <c r="H204" s="82"/>
      <c r="I204" s="82"/>
      <c r="J204" s="82"/>
      <c r="K204" s="82"/>
      <c r="L204" s="82"/>
      <c r="M204" s="82"/>
      <c r="N204" s="82"/>
      <c r="O204" s="82"/>
      <c r="P204" s="82"/>
      <c r="Q204" s="82"/>
      <c r="R204" s="82"/>
      <c r="S204" s="82"/>
      <c r="T204" s="82"/>
      <c r="U204" s="82"/>
      <c r="V204" s="82"/>
    </row>
    <row r="205" spans="1:22" ht="19.5" customHeight="1">
      <c r="A205" s="94" t="s">
        <v>1200</v>
      </c>
      <c r="B205" s="80" t="s">
        <v>1201</v>
      </c>
      <c r="C205" s="102"/>
      <c r="D205" s="80"/>
      <c r="E205" s="102"/>
      <c r="F205" s="80"/>
      <c r="G205" s="132"/>
      <c r="H205" s="80"/>
      <c r="I205" s="132"/>
      <c r="J205" s="132">
        <v>108.24711509111199</v>
      </c>
      <c r="K205" s="132">
        <v>97.867946024006002</v>
      </c>
      <c r="L205" s="132">
        <v>94.0323089848156</v>
      </c>
      <c r="M205" s="132">
        <v>97.285144477110606</v>
      </c>
      <c r="N205" s="132">
        <v>101.858304838056</v>
      </c>
      <c r="O205" s="132">
        <v>103.879033769762</v>
      </c>
      <c r="P205" s="132">
        <v>105.64575612149</v>
      </c>
      <c r="Q205" s="132">
        <v>107.416149907522</v>
      </c>
      <c r="R205" s="132">
        <v>109.30383247011</v>
      </c>
      <c r="S205" s="132">
        <v>111.214873089462</v>
      </c>
      <c r="T205" s="132">
        <v>113.15936338657799</v>
      </c>
      <c r="U205" s="132">
        <v>115.144492139794</v>
      </c>
      <c r="V205" s="132">
        <v>125.79705127612399</v>
      </c>
    </row>
    <row r="206" spans="1:22" ht="19.5" customHeight="1">
      <c r="A206" s="94" t="s">
        <v>1202</v>
      </c>
      <c r="B206" s="99"/>
      <c r="C206" s="82" t="s">
        <v>1203</v>
      </c>
      <c r="D206" s="99"/>
      <c r="E206" s="82"/>
      <c r="F206" s="82"/>
      <c r="G206" s="82"/>
      <c r="H206" s="82"/>
      <c r="I206" s="82"/>
      <c r="J206" s="149">
        <v>-1.36648846389518</v>
      </c>
      <c r="K206" s="149">
        <v>-9.5884024792437295</v>
      </c>
      <c r="L206" s="149">
        <v>-3.9191964223399101</v>
      </c>
      <c r="M206" s="149">
        <v>3.4592742934987002</v>
      </c>
      <c r="N206" s="149">
        <v>4.7007797393171096</v>
      </c>
      <c r="O206" s="149">
        <v>1.98386271489426</v>
      </c>
      <c r="P206" s="149">
        <v>1.7007496966564299</v>
      </c>
      <c r="Q206" s="149">
        <v>1.67578315592336</v>
      </c>
      <c r="R206" s="149">
        <v>1.75735451718675</v>
      </c>
      <c r="S206" s="149">
        <v>1.7483747606692499</v>
      </c>
      <c r="T206" s="149">
        <v>1.7484085024776199</v>
      </c>
      <c r="U206" s="149">
        <v>1.75427706007405</v>
      </c>
      <c r="V206" s="149">
        <v>1.80773899018865</v>
      </c>
    </row>
    <row r="207" spans="1:22" ht="19.5" customHeight="1">
      <c r="A207" s="94" t="s">
        <v>1204</v>
      </c>
      <c r="B207" s="80" t="s">
        <v>1205</v>
      </c>
      <c r="C207" s="102"/>
      <c r="D207" s="80"/>
      <c r="E207" s="102"/>
      <c r="F207" s="80"/>
      <c r="G207" s="132"/>
      <c r="H207" s="80"/>
      <c r="I207" s="132"/>
      <c r="J207" s="132">
        <v>107.51791577233701</v>
      </c>
      <c r="K207" s="132">
        <v>108.68475368838401</v>
      </c>
      <c r="L207" s="132">
        <v>110.071242639557</v>
      </c>
      <c r="M207" s="132">
        <v>111.843624055484</v>
      </c>
      <c r="N207" s="132">
        <v>114.236668973007</v>
      </c>
      <c r="O207" s="132">
        <v>116.00340283148</v>
      </c>
      <c r="P207" s="132">
        <v>118.149385705927</v>
      </c>
      <c r="Q207" s="132">
        <v>120.512373420046</v>
      </c>
      <c r="R207" s="132">
        <v>122.922620888446</v>
      </c>
      <c r="S207" s="132">
        <v>125.381073306215</v>
      </c>
      <c r="T207" s="132">
        <v>127.88869477234</v>
      </c>
      <c r="U207" s="132">
        <v>130.44646866778601</v>
      </c>
      <c r="V207" s="132">
        <v>144.023441901333</v>
      </c>
    </row>
    <row r="208" spans="1:22" ht="19.5" customHeight="1">
      <c r="A208" s="94" t="s">
        <v>1206</v>
      </c>
      <c r="B208" s="99"/>
      <c r="C208" s="82" t="s">
        <v>1203</v>
      </c>
      <c r="D208" s="82"/>
      <c r="E208" s="82"/>
      <c r="F208" s="82"/>
      <c r="G208" s="82"/>
      <c r="H208" s="82"/>
      <c r="I208" s="82"/>
      <c r="J208" s="149">
        <v>1.7935285340539699</v>
      </c>
      <c r="K208" s="149">
        <v>1.08524975364823</v>
      </c>
      <c r="L208" s="149">
        <v>1.2756977442744699</v>
      </c>
      <c r="M208" s="149">
        <v>1.6102129615551899</v>
      </c>
      <c r="N208" s="149">
        <v>2.1396346351722602</v>
      </c>
      <c r="O208" s="149">
        <v>1.54655582516194</v>
      </c>
      <c r="P208" s="149">
        <v>1.84993096932209</v>
      </c>
      <c r="Q208" s="149">
        <v>2.00000000000002</v>
      </c>
      <c r="R208" s="149">
        <v>1.99999999999998</v>
      </c>
      <c r="S208" s="149">
        <v>2</v>
      </c>
      <c r="T208" s="149">
        <v>1.99999999999998</v>
      </c>
      <c r="U208" s="149">
        <v>2.00000000000002</v>
      </c>
      <c r="V208" s="149">
        <v>2</v>
      </c>
    </row>
    <row r="209" spans="2:22" ht="19.5" customHeight="1" thickBot="1">
      <c r="B209" s="84"/>
      <c r="C209" s="84"/>
      <c r="D209" s="84"/>
      <c r="E209" s="84"/>
      <c r="F209" s="84"/>
      <c r="G209" s="84"/>
      <c r="H209" s="84"/>
      <c r="I209" s="84"/>
      <c r="J209" s="84"/>
      <c r="K209" s="84"/>
      <c r="L209" s="84"/>
      <c r="M209" s="84"/>
      <c r="N209" s="84"/>
      <c r="O209" s="84"/>
      <c r="P209" s="84"/>
      <c r="Q209" s="84"/>
      <c r="R209" s="84"/>
      <c r="S209" s="84"/>
      <c r="T209" s="84"/>
      <c r="U209" s="84"/>
      <c r="V209" s="84"/>
    </row>
    <row r="210" spans="2:22" ht="19.5" customHeight="1" thickTop="1">
      <c r="B210" s="82"/>
      <c r="C210" s="82"/>
      <c r="D210" s="82"/>
      <c r="E210" s="82"/>
      <c r="F210" s="82"/>
      <c r="G210" s="82"/>
      <c r="H210" s="82"/>
      <c r="I210" s="82"/>
      <c r="J210" s="82"/>
      <c r="K210" s="82"/>
      <c r="L210" s="82"/>
      <c r="M210" s="82"/>
      <c r="N210" s="82"/>
      <c r="O210" s="82"/>
      <c r="P210" s="82"/>
      <c r="Q210" s="82"/>
      <c r="R210" s="82"/>
      <c r="S210" s="82"/>
      <c r="T210" s="82"/>
      <c r="U210" s="82"/>
      <c r="V210" s="82"/>
    </row>
    <row r="211" spans="2:22" ht="19.5" customHeight="1">
      <c r="B211" s="82"/>
      <c r="C211" s="82"/>
      <c r="D211" s="82"/>
      <c r="E211" s="82"/>
      <c r="F211" s="82"/>
      <c r="G211" s="82"/>
      <c r="H211" s="82"/>
      <c r="I211" s="82"/>
      <c r="J211" s="82"/>
      <c r="K211" s="82"/>
      <c r="L211" s="82"/>
      <c r="M211" s="82"/>
      <c r="N211" s="82"/>
      <c r="O211" s="82"/>
      <c r="P211" s="82"/>
      <c r="Q211" s="82"/>
      <c r="R211" s="82"/>
      <c r="S211" s="82"/>
      <c r="T211" s="82"/>
      <c r="U211" s="82"/>
      <c r="V211" s="120" t="str">
        <f>V157</f>
        <v>Next update:  October 2019</v>
      </c>
    </row>
    <row r="212" spans="2:22" ht="19.5" customHeight="1">
      <c r="B212" s="82"/>
      <c r="C212" s="82"/>
      <c r="D212" s="82"/>
      <c r="E212" s="82"/>
      <c r="F212" s="82"/>
      <c r="G212" s="82"/>
      <c r="H212" s="82"/>
      <c r="I212" s="82"/>
      <c r="J212" s="82"/>
      <c r="K212" s="82"/>
      <c r="L212" s="82"/>
      <c r="M212" s="82"/>
      <c r="N212" s="82"/>
      <c r="O212" s="82"/>
      <c r="P212" s="82"/>
      <c r="Q212" s="82"/>
      <c r="R212" s="82"/>
      <c r="S212" s="82"/>
      <c r="T212" s="82"/>
      <c r="U212" s="82"/>
      <c r="V212" s="82"/>
    </row>
    <row r="213" spans="2:22" ht="19.5" customHeight="1">
      <c r="B213" s="82"/>
      <c r="C213" s="82"/>
      <c r="D213" s="82"/>
      <c r="E213" s="82"/>
      <c r="F213" s="82"/>
      <c r="G213" s="82"/>
      <c r="H213" s="82"/>
      <c r="I213" s="82"/>
      <c r="J213" s="82"/>
      <c r="K213" s="82"/>
      <c r="L213" s="82"/>
      <c r="M213" s="82"/>
      <c r="N213" s="82"/>
      <c r="O213" s="82"/>
      <c r="P213" s="82"/>
      <c r="Q213" s="82"/>
      <c r="R213" s="82"/>
      <c r="S213" s="82"/>
      <c r="T213" s="82"/>
      <c r="U213" s="82"/>
      <c r="V213" s="82"/>
    </row>
    <row r="214" spans="2:22" ht="19.5" customHeight="1">
      <c r="B214" s="82"/>
      <c r="C214" s="82"/>
      <c r="D214" s="82"/>
      <c r="E214" s="82"/>
      <c r="F214" s="82"/>
      <c r="G214" s="82"/>
      <c r="H214" s="82"/>
      <c r="I214" s="82"/>
      <c r="J214" s="82"/>
      <c r="K214" s="82"/>
      <c r="L214" s="82"/>
      <c r="M214" s="82"/>
      <c r="N214" s="82"/>
      <c r="O214" s="82"/>
      <c r="P214" s="82"/>
      <c r="Q214" s="82"/>
      <c r="R214" s="82"/>
      <c r="S214" s="82"/>
      <c r="T214" s="82"/>
      <c r="U214" s="82"/>
      <c r="V214" s="82"/>
    </row>
    <row r="215" spans="2:22" ht="19.5" customHeight="1">
      <c r="B215" s="82"/>
      <c r="C215" s="82"/>
      <c r="D215" s="82"/>
      <c r="E215" s="82"/>
      <c r="F215" s="82"/>
      <c r="G215" s="82"/>
      <c r="H215" s="82"/>
      <c r="I215" s="82"/>
      <c r="J215" s="82"/>
      <c r="K215" s="82"/>
      <c r="L215" s="82"/>
      <c r="M215" s="82"/>
      <c r="N215" s="82"/>
      <c r="O215" s="82"/>
      <c r="P215" s="82"/>
      <c r="Q215" s="82"/>
      <c r="R215" s="82"/>
      <c r="S215" s="82"/>
      <c r="T215" s="82"/>
      <c r="U215" s="82"/>
      <c r="V215" s="82"/>
    </row>
    <row r="216" spans="2:22" ht="19.5" customHeight="1">
      <c r="B216" s="82"/>
      <c r="C216" s="82"/>
      <c r="D216" s="82"/>
      <c r="E216" s="82"/>
      <c r="F216" s="82"/>
      <c r="G216" s="82"/>
      <c r="H216" s="82"/>
      <c r="I216" s="82"/>
      <c r="J216" s="82"/>
      <c r="K216" s="82"/>
      <c r="L216" s="82"/>
      <c r="M216" s="82"/>
      <c r="N216" s="82"/>
      <c r="O216" s="82"/>
      <c r="P216" s="82"/>
      <c r="Q216" s="82"/>
      <c r="R216" s="82"/>
      <c r="S216" s="82"/>
      <c r="T216" s="82"/>
      <c r="U216" s="82"/>
      <c r="V216" s="82"/>
    </row>
    <row r="217" spans="2:22" ht="19.5" customHeight="1">
      <c r="B217" s="82"/>
      <c r="C217" s="82"/>
      <c r="D217" s="82"/>
      <c r="E217" s="82"/>
      <c r="F217" s="82"/>
      <c r="G217" s="82"/>
      <c r="H217" s="82"/>
      <c r="I217" s="82"/>
      <c r="J217" s="82"/>
      <c r="K217" s="82"/>
      <c r="L217" s="82"/>
      <c r="M217" s="82"/>
      <c r="N217" s="82"/>
      <c r="O217" s="82"/>
      <c r="P217" s="82"/>
      <c r="Q217" s="82"/>
      <c r="R217" s="82"/>
      <c r="S217" s="82"/>
      <c r="T217" s="82"/>
      <c r="U217" s="82"/>
      <c r="V217" s="82"/>
    </row>
    <row r="218" spans="2:22" ht="19.5" customHeight="1">
      <c r="B218" s="82"/>
      <c r="C218" s="82"/>
      <c r="D218" s="82"/>
      <c r="E218" s="82"/>
      <c r="F218" s="82"/>
      <c r="G218" s="82"/>
      <c r="H218" s="82"/>
      <c r="I218" s="82"/>
      <c r="J218" s="82"/>
      <c r="K218" s="82"/>
      <c r="L218" s="82"/>
      <c r="M218" s="82"/>
      <c r="N218" s="82"/>
      <c r="O218" s="82"/>
      <c r="P218" s="82"/>
      <c r="Q218" s="82"/>
      <c r="R218" s="82"/>
      <c r="S218" s="82"/>
      <c r="T218" s="82"/>
      <c r="U218" s="82"/>
      <c r="V218" s="82"/>
    </row>
    <row r="219" spans="2:22" ht="19.5" customHeight="1">
      <c r="B219" s="82"/>
      <c r="C219" s="82"/>
      <c r="D219" s="82"/>
      <c r="E219" s="82"/>
      <c r="F219" s="82"/>
      <c r="G219" s="82"/>
      <c r="H219" s="82"/>
      <c r="I219" s="82"/>
      <c r="J219" s="82"/>
      <c r="K219" s="82"/>
      <c r="L219" s="82"/>
      <c r="M219" s="82"/>
      <c r="N219" s="82"/>
      <c r="O219" s="82"/>
      <c r="P219" s="82"/>
      <c r="Q219" s="82"/>
      <c r="R219" s="82"/>
      <c r="S219" s="82"/>
      <c r="T219" s="82"/>
      <c r="U219" s="82"/>
      <c r="V219" s="82"/>
    </row>
    <row r="220" spans="2:22" ht="19.5" customHeight="1">
      <c r="B220" s="82"/>
      <c r="C220" s="82"/>
      <c r="D220" s="82"/>
      <c r="E220" s="82"/>
      <c r="F220" s="82"/>
      <c r="G220" s="82"/>
      <c r="H220" s="82"/>
      <c r="I220" s="82"/>
      <c r="J220" s="82"/>
      <c r="K220" s="82"/>
      <c r="L220" s="82"/>
      <c r="M220" s="82"/>
      <c r="N220" s="82"/>
      <c r="O220" s="82"/>
      <c r="P220" s="82"/>
      <c r="Q220" s="82"/>
      <c r="R220" s="82"/>
      <c r="S220" s="82"/>
      <c r="T220" s="82"/>
      <c r="U220" s="82"/>
      <c r="V220" s="82"/>
    </row>
    <row r="221" spans="2:22" ht="19.5" customHeight="1">
      <c r="B221" s="82"/>
      <c r="C221" s="82"/>
      <c r="D221" s="82"/>
      <c r="E221" s="82"/>
      <c r="F221" s="82"/>
      <c r="G221" s="82"/>
      <c r="H221" s="82"/>
      <c r="I221" s="82"/>
      <c r="J221" s="82"/>
      <c r="K221" s="82"/>
      <c r="L221" s="82"/>
      <c r="M221" s="82"/>
      <c r="N221" s="82"/>
      <c r="O221" s="82"/>
      <c r="P221" s="82"/>
      <c r="Q221" s="82"/>
      <c r="R221" s="82"/>
      <c r="S221" s="82"/>
      <c r="T221" s="82"/>
      <c r="U221" s="82"/>
      <c r="V221" s="82"/>
    </row>
    <row r="222" spans="2:22" ht="19.5" customHeight="1">
      <c r="B222" s="82"/>
      <c r="C222" s="82"/>
      <c r="D222" s="82"/>
      <c r="E222" s="82"/>
      <c r="F222" s="82"/>
      <c r="G222" s="82"/>
      <c r="H222" s="82"/>
      <c r="I222" s="82"/>
      <c r="J222" s="82"/>
      <c r="K222" s="82"/>
      <c r="L222" s="82"/>
      <c r="M222" s="82"/>
      <c r="N222" s="82"/>
      <c r="O222" s="82"/>
      <c r="P222" s="82"/>
      <c r="Q222" s="82"/>
      <c r="R222" s="82"/>
      <c r="S222" s="82"/>
      <c r="T222" s="82"/>
      <c r="U222" s="82"/>
      <c r="V222" s="82"/>
    </row>
    <row r="223" spans="2:22" ht="19.5" customHeight="1">
      <c r="B223" s="82"/>
      <c r="C223" s="82"/>
      <c r="D223" s="82"/>
      <c r="E223" s="82"/>
      <c r="F223" s="82"/>
      <c r="G223" s="82"/>
      <c r="H223" s="82"/>
      <c r="I223" s="82"/>
      <c r="J223" s="82"/>
      <c r="K223" s="82"/>
      <c r="L223" s="82"/>
      <c r="M223" s="82"/>
      <c r="N223" s="82"/>
      <c r="O223" s="82"/>
      <c r="P223" s="82"/>
      <c r="Q223" s="82"/>
      <c r="R223" s="82"/>
      <c r="S223" s="82"/>
      <c r="T223" s="82"/>
      <c r="U223" s="82"/>
      <c r="V223" s="82"/>
    </row>
    <row r="224" spans="2:22" ht="19.5" customHeight="1">
      <c r="B224" s="82"/>
      <c r="C224" s="82"/>
      <c r="D224" s="82"/>
      <c r="E224" s="82"/>
      <c r="F224" s="82"/>
      <c r="G224" s="82"/>
      <c r="H224" s="82"/>
      <c r="I224" s="82"/>
      <c r="J224" s="82"/>
      <c r="K224" s="82"/>
      <c r="L224" s="82"/>
      <c r="M224" s="82"/>
      <c r="N224" s="82"/>
      <c r="O224" s="82"/>
      <c r="P224" s="82"/>
      <c r="Q224" s="82"/>
      <c r="R224" s="82"/>
      <c r="S224" s="82"/>
      <c r="T224" s="82"/>
      <c r="U224" s="82"/>
      <c r="V224" s="82"/>
    </row>
    <row r="225" spans="1:22" ht="19.5" customHeight="1">
      <c r="B225" s="82"/>
      <c r="C225" s="82"/>
      <c r="D225" s="82"/>
      <c r="E225" s="82"/>
      <c r="F225" s="82"/>
      <c r="G225" s="82"/>
      <c r="H225" s="82"/>
      <c r="I225" s="82"/>
      <c r="J225" s="82"/>
      <c r="K225" s="82"/>
      <c r="L225" s="82"/>
      <c r="M225" s="82"/>
      <c r="N225" s="82"/>
      <c r="O225" s="82"/>
      <c r="P225" s="82"/>
      <c r="Q225" s="82"/>
      <c r="R225" s="82"/>
      <c r="S225" s="82"/>
      <c r="T225" s="82"/>
      <c r="U225" s="82"/>
      <c r="V225" s="82"/>
    </row>
    <row r="226" spans="1:22" ht="19.5" customHeight="1">
      <c r="B226" s="82"/>
      <c r="C226" s="82"/>
      <c r="D226" s="82"/>
      <c r="E226" s="82"/>
      <c r="F226" s="82"/>
      <c r="G226" s="82"/>
      <c r="H226" s="82"/>
      <c r="I226" s="82"/>
      <c r="J226" s="82"/>
      <c r="K226" s="82"/>
      <c r="L226" s="82"/>
      <c r="M226" s="82"/>
      <c r="N226" s="82"/>
      <c r="O226" s="82"/>
      <c r="P226" s="82"/>
      <c r="Q226" s="82"/>
      <c r="R226" s="82"/>
      <c r="S226" s="82"/>
      <c r="T226" s="82"/>
      <c r="U226" s="82"/>
      <c r="V226" s="82"/>
    </row>
    <row r="227" spans="1:22" ht="19.5" customHeight="1">
      <c r="B227" s="82"/>
      <c r="C227" s="82"/>
      <c r="D227" s="82"/>
      <c r="E227" s="82"/>
      <c r="F227" s="82"/>
      <c r="G227" s="82"/>
      <c r="H227" s="82"/>
      <c r="I227" s="82"/>
      <c r="J227" s="82"/>
      <c r="K227" s="82"/>
      <c r="L227" s="82"/>
      <c r="M227" s="82"/>
      <c r="N227" s="82"/>
      <c r="O227" s="82"/>
      <c r="P227" s="82"/>
      <c r="Q227" s="82"/>
      <c r="R227" s="82"/>
      <c r="S227" s="82"/>
      <c r="T227" s="82"/>
      <c r="U227" s="82"/>
      <c r="V227" s="82"/>
    </row>
    <row r="228" spans="1:22" ht="19.5" customHeight="1">
      <c r="B228" s="82"/>
      <c r="C228" s="82"/>
      <c r="D228" s="82"/>
      <c r="E228" s="82"/>
      <c r="F228" s="82"/>
      <c r="G228" s="82"/>
      <c r="H228" s="82"/>
      <c r="I228" s="82"/>
      <c r="J228" s="82"/>
      <c r="K228" s="82"/>
      <c r="L228" s="82"/>
      <c r="M228" s="82"/>
      <c r="N228" s="82"/>
      <c r="O228" s="82"/>
      <c r="P228" s="82"/>
      <c r="Q228" s="82"/>
      <c r="R228" s="82"/>
      <c r="S228" s="82"/>
      <c r="T228" s="82"/>
      <c r="U228" s="82"/>
      <c r="V228" s="82"/>
    </row>
    <row r="229" spans="1:22" ht="19.5" customHeight="1"/>
    <row r="230" spans="1:22" ht="19.5" customHeight="1">
      <c r="B230" s="122"/>
      <c r="C230" s="122"/>
      <c r="D230" s="122"/>
      <c r="E230" s="122"/>
      <c r="F230" s="122"/>
      <c r="G230" s="123"/>
      <c r="H230" s="124"/>
      <c r="I230" s="123"/>
      <c r="J230" s="123"/>
      <c r="K230" s="123"/>
      <c r="L230" s="123"/>
      <c r="M230" s="123"/>
      <c r="N230" s="123"/>
    </row>
    <row r="231" spans="1:22" ht="19.5" customHeight="1">
      <c r="B231" s="125"/>
      <c r="C231" s="125"/>
      <c r="D231" s="125"/>
      <c r="E231" s="125"/>
      <c r="F231" s="125"/>
      <c r="G231" s="123"/>
      <c r="H231" s="124"/>
      <c r="I231" s="123"/>
      <c r="J231" s="123"/>
      <c r="K231" s="123"/>
      <c r="L231" s="123"/>
      <c r="M231" s="123"/>
      <c r="N231" s="123"/>
    </row>
    <row r="232" spans="1:22" ht="19.5" customHeight="1">
      <c r="B232" s="122"/>
      <c r="C232" s="122"/>
      <c r="D232" s="122"/>
      <c r="E232" s="122"/>
      <c r="F232" s="122"/>
      <c r="G232" s="123"/>
      <c r="H232" s="124"/>
      <c r="I232" s="123"/>
      <c r="J232" s="123"/>
      <c r="K232" s="123"/>
      <c r="L232" s="123"/>
      <c r="M232" s="123"/>
      <c r="N232" s="123"/>
    </row>
    <row r="233" spans="1:22" s="128" customFormat="1" ht="19.5" customHeight="1">
      <c r="A233" s="126"/>
      <c r="B233" s="122"/>
      <c r="C233" s="122"/>
      <c r="D233" s="122"/>
      <c r="E233" s="122"/>
      <c r="F233" s="122"/>
      <c r="G233" s="123"/>
      <c r="H233" s="124"/>
      <c r="I233" s="123"/>
      <c r="J233" s="123"/>
      <c r="K233" s="123"/>
      <c r="L233" s="127"/>
      <c r="M233" s="127"/>
      <c r="N233" s="127"/>
    </row>
    <row r="234" spans="1:22" ht="19.5" customHeight="1">
      <c r="B234" s="122"/>
      <c r="C234" s="122"/>
      <c r="D234" s="122"/>
      <c r="E234" s="122"/>
      <c r="F234" s="122"/>
      <c r="G234" s="123"/>
      <c r="H234" s="124"/>
      <c r="I234" s="123"/>
      <c r="J234" s="123"/>
      <c r="K234" s="123"/>
      <c r="L234" s="123"/>
      <c r="M234" s="123"/>
      <c r="N234" s="123"/>
    </row>
    <row r="235" spans="1:22" ht="19.5" customHeight="1">
      <c r="B235" s="125"/>
      <c r="C235" s="125"/>
      <c r="D235" s="125"/>
      <c r="E235" s="125"/>
      <c r="F235" s="125"/>
      <c r="G235" s="127"/>
      <c r="H235" s="129"/>
      <c r="I235" s="127"/>
      <c r="J235" s="127"/>
      <c r="K235" s="127"/>
      <c r="L235" s="123"/>
      <c r="M235" s="123"/>
      <c r="N235" s="123"/>
    </row>
    <row r="236" spans="1:22" ht="19.5" customHeight="1"/>
    <row r="237" spans="1:22" ht="19.5" customHeight="1"/>
    <row r="238" spans="1:22" ht="19.5" customHeight="1">
      <c r="B238" s="122"/>
      <c r="C238" s="122"/>
      <c r="D238" s="122"/>
      <c r="E238" s="122"/>
      <c r="F238" s="122"/>
      <c r="G238" s="123"/>
      <c r="H238" s="124"/>
      <c r="I238" s="123"/>
      <c r="J238" s="123"/>
      <c r="K238" s="123"/>
      <c r="L238" s="123"/>
      <c r="M238" s="123"/>
      <c r="N238" s="123"/>
    </row>
    <row r="239" spans="1:22" ht="19.5" customHeight="1">
      <c r="B239" s="122"/>
      <c r="C239" s="122"/>
      <c r="D239" s="122"/>
      <c r="E239" s="122"/>
      <c r="F239" s="122"/>
      <c r="G239" s="123"/>
      <c r="H239" s="124"/>
      <c r="I239" s="123"/>
      <c r="J239" s="123"/>
      <c r="K239" s="123"/>
      <c r="L239" s="123"/>
      <c r="M239" s="123"/>
      <c r="N239" s="123"/>
    </row>
    <row r="240" spans="1:22" ht="19.5" customHeight="1">
      <c r="B240" s="122"/>
      <c r="C240" s="122"/>
      <c r="D240" s="122"/>
      <c r="E240" s="122"/>
      <c r="F240" s="122"/>
      <c r="G240" s="123"/>
      <c r="H240" s="124"/>
      <c r="I240" s="123"/>
      <c r="J240" s="123"/>
      <c r="K240" s="123"/>
      <c r="L240" s="123"/>
      <c r="M240" s="123"/>
      <c r="N240" s="123"/>
    </row>
    <row r="241" spans="2:14" ht="19.5" customHeight="1">
      <c r="B241" s="122"/>
      <c r="C241" s="122"/>
      <c r="D241" s="122"/>
      <c r="E241" s="122"/>
      <c r="F241" s="122"/>
      <c r="G241" s="123"/>
      <c r="H241" s="124"/>
      <c r="I241" s="123"/>
      <c r="J241" s="123"/>
      <c r="K241" s="123"/>
      <c r="L241" s="123"/>
      <c r="M241" s="123"/>
      <c r="N241" s="123"/>
    </row>
    <row r="242" spans="2:14" ht="19.5" customHeight="1">
      <c r="B242" s="122"/>
      <c r="C242" s="122"/>
      <c r="D242" s="122"/>
      <c r="E242" s="122"/>
      <c r="F242" s="122"/>
      <c r="G242" s="123"/>
      <c r="H242" s="124"/>
      <c r="I242" s="123"/>
      <c r="J242" s="123"/>
      <c r="K242" s="123"/>
      <c r="L242" s="123"/>
      <c r="M242" s="123"/>
      <c r="N242" s="123"/>
    </row>
    <row r="243" spans="2:14" ht="19.5" customHeight="1">
      <c r="B243" s="122"/>
      <c r="C243" s="122"/>
      <c r="D243" s="122"/>
      <c r="E243" s="122"/>
      <c r="F243" s="122"/>
      <c r="G243" s="123"/>
      <c r="H243" s="124"/>
      <c r="I243" s="123"/>
      <c r="J243" s="123"/>
      <c r="K243" s="123"/>
      <c r="L243" s="123"/>
      <c r="M243" s="123"/>
      <c r="N243" s="123"/>
    </row>
    <row r="244" spans="2:14" ht="19.5" customHeight="1">
      <c r="B244" s="122"/>
      <c r="C244" s="122"/>
      <c r="D244" s="122"/>
      <c r="E244" s="122"/>
      <c r="F244" s="122"/>
      <c r="G244" s="123"/>
      <c r="H244" s="124"/>
      <c r="I244" s="123"/>
      <c r="J244" s="123"/>
      <c r="K244" s="123"/>
      <c r="L244" s="123"/>
      <c r="M244" s="123"/>
      <c r="N244" s="123"/>
    </row>
    <row r="245" spans="2:14" ht="19.5" customHeight="1">
      <c r="B245" s="122"/>
      <c r="C245" s="122"/>
      <c r="D245" s="122"/>
      <c r="E245" s="122"/>
      <c r="F245" s="122"/>
      <c r="G245" s="123"/>
      <c r="H245" s="124"/>
      <c r="I245" s="123"/>
      <c r="J245" s="123"/>
      <c r="K245" s="123"/>
      <c r="L245" s="123"/>
      <c r="M245" s="123"/>
      <c r="N245" s="123"/>
    </row>
    <row r="246" spans="2:14" ht="19.5" customHeight="1">
      <c r="B246" s="122"/>
      <c r="C246" s="122"/>
      <c r="D246" s="122"/>
      <c r="E246" s="122"/>
      <c r="F246" s="122"/>
      <c r="G246" s="123"/>
      <c r="H246" s="124"/>
      <c r="I246" s="123"/>
      <c r="J246" s="123"/>
      <c r="K246" s="123"/>
      <c r="L246" s="123"/>
      <c r="M246" s="123"/>
      <c r="N246" s="123"/>
    </row>
    <row r="247" spans="2:14" ht="19.5" customHeight="1">
      <c r="B247" s="122"/>
      <c r="C247" s="122"/>
      <c r="D247" s="122"/>
      <c r="E247" s="122"/>
      <c r="F247" s="122"/>
      <c r="G247" s="123"/>
      <c r="H247" s="124"/>
      <c r="I247" s="123"/>
      <c r="J247" s="123"/>
      <c r="K247" s="123"/>
      <c r="L247" s="123"/>
      <c r="M247" s="123"/>
      <c r="N247" s="123"/>
    </row>
    <row r="248" spans="2:14" ht="19.5" customHeight="1">
      <c r="B248" s="122"/>
      <c r="C248" s="122"/>
      <c r="D248" s="122"/>
      <c r="E248" s="122"/>
      <c r="F248" s="122"/>
      <c r="G248" s="123"/>
      <c r="H248" s="124"/>
      <c r="I248" s="123"/>
      <c r="J248" s="123"/>
      <c r="K248" s="123"/>
      <c r="L248" s="123"/>
      <c r="M248" s="123"/>
      <c r="N248" s="123"/>
    </row>
    <row r="249" spans="2:14" ht="19.5" customHeight="1">
      <c r="B249" s="122"/>
      <c r="C249" s="122"/>
      <c r="D249" s="122"/>
      <c r="E249" s="122"/>
      <c r="F249" s="122"/>
      <c r="G249" s="123"/>
      <c r="H249" s="124"/>
      <c r="I249" s="123"/>
      <c r="J249" s="123"/>
      <c r="K249" s="123"/>
      <c r="L249" s="123"/>
      <c r="M249" s="123"/>
      <c r="N249" s="123"/>
    </row>
    <row r="250" spans="2:14" ht="19.5" customHeight="1">
      <c r="B250" s="122"/>
      <c r="C250" s="122"/>
      <c r="D250" s="122"/>
      <c r="E250" s="122"/>
      <c r="F250" s="122"/>
      <c r="G250" s="123"/>
      <c r="H250" s="124"/>
      <c r="I250" s="123"/>
      <c r="J250" s="123"/>
      <c r="K250" s="123"/>
      <c r="L250" s="123"/>
      <c r="M250" s="123"/>
      <c r="N250" s="123"/>
    </row>
    <row r="251" spans="2:14" ht="19.5" customHeight="1">
      <c r="B251" s="122"/>
      <c r="C251" s="122"/>
      <c r="D251" s="122"/>
      <c r="E251" s="122"/>
      <c r="F251" s="122"/>
      <c r="G251" s="123"/>
      <c r="H251" s="124"/>
      <c r="I251" s="123"/>
      <c r="J251" s="123"/>
      <c r="K251" s="123"/>
      <c r="L251" s="123"/>
      <c r="M251" s="123"/>
      <c r="N251" s="123"/>
    </row>
    <row r="252" spans="2:14" ht="19.5" customHeight="1">
      <c r="B252" s="122"/>
      <c r="C252" s="122"/>
      <c r="D252" s="122"/>
      <c r="E252" s="122"/>
      <c r="F252" s="122"/>
      <c r="G252" s="123"/>
      <c r="H252" s="124"/>
      <c r="I252" s="123"/>
      <c r="J252" s="123"/>
      <c r="K252" s="123"/>
      <c r="L252" s="123"/>
      <c r="M252" s="123"/>
      <c r="N252" s="123"/>
    </row>
    <row r="253" spans="2:14" ht="19.5" customHeight="1">
      <c r="B253" s="122"/>
      <c r="C253" s="122"/>
      <c r="D253" s="122"/>
      <c r="E253" s="122"/>
      <c r="F253" s="122"/>
      <c r="G253" s="123"/>
      <c r="H253" s="124"/>
      <c r="I253" s="123"/>
      <c r="J253" s="123"/>
      <c r="K253" s="123"/>
      <c r="L253" s="123"/>
      <c r="M253" s="123"/>
      <c r="N253" s="123"/>
    </row>
    <row r="254" spans="2:14" ht="19.5" customHeight="1">
      <c r="B254" s="122"/>
      <c r="C254" s="122"/>
      <c r="D254" s="122"/>
      <c r="E254" s="122"/>
      <c r="F254" s="122"/>
      <c r="G254" s="123"/>
      <c r="H254" s="124"/>
      <c r="I254" s="123"/>
      <c r="J254" s="123"/>
      <c r="K254" s="123"/>
      <c r="L254" s="123"/>
      <c r="M254" s="123"/>
      <c r="N254" s="123"/>
    </row>
    <row r="255" spans="2:14" ht="19.5" customHeight="1">
      <c r="B255" s="125"/>
      <c r="C255" s="125"/>
      <c r="D255" s="125"/>
      <c r="E255" s="125"/>
      <c r="F255" s="125"/>
      <c r="G255" s="123"/>
      <c r="H255" s="124"/>
      <c r="I255" s="123"/>
      <c r="J255" s="123"/>
      <c r="K255" s="123"/>
      <c r="L255" s="123"/>
      <c r="M255" s="123"/>
      <c r="N255" s="123"/>
    </row>
    <row r="256" spans="2:14" ht="19.5" customHeight="1">
      <c r="B256" s="125"/>
      <c r="C256" s="125"/>
      <c r="D256" s="125"/>
      <c r="E256" s="125"/>
      <c r="F256" s="125"/>
      <c r="G256" s="123"/>
      <c r="H256" s="124"/>
      <c r="I256" s="123"/>
      <c r="J256" s="123"/>
      <c r="K256" s="123"/>
      <c r="L256" s="123"/>
      <c r="M256" s="123"/>
      <c r="N256" s="123"/>
    </row>
    <row r="257" spans="2:14" ht="19.5" customHeight="1">
      <c r="B257" s="122"/>
      <c r="C257" s="122"/>
      <c r="D257" s="122"/>
      <c r="E257" s="122"/>
      <c r="F257" s="122"/>
      <c r="G257" s="123"/>
      <c r="H257" s="124"/>
      <c r="I257" s="123"/>
      <c r="J257" s="123"/>
      <c r="K257" s="123"/>
      <c r="L257" s="123"/>
      <c r="M257" s="123"/>
      <c r="N257" s="123"/>
    </row>
    <row r="258" spans="2:14" ht="19.5" customHeight="1">
      <c r="B258" s="122"/>
      <c r="C258" s="122"/>
      <c r="D258" s="122"/>
      <c r="E258" s="122"/>
      <c r="F258" s="122"/>
      <c r="G258" s="123"/>
      <c r="H258" s="124"/>
      <c r="I258" s="123"/>
      <c r="J258" s="123"/>
      <c r="K258" s="123"/>
      <c r="L258" s="123"/>
      <c r="M258" s="123"/>
      <c r="N258" s="123"/>
    </row>
    <row r="259" spans="2:14" ht="19.5" customHeight="1">
      <c r="B259" s="122"/>
      <c r="C259" s="122"/>
      <c r="D259" s="122"/>
      <c r="E259" s="122"/>
      <c r="F259" s="122"/>
      <c r="G259" s="123"/>
      <c r="H259" s="124"/>
      <c r="I259" s="123"/>
      <c r="J259" s="123"/>
      <c r="K259" s="123"/>
      <c r="L259" s="123"/>
      <c r="M259" s="123"/>
      <c r="N259" s="123"/>
    </row>
    <row r="260" spans="2:14" ht="19.5" customHeight="1">
      <c r="B260" s="122"/>
      <c r="C260" s="122"/>
      <c r="D260" s="122"/>
      <c r="E260" s="122"/>
      <c r="F260" s="122"/>
      <c r="G260" s="123"/>
      <c r="H260" s="124"/>
      <c r="I260" s="123"/>
      <c r="J260" s="123"/>
      <c r="K260" s="123"/>
      <c r="L260" s="123"/>
      <c r="M260" s="123"/>
      <c r="N260" s="123"/>
    </row>
    <row r="261" spans="2:14" ht="19.5" customHeight="1">
      <c r="B261" s="122"/>
      <c r="C261" s="122"/>
      <c r="D261" s="122"/>
      <c r="E261" s="122"/>
      <c r="F261" s="122"/>
      <c r="G261" s="123"/>
      <c r="H261" s="124"/>
      <c r="I261" s="123"/>
      <c r="J261" s="123"/>
      <c r="K261" s="123"/>
      <c r="L261" s="123"/>
      <c r="M261" s="123"/>
      <c r="N261" s="123"/>
    </row>
    <row r="262" spans="2:14" ht="19.5" customHeight="1">
      <c r="B262" s="122"/>
      <c r="C262" s="122"/>
      <c r="D262" s="122"/>
      <c r="E262" s="122"/>
      <c r="F262" s="122"/>
      <c r="G262" s="123"/>
      <c r="H262" s="124"/>
      <c r="I262" s="123"/>
      <c r="J262" s="123"/>
      <c r="K262" s="123"/>
      <c r="L262" s="123"/>
      <c r="M262" s="123"/>
      <c r="N262" s="123"/>
    </row>
    <row r="263" spans="2:14" ht="19.5" customHeight="1">
      <c r="B263" s="122"/>
      <c r="C263" s="122"/>
      <c r="D263" s="122"/>
      <c r="E263" s="122"/>
      <c r="F263" s="122"/>
      <c r="G263" s="123"/>
      <c r="H263" s="124"/>
      <c r="I263" s="123"/>
      <c r="J263" s="123"/>
      <c r="K263" s="123"/>
      <c r="L263" s="123"/>
      <c r="M263" s="123"/>
      <c r="N263" s="123"/>
    </row>
    <row r="264" spans="2:14" ht="19.5" customHeight="1">
      <c r="B264" s="122"/>
      <c r="C264" s="122"/>
      <c r="D264" s="122"/>
      <c r="E264" s="122"/>
      <c r="F264" s="122"/>
      <c r="G264" s="123"/>
      <c r="H264" s="124"/>
      <c r="I264" s="123"/>
      <c r="J264" s="123"/>
      <c r="K264" s="123"/>
      <c r="L264" s="123"/>
      <c r="M264" s="123"/>
      <c r="N264" s="123"/>
    </row>
    <row r="265" spans="2:14" ht="19.5" customHeight="1">
      <c r="B265" s="122"/>
      <c r="C265" s="122"/>
      <c r="D265" s="122"/>
      <c r="E265" s="122"/>
      <c r="F265" s="122"/>
      <c r="G265" s="123"/>
      <c r="H265" s="124"/>
      <c r="I265" s="123"/>
      <c r="J265" s="123"/>
      <c r="K265" s="123"/>
      <c r="L265" s="123"/>
      <c r="M265" s="123"/>
      <c r="N265" s="123"/>
    </row>
    <row r="266" spans="2:14" ht="19.5" customHeight="1">
      <c r="B266" s="122"/>
      <c r="C266" s="122"/>
      <c r="D266" s="122"/>
      <c r="E266" s="122"/>
      <c r="F266" s="122"/>
      <c r="G266" s="123"/>
      <c r="H266" s="124"/>
      <c r="I266" s="123"/>
      <c r="J266" s="123"/>
      <c r="K266" s="123"/>
      <c r="L266" s="123"/>
      <c r="M266" s="123"/>
      <c r="N266" s="123"/>
    </row>
    <row r="267" spans="2:14" ht="19.5" customHeight="1">
      <c r="B267" s="122"/>
      <c r="C267" s="122"/>
      <c r="D267" s="122"/>
      <c r="E267" s="122"/>
      <c r="F267" s="122"/>
      <c r="G267" s="123"/>
      <c r="H267" s="124"/>
      <c r="I267" s="123"/>
      <c r="J267" s="123"/>
      <c r="K267" s="123"/>
      <c r="L267" s="123"/>
      <c r="M267" s="123"/>
      <c r="N267" s="123"/>
    </row>
    <row r="268" spans="2:14" ht="19.5" customHeight="1">
      <c r="B268" s="122"/>
      <c r="C268" s="122"/>
      <c r="D268" s="122"/>
      <c r="E268" s="122"/>
      <c r="F268" s="122"/>
      <c r="G268" s="123"/>
      <c r="H268" s="124"/>
      <c r="I268" s="123"/>
      <c r="J268" s="123"/>
      <c r="K268" s="123"/>
      <c r="L268" s="123"/>
      <c r="M268" s="123"/>
      <c r="N268" s="123"/>
    </row>
    <row r="269" spans="2:14" ht="19.5" customHeight="1">
      <c r="B269" s="122"/>
      <c r="C269" s="122"/>
      <c r="D269" s="122"/>
      <c r="E269" s="122"/>
      <c r="F269" s="122"/>
      <c r="G269" s="123"/>
      <c r="H269" s="124"/>
      <c r="I269" s="123"/>
      <c r="J269" s="123"/>
      <c r="K269" s="123"/>
      <c r="L269" s="123"/>
      <c r="M269" s="123"/>
      <c r="N269" s="123"/>
    </row>
    <row r="270" spans="2:14" ht="19.5" customHeight="1">
      <c r="B270" s="122"/>
      <c r="C270" s="122"/>
      <c r="D270" s="122"/>
      <c r="E270" s="122"/>
      <c r="F270" s="122"/>
      <c r="G270" s="123"/>
      <c r="H270" s="124"/>
      <c r="I270" s="123"/>
      <c r="J270" s="123"/>
      <c r="K270" s="123"/>
      <c r="L270" s="123"/>
      <c r="M270" s="123"/>
      <c r="N270" s="123"/>
    </row>
    <row r="271" spans="2:14" ht="19.5" customHeight="1">
      <c r="B271" s="122"/>
      <c r="C271" s="122"/>
      <c r="D271" s="122"/>
      <c r="E271" s="122"/>
      <c r="F271" s="122"/>
      <c r="G271" s="123"/>
      <c r="H271" s="124"/>
      <c r="I271" s="123"/>
      <c r="J271" s="123"/>
      <c r="K271" s="123"/>
      <c r="L271" s="123"/>
      <c r="M271" s="123"/>
      <c r="N271" s="123"/>
    </row>
    <row r="272" spans="2:14" ht="19.5" customHeight="1">
      <c r="B272" s="122"/>
      <c r="C272" s="122"/>
      <c r="D272" s="122"/>
      <c r="E272" s="122"/>
      <c r="F272" s="122"/>
      <c r="G272" s="123"/>
      <c r="H272" s="124"/>
      <c r="I272" s="123"/>
      <c r="J272" s="123"/>
      <c r="K272" s="123"/>
      <c r="L272" s="123"/>
      <c r="M272" s="123"/>
      <c r="N272" s="123"/>
    </row>
    <row r="273" spans="1:14" ht="19.5" customHeight="1">
      <c r="B273" s="122"/>
      <c r="C273" s="122"/>
      <c r="D273" s="122"/>
      <c r="E273" s="122"/>
      <c r="F273" s="122"/>
      <c r="G273" s="123"/>
      <c r="H273" s="124"/>
      <c r="I273" s="123"/>
      <c r="J273" s="123"/>
      <c r="K273" s="123"/>
      <c r="L273" s="123"/>
      <c r="M273" s="123"/>
      <c r="N273" s="123"/>
    </row>
    <row r="274" spans="1:14" ht="19.5" customHeight="1">
      <c r="B274" s="122"/>
      <c r="C274" s="122"/>
      <c r="D274" s="122"/>
      <c r="E274" s="122"/>
      <c r="F274" s="122"/>
      <c r="G274" s="123"/>
      <c r="H274" s="124"/>
      <c r="I274" s="123"/>
      <c r="J274" s="123"/>
      <c r="K274" s="123"/>
      <c r="L274" s="123"/>
      <c r="M274" s="123"/>
      <c r="N274" s="123"/>
    </row>
    <row r="275" spans="1:14" ht="19.5" customHeight="1">
      <c r="B275" s="122"/>
      <c r="C275" s="122"/>
      <c r="D275" s="122"/>
      <c r="E275" s="122"/>
      <c r="F275" s="122"/>
      <c r="G275" s="123"/>
      <c r="H275" s="124"/>
      <c r="I275" s="123"/>
      <c r="J275" s="123"/>
      <c r="K275" s="123"/>
      <c r="L275" s="123"/>
      <c r="M275" s="123"/>
      <c r="N275" s="123"/>
    </row>
    <row r="276" spans="1:14" ht="19.5" customHeight="1">
      <c r="B276" s="122"/>
      <c r="C276" s="122"/>
      <c r="D276" s="122"/>
      <c r="E276" s="122"/>
      <c r="F276" s="122"/>
      <c r="G276" s="123"/>
      <c r="H276" s="124"/>
      <c r="I276" s="123"/>
      <c r="J276" s="123"/>
      <c r="K276" s="123"/>
      <c r="L276" s="123"/>
      <c r="M276" s="123"/>
      <c r="N276" s="123"/>
    </row>
    <row r="277" spans="1:14" ht="19.5" customHeight="1">
      <c r="B277" s="122"/>
      <c r="C277" s="122"/>
      <c r="D277" s="122"/>
      <c r="E277" s="122"/>
      <c r="F277" s="122"/>
      <c r="G277" s="123"/>
      <c r="H277" s="124"/>
      <c r="I277" s="123"/>
      <c r="J277" s="123"/>
      <c r="K277" s="123"/>
      <c r="L277" s="123"/>
      <c r="M277" s="123"/>
      <c r="N277" s="123"/>
    </row>
    <row r="278" spans="1:14" s="70" customFormat="1" ht="19.5" customHeight="1">
      <c r="A278" s="94"/>
      <c r="B278" s="130"/>
      <c r="C278" s="130"/>
      <c r="D278" s="130"/>
      <c r="E278" s="130"/>
      <c r="F278" s="130"/>
      <c r="G278" s="123"/>
      <c r="H278" s="124"/>
      <c r="I278" s="123"/>
      <c r="J278" s="123"/>
      <c r="K278" s="123"/>
      <c r="L278" s="123"/>
      <c r="M278" s="123"/>
      <c r="N278" s="123"/>
    </row>
    <row r="279" spans="1:14" ht="19.5" customHeight="1">
      <c r="B279" s="130"/>
      <c r="C279" s="130"/>
      <c r="D279" s="130"/>
      <c r="E279" s="130"/>
      <c r="F279" s="130"/>
    </row>
    <row r="280" spans="1:14" ht="19.5" customHeight="1">
      <c r="B280" s="131"/>
      <c r="C280" s="131"/>
      <c r="D280" s="131"/>
      <c r="E280" s="131"/>
      <c r="F280" s="131"/>
    </row>
    <row r="281" spans="1:14" ht="19.5" customHeight="1"/>
    <row r="282" spans="1:14" ht="19.5" customHeight="1"/>
    <row r="283" spans="1:14" ht="19.5" customHeight="1"/>
    <row r="284" spans="1:14" ht="19.5" customHeight="1"/>
    <row r="285" spans="1:14" ht="19.5" customHeight="1"/>
    <row r="286" spans="1:14" ht="19.5" customHeight="1"/>
    <row r="287" spans="1:14" ht="19.5" customHeight="1"/>
    <row r="288" spans="1:14" ht="19.5" customHeight="1"/>
    <row r="289" ht="19.5" customHeight="1"/>
    <row r="290" ht="19.5" customHeight="1"/>
    <row r="291" ht="19.5" customHeight="1"/>
    <row r="292" ht="19.5" customHeight="1"/>
    <row r="293" ht="19.5" customHeight="1"/>
    <row r="294" ht="19.5" customHeight="1"/>
    <row r="295" ht="19.5" customHeight="1"/>
    <row r="296" ht="19.5" customHeight="1"/>
    <row r="297" ht="19.5" customHeight="1"/>
    <row r="298" ht="19.5" customHeight="1"/>
    <row r="299" ht="19.5" customHeight="1"/>
    <row r="300" ht="19.5" customHeight="1"/>
    <row r="301" ht="19.5" customHeight="1"/>
    <row r="302" ht="19.5" customHeight="1"/>
    <row r="303" ht="19.5" customHeight="1"/>
    <row r="304" ht="19.5" customHeight="1"/>
    <row r="305" ht="19.5" customHeight="1"/>
    <row r="306" ht="19.5" customHeight="1"/>
    <row r="307" ht="19.5" customHeight="1"/>
    <row r="308" ht="19.5" customHeight="1"/>
    <row r="309" ht="19.5" customHeight="1"/>
    <row r="310" ht="19.5" customHeight="1"/>
    <row r="311" ht="19.5" customHeight="1"/>
    <row r="312" ht="19.5" customHeight="1"/>
    <row r="313" ht="19.5" customHeight="1"/>
    <row r="314" ht="19.5" customHeight="1"/>
    <row r="315" ht="19.5" customHeight="1"/>
    <row r="316" ht="19.5" customHeight="1"/>
    <row r="317" ht="19.5" customHeight="1"/>
    <row r="318" ht="19.5" customHeight="1"/>
    <row r="319" ht="19.5" customHeight="1"/>
    <row r="320" ht="13.8"/>
    <row r="321" ht="13.8"/>
    <row r="322" ht="13.8"/>
    <row r="323" ht="13.8"/>
    <row r="324" ht="13.8"/>
    <row r="325" ht="13.8"/>
    <row r="326" ht="13.8"/>
  </sheetData>
  <mergeCells count="3">
    <mergeCell ref="O2:V2"/>
    <mergeCell ref="O84:V84"/>
    <mergeCell ref="O166:V16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AB48"/>
  <sheetViews>
    <sheetView showGridLines="0" zoomScale="80" zoomScaleNormal="80" workbookViewId="0">
      <pane xSplit="9" ySplit="24" topLeftCell="J25" activePane="bottomRight" state="frozen"/>
      <selection pane="topRight" activeCell="J1" sqref="J1"/>
      <selection pane="bottomLeft" activeCell="A25" sqref="A25"/>
      <selection pane="bottomRight" activeCell="F33" sqref="F33"/>
    </sheetView>
  </sheetViews>
  <sheetFormatPr defaultColWidth="8.71875" defaultRowHeight="12.3"/>
  <cols>
    <col min="1" max="10" width="8.71875" style="7"/>
    <col min="11" max="11" width="20" style="7" customWidth="1"/>
    <col min="12" max="12" width="6.71875" style="7" customWidth="1"/>
    <col min="13" max="13" width="8.71875" style="70"/>
    <col min="14" max="15" width="3" style="70" customWidth="1"/>
    <col min="16" max="16" width="4" style="7" customWidth="1"/>
    <col min="17" max="17" width="16.88671875" style="7" customWidth="1"/>
    <col min="18" max="16384" width="8.71875" style="7"/>
  </cols>
  <sheetData>
    <row r="1" spans="11:28">
      <c r="Q1" s="73" t="s">
        <v>1285</v>
      </c>
    </row>
    <row r="2" spans="11:28">
      <c r="Q2" s="73"/>
      <c r="AA2" s="41" t="s">
        <v>1269</v>
      </c>
      <c r="AB2" s="7">
        <f>Max</f>
        <v>783</v>
      </c>
    </row>
    <row r="3" spans="11:28">
      <c r="K3" s="70" t="str">
        <f>'History and Forecast'!I10</f>
        <v>Coal, Australia</v>
      </c>
      <c r="L3" s="72" t="b">
        <v>0</v>
      </c>
      <c r="M3" s="70">
        <f>L3*1</f>
        <v>0</v>
      </c>
      <c r="O3" s="72">
        <v>1</v>
      </c>
      <c r="P3" s="70">
        <f>MATCH(O3,$M$3:$M$48,0)</f>
        <v>2</v>
      </c>
      <c r="Q3" s="73" t="str">
        <f>INDEX($K$3:$K$48,P3)</f>
        <v>Crude oil, avg</v>
      </c>
      <c r="AA3" s="41" t="s">
        <v>1270</v>
      </c>
      <c r="AB3" s="7">
        <f>C31</f>
        <v>130</v>
      </c>
    </row>
    <row r="4" spans="11:28">
      <c r="K4" s="70" t="str">
        <f>'History and Forecast'!I11</f>
        <v>Crude oil, avg</v>
      </c>
      <c r="L4" s="72" t="b">
        <v>1</v>
      </c>
      <c r="M4" s="70">
        <f>M3+L4</f>
        <v>1</v>
      </c>
      <c r="O4" s="72">
        <v>2</v>
      </c>
      <c r="P4" s="70">
        <f t="shared" ref="P4:P48" si="0">MATCH(O4,$M$3:$M$48,0)</f>
        <v>12</v>
      </c>
      <c r="Q4" s="73" t="str">
        <f t="shared" ref="Q4:Q48" si="1">INDEX($K$3:$K$48,P4)</f>
        <v>Palm oil</v>
      </c>
      <c r="AA4" s="41" t="s">
        <v>1271</v>
      </c>
      <c r="AB4" s="71" t="b">
        <v>1</v>
      </c>
    </row>
    <row r="5" spans="11:28">
      <c r="K5" s="70" t="str">
        <f>'History and Forecast'!I12</f>
        <v>Natural gas, Europe</v>
      </c>
      <c r="L5" s="72" t="b">
        <v>0</v>
      </c>
      <c r="M5" s="70">
        <f t="shared" ref="M5:M48" si="2">M4+L5</f>
        <v>1</v>
      </c>
      <c r="O5" s="72">
        <v>3</v>
      </c>
      <c r="P5" s="70" t="e">
        <f t="shared" si="0"/>
        <v>#N/A</v>
      </c>
      <c r="Q5" s="73" t="e">
        <f t="shared" si="1"/>
        <v>#N/A</v>
      </c>
      <c r="AA5" s="41" t="s">
        <v>1272</v>
      </c>
      <c r="AB5" s="7">
        <f>IF(AB4,AB3,AB2)</f>
        <v>130</v>
      </c>
    </row>
    <row r="6" spans="11:28">
      <c r="K6" s="70" t="str">
        <f>'History and Forecast'!I13</f>
        <v>Natural gas, US</v>
      </c>
      <c r="L6" s="72" t="b">
        <v>0</v>
      </c>
      <c r="M6" s="70">
        <f t="shared" si="2"/>
        <v>1</v>
      </c>
      <c r="O6" s="72">
        <v>4</v>
      </c>
      <c r="P6" s="70" t="e">
        <f t="shared" si="0"/>
        <v>#N/A</v>
      </c>
      <c r="Q6" s="73" t="e">
        <f t="shared" si="1"/>
        <v>#N/A</v>
      </c>
    </row>
    <row r="7" spans="11:28">
      <c r="K7" s="70" t="str">
        <f>'History and Forecast'!I14</f>
        <v>Natural gas LNG, Japan</v>
      </c>
      <c r="L7" s="72" t="b">
        <v>0</v>
      </c>
      <c r="M7" s="70">
        <f t="shared" si="2"/>
        <v>1</v>
      </c>
      <c r="O7" s="72">
        <v>5</v>
      </c>
      <c r="P7" s="70" t="e">
        <f t="shared" si="0"/>
        <v>#N/A</v>
      </c>
      <c r="Q7" s="73" t="e">
        <f t="shared" si="1"/>
        <v>#N/A</v>
      </c>
    </row>
    <row r="8" spans="11:28">
      <c r="K8" s="70" t="str">
        <f>'History and Forecast'!I15</f>
        <v>Cocoa</v>
      </c>
      <c r="L8" s="72" t="b">
        <v>0</v>
      </c>
      <c r="M8" s="70">
        <f t="shared" si="2"/>
        <v>1</v>
      </c>
      <c r="O8" s="72">
        <v>6</v>
      </c>
      <c r="P8" s="70" t="e">
        <f t="shared" si="0"/>
        <v>#N/A</v>
      </c>
      <c r="Q8" s="73" t="e">
        <f t="shared" si="1"/>
        <v>#N/A</v>
      </c>
    </row>
    <row r="9" spans="11:28">
      <c r="K9" s="70" t="str">
        <f>'History and Forecast'!I16</f>
        <v>Coffee, Arabica</v>
      </c>
      <c r="L9" s="72" t="b">
        <v>0</v>
      </c>
      <c r="M9" s="70">
        <f t="shared" si="2"/>
        <v>1</v>
      </c>
      <c r="O9" s="72">
        <v>7</v>
      </c>
      <c r="P9" s="70" t="e">
        <f t="shared" si="0"/>
        <v>#N/A</v>
      </c>
      <c r="Q9" s="73" t="e">
        <f t="shared" si="1"/>
        <v>#N/A</v>
      </c>
    </row>
    <row r="10" spans="11:28">
      <c r="K10" s="70" t="str">
        <f>'History and Forecast'!I17</f>
        <v>Coffee, Robusta</v>
      </c>
      <c r="L10" s="72" t="b">
        <v>0</v>
      </c>
      <c r="M10" s="70">
        <f t="shared" si="2"/>
        <v>1</v>
      </c>
      <c r="O10" s="72">
        <v>8</v>
      </c>
      <c r="P10" s="70" t="e">
        <f t="shared" si="0"/>
        <v>#N/A</v>
      </c>
      <c r="Q10" s="73" t="e">
        <f t="shared" si="1"/>
        <v>#N/A</v>
      </c>
    </row>
    <row r="11" spans="11:28">
      <c r="K11" s="70" t="str">
        <f>'History and Forecast'!I18</f>
        <v>Tea, auctions (3), average</v>
      </c>
      <c r="L11" s="72" t="b">
        <v>0</v>
      </c>
      <c r="M11" s="70">
        <f t="shared" si="2"/>
        <v>1</v>
      </c>
      <c r="O11" s="72">
        <v>9</v>
      </c>
      <c r="P11" s="70" t="e">
        <f t="shared" si="0"/>
        <v>#N/A</v>
      </c>
      <c r="Q11" s="73" t="e">
        <f t="shared" si="1"/>
        <v>#N/A</v>
      </c>
    </row>
    <row r="12" spans="11:28">
      <c r="K12" s="70" t="str">
        <f>'History and Forecast'!I19</f>
        <v>Coconut oil</v>
      </c>
      <c r="L12" s="72" t="b">
        <v>0</v>
      </c>
      <c r="M12" s="70">
        <f t="shared" si="2"/>
        <v>1</v>
      </c>
      <c r="O12" s="72">
        <v>10</v>
      </c>
      <c r="P12" s="70" t="e">
        <f t="shared" si="0"/>
        <v>#N/A</v>
      </c>
      <c r="Q12" s="73" t="e">
        <f t="shared" si="1"/>
        <v>#N/A</v>
      </c>
    </row>
    <row r="13" spans="11:28">
      <c r="K13" s="70" t="str">
        <f>'History and Forecast'!I20</f>
        <v>Groundnut oil</v>
      </c>
      <c r="L13" s="72" t="b">
        <v>0</v>
      </c>
      <c r="M13" s="70">
        <f t="shared" si="2"/>
        <v>1</v>
      </c>
      <c r="O13" s="72">
        <v>11</v>
      </c>
      <c r="P13" s="70" t="e">
        <f t="shared" si="0"/>
        <v>#N/A</v>
      </c>
      <c r="Q13" s="73" t="e">
        <f t="shared" si="1"/>
        <v>#N/A</v>
      </c>
    </row>
    <row r="14" spans="11:28">
      <c r="K14" s="70" t="str">
        <f>'History and Forecast'!I21</f>
        <v>Palm oil</v>
      </c>
      <c r="L14" s="72" t="b">
        <v>1</v>
      </c>
      <c r="M14" s="70">
        <f t="shared" si="2"/>
        <v>2</v>
      </c>
      <c r="O14" s="72">
        <v>12</v>
      </c>
      <c r="P14" s="70" t="e">
        <f t="shared" si="0"/>
        <v>#N/A</v>
      </c>
      <c r="Q14" s="73" t="e">
        <f t="shared" si="1"/>
        <v>#N/A</v>
      </c>
    </row>
    <row r="15" spans="11:28">
      <c r="K15" s="70" t="str">
        <f>'History and Forecast'!I22</f>
        <v>Soybean meal</v>
      </c>
      <c r="L15" s="72" t="b">
        <v>0</v>
      </c>
      <c r="M15" s="70">
        <f t="shared" si="2"/>
        <v>2</v>
      </c>
      <c r="O15" s="72">
        <v>13</v>
      </c>
      <c r="P15" s="70" t="e">
        <f t="shared" si="0"/>
        <v>#N/A</v>
      </c>
      <c r="Q15" s="73" t="e">
        <f t="shared" si="1"/>
        <v>#N/A</v>
      </c>
    </row>
    <row r="16" spans="11:28">
      <c r="K16" s="70" t="str">
        <f>'History and Forecast'!I23</f>
        <v>Soybean oil</v>
      </c>
      <c r="L16" s="72" t="b">
        <v>0</v>
      </c>
      <c r="M16" s="70">
        <f t="shared" si="2"/>
        <v>2</v>
      </c>
      <c r="O16" s="72">
        <v>14</v>
      </c>
      <c r="P16" s="70" t="e">
        <f t="shared" si="0"/>
        <v>#N/A</v>
      </c>
      <c r="Q16" s="73" t="e">
        <f t="shared" si="1"/>
        <v>#N/A</v>
      </c>
    </row>
    <row r="17" spans="1:17">
      <c r="K17" s="70" t="str">
        <f>'History and Forecast'!I24</f>
        <v>Soybeans</v>
      </c>
      <c r="L17" s="72" t="b">
        <v>0</v>
      </c>
      <c r="M17" s="70">
        <f t="shared" si="2"/>
        <v>2</v>
      </c>
      <c r="O17" s="72">
        <v>15</v>
      </c>
      <c r="P17" s="70" t="e">
        <f t="shared" si="0"/>
        <v>#N/A</v>
      </c>
      <c r="Q17" s="73" t="e">
        <f t="shared" si="1"/>
        <v>#N/A</v>
      </c>
    </row>
    <row r="18" spans="1:17">
      <c r="K18" s="70" t="str">
        <f>'History and Forecast'!I25</f>
        <v>Barley</v>
      </c>
      <c r="L18" s="72" t="b">
        <v>0</v>
      </c>
      <c r="M18" s="70">
        <f t="shared" si="2"/>
        <v>2</v>
      </c>
      <c r="O18" s="72">
        <v>16</v>
      </c>
      <c r="P18" s="70" t="e">
        <f t="shared" si="0"/>
        <v>#N/A</v>
      </c>
      <c r="Q18" s="73" t="e">
        <f t="shared" si="1"/>
        <v>#N/A</v>
      </c>
    </row>
    <row r="19" spans="1:17">
      <c r="K19" s="70" t="str">
        <f>'History and Forecast'!I26</f>
        <v>Maize</v>
      </c>
      <c r="L19" s="72" t="b">
        <v>0</v>
      </c>
      <c r="M19" s="70">
        <f t="shared" si="2"/>
        <v>2</v>
      </c>
      <c r="O19" s="72">
        <v>17</v>
      </c>
      <c r="P19" s="70" t="e">
        <f t="shared" si="0"/>
        <v>#N/A</v>
      </c>
      <c r="Q19" s="73" t="e">
        <f t="shared" si="1"/>
        <v>#N/A</v>
      </c>
    </row>
    <row r="20" spans="1:17">
      <c r="K20" s="70" t="str">
        <f>'History and Forecast'!I27</f>
        <v>Rice, Thailand, 5%</v>
      </c>
      <c r="L20" s="72" t="b">
        <v>0</v>
      </c>
      <c r="M20" s="70">
        <f t="shared" si="2"/>
        <v>2</v>
      </c>
      <c r="O20" s="72">
        <v>18</v>
      </c>
      <c r="P20" s="70" t="e">
        <f t="shared" si="0"/>
        <v>#N/A</v>
      </c>
      <c r="Q20" s="73" t="e">
        <f t="shared" si="1"/>
        <v>#N/A</v>
      </c>
    </row>
    <row r="21" spans="1:17">
      <c r="K21" s="70" t="str">
        <f>'History and Forecast'!I28</f>
        <v>Wheat, US, HRW</v>
      </c>
      <c r="L21" s="72" t="b">
        <v>0</v>
      </c>
      <c r="M21" s="70">
        <f t="shared" si="2"/>
        <v>2</v>
      </c>
      <c r="O21" s="72">
        <v>19</v>
      </c>
      <c r="P21" s="70" t="e">
        <f t="shared" si="0"/>
        <v>#N/A</v>
      </c>
      <c r="Q21" s="73" t="e">
        <f t="shared" si="1"/>
        <v>#N/A</v>
      </c>
    </row>
    <row r="22" spans="1:17">
      <c r="K22" s="70" t="str">
        <f>'History and Forecast'!I29</f>
        <v>Bananas, US</v>
      </c>
      <c r="L22" s="72" t="b">
        <v>0</v>
      </c>
      <c r="M22" s="70">
        <f t="shared" si="2"/>
        <v>2</v>
      </c>
      <c r="O22" s="72">
        <v>20</v>
      </c>
      <c r="P22" s="70" t="e">
        <f t="shared" si="0"/>
        <v>#N/A</v>
      </c>
      <c r="Q22" s="73" t="e">
        <f t="shared" si="1"/>
        <v>#N/A</v>
      </c>
    </row>
    <row r="23" spans="1:17">
      <c r="K23" s="70" t="str">
        <f>'History and Forecast'!I30</f>
        <v>Meat, beef</v>
      </c>
      <c r="L23" s="72" t="b">
        <v>0</v>
      </c>
      <c r="M23" s="70">
        <f t="shared" si="2"/>
        <v>2</v>
      </c>
      <c r="O23" s="72">
        <v>21</v>
      </c>
      <c r="P23" s="70" t="e">
        <f t="shared" si="0"/>
        <v>#N/A</v>
      </c>
      <c r="Q23" s="73" t="e">
        <f t="shared" si="1"/>
        <v>#N/A</v>
      </c>
    </row>
    <row r="24" spans="1:17">
      <c r="K24" s="70" t="str">
        <f>'History and Forecast'!I31</f>
        <v>Meat, chicken</v>
      </c>
      <c r="L24" s="72" t="b">
        <v>0</v>
      </c>
      <c r="M24" s="70">
        <f t="shared" si="2"/>
        <v>2</v>
      </c>
      <c r="O24" s="72">
        <v>22</v>
      </c>
      <c r="P24" s="70" t="e">
        <f t="shared" si="0"/>
        <v>#N/A</v>
      </c>
      <c r="Q24" s="73" t="e">
        <f t="shared" si="1"/>
        <v>#N/A</v>
      </c>
    </row>
    <row r="25" spans="1:17">
      <c r="K25" s="70" t="str">
        <f>'History and Forecast'!I32</f>
        <v>Oranges</v>
      </c>
      <c r="L25" s="72" t="b">
        <v>0</v>
      </c>
      <c r="M25" s="70">
        <f t="shared" si="2"/>
        <v>2</v>
      </c>
      <c r="O25" s="72">
        <v>23</v>
      </c>
      <c r="P25" s="70" t="e">
        <f t="shared" si="0"/>
        <v>#N/A</v>
      </c>
      <c r="Q25" s="73" t="e">
        <f t="shared" si="1"/>
        <v>#N/A</v>
      </c>
    </row>
    <row r="26" spans="1:17">
      <c r="K26" s="70" t="str">
        <f>'History and Forecast'!I33</f>
        <v>Shrimp, Mexico</v>
      </c>
      <c r="L26" s="72" t="b">
        <v>0</v>
      </c>
      <c r="M26" s="70">
        <f t="shared" si="2"/>
        <v>2</v>
      </c>
      <c r="O26" s="72">
        <v>24</v>
      </c>
      <c r="P26" s="70" t="e">
        <f t="shared" si="0"/>
        <v>#N/A</v>
      </c>
      <c r="Q26" s="73" t="e">
        <f t="shared" si="1"/>
        <v>#N/A</v>
      </c>
    </row>
    <row r="27" spans="1:17">
      <c r="K27" s="70" t="str">
        <f>'History and Forecast'!I34</f>
        <v>Sugar, World</v>
      </c>
      <c r="L27" s="72" t="b">
        <v>0</v>
      </c>
      <c r="M27" s="70">
        <f t="shared" si="2"/>
        <v>2</v>
      </c>
      <c r="O27" s="72">
        <v>25</v>
      </c>
      <c r="P27" s="70" t="e">
        <f t="shared" si="0"/>
        <v>#N/A</v>
      </c>
      <c r="Q27" s="73" t="e">
        <f t="shared" si="1"/>
        <v>#N/A</v>
      </c>
    </row>
    <row r="28" spans="1:17">
      <c r="A28" s="7" t="s">
        <v>1275</v>
      </c>
      <c r="C28" s="7">
        <f>'History and Forecast'!C3</f>
        <v>2027</v>
      </c>
      <c r="K28" s="70" t="str">
        <f>'History and Forecast'!I35</f>
        <v>Logs, Cameroon</v>
      </c>
      <c r="L28" s="72" t="b">
        <v>0</v>
      </c>
      <c r="M28" s="70">
        <f t="shared" si="2"/>
        <v>2</v>
      </c>
      <c r="O28" s="72">
        <v>26</v>
      </c>
      <c r="P28" s="70" t="e">
        <f t="shared" si="0"/>
        <v>#N/A</v>
      </c>
      <c r="Q28" s="73" t="e">
        <f t="shared" si="1"/>
        <v>#N/A</v>
      </c>
    </row>
    <row r="29" spans="1:17">
      <c r="A29" s="7" t="s">
        <v>1268</v>
      </c>
      <c r="C29" s="7">
        <f>'History and Forecast'!C2</f>
        <v>1996</v>
      </c>
      <c r="K29" s="70" t="str">
        <f>'History and Forecast'!I36</f>
        <v>Logs, Malaysia</v>
      </c>
      <c r="L29" s="72" t="b">
        <v>0</v>
      </c>
      <c r="M29" s="70">
        <f t="shared" si="2"/>
        <v>2</v>
      </c>
      <c r="O29" s="72">
        <v>27</v>
      </c>
      <c r="P29" s="70" t="e">
        <f t="shared" si="0"/>
        <v>#N/A</v>
      </c>
      <c r="Q29" s="73" t="e">
        <f t="shared" si="1"/>
        <v>#N/A</v>
      </c>
    </row>
    <row r="30" spans="1:17">
      <c r="K30" s="70" t="str">
        <f>'History and Forecast'!I37</f>
        <v>Sawnwood, Malaysia</v>
      </c>
      <c r="L30" s="72" t="b">
        <v>0</v>
      </c>
      <c r="M30" s="70">
        <f t="shared" si="2"/>
        <v>2</v>
      </c>
      <c r="O30" s="72">
        <v>28</v>
      </c>
      <c r="P30" s="70" t="e">
        <f t="shared" si="0"/>
        <v>#N/A</v>
      </c>
      <c r="Q30" s="73" t="e">
        <f t="shared" si="1"/>
        <v>#N/A</v>
      </c>
    </row>
    <row r="31" spans="1:17">
      <c r="B31" s="41" t="s">
        <v>1274</v>
      </c>
      <c r="C31" s="71">
        <v>130</v>
      </c>
      <c r="K31" s="70" t="str">
        <f>'History and Forecast'!I38</f>
        <v>Cotton A Index</v>
      </c>
      <c r="L31" s="72" t="b">
        <v>0</v>
      </c>
      <c r="M31" s="70">
        <f t="shared" si="2"/>
        <v>2</v>
      </c>
      <c r="O31" s="72">
        <v>29</v>
      </c>
      <c r="P31" s="70" t="e">
        <f t="shared" si="0"/>
        <v>#N/A</v>
      </c>
      <c r="Q31" s="73" t="e">
        <f t="shared" si="1"/>
        <v>#N/A</v>
      </c>
    </row>
    <row r="32" spans="1:17">
      <c r="B32" s="41" t="s">
        <v>1273</v>
      </c>
      <c r="C32" s="7">
        <f>AB2</f>
        <v>783</v>
      </c>
      <c r="K32" s="70" t="str">
        <f>'History and Forecast'!I39</f>
        <v>Rubber, Malaysian</v>
      </c>
      <c r="L32" s="72" t="b">
        <v>0</v>
      </c>
      <c r="M32" s="70">
        <f t="shared" si="2"/>
        <v>2</v>
      </c>
      <c r="O32" s="72">
        <v>30</v>
      </c>
      <c r="P32" s="70" t="e">
        <f t="shared" si="0"/>
        <v>#N/A</v>
      </c>
      <c r="Q32" s="73" t="e">
        <f t="shared" si="1"/>
        <v>#N/A</v>
      </c>
    </row>
    <row r="33" spans="1:17">
      <c r="K33" s="70" t="str">
        <f>'History and Forecast'!I40</f>
        <v>Tobacco</v>
      </c>
      <c r="L33" s="72" t="b">
        <v>0</v>
      </c>
      <c r="M33" s="70">
        <f t="shared" si="2"/>
        <v>2</v>
      </c>
      <c r="O33" s="72">
        <v>31</v>
      </c>
      <c r="P33" s="70" t="e">
        <f t="shared" si="0"/>
        <v>#N/A</v>
      </c>
      <c r="Q33" s="73" t="e">
        <f t="shared" si="1"/>
        <v>#N/A</v>
      </c>
    </row>
    <row r="34" spans="1:17">
      <c r="K34" s="70" t="str">
        <f>'History and Forecast'!I41</f>
        <v>DAP</v>
      </c>
      <c r="L34" s="72" t="b">
        <v>0</v>
      </c>
      <c r="M34" s="70">
        <f t="shared" si="2"/>
        <v>2</v>
      </c>
      <c r="O34" s="72">
        <v>32</v>
      </c>
      <c r="P34" s="70" t="e">
        <f t="shared" si="0"/>
        <v>#N/A</v>
      </c>
      <c r="Q34" s="73" t="e">
        <f t="shared" si="1"/>
        <v>#N/A</v>
      </c>
    </row>
    <row r="35" spans="1:17">
      <c r="A35" s="7" t="s">
        <v>1276</v>
      </c>
      <c r="C35" s="7">
        <f>'History and Forecast'!C4</f>
        <v>2019</v>
      </c>
      <c r="K35" s="70" t="str">
        <f>'History and Forecast'!I42</f>
        <v>Phosphate rock</v>
      </c>
      <c r="L35" s="72" t="b">
        <v>0</v>
      </c>
      <c r="M35" s="70">
        <f t="shared" si="2"/>
        <v>2</v>
      </c>
      <c r="O35" s="72">
        <v>33</v>
      </c>
      <c r="P35" s="70" t="e">
        <f t="shared" si="0"/>
        <v>#N/A</v>
      </c>
      <c r="Q35" s="73" t="e">
        <f t="shared" si="1"/>
        <v>#N/A</v>
      </c>
    </row>
    <row r="36" spans="1:17">
      <c r="K36" s="70" t="str">
        <f>'History and Forecast'!I43</f>
        <v>Potassium chloride</v>
      </c>
      <c r="L36" s="72" t="b">
        <v>0</v>
      </c>
      <c r="M36" s="70">
        <f t="shared" si="2"/>
        <v>2</v>
      </c>
      <c r="O36" s="72">
        <v>34</v>
      </c>
      <c r="P36" s="70" t="e">
        <f t="shared" si="0"/>
        <v>#N/A</v>
      </c>
      <c r="Q36" s="73" t="e">
        <f t="shared" si="1"/>
        <v>#N/A</v>
      </c>
    </row>
    <row r="37" spans="1:17">
      <c r="K37" s="70" t="str">
        <f>'History and Forecast'!I44</f>
        <v>TSP</v>
      </c>
      <c r="L37" s="72" t="b">
        <v>0</v>
      </c>
      <c r="M37" s="70">
        <f t="shared" si="2"/>
        <v>2</v>
      </c>
      <c r="O37" s="72">
        <v>35</v>
      </c>
      <c r="P37" s="70" t="e">
        <f t="shared" si="0"/>
        <v>#N/A</v>
      </c>
      <c r="Q37" s="73" t="e">
        <f t="shared" si="1"/>
        <v>#N/A</v>
      </c>
    </row>
    <row r="38" spans="1:17">
      <c r="K38" s="70" t="str">
        <f>'History and Forecast'!I45</f>
        <v>Urea, E. Europe, bulk</v>
      </c>
      <c r="L38" s="72" t="b">
        <v>0</v>
      </c>
      <c r="M38" s="70">
        <f t="shared" si="2"/>
        <v>2</v>
      </c>
      <c r="O38" s="72">
        <v>36</v>
      </c>
      <c r="P38" s="70" t="e">
        <f t="shared" si="0"/>
        <v>#N/A</v>
      </c>
      <c r="Q38" s="73" t="e">
        <f t="shared" si="1"/>
        <v>#N/A</v>
      </c>
    </row>
    <row r="39" spans="1:17">
      <c r="K39" s="70" t="str">
        <f>'History and Forecast'!I46</f>
        <v xml:space="preserve">Aluminum </v>
      </c>
      <c r="L39" s="72" t="b">
        <v>0</v>
      </c>
      <c r="M39" s="70">
        <f t="shared" si="2"/>
        <v>2</v>
      </c>
      <c r="O39" s="72">
        <v>37</v>
      </c>
      <c r="P39" s="70" t="e">
        <f t="shared" si="0"/>
        <v>#N/A</v>
      </c>
      <c r="Q39" s="73" t="e">
        <f t="shared" si="1"/>
        <v>#N/A</v>
      </c>
    </row>
    <row r="40" spans="1:17">
      <c r="K40" s="70" t="str">
        <f>'History and Forecast'!I47</f>
        <v>Copper</v>
      </c>
      <c r="L40" s="72" t="b">
        <v>0</v>
      </c>
      <c r="M40" s="70">
        <f t="shared" si="2"/>
        <v>2</v>
      </c>
      <c r="O40" s="72">
        <v>38</v>
      </c>
      <c r="P40" s="70" t="e">
        <f t="shared" si="0"/>
        <v>#N/A</v>
      </c>
      <c r="Q40" s="73" t="e">
        <f t="shared" si="1"/>
        <v>#N/A</v>
      </c>
    </row>
    <row r="41" spans="1:17">
      <c r="K41" s="70" t="str">
        <f>'History and Forecast'!I48</f>
        <v>Iron ore</v>
      </c>
      <c r="L41" s="72" t="b">
        <v>0</v>
      </c>
      <c r="M41" s="70">
        <f t="shared" si="2"/>
        <v>2</v>
      </c>
      <c r="O41" s="72">
        <v>39</v>
      </c>
      <c r="P41" s="70" t="e">
        <f t="shared" si="0"/>
        <v>#N/A</v>
      </c>
      <c r="Q41" s="73" t="e">
        <f t="shared" si="1"/>
        <v>#N/A</v>
      </c>
    </row>
    <row r="42" spans="1:17">
      <c r="K42" s="70" t="str">
        <f>'History and Forecast'!I49</f>
        <v>Lead</v>
      </c>
      <c r="L42" s="72" t="b">
        <v>0</v>
      </c>
      <c r="M42" s="70">
        <f t="shared" si="2"/>
        <v>2</v>
      </c>
      <c r="O42" s="72">
        <v>40</v>
      </c>
      <c r="P42" s="70" t="e">
        <f t="shared" si="0"/>
        <v>#N/A</v>
      </c>
      <c r="Q42" s="73" t="e">
        <f t="shared" si="1"/>
        <v>#N/A</v>
      </c>
    </row>
    <row r="43" spans="1:17">
      <c r="K43" s="70" t="str">
        <f>'History and Forecast'!I50</f>
        <v>Nickel</v>
      </c>
      <c r="L43" s="72" t="b">
        <v>0</v>
      </c>
      <c r="M43" s="70">
        <f t="shared" si="2"/>
        <v>2</v>
      </c>
      <c r="O43" s="72">
        <v>41</v>
      </c>
      <c r="P43" s="70" t="e">
        <f t="shared" si="0"/>
        <v>#N/A</v>
      </c>
      <c r="Q43" s="73" t="e">
        <f t="shared" si="1"/>
        <v>#N/A</v>
      </c>
    </row>
    <row r="44" spans="1:17">
      <c r="K44" s="70" t="str">
        <f>'History and Forecast'!I51</f>
        <v>Tin</v>
      </c>
      <c r="L44" s="72" t="b">
        <v>0</v>
      </c>
      <c r="M44" s="70">
        <f t="shared" si="2"/>
        <v>2</v>
      </c>
      <c r="O44" s="72">
        <v>42</v>
      </c>
      <c r="P44" s="70" t="e">
        <f t="shared" si="0"/>
        <v>#N/A</v>
      </c>
      <c r="Q44" s="73" t="e">
        <f t="shared" si="1"/>
        <v>#N/A</v>
      </c>
    </row>
    <row r="45" spans="1:17">
      <c r="K45" s="70" t="str">
        <f>'History and Forecast'!I52</f>
        <v>Zinc</v>
      </c>
      <c r="L45" s="72" t="b">
        <v>0</v>
      </c>
      <c r="M45" s="70">
        <f t="shared" si="2"/>
        <v>2</v>
      </c>
      <c r="O45" s="72">
        <v>43</v>
      </c>
      <c r="P45" s="70" t="e">
        <f t="shared" si="0"/>
        <v>#N/A</v>
      </c>
      <c r="Q45" s="73" t="e">
        <f t="shared" si="1"/>
        <v>#N/A</v>
      </c>
    </row>
    <row r="46" spans="1:17">
      <c r="K46" s="70" t="str">
        <f>'History and Forecast'!I53</f>
        <v>Gold</v>
      </c>
      <c r="L46" s="72" t="b">
        <v>0</v>
      </c>
      <c r="M46" s="70">
        <f t="shared" si="2"/>
        <v>2</v>
      </c>
      <c r="O46" s="72">
        <v>44</v>
      </c>
      <c r="P46" s="70" t="e">
        <f t="shared" si="0"/>
        <v>#N/A</v>
      </c>
      <c r="Q46" s="73" t="e">
        <f t="shared" si="1"/>
        <v>#N/A</v>
      </c>
    </row>
    <row r="47" spans="1:17">
      <c r="K47" s="70" t="str">
        <f>'History and Forecast'!I54</f>
        <v>Silver</v>
      </c>
      <c r="L47" s="72" t="b">
        <v>0</v>
      </c>
      <c r="M47" s="70">
        <f t="shared" si="2"/>
        <v>2</v>
      </c>
      <c r="O47" s="72">
        <v>45</v>
      </c>
      <c r="P47" s="70" t="e">
        <f t="shared" si="0"/>
        <v>#N/A</v>
      </c>
      <c r="Q47" s="73" t="e">
        <f t="shared" si="1"/>
        <v>#N/A</v>
      </c>
    </row>
    <row r="48" spans="1:17">
      <c r="K48" s="70" t="str">
        <f>'History and Forecast'!I55</f>
        <v>Platinum</v>
      </c>
      <c r="L48" s="72" t="b">
        <v>0</v>
      </c>
      <c r="M48" s="70">
        <f t="shared" si="2"/>
        <v>2</v>
      </c>
      <c r="O48" s="72">
        <v>46</v>
      </c>
      <c r="P48" s="70" t="e">
        <f t="shared" si="0"/>
        <v>#N/A</v>
      </c>
      <c r="Q48" s="73" t="e">
        <f t="shared" si="1"/>
        <v>#N/A</v>
      </c>
    </row>
  </sheetData>
  <conditionalFormatting sqref="A1:XFD5 A6:R14 W6:XFD14 A15:XFD1048576">
    <cfRule type="containsText" dxfId="2" priority="1" operator="containsText" text="FALSE">
      <formula>NOT(ISERROR(SEARCH("FALSE",A1)))</formula>
    </cfRule>
    <cfRule type="cellIs" dxfId="1" priority="2" operator="equal">
      <formula>TRUE</formula>
    </cfRule>
  </conditionalFormatting>
  <dataValidations count="1">
    <dataValidation type="list" allowBlank="1" showInputMessage="1" showErrorMessage="1" errorTitle="Error" error="Is it really that hard to read this" promptTitle="True, False" prompt="Enter true of false" sqref="L3:L48" xr:uid="{00000000-0002-0000-0200-000000000000}">
      <formula1>"true,false,TRUE,FALSE"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7285" r:id="rId3" name="Button 5">
              <controlPr defaultSize="0" print="0" autoFill="0" autoPict="0" macro="[0]!Max_scale_sheet">
                <anchor moveWithCells="1" sizeWithCells="1">
                  <from>
                    <xdr:col>0</xdr:col>
                    <xdr:colOff>68580</xdr:colOff>
                    <xdr:row>29</xdr:row>
                    <xdr:rowOff>125730</xdr:rowOff>
                  </from>
                  <to>
                    <xdr:col>1</xdr:col>
                    <xdr:colOff>121920</xdr:colOff>
                    <xdr:row>31</xdr:row>
                    <xdr:rowOff>19050</xdr:rowOff>
                  </to>
                </anchor>
              </controlPr>
            </control>
          </mc:Choice>
        </mc:AlternateContent>
        <mc:AlternateContent xmlns:mc="http://schemas.openxmlformats.org/markup-compatibility/2006">
          <mc:Choice Requires="x14">
            <control shapeId="97286" r:id="rId4" name="Check Box 6">
              <controlPr defaultSize="0" autoFill="0" autoLine="0" autoPict="0" macro="[0]!Max_scale_sheet">
                <anchor moveWithCells="1">
                  <from>
                    <xdr:col>3</xdr:col>
                    <xdr:colOff>87630</xdr:colOff>
                    <xdr:row>30</xdr:row>
                    <xdr:rowOff>7620</xdr:rowOff>
                  </from>
                  <to>
                    <xdr:col>4</xdr:col>
                    <xdr:colOff>297180</xdr:colOff>
                    <xdr:row>31</xdr:row>
                    <xdr:rowOff>7620</xdr:rowOff>
                  </to>
                </anchor>
              </controlPr>
            </control>
          </mc:Choice>
        </mc:AlternateContent>
        <mc:AlternateContent xmlns:mc="http://schemas.openxmlformats.org/markup-compatibility/2006">
          <mc:Choice Requires="x14">
            <control shapeId="97287" r:id="rId5" name="Spinner 7">
              <controlPr defaultSize="0" autoPict="0">
                <anchor moveWithCells="1" sizeWithCells="1">
                  <from>
                    <xdr:col>3</xdr:col>
                    <xdr:colOff>125730</xdr:colOff>
                    <xdr:row>28</xdr:row>
                    <xdr:rowOff>45720</xdr:rowOff>
                  </from>
                  <to>
                    <xdr:col>3</xdr:col>
                    <xdr:colOff>373380</xdr:colOff>
                    <xdr:row>28</xdr:row>
                    <xdr:rowOff>140970</xdr:rowOff>
                  </to>
                </anchor>
              </controlPr>
            </control>
          </mc:Choice>
        </mc:AlternateContent>
        <mc:AlternateContent xmlns:mc="http://schemas.openxmlformats.org/markup-compatibility/2006">
          <mc:Choice Requires="x14">
            <control shapeId="97288" r:id="rId6" name="Spinner 8">
              <controlPr defaultSize="0" autoPict="0" macro="[0]!Max_scale_sheet">
                <anchor moveWithCells="1" sizeWithCells="1">
                  <from>
                    <xdr:col>3</xdr:col>
                    <xdr:colOff>121920</xdr:colOff>
                    <xdr:row>27</xdr:row>
                    <xdr:rowOff>26670</xdr:rowOff>
                  </from>
                  <to>
                    <xdr:col>3</xdr:col>
                    <xdr:colOff>369570</xdr:colOff>
                    <xdr:row>27</xdr:row>
                    <xdr:rowOff>140970</xdr:rowOff>
                  </to>
                </anchor>
              </controlPr>
            </control>
          </mc:Choice>
        </mc:AlternateContent>
        <mc:AlternateContent xmlns:mc="http://schemas.openxmlformats.org/markup-compatibility/2006">
          <mc:Choice Requires="x14">
            <control shapeId="97289" r:id="rId7" name="Spinner 9">
              <controlPr defaultSize="0" autoPict="0" macro="[0]!Max_scale_sheet">
                <anchor moveWithCells="1" sizeWithCells="1">
                  <from>
                    <xdr:col>3</xdr:col>
                    <xdr:colOff>121920</xdr:colOff>
                    <xdr:row>34</xdr:row>
                    <xdr:rowOff>26670</xdr:rowOff>
                  </from>
                  <to>
                    <xdr:col>3</xdr:col>
                    <xdr:colOff>369570</xdr:colOff>
                    <xdr:row>34</xdr:row>
                    <xdr:rowOff>140970</xdr:rowOff>
                  </to>
                </anchor>
              </controlPr>
            </control>
          </mc:Choice>
        </mc:AlternateContent>
        <mc:AlternateContent xmlns:mc="http://schemas.openxmlformats.org/markup-compatibility/2006">
          <mc:Choice Requires="x14">
            <control shapeId="97292" r:id="rId8" name="Button 12">
              <controlPr defaultSize="0" print="0" autoFill="0" autoPict="0" macro="[0]!Button12_Click">
                <anchor moveWithCells="1" sizeWithCells="1">
                  <from>
                    <xdr:col>10</xdr:col>
                    <xdr:colOff>1192530</xdr:colOff>
                    <xdr:row>0</xdr:row>
                    <xdr:rowOff>68580</xdr:rowOff>
                  </from>
                  <to>
                    <xdr:col>12</xdr:col>
                    <xdr:colOff>179070</xdr:colOff>
                    <xdr:row>1</xdr:row>
                    <xdr:rowOff>106680</xdr:rowOff>
                  </to>
                </anchor>
              </controlPr>
            </control>
          </mc:Choice>
        </mc:AlternateContent>
        <mc:AlternateContent xmlns:mc="http://schemas.openxmlformats.org/markup-compatibility/2006">
          <mc:Choice Requires="x14">
            <control shapeId="97295" r:id="rId9" name="Drop Down 15">
              <controlPr defaultSize="0" autoLine="0" autoPict="0" macro="[0]!change_method">
                <anchor moveWithCells="1">
                  <from>
                    <xdr:col>5</xdr:col>
                    <xdr:colOff>293370</xdr:colOff>
                    <xdr:row>28</xdr:row>
                    <xdr:rowOff>7620</xdr:rowOff>
                  </from>
                  <to>
                    <xdr:col>7</xdr:col>
                    <xdr:colOff>400050</xdr:colOff>
                    <xdr:row>29</xdr:row>
                    <xdr:rowOff>49530</xdr:rowOff>
                  </to>
                </anchor>
              </controlPr>
            </control>
          </mc:Choice>
        </mc:AlternateContent>
        <mc:AlternateContent xmlns:mc="http://schemas.openxmlformats.org/markup-compatibility/2006">
          <mc:Choice Requires="x14">
            <control shapeId="97297" r:id="rId10" name="Check Box 17">
              <controlPr defaultSize="0" autoFill="0" autoLine="0" autoPict="0">
                <anchor moveWithCells="1">
                  <from>
                    <xdr:col>10</xdr:col>
                    <xdr:colOff>1192530</xdr:colOff>
                    <xdr:row>2</xdr:row>
                    <xdr:rowOff>49530</xdr:rowOff>
                  </from>
                  <to>
                    <xdr:col>10</xdr:col>
                    <xdr:colOff>1379220</xdr:colOff>
                    <xdr:row>3</xdr:row>
                    <xdr:rowOff>19050</xdr:rowOff>
                  </to>
                </anchor>
              </controlPr>
            </control>
          </mc:Choice>
        </mc:AlternateContent>
        <mc:AlternateContent xmlns:mc="http://schemas.openxmlformats.org/markup-compatibility/2006">
          <mc:Choice Requires="x14">
            <control shapeId="97298" r:id="rId11" name="Check Box 18">
              <controlPr defaultSize="0" autoFill="0" autoLine="0" autoPict="0">
                <anchor moveWithCells="1">
                  <from>
                    <xdr:col>10</xdr:col>
                    <xdr:colOff>1192530</xdr:colOff>
                    <xdr:row>3</xdr:row>
                    <xdr:rowOff>49530</xdr:rowOff>
                  </from>
                  <to>
                    <xdr:col>10</xdr:col>
                    <xdr:colOff>1379220</xdr:colOff>
                    <xdr:row>4</xdr:row>
                    <xdr:rowOff>19050</xdr:rowOff>
                  </to>
                </anchor>
              </controlPr>
            </control>
          </mc:Choice>
        </mc:AlternateContent>
        <mc:AlternateContent xmlns:mc="http://schemas.openxmlformats.org/markup-compatibility/2006">
          <mc:Choice Requires="x14">
            <control shapeId="97299" r:id="rId12" name="Check Box 19">
              <controlPr defaultSize="0" autoFill="0" autoLine="0" autoPict="0">
                <anchor moveWithCells="1">
                  <from>
                    <xdr:col>10</xdr:col>
                    <xdr:colOff>1192530</xdr:colOff>
                    <xdr:row>4</xdr:row>
                    <xdr:rowOff>49530</xdr:rowOff>
                  </from>
                  <to>
                    <xdr:col>10</xdr:col>
                    <xdr:colOff>1379220</xdr:colOff>
                    <xdr:row>5</xdr:row>
                    <xdr:rowOff>19050</xdr:rowOff>
                  </to>
                </anchor>
              </controlPr>
            </control>
          </mc:Choice>
        </mc:AlternateContent>
        <mc:AlternateContent xmlns:mc="http://schemas.openxmlformats.org/markup-compatibility/2006">
          <mc:Choice Requires="x14">
            <control shapeId="97300" r:id="rId13" name="Check Box 20">
              <controlPr defaultSize="0" autoFill="0" autoLine="0" autoPict="0">
                <anchor moveWithCells="1">
                  <from>
                    <xdr:col>10</xdr:col>
                    <xdr:colOff>1192530</xdr:colOff>
                    <xdr:row>5</xdr:row>
                    <xdr:rowOff>45720</xdr:rowOff>
                  </from>
                  <to>
                    <xdr:col>10</xdr:col>
                    <xdr:colOff>1379220</xdr:colOff>
                    <xdr:row>6</xdr:row>
                    <xdr:rowOff>11430</xdr:rowOff>
                  </to>
                </anchor>
              </controlPr>
            </control>
          </mc:Choice>
        </mc:AlternateContent>
        <mc:AlternateContent xmlns:mc="http://schemas.openxmlformats.org/markup-compatibility/2006">
          <mc:Choice Requires="x14">
            <control shapeId="97301" r:id="rId14" name="Check Box 21">
              <controlPr defaultSize="0" autoFill="0" autoLine="0" autoPict="0">
                <anchor moveWithCells="1">
                  <from>
                    <xdr:col>10</xdr:col>
                    <xdr:colOff>1192530</xdr:colOff>
                    <xdr:row>6</xdr:row>
                    <xdr:rowOff>45720</xdr:rowOff>
                  </from>
                  <to>
                    <xdr:col>10</xdr:col>
                    <xdr:colOff>1379220</xdr:colOff>
                    <xdr:row>7</xdr:row>
                    <xdr:rowOff>11430</xdr:rowOff>
                  </to>
                </anchor>
              </controlPr>
            </control>
          </mc:Choice>
        </mc:AlternateContent>
        <mc:AlternateContent xmlns:mc="http://schemas.openxmlformats.org/markup-compatibility/2006">
          <mc:Choice Requires="x14">
            <control shapeId="97302" r:id="rId15" name="Check Box 22">
              <controlPr defaultSize="0" autoFill="0" autoLine="0" autoPict="0">
                <anchor moveWithCells="1">
                  <from>
                    <xdr:col>10</xdr:col>
                    <xdr:colOff>1192530</xdr:colOff>
                    <xdr:row>7</xdr:row>
                    <xdr:rowOff>45720</xdr:rowOff>
                  </from>
                  <to>
                    <xdr:col>10</xdr:col>
                    <xdr:colOff>1379220</xdr:colOff>
                    <xdr:row>8</xdr:row>
                    <xdr:rowOff>11430</xdr:rowOff>
                  </to>
                </anchor>
              </controlPr>
            </control>
          </mc:Choice>
        </mc:AlternateContent>
        <mc:AlternateContent xmlns:mc="http://schemas.openxmlformats.org/markup-compatibility/2006">
          <mc:Choice Requires="x14">
            <control shapeId="97303" r:id="rId16" name="Check Box 23">
              <controlPr defaultSize="0" autoFill="0" autoLine="0" autoPict="0">
                <anchor moveWithCells="1">
                  <from>
                    <xdr:col>10</xdr:col>
                    <xdr:colOff>1192530</xdr:colOff>
                    <xdr:row>8</xdr:row>
                    <xdr:rowOff>45720</xdr:rowOff>
                  </from>
                  <to>
                    <xdr:col>10</xdr:col>
                    <xdr:colOff>1379220</xdr:colOff>
                    <xdr:row>9</xdr:row>
                    <xdr:rowOff>11430</xdr:rowOff>
                  </to>
                </anchor>
              </controlPr>
            </control>
          </mc:Choice>
        </mc:AlternateContent>
        <mc:AlternateContent xmlns:mc="http://schemas.openxmlformats.org/markup-compatibility/2006">
          <mc:Choice Requires="x14">
            <control shapeId="97304" r:id="rId17" name="Check Box 24">
              <controlPr defaultSize="0" autoFill="0" autoLine="0" autoPict="0">
                <anchor moveWithCells="1">
                  <from>
                    <xdr:col>10</xdr:col>
                    <xdr:colOff>1192530</xdr:colOff>
                    <xdr:row>9</xdr:row>
                    <xdr:rowOff>45720</xdr:rowOff>
                  </from>
                  <to>
                    <xdr:col>10</xdr:col>
                    <xdr:colOff>1379220</xdr:colOff>
                    <xdr:row>10</xdr:row>
                    <xdr:rowOff>11430</xdr:rowOff>
                  </to>
                </anchor>
              </controlPr>
            </control>
          </mc:Choice>
        </mc:AlternateContent>
        <mc:AlternateContent xmlns:mc="http://schemas.openxmlformats.org/markup-compatibility/2006">
          <mc:Choice Requires="x14">
            <control shapeId="97305" r:id="rId18" name="Button 25">
              <controlPr defaultSize="0" print="0" autoFill="0" autoPict="0" macro="[0]!Max_scale_sheet">
                <anchor moveWithCells="1" sizeWithCells="1">
                  <from>
                    <xdr:col>17</xdr:col>
                    <xdr:colOff>68580</xdr:colOff>
                    <xdr:row>1</xdr:row>
                    <xdr:rowOff>125730</xdr:rowOff>
                  </from>
                  <to>
                    <xdr:col>18</xdr:col>
                    <xdr:colOff>121920</xdr:colOff>
                    <xdr:row>3</xdr:row>
                    <xdr:rowOff>19050</xdr:rowOff>
                  </to>
                </anchor>
              </controlPr>
            </control>
          </mc:Choice>
        </mc:AlternateContent>
        <mc:AlternateContent xmlns:mc="http://schemas.openxmlformats.org/markup-compatibility/2006">
          <mc:Choice Requires="x14">
            <control shapeId="97306" r:id="rId19" name="Check Box 26">
              <controlPr defaultSize="0" autoFill="0" autoLine="0" autoPict="0">
                <anchor moveWithCells="1">
                  <from>
                    <xdr:col>10</xdr:col>
                    <xdr:colOff>1192530</xdr:colOff>
                    <xdr:row>10</xdr:row>
                    <xdr:rowOff>45720</xdr:rowOff>
                  </from>
                  <to>
                    <xdr:col>10</xdr:col>
                    <xdr:colOff>1379220</xdr:colOff>
                    <xdr:row>11</xdr:row>
                    <xdr:rowOff>11430</xdr:rowOff>
                  </to>
                </anchor>
              </controlPr>
            </control>
          </mc:Choice>
        </mc:AlternateContent>
        <mc:AlternateContent xmlns:mc="http://schemas.openxmlformats.org/markup-compatibility/2006">
          <mc:Choice Requires="x14">
            <control shapeId="97307" r:id="rId20" name="Check Box 27">
              <controlPr defaultSize="0" autoFill="0" autoLine="0" autoPict="0">
                <anchor moveWithCells="1">
                  <from>
                    <xdr:col>10</xdr:col>
                    <xdr:colOff>1192530</xdr:colOff>
                    <xdr:row>11</xdr:row>
                    <xdr:rowOff>45720</xdr:rowOff>
                  </from>
                  <to>
                    <xdr:col>10</xdr:col>
                    <xdr:colOff>1379220</xdr:colOff>
                    <xdr:row>12</xdr:row>
                    <xdr:rowOff>11430</xdr:rowOff>
                  </to>
                </anchor>
              </controlPr>
            </control>
          </mc:Choice>
        </mc:AlternateContent>
        <mc:AlternateContent xmlns:mc="http://schemas.openxmlformats.org/markup-compatibility/2006">
          <mc:Choice Requires="x14">
            <control shapeId="97308" r:id="rId21" name="Check Box 28">
              <controlPr defaultSize="0" autoFill="0" autoLine="0" autoPict="0">
                <anchor moveWithCells="1">
                  <from>
                    <xdr:col>10</xdr:col>
                    <xdr:colOff>1192530</xdr:colOff>
                    <xdr:row>12</xdr:row>
                    <xdr:rowOff>45720</xdr:rowOff>
                  </from>
                  <to>
                    <xdr:col>10</xdr:col>
                    <xdr:colOff>1379220</xdr:colOff>
                    <xdr:row>13</xdr:row>
                    <xdr:rowOff>11430</xdr:rowOff>
                  </to>
                </anchor>
              </controlPr>
            </control>
          </mc:Choice>
        </mc:AlternateContent>
        <mc:AlternateContent xmlns:mc="http://schemas.openxmlformats.org/markup-compatibility/2006">
          <mc:Choice Requires="x14">
            <control shapeId="97309" r:id="rId22" name="Check Box 29">
              <controlPr defaultSize="0" autoFill="0" autoLine="0" autoPict="0">
                <anchor moveWithCells="1">
                  <from>
                    <xdr:col>10</xdr:col>
                    <xdr:colOff>1192530</xdr:colOff>
                    <xdr:row>13</xdr:row>
                    <xdr:rowOff>45720</xdr:rowOff>
                  </from>
                  <to>
                    <xdr:col>10</xdr:col>
                    <xdr:colOff>1379220</xdr:colOff>
                    <xdr:row>14</xdr:row>
                    <xdr:rowOff>11430</xdr:rowOff>
                  </to>
                </anchor>
              </controlPr>
            </control>
          </mc:Choice>
        </mc:AlternateContent>
        <mc:AlternateContent xmlns:mc="http://schemas.openxmlformats.org/markup-compatibility/2006">
          <mc:Choice Requires="x14">
            <control shapeId="97310" r:id="rId23" name="Check Box 30">
              <controlPr defaultSize="0" autoFill="0" autoLine="0" autoPict="0">
                <anchor moveWithCells="1">
                  <from>
                    <xdr:col>10</xdr:col>
                    <xdr:colOff>1192530</xdr:colOff>
                    <xdr:row>14</xdr:row>
                    <xdr:rowOff>45720</xdr:rowOff>
                  </from>
                  <to>
                    <xdr:col>10</xdr:col>
                    <xdr:colOff>1379220</xdr:colOff>
                    <xdr:row>15</xdr:row>
                    <xdr:rowOff>11430</xdr:rowOff>
                  </to>
                </anchor>
              </controlPr>
            </control>
          </mc:Choice>
        </mc:AlternateContent>
        <mc:AlternateContent xmlns:mc="http://schemas.openxmlformats.org/markup-compatibility/2006">
          <mc:Choice Requires="x14">
            <control shapeId="97311" r:id="rId24" name="Check Box 31">
              <controlPr defaultSize="0" autoFill="0" autoLine="0" autoPict="0">
                <anchor moveWithCells="1">
                  <from>
                    <xdr:col>10</xdr:col>
                    <xdr:colOff>1192530</xdr:colOff>
                    <xdr:row>15</xdr:row>
                    <xdr:rowOff>45720</xdr:rowOff>
                  </from>
                  <to>
                    <xdr:col>10</xdr:col>
                    <xdr:colOff>1379220</xdr:colOff>
                    <xdr:row>16</xdr:row>
                    <xdr:rowOff>11430</xdr:rowOff>
                  </to>
                </anchor>
              </controlPr>
            </control>
          </mc:Choice>
        </mc:AlternateContent>
        <mc:AlternateContent xmlns:mc="http://schemas.openxmlformats.org/markup-compatibility/2006">
          <mc:Choice Requires="x14">
            <control shapeId="97312" r:id="rId25" name="Check Box 32">
              <controlPr defaultSize="0" autoFill="0" autoLine="0" autoPict="0">
                <anchor moveWithCells="1">
                  <from>
                    <xdr:col>10</xdr:col>
                    <xdr:colOff>1192530</xdr:colOff>
                    <xdr:row>16</xdr:row>
                    <xdr:rowOff>45720</xdr:rowOff>
                  </from>
                  <to>
                    <xdr:col>10</xdr:col>
                    <xdr:colOff>1379220</xdr:colOff>
                    <xdr:row>17</xdr:row>
                    <xdr:rowOff>11430</xdr:rowOff>
                  </to>
                </anchor>
              </controlPr>
            </control>
          </mc:Choice>
        </mc:AlternateContent>
        <mc:AlternateContent xmlns:mc="http://schemas.openxmlformats.org/markup-compatibility/2006">
          <mc:Choice Requires="x14">
            <control shapeId="97313" r:id="rId26" name="Check Box 33">
              <controlPr defaultSize="0" autoFill="0" autoLine="0" autoPict="0">
                <anchor moveWithCells="1">
                  <from>
                    <xdr:col>10</xdr:col>
                    <xdr:colOff>1192530</xdr:colOff>
                    <xdr:row>17</xdr:row>
                    <xdr:rowOff>45720</xdr:rowOff>
                  </from>
                  <to>
                    <xdr:col>10</xdr:col>
                    <xdr:colOff>1379220</xdr:colOff>
                    <xdr:row>18</xdr:row>
                    <xdr:rowOff>11430</xdr:rowOff>
                  </to>
                </anchor>
              </controlPr>
            </control>
          </mc:Choice>
        </mc:AlternateContent>
        <mc:AlternateContent xmlns:mc="http://schemas.openxmlformats.org/markup-compatibility/2006">
          <mc:Choice Requires="x14">
            <control shapeId="97314" r:id="rId27" name="Drop Down 34">
              <controlPr defaultSize="0" autoLine="0" autoPict="0" macro="[0]!change_method">
                <anchor moveWithCells="1">
                  <from>
                    <xdr:col>17</xdr:col>
                    <xdr:colOff>76200</xdr:colOff>
                    <xdr:row>4</xdr:row>
                    <xdr:rowOff>11430</xdr:rowOff>
                  </from>
                  <to>
                    <xdr:col>19</xdr:col>
                    <xdr:colOff>182880</xdr:colOff>
                    <xdr:row>5</xdr:row>
                    <xdr:rowOff>57150</xdr:rowOff>
                  </to>
                </anchor>
              </controlPr>
            </control>
          </mc:Choice>
        </mc:AlternateContent>
        <mc:AlternateContent xmlns:mc="http://schemas.openxmlformats.org/markup-compatibility/2006">
          <mc:Choice Requires="x14">
            <control shapeId="97316" r:id="rId28" name="Check Box 36">
              <controlPr defaultSize="0" autoFill="0" autoLine="0" autoPict="0">
                <anchor moveWithCells="1">
                  <from>
                    <xdr:col>10</xdr:col>
                    <xdr:colOff>1192530</xdr:colOff>
                    <xdr:row>18</xdr:row>
                    <xdr:rowOff>45720</xdr:rowOff>
                  </from>
                  <to>
                    <xdr:col>10</xdr:col>
                    <xdr:colOff>1379220</xdr:colOff>
                    <xdr:row>19</xdr:row>
                    <xdr:rowOff>11430</xdr:rowOff>
                  </to>
                </anchor>
              </controlPr>
            </control>
          </mc:Choice>
        </mc:AlternateContent>
        <mc:AlternateContent xmlns:mc="http://schemas.openxmlformats.org/markup-compatibility/2006">
          <mc:Choice Requires="x14">
            <control shapeId="97317" r:id="rId29" name="Check Box 37">
              <controlPr defaultSize="0" autoFill="0" autoLine="0" autoPict="0">
                <anchor moveWithCells="1">
                  <from>
                    <xdr:col>10</xdr:col>
                    <xdr:colOff>1192530</xdr:colOff>
                    <xdr:row>19</xdr:row>
                    <xdr:rowOff>45720</xdr:rowOff>
                  </from>
                  <to>
                    <xdr:col>10</xdr:col>
                    <xdr:colOff>1379220</xdr:colOff>
                    <xdr:row>20</xdr:row>
                    <xdr:rowOff>11430</xdr:rowOff>
                  </to>
                </anchor>
              </controlPr>
            </control>
          </mc:Choice>
        </mc:AlternateContent>
        <mc:AlternateContent xmlns:mc="http://schemas.openxmlformats.org/markup-compatibility/2006">
          <mc:Choice Requires="x14">
            <control shapeId="97319" r:id="rId30" name="Check Box 39">
              <controlPr defaultSize="0" autoFill="0" autoLine="0" autoPict="0">
                <anchor moveWithCells="1">
                  <from>
                    <xdr:col>10</xdr:col>
                    <xdr:colOff>1192530</xdr:colOff>
                    <xdr:row>20</xdr:row>
                    <xdr:rowOff>45720</xdr:rowOff>
                  </from>
                  <to>
                    <xdr:col>10</xdr:col>
                    <xdr:colOff>1379220</xdr:colOff>
                    <xdr:row>21</xdr:row>
                    <xdr:rowOff>11430</xdr:rowOff>
                  </to>
                </anchor>
              </controlPr>
            </control>
          </mc:Choice>
        </mc:AlternateContent>
        <mc:AlternateContent xmlns:mc="http://schemas.openxmlformats.org/markup-compatibility/2006">
          <mc:Choice Requires="x14">
            <control shapeId="97320" r:id="rId31" name="Check Box 40">
              <controlPr defaultSize="0" autoFill="0" autoLine="0" autoPict="0">
                <anchor moveWithCells="1">
                  <from>
                    <xdr:col>10</xdr:col>
                    <xdr:colOff>1192530</xdr:colOff>
                    <xdr:row>21</xdr:row>
                    <xdr:rowOff>45720</xdr:rowOff>
                  </from>
                  <to>
                    <xdr:col>10</xdr:col>
                    <xdr:colOff>1379220</xdr:colOff>
                    <xdr:row>22</xdr:row>
                    <xdr:rowOff>11430</xdr:rowOff>
                  </to>
                </anchor>
              </controlPr>
            </control>
          </mc:Choice>
        </mc:AlternateContent>
        <mc:AlternateContent xmlns:mc="http://schemas.openxmlformats.org/markup-compatibility/2006">
          <mc:Choice Requires="x14">
            <control shapeId="97321" r:id="rId32" name="Check Box 41">
              <controlPr defaultSize="0" autoFill="0" autoLine="0" autoPict="0">
                <anchor moveWithCells="1">
                  <from>
                    <xdr:col>10</xdr:col>
                    <xdr:colOff>1192530</xdr:colOff>
                    <xdr:row>22</xdr:row>
                    <xdr:rowOff>45720</xdr:rowOff>
                  </from>
                  <to>
                    <xdr:col>10</xdr:col>
                    <xdr:colOff>1379220</xdr:colOff>
                    <xdr:row>23</xdr:row>
                    <xdr:rowOff>11430</xdr:rowOff>
                  </to>
                </anchor>
              </controlPr>
            </control>
          </mc:Choice>
        </mc:AlternateContent>
        <mc:AlternateContent xmlns:mc="http://schemas.openxmlformats.org/markup-compatibility/2006">
          <mc:Choice Requires="x14">
            <control shapeId="97322" r:id="rId33" name="Check Box 42">
              <controlPr defaultSize="0" autoFill="0" autoLine="0" autoPict="0">
                <anchor moveWithCells="1">
                  <from>
                    <xdr:col>10</xdr:col>
                    <xdr:colOff>1192530</xdr:colOff>
                    <xdr:row>23</xdr:row>
                    <xdr:rowOff>45720</xdr:rowOff>
                  </from>
                  <to>
                    <xdr:col>10</xdr:col>
                    <xdr:colOff>1379220</xdr:colOff>
                    <xdr:row>24</xdr:row>
                    <xdr:rowOff>11430</xdr:rowOff>
                  </to>
                </anchor>
              </controlPr>
            </control>
          </mc:Choice>
        </mc:AlternateContent>
        <mc:AlternateContent xmlns:mc="http://schemas.openxmlformats.org/markup-compatibility/2006">
          <mc:Choice Requires="x14">
            <control shapeId="97323" r:id="rId34" name="Check Box 43">
              <controlPr defaultSize="0" autoFill="0" autoLine="0" autoPict="0">
                <anchor moveWithCells="1">
                  <from>
                    <xdr:col>10</xdr:col>
                    <xdr:colOff>1192530</xdr:colOff>
                    <xdr:row>24</xdr:row>
                    <xdr:rowOff>45720</xdr:rowOff>
                  </from>
                  <to>
                    <xdr:col>10</xdr:col>
                    <xdr:colOff>1379220</xdr:colOff>
                    <xdr:row>25</xdr:row>
                    <xdr:rowOff>11430</xdr:rowOff>
                  </to>
                </anchor>
              </controlPr>
            </control>
          </mc:Choice>
        </mc:AlternateContent>
        <mc:AlternateContent xmlns:mc="http://schemas.openxmlformats.org/markup-compatibility/2006">
          <mc:Choice Requires="x14">
            <control shapeId="97324" r:id="rId35" name="Check Box 44">
              <controlPr defaultSize="0" autoFill="0" autoLine="0" autoPict="0">
                <anchor moveWithCells="1">
                  <from>
                    <xdr:col>10</xdr:col>
                    <xdr:colOff>1192530</xdr:colOff>
                    <xdr:row>25</xdr:row>
                    <xdr:rowOff>45720</xdr:rowOff>
                  </from>
                  <to>
                    <xdr:col>10</xdr:col>
                    <xdr:colOff>1379220</xdr:colOff>
                    <xdr:row>26</xdr:row>
                    <xdr:rowOff>11430</xdr:rowOff>
                  </to>
                </anchor>
              </controlPr>
            </control>
          </mc:Choice>
        </mc:AlternateContent>
        <mc:AlternateContent xmlns:mc="http://schemas.openxmlformats.org/markup-compatibility/2006">
          <mc:Choice Requires="x14">
            <control shapeId="97325" r:id="rId36" name="Check Box 45">
              <controlPr defaultSize="0" autoFill="0" autoLine="0" autoPict="0">
                <anchor moveWithCells="1">
                  <from>
                    <xdr:col>10</xdr:col>
                    <xdr:colOff>1192530</xdr:colOff>
                    <xdr:row>26</xdr:row>
                    <xdr:rowOff>45720</xdr:rowOff>
                  </from>
                  <to>
                    <xdr:col>10</xdr:col>
                    <xdr:colOff>1379220</xdr:colOff>
                    <xdr:row>27</xdr:row>
                    <xdr:rowOff>11430</xdr:rowOff>
                  </to>
                </anchor>
              </controlPr>
            </control>
          </mc:Choice>
        </mc:AlternateContent>
        <mc:AlternateContent xmlns:mc="http://schemas.openxmlformats.org/markup-compatibility/2006">
          <mc:Choice Requires="x14">
            <control shapeId="97326" r:id="rId37" name="Check Box 46">
              <controlPr defaultSize="0" autoFill="0" autoLine="0" autoPict="0">
                <anchor moveWithCells="1">
                  <from>
                    <xdr:col>10</xdr:col>
                    <xdr:colOff>1192530</xdr:colOff>
                    <xdr:row>27</xdr:row>
                    <xdr:rowOff>45720</xdr:rowOff>
                  </from>
                  <to>
                    <xdr:col>10</xdr:col>
                    <xdr:colOff>1379220</xdr:colOff>
                    <xdr:row>28</xdr:row>
                    <xdr:rowOff>11430</xdr:rowOff>
                  </to>
                </anchor>
              </controlPr>
            </control>
          </mc:Choice>
        </mc:AlternateContent>
        <mc:AlternateContent xmlns:mc="http://schemas.openxmlformats.org/markup-compatibility/2006">
          <mc:Choice Requires="x14">
            <control shapeId="97327" r:id="rId38" name="Check Box 47">
              <controlPr defaultSize="0" autoFill="0" autoLine="0" autoPict="0">
                <anchor moveWithCells="1">
                  <from>
                    <xdr:col>10</xdr:col>
                    <xdr:colOff>1192530</xdr:colOff>
                    <xdr:row>28</xdr:row>
                    <xdr:rowOff>45720</xdr:rowOff>
                  </from>
                  <to>
                    <xdr:col>10</xdr:col>
                    <xdr:colOff>1379220</xdr:colOff>
                    <xdr:row>29</xdr:row>
                    <xdr:rowOff>11430</xdr:rowOff>
                  </to>
                </anchor>
              </controlPr>
            </control>
          </mc:Choice>
        </mc:AlternateContent>
        <mc:AlternateContent xmlns:mc="http://schemas.openxmlformats.org/markup-compatibility/2006">
          <mc:Choice Requires="x14">
            <control shapeId="97328" r:id="rId39" name="Check Box 48">
              <controlPr defaultSize="0" autoFill="0" autoLine="0" autoPict="0">
                <anchor moveWithCells="1">
                  <from>
                    <xdr:col>10</xdr:col>
                    <xdr:colOff>1192530</xdr:colOff>
                    <xdr:row>29</xdr:row>
                    <xdr:rowOff>45720</xdr:rowOff>
                  </from>
                  <to>
                    <xdr:col>10</xdr:col>
                    <xdr:colOff>1379220</xdr:colOff>
                    <xdr:row>30</xdr:row>
                    <xdr:rowOff>11430</xdr:rowOff>
                  </to>
                </anchor>
              </controlPr>
            </control>
          </mc:Choice>
        </mc:AlternateContent>
        <mc:AlternateContent xmlns:mc="http://schemas.openxmlformats.org/markup-compatibility/2006">
          <mc:Choice Requires="x14">
            <control shapeId="97329" r:id="rId40" name="Check Box 49">
              <controlPr defaultSize="0" autoFill="0" autoLine="0" autoPict="0">
                <anchor moveWithCells="1">
                  <from>
                    <xdr:col>10</xdr:col>
                    <xdr:colOff>1192530</xdr:colOff>
                    <xdr:row>30</xdr:row>
                    <xdr:rowOff>45720</xdr:rowOff>
                  </from>
                  <to>
                    <xdr:col>10</xdr:col>
                    <xdr:colOff>1379220</xdr:colOff>
                    <xdr:row>31</xdr:row>
                    <xdr:rowOff>11430</xdr:rowOff>
                  </to>
                </anchor>
              </controlPr>
            </control>
          </mc:Choice>
        </mc:AlternateContent>
        <mc:AlternateContent xmlns:mc="http://schemas.openxmlformats.org/markup-compatibility/2006">
          <mc:Choice Requires="x14">
            <control shapeId="97330" r:id="rId41" name="Check Box 50">
              <controlPr defaultSize="0" autoFill="0" autoLine="0" autoPict="0">
                <anchor moveWithCells="1">
                  <from>
                    <xdr:col>10</xdr:col>
                    <xdr:colOff>1192530</xdr:colOff>
                    <xdr:row>31</xdr:row>
                    <xdr:rowOff>45720</xdr:rowOff>
                  </from>
                  <to>
                    <xdr:col>10</xdr:col>
                    <xdr:colOff>1379220</xdr:colOff>
                    <xdr:row>32</xdr:row>
                    <xdr:rowOff>11430</xdr:rowOff>
                  </to>
                </anchor>
              </controlPr>
            </control>
          </mc:Choice>
        </mc:AlternateContent>
        <mc:AlternateContent xmlns:mc="http://schemas.openxmlformats.org/markup-compatibility/2006">
          <mc:Choice Requires="x14">
            <control shapeId="97331" r:id="rId42" name="Check Box 51">
              <controlPr defaultSize="0" autoFill="0" autoLine="0" autoPict="0">
                <anchor moveWithCells="1">
                  <from>
                    <xdr:col>10</xdr:col>
                    <xdr:colOff>1192530</xdr:colOff>
                    <xdr:row>32</xdr:row>
                    <xdr:rowOff>45720</xdr:rowOff>
                  </from>
                  <to>
                    <xdr:col>10</xdr:col>
                    <xdr:colOff>1379220</xdr:colOff>
                    <xdr:row>33</xdr:row>
                    <xdr:rowOff>11430</xdr:rowOff>
                  </to>
                </anchor>
              </controlPr>
            </control>
          </mc:Choice>
        </mc:AlternateContent>
        <mc:AlternateContent xmlns:mc="http://schemas.openxmlformats.org/markup-compatibility/2006">
          <mc:Choice Requires="x14">
            <control shapeId="97332" r:id="rId43" name="Check Box 52">
              <controlPr defaultSize="0" autoFill="0" autoLine="0" autoPict="0">
                <anchor moveWithCells="1">
                  <from>
                    <xdr:col>10</xdr:col>
                    <xdr:colOff>1192530</xdr:colOff>
                    <xdr:row>33</xdr:row>
                    <xdr:rowOff>45720</xdr:rowOff>
                  </from>
                  <to>
                    <xdr:col>10</xdr:col>
                    <xdr:colOff>1379220</xdr:colOff>
                    <xdr:row>34</xdr:row>
                    <xdr:rowOff>11430</xdr:rowOff>
                  </to>
                </anchor>
              </controlPr>
            </control>
          </mc:Choice>
        </mc:AlternateContent>
        <mc:AlternateContent xmlns:mc="http://schemas.openxmlformats.org/markup-compatibility/2006">
          <mc:Choice Requires="x14">
            <control shapeId="97333" r:id="rId44" name="Check Box 53">
              <controlPr defaultSize="0" autoFill="0" autoLine="0" autoPict="0">
                <anchor moveWithCells="1">
                  <from>
                    <xdr:col>10</xdr:col>
                    <xdr:colOff>1192530</xdr:colOff>
                    <xdr:row>34</xdr:row>
                    <xdr:rowOff>45720</xdr:rowOff>
                  </from>
                  <to>
                    <xdr:col>10</xdr:col>
                    <xdr:colOff>1379220</xdr:colOff>
                    <xdr:row>35</xdr:row>
                    <xdr:rowOff>11430</xdr:rowOff>
                  </to>
                </anchor>
              </controlPr>
            </control>
          </mc:Choice>
        </mc:AlternateContent>
        <mc:AlternateContent xmlns:mc="http://schemas.openxmlformats.org/markup-compatibility/2006">
          <mc:Choice Requires="x14">
            <control shapeId="97334" r:id="rId45" name="Check Box 54">
              <controlPr defaultSize="0" autoFill="0" autoLine="0" autoPict="0">
                <anchor moveWithCells="1">
                  <from>
                    <xdr:col>10</xdr:col>
                    <xdr:colOff>1192530</xdr:colOff>
                    <xdr:row>35</xdr:row>
                    <xdr:rowOff>45720</xdr:rowOff>
                  </from>
                  <to>
                    <xdr:col>10</xdr:col>
                    <xdr:colOff>1379220</xdr:colOff>
                    <xdr:row>36</xdr:row>
                    <xdr:rowOff>11430</xdr:rowOff>
                  </to>
                </anchor>
              </controlPr>
            </control>
          </mc:Choice>
        </mc:AlternateContent>
        <mc:AlternateContent xmlns:mc="http://schemas.openxmlformats.org/markup-compatibility/2006">
          <mc:Choice Requires="x14">
            <control shapeId="97335" r:id="rId46" name="Check Box 55">
              <controlPr defaultSize="0" autoFill="0" autoLine="0" autoPict="0">
                <anchor moveWithCells="1">
                  <from>
                    <xdr:col>10</xdr:col>
                    <xdr:colOff>1192530</xdr:colOff>
                    <xdr:row>36</xdr:row>
                    <xdr:rowOff>45720</xdr:rowOff>
                  </from>
                  <to>
                    <xdr:col>10</xdr:col>
                    <xdr:colOff>1379220</xdr:colOff>
                    <xdr:row>37</xdr:row>
                    <xdr:rowOff>11430</xdr:rowOff>
                  </to>
                </anchor>
              </controlPr>
            </control>
          </mc:Choice>
        </mc:AlternateContent>
        <mc:AlternateContent xmlns:mc="http://schemas.openxmlformats.org/markup-compatibility/2006">
          <mc:Choice Requires="x14">
            <control shapeId="97336" r:id="rId47" name="Check Box 56">
              <controlPr defaultSize="0" autoFill="0" autoLine="0" autoPict="0">
                <anchor moveWithCells="1">
                  <from>
                    <xdr:col>10</xdr:col>
                    <xdr:colOff>1192530</xdr:colOff>
                    <xdr:row>37</xdr:row>
                    <xdr:rowOff>45720</xdr:rowOff>
                  </from>
                  <to>
                    <xdr:col>10</xdr:col>
                    <xdr:colOff>1379220</xdr:colOff>
                    <xdr:row>38</xdr:row>
                    <xdr:rowOff>11430</xdr:rowOff>
                  </to>
                </anchor>
              </controlPr>
            </control>
          </mc:Choice>
        </mc:AlternateContent>
        <mc:AlternateContent xmlns:mc="http://schemas.openxmlformats.org/markup-compatibility/2006">
          <mc:Choice Requires="x14">
            <control shapeId="97337" r:id="rId48" name="Check Box 57">
              <controlPr defaultSize="0" autoFill="0" autoLine="0" autoPict="0">
                <anchor moveWithCells="1">
                  <from>
                    <xdr:col>10</xdr:col>
                    <xdr:colOff>1192530</xdr:colOff>
                    <xdr:row>38</xdr:row>
                    <xdr:rowOff>45720</xdr:rowOff>
                  </from>
                  <to>
                    <xdr:col>10</xdr:col>
                    <xdr:colOff>1379220</xdr:colOff>
                    <xdr:row>39</xdr:row>
                    <xdr:rowOff>11430</xdr:rowOff>
                  </to>
                </anchor>
              </controlPr>
            </control>
          </mc:Choice>
        </mc:AlternateContent>
        <mc:AlternateContent xmlns:mc="http://schemas.openxmlformats.org/markup-compatibility/2006">
          <mc:Choice Requires="x14">
            <control shapeId="97338" r:id="rId49" name="Check Box 58">
              <controlPr defaultSize="0" autoFill="0" autoLine="0" autoPict="0">
                <anchor moveWithCells="1">
                  <from>
                    <xdr:col>10</xdr:col>
                    <xdr:colOff>1192530</xdr:colOff>
                    <xdr:row>39</xdr:row>
                    <xdr:rowOff>45720</xdr:rowOff>
                  </from>
                  <to>
                    <xdr:col>10</xdr:col>
                    <xdr:colOff>1379220</xdr:colOff>
                    <xdr:row>40</xdr:row>
                    <xdr:rowOff>11430</xdr:rowOff>
                  </to>
                </anchor>
              </controlPr>
            </control>
          </mc:Choice>
        </mc:AlternateContent>
        <mc:AlternateContent xmlns:mc="http://schemas.openxmlformats.org/markup-compatibility/2006">
          <mc:Choice Requires="x14">
            <control shapeId="97339" r:id="rId50" name="Check Box 59">
              <controlPr defaultSize="0" autoFill="0" autoLine="0" autoPict="0">
                <anchor moveWithCells="1">
                  <from>
                    <xdr:col>10</xdr:col>
                    <xdr:colOff>1192530</xdr:colOff>
                    <xdr:row>40</xdr:row>
                    <xdr:rowOff>45720</xdr:rowOff>
                  </from>
                  <to>
                    <xdr:col>10</xdr:col>
                    <xdr:colOff>1379220</xdr:colOff>
                    <xdr:row>41</xdr:row>
                    <xdr:rowOff>11430</xdr:rowOff>
                  </to>
                </anchor>
              </controlPr>
            </control>
          </mc:Choice>
        </mc:AlternateContent>
        <mc:AlternateContent xmlns:mc="http://schemas.openxmlformats.org/markup-compatibility/2006">
          <mc:Choice Requires="x14">
            <control shapeId="97340" r:id="rId51" name="Check Box 60">
              <controlPr defaultSize="0" autoFill="0" autoLine="0" autoPict="0">
                <anchor moveWithCells="1">
                  <from>
                    <xdr:col>10</xdr:col>
                    <xdr:colOff>1192530</xdr:colOff>
                    <xdr:row>41</xdr:row>
                    <xdr:rowOff>45720</xdr:rowOff>
                  </from>
                  <to>
                    <xdr:col>10</xdr:col>
                    <xdr:colOff>1379220</xdr:colOff>
                    <xdr:row>42</xdr:row>
                    <xdr:rowOff>11430</xdr:rowOff>
                  </to>
                </anchor>
              </controlPr>
            </control>
          </mc:Choice>
        </mc:AlternateContent>
        <mc:AlternateContent xmlns:mc="http://schemas.openxmlformats.org/markup-compatibility/2006">
          <mc:Choice Requires="x14">
            <control shapeId="97341" r:id="rId52" name="Check Box 61">
              <controlPr defaultSize="0" autoFill="0" autoLine="0" autoPict="0">
                <anchor moveWithCells="1">
                  <from>
                    <xdr:col>10</xdr:col>
                    <xdr:colOff>1192530</xdr:colOff>
                    <xdr:row>42</xdr:row>
                    <xdr:rowOff>45720</xdr:rowOff>
                  </from>
                  <to>
                    <xdr:col>10</xdr:col>
                    <xdr:colOff>1379220</xdr:colOff>
                    <xdr:row>43</xdr:row>
                    <xdr:rowOff>11430</xdr:rowOff>
                  </to>
                </anchor>
              </controlPr>
            </control>
          </mc:Choice>
        </mc:AlternateContent>
        <mc:AlternateContent xmlns:mc="http://schemas.openxmlformats.org/markup-compatibility/2006">
          <mc:Choice Requires="x14">
            <control shapeId="97342" r:id="rId53" name="Check Box 62">
              <controlPr defaultSize="0" autoFill="0" autoLine="0" autoPict="0">
                <anchor moveWithCells="1">
                  <from>
                    <xdr:col>10</xdr:col>
                    <xdr:colOff>1192530</xdr:colOff>
                    <xdr:row>43</xdr:row>
                    <xdr:rowOff>45720</xdr:rowOff>
                  </from>
                  <to>
                    <xdr:col>10</xdr:col>
                    <xdr:colOff>1379220</xdr:colOff>
                    <xdr:row>44</xdr:row>
                    <xdr:rowOff>11430</xdr:rowOff>
                  </to>
                </anchor>
              </controlPr>
            </control>
          </mc:Choice>
        </mc:AlternateContent>
        <mc:AlternateContent xmlns:mc="http://schemas.openxmlformats.org/markup-compatibility/2006">
          <mc:Choice Requires="x14">
            <control shapeId="97343" r:id="rId54" name="Check Box 63">
              <controlPr defaultSize="0" autoFill="0" autoLine="0" autoPict="0">
                <anchor moveWithCells="1">
                  <from>
                    <xdr:col>10</xdr:col>
                    <xdr:colOff>1192530</xdr:colOff>
                    <xdr:row>44</xdr:row>
                    <xdr:rowOff>45720</xdr:rowOff>
                  </from>
                  <to>
                    <xdr:col>10</xdr:col>
                    <xdr:colOff>1379220</xdr:colOff>
                    <xdr:row>45</xdr:row>
                    <xdr:rowOff>11430</xdr:rowOff>
                  </to>
                </anchor>
              </controlPr>
            </control>
          </mc:Choice>
        </mc:AlternateContent>
        <mc:AlternateContent xmlns:mc="http://schemas.openxmlformats.org/markup-compatibility/2006">
          <mc:Choice Requires="x14">
            <control shapeId="97344" r:id="rId55" name="Check Box 64">
              <controlPr defaultSize="0" autoFill="0" autoLine="0" autoPict="0">
                <anchor moveWithCells="1">
                  <from>
                    <xdr:col>10</xdr:col>
                    <xdr:colOff>1192530</xdr:colOff>
                    <xdr:row>45</xdr:row>
                    <xdr:rowOff>45720</xdr:rowOff>
                  </from>
                  <to>
                    <xdr:col>10</xdr:col>
                    <xdr:colOff>1379220</xdr:colOff>
                    <xdr:row>46</xdr:row>
                    <xdr:rowOff>11430</xdr:rowOff>
                  </to>
                </anchor>
              </controlPr>
            </control>
          </mc:Choice>
        </mc:AlternateContent>
        <mc:AlternateContent xmlns:mc="http://schemas.openxmlformats.org/markup-compatibility/2006">
          <mc:Choice Requires="x14">
            <control shapeId="97345" r:id="rId56" name="Check Box 65">
              <controlPr defaultSize="0" autoFill="0" autoLine="0" autoPict="0">
                <anchor moveWithCells="1">
                  <from>
                    <xdr:col>10</xdr:col>
                    <xdr:colOff>1192530</xdr:colOff>
                    <xdr:row>46</xdr:row>
                    <xdr:rowOff>45720</xdr:rowOff>
                  </from>
                  <to>
                    <xdr:col>10</xdr:col>
                    <xdr:colOff>1379220</xdr:colOff>
                    <xdr:row>47</xdr:row>
                    <xdr:rowOff>11430</xdr:rowOff>
                  </to>
                </anchor>
              </controlPr>
            </control>
          </mc:Choice>
        </mc:AlternateContent>
        <mc:AlternateContent xmlns:mc="http://schemas.openxmlformats.org/markup-compatibility/2006">
          <mc:Choice Requires="x14">
            <control shapeId="97346" r:id="rId57" name="Check Box 66">
              <controlPr defaultSize="0" autoFill="0" autoLine="0" autoPict="0">
                <anchor moveWithCells="1">
                  <from>
                    <xdr:col>10</xdr:col>
                    <xdr:colOff>1192530</xdr:colOff>
                    <xdr:row>47</xdr:row>
                    <xdr:rowOff>45720</xdr:rowOff>
                  </from>
                  <to>
                    <xdr:col>10</xdr:col>
                    <xdr:colOff>1379220</xdr:colOff>
                    <xdr:row>48</xdr:row>
                    <xdr:rowOff>11430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3:BF884"/>
  <sheetViews>
    <sheetView showGridLines="0" workbookViewId="0">
      <selection activeCell="L3" sqref="L3"/>
    </sheetView>
  </sheetViews>
  <sheetFormatPr defaultRowHeight="12.3"/>
  <cols>
    <col min="3" max="3" width="10.27734375" bestFit="1" customWidth="1"/>
    <col min="9" max="9" width="10.27734375" bestFit="1" customWidth="1"/>
    <col min="15" max="15" width="11.71875" customWidth="1"/>
    <col min="21" max="21" width="11.1640625" customWidth="1"/>
  </cols>
  <sheetData>
    <row r="3" spans="2:44">
      <c r="J3" s="7" t="s">
        <v>863</v>
      </c>
      <c r="L3" s="22" t="e">
        <f>'Prices for Graph'!K12</f>
        <v>#N/A</v>
      </c>
    </row>
    <row r="4" spans="2:44">
      <c r="J4" s="7" t="s">
        <v>863</v>
      </c>
      <c r="L4" s="22" t="e">
        <f>'Prices for Graph'!N12</f>
        <v>#N/A</v>
      </c>
    </row>
    <row r="6" spans="2:44">
      <c r="AJ6" s="7" t="s">
        <v>1218</v>
      </c>
      <c r="AM6" t="str">
        <f>D10</f>
        <v>Maize ($/mt)</v>
      </c>
    </row>
    <row r="7" spans="2:44">
      <c r="D7" s="7" t="s">
        <v>867</v>
      </c>
      <c r="F7" s="14">
        <f ca="1">Volatility(First,12)</f>
        <v>0.18426782743964037</v>
      </c>
      <c r="G7" s="7" t="s">
        <v>868</v>
      </c>
      <c r="H7" s="14">
        <f ca="1">AB78</f>
        <v>0.14044228011621387</v>
      </c>
      <c r="I7" s="7" t="s">
        <v>1225</v>
      </c>
      <c r="J7" s="17">
        <f ca="1">AVERAGE(First)</f>
        <v>109.18175561728397</v>
      </c>
      <c r="O7" t="str">
        <f>'Prices for Graph'!V4</f>
        <v>Barley</v>
      </c>
      <c r="R7" s="7" t="s">
        <v>867</v>
      </c>
      <c r="T7" s="14">
        <f ca="1">Volatility(Second,12)</f>
        <v>0.17633959037293795</v>
      </c>
      <c r="Y7" s="7" t="s">
        <v>1221</v>
      </c>
      <c r="AA7" t="str">
        <f>D10</f>
        <v>Maize ($/mt)</v>
      </c>
      <c r="AD7" s="7" t="s">
        <v>1221</v>
      </c>
      <c r="AF7" t="str">
        <f>O7</f>
        <v>Barley</v>
      </c>
    </row>
    <row r="8" spans="2:44">
      <c r="C8" t="str">
        <f>'Prices for Graph'!T14</f>
        <v>Maize ($/mt)</v>
      </c>
      <c r="P8" s="7" t="s">
        <v>822</v>
      </c>
      <c r="Q8" s="7" t="s">
        <v>1219</v>
      </c>
      <c r="R8" s="7" t="s">
        <v>1220</v>
      </c>
    </row>
    <row r="9" spans="2:44">
      <c r="C9" s="7" t="s">
        <v>1214</v>
      </c>
      <c r="D9" s="7" t="s">
        <v>1215</v>
      </c>
      <c r="E9" s="7" t="s">
        <v>1216</v>
      </c>
      <c r="F9" s="7" t="s">
        <v>1217</v>
      </c>
      <c r="AD9" s="7" t="s">
        <v>878</v>
      </c>
      <c r="AF9" s="13">
        <f ca="1">AG78</f>
        <v>0.14829216875500953</v>
      </c>
      <c r="AJ9">
        <v>3</v>
      </c>
    </row>
    <row r="10" spans="2:44" ht="73.8">
      <c r="C10" s="20" t="s">
        <v>857</v>
      </c>
      <c r="D10" s="21" t="str">
        <f>C8</f>
        <v>Maize ($/mt)</v>
      </c>
      <c r="E10" s="20" t="s">
        <v>858</v>
      </c>
      <c r="F10" s="20" t="s">
        <v>859</v>
      </c>
      <c r="G10" s="20" t="s">
        <v>871</v>
      </c>
      <c r="H10" s="20" t="s">
        <v>861</v>
      </c>
      <c r="I10" s="21"/>
      <c r="J10" s="20" t="s">
        <v>872</v>
      </c>
      <c r="K10" s="20" t="s">
        <v>856</v>
      </c>
      <c r="O10" s="20" t="s">
        <v>857</v>
      </c>
      <c r="P10" s="21" t="str">
        <f>O7</f>
        <v>Barley</v>
      </c>
      <c r="Q10" s="20" t="s">
        <v>858</v>
      </c>
      <c r="R10" s="20" t="s">
        <v>859</v>
      </c>
      <c r="S10" s="20" t="s">
        <v>871</v>
      </c>
      <c r="T10" s="20" t="s">
        <v>861</v>
      </c>
      <c r="U10" s="21"/>
      <c r="V10" s="20" t="s">
        <v>862</v>
      </c>
      <c r="W10" s="20"/>
      <c r="Y10" s="7" t="s">
        <v>864</v>
      </c>
      <c r="Z10">
        <f ca="1">YEAR(C11)</f>
        <v>2000</v>
      </c>
    </row>
    <row r="11" spans="2:44">
      <c r="B11">
        <v>1</v>
      </c>
      <c r="C11" s="22">
        <f t="array" aca="1" ref="C11:C871" ca="1">x_range</f>
        <v>36831</v>
      </c>
      <c r="D11" s="17">
        <f t="array" aca="1" ref="D11:D871" ca="1">First</f>
        <v>89.17</v>
      </c>
      <c r="E11" s="17">
        <f t="array" aca="1" ref="E11:E871" ca="1">Lag_first</f>
        <v>85.03</v>
      </c>
      <c r="F11" s="23">
        <f t="array" aca="1" ref="F11:F871" ca="1">LN_First</f>
        <v>4.7540524749086939E-2</v>
      </c>
      <c r="H11" t="b">
        <f>ISNUMBER(G11)</f>
        <v>0</v>
      </c>
      <c r="I11" s="22" t="e">
        <f t="shared" ref="I11:I74" si="0">IF(H11,C11,NA)</f>
        <v>#N/A</v>
      </c>
      <c r="J11" t="e">
        <f t="shared" ref="J11:J74" si="1">IF(H11,G11,NA)</f>
        <v>#N/A</v>
      </c>
      <c r="K11">
        <f ca="1">YEAR(C11)</f>
        <v>2000</v>
      </c>
      <c r="O11" s="22">
        <f t="shared" ref="O11:O74" ca="1" si="2">C11</f>
        <v>36831</v>
      </c>
      <c r="P11" s="17">
        <f t="array" aca="1" ref="P11:P871" ca="1">Second</f>
        <v>82.46</v>
      </c>
      <c r="Q11" s="17">
        <f t="array" aca="1" ref="Q11:Q871" ca="1">Lag_Second</f>
        <v>76.150000000000006</v>
      </c>
      <c r="R11" s="23">
        <f t="array" aca="1" ref="R11:R871" ca="1">LN_second</f>
        <v>7.9608247937582893E-2</v>
      </c>
      <c r="T11" t="b">
        <f>ISNUMBER(S11)</f>
        <v>0</v>
      </c>
      <c r="U11" s="22" t="e">
        <f t="shared" ref="U11:U74" si="3">IF(T11,O11,NA)</f>
        <v>#N/A</v>
      </c>
      <c r="V11" t="e">
        <f t="shared" ref="V11:V74" si="4">IF(T11,S11,NA)</f>
        <v>#N/A</v>
      </c>
      <c r="Y11" s="7" t="s">
        <v>865</v>
      </c>
      <c r="Z11">
        <f>YEAR(('Prices for Graph'!N5))</f>
        <v>2007</v>
      </c>
      <c r="AR11" s="9">
        <f ca="1">STDEV(AR14:AR76)</f>
        <v>0.14074184030222484</v>
      </c>
    </row>
    <row r="12" spans="2:44">
      <c r="B12">
        <f>B11+1</f>
        <v>2</v>
      </c>
      <c r="C12" s="22">
        <f ca="1"/>
        <v>36861</v>
      </c>
      <c r="D12" s="17">
        <f ca="1"/>
        <v>97.56</v>
      </c>
      <c r="E12" s="17">
        <f ca="1"/>
        <v>89.17</v>
      </c>
      <c r="F12" s="23">
        <f ca="1"/>
        <v>8.9922913200931459E-2</v>
      </c>
      <c r="H12" t="b">
        <f t="shared" ref="H12:H75" si="5">ISNUMBER(G12)</f>
        <v>0</v>
      </c>
      <c r="I12" s="22" t="e">
        <f t="shared" si="0"/>
        <v>#N/A</v>
      </c>
      <c r="J12" t="e">
        <f t="shared" si="1"/>
        <v>#N/A</v>
      </c>
      <c r="K12">
        <f t="shared" ref="K12:K75" ca="1" si="6">YEAR(C12)</f>
        <v>2000</v>
      </c>
      <c r="O12" s="22">
        <f t="shared" ca="1" si="2"/>
        <v>36861</v>
      </c>
      <c r="P12" s="17">
        <f ca="1"/>
        <v>86.6</v>
      </c>
      <c r="Q12" s="17">
        <f ca="1"/>
        <v>82.46</v>
      </c>
      <c r="R12" s="23">
        <f ca="1"/>
        <v>4.898648828963556E-2</v>
      </c>
      <c r="T12" t="b">
        <f t="shared" ref="T12:T75" si="7">ISNUMBER(S12)</f>
        <v>0</v>
      </c>
      <c r="U12" s="22" t="e">
        <f t="shared" si="3"/>
        <v>#N/A</v>
      </c>
      <c r="V12" t="e">
        <f t="shared" si="4"/>
        <v>#N/A</v>
      </c>
      <c r="AR12" s="14">
        <f ca="1">AR11*SQRT(1/AJ9)</f>
        <v>8.1257339384732827E-2</v>
      </c>
    </row>
    <row r="13" spans="2:44">
      <c r="B13">
        <f t="shared" ref="B13:B76" si="8">B12+1</f>
        <v>3</v>
      </c>
      <c r="C13" s="22">
        <f ca="1"/>
        <v>36892</v>
      </c>
      <c r="D13" s="17">
        <f ca="1"/>
        <v>95.15</v>
      </c>
      <c r="E13" s="17">
        <f ca="1"/>
        <v>97.56</v>
      </c>
      <c r="F13" s="23">
        <f ca="1"/>
        <v>-2.5012979605560978E-2</v>
      </c>
      <c r="H13" t="b">
        <f t="shared" si="5"/>
        <v>0</v>
      </c>
      <c r="I13" s="22" t="e">
        <f t="shared" si="0"/>
        <v>#N/A</v>
      </c>
      <c r="J13" t="e">
        <f t="shared" si="1"/>
        <v>#N/A</v>
      </c>
      <c r="K13">
        <f t="shared" ca="1" si="6"/>
        <v>2001</v>
      </c>
      <c r="O13" s="22">
        <f t="shared" ca="1" si="2"/>
        <v>36892</v>
      </c>
      <c r="P13" s="17">
        <f ca="1"/>
        <v>85.75</v>
      </c>
      <c r="Q13" s="17">
        <f ca="1"/>
        <v>86.6</v>
      </c>
      <c r="R13" s="23">
        <f ca="1"/>
        <v>-9.8637295223401207E-3</v>
      </c>
      <c r="T13" t="b">
        <f t="shared" si="7"/>
        <v>0</v>
      </c>
      <c r="U13" s="22" t="e">
        <f t="shared" si="3"/>
        <v>#N/A</v>
      </c>
      <c r="V13" t="e">
        <f t="shared" si="4"/>
        <v>#N/A</v>
      </c>
      <c r="Y13" s="7" t="s">
        <v>856</v>
      </c>
      <c r="Z13" s="7" t="s">
        <v>876</v>
      </c>
      <c r="AA13" s="7" t="s">
        <v>875</v>
      </c>
      <c r="AB13" s="7" t="s">
        <v>877</v>
      </c>
      <c r="AD13" s="7" t="s">
        <v>856</v>
      </c>
      <c r="AE13" s="7" t="s">
        <v>876</v>
      </c>
      <c r="AF13" s="7" t="s">
        <v>875</v>
      </c>
      <c r="AG13" s="7" t="s">
        <v>877</v>
      </c>
    </row>
    <row r="14" spans="2:44">
      <c r="B14">
        <f t="shared" si="8"/>
        <v>4</v>
      </c>
      <c r="C14" s="22">
        <f ca="1"/>
        <v>36923</v>
      </c>
      <c r="D14" s="17">
        <f ca="1"/>
        <v>91.97</v>
      </c>
      <c r="E14" s="17">
        <f ca="1"/>
        <v>95.15</v>
      </c>
      <c r="F14" s="23">
        <f ca="1"/>
        <v>-3.3992156827552307E-2</v>
      </c>
      <c r="H14" t="b">
        <f t="shared" si="5"/>
        <v>0</v>
      </c>
      <c r="I14" s="22" t="e">
        <f t="shared" si="0"/>
        <v>#N/A</v>
      </c>
      <c r="J14" t="e">
        <f t="shared" si="1"/>
        <v>#N/A</v>
      </c>
      <c r="K14">
        <f t="shared" ca="1" si="6"/>
        <v>2001</v>
      </c>
      <c r="O14" s="22">
        <f t="shared" ca="1" si="2"/>
        <v>36923</v>
      </c>
      <c r="P14" s="17">
        <f ca="1"/>
        <v>82.31</v>
      </c>
      <c r="Q14" s="17">
        <f ca="1"/>
        <v>85.75</v>
      </c>
      <c r="R14" s="23">
        <f ca="1"/>
        <v>-4.0943479061496625E-2</v>
      </c>
      <c r="T14" t="b">
        <f t="shared" si="7"/>
        <v>0</v>
      </c>
      <c r="U14" s="22" t="e">
        <f t="shared" si="3"/>
        <v>#N/A</v>
      </c>
      <c r="V14" t="e">
        <f t="shared" si="4"/>
        <v>#N/A</v>
      </c>
      <c r="Y14">
        <f ca="1">YEAR(C11)</f>
        <v>2000</v>
      </c>
      <c r="Z14" t="b">
        <f t="shared" ref="Z14:Z45" ca="1" si="9">AND(Y14&gt;=$Z$10,Y14&lt;=$Z$11)</f>
        <v>1</v>
      </c>
      <c r="AA14" s="23">
        <f ca="1">IFERROR(IF(Z14,AVERAGEIF(K:K,Y14,D:D),FALSE),FALSE)</f>
        <v>93.365000000000009</v>
      </c>
      <c r="AD14">
        <f t="shared" ref="AD14:AD45" ca="1" si="10">Y14</f>
        <v>2000</v>
      </c>
      <c r="AE14" t="b">
        <f t="shared" ref="AE14:AE45" ca="1" si="11">Z14</f>
        <v>1</v>
      </c>
      <c r="AF14" s="17">
        <f t="shared" ref="AF14:AF45" ca="1" si="12">IF(AE14,AVERAGEIF(K:K,AD14,P:P))</f>
        <v>84.53</v>
      </c>
      <c r="AJ14">
        <f t="shared" ref="AJ14:AJ45" ca="1" si="13">Y14</f>
        <v>2000</v>
      </c>
      <c r="AK14">
        <f t="shared" ref="AK14:AK45" ca="1" si="14">MOD(AJ14,$AJ$9)</f>
        <v>2</v>
      </c>
      <c r="AL14">
        <f t="shared" ref="AL14:AL45" ca="1" si="15">IF(NOT(AK14),AJ14&amp;"-"&amp;OFFSET(AJ14,-$AJ$9+1,0),AL13)</f>
        <v>0</v>
      </c>
      <c r="AM14" t="b">
        <f ca="1">AK14=0</f>
        <v>0</v>
      </c>
      <c r="AN14">
        <f ca="1">AN13+AM14</f>
        <v>0</v>
      </c>
      <c r="AO14">
        <v>1</v>
      </c>
      <c r="AP14">
        <f t="shared" ref="AP14:AP45" ca="1" si="16">MATCH(AO14,AN:AN,0)</f>
        <v>15</v>
      </c>
      <c r="AQ14" t="str">
        <f t="shared" ref="AQ14:AQ45" ca="1" si="17">INDEX(AL:AL,AP14)</f>
        <v>2001-</v>
      </c>
      <c r="AR14">
        <f t="shared" ref="AR14:AR45" ca="1" si="18">IFERROR(AVERAGEIF(AL:AL,AQ14,AB:AB),FALSE)</f>
        <v>4.0320714208773013E-2</v>
      </c>
    </row>
    <row r="15" spans="2:44">
      <c r="B15">
        <f t="shared" si="8"/>
        <v>5</v>
      </c>
      <c r="C15" s="22">
        <f ca="1"/>
        <v>36951</v>
      </c>
      <c r="D15" s="17">
        <f ca="1"/>
        <v>90.25</v>
      </c>
      <c r="E15" s="17">
        <f ca="1"/>
        <v>91.97</v>
      </c>
      <c r="F15" s="23">
        <f ca="1"/>
        <v>-1.8878839701615954E-2</v>
      </c>
      <c r="H15" t="b">
        <f t="shared" si="5"/>
        <v>0</v>
      </c>
      <c r="I15" s="22" t="e">
        <f t="shared" si="0"/>
        <v>#N/A</v>
      </c>
      <c r="J15" t="e">
        <f t="shared" si="1"/>
        <v>#N/A</v>
      </c>
      <c r="K15">
        <f t="shared" ca="1" si="6"/>
        <v>2001</v>
      </c>
      <c r="O15" s="22">
        <f t="shared" ca="1" si="2"/>
        <v>36951</v>
      </c>
      <c r="P15" s="17">
        <f ca="1"/>
        <v>83.07</v>
      </c>
      <c r="Q15" s="17">
        <f ca="1"/>
        <v>82.31</v>
      </c>
      <c r="R15" s="23">
        <f ca="1"/>
        <v>9.1910188664273661E-3</v>
      </c>
      <c r="T15" t="b">
        <f t="shared" si="7"/>
        <v>0</v>
      </c>
      <c r="U15" s="22" t="e">
        <f t="shared" si="3"/>
        <v>#N/A</v>
      </c>
      <c r="V15" t="e">
        <f t="shared" si="4"/>
        <v>#N/A</v>
      </c>
      <c r="Y15">
        <f ca="1">Y14+1</f>
        <v>2001</v>
      </c>
      <c r="Z15" t="b">
        <f t="shared" ca="1" si="9"/>
        <v>1</v>
      </c>
      <c r="AA15" s="23">
        <f t="shared" ref="AA15:AA76" ca="1" si="19">IFERROR(IF(Z15,AVERAGEIF(K:K,Y15,D:D),FALSE),FALSE)</f>
        <v>89.640833333333333</v>
      </c>
      <c r="AB15">
        <f ca="1">IFERROR(IF(Z15,LN(AA15/AA14)),FALSE)</f>
        <v>-4.0705597336489402E-2</v>
      </c>
      <c r="AD15">
        <f t="shared" ca="1" si="10"/>
        <v>2001</v>
      </c>
      <c r="AE15" t="b">
        <f t="shared" ca="1" si="11"/>
        <v>1</v>
      </c>
      <c r="AF15" s="17">
        <f t="shared" ca="1" si="12"/>
        <v>93.936666666666667</v>
      </c>
      <c r="AG15">
        <f ca="1">IF(AE15,LN(AF15/AF14))</f>
        <v>0.10551429538641247</v>
      </c>
      <c r="AJ15">
        <f t="shared" ca="1" si="13"/>
        <v>2001</v>
      </c>
      <c r="AK15">
        <f t="shared" ca="1" si="14"/>
        <v>0</v>
      </c>
      <c r="AL15" t="str">
        <f t="shared" ca="1" si="15"/>
        <v>2001-</v>
      </c>
      <c r="AM15" t="b">
        <f t="shared" ref="AM15:AM76" ca="1" si="20">AK15=0</f>
        <v>1</v>
      </c>
      <c r="AN15">
        <f t="shared" ref="AN15:AN76" ca="1" si="21">AN14+AM15</f>
        <v>1</v>
      </c>
      <c r="AO15">
        <f>AO14+1</f>
        <v>2</v>
      </c>
      <c r="AP15">
        <f t="shared" ca="1" si="16"/>
        <v>18</v>
      </c>
      <c r="AQ15" t="str">
        <f t="shared" ca="1" si="17"/>
        <v>2004-2002</v>
      </c>
      <c r="AR15">
        <f t="shared" ca="1" si="18"/>
        <v>4.8440149073843787E-2</v>
      </c>
    </row>
    <row r="16" spans="2:44">
      <c r="B16">
        <f t="shared" si="8"/>
        <v>6</v>
      </c>
      <c r="C16" s="22">
        <f ca="1"/>
        <v>36982</v>
      </c>
      <c r="D16" s="17">
        <f ca="1"/>
        <v>87.99</v>
      </c>
      <c r="E16" s="17">
        <f ca="1"/>
        <v>90.25</v>
      </c>
      <c r="F16" s="23">
        <f ca="1"/>
        <v>-2.5360425555521055E-2</v>
      </c>
      <c r="H16" t="b">
        <f t="shared" si="5"/>
        <v>0</v>
      </c>
      <c r="I16" s="22" t="e">
        <f t="shared" si="0"/>
        <v>#N/A</v>
      </c>
      <c r="J16" t="e">
        <f t="shared" si="1"/>
        <v>#N/A</v>
      </c>
      <c r="K16">
        <f t="shared" ca="1" si="6"/>
        <v>2001</v>
      </c>
      <c r="O16" s="22">
        <f t="shared" ca="1" si="2"/>
        <v>36982</v>
      </c>
      <c r="P16" s="17">
        <f ca="1"/>
        <v>84.72</v>
      </c>
      <c r="Q16" s="17">
        <f ca="1"/>
        <v>83.07</v>
      </c>
      <c r="R16" s="23">
        <f ca="1"/>
        <v>1.9668075442171012E-2</v>
      </c>
      <c r="T16" t="b">
        <f t="shared" si="7"/>
        <v>0</v>
      </c>
      <c r="U16" s="22" t="e">
        <f t="shared" si="3"/>
        <v>#N/A</v>
      </c>
      <c r="V16" t="e">
        <f t="shared" si="4"/>
        <v>#N/A</v>
      </c>
      <c r="Y16">
        <f t="shared" ref="Y16:Y34" ca="1" si="22">Y15+1</f>
        <v>2002</v>
      </c>
      <c r="Z16" t="b">
        <f t="shared" ca="1" si="9"/>
        <v>1</v>
      </c>
      <c r="AA16" s="23">
        <f t="shared" ca="1" si="19"/>
        <v>99.270833333333329</v>
      </c>
      <c r="AB16">
        <f t="shared" ref="AB16:AB76" ca="1" si="23">IFERROR(IF(Z16,LN(AA16/AA15)),FALSE)</f>
        <v>0.10204085984585753</v>
      </c>
      <c r="AD16">
        <f t="shared" ca="1" si="10"/>
        <v>2002</v>
      </c>
      <c r="AE16" t="b">
        <f t="shared" ca="1" si="11"/>
        <v>1</v>
      </c>
      <c r="AF16" s="17">
        <f t="shared" ca="1" si="12"/>
        <v>108.96750000000002</v>
      </c>
      <c r="AG16">
        <f t="shared" ref="AG16:AG76" ca="1" si="24">IF(AE16,LN(AF16/AF15))</f>
        <v>0.14842887630421794</v>
      </c>
      <c r="AJ16">
        <f t="shared" ca="1" si="13"/>
        <v>2002</v>
      </c>
      <c r="AK16">
        <f t="shared" ca="1" si="14"/>
        <v>1</v>
      </c>
      <c r="AL16" t="str">
        <f t="shared" ca="1" si="15"/>
        <v>2001-</v>
      </c>
      <c r="AM16" t="b">
        <f t="shared" ca="1" si="20"/>
        <v>0</v>
      </c>
      <c r="AN16">
        <f t="shared" ca="1" si="21"/>
        <v>1</v>
      </c>
      <c r="AO16">
        <f t="shared" ref="AO16:AO76" si="25">AO15+1</f>
        <v>3</v>
      </c>
      <c r="AP16">
        <f t="shared" ca="1" si="16"/>
        <v>21</v>
      </c>
      <c r="AQ16" t="str">
        <f t="shared" ca="1" si="17"/>
        <v>2007-2005</v>
      </c>
      <c r="AR16">
        <f t="shared" ca="1" si="18"/>
        <v>0.28805101443306597</v>
      </c>
    </row>
    <row r="17" spans="2:44">
      <c r="B17">
        <f t="shared" si="8"/>
        <v>7</v>
      </c>
      <c r="C17" s="22">
        <f ca="1"/>
        <v>37012</v>
      </c>
      <c r="D17" s="17">
        <f ca="1"/>
        <v>84.09</v>
      </c>
      <c r="E17" s="17">
        <f ca="1"/>
        <v>87.99</v>
      </c>
      <c r="F17" s="23">
        <f ca="1"/>
        <v>-4.5335517812662693E-2</v>
      </c>
      <c r="H17" t="b">
        <f t="shared" si="5"/>
        <v>0</v>
      </c>
      <c r="I17" s="22" t="e">
        <f t="shared" si="0"/>
        <v>#N/A</v>
      </c>
      <c r="J17" t="e">
        <f t="shared" si="1"/>
        <v>#N/A</v>
      </c>
      <c r="K17">
        <f t="shared" ca="1" si="6"/>
        <v>2001</v>
      </c>
      <c r="O17" s="22">
        <f t="shared" ca="1" si="2"/>
        <v>37012</v>
      </c>
      <c r="P17" s="17">
        <f ca="1"/>
        <v>89.73</v>
      </c>
      <c r="Q17" s="17">
        <f ca="1"/>
        <v>84.72</v>
      </c>
      <c r="R17" s="23">
        <f ca="1"/>
        <v>5.7453460016815353E-2</v>
      </c>
      <c r="T17" t="b">
        <f t="shared" si="7"/>
        <v>0</v>
      </c>
      <c r="U17" s="22" t="e">
        <f t="shared" si="3"/>
        <v>#N/A</v>
      </c>
      <c r="V17" t="e">
        <f t="shared" si="4"/>
        <v>#N/A</v>
      </c>
      <c r="Y17">
        <f t="shared" ca="1" si="22"/>
        <v>2003</v>
      </c>
      <c r="Z17" t="b">
        <f t="shared" ca="1" si="9"/>
        <v>1</v>
      </c>
      <c r="AA17" s="23">
        <f t="shared" ca="1" si="19"/>
        <v>105.37007583333333</v>
      </c>
      <c r="AB17">
        <f t="shared" ca="1" si="23"/>
        <v>5.9626880116950914E-2</v>
      </c>
      <c r="AD17">
        <f t="shared" ca="1" si="10"/>
        <v>2003</v>
      </c>
      <c r="AE17" t="b">
        <f t="shared" ca="1" si="11"/>
        <v>1</v>
      </c>
      <c r="AF17" s="17">
        <f t="shared" ca="1" si="12"/>
        <v>104.74049416666668</v>
      </c>
      <c r="AG17">
        <f t="shared" ca="1" si="24"/>
        <v>-3.9563865759302652E-2</v>
      </c>
      <c r="AJ17">
        <f t="shared" ca="1" si="13"/>
        <v>2003</v>
      </c>
      <c r="AK17">
        <f t="shared" ca="1" si="14"/>
        <v>2</v>
      </c>
      <c r="AL17" t="str">
        <f t="shared" ca="1" si="15"/>
        <v>2001-</v>
      </c>
      <c r="AM17" t="b">
        <f t="shared" ca="1" si="20"/>
        <v>0</v>
      </c>
      <c r="AN17">
        <f t="shared" ca="1" si="21"/>
        <v>1</v>
      </c>
      <c r="AO17">
        <f t="shared" si="25"/>
        <v>4</v>
      </c>
      <c r="AP17">
        <f t="shared" ca="1" si="16"/>
        <v>24</v>
      </c>
      <c r="AQ17" t="str">
        <f t="shared" ca="1" si="17"/>
        <v>2010-2008</v>
      </c>
      <c r="AR17" t="b">
        <f t="shared" ca="1" si="18"/>
        <v>0</v>
      </c>
    </row>
    <row r="18" spans="2:44">
      <c r="B18">
        <f t="shared" si="8"/>
        <v>8</v>
      </c>
      <c r="C18" s="22">
        <f ca="1"/>
        <v>37043</v>
      </c>
      <c r="D18" s="17">
        <f ca="1"/>
        <v>83.31</v>
      </c>
      <c r="E18" s="17">
        <f ca="1"/>
        <v>84.09</v>
      </c>
      <c r="F18" s="23">
        <f ca="1"/>
        <v>-9.3190638579887988E-3</v>
      </c>
      <c r="H18" t="b">
        <f t="shared" si="5"/>
        <v>0</v>
      </c>
      <c r="I18" s="22" t="e">
        <f t="shared" si="0"/>
        <v>#N/A</v>
      </c>
      <c r="J18" t="e">
        <f t="shared" si="1"/>
        <v>#N/A</v>
      </c>
      <c r="K18">
        <f t="shared" ca="1" si="6"/>
        <v>2001</v>
      </c>
      <c r="O18" s="22">
        <f t="shared" ca="1" si="2"/>
        <v>37043</v>
      </c>
      <c r="P18" s="17">
        <f ca="1"/>
        <v>95.06</v>
      </c>
      <c r="Q18" s="17">
        <f ca="1"/>
        <v>89.73</v>
      </c>
      <c r="R18" s="23">
        <f ca="1"/>
        <v>5.7703109875897066E-2</v>
      </c>
      <c r="T18" t="b">
        <f t="shared" si="7"/>
        <v>0</v>
      </c>
      <c r="U18" s="22" t="e">
        <f t="shared" si="3"/>
        <v>#N/A</v>
      </c>
      <c r="V18" t="e">
        <f t="shared" si="4"/>
        <v>#N/A</v>
      </c>
      <c r="Y18">
        <f t="shared" ca="1" si="22"/>
        <v>2004</v>
      </c>
      <c r="Z18" t="b">
        <f t="shared" ca="1" si="9"/>
        <v>1</v>
      </c>
      <c r="AA18" s="23">
        <f t="shared" ca="1" si="19"/>
        <v>111.80347966666666</v>
      </c>
      <c r="AB18">
        <f t="shared" ca="1" si="23"/>
        <v>5.9263998970301372E-2</v>
      </c>
      <c r="AD18">
        <f t="shared" ca="1" si="10"/>
        <v>2004</v>
      </c>
      <c r="AE18" t="b">
        <f t="shared" ca="1" si="11"/>
        <v>1</v>
      </c>
      <c r="AF18" s="17">
        <f t="shared" ca="1" si="12"/>
        <v>98.988547595000014</v>
      </c>
      <c r="AG18">
        <f t="shared" ca="1" si="24"/>
        <v>-5.6481644287706342E-2</v>
      </c>
      <c r="AJ18">
        <f t="shared" ca="1" si="13"/>
        <v>2004</v>
      </c>
      <c r="AK18">
        <f t="shared" ca="1" si="14"/>
        <v>0</v>
      </c>
      <c r="AL18" t="str">
        <f t="shared" ca="1" si="15"/>
        <v>2004-2002</v>
      </c>
      <c r="AM18" t="b">
        <f t="shared" ca="1" si="20"/>
        <v>1</v>
      </c>
      <c r="AN18">
        <f t="shared" ca="1" si="21"/>
        <v>2</v>
      </c>
      <c r="AO18">
        <f t="shared" si="25"/>
        <v>5</v>
      </c>
      <c r="AP18">
        <f t="shared" ca="1" si="16"/>
        <v>27</v>
      </c>
      <c r="AQ18" t="str">
        <f t="shared" ca="1" si="17"/>
        <v>2013-2011</v>
      </c>
      <c r="AR18" t="b">
        <f t="shared" ca="1" si="18"/>
        <v>0</v>
      </c>
    </row>
    <row r="19" spans="2:44">
      <c r="B19">
        <f t="shared" si="8"/>
        <v>9</v>
      </c>
      <c r="C19" s="22">
        <f ca="1"/>
        <v>37073</v>
      </c>
      <c r="D19" s="17">
        <f ca="1"/>
        <v>91.73</v>
      </c>
      <c r="E19" s="17">
        <f ca="1"/>
        <v>83.31</v>
      </c>
      <c r="F19" s="23">
        <f ca="1"/>
        <v>9.628088953474627E-2</v>
      </c>
      <c r="H19" t="b">
        <f t="shared" si="5"/>
        <v>0</v>
      </c>
      <c r="I19" s="22" t="e">
        <f t="shared" si="0"/>
        <v>#N/A</v>
      </c>
      <c r="J19" t="e">
        <f t="shared" si="1"/>
        <v>#N/A</v>
      </c>
      <c r="K19">
        <f t="shared" ca="1" si="6"/>
        <v>2001</v>
      </c>
      <c r="O19" s="22">
        <f t="shared" ca="1" si="2"/>
        <v>37073</v>
      </c>
      <c r="P19" s="17">
        <f ca="1"/>
        <v>101.98</v>
      </c>
      <c r="Q19" s="17">
        <f ca="1"/>
        <v>95.06</v>
      </c>
      <c r="R19" s="23">
        <f ca="1"/>
        <v>7.0268444441146424E-2</v>
      </c>
      <c r="T19" t="b">
        <f t="shared" si="7"/>
        <v>0</v>
      </c>
      <c r="U19" s="22" t="e">
        <f t="shared" si="3"/>
        <v>#N/A</v>
      </c>
      <c r="V19" t="e">
        <f t="shared" si="4"/>
        <v>#N/A</v>
      </c>
      <c r="Y19">
        <f t="shared" ca="1" si="22"/>
        <v>2005</v>
      </c>
      <c r="Z19" t="b">
        <f t="shared" ca="1" si="9"/>
        <v>1</v>
      </c>
      <c r="AA19" s="23">
        <f t="shared" ca="1" si="19"/>
        <v>98.671791166666665</v>
      </c>
      <c r="AB19">
        <f t="shared" ca="1" si="23"/>
        <v>-0.12494358246041849</v>
      </c>
      <c r="AD19">
        <f t="shared" ca="1" si="10"/>
        <v>2005</v>
      </c>
      <c r="AE19" t="b">
        <f t="shared" ca="1" si="11"/>
        <v>1</v>
      </c>
      <c r="AF19" s="17">
        <f t="shared" ca="1" si="12"/>
        <v>95.077129175833349</v>
      </c>
      <c r="AG19">
        <f t="shared" ca="1" si="24"/>
        <v>-4.0315714323722739E-2</v>
      </c>
      <c r="AJ19">
        <f t="shared" ca="1" si="13"/>
        <v>2005</v>
      </c>
      <c r="AK19">
        <f t="shared" ca="1" si="14"/>
        <v>1</v>
      </c>
      <c r="AL19" t="str">
        <f t="shared" ca="1" si="15"/>
        <v>2004-2002</v>
      </c>
      <c r="AM19" t="b">
        <f t="shared" ca="1" si="20"/>
        <v>0</v>
      </c>
      <c r="AN19">
        <f t="shared" ca="1" si="21"/>
        <v>2</v>
      </c>
      <c r="AO19">
        <f t="shared" si="25"/>
        <v>6</v>
      </c>
      <c r="AP19">
        <f t="shared" ca="1" si="16"/>
        <v>30</v>
      </c>
      <c r="AQ19" t="str">
        <f t="shared" ca="1" si="17"/>
        <v>2016-2014</v>
      </c>
      <c r="AR19" t="b">
        <f t="shared" ca="1" si="18"/>
        <v>0</v>
      </c>
    </row>
    <row r="20" spans="2:44">
      <c r="B20">
        <f t="shared" si="8"/>
        <v>10</v>
      </c>
      <c r="C20" s="22">
        <f ca="1"/>
        <v>37104</v>
      </c>
      <c r="D20" s="17">
        <f ca="1"/>
        <v>93.14</v>
      </c>
      <c r="E20" s="17">
        <f ca="1"/>
        <v>91.73</v>
      </c>
      <c r="F20" s="23">
        <f ca="1"/>
        <v>1.5254258032666916E-2</v>
      </c>
      <c r="H20" t="b">
        <f t="shared" si="5"/>
        <v>0</v>
      </c>
      <c r="I20" s="22" t="e">
        <f t="shared" si="0"/>
        <v>#N/A</v>
      </c>
      <c r="J20" t="e">
        <f t="shared" si="1"/>
        <v>#N/A</v>
      </c>
      <c r="K20">
        <f t="shared" ca="1" si="6"/>
        <v>2001</v>
      </c>
      <c r="O20" s="22">
        <f t="shared" ca="1" si="2"/>
        <v>37104</v>
      </c>
      <c r="P20" s="17">
        <f ca="1"/>
        <v>99.39</v>
      </c>
      <c r="Q20" s="17">
        <f ca="1"/>
        <v>101.98</v>
      </c>
      <c r="R20" s="23">
        <f ca="1"/>
        <v>-2.5725210647095511E-2</v>
      </c>
      <c r="T20" t="b">
        <f t="shared" si="7"/>
        <v>0</v>
      </c>
      <c r="U20" s="22" t="e">
        <f t="shared" si="3"/>
        <v>#N/A</v>
      </c>
      <c r="V20" t="e">
        <f t="shared" si="4"/>
        <v>#N/A</v>
      </c>
      <c r="Y20">
        <f t="shared" ca="1" si="22"/>
        <v>2006</v>
      </c>
      <c r="Z20" t="b">
        <f t="shared" ca="1" si="9"/>
        <v>1</v>
      </c>
      <c r="AA20" s="23">
        <f t="shared" ca="1" si="19"/>
        <v>121.85101775</v>
      </c>
      <c r="AB20">
        <f t="shared" ca="1" si="23"/>
        <v>0.2110000307116485</v>
      </c>
      <c r="AD20">
        <f t="shared" ca="1" si="10"/>
        <v>2006</v>
      </c>
      <c r="AE20" t="b">
        <f t="shared" ca="1" si="11"/>
        <v>1</v>
      </c>
      <c r="AF20" s="17">
        <f t="shared" ca="1" si="12"/>
        <v>116.61509517499996</v>
      </c>
      <c r="AG20">
        <f t="shared" ca="1" si="24"/>
        <v>0.20419027846838964</v>
      </c>
      <c r="AJ20">
        <f t="shared" ca="1" si="13"/>
        <v>2006</v>
      </c>
      <c r="AK20">
        <f t="shared" ca="1" si="14"/>
        <v>2</v>
      </c>
      <c r="AL20" t="str">
        <f t="shared" ca="1" si="15"/>
        <v>2004-2002</v>
      </c>
      <c r="AM20" t="b">
        <f t="shared" ca="1" si="20"/>
        <v>0</v>
      </c>
      <c r="AN20">
        <f t="shared" ca="1" si="21"/>
        <v>2</v>
      </c>
      <c r="AO20">
        <f t="shared" si="25"/>
        <v>7</v>
      </c>
      <c r="AP20">
        <f t="shared" ca="1" si="16"/>
        <v>33</v>
      </c>
      <c r="AQ20" t="str">
        <f t="shared" ca="1" si="17"/>
        <v>2019-2017</v>
      </c>
      <c r="AR20" t="b">
        <f t="shared" ca="1" si="18"/>
        <v>0</v>
      </c>
    </row>
    <row r="21" spans="2:44">
      <c r="B21">
        <f t="shared" si="8"/>
        <v>11</v>
      </c>
      <c r="C21" s="22">
        <f ca="1"/>
        <v>37135</v>
      </c>
      <c r="D21" s="17">
        <f ca="1"/>
        <v>90.08</v>
      </c>
      <c r="E21" s="17">
        <f ca="1"/>
        <v>93.14</v>
      </c>
      <c r="F21" s="23">
        <f ca="1"/>
        <v>-3.3405573162850949E-2</v>
      </c>
      <c r="H21" t="b">
        <f t="shared" si="5"/>
        <v>0</v>
      </c>
      <c r="I21" s="22" t="e">
        <f t="shared" si="0"/>
        <v>#N/A</v>
      </c>
      <c r="J21" t="e">
        <f t="shared" si="1"/>
        <v>#N/A</v>
      </c>
      <c r="K21">
        <f t="shared" ca="1" si="6"/>
        <v>2001</v>
      </c>
      <c r="O21" s="22">
        <f t="shared" ca="1" si="2"/>
        <v>37135</v>
      </c>
      <c r="P21" s="17">
        <f ca="1"/>
        <v>99.61</v>
      </c>
      <c r="Q21" s="17">
        <f ca="1"/>
        <v>99.39</v>
      </c>
      <c r="R21" s="23">
        <f ca="1"/>
        <v>2.2110561771601111E-3</v>
      </c>
      <c r="T21" t="b">
        <f t="shared" si="7"/>
        <v>0</v>
      </c>
      <c r="U21" s="22" t="e">
        <f t="shared" si="3"/>
        <v>#N/A</v>
      </c>
      <c r="V21" t="e">
        <f t="shared" si="4"/>
        <v>#N/A</v>
      </c>
      <c r="Y21">
        <f t="shared" ca="1" si="22"/>
        <v>2007</v>
      </c>
      <c r="Z21" t="b">
        <f t="shared" ca="1" si="9"/>
        <v>1</v>
      </c>
      <c r="AA21" s="23">
        <f t="shared" ca="1" si="19"/>
        <v>162.527976</v>
      </c>
      <c r="AB21">
        <f t="shared" ca="1" si="23"/>
        <v>0.28805101443306597</v>
      </c>
      <c r="AD21">
        <f t="shared" ca="1" si="10"/>
        <v>2007</v>
      </c>
      <c r="AE21" t="b">
        <f t="shared" ca="1" si="11"/>
        <v>1</v>
      </c>
      <c r="AF21" s="17">
        <f t="shared" ca="1" si="12"/>
        <v>163.05504250000004</v>
      </c>
      <c r="AG21">
        <f t="shared" ca="1" si="24"/>
        <v>0.33520910112429148</v>
      </c>
      <c r="AJ21">
        <f t="shared" ca="1" si="13"/>
        <v>2007</v>
      </c>
      <c r="AK21">
        <f t="shared" ca="1" si="14"/>
        <v>0</v>
      </c>
      <c r="AL21" t="str">
        <f t="shared" ca="1" si="15"/>
        <v>2007-2005</v>
      </c>
      <c r="AM21" t="b">
        <f t="shared" ca="1" si="20"/>
        <v>1</v>
      </c>
      <c r="AN21">
        <f t="shared" ca="1" si="21"/>
        <v>3</v>
      </c>
      <c r="AO21">
        <f t="shared" si="25"/>
        <v>8</v>
      </c>
      <c r="AP21">
        <f t="shared" ca="1" si="16"/>
        <v>36</v>
      </c>
      <c r="AQ21" t="str">
        <f t="shared" ca="1" si="17"/>
        <v>2022-2020</v>
      </c>
      <c r="AR21" t="b">
        <f t="shared" ca="1" si="18"/>
        <v>0</v>
      </c>
    </row>
    <row r="22" spans="2:44">
      <c r="B22">
        <f t="shared" si="8"/>
        <v>12</v>
      </c>
      <c r="C22" s="22">
        <f ca="1"/>
        <v>37165</v>
      </c>
      <c r="D22" s="17">
        <f ca="1"/>
        <v>86.56</v>
      </c>
      <c r="E22" s="17">
        <f ca="1"/>
        <v>90.08</v>
      </c>
      <c r="F22" s="23">
        <f ca="1"/>
        <v>-3.9860349293208856E-2</v>
      </c>
      <c r="G22" s="23">
        <f ca="1">IFERROR(Volatility(D11:D22,12),FALSE)</f>
        <v>0.15858297155727627</v>
      </c>
      <c r="H22" t="b">
        <f t="shared" ca="1" si="5"/>
        <v>1</v>
      </c>
      <c r="I22" s="22">
        <f t="shared" ca="1" si="0"/>
        <v>37165</v>
      </c>
      <c r="J22">
        <f t="shared" ca="1" si="1"/>
        <v>0.15858297155727627</v>
      </c>
      <c r="K22">
        <f t="shared" ca="1" si="6"/>
        <v>2001</v>
      </c>
      <c r="O22" s="22">
        <f t="shared" ca="1" si="2"/>
        <v>37165</v>
      </c>
      <c r="P22" s="17">
        <f ca="1"/>
        <v>101.79</v>
      </c>
      <c r="Q22" s="17">
        <f ca="1"/>
        <v>99.61</v>
      </c>
      <c r="R22" s="23">
        <f ca="1"/>
        <v>2.1649306307174206E-2</v>
      </c>
      <c r="S22" s="23">
        <f ca="1">IFERROR(Volatility(P11:P22,12),FALSE)</f>
        <v>0.11805313993044961</v>
      </c>
      <c r="T22" t="b">
        <f t="shared" ca="1" si="7"/>
        <v>1</v>
      </c>
      <c r="U22" s="22">
        <f t="shared" ca="1" si="3"/>
        <v>37165</v>
      </c>
      <c r="V22">
        <f t="shared" ca="1" si="4"/>
        <v>0.11805313993044961</v>
      </c>
      <c r="Y22">
        <f t="shared" ca="1" si="22"/>
        <v>2008</v>
      </c>
      <c r="Z22" t="b">
        <f t="shared" ca="1" si="9"/>
        <v>0</v>
      </c>
      <c r="AA22" s="23" t="b">
        <f t="shared" ca="1" si="19"/>
        <v>0</v>
      </c>
      <c r="AB22" t="b">
        <f t="shared" ca="1" si="23"/>
        <v>0</v>
      </c>
      <c r="AD22">
        <f t="shared" ca="1" si="10"/>
        <v>2008</v>
      </c>
      <c r="AE22" t="b">
        <f t="shared" ca="1" si="11"/>
        <v>0</v>
      </c>
      <c r="AF22" s="17" t="b">
        <f t="shared" ca="1" si="12"/>
        <v>0</v>
      </c>
      <c r="AG22" t="b">
        <f t="shared" ca="1" si="24"/>
        <v>0</v>
      </c>
      <c r="AJ22">
        <f t="shared" ca="1" si="13"/>
        <v>2008</v>
      </c>
      <c r="AK22">
        <f t="shared" ca="1" si="14"/>
        <v>1</v>
      </c>
      <c r="AL22" t="str">
        <f t="shared" ca="1" si="15"/>
        <v>2007-2005</v>
      </c>
      <c r="AM22" t="b">
        <f t="shared" ca="1" si="20"/>
        <v>0</v>
      </c>
      <c r="AN22">
        <f t="shared" ca="1" si="21"/>
        <v>3</v>
      </c>
      <c r="AO22">
        <f t="shared" si="25"/>
        <v>9</v>
      </c>
      <c r="AP22">
        <f t="shared" ca="1" si="16"/>
        <v>39</v>
      </c>
      <c r="AQ22" t="str">
        <f t="shared" ca="1" si="17"/>
        <v>2025-2023</v>
      </c>
      <c r="AR22" t="b">
        <f t="shared" ca="1" si="18"/>
        <v>0</v>
      </c>
    </row>
    <row r="23" spans="2:44">
      <c r="B23">
        <f t="shared" si="8"/>
        <v>13</v>
      </c>
      <c r="C23" s="22">
        <f ca="1"/>
        <v>37196</v>
      </c>
      <c r="D23" s="17">
        <f ca="1"/>
        <v>89.54</v>
      </c>
      <c r="E23" s="17">
        <f ca="1"/>
        <v>86.56</v>
      </c>
      <c r="F23" s="23">
        <f ca="1"/>
        <v>3.3847637714648049E-2</v>
      </c>
      <c r="G23" s="23">
        <f t="shared" ref="G23:G86" ca="1" si="26">IFERROR(Volatility(D12:D23,12),FALSE)</f>
        <v>0.13307866696504828</v>
      </c>
      <c r="H23" t="b">
        <f t="shared" ca="1" si="5"/>
        <v>1</v>
      </c>
      <c r="I23" s="22">
        <f t="shared" ca="1" si="0"/>
        <v>37196</v>
      </c>
      <c r="J23">
        <f t="shared" ca="1" si="1"/>
        <v>0.13307866696504828</v>
      </c>
      <c r="K23">
        <f t="shared" ca="1" si="6"/>
        <v>2001</v>
      </c>
      <c r="O23" s="22">
        <f t="shared" ca="1" si="2"/>
        <v>37196</v>
      </c>
      <c r="P23" s="17">
        <f ca="1"/>
        <v>100.97</v>
      </c>
      <c r="Q23" s="17">
        <f ca="1"/>
        <v>101.79</v>
      </c>
      <c r="R23" s="23">
        <f ca="1"/>
        <v>-8.0884244480188931E-3</v>
      </c>
      <c r="S23" s="23">
        <f t="shared" ref="S23:S86" ca="1" si="27">IFERROR(Volatility(P12:P23,12),FALSE)</f>
        <v>0.11489527616050811</v>
      </c>
      <c r="T23" t="b">
        <f t="shared" ca="1" si="7"/>
        <v>1</v>
      </c>
      <c r="U23" s="22">
        <f t="shared" ca="1" si="3"/>
        <v>37196</v>
      </c>
      <c r="V23">
        <f t="shared" ca="1" si="4"/>
        <v>0.11489527616050811</v>
      </c>
      <c r="Y23">
        <f t="shared" ca="1" si="22"/>
        <v>2009</v>
      </c>
      <c r="Z23" t="b">
        <f t="shared" ca="1" si="9"/>
        <v>0</v>
      </c>
      <c r="AA23" s="23" t="b">
        <f t="shared" ca="1" si="19"/>
        <v>0</v>
      </c>
      <c r="AB23" t="b">
        <f t="shared" ca="1" si="23"/>
        <v>0</v>
      </c>
      <c r="AD23">
        <f t="shared" ca="1" si="10"/>
        <v>2009</v>
      </c>
      <c r="AE23" t="b">
        <f t="shared" ca="1" si="11"/>
        <v>0</v>
      </c>
      <c r="AF23" s="17" t="b">
        <f t="shared" ca="1" si="12"/>
        <v>0</v>
      </c>
      <c r="AG23" t="b">
        <f t="shared" ca="1" si="24"/>
        <v>0</v>
      </c>
      <c r="AJ23">
        <f t="shared" ca="1" si="13"/>
        <v>2009</v>
      </c>
      <c r="AK23">
        <f t="shared" ca="1" si="14"/>
        <v>2</v>
      </c>
      <c r="AL23" t="str">
        <f t="shared" ca="1" si="15"/>
        <v>2007-2005</v>
      </c>
      <c r="AM23" t="b">
        <f t="shared" ca="1" si="20"/>
        <v>0</v>
      </c>
      <c r="AN23">
        <f t="shared" ca="1" si="21"/>
        <v>3</v>
      </c>
      <c r="AO23">
        <f t="shared" si="25"/>
        <v>10</v>
      </c>
      <c r="AP23">
        <f t="shared" ca="1" si="16"/>
        <v>42</v>
      </c>
      <c r="AQ23" t="str">
        <f t="shared" ca="1" si="17"/>
        <v>2028-2026</v>
      </c>
      <c r="AR23" t="b">
        <f t="shared" ca="1" si="18"/>
        <v>0</v>
      </c>
    </row>
    <row r="24" spans="2:44">
      <c r="B24">
        <f t="shared" si="8"/>
        <v>14</v>
      </c>
      <c r="C24" s="22">
        <f ca="1"/>
        <v>37226</v>
      </c>
      <c r="D24" s="17">
        <f ca="1"/>
        <v>91.88</v>
      </c>
      <c r="E24" s="17">
        <f ca="1"/>
        <v>89.54</v>
      </c>
      <c r="F24" s="23">
        <f ca="1"/>
        <v>2.5797925008078006E-2</v>
      </c>
      <c r="G24" s="23">
        <f t="shared" ca="1" si="26"/>
        <v>0.13498808696133394</v>
      </c>
      <c r="H24" t="b">
        <f t="shared" ca="1" si="5"/>
        <v>1</v>
      </c>
      <c r="I24" s="22">
        <f t="shared" ca="1" si="0"/>
        <v>37226</v>
      </c>
      <c r="J24">
        <f t="shared" ca="1" si="1"/>
        <v>0.13498808696133394</v>
      </c>
      <c r="K24">
        <f t="shared" ca="1" si="6"/>
        <v>2001</v>
      </c>
      <c r="O24" s="22">
        <f t="shared" ca="1" si="2"/>
        <v>37226</v>
      </c>
      <c r="P24" s="17">
        <f ca="1"/>
        <v>102.86</v>
      </c>
      <c r="Q24" s="17">
        <f ca="1"/>
        <v>100.97</v>
      </c>
      <c r="R24" s="23">
        <f ca="1"/>
        <v>1.8545397330540541E-2</v>
      </c>
      <c r="S24" s="23">
        <f t="shared" ca="1" si="27"/>
        <v>0.11275852237548716</v>
      </c>
      <c r="T24" t="b">
        <f t="shared" ca="1" si="7"/>
        <v>1</v>
      </c>
      <c r="U24" s="22">
        <f t="shared" ca="1" si="3"/>
        <v>37226</v>
      </c>
      <c r="V24">
        <f t="shared" ca="1" si="4"/>
        <v>0.11275852237548716</v>
      </c>
      <c r="Y24">
        <f t="shared" ca="1" si="22"/>
        <v>2010</v>
      </c>
      <c r="Z24" t="b">
        <f t="shared" ca="1" si="9"/>
        <v>0</v>
      </c>
      <c r="AA24" s="23" t="b">
        <f t="shared" ca="1" si="19"/>
        <v>0</v>
      </c>
      <c r="AB24" t="b">
        <f t="shared" ca="1" si="23"/>
        <v>0</v>
      </c>
      <c r="AD24">
        <f t="shared" ca="1" si="10"/>
        <v>2010</v>
      </c>
      <c r="AE24" t="b">
        <f t="shared" ca="1" si="11"/>
        <v>0</v>
      </c>
      <c r="AF24" s="17" t="b">
        <f t="shared" ca="1" si="12"/>
        <v>0</v>
      </c>
      <c r="AG24" t="b">
        <f t="shared" ca="1" si="24"/>
        <v>0</v>
      </c>
      <c r="AJ24">
        <f t="shared" ca="1" si="13"/>
        <v>2010</v>
      </c>
      <c r="AK24">
        <f t="shared" ca="1" si="14"/>
        <v>0</v>
      </c>
      <c r="AL24" t="str">
        <f t="shared" ca="1" si="15"/>
        <v>2010-2008</v>
      </c>
      <c r="AM24" t="b">
        <f t="shared" ca="1" si="20"/>
        <v>1</v>
      </c>
      <c r="AN24">
        <f t="shared" ca="1" si="21"/>
        <v>4</v>
      </c>
      <c r="AO24">
        <f t="shared" si="25"/>
        <v>11</v>
      </c>
      <c r="AP24">
        <f t="shared" ca="1" si="16"/>
        <v>45</v>
      </c>
      <c r="AQ24" t="str">
        <f t="shared" ca="1" si="17"/>
        <v>2031-2029</v>
      </c>
      <c r="AR24" t="b">
        <f t="shared" ca="1" si="18"/>
        <v>0</v>
      </c>
    </row>
    <row r="25" spans="2:44">
      <c r="B25">
        <f t="shared" si="8"/>
        <v>15</v>
      </c>
      <c r="C25" s="22">
        <f ca="1"/>
        <v>37257</v>
      </c>
      <c r="D25" s="17">
        <f ca="1"/>
        <v>91.98</v>
      </c>
      <c r="E25" s="17">
        <f ca="1"/>
        <v>91.88</v>
      </c>
      <c r="F25" s="23">
        <f ca="1"/>
        <v>1.0877842908804177E-3</v>
      </c>
      <c r="G25" s="23">
        <f t="shared" ca="1" si="26"/>
        <v>0.13100219512261371</v>
      </c>
      <c r="H25" t="b">
        <f t="shared" ca="1" si="5"/>
        <v>1</v>
      </c>
      <c r="I25" s="22">
        <f t="shared" ca="1" si="0"/>
        <v>37257</v>
      </c>
      <c r="J25">
        <f t="shared" ca="1" si="1"/>
        <v>0.13100219512261371</v>
      </c>
      <c r="K25">
        <f t="shared" ca="1" si="6"/>
        <v>2002</v>
      </c>
      <c r="O25" s="22">
        <f t="shared" ca="1" si="2"/>
        <v>37257</v>
      </c>
      <c r="P25" s="17">
        <f ca="1"/>
        <v>99.27</v>
      </c>
      <c r="Q25" s="17">
        <f ca="1"/>
        <v>102.86</v>
      </c>
      <c r="R25" s="23">
        <f ca="1"/>
        <v>-3.5525429745139711E-2</v>
      </c>
      <c r="S25" s="23">
        <f t="shared" ca="1" si="27"/>
        <v>0.11021009409113457</v>
      </c>
      <c r="T25" t="b">
        <f t="shared" ca="1" si="7"/>
        <v>1</v>
      </c>
      <c r="U25" s="22">
        <f t="shared" ca="1" si="3"/>
        <v>37257</v>
      </c>
      <c r="V25">
        <f t="shared" ca="1" si="4"/>
        <v>0.11021009409113457</v>
      </c>
      <c r="Y25">
        <f t="shared" ca="1" si="22"/>
        <v>2011</v>
      </c>
      <c r="Z25" t="b">
        <f t="shared" ca="1" si="9"/>
        <v>0</v>
      </c>
      <c r="AA25" s="23" t="b">
        <f t="shared" ca="1" si="19"/>
        <v>0</v>
      </c>
      <c r="AB25" t="b">
        <f t="shared" ca="1" si="23"/>
        <v>0</v>
      </c>
      <c r="AD25">
        <f t="shared" ca="1" si="10"/>
        <v>2011</v>
      </c>
      <c r="AE25" t="b">
        <f t="shared" ca="1" si="11"/>
        <v>0</v>
      </c>
      <c r="AF25" s="17" t="b">
        <f t="shared" ca="1" si="12"/>
        <v>0</v>
      </c>
      <c r="AG25" t="b">
        <f t="shared" ca="1" si="24"/>
        <v>0</v>
      </c>
      <c r="AJ25">
        <f t="shared" ca="1" si="13"/>
        <v>2011</v>
      </c>
      <c r="AK25">
        <f t="shared" ca="1" si="14"/>
        <v>1</v>
      </c>
      <c r="AL25" t="str">
        <f t="shared" ca="1" si="15"/>
        <v>2010-2008</v>
      </c>
      <c r="AM25" t="b">
        <f t="shared" ca="1" si="20"/>
        <v>0</v>
      </c>
      <c r="AN25">
        <f t="shared" ca="1" si="21"/>
        <v>4</v>
      </c>
      <c r="AO25">
        <f t="shared" si="25"/>
        <v>12</v>
      </c>
      <c r="AP25">
        <f t="shared" ca="1" si="16"/>
        <v>48</v>
      </c>
      <c r="AQ25" t="str">
        <f t="shared" ca="1" si="17"/>
        <v>2034-2032</v>
      </c>
      <c r="AR25" t="b">
        <f t="shared" ca="1" si="18"/>
        <v>0</v>
      </c>
    </row>
    <row r="26" spans="2:44">
      <c r="B26">
        <f t="shared" si="8"/>
        <v>16</v>
      </c>
      <c r="C26" s="22">
        <f ca="1"/>
        <v>37288</v>
      </c>
      <c r="D26" s="17">
        <f ca="1"/>
        <v>90.82</v>
      </c>
      <c r="E26" s="17">
        <f ca="1"/>
        <v>91.98</v>
      </c>
      <c r="F26" s="23">
        <f ca="1"/>
        <v>-1.2691636441972801E-2</v>
      </c>
      <c r="G26" s="23">
        <f t="shared" ca="1" si="26"/>
        <v>0.13024282685083208</v>
      </c>
      <c r="H26" t="b">
        <f t="shared" ca="1" si="5"/>
        <v>1</v>
      </c>
      <c r="I26" s="22">
        <f t="shared" ca="1" si="0"/>
        <v>37288</v>
      </c>
      <c r="J26">
        <f t="shared" ca="1" si="1"/>
        <v>0.13024282685083208</v>
      </c>
      <c r="K26">
        <f t="shared" ca="1" si="6"/>
        <v>2002</v>
      </c>
      <c r="O26" s="22">
        <f t="shared" ca="1" si="2"/>
        <v>37288</v>
      </c>
      <c r="P26" s="17">
        <f ca="1"/>
        <v>99.01</v>
      </c>
      <c r="Q26" s="17">
        <f ca="1"/>
        <v>99.27</v>
      </c>
      <c r="R26" s="23">
        <f ca="1"/>
        <v>-2.622555467207128E-3</v>
      </c>
      <c r="S26" s="23">
        <f t="shared" ca="1" si="27"/>
        <v>0.11134827078803772</v>
      </c>
      <c r="T26" t="b">
        <f t="shared" ca="1" si="7"/>
        <v>1</v>
      </c>
      <c r="U26" s="22">
        <f t="shared" ca="1" si="3"/>
        <v>37288</v>
      </c>
      <c r="V26">
        <f t="shared" ca="1" si="4"/>
        <v>0.11134827078803772</v>
      </c>
      <c r="Y26">
        <f t="shared" ca="1" si="22"/>
        <v>2012</v>
      </c>
      <c r="Z26" t="b">
        <f t="shared" ca="1" si="9"/>
        <v>0</v>
      </c>
      <c r="AA26" s="23" t="b">
        <f t="shared" ca="1" si="19"/>
        <v>0</v>
      </c>
      <c r="AB26" t="b">
        <f t="shared" ca="1" si="23"/>
        <v>0</v>
      </c>
      <c r="AD26">
        <f t="shared" ca="1" si="10"/>
        <v>2012</v>
      </c>
      <c r="AE26" t="b">
        <f t="shared" ca="1" si="11"/>
        <v>0</v>
      </c>
      <c r="AF26" s="17" t="b">
        <f t="shared" ca="1" si="12"/>
        <v>0</v>
      </c>
      <c r="AG26" t="b">
        <f t="shared" ca="1" si="24"/>
        <v>0</v>
      </c>
      <c r="AJ26">
        <f t="shared" ca="1" si="13"/>
        <v>2012</v>
      </c>
      <c r="AK26">
        <f t="shared" ca="1" si="14"/>
        <v>2</v>
      </c>
      <c r="AL26" t="str">
        <f t="shared" ca="1" si="15"/>
        <v>2010-2008</v>
      </c>
      <c r="AM26" t="b">
        <f t="shared" ca="1" si="20"/>
        <v>0</v>
      </c>
      <c r="AN26">
        <f t="shared" ca="1" si="21"/>
        <v>4</v>
      </c>
      <c r="AO26">
        <f t="shared" si="25"/>
        <v>13</v>
      </c>
      <c r="AP26">
        <f t="shared" ca="1" si="16"/>
        <v>51</v>
      </c>
      <c r="AQ26" t="str">
        <f t="shared" ca="1" si="17"/>
        <v>2037-2035</v>
      </c>
      <c r="AR26" t="b">
        <f t="shared" ca="1" si="18"/>
        <v>0</v>
      </c>
    </row>
    <row r="27" spans="2:44">
      <c r="B27">
        <f t="shared" si="8"/>
        <v>17</v>
      </c>
      <c r="C27" s="22">
        <f ca="1"/>
        <v>37316</v>
      </c>
      <c r="D27" s="17">
        <f ca="1"/>
        <v>89.61</v>
      </c>
      <c r="E27" s="17">
        <f ca="1"/>
        <v>90.82</v>
      </c>
      <c r="F27" s="23">
        <f ca="1"/>
        <v>-1.3412604773676904E-2</v>
      </c>
      <c r="G27" s="23">
        <f t="shared" ca="1" si="26"/>
        <v>0.1283642754104222</v>
      </c>
      <c r="H27" t="b">
        <f t="shared" ca="1" si="5"/>
        <v>1</v>
      </c>
      <c r="I27" s="22">
        <f t="shared" ca="1" si="0"/>
        <v>37316</v>
      </c>
      <c r="J27">
        <f t="shared" ca="1" si="1"/>
        <v>0.1283642754104222</v>
      </c>
      <c r="K27">
        <f t="shared" ca="1" si="6"/>
        <v>2002</v>
      </c>
      <c r="O27" s="22">
        <f t="shared" ca="1" si="2"/>
        <v>37316</v>
      </c>
      <c r="P27" s="17">
        <f ca="1"/>
        <v>98.95</v>
      </c>
      <c r="Q27" s="17">
        <f ca="1"/>
        <v>99.01</v>
      </c>
      <c r="R27" s="23">
        <f ca="1"/>
        <v>-6.0618308584857949E-4</v>
      </c>
      <c r="S27" s="23">
        <f t="shared" ca="1" si="27"/>
        <v>0.11192798526360391</v>
      </c>
      <c r="T27" t="b">
        <f t="shared" ca="1" si="7"/>
        <v>1</v>
      </c>
      <c r="U27" s="22">
        <f t="shared" ca="1" si="3"/>
        <v>37316</v>
      </c>
      <c r="V27">
        <f t="shared" ca="1" si="4"/>
        <v>0.11192798526360391</v>
      </c>
      <c r="Y27">
        <f t="shared" ca="1" si="22"/>
        <v>2013</v>
      </c>
      <c r="Z27" t="b">
        <f t="shared" ca="1" si="9"/>
        <v>0</v>
      </c>
      <c r="AA27" s="23" t="b">
        <f t="shared" ca="1" si="19"/>
        <v>0</v>
      </c>
      <c r="AB27" t="b">
        <f t="shared" ca="1" si="23"/>
        <v>0</v>
      </c>
      <c r="AD27">
        <f t="shared" ca="1" si="10"/>
        <v>2013</v>
      </c>
      <c r="AE27" t="b">
        <f t="shared" ca="1" si="11"/>
        <v>0</v>
      </c>
      <c r="AF27" s="17" t="b">
        <f t="shared" ca="1" si="12"/>
        <v>0</v>
      </c>
      <c r="AG27" t="b">
        <f t="shared" ca="1" si="24"/>
        <v>0</v>
      </c>
      <c r="AJ27">
        <f t="shared" ca="1" si="13"/>
        <v>2013</v>
      </c>
      <c r="AK27">
        <f t="shared" ca="1" si="14"/>
        <v>0</v>
      </c>
      <c r="AL27" t="str">
        <f t="shared" ca="1" si="15"/>
        <v>2013-2011</v>
      </c>
      <c r="AM27" t="b">
        <f t="shared" ca="1" si="20"/>
        <v>1</v>
      </c>
      <c r="AN27">
        <f t="shared" ca="1" si="21"/>
        <v>5</v>
      </c>
      <c r="AO27">
        <f t="shared" si="25"/>
        <v>14</v>
      </c>
      <c r="AP27">
        <f t="shared" ca="1" si="16"/>
        <v>54</v>
      </c>
      <c r="AQ27" t="str">
        <f t="shared" ca="1" si="17"/>
        <v>2040-2038</v>
      </c>
      <c r="AR27" t="b">
        <f t="shared" ca="1" si="18"/>
        <v>0</v>
      </c>
    </row>
    <row r="28" spans="2:44">
      <c r="B28">
        <f t="shared" si="8"/>
        <v>18</v>
      </c>
      <c r="C28" s="22">
        <f ca="1"/>
        <v>37347</v>
      </c>
      <c r="D28" s="17">
        <f ca="1"/>
        <v>87.13</v>
      </c>
      <c r="E28" s="17">
        <f ca="1"/>
        <v>89.61</v>
      </c>
      <c r="F28" s="23">
        <f ca="1"/>
        <v>-2.8065664652932681E-2</v>
      </c>
      <c r="G28" s="23">
        <f t="shared" ca="1" si="26"/>
        <v>0.12303798492457418</v>
      </c>
      <c r="H28" t="b">
        <f t="shared" ca="1" si="5"/>
        <v>1</v>
      </c>
      <c r="I28" s="22">
        <f t="shared" ca="1" si="0"/>
        <v>37347</v>
      </c>
      <c r="J28">
        <f t="shared" ca="1" si="1"/>
        <v>0.12303798492457418</v>
      </c>
      <c r="K28">
        <f t="shared" ca="1" si="6"/>
        <v>2002</v>
      </c>
      <c r="O28" s="22">
        <f t="shared" ca="1" si="2"/>
        <v>37347</v>
      </c>
      <c r="P28" s="17">
        <f ca="1"/>
        <v>95.82</v>
      </c>
      <c r="Q28" s="17">
        <f ca="1"/>
        <v>98.95</v>
      </c>
      <c r="R28" s="23">
        <f ca="1"/>
        <v>-3.214324059359875E-2</v>
      </c>
      <c r="S28" s="23">
        <f t="shared" ca="1" si="27"/>
        <v>0.10854868849394601</v>
      </c>
      <c r="T28" t="b">
        <f t="shared" ca="1" si="7"/>
        <v>1</v>
      </c>
      <c r="U28" s="22">
        <f t="shared" ca="1" si="3"/>
        <v>37347</v>
      </c>
      <c r="V28">
        <f t="shared" ca="1" si="4"/>
        <v>0.10854868849394601</v>
      </c>
      <c r="Y28">
        <f t="shared" ca="1" si="22"/>
        <v>2014</v>
      </c>
      <c r="Z28" t="b">
        <f t="shared" ca="1" si="9"/>
        <v>0</v>
      </c>
      <c r="AA28" s="23" t="b">
        <f t="shared" ca="1" si="19"/>
        <v>0</v>
      </c>
      <c r="AB28" t="b">
        <f t="shared" ca="1" si="23"/>
        <v>0</v>
      </c>
      <c r="AD28">
        <f t="shared" ca="1" si="10"/>
        <v>2014</v>
      </c>
      <c r="AE28" t="b">
        <f t="shared" ca="1" si="11"/>
        <v>0</v>
      </c>
      <c r="AF28" s="17" t="b">
        <f t="shared" ca="1" si="12"/>
        <v>0</v>
      </c>
      <c r="AG28" t="b">
        <f t="shared" ca="1" si="24"/>
        <v>0</v>
      </c>
      <c r="AJ28">
        <f t="shared" ca="1" si="13"/>
        <v>2014</v>
      </c>
      <c r="AK28">
        <f t="shared" ca="1" si="14"/>
        <v>1</v>
      </c>
      <c r="AL28" t="str">
        <f t="shared" ca="1" si="15"/>
        <v>2013-2011</v>
      </c>
      <c r="AM28" t="b">
        <f t="shared" ca="1" si="20"/>
        <v>0</v>
      </c>
      <c r="AN28">
        <f t="shared" ca="1" si="21"/>
        <v>5</v>
      </c>
      <c r="AO28">
        <f t="shared" si="25"/>
        <v>15</v>
      </c>
      <c r="AP28">
        <f t="shared" ca="1" si="16"/>
        <v>57</v>
      </c>
      <c r="AQ28" t="str">
        <f t="shared" ca="1" si="17"/>
        <v>2043-2041</v>
      </c>
      <c r="AR28" t="b">
        <f t="shared" ca="1" si="18"/>
        <v>0</v>
      </c>
    </row>
    <row r="29" spans="2:44">
      <c r="B29">
        <f t="shared" si="8"/>
        <v>19</v>
      </c>
      <c r="C29" s="22">
        <f ca="1"/>
        <v>37377</v>
      </c>
      <c r="D29" s="17">
        <f ca="1"/>
        <v>90.27</v>
      </c>
      <c r="E29" s="17">
        <f ca="1"/>
        <v>87.13</v>
      </c>
      <c r="F29" s="23">
        <f ca="1"/>
        <v>3.5403923066868091E-2</v>
      </c>
      <c r="G29" s="23">
        <f t="shared" ca="1" si="26"/>
        <v>0.12612189040782926</v>
      </c>
      <c r="H29" t="b">
        <f t="shared" ca="1" si="5"/>
        <v>1</v>
      </c>
      <c r="I29" s="22">
        <f t="shared" ca="1" si="0"/>
        <v>37377</v>
      </c>
      <c r="J29">
        <f t="shared" ca="1" si="1"/>
        <v>0.12612189040782926</v>
      </c>
      <c r="K29">
        <f t="shared" ca="1" si="6"/>
        <v>2002</v>
      </c>
      <c r="O29" s="22">
        <f t="shared" ca="1" si="2"/>
        <v>37377</v>
      </c>
      <c r="P29" s="17">
        <f ca="1"/>
        <v>97.55</v>
      </c>
      <c r="Q29" s="17">
        <f ca="1"/>
        <v>95.82</v>
      </c>
      <c r="R29" s="23">
        <f ca="1"/>
        <v>1.7893635614144254E-2</v>
      </c>
      <c r="S29" s="23">
        <f t="shared" ca="1" si="27"/>
        <v>9.5150507076978877E-2</v>
      </c>
      <c r="T29" t="b">
        <f t="shared" ca="1" si="7"/>
        <v>1</v>
      </c>
      <c r="U29" s="22">
        <f t="shared" ca="1" si="3"/>
        <v>37377</v>
      </c>
      <c r="V29">
        <f t="shared" ca="1" si="4"/>
        <v>9.5150507076978877E-2</v>
      </c>
      <c r="Y29">
        <f t="shared" ca="1" si="22"/>
        <v>2015</v>
      </c>
      <c r="Z29" t="b">
        <f t="shared" ca="1" si="9"/>
        <v>0</v>
      </c>
      <c r="AA29" s="23" t="b">
        <f t="shared" ca="1" si="19"/>
        <v>0</v>
      </c>
      <c r="AB29" t="b">
        <f t="shared" ca="1" si="23"/>
        <v>0</v>
      </c>
      <c r="AD29">
        <f t="shared" ca="1" si="10"/>
        <v>2015</v>
      </c>
      <c r="AE29" t="b">
        <f t="shared" ca="1" si="11"/>
        <v>0</v>
      </c>
      <c r="AF29" s="17" t="b">
        <f t="shared" ca="1" si="12"/>
        <v>0</v>
      </c>
      <c r="AG29" t="b">
        <f t="shared" ca="1" si="24"/>
        <v>0</v>
      </c>
      <c r="AJ29">
        <f t="shared" ca="1" si="13"/>
        <v>2015</v>
      </c>
      <c r="AK29">
        <f t="shared" ca="1" si="14"/>
        <v>2</v>
      </c>
      <c r="AL29" t="str">
        <f t="shared" ca="1" si="15"/>
        <v>2013-2011</v>
      </c>
      <c r="AM29" t="b">
        <f t="shared" ca="1" si="20"/>
        <v>0</v>
      </c>
      <c r="AN29">
        <f t="shared" ca="1" si="21"/>
        <v>5</v>
      </c>
      <c r="AO29">
        <f t="shared" si="25"/>
        <v>16</v>
      </c>
      <c r="AP29">
        <f t="shared" ca="1" si="16"/>
        <v>60</v>
      </c>
      <c r="AQ29" t="str">
        <f t="shared" ca="1" si="17"/>
        <v>2046-2044</v>
      </c>
      <c r="AR29" t="b">
        <f t="shared" ca="1" si="18"/>
        <v>0</v>
      </c>
    </row>
    <row r="30" spans="2:44">
      <c r="B30">
        <f t="shared" si="8"/>
        <v>20</v>
      </c>
      <c r="C30" s="22">
        <f ca="1"/>
        <v>37408</v>
      </c>
      <c r="D30" s="17">
        <f ca="1"/>
        <v>94.09</v>
      </c>
      <c r="E30" s="17">
        <f ca="1"/>
        <v>90.27</v>
      </c>
      <c r="F30" s="23">
        <f ca="1"/>
        <v>4.1446591708610855E-2</v>
      </c>
      <c r="G30" s="23">
        <f t="shared" ca="1" si="26"/>
        <v>9.3809003517865114E-2</v>
      </c>
      <c r="H30" t="b">
        <f t="shared" ca="1" si="5"/>
        <v>1</v>
      </c>
      <c r="I30" s="22">
        <f t="shared" ca="1" si="0"/>
        <v>37408</v>
      </c>
      <c r="J30">
        <f t="shared" ca="1" si="1"/>
        <v>9.3809003517865114E-2</v>
      </c>
      <c r="K30">
        <f t="shared" ca="1" si="6"/>
        <v>2002</v>
      </c>
      <c r="O30" s="22">
        <f t="shared" ca="1" si="2"/>
        <v>37408</v>
      </c>
      <c r="P30" s="17">
        <f ca="1"/>
        <v>104.11</v>
      </c>
      <c r="Q30" s="17">
        <f ca="1"/>
        <v>97.55</v>
      </c>
      <c r="R30" s="23">
        <f ca="1"/>
        <v>6.50829654175413E-2</v>
      </c>
      <c r="S30" s="23">
        <f t="shared" ca="1" si="27"/>
        <v>9.1489434214908391E-2</v>
      </c>
      <c r="T30" t="b">
        <f t="shared" ca="1" si="7"/>
        <v>1</v>
      </c>
      <c r="U30" s="22">
        <f t="shared" ca="1" si="3"/>
        <v>37408</v>
      </c>
      <c r="V30">
        <f t="shared" ca="1" si="4"/>
        <v>9.1489434214908391E-2</v>
      </c>
      <c r="Y30">
        <f t="shared" ca="1" si="22"/>
        <v>2016</v>
      </c>
      <c r="Z30" t="b">
        <f t="shared" ca="1" si="9"/>
        <v>0</v>
      </c>
      <c r="AA30" s="23" t="b">
        <f t="shared" ca="1" si="19"/>
        <v>0</v>
      </c>
      <c r="AB30" t="b">
        <f t="shared" ca="1" si="23"/>
        <v>0</v>
      </c>
      <c r="AD30">
        <f t="shared" ca="1" si="10"/>
        <v>2016</v>
      </c>
      <c r="AE30" t="b">
        <f t="shared" ca="1" si="11"/>
        <v>0</v>
      </c>
      <c r="AF30" s="17" t="b">
        <f t="shared" ca="1" si="12"/>
        <v>0</v>
      </c>
      <c r="AG30" t="b">
        <f t="shared" ca="1" si="24"/>
        <v>0</v>
      </c>
      <c r="AJ30">
        <f t="shared" ca="1" si="13"/>
        <v>2016</v>
      </c>
      <c r="AK30">
        <f t="shared" ca="1" si="14"/>
        <v>0</v>
      </c>
      <c r="AL30" t="str">
        <f t="shared" ca="1" si="15"/>
        <v>2016-2014</v>
      </c>
      <c r="AM30" t="b">
        <f t="shared" ca="1" si="20"/>
        <v>1</v>
      </c>
      <c r="AN30">
        <f t="shared" ca="1" si="21"/>
        <v>6</v>
      </c>
      <c r="AO30">
        <f t="shared" si="25"/>
        <v>17</v>
      </c>
      <c r="AP30">
        <f t="shared" ca="1" si="16"/>
        <v>63</v>
      </c>
      <c r="AQ30" t="str">
        <f t="shared" ca="1" si="17"/>
        <v>2049-2047</v>
      </c>
      <c r="AR30" t="b">
        <f t="shared" ca="1" si="18"/>
        <v>0</v>
      </c>
    </row>
    <row r="31" spans="2:44">
      <c r="B31">
        <f t="shared" si="8"/>
        <v>21</v>
      </c>
      <c r="C31" s="22">
        <f ca="1"/>
        <v>37438</v>
      </c>
      <c r="D31" s="17">
        <f ca="1"/>
        <v>98.69</v>
      </c>
      <c r="E31" s="17">
        <f ca="1"/>
        <v>94.09</v>
      </c>
      <c r="F31" s="23">
        <f ca="1"/>
        <v>4.7731853165241478E-2</v>
      </c>
      <c r="G31" s="23">
        <f t="shared" ca="1" si="26"/>
        <v>0.10313924912483448</v>
      </c>
      <c r="H31" t="b">
        <f t="shared" ca="1" si="5"/>
        <v>1</v>
      </c>
      <c r="I31" s="22">
        <f t="shared" ca="1" si="0"/>
        <v>37438</v>
      </c>
      <c r="J31">
        <f t="shared" ca="1" si="1"/>
        <v>0.10313924912483448</v>
      </c>
      <c r="K31">
        <f t="shared" ca="1" si="6"/>
        <v>2002</v>
      </c>
      <c r="O31" s="22">
        <f t="shared" ca="1" si="2"/>
        <v>37438</v>
      </c>
      <c r="P31" s="17">
        <f ca="1"/>
        <v>114.23</v>
      </c>
      <c r="Q31" s="17">
        <f ca="1"/>
        <v>104.11</v>
      </c>
      <c r="R31" s="23">
        <f ca="1"/>
        <v>9.2765927259194331E-2</v>
      </c>
      <c r="S31" s="23">
        <f t="shared" ca="1" si="27"/>
        <v>0.12189015561270507</v>
      </c>
      <c r="T31" t="b">
        <f t="shared" ca="1" si="7"/>
        <v>1</v>
      </c>
      <c r="U31" s="22">
        <f t="shared" ca="1" si="3"/>
        <v>37438</v>
      </c>
      <c r="V31">
        <f t="shared" ca="1" si="4"/>
        <v>0.12189015561270507</v>
      </c>
      <c r="Y31">
        <f t="shared" ca="1" si="22"/>
        <v>2017</v>
      </c>
      <c r="Z31" t="b">
        <f t="shared" ca="1" si="9"/>
        <v>0</v>
      </c>
      <c r="AA31" s="23" t="b">
        <f t="shared" ca="1" si="19"/>
        <v>0</v>
      </c>
      <c r="AB31" t="b">
        <f t="shared" ca="1" si="23"/>
        <v>0</v>
      </c>
      <c r="AD31">
        <f t="shared" ca="1" si="10"/>
        <v>2017</v>
      </c>
      <c r="AE31" t="b">
        <f t="shared" ca="1" si="11"/>
        <v>0</v>
      </c>
      <c r="AF31" s="17" t="b">
        <f t="shared" ca="1" si="12"/>
        <v>0</v>
      </c>
      <c r="AG31" t="b">
        <f t="shared" ca="1" si="24"/>
        <v>0</v>
      </c>
      <c r="AJ31">
        <f t="shared" ca="1" si="13"/>
        <v>2017</v>
      </c>
      <c r="AK31">
        <f t="shared" ca="1" si="14"/>
        <v>1</v>
      </c>
      <c r="AL31" t="str">
        <f t="shared" ca="1" si="15"/>
        <v>2016-2014</v>
      </c>
      <c r="AM31" t="b">
        <f t="shared" ca="1" si="20"/>
        <v>0</v>
      </c>
      <c r="AN31">
        <f t="shared" ca="1" si="21"/>
        <v>6</v>
      </c>
      <c r="AO31">
        <f t="shared" si="25"/>
        <v>18</v>
      </c>
      <c r="AP31">
        <f t="shared" ca="1" si="16"/>
        <v>66</v>
      </c>
      <c r="AQ31" t="str">
        <f t="shared" ca="1" si="17"/>
        <v>2052-2050</v>
      </c>
      <c r="AR31" t="b">
        <f t="shared" ca="1" si="18"/>
        <v>0</v>
      </c>
    </row>
    <row r="32" spans="2:44">
      <c r="B32">
        <f t="shared" si="8"/>
        <v>22</v>
      </c>
      <c r="C32" s="22">
        <f ca="1"/>
        <v>37469</v>
      </c>
      <c r="D32" s="17">
        <f ca="1"/>
        <v>108.93</v>
      </c>
      <c r="E32" s="17">
        <f ca="1"/>
        <v>98.69</v>
      </c>
      <c r="F32" s="23">
        <f ca="1"/>
        <v>9.8721849910438295E-2</v>
      </c>
      <c r="G32" s="23">
        <f t="shared" ca="1" si="26"/>
        <v>0.12941536771248949</v>
      </c>
      <c r="H32" t="b">
        <f t="shared" ca="1" si="5"/>
        <v>1</v>
      </c>
      <c r="I32" s="22">
        <f t="shared" ca="1" si="0"/>
        <v>37469</v>
      </c>
      <c r="J32">
        <f t="shared" ca="1" si="1"/>
        <v>0.12941536771248949</v>
      </c>
      <c r="K32">
        <f t="shared" ca="1" si="6"/>
        <v>2002</v>
      </c>
      <c r="O32" s="22">
        <f t="shared" ca="1" si="2"/>
        <v>37469</v>
      </c>
      <c r="P32" s="17">
        <f ca="1"/>
        <v>120.99</v>
      </c>
      <c r="Q32" s="17">
        <f ca="1"/>
        <v>114.23</v>
      </c>
      <c r="R32" s="23">
        <f ca="1"/>
        <v>5.7493937807530635E-2</v>
      </c>
      <c r="S32" s="23">
        <f t="shared" ca="1" si="27"/>
        <v>0.12938004900207767</v>
      </c>
      <c r="T32" t="b">
        <f t="shared" ca="1" si="7"/>
        <v>1</v>
      </c>
      <c r="U32" s="22">
        <f t="shared" ca="1" si="3"/>
        <v>37469</v>
      </c>
      <c r="V32">
        <f t="shared" ca="1" si="4"/>
        <v>0.12938004900207767</v>
      </c>
      <c r="Y32">
        <f t="shared" ca="1" si="22"/>
        <v>2018</v>
      </c>
      <c r="Z32" t="b">
        <f t="shared" ca="1" si="9"/>
        <v>0</v>
      </c>
      <c r="AA32" s="23" t="b">
        <f t="shared" ca="1" si="19"/>
        <v>0</v>
      </c>
      <c r="AB32" t="b">
        <f t="shared" ca="1" si="23"/>
        <v>0</v>
      </c>
      <c r="AD32">
        <f t="shared" ca="1" si="10"/>
        <v>2018</v>
      </c>
      <c r="AE32" t="b">
        <f t="shared" ca="1" si="11"/>
        <v>0</v>
      </c>
      <c r="AF32" s="17" t="b">
        <f t="shared" ca="1" si="12"/>
        <v>0</v>
      </c>
      <c r="AG32" t="b">
        <f t="shared" ca="1" si="24"/>
        <v>0</v>
      </c>
      <c r="AJ32">
        <f t="shared" ca="1" si="13"/>
        <v>2018</v>
      </c>
      <c r="AK32">
        <f t="shared" ca="1" si="14"/>
        <v>2</v>
      </c>
      <c r="AL32" t="str">
        <f t="shared" ca="1" si="15"/>
        <v>2016-2014</v>
      </c>
      <c r="AM32" t="b">
        <f t="shared" ca="1" si="20"/>
        <v>0</v>
      </c>
      <c r="AN32">
        <f t="shared" ca="1" si="21"/>
        <v>6</v>
      </c>
      <c r="AO32">
        <f t="shared" si="25"/>
        <v>19</v>
      </c>
      <c r="AP32">
        <f t="shared" ca="1" si="16"/>
        <v>69</v>
      </c>
      <c r="AQ32" t="str">
        <f t="shared" ca="1" si="17"/>
        <v>2055-2053</v>
      </c>
      <c r="AR32" t="b">
        <f t="shared" ca="1" si="18"/>
        <v>0</v>
      </c>
    </row>
    <row r="33" spans="2:44">
      <c r="B33">
        <f t="shared" si="8"/>
        <v>23</v>
      </c>
      <c r="C33" s="22">
        <f ca="1"/>
        <v>37500</v>
      </c>
      <c r="D33" s="17">
        <f ca="1"/>
        <v>114.14</v>
      </c>
      <c r="E33" s="17">
        <f ca="1"/>
        <v>108.93</v>
      </c>
      <c r="F33" s="23">
        <f ca="1"/>
        <v>4.6720291014207826E-2</v>
      </c>
      <c r="G33" s="23">
        <f t="shared" ca="1" si="26"/>
        <v>0.11930938038020809</v>
      </c>
      <c r="H33" t="b">
        <f t="shared" ca="1" si="5"/>
        <v>1</v>
      </c>
      <c r="I33" s="22">
        <f t="shared" ca="1" si="0"/>
        <v>37500</v>
      </c>
      <c r="J33">
        <f t="shared" ca="1" si="1"/>
        <v>0.11930938038020809</v>
      </c>
      <c r="K33">
        <f t="shared" ca="1" si="6"/>
        <v>2002</v>
      </c>
      <c r="O33" s="22">
        <f t="shared" ca="1" si="2"/>
        <v>37500</v>
      </c>
      <c r="P33" s="17">
        <f ca="1"/>
        <v>119.75</v>
      </c>
      <c r="Q33" s="17">
        <f ca="1"/>
        <v>120.99</v>
      </c>
      <c r="R33" s="23">
        <f ca="1"/>
        <v>-1.0301661262361815E-2</v>
      </c>
      <c r="S33" s="23">
        <f t="shared" ca="1" si="27"/>
        <v>0.1313541144732191</v>
      </c>
      <c r="T33" t="b">
        <f t="shared" ca="1" si="7"/>
        <v>1</v>
      </c>
      <c r="U33" s="22">
        <f t="shared" ca="1" si="3"/>
        <v>37500</v>
      </c>
      <c r="V33">
        <f t="shared" ca="1" si="4"/>
        <v>0.1313541144732191</v>
      </c>
      <c r="Y33">
        <f t="shared" ca="1" si="22"/>
        <v>2019</v>
      </c>
      <c r="Z33" t="b">
        <f t="shared" ca="1" si="9"/>
        <v>0</v>
      </c>
      <c r="AA33" s="23" t="b">
        <f t="shared" ca="1" si="19"/>
        <v>0</v>
      </c>
      <c r="AB33" t="b">
        <f t="shared" ca="1" si="23"/>
        <v>0</v>
      </c>
      <c r="AD33">
        <f t="shared" ca="1" si="10"/>
        <v>2019</v>
      </c>
      <c r="AE33" t="b">
        <f t="shared" ca="1" si="11"/>
        <v>0</v>
      </c>
      <c r="AF33" s="17" t="b">
        <f t="shared" ca="1" si="12"/>
        <v>0</v>
      </c>
      <c r="AG33" t="b">
        <f t="shared" ca="1" si="24"/>
        <v>0</v>
      </c>
      <c r="AJ33">
        <f t="shared" ca="1" si="13"/>
        <v>2019</v>
      </c>
      <c r="AK33">
        <f t="shared" ca="1" si="14"/>
        <v>0</v>
      </c>
      <c r="AL33" t="str">
        <f t="shared" ca="1" si="15"/>
        <v>2019-2017</v>
      </c>
      <c r="AM33" t="b">
        <f t="shared" ca="1" si="20"/>
        <v>1</v>
      </c>
      <c r="AN33">
        <f t="shared" ca="1" si="21"/>
        <v>7</v>
      </c>
      <c r="AO33">
        <f t="shared" si="25"/>
        <v>20</v>
      </c>
      <c r="AP33">
        <f t="shared" ca="1" si="16"/>
        <v>72</v>
      </c>
      <c r="AQ33" t="str">
        <f t="shared" ca="1" si="17"/>
        <v>2058-2056</v>
      </c>
      <c r="AR33" t="b">
        <f t="shared" ca="1" si="18"/>
        <v>0</v>
      </c>
    </row>
    <row r="34" spans="2:44">
      <c r="B34">
        <f t="shared" si="8"/>
        <v>24</v>
      </c>
      <c r="C34" s="22">
        <f ca="1"/>
        <v>37530</v>
      </c>
      <c r="D34" s="17">
        <f ca="1"/>
        <v>109.7</v>
      </c>
      <c r="E34" s="17">
        <f ca="1"/>
        <v>114.14</v>
      </c>
      <c r="F34" s="23">
        <f ca="1"/>
        <v>-3.9676397827377419E-2</v>
      </c>
      <c r="G34" s="23">
        <f t="shared" ca="1" si="26"/>
        <v>0.13181823436678353</v>
      </c>
      <c r="H34" t="b">
        <f t="shared" ca="1" si="5"/>
        <v>1</v>
      </c>
      <c r="I34" s="22">
        <f t="shared" ca="1" si="0"/>
        <v>37530</v>
      </c>
      <c r="J34">
        <f t="shared" ca="1" si="1"/>
        <v>0.13181823436678353</v>
      </c>
      <c r="K34">
        <f t="shared" ca="1" si="6"/>
        <v>2002</v>
      </c>
      <c r="O34" s="22">
        <f t="shared" ca="1" si="2"/>
        <v>37530</v>
      </c>
      <c r="P34" s="17">
        <f ca="1"/>
        <v>120.61</v>
      </c>
      <c r="Q34" s="17">
        <f ca="1"/>
        <v>119.75</v>
      </c>
      <c r="R34" s="23">
        <f ca="1"/>
        <v>7.1559633041269732E-3</v>
      </c>
      <c r="S34" s="23">
        <f t="shared" ca="1" si="27"/>
        <v>0.12977178364899797</v>
      </c>
      <c r="T34" t="b">
        <f t="shared" ca="1" si="7"/>
        <v>1</v>
      </c>
      <c r="U34" s="22">
        <f t="shared" ca="1" si="3"/>
        <v>37530</v>
      </c>
      <c r="V34">
        <f t="shared" ca="1" si="4"/>
        <v>0.12977178364899797</v>
      </c>
      <c r="Y34">
        <f t="shared" ca="1" si="22"/>
        <v>2020</v>
      </c>
      <c r="Z34" t="b">
        <f t="shared" ca="1" si="9"/>
        <v>0</v>
      </c>
      <c r="AA34" s="23" t="b">
        <f t="shared" ca="1" si="19"/>
        <v>0</v>
      </c>
      <c r="AB34" t="b">
        <f t="shared" ca="1" si="23"/>
        <v>0</v>
      </c>
      <c r="AD34">
        <f t="shared" ca="1" si="10"/>
        <v>2020</v>
      </c>
      <c r="AE34" t="b">
        <f t="shared" ca="1" si="11"/>
        <v>0</v>
      </c>
      <c r="AF34" s="17" t="b">
        <f t="shared" ca="1" si="12"/>
        <v>0</v>
      </c>
      <c r="AG34" t="b">
        <f t="shared" ca="1" si="24"/>
        <v>0</v>
      </c>
      <c r="AJ34">
        <f t="shared" ca="1" si="13"/>
        <v>2020</v>
      </c>
      <c r="AK34">
        <f t="shared" ca="1" si="14"/>
        <v>1</v>
      </c>
      <c r="AL34" t="str">
        <f t="shared" ca="1" si="15"/>
        <v>2019-2017</v>
      </c>
      <c r="AM34" t="b">
        <f t="shared" ca="1" si="20"/>
        <v>0</v>
      </c>
      <c r="AN34">
        <f t="shared" ca="1" si="21"/>
        <v>7</v>
      </c>
      <c r="AO34">
        <f t="shared" si="25"/>
        <v>21</v>
      </c>
      <c r="AP34">
        <f t="shared" ca="1" si="16"/>
        <v>75</v>
      </c>
      <c r="AQ34" t="str">
        <f t="shared" ca="1" si="17"/>
        <v>2061-2059</v>
      </c>
      <c r="AR34" t="b">
        <f t="shared" ca="1" si="18"/>
        <v>0</v>
      </c>
    </row>
    <row r="35" spans="2:44">
      <c r="B35">
        <f t="shared" si="8"/>
        <v>25</v>
      </c>
      <c r="C35" s="22">
        <f ca="1"/>
        <v>37561</v>
      </c>
      <c r="D35" s="17">
        <f ca="1"/>
        <v>108.93</v>
      </c>
      <c r="E35" s="17">
        <f ca="1"/>
        <v>109.7</v>
      </c>
      <c r="F35" s="23">
        <f ca="1"/>
        <v>-7.0438931868304572E-3</v>
      </c>
      <c r="G35" s="23">
        <f t="shared" ca="1" si="26"/>
        <v>0.13305322422069649</v>
      </c>
      <c r="H35" t="b">
        <f t="shared" ca="1" si="5"/>
        <v>1</v>
      </c>
      <c r="I35" s="22">
        <f t="shared" ca="1" si="0"/>
        <v>37561</v>
      </c>
      <c r="J35">
        <f t="shared" ca="1" si="1"/>
        <v>0.13305322422069649</v>
      </c>
      <c r="K35">
        <f t="shared" ca="1" si="6"/>
        <v>2002</v>
      </c>
      <c r="O35" s="22">
        <f t="shared" ca="1" si="2"/>
        <v>37561</v>
      </c>
      <c r="P35" s="17">
        <f ca="1"/>
        <v>120.13</v>
      </c>
      <c r="Q35" s="17">
        <f ca="1"/>
        <v>120.61</v>
      </c>
      <c r="R35" s="23">
        <f ca="1"/>
        <v>-3.9877098618678669E-3</v>
      </c>
      <c r="S35" s="23">
        <f t="shared" ca="1" si="27"/>
        <v>0.13072789968850362</v>
      </c>
      <c r="T35" t="b">
        <f t="shared" ca="1" si="7"/>
        <v>1</v>
      </c>
      <c r="U35" s="22">
        <f t="shared" ca="1" si="3"/>
        <v>37561</v>
      </c>
      <c r="V35">
        <f t="shared" ca="1" si="4"/>
        <v>0.13072789968850362</v>
      </c>
      <c r="Y35">
        <f t="shared" ref="Y35:Y61" ca="1" si="28">Y34+1</f>
        <v>2021</v>
      </c>
      <c r="Z35" t="b">
        <f t="shared" ca="1" si="9"/>
        <v>0</v>
      </c>
      <c r="AA35" s="23" t="b">
        <f t="shared" ca="1" si="19"/>
        <v>0</v>
      </c>
      <c r="AB35" t="b">
        <f t="shared" ca="1" si="23"/>
        <v>0</v>
      </c>
      <c r="AD35">
        <f t="shared" ca="1" si="10"/>
        <v>2021</v>
      </c>
      <c r="AE35" t="b">
        <f t="shared" ca="1" si="11"/>
        <v>0</v>
      </c>
      <c r="AF35" s="17" t="b">
        <f t="shared" ca="1" si="12"/>
        <v>0</v>
      </c>
      <c r="AG35" t="b">
        <f t="shared" ca="1" si="24"/>
        <v>0</v>
      </c>
      <c r="AJ35">
        <f t="shared" ca="1" si="13"/>
        <v>2021</v>
      </c>
      <c r="AK35">
        <f t="shared" ca="1" si="14"/>
        <v>2</v>
      </c>
      <c r="AL35" t="str">
        <f t="shared" ca="1" si="15"/>
        <v>2019-2017</v>
      </c>
      <c r="AM35" t="b">
        <f t="shared" ca="1" si="20"/>
        <v>0</v>
      </c>
      <c r="AN35">
        <f t="shared" ca="1" si="21"/>
        <v>7</v>
      </c>
      <c r="AO35">
        <f t="shared" si="25"/>
        <v>22</v>
      </c>
      <c r="AP35" t="e">
        <f t="shared" ca="1" si="16"/>
        <v>#N/A</v>
      </c>
      <c r="AQ35" t="e">
        <f t="shared" ca="1" si="17"/>
        <v>#N/A</v>
      </c>
      <c r="AR35" t="b">
        <f t="shared" ca="1" si="18"/>
        <v>0</v>
      </c>
    </row>
    <row r="36" spans="2:44">
      <c r="B36">
        <f t="shared" si="8"/>
        <v>26</v>
      </c>
      <c r="C36" s="22">
        <f ca="1"/>
        <v>37591</v>
      </c>
      <c r="D36" s="17">
        <f ca="1"/>
        <v>106.96</v>
      </c>
      <c r="E36" s="17">
        <f ca="1"/>
        <v>108.93</v>
      </c>
      <c r="F36" s="23">
        <f ca="1"/>
        <v>-1.8250541300666501E-2</v>
      </c>
      <c r="G36" s="23">
        <f t="shared" ca="1" si="26"/>
        <v>0.13606147453558115</v>
      </c>
      <c r="H36" t="b">
        <f t="shared" ca="1" si="5"/>
        <v>1</v>
      </c>
      <c r="I36" s="22">
        <f t="shared" ca="1" si="0"/>
        <v>37591</v>
      </c>
      <c r="J36">
        <f t="shared" ca="1" si="1"/>
        <v>0.13606147453558115</v>
      </c>
      <c r="K36">
        <f t="shared" ca="1" si="6"/>
        <v>2002</v>
      </c>
      <c r="O36" s="22">
        <f t="shared" ca="1" si="2"/>
        <v>37591</v>
      </c>
      <c r="P36" s="17">
        <f ca="1"/>
        <v>117.19</v>
      </c>
      <c r="Q36" s="17">
        <f ca="1"/>
        <v>120.13</v>
      </c>
      <c r="R36" s="23">
        <f ca="1"/>
        <v>-2.4777940462772742E-2</v>
      </c>
      <c r="S36" s="23">
        <f t="shared" ca="1" si="27"/>
        <v>0.12718554261903031</v>
      </c>
      <c r="T36" t="b">
        <f t="shared" ca="1" si="7"/>
        <v>1</v>
      </c>
      <c r="U36" s="22">
        <f t="shared" ca="1" si="3"/>
        <v>37591</v>
      </c>
      <c r="V36">
        <f t="shared" ca="1" si="4"/>
        <v>0.12718554261903031</v>
      </c>
      <c r="Y36">
        <f t="shared" ca="1" si="28"/>
        <v>2022</v>
      </c>
      <c r="Z36" t="b">
        <f t="shared" ca="1" si="9"/>
        <v>0</v>
      </c>
      <c r="AA36" s="23" t="b">
        <f t="shared" ca="1" si="19"/>
        <v>0</v>
      </c>
      <c r="AB36" t="b">
        <f t="shared" ca="1" si="23"/>
        <v>0</v>
      </c>
      <c r="AD36">
        <f t="shared" ca="1" si="10"/>
        <v>2022</v>
      </c>
      <c r="AE36" t="b">
        <f t="shared" ca="1" si="11"/>
        <v>0</v>
      </c>
      <c r="AF36" s="17" t="b">
        <f t="shared" ca="1" si="12"/>
        <v>0</v>
      </c>
      <c r="AG36" t="b">
        <f t="shared" ca="1" si="24"/>
        <v>0</v>
      </c>
      <c r="AJ36">
        <f t="shared" ca="1" si="13"/>
        <v>2022</v>
      </c>
      <c r="AK36">
        <f t="shared" ca="1" si="14"/>
        <v>0</v>
      </c>
      <c r="AL36" t="str">
        <f t="shared" ca="1" si="15"/>
        <v>2022-2020</v>
      </c>
      <c r="AM36" t="b">
        <f t="shared" ca="1" si="20"/>
        <v>1</v>
      </c>
      <c r="AN36">
        <f t="shared" ca="1" si="21"/>
        <v>8</v>
      </c>
      <c r="AO36">
        <f t="shared" si="25"/>
        <v>23</v>
      </c>
      <c r="AP36" t="e">
        <f t="shared" ca="1" si="16"/>
        <v>#N/A</v>
      </c>
      <c r="AQ36" t="e">
        <f t="shared" ca="1" si="17"/>
        <v>#N/A</v>
      </c>
      <c r="AR36" t="b">
        <f t="shared" ca="1" si="18"/>
        <v>0</v>
      </c>
    </row>
    <row r="37" spans="2:44">
      <c r="B37">
        <f t="shared" si="8"/>
        <v>27</v>
      </c>
      <c r="C37" s="22">
        <f ca="1"/>
        <v>37622</v>
      </c>
      <c r="D37" s="17">
        <f ca="1"/>
        <v>106.1361</v>
      </c>
      <c r="E37" s="17">
        <f ca="1"/>
        <v>106.96</v>
      </c>
      <c r="F37" s="23">
        <f ca="1"/>
        <v>-7.732699992133673E-3</v>
      </c>
      <c r="G37" s="23">
        <f t="shared" ca="1" si="26"/>
        <v>0.13525693701416161</v>
      </c>
      <c r="H37" t="b">
        <f t="shared" ca="1" si="5"/>
        <v>1</v>
      </c>
      <c r="I37" s="22">
        <f t="shared" ca="1" si="0"/>
        <v>37622</v>
      </c>
      <c r="J37">
        <f t="shared" ca="1" si="1"/>
        <v>0.13525693701416161</v>
      </c>
      <c r="K37">
        <f t="shared" ca="1" si="6"/>
        <v>2003</v>
      </c>
      <c r="O37" s="22">
        <f t="shared" ca="1" si="2"/>
        <v>37622</v>
      </c>
      <c r="P37" s="17">
        <f ca="1"/>
        <v>113.7</v>
      </c>
      <c r="Q37" s="17">
        <f ca="1"/>
        <v>117.19</v>
      </c>
      <c r="R37" s="23">
        <f ca="1"/>
        <v>-3.0233148514020602E-2</v>
      </c>
      <c r="S37" s="23">
        <f t="shared" ca="1" si="27"/>
        <v>0.13315261479663254</v>
      </c>
      <c r="T37" t="b">
        <f t="shared" ca="1" si="7"/>
        <v>1</v>
      </c>
      <c r="U37" s="22">
        <f t="shared" ca="1" si="3"/>
        <v>37622</v>
      </c>
      <c r="V37">
        <f t="shared" ca="1" si="4"/>
        <v>0.13315261479663254</v>
      </c>
      <c r="Y37">
        <f t="shared" ca="1" si="28"/>
        <v>2023</v>
      </c>
      <c r="Z37" t="b">
        <f t="shared" ca="1" si="9"/>
        <v>0</v>
      </c>
      <c r="AA37" s="23" t="b">
        <f t="shared" ca="1" si="19"/>
        <v>0</v>
      </c>
      <c r="AB37" t="b">
        <f t="shared" ca="1" si="23"/>
        <v>0</v>
      </c>
      <c r="AD37">
        <f t="shared" ca="1" si="10"/>
        <v>2023</v>
      </c>
      <c r="AE37" t="b">
        <f t="shared" ca="1" si="11"/>
        <v>0</v>
      </c>
      <c r="AF37" s="17" t="b">
        <f t="shared" ca="1" si="12"/>
        <v>0</v>
      </c>
      <c r="AG37" t="b">
        <f t="shared" ca="1" si="24"/>
        <v>0</v>
      </c>
      <c r="AJ37">
        <f t="shared" ca="1" si="13"/>
        <v>2023</v>
      </c>
      <c r="AK37">
        <f t="shared" ca="1" si="14"/>
        <v>1</v>
      </c>
      <c r="AL37" t="str">
        <f t="shared" ca="1" si="15"/>
        <v>2022-2020</v>
      </c>
      <c r="AM37" t="b">
        <f t="shared" ca="1" si="20"/>
        <v>0</v>
      </c>
      <c r="AN37">
        <f t="shared" ca="1" si="21"/>
        <v>8</v>
      </c>
      <c r="AO37">
        <f t="shared" si="25"/>
        <v>24</v>
      </c>
      <c r="AP37" t="e">
        <f t="shared" ca="1" si="16"/>
        <v>#N/A</v>
      </c>
      <c r="AQ37" t="e">
        <f t="shared" ca="1" si="17"/>
        <v>#N/A</v>
      </c>
      <c r="AR37" t="b">
        <f t="shared" ca="1" si="18"/>
        <v>0</v>
      </c>
    </row>
    <row r="38" spans="2:44">
      <c r="B38">
        <f t="shared" si="8"/>
        <v>28</v>
      </c>
      <c r="C38" s="22">
        <f ca="1"/>
        <v>37653</v>
      </c>
      <c r="D38" s="17">
        <f ca="1"/>
        <v>105.8507</v>
      </c>
      <c r="E38" s="17">
        <f ca="1"/>
        <v>106.1361</v>
      </c>
      <c r="F38" s="23">
        <f ca="1"/>
        <v>-2.6926221107561837E-3</v>
      </c>
      <c r="G38" s="23">
        <f t="shared" ca="1" si="26"/>
        <v>0.13362608737160986</v>
      </c>
      <c r="H38" t="b">
        <f t="shared" ca="1" si="5"/>
        <v>1</v>
      </c>
      <c r="I38" s="22">
        <f t="shared" ca="1" si="0"/>
        <v>37653</v>
      </c>
      <c r="J38">
        <f t="shared" ca="1" si="1"/>
        <v>0.13362608737160986</v>
      </c>
      <c r="K38">
        <f t="shared" ca="1" si="6"/>
        <v>2003</v>
      </c>
      <c r="O38" s="22">
        <f t="shared" ca="1" si="2"/>
        <v>37653</v>
      </c>
      <c r="P38" s="17">
        <f ca="1"/>
        <v>114.15</v>
      </c>
      <c r="Q38" s="17">
        <f ca="1"/>
        <v>113.7</v>
      </c>
      <c r="R38" s="23">
        <f ca="1"/>
        <v>3.9499722193142902E-3</v>
      </c>
      <c r="S38" s="23">
        <f t="shared" ca="1" si="27"/>
        <v>0.13283932417567984</v>
      </c>
      <c r="T38" t="b">
        <f t="shared" ca="1" si="7"/>
        <v>1</v>
      </c>
      <c r="U38" s="22">
        <f t="shared" ca="1" si="3"/>
        <v>37653</v>
      </c>
      <c r="V38">
        <f t="shared" ca="1" si="4"/>
        <v>0.13283932417567984</v>
      </c>
      <c r="Y38">
        <f t="shared" ca="1" si="28"/>
        <v>2024</v>
      </c>
      <c r="Z38" t="b">
        <f t="shared" ca="1" si="9"/>
        <v>0</v>
      </c>
      <c r="AA38" s="23" t="b">
        <f t="shared" ca="1" si="19"/>
        <v>0</v>
      </c>
      <c r="AB38" t="b">
        <f t="shared" ca="1" si="23"/>
        <v>0</v>
      </c>
      <c r="AD38">
        <f t="shared" ca="1" si="10"/>
        <v>2024</v>
      </c>
      <c r="AE38" t="b">
        <f t="shared" ca="1" si="11"/>
        <v>0</v>
      </c>
      <c r="AF38" s="17" t="b">
        <f t="shared" ca="1" si="12"/>
        <v>0</v>
      </c>
      <c r="AG38" t="b">
        <f t="shared" ca="1" si="24"/>
        <v>0</v>
      </c>
      <c r="AJ38">
        <f t="shared" ca="1" si="13"/>
        <v>2024</v>
      </c>
      <c r="AK38">
        <f t="shared" ca="1" si="14"/>
        <v>2</v>
      </c>
      <c r="AL38" t="str">
        <f t="shared" ca="1" si="15"/>
        <v>2022-2020</v>
      </c>
      <c r="AM38" t="b">
        <f t="shared" ca="1" si="20"/>
        <v>0</v>
      </c>
      <c r="AN38">
        <f t="shared" ca="1" si="21"/>
        <v>8</v>
      </c>
      <c r="AO38">
        <f t="shared" si="25"/>
        <v>25</v>
      </c>
      <c r="AP38" t="e">
        <f t="shared" ca="1" si="16"/>
        <v>#N/A</v>
      </c>
      <c r="AQ38" t="e">
        <f t="shared" ca="1" si="17"/>
        <v>#N/A</v>
      </c>
      <c r="AR38" t="b">
        <f t="shared" ca="1" si="18"/>
        <v>0</v>
      </c>
    </row>
    <row r="39" spans="2:44">
      <c r="B39">
        <f t="shared" si="8"/>
        <v>29</v>
      </c>
      <c r="C39" s="22">
        <f ca="1"/>
        <v>37681</v>
      </c>
      <c r="D39" s="17">
        <f ca="1"/>
        <v>105.60469999999999</v>
      </c>
      <c r="E39" s="17">
        <f ca="1"/>
        <v>105.8507</v>
      </c>
      <c r="F39" s="23">
        <f ca="1"/>
        <v>-2.3267328333119027E-3</v>
      </c>
      <c r="G39" s="23">
        <f t="shared" ca="1" si="26"/>
        <v>0.1279184956449885</v>
      </c>
      <c r="H39" t="b">
        <f t="shared" ca="1" si="5"/>
        <v>1</v>
      </c>
      <c r="I39" s="22">
        <f t="shared" ca="1" si="0"/>
        <v>37681</v>
      </c>
      <c r="J39">
        <f t="shared" ca="1" si="1"/>
        <v>0.1279184956449885</v>
      </c>
      <c r="K39">
        <f t="shared" ca="1" si="6"/>
        <v>2003</v>
      </c>
      <c r="O39" s="22">
        <f t="shared" ca="1" si="2"/>
        <v>37681</v>
      </c>
      <c r="P39" s="17">
        <f ca="1"/>
        <v>113.65</v>
      </c>
      <c r="Q39" s="17">
        <f ca="1"/>
        <v>114.15</v>
      </c>
      <c r="R39" s="23">
        <f ca="1"/>
        <v>-4.389822677252359E-3</v>
      </c>
      <c r="S39" s="23">
        <f t="shared" ca="1" si="27"/>
        <v>0.12634467131649532</v>
      </c>
      <c r="T39" t="b">
        <f t="shared" ca="1" si="7"/>
        <v>1</v>
      </c>
      <c r="U39" s="22">
        <f t="shared" ca="1" si="3"/>
        <v>37681</v>
      </c>
      <c r="V39">
        <f t="shared" ca="1" si="4"/>
        <v>0.12634467131649532</v>
      </c>
      <c r="Y39">
        <f t="shared" ca="1" si="28"/>
        <v>2025</v>
      </c>
      <c r="Z39" t="b">
        <f t="shared" ca="1" si="9"/>
        <v>0</v>
      </c>
      <c r="AA39" s="23" t="b">
        <f t="shared" ca="1" si="19"/>
        <v>0</v>
      </c>
      <c r="AB39" t="b">
        <f t="shared" ca="1" si="23"/>
        <v>0</v>
      </c>
      <c r="AD39">
        <f t="shared" ca="1" si="10"/>
        <v>2025</v>
      </c>
      <c r="AE39" t="b">
        <f t="shared" ca="1" si="11"/>
        <v>0</v>
      </c>
      <c r="AF39" s="17" t="b">
        <f t="shared" ca="1" si="12"/>
        <v>0</v>
      </c>
      <c r="AG39" t="b">
        <f t="shared" ca="1" si="24"/>
        <v>0</v>
      </c>
      <c r="AJ39">
        <f t="shared" ca="1" si="13"/>
        <v>2025</v>
      </c>
      <c r="AK39">
        <f t="shared" ca="1" si="14"/>
        <v>0</v>
      </c>
      <c r="AL39" t="str">
        <f t="shared" ca="1" si="15"/>
        <v>2025-2023</v>
      </c>
      <c r="AM39" t="b">
        <f t="shared" ca="1" si="20"/>
        <v>1</v>
      </c>
      <c r="AN39">
        <f t="shared" ca="1" si="21"/>
        <v>9</v>
      </c>
      <c r="AO39">
        <f t="shared" si="25"/>
        <v>26</v>
      </c>
      <c r="AP39" t="e">
        <f t="shared" ca="1" si="16"/>
        <v>#N/A</v>
      </c>
      <c r="AQ39" t="e">
        <f t="shared" ca="1" si="17"/>
        <v>#N/A</v>
      </c>
      <c r="AR39" t="b">
        <f t="shared" ca="1" si="18"/>
        <v>0</v>
      </c>
    </row>
    <row r="40" spans="2:44">
      <c r="B40">
        <f t="shared" si="8"/>
        <v>30</v>
      </c>
      <c r="C40" s="22">
        <f ca="1"/>
        <v>37712</v>
      </c>
      <c r="D40" s="17">
        <f ca="1"/>
        <v>105.45699999999999</v>
      </c>
      <c r="E40" s="17">
        <f ca="1"/>
        <v>105.60469999999999</v>
      </c>
      <c r="F40" s="23">
        <f ca="1"/>
        <v>-1.3995909642558865E-3</v>
      </c>
      <c r="G40" s="23">
        <f t="shared" ca="1" si="26"/>
        <v>0.12687118441507114</v>
      </c>
      <c r="H40" t="b">
        <f t="shared" ca="1" si="5"/>
        <v>1</v>
      </c>
      <c r="I40" s="22">
        <f t="shared" ca="1" si="0"/>
        <v>37712</v>
      </c>
      <c r="J40">
        <f t="shared" ca="1" si="1"/>
        <v>0.12687118441507114</v>
      </c>
      <c r="K40">
        <f t="shared" ca="1" si="6"/>
        <v>2003</v>
      </c>
      <c r="O40" s="22">
        <f t="shared" ca="1" si="2"/>
        <v>37712</v>
      </c>
      <c r="P40" s="17">
        <f ca="1"/>
        <v>114.59</v>
      </c>
      <c r="Q40" s="17">
        <f ca="1"/>
        <v>113.65</v>
      </c>
      <c r="R40" s="23">
        <f ca="1"/>
        <v>8.2369901398047073E-3</v>
      </c>
      <c r="S40" s="23">
        <f t="shared" ca="1" si="27"/>
        <v>0.12632100333467017</v>
      </c>
      <c r="T40" t="b">
        <f t="shared" ca="1" si="7"/>
        <v>1</v>
      </c>
      <c r="U40" s="22">
        <f t="shared" ca="1" si="3"/>
        <v>37712</v>
      </c>
      <c r="V40">
        <f t="shared" ca="1" si="4"/>
        <v>0.12632100333467017</v>
      </c>
      <c r="Y40">
        <f t="shared" ca="1" si="28"/>
        <v>2026</v>
      </c>
      <c r="Z40" t="b">
        <f t="shared" ca="1" si="9"/>
        <v>0</v>
      </c>
      <c r="AA40" s="23" t="b">
        <f t="shared" ca="1" si="19"/>
        <v>0</v>
      </c>
      <c r="AB40" t="b">
        <f t="shared" ca="1" si="23"/>
        <v>0</v>
      </c>
      <c r="AD40">
        <f t="shared" ca="1" si="10"/>
        <v>2026</v>
      </c>
      <c r="AE40" t="b">
        <f t="shared" ca="1" si="11"/>
        <v>0</v>
      </c>
      <c r="AF40" s="17" t="b">
        <f t="shared" ca="1" si="12"/>
        <v>0</v>
      </c>
      <c r="AG40" t="b">
        <f t="shared" ca="1" si="24"/>
        <v>0</v>
      </c>
      <c r="AJ40">
        <f t="shared" ca="1" si="13"/>
        <v>2026</v>
      </c>
      <c r="AK40">
        <f t="shared" ca="1" si="14"/>
        <v>1</v>
      </c>
      <c r="AL40" t="str">
        <f t="shared" ca="1" si="15"/>
        <v>2025-2023</v>
      </c>
      <c r="AM40" t="b">
        <f t="shared" ca="1" si="20"/>
        <v>0</v>
      </c>
      <c r="AN40">
        <f t="shared" ca="1" si="21"/>
        <v>9</v>
      </c>
      <c r="AO40">
        <f t="shared" si="25"/>
        <v>27</v>
      </c>
      <c r="AP40" t="e">
        <f t="shared" ca="1" si="16"/>
        <v>#N/A</v>
      </c>
      <c r="AQ40" t="e">
        <f t="shared" ca="1" si="17"/>
        <v>#N/A</v>
      </c>
      <c r="AR40" t="b">
        <f t="shared" ca="1" si="18"/>
        <v>0</v>
      </c>
    </row>
    <row r="41" spans="2:44">
      <c r="B41">
        <f t="shared" si="8"/>
        <v>31</v>
      </c>
      <c r="C41" s="22">
        <f ca="1"/>
        <v>37742</v>
      </c>
      <c r="D41" s="17">
        <f ca="1"/>
        <v>107.4943</v>
      </c>
      <c r="E41" s="17">
        <f ca="1"/>
        <v>105.45699999999999</v>
      </c>
      <c r="F41" s="23">
        <f ca="1"/>
        <v>1.9134536012891046E-2</v>
      </c>
      <c r="G41" s="23">
        <f t="shared" ca="1" si="26"/>
        <v>0.12345071877397092</v>
      </c>
      <c r="H41" t="b">
        <f t="shared" ca="1" si="5"/>
        <v>1</v>
      </c>
      <c r="I41" s="22">
        <f t="shared" ca="1" si="0"/>
        <v>37742</v>
      </c>
      <c r="J41">
        <f t="shared" ca="1" si="1"/>
        <v>0.12345071877397092</v>
      </c>
      <c r="K41">
        <f t="shared" ca="1" si="6"/>
        <v>2003</v>
      </c>
      <c r="O41" s="22">
        <f t="shared" ca="1" si="2"/>
        <v>37742</v>
      </c>
      <c r="P41" s="17">
        <f ca="1"/>
        <v>115.5</v>
      </c>
      <c r="Q41" s="17">
        <f ca="1"/>
        <v>114.59</v>
      </c>
      <c r="R41" s="23">
        <f ca="1"/>
        <v>7.9099895234913762E-3</v>
      </c>
      <c r="S41" s="23">
        <f t="shared" ca="1" si="27"/>
        <v>0.11379112356333623</v>
      </c>
      <c r="T41" t="b">
        <f t="shared" ca="1" si="7"/>
        <v>1</v>
      </c>
      <c r="U41" s="22">
        <f t="shared" ca="1" si="3"/>
        <v>37742</v>
      </c>
      <c r="V41">
        <f t="shared" ca="1" si="4"/>
        <v>0.11379112356333623</v>
      </c>
      <c r="Y41">
        <f t="shared" ca="1" si="28"/>
        <v>2027</v>
      </c>
      <c r="Z41" t="b">
        <f t="shared" ca="1" si="9"/>
        <v>0</v>
      </c>
      <c r="AA41" s="23" t="b">
        <f t="shared" ca="1" si="19"/>
        <v>0</v>
      </c>
      <c r="AB41" t="b">
        <f t="shared" ca="1" si="23"/>
        <v>0</v>
      </c>
      <c r="AD41">
        <f t="shared" ca="1" si="10"/>
        <v>2027</v>
      </c>
      <c r="AE41" t="b">
        <f t="shared" ca="1" si="11"/>
        <v>0</v>
      </c>
      <c r="AF41" s="17" t="b">
        <f t="shared" ca="1" si="12"/>
        <v>0</v>
      </c>
      <c r="AG41" t="b">
        <f t="shared" ca="1" si="24"/>
        <v>0</v>
      </c>
      <c r="AJ41">
        <f t="shared" ca="1" si="13"/>
        <v>2027</v>
      </c>
      <c r="AK41">
        <f t="shared" ca="1" si="14"/>
        <v>2</v>
      </c>
      <c r="AL41" t="str">
        <f t="shared" ca="1" si="15"/>
        <v>2025-2023</v>
      </c>
      <c r="AM41" t="b">
        <f t="shared" ca="1" si="20"/>
        <v>0</v>
      </c>
      <c r="AN41">
        <f t="shared" ca="1" si="21"/>
        <v>9</v>
      </c>
      <c r="AO41">
        <f t="shared" si="25"/>
        <v>28</v>
      </c>
      <c r="AP41" t="e">
        <f t="shared" ca="1" si="16"/>
        <v>#N/A</v>
      </c>
      <c r="AQ41" t="e">
        <f t="shared" ca="1" si="17"/>
        <v>#N/A</v>
      </c>
      <c r="AR41" t="b">
        <f t="shared" ca="1" si="18"/>
        <v>0</v>
      </c>
    </row>
    <row r="42" spans="2:44">
      <c r="B42">
        <f t="shared" si="8"/>
        <v>32</v>
      </c>
      <c r="C42" s="22">
        <f ca="1"/>
        <v>37773</v>
      </c>
      <c r="D42" s="17">
        <f ca="1"/>
        <v>107.327</v>
      </c>
      <c r="E42" s="17">
        <f ca="1"/>
        <v>107.4943</v>
      </c>
      <c r="F42" s="23">
        <f ca="1"/>
        <v>-1.5575739819374858E-3</v>
      </c>
      <c r="G42" s="23">
        <f t="shared" ca="1" si="26"/>
        <v>0.11741909500330594</v>
      </c>
      <c r="H42" t="b">
        <f t="shared" ca="1" si="5"/>
        <v>1</v>
      </c>
      <c r="I42" s="22">
        <f t="shared" ca="1" si="0"/>
        <v>37773</v>
      </c>
      <c r="J42">
        <f t="shared" ca="1" si="1"/>
        <v>0.11741909500330594</v>
      </c>
      <c r="K42">
        <f t="shared" ca="1" si="6"/>
        <v>2003</v>
      </c>
      <c r="O42" s="22">
        <f t="shared" ca="1" si="2"/>
        <v>37773</v>
      </c>
      <c r="P42" s="17">
        <f ca="1"/>
        <v>111.48</v>
      </c>
      <c r="Q42" s="17">
        <f ca="1"/>
        <v>115.5</v>
      </c>
      <c r="R42" s="23">
        <f ca="1"/>
        <v>-3.5425327348100694E-2</v>
      </c>
      <c r="S42" s="23">
        <f t="shared" ca="1" si="27"/>
        <v>7.9883283819951675E-2</v>
      </c>
      <c r="T42" t="b">
        <f t="shared" ca="1" si="7"/>
        <v>1</v>
      </c>
      <c r="U42" s="22">
        <f t="shared" ca="1" si="3"/>
        <v>37773</v>
      </c>
      <c r="V42">
        <f t="shared" ca="1" si="4"/>
        <v>7.9883283819951675E-2</v>
      </c>
      <c r="Y42">
        <f t="shared" ca="1" si="28"/>
        <v>2028</v>
      </c>
      <c r="Z42" t="b">
        <f t="shared" ca="1" si="9"/>
        <v>0</v>
      </c>
      <c r="AA42" s="23" t="b">
        <f t="shared" ca="1" si="19"/>
        <v>0</v>
      </c>
      <c r="AB42" t="b">
        <f t="shared" ca="1" si="23"/>
        <v>0</v>
      </c>
      <c r="AD42">
        <f t="shared" ca="1" si="10"/>
        <v>2028</v>
      </c>
      <c r="AE42" t="b">
        <f t="shared" ca="1" si="11"/>
        <v>0</v>
      </c>
      <c r="AF42" s="17" t="b">
        <f t="shared" ca="1" si="12"/>
        <v>0</v>
      </c>
      <c r="AG42" t="b">
        <f t="shared" ca="1" si="24"/>
        <v>0</v>
      </c>
      <c r="AJ42">
        <f t="shared" ca="1" si="13"/>
        <v>2028</v>
      </c>
      <c r="AK42">
        <f t="shared" ca="1" si="14"/>
        <v>0</v>
      </c>
      <c r="AL42" t="str">
        <f t="shared" ca="1" si="15"/>
        <v>2028-2026</v>
      </c>
      <c r="AM42" t="b">
        <f t="shared" ca="1" si="20"/>
        <v>1</v>
      </c>
      <c r="AN42">
        <f t="shared" ca="1" si="21"/>
        <v>10</v>
      </c>
      <c r="AO42">
        <f t="shared" si="25"/>
        <v>29</v>
      </c>
      <c r="AP42" t="e">
        <f t="shared" ca="1" si="16"/>
        <v>#N/A</v>
      </c>
      <c r="AQ42" t="e">
        <f t="shared" ca="1" si="17"/>
        <v>#N/A</v>
      </c>
      <c r="AR42" t="b">
        <f t="shared" ca="1" si="18"/>
        <v>0</v>
      </c>
    </row>
    <row r="43" spans="2:44">
      <c r="B43">
        <f t="shared" si="8"/>
        <v>33</v>
      </c>
      <c r="C43" s="22">
        <f ca="1"/>
        <v>37803</v>
      </c>
      <c r="D43" s="17">
        <f ca="1"/>
        <v>96.805909999999997</v>
      </c>
      <c r="E43" s="17">
        <f ca="1"/>
        <v>107.327</v>
      </c>
      <c r="F43" s="23">
        <f ca="1"/>
        <v>-0.10317220278634634</v>
      </c>
      <c r="G43" s="23">
        <f t="shared" ca="1" si="26"/>
        <v>0.11897961430837813</v>
      </c>
      <c r="H43" t="b">
        <f t="shared" ca="1" si="5"/>
        <v>1</v>
      </c>
      <c r="I43" s="22">
        <f t="shared" ca="1" si="0"/>
        <v>37803</v>
      </c>
      <c r="J43">
        <f t="shared" ca="1" si="1"/>
        <v>0.11897961430837813</v>
      </c>
      <c r="K43">
        <f t="shared" ca="1" si="6"/>
        <v>2003</v>
      </c>
      <c r="O43" s="22">
        <f t="shared" ca="1" si="2"/>
        <v>37803</v>
      </c>
      <c r="P43" s="17">
        <f ca="1"/>
        <v>96.62</v>
      </c>
      <c r="Q43" s="17">
        <f ca="1"/>
        <v>111.48</v>
      </c>
      <c r="R43" s="23">
        <f ca="1"/>
        <v>-0.14305944348748684</v>
      </c>
      <c r="S43" s="23">
        <f t="shared" ca="1" si="27"/>
        <v>0.14034220820554036</v>
      </c>
      <c r="T43" t="b">
        <f t="shared" ca="1" si="7"/>
        <v>1</v>
      </c>
      <c r="U43" s="22">
        <f t="shared" ca="1" si="3"/>
        <v>37803</v>
      </c>
      <c r="V43">
        <f t="shared" ca="1" si="4"/>
        <v>0.14034220820554036</v>
      </c>
      <c r="Y43">
        <f t="shared" ca="1" si="28"/>
        <v>2029</v>
      </c>
      <c r="Z43" t="b">
        <f t="shared" ca="1" si="9"/>
        <v>0</v>
      </c>
      <c r="AA43" s="23" t="b">
        <f t="shared" ca="1" si="19"/>
        <v>0</v>
      </c>
      <c r="AB43" t="b">
        <f t="shared" ca="1" si="23"/>
        <v>0</v>
      </c>
      <c r="AD43">
        <f t="shared" ca="1" si="10"/>
        <v>2029</v>
      </c>
      <c r="AE43" t="b">
        <f t="shared" ca="1" si="11"/>
        <v>0</v>
      </c>
      <c r="AF43" s="17" t="b">
        <f t="shared" ca="1" si="12"/>
        <v>0</v>
      </c>
      <c r="AG43" t="b">
        <f t="shared" ca="1" si="24"/>
        <v>0</v>
      </c>
      <c r="AJ43">
        <f t="shared" ca="1" si="13"/>
        <v>2029</v>
      </c>
      <c r="AK43">
        <f t="shared" ca="1" si="14"/>
        <v>1</v>
      </c>
      <c r="AL43" t="str">
        <f t="shared" ca="1" si="15"/>
        <v>2028-2026</v>
      </c>
      <c r="AM43" t="b">
        <f t="shared" ca="1" si="20"/>
        <v>0</v>
      </c>
      <c r="AN43">
        <f t="shared" ca="1" si="21"/>
        <v>10</v>
      </c>
      <c r="AO43">
        <f t="shared" si="25"/>
        <v>30</v>
      </c>
      <c r="AP43" t="e">
        <f t="shared" ca="1" si="16"/>
        <v>#N/A</v>
      </c>
      <c r="AQ43" t="e">
        <f t="shared" ca="1" si="17"/>
        <v>#N/A</v>
      </c>
      <c r="AR43" t="b">
        <f t="shared" ca="1" si="18"/>
        <v>0</v>
      </c>
    </row>
    <row r="44" spans="2:44">
      <c r="B44">
        <f t="shared" si="8"/>
        <v>34</v>
      </c>
      <c r="C44" s="22">
        <f ca="1"/>
        <v>37834</v>
      </c>
      <c r="D44" s="17">
        <f ca="1"/>
        <v>100.6591</v>
      </c>
      <c r="E44" s="17">
        <f ca="1"/>
        <v>96.805909999999997</v>
      </c>
      <c r="F44" s="23">
        <f ca="1"/>
        <v>3.9031514180936373E-2</v>
      </c>
      <c r="G44" s="23">
        <f t="shared" ca="1" si="26"/>
        <v>0.11555386857663391</v>
      </c>
      <c r="H44" t="b">
        <f t="shared" ca="1" si="5"/>
        <v>1</v>
      </c>
      <c r="I44" s="22">
        <f t="shared" ca="1" si="0"/>
        <v>37834</v>
      </c>
      <c r="J44">
        <f t="shared" ca="1" si="1"/>
        <v>0.11555386857663391</v>
      </c>
      <c r="K44">
        <f t="shared" ca="1" si="6"/>
        <v>2003</v>
      </c>
      <c r="O44" s="22">
        <f t="shared" ca="1" si="2"/>
        <v>37834</v>
      </c>
      <c r="P44" s="17">
        <f ca="1"/>
        <v>88.07</v>
      </c>
      <c r="Q44" s="17">
        <f ca="1"/>
        <v>96.62</v>
      </c>
      <c r="R44" s="23">
        <f ca="1"/>
        <v>-9.2653806308892667E-2</v>
      </c>
      <c r="S44" s="23">
        <f t="shared" ca="1" si="27"/>
        <v>0.15749028901653392</v>
      </c>
      <c r="T44" t="b">
        <f t="shared" ca="1" si="7"/>
        <v>1</v>
      </c>
      <c r="U44" s="22">
        <f t="shared" ca="1" si="3"/>
        <v>37834</v>
      </c>
      <c r="V44">
        <f t="shared" ca="1" si="4"/>
        <v>0.15749028901653392</v>
      </c>
      <c r="Y44">
        <f t="shared" ca="1" si="28"/>
        <v>2030</v>
      </c>
      <c r="Z44" t="b">
        <f t="shared" ca="1" si="9"/>
        <v>0</v>
      </c>
      <c r="AA44" s="23" t="b">
        <f t="shared" ca="1" si="19"/>
        <v>0</v>
      </c>
      <c r="AB44" t="b">
        <f t="shared" ca="1" si="23"/>
        <v>0</v>
      </c>
      <c r="AD44">
        <f t="shared" ca="1" si="10"/>
        <v>2030</v>
      </c>
      <c r="AE44" t="b">
        <f t="shared" ca="1" si="11"/>
        <v>0</v>
      </c>
      <c r="AF44" s="17" t="b">
        <f t="shared" ca="1" si="12"/>
        <v>0</v>
      </c>
      <c r="AG44" t="b">
        <f t="shared" ca="1" si="24"/>
        <v>0</v>
      </c>
      <c r="AJ44">
        <f t="shared" ca="1" si="13"/>
        <v>2030</v>
      </c>
      <c r="AK44">
        <f t="shared" ca="1" si="14"/>
        <v>2</v>
      </c>
      <c r="AL44" t="str">
        <f t="shared" ca="1" si="15"/>
        <v>2028-2026</v>
      </c>
      <c r="AM44" t="b">
        <f t="shared" ca="1" si="20"/>
        <v>0</v>
      </c>
      <c r="AN44">
        <f t="shared" ca="1" si="21"/>
        <v>10</v>
      </c>
      <c r="AO44">
        <f t="shared" si="25"/>
        <v>31</v>
      </c>
      <c r="AP44" t="e">
        <f t="shared" ca="1" si="16"/>
        <v>#N/A</v>
      </c>
      <c r="AQ44" t="e">
        <f t="shared" ca="1" si="17"/>
        <v>#N/A</v>
      </c>
      <c r="AR44" t="b">
        <f t="shared" ca="1" si="18"/>
        <v>0</v>
      </c>
    </row>
    <row r="45" spans="2:44">
      <c r="B45">
        <f t="shared" si="8"/>
        <v>35</v>
      </c>
      <c r="C45" s="22">
        <f ca="1"/>
        <v>37865</v>
      </c>
      <c r="D45" s="17">
        <f ca="1"/>
        <v>104.0791</v>
      </c>
      <c r="E45" s="17">
        <f ca="1"/>
        <v>100.6591</v>
      </c>
      <c r="F45" s="23">
        <f ca="1"/>
        <v>3.3411626653623246E-2</v>
      </c>
      <c r="G45" s="23">
        <f t="shared" ca="1" si="26"/>
        <v>0.11788621350412148</v>
      </c>
      <c r="H45" t="b">
        <f t="shared" ca="1" si="5"/>
        <v>1</v>
      </c>
      <c r="I45" s="22">
        <f t="shared" ca="1" si="0"/>
        <v>37865</v>
      </c>
      <c r="J45">
        <f t="shared" ca="1" si="1"/>
        <v>0.11788621350412148</v>
      </c>
      <c r="K45">
        <f t="shared" ca="1" si="6"/>
        <v>2003</v>
      </c>
      <c r="O45" s="22">
        <f t="shared" ca="1" si="2"/>
        <v>37865</v>
      </c>
      <c r="P45" s="17">
        <f ca="1"/>
        <v>90.63</v>
      </c>
      <c r="Q45" s="17">
        <f ca="1"/>
        <v>88.07</v>
      </c>
      <c r="R45" s="23">
        <f ca="1"/>
        <v>2.8653331249322175E-2</v>
      </c>
      <c r="S45" s="23">
        <f t="shared" ca="1" si="27"/>
        <v>0.1629530364150934</v>
      </c>
      <c r="T45" t="b">
        <f t="shared" ca="1" si="7"/>
        <v>1</v>
      </c>
      <c r="U45" s="22">
        <f t="shared" ca="1" si="3"/>
        <v>37865</v>
      </c>
      <c r="V45">
        <f t="shared" ca="1" si="4"/>
        <v>0.1629530364150934</v>
      </c>
      <c r="Y45">
        <f t="shared" ca="1" si="28"/>
        <v>2031</v>
      </c>
      <c r="Z45" t="b">
        <f t="shared" ca="1" si="9"/>
        <v>0</v>
      </c>
      <c r="AA45" s="23" t="b">
        <f t="shared" ca="1" si="19"/>
        <v>0</v>
      </c>
      <c r="AB45" t="b">
        <f t="shared" ca="1" si="23"/>
        <v>0</v>
      </c>
      <c r="AD45">
        <f t="shared" ca="1" si="10"/>
        <v>2031</v>
      </c>
      <c r="AE45" t="b">
        <f t="shared" ca="1" si="11"/>
        <v>0</v>
      </c>
      <c r="AF45" s="17" t="b">
        <f t="shared" ca="1" si="12"/>
        <v>0</v>
      </c>
      <c r="AG45" t="b">
        <f t="shared" ca="1" si="24"/>
        <v>0</v>
      </c>
      <c r="AJ45">
        <f t="shared" ca="1" si="13"/>
        <v>2031</v>
      </c>
      <c r="AK45">
        <f t="shared" ca="1" si="14"/>
        <v>0</v>
      </c>
      <c r="AL45" t="str">
        <f t="shared" ca="1" si="15"/>
        <v>2031-2029</v>
      </c>
      <c r="AM45" t="b">
        <f t="shared" ca="1" si="20"/>
        <v>1</v>
      </c>
      <c r="AN45">
        <f t="shared" ca="1" si="21"/>
        <v>11</v>
      </c>
      <c r="AO45">
        <f t="shared" si="25"/>
        <v>32</v>
      </c>
      <c r="AP45" t="e">
        <f t="shared" ca="1" si="16"/>
        <v>#N/A</v>
      </c>
      <c r="AQ45" t="e">
        <f t="shared" ca="1" si="17"/>
        <v>#N/A</v>
      </c>
      <c r="AR45" t="b">
        <f t="shared" ca="1" si="18"/>
        <v>0</v>
      </c>
    </row>
    <row r="46" spans="2:44">
      <c r="B46">
        <f t="shared" si="8"/>
        <v>36</v>
      </c>
      <c r="C46" s="22">
        <f ca="1"/>
        <v>37895</v>
      </c>
      <c r="D46" s="17">
        <f ca="1"/>
        <v>105.38809999999999</v>
      </c>
      <c r="E46" s="17">
        <f ca="1"/>
        <v>104.0791</v>
      </c>
      <c r="F46" s="23">
        <f ca="1"/>
        <v>1.249853953500968E-2</v>
      </c>
      <c r="G46" s="23">
        <f t="shared" ca="1" si="26"/>
        <v>0.11888026282964397</v>
      </c>
      <c r="H46" t="b">
        <f t="shared" ca="1" si="5"/>
        <v>1</v>
      </c>
      <c r="I46" s="22">
        <f t="shared" ca="1" si="0"/>
        <v>37895</v>
      </c>
      <c r="J46">
        <f t="shared" ca="1" si="1"/>
        <v>0.11888026282964397</v>
      </c>
      <c r="K46">
        <f t="shared" ca="1" si="6"/>
        <v>2003</v>
      </c>
      <c r="O46" s="22">
        <f t="shared" ca="1" si="2"/>
        <v>37895</v>
      </c>
      <c r="P46" s="17">
        <f ca="1"/>
        <v>95.702830000000006</v>
      </c>
      <c r="Q46" s="17">
        <f ca="1"/>
        <v>90.63</v>
      </c>
      <c r="R46" s="23">
        <f ca="1"/>
        <v>5.4462585532835249E-2</v>
      </c>
      <c r="S46" s="23">
        <f t="shared" ca="1" si="27"/>
        <v>0.17835629390887653</v>
      </c>
      <c r="T46" t="b">
        <f t="shared" ca="1" si="7"/>
        <v>1</v>
      </c>
      <c r="U46" s="22">
        <f t="shared" ca="1" si="3"/>
        <v>37895</v>
      </c>
      <c r="V46">
        <f t="shared" ca="1" si="4"/>
        <v>0.17835629390887653</v>
      </c>
      <c r="Y46">
        <f t="shared" ca="1" si="28"/>
        <v>2032</v>
      </c>
      <c r="Z46" t="b">
        <f t="shared" ref="Z46:Z76" ca="1" si="29">AND(Y46&gt;=$Z$10,Y46&lt;=$Z$11)</f>
        <v>0</v>
      </c>
      <c r="AA46" s="23" t="b">
        <f t="shared" ca="1" si="19"/>
        <v>0</v>
      </c>
      <c r="AB46" t="b">
        <f t="shared" ca="1" si="23"/>
        <v>0</v>
      </c>
      <c r="AD46">
        <f t="shared" ref="AD46:AD76" ca="1" si="30">Y46</f>
        <v>2032</v>
      </c>
      <c r="AE46" t="b">
        <f t="shared" ref="AE46:AE76" ca="1" si="31">Z46</f>
        <v>0</v>
      </c>
      <c r="AF46" s="17" t="b">
        <f t="shared" ref="AF46:AF76" ca="1" si="32">IF(AE46,AVERAGEIF(K:K,AD46,P:P))</f>
        <v>0</v>
      </c>
      <c r="AG46" t="b">
        <f t="shared" ca="1" si="24"/>
        <v>0</v>
      </c>
      <c r="AJ46">
        <f t="shared" ref="AJ46:AJ76" ca="1" si="33">Y46</f>
        <v>2032</v>
      </c>
      <c r="AK46">
        <f t="shared" ref="AK46:AK76" ca="1" si="34">MOD(AJ46,$AJ$9)</f>
        <v>1</v>
      </c>
      <c r="AL46" t="str">
        <f t="shared" ref="AL46:AL76" ca="1" si="35">IF(NOT(AK46),AJ46&amp;"-"&amp;OFFSET(AJ46,-$AJ$9+1,0),AL45)</f>
        <v>2031-2029</v>
      </c>
      <c r="AM46" t="b">
        <f t="shared" ca="1" si="20"/>
        <v>0</v>
      </c>
      <c r="AN46">
        <f t="shared" ca="1" si="21"/>
        <v>11</v>
      </c>
      <c r="AO46">
        <f t="shared" si="25"/>
        <v>33</v>
      </c>
      <c r="AP46" t="e">
        <f t="shared" ref="AP46:AP76" ca="1" si="36">MATCH(AO46,AN:AN,0)</f>
        <v>#N/A</v>
      </c>
      <c r="AQ46" t="e">
        <f t="shared" ref="AQ46:AQ76" ca="1" si="37">INDEX(AL:AL,AP46)</f>
        <v>#N/A</v>
      </c>
      <c r="AR46" t="b">
        <f t="shared" ref="AR46:AR76" ca="1" si="38">IFERROR(AVERAGEIF(AL:AL,AQ46,AB:AB),FALSE)</f>
        <v>0</v>
      </c>
    </row>
    <row r="47" spans="2:44">
      <c r="B47">
        <f t="shared" si="8"/>
        <v>37</v>
      </c>
      <c r="C47" s="22">
        <f ca="1"/>
        <v>37926</v>
      </c>
      <c r="D47" s="17">
        <f ca="1"/>
        <v>108.4834</v>
      </c>
      <c r="E47" s="17">
        <f ca="1"/>
        <v>105.38809999999999</v>
      </c>
      <c r="F47" s="23">
        <f ca="1"/>
        <v>2.8947439376413815E-2</v>
      </c>
      <c r="G47" s="23">
        <f t="shared" ca="1" si="26"/>
        <v>0.12126853072346346</v>
      </c>
      <c r="H47" t="b">
        <f t="shared" ca="1" si="5"/>
        <v>1</v>
      </c>
      <c r="I47" s="22">
        <f t="shared" ca="1" si="0"/>
        <v>37926</v>
      </c>
      <c r="J47">
        <f t="shared" ca="1" si="1"/>
        <v>0.12126853072346346</v>
      </c>
      <c r="K47">
        <f t="shared" ca="1" si="6"/>
        <v>2003</v>
      </c>
      <c r="O47" s="22">
        <f t="shared" ca="1" si="2"/>
        <v>37926</v>
      </c>
      <c r="P47" s="17">
        <f ca="1"/>
        <v>101.6431</v>
      </c>
      <c r="Q47" s="17">
        <f ca="1"/>
        <v>95.702830000000006</v>
      </c>
      <c r="R47" s="23">
        <f ca="1"/>
        <v>6.0219788190555283E-2</v>
      </c>
      <c r="S47" s="23">
        <f t="shared" ca="1" si="27"/>
        <v>0.19297760946306217</v>
      </c>
      <c r="T47" t="b">
        <f t="shared" ca="1" si="7"/>
        <v>1</v>
      </c>
      <c r="U47" s="22">
        <f t="shared" ca="1" si="3"/>
        <v>37926</v>
      </c>
      <c r="V47">
        <f t="shared" ca="1" si="4"/>
        <v>0.19297760946306217</v>
      </c>
      <c r="Y47">
        <f t="shared" ca="1" si="28"/>
        <v>2033</v>
      </c>
      <c r="Z47" t="b">
        <f t="shared" ca="1" si="29"/>
        <v>0</v>
      </c>
      <c r="AA47" s="23" t="b">
        <f t="shared" ca="1" si="19"/>
        <v>0</v>
      </c>
      <c r="AB47" t="b">
        <f t="shared" ca="1" si="23"/>
        <v>0</v>
      </c>
      <c r="AD47">
        <f t="shared" ca="1" si="30"/>
        <v>2033</v>
      </c>
      <c r="AE47" t="b">
        <f t="shared" ca="1" si="31"/>
        <v>0</v>
      </c>
      <c r="AF47" s="17" t="b">
        <f t="shared" ca="1" si="32"/>
        <v>0</v>
      </c>
      <c r="AG47" t="b">
        <f t="shared" ca="1" si="24"/>
        <v>0</v>
      </c>
      <c r="AJ47">
        <f t="shared" ca="1" si="33"/>
        <v>2033</v>
      </c>
      <c r="AK47">
        <f t="shared" ca="1" si="34"/>
        <v>2</v>
      </c>
      <c r="AL47" t="str">
        <f t="shared" ca="1" si="35"/>
        <v>2031-2029</v>
      </c>
      <c r="AM47" t="b">
        <f t="shared" ca="1" si="20"/>
        <v>0</v>
      </c>
      <c r="AN47">
        <f t="shared" ca="1" si="21"/>
        <v>11</v>
      </c>
      <c r="AO47">
        <f t="shared" si="25"/>
        <v>34</v>
      </c>
      <c r="AP47" t="e">
        <f t="shared" ca="1" si="36"/>
        <v>#N/A</v>
      </c>
      <c r="AQ47" t="e">
        <f t="shared" ca="1" si="37"/>
        <v>#N/A</v>
      </c>
      <c r="AR47" t="b">
        <f t="shared" ca="1" si="38"/>
        <v>0</v>
      </c>
    </row>
    <row r="48" spans="2:44">
      <c r="B48">
        <f t="shared" si="8"/>
        <v>38</v>
      </c>
      <c r="C48" s="22">
        <f ca="1"/>
        <v>37956</v>
      </c>
      <c r="D48" s="17">
        <f ca="1"/>
        <v>111.1555</v>
      </c>
      <c r="E48" s="17">
        <f ca="1"/>
        <v>108.4834</v>
      </c>
      <c r="F48" s="23">
        <f ca="1"/>
        <v>2.4332955983219422E-2</v>
      </c>
      <c r="G48" s="23">
        <f t="shared" ca="1" si="26"/>
        <v>0.12283930843611729</v>
      </c>
      <c r="H48" t="b">
        <f t="shared" ca="1" si="5"/>
        <v>1</v>
      </c>
      <c r="I48" s="22">
        <f t="shared" ca="1" si="0"/>
        <v>37956</v>
      </c>
      <c r="J48">
        <f t="shared" ca="1" si="1"/>
        <v>0.12283930843611729</v>
      </c>
      <c r="K48">
        <f t="shared" ca="1" si="6"/>
        <v>2003</v>
      </c>
      <c r="O48" s="22">
        <f t="shared" ca="1" si="2"/>
        <v>37956</v>
      </c>
      <c r="P48" s="17">
        <f ca="1"/>
        <v>101.15</v>
      </c>
      <c r="Q48" s="17">
        <f ca="1"/>
        <v>101.6431</v>
      </c>
      <c r="R48" s="23">
        <f ca="1"/>
        <v>-4.8630941763263859E-3</v>
      </c>
      <c r="S48" s="23">
        <f t="shared" ca="1" si="27"/>
        <v>0.19197910104471802</v>
      </c>
      <c r="T48" t="b">
        <f t="shared" ca="1" si="7"/>
        <v>1</v>
      </c>
      <c r="U48" s="22">
        <f t="shared" ca="1" si="3"/>
        <v>37956</v>
      </c>
      <c r="V48">
        <f t="shared" ca="1" si="4"/>
        <v>0.19197910104471802</v>
      </c>
      <c r="Y48">
        <f t="shared" ca="1" si="28"/>
        <v>2034</v>
      </c>
      <c r="Z48" t="b">
        <f t="shared" ca="1" si="29"/>
        <v>0</v>
      </c>
      <c r="AA48" s="23" t="b">
        <f t="shared" ca="1" si="19"/>
        <v>0</v>
      </c>
      <c r="AB48" t="b">
        <f t="shared" ca="1" si="23"/>
        <v>0</v>
      </c>
      <c r="AD48">
        <f t="shared" ca="1" si="30"/>
        <v>2034</v>
      </c>
      <c r="AE48" t="b">
        <f t="shared" ca="1" si="31"/>
        <v>0</v>
      </c>
      <c r="AF48" s="17" t="b">
        <f t="shared" ca="1" si="32"/>
        <v>0</v>
      </c>
      <c r="AG48" t="b">
        <f t="shared" ca="1" si="24"/>
        <v>0</v>
      </c>
      <c r="AJ48">
        <f t="shared" ca="1" si="33"/>
        <v>2034</v>
      </c>
      <c r="AK48">
        <f t="shared" ca="1" si="34"/>
        <v>0</v>
      </c>
      <c r="AL48" t="str">
        <f t="shared" ca="1" si="35"/>
        <v>2034-2032</v>
      </c>
      <c r="AM48" t="b">
        <f t="shared" ca="1" si="20"/>
        <v>1</v>
      </c>
      <c r="AN48">
        <f t="shared" ca="1" si="21"/>
        <v>12</v>
      </c>
      <c r="AO48">
        <f t="shared" si="25"/>
        <v>35</v>
      </c>
      <c r="AP48" t="e">
        <f t="shared" ca="1" si="36"/>
        <v>#N/A</v>
      </c>
      <c r="AQ48" t="e">
        <f t="shared" ca="1" si="37"/>
        <v>#N/A</v>
      </c>
      <c r="AR48" t="b">
        <f t="shared" ca="1" si="38"/>
        <v>0</v>
      </c>
    </row>
    <row r="49" spans="2:44">
      <c r="B49">
        <f t="shared" si="8"/>
        <v>39</v>
      </c>
      <c r="C49" s="22">
        <f ca="1"/>
        <v>37987</v>
      </c>
      <c r="D49" s="17">
        <f ca="1"/>
        <v>115.520475</v>
      </c>
      <c r="E49" s="17">
        <f ca="1"/>
        <v>111.1555</v>
      </c>
      <c r="F49" s="23">
        <f ca="1"/>
        <v>3.8517665111128051E-2</v>
      </c>
      <c r="G49" s="23">
        <f t="shared" ca="1" si="26"/>
        <v>0.12705218793634648</v>
      </c>
      <c r="H49" t="b">
        <f t="shared" ca="1" si="5"/>
        <v>1</v>
      </c>
      <c r="I49" s="22">
        <f t="shared" ca="1" si="0"/>
        <v>37987</v>
      </c>
      <c r="J49">
        <f t="shared" ca="1" si="1"/>
        <v>0.12705218793634648</v>
      </c>
      <c r="K49">
        <f t="shared" ca="1" si="6"/>
        <v>2004</v>
      </c>
      <c r="O49" s="22">
        <f t="shared" ca="1" si="2"/>
        <v>37987</v>
      </c>
      <c r="P49" s="17">
        <f ca="1"/>
        <v>98.548308980000002</v>
      </c>
      <c r="Q49" s="17">
        <f ca="1"/>
        <v>101.15</v>
      </c>
      <c r="R49" s="23">
        <f ca="1"/>
        <v>-2.6057689167823677E-2</v>
      </c>
      <c r="S49" s="23">
        <f t="shared" ca="1" si="27"/>
        <v>0.19212017614873128</v>
      </c>
      <c r="T49" t="b">
        <f t="shared" ca="1" si="7"/>
        <v>1</v>
      </c>
      <c r="U49" s="22">
        <f t="shared" ca="1" si="3"/>
        <v>37987</v>
      </c>
      <c r="V49">
        <f t="shared" ca="1" si="4"/>
        <v>0.19212017614873128</v>
      </c>
      <c r="Y49">
        <f t="shared" ca="1" si="28"/>
        <v>2035</v>
      </c>
      <c r="Z49" t="b">
        <f t="shared" ca="1" si="29"/>
        <v>0</v>
      </c>
      <c r="AA49" s="23" t="b">
        <f t="shared" ca="1" si="19"/>
        <v>0</v>
      </c>
      <c r="AB49" t="b">
        <f t="shared" ca="1" si="23"/>
        <v>0</v>
      </c>
      <c r="AD49">
        <f t="shared" ca="1" si="30"/>
        <v>2035</v>
      </c>
      <c r="AE49" t="b">
        <f t="shared" ca="1" si="31"/>
        <v>0</v>
      </c>
      <c r="AF49" s="17" t="b">
        <f t="shared" ca="1" si="32"/>
        <v>0</v>
      </c>
      <c r="AG49" t="b">
        <f t="shared" ca="1" si="24"/>
        <v>0</v>
      </c>
      <c r="AJ49">
        <f t="shared" ca="1" si="33"/>
        <v>2035</v>
      </c>
      <c r="AK49">
        <f t="shared" ca="1" si="34"/>
        <v>1</v>
      </c>
      <c r="AL49" t="str">
        <f t="shared" ca="1" si="35"/>
        <v>2034-2032</v>
      </c>
      <c r="AM49" t="b">
        <f t="shared" ca="1" si="20"/>
        <v>0</v>
      </c>
      <c r="AN49">
        <f t="shared" ca="1" si="21"/>
        <v>12</v>
      </c>
      <c r="AO49">
        <f t="shared" si="25"/>
        <v>36</v>
      </c>
      <c r="AP49" t="e">
        <f t="shared" ca="1" si="36"/>
        <v>#N/A</v>
      </c>
      <c r="AQ49" t="e">
        <f t="shared" ca="1" si="37"/>
        <v>#N/A</v>
      </c>
      <c r="AR49" t="b">
        <f t="shared" ca="1" si="38"/>
        <v>0</v>
      </c>
    </row>
    <row r="50" spans="2:44">
      <c r="B50">
        <f t="shared" si="8"/>
        <v>40</v>
      </c>
      <c r="C50" s="22">
        <f ca="1"/>
        <v>38018</v>
      </c>
      <c r="D50" s="17">
        <f ca="1"/>
        <v>123.54170499999999</v>
      </c>
      <c r="E50" s="17">
        <f ca="1"/>
        <v>115.520475</v>
      </c>
      <c r="F50" s="23">
        <f ca="1"/>
        <v>6.7131004392342028E-2</v>
      </c>
      <c r="G50" s="23">
        <f t="shared" ca="1" si="26"/>
        <v>0.13906177432239333</v>
      </c>
      <c r="H50" t="b">
        <f t="shared" ca="1" si="5"/>
        <v>1</v>
      </c>
      <c r="I50" s="22">
        <f t="shared" ca="1" si="0"/>
        <v>38018</v>
      </c>
      <c r="J50">
        <f t="shared" ca="1" si="1"/>
        <v>0.13906177432239333</v>
      </c>
      <c r="K50">
        <f t="shared" ca="1" si="6"/>
        <v>2004</v>
      </c>
      <c r="O50" s="22">
        <f t="shared" ca="1" si="2"/>
        <v>38018</v>
      </c>
      <c r="P50" s="17">
        <f ca="1"/>
        <v>95.567376609999997</v>
      </c>
      <c r="Q50" s="17">
        <f ca="1"/>
        <v>98.548308980000002</v>
      </c>
      <c r="R50" s="23">
        <f ca="1"/>
        <v>-3.0715361476585906E-2</v>
      </c>
      <c r="S50" s="23">
        <f t="shared" ca="1" si="27"/>
        <v>0.19283616918421251</v>
      </c>
      <c r="T50" t="b">
        <f t="shared" ca="1" si="7"/>
        <v>1</v>
      </c>
      <c r="U50" s="22">
        <f t="shared" ca="1" si="3"/>
        <v>38018</v>
      </c>
      <c r="V50">
        <f t="shared" ca="1" si="4"/>
        <v>0.19283616918421251</v>
      </c>
      <c r="Y50">
        <f t="shared" ca="1" si="28"/>
        <v>2036</v>
      </c>
      <c r="Z50" t="b">
        <f t="shared" ca="1" si="29"/>
        <v>0</v>
      </c>
      <c r="AA50" s="23" t="b">
        <f t="shared" ca="1" si="19"/>
        <v>0</v>
      </c>
      <c r="AB50" t="b">
        <f t="shared" ca="1" si="23"/>
        <v>0</v>
      </c>
      <c r="AD50">
        <f t="shared" ca="1" si="30"/>
        <v>2036</v>
      </c>
      <c r="AE50" t="b">
        <f t="shared" ca="1" si="31"/>
        <v>0</v>
      </c>
      <c r="AF50" s="17" t="b">
        <f t="shared" ca="1" si="32"/>
        <v>0</v>
      </c>
      <c r="AG50" t="b">
        <f t="shared" ca="1" si="24"/>
        <v>0</v>
      </c>
      <c r="AJ50">
        <f t="shared" ca="1" si="33"/>
        <v>2036</v>
      </c>
      <c r="AK50">
        <f t="shared" ca="1" si="34"/>
        <v>2</v>
      </c>
      <c r="AL50" t="str">
        <f t="shared" ca="1" si="35"/>
        <v>2034-2032</v>
      </c>
      <c r="AM50" t="b">
        <f t="shared" ca="1" si="20"/>
        <v>0</v>
      </c>
      <c r="AN50">
        <f t="shared" ca="1" si="21"/>
        <v>12</v>
      </c>
      <c r="AO50">
        <f t="shared" si="25"/>
        <v>37</v>
      </c>
      <c r="AP50" t="e">
        <f t="shared" ca="1" si="36"/>
        <v>#N/A</v>
      </c>
      <c r="AQ50" t="e">
        <f t="shared" ca="1" si="37"/>
        <v>#N/A</v>
      </c>
      <c r="AR50" t="b">
        <f t="shared" ca="1" si="38"/>
        <v>0</v>
      </c>
    </row>
    <row r="51" spans="2:44">
      <c r="B51">
        <f t="shared" si="8"/>
        <v>41</v>
      </c>
      <c r="C51" s="22">
        <f ca="1"/>
        <v>38047</v>
      </c>
      <c r="D51" s="17">
        <f ca="1"/>
        <v>127.84757999999999</v>
      </c>
      <c r="E51" s="17">
        <f ca="1"/>
        <v>123.54170499999999</v>
      </c>
      <c r="F51" s="23">
        <f ca="1"/>
        <v>3.4259981755784659E-2</v>
      </c>
      <c r="G51" s="23">
        <f t="shared" ca="1" si="26"/>
        <v>0.13982672761779677</v>
      </c>
      <c r="H51" t="b">
        <f t="shared" ca="1" si="5"/>
        <v>1</v>
      </c>
      <c r="I51" s="22">
        <f t="shared" ca="1" si="0"/>
        <v>38047</v>
      </c>
      <c r="J51">
        <f t="shared" ca="1" si="1"/>
        <v>0.13982672761779677</v>
      </c>
      <c r="K51">
        <f t="shared" ca="1" si="6"/>
        <v>2004</v>
      </c>
      <c r="O51" s="22">
        <f t="shared" ca="1" si="2"/>
        <v>38047</v>
      </c>
      <c r="P51" s="17">
        <f ca="1"/>
        <v>103.0294701</v>
      </c>
      <c r="Q51" s="17">
        <f ca="1"/>
        <v>95.567376609999997</v>
      </c>
      <c r="R51" s="23">
        <f ca="1"/>
        <v>7.5183551812219751E-2</v>
      </c>
      <c r="S51" s="23">
        <f t="shared" ca="1" si="27"/>
        <v>0.21026308865853988</v>
      </c>
      <c r="T51" t="b">
        <f t="shared" ca="1" si="7"/>
        <v>1</v>
      </c>
      <c r="U51" s="22">
        <f t="shared" ca="1" si="3"/>
        <v>38047</v>
      </c>
      <c r="V51">
        <f t="shared" ca="1" si="4"/>
        <v>0.21026308865853988</v>
      </c>
      <c r="Y51">
        <f t="shared" ca="1" si="28"/>
        <v>2037</v>
      </c>
      <c r="Z51" t="b">
        <f t="shared" ca="1" si="29"/>
        <v>0</v>
      </c>
      <c r="AA51" s="23" t="b">
        <f t="shared" ca="1" si="19"/>
        <v>0</v>
      </c>
      <c r="AB51" t="b">
        <f t="shared" ca="1" si="23"/>
        <v>0</v>
      </c>
      <c r="AD51">
        <f t="shared" ca="1" si="30"/>
        <v>2037</v>
      </c>
      <c r="AE51" t="b">
        <f t="shared" ca="1" si="31"/>
        <v>0</v>
      </c>
      <c r="AF51" s="17" t="b">
        <f t="shared" ca="1" si="32"/>
        <v>0</v>
      </c>
      <c r="AG51" t="b">
        <f t="shared" ca="1" si="24"/>
        <v>0</v>
      </c>
      <c r="AJ51">
        <f t="shared" ca="1" si="33"/>
        <v>2037</v>
      </c>
      <c r="AK51">
        <f t="shared" ca="1" si="34"/>
        <v>0</v>
      </c>
      <c r="AL51" t="str">
        <f t="shared" ca="1" si="35"/>
        <v>2037-2035</v>
      </c>
      <c r="AM51" t="b">
        <f t="shared" ca="1" si="20"/>
        <v>1</v>
      </c>
      <c r="AN51">
        <f t="shared" ca="1" si="21"/>
        <v>13</v>
      </c>
      <c r="AO51">
        <f t="shared" si="25"/>
        <v>38</v>
      </c>
      <c r="AP51" t="e">
        <f t="shared" ca="1" si="36"/>
        <v>#N/A</v>
      </c>
      <c r="AQ51" t="e">
        <f t="shared" ca="1" si="37"/>
        <v>#N/A</v>
      </c>
      <c r="AR51" t="b">
        <f t="shared" ca="1" si="38"/>
        <v>0</v>
      </c>
    </row>
    <row r="52" spans="2:44">
      <c r="B52">
        <f t="shared" si="8"/>
        <v>42</v>
      </c>
      <c r="C52" s="22">
        <f ca="1"/>
        <v>38078</v>
      </c>
      <c r="D52" s="17">
        <f ca="1"/>
        <v>133.49688800000001</v>
      </c>
      <c r="E52" s="17">
        <f ca="1"/>
        <v>127.84757999999999</v>
      </c>
      <c r="F52" s="23">
        <f ca="1"/>
        <v>4.3239393580884231E-2</v>
      </c>
      <c r="G52" s="23">
        <f t="shared" ca="1" si="26"/>
        <v>0.14246517630132069</v>
      </c>
      <c r="H52" t="b">
        <f t="shared" ca="1" si="5"/>
        <v>1</v>
      </c>
      <c r="I52" s="22">
        <f t="shared" ca="1" si="0"/>
        <v>38078</v>
      </c>
      <c r="J52">
        <f t="shared" ca="1" si="1"/>
        <v>0.14246517630132069</v>
      </c>
      <c r="K52">
        <f t="shared" ca="1" si="6"/>
        <v>2004</v>
      </c>
      <c r="O52" s="22">
        <f t="shared" ca="1" si="2"/>
        <v>38078</v>
      </c>
      <c r="P52" s="17">
        <f ca="1"/>
        <v>112.5311284</v>
      </c>
      <c r="Q52" s="17">
        <f ca="1"/>
        <v>103.0294701</v>
      </c>
      <c r="R52" s="23">
        <f ca="1"/>
        <v>8.8214815478274741E-2</v>
      </c>
      <c r="S52" s="23">
        <f t="shared" ca="1" si="27"/>
        <v>0.22966854391109326</v>
      </c>
      <c r="T52" t="b">
        <f t="shared" ca="1" si="7"/>
        <v>1</v>
      </c>
      <c r="U52" s="22">
        <f t="shared" ca="1" si="3"/>
        <v>38078</v>
      </c>
      <c r="V52">
        <f t="shared" ca="1" si="4"/>
        <v>0.22966854391109326</v>
      </c>
      <c r="Y52">
        <f t="shared" ca="1" si="28"/>
        <v>2038</v>
      </c>
      <c r="Z52" t="b">
        <f t="shared" ca="1" si="29"/>
        <v>0</v>
      </c>
      <c r="AA52" s="23" t="b">
        <f t="shared" ca="1" si="19"/>
        <v>0</v>
      </c>
      <c r="AB52" t="b">
        <f t="shared" ca="1" si="23"/>
        <v>0</v>
      </c>
      <c r="AD52">
        <f t="shared" ca="1" si="30"/>
        <v>2038</v>
      </c>
      <c r="AE52" t="b">
        <f t="shared" ca="1" si="31"/>
        <v>0</v>
      </c>
      <c r="AF52" s="17" t="b">
        <f t="shared" ca="1" si="32"/>
        <v>0</v>
      </c>
      <c r="AG52" t="b">
        <f t="shared" ca="1" si="24"/>
        <v>0</v>
      </c>
      <c r="AJ52">
        <f t="shared" ca="1" si="33"/>
        <v>2038</v>
      </c>
      <c r="AK52">
        <f t="shared" ca="1" si="34"/>
        <v>1</v>
      </c>
      <c r="AL52" t="str">
        <f t="shared" ca="1" si="35"/>
        <v>2037-2035</v>
      </c>
      <c r="AM52" t="b">
        <f t="shared" ca="1" si="20"/>
        <v>0</v>
      </c>
      <c r="AN52">
        <f t="shared" ca="1" si="21"/>
        <v>13</v>
      </c>
      <c r="AO52">
        <f t="shared" si="25"/>
        <v>39</v>
      </c>
      <c r="AP52" t="e">
        <f t="shared" ca="1" si="36"/>
        <v>#N/A</v>
      </c>
      <c r="AQ52" t="e">
        <f t="shared" ca="1" si="37"/>
        <v>#N/A</v>
      </c>
      <c r="AR52" t="b">
        <f t="shared" ca="1" si="38"/>
        <v>0</v>
      </c>
    </row>
    <row r="53" spans="2:44">
      <c r="B53">
        <f t="shared" si="8"/>
        <v>43</v>
      </c>
      <c r="C53" s="22">
        <f ca="1"/>
        <v>38108</v>
      </c>
      <c r="D53" s="17">
        <f ca="1"/>
        <v>128.216655</v>
      </c>
      <c r="E53" s="17">
        <f ca="1"/>
        <v>133.49688800000001</v>
      </c>
      <c r="F53" s="23">
        <f ca="1"/>
        <v>-4.035671646215961E-2</v>
      </c>
      <c r="G53" s="23">
        <f t="shared" ca="1" si="26"/>
        <v>0.15198656121085932</v>
      </c>
      <c r="H53" t="b">
        <f t="shared" ca="1" si="5"/>
        <v>1</v>
      </c>
      <c r="I53" s="22">
        <f t="shared" ca="1" si="0"/>
        <v>38108</v>
      </c>
      <c r="J53">
        <f t="shared" ca="1" si="1"/>
        <v>0.15198656121085932</v>
      </c>
      <c r="K53">
        <f t="shared" ca="1" si="6"/>
        <v>2004</v>
      </c>
      <c r="O53" s="22">
        <f t="shared" ca="1" si="2"/>
        <v>38108</v>
      </c>
      <c r="P53" s="17">
        <f ca="1"/>
        <v>111.55951829999999</v>
      </c>
      <c r="Q53" s="17">
        <f ca="1"/>
        <v>112.5311284</v>
      </c>
      <c r="R53" s="23">
        <f ca="1"/>
        <v>-8.67163536573568E-3</v>
      </c>
      <c r="S53" s="23">
        <f t="shared" ca="1" si="27"/>
        <v>0.22720036772949945</v>
      </c>
      <c r="T53" t="b">
        <f t="shared" ca="1" si="7"/>
        <v>1</v>
      </c>
      <c r="U53" s="22">
        <f t="shared" ca="1" si="3"/>
        <v>38108</v>
      </c>
      <c r="V53">
        <f t="shared" ca="1" si="4"/>
        <v>0.22720036772949945</v>
      </c>
      <c r="Y53">
        <f t="shared" ca="1" si="28"/>
        <v>2039</v>
      </c>
      <c r="Z53" t="b">
        <f t="shared" ca="1" si="29"/>
        <v>0</v>
      </c>
      <c r="AA53" s="23" t="b">
        <f t="shared" ca="1" si="19"/>
        <v>0</v>
      </c>
      <c r="AB53" t="b">
        <f t="shared" ca="1" si="23"/>
        <v>0</v>
      </c>
      <c r="AD53">
        <f t="shared" ca="1" si="30"/>
        <v>2039</v>
      </c>
      <c r="AE53" t="b">
        <f t="shared" ca="1" si="31"/>
        <v>0</v>
      </c>
      <c r="AF53" s="17" t="b">
        <f t="shared" ca="1" si="32"/>
        <v>0</v>
      </c>
      <c r="AG53" t="b">
        <f t="shared" ca="1" si="24"/>
        <v>0</v>
      </c>
      <c r="AJ53">
        <f t="shared" ca="1" si="33"/>
        <v>2039</v>
      </c>
      <c r="AK53">
        <f t="shared" ca="1" si="34"/>
        <v>2</v>
      </c>
      <c r="AL53" t="str">
        <f t="shared" ca="1" si="35"/>
        <v>2037-2035</v>
      </c>
      <c r="AM53" t="b">
        <f t="shared" ca="1" si="20"/>
        <v>0</v>
      </c>
      <c r="AN53">
        <f t="shared" ca="1" si="21"/>
        <v>13</v>
      </c>
      <c r="AO53">
        <f t="shared" si="25"/>
        <v>40</v>
      </c>
      <c r="AP53" t="e">
        <f t="shared" ca="1" si="36"/>
        <v>#N/A</v>
      </c>
      <c r="AQ53" t="e">
        <f t="shared" ca="1" si="37"/>
        <v>#N/A</v>
      </c>
      <c r="AR53" t="b">
        <f t="shared" ca="1" si="38"/>
        <v>0</v>
      </c>
    </row>
    <row r="54" spans="2:44">
      <c r="B54">
        <f t="shared" si="8"/>
        <v>44</v>
      </c>
      <c r="C54" s="22">
        <f ca="1"/>
        <v>38139</v>
      </c>
      <c r="D54" s="17">
        <f ca="1"/>
        <v>123.32026</v>
      </c>
      <c r="E54" s="17">
        <f ca="1"/>
        <v>128.216655</v>
      </c>
      <c r="F54" s="23">
        <f ca="1"/>
        <v>-3.8936738893255704E-2</v>
      </c>
      <c r="G54" s="23">
        <f t="shared" ca="1" si="26"/>
        <v>0.10907147449691339</v>
      </c>
      <c r="H54" t="b">
        <f t="shared" ca="1" si="5"/>
        <v>1</v>
      </c>
      <c r="I54" s="22">
        <f t="shared" ca="1" si="0"/>
        <v>38139</v>
      </c>
      <c r="J54">
        <f t="shared" ca="1" si="1"/>
        <v>0.10907147449691339</v>
      </c>
      <c r="K54">
        <f t="shared" ca="1" si="6"/>
        <v>2004</v>
      </c>
      <c r="O54" s="22">
        <f t="shared" ca="1" si="2"/>
        <v>38139</v>
      </c>
      <c r="P54" s="17">
        <f ca="1"/>
        <v>114.0480505</v>
      </c>
      <c r="Q54" s="17">
        <f ca="1"/>
        <v>111.55951829999999</v>
      </c>
      <c r="R54" s="23">
        <f ca="1"/>
        <v>2.2061610310103247E-2</v>
      </c>
      <c r="S54" s="23">
        <f t="shared" ca="1" si="27"/>
        <v>0.17182926917892716</v>
      </c>
      <c r="T54" t="b">
        <f t="shared" ca="1" si="7"/>
        <v>1</v>
      </c>
      <c r="U54" s="22">
        <f t="shared" ca="1" si="3"/>
        <v>38139</v>
      </c>
      <c r="V54">
        <f t="shared" ca="1" si="4"/>
        <v>0.17182926917892716</v>
      </c>
      <c r="Y54">
        <f t="shared" ca="1" si="28"/>
        <v>2040</v>
      </c>
      <c r="Z54" t="b">
        <f t="shared" ca="1" si="29"/>
        <v>0</v>
      </c>
      <c r="AA54" s="23" t="b">
        <f t="shared" ca="1" si="19"/>
        <v>0</v>
      </c>
      <c r="AB54" t="b">
        <f t="shared" ca="1" si="23"/>
        <v>0</v>
      </c>
      <c r="AD54">
        <f t="shared" ca="1" si="30"/>
        <v>2040</v>
      </c>
      <c r="AE54" t="b">
        <f t="shared" ca="1" si="31"/>
        <v>0</v>
      </c>
      <c r="AF54" s="17" t="b">
        <f t="shared" ca="1" si="32"/>
        <v>0</v>
      </c>
      <c r="AG54" t="b">
        <f t="shared" ca="1" si="24"/>
        <v>0</v>
      </c>
      <c r="AJ54">
        <f t="shared" ca="1" si="33"/>
        <v>2040</v>
      </c>
      <c r="AK54">
        <f t="shared" ca="1" si="34"/>
        <v>0</v>
      </c>
      <c r="AL54" t="str">
        <f t="shared" ca="1" si="35"/>
        <v>2040-2038</v>
      </c>
      <c r="AM54" t="b">
        <f t="shared" ca="1" si="20"/>
        <v>1</v>
      </c>
      <c r="AN54">
        <f t="shared" ca="1" si="21"/>
        <v>14</v>
      </c>
      <c r="AO54">
        <f t="shared" si="25"/>
        <v>41</v>
      </c>
      <c r="AP54" t="e">
        <f t="shared" ca="1" si="36"/>
        <v>#N/A</v>
      </c>
      <c r="AQ54" t="e">
        <f t="shared" ca="1" si="37"/>
        <v>#N/A</v>
      </c>
      <c r="AR54" t="b">
        <f t="shared" ca="1" si="38"/>
        <v>0</v>
      </c>
    </row>
    <row r="55" spans="2:44">
      <c r="B55">
        <f t="shared" si="8"/>
        <v>45</v>
      </c>
      <c r="C55" s="22">
        <f ca="1"/>
        <v>38169</v>
      </c>
      <c r="D55" s="17">
        <f ca="1"/>
        <v>104.84682599999999</v>
      </c>
      <c r="E55" s="17">
        <f ca="1"/>
        <v>123.32026</v>
      </c>
      <c r="F55" s="23">
        <f ca="1"/>
        <v>-0.16228422627891656</v>
      </c>
      <c r="G55" s="23">
        <f t="shared" ca="1" si="26"/>
        <v>0.20270488635514511</v>
      </c>
      <c r="H55" t="b">
        <f t="shared" ca="1" si="5"/>
        <v>1</v>
      </c>
      <c r="I55" s="22">
        <f t="shared" ca="1" si="0"/>
        <v>38169</v>
      </c>
      <c r="J55">
        <f t="shared" ca="1" si="1"/>
        <v>0.20270488635514511</v>
      </c>
      <c r="K55">
        <f t="shared" ca="1" si="6"/>
        <v>2004</v>
      </c>
      <c r="O55" s="22">
        <f t="shared" ca="1" si="2"/>
        <v>38169</v>
      </c>
      <c r="P55" s="17">
        <f ca="1"/>
        <v>103.9693504</v>
      </c>
      <c r="Q55" s="17">
        <f ca="1"/>
        <v>114.0480505</v>
      </c>
      <c r="R55" s="23">
        <f ca="1"/>
        <v>-9.2523707189988064E-2</v>
      </c>
      <c r="S55" s="23">
        <f t="shared" ca="1" si="27"/>
        <v>0.1717494883755889</v>
      </c>
      <c r="T55" t="b">
        <f t="shared" ca="1" si="7"/>
        <v>1</v>
      </c>
      <c r="U55" s="22">
        <f t="shared" ca="1" si="3"/>
        <v>38169</v>
      </c>
      <c r="V55">
        <f t="shared" ca="1" si="4"/>
        <v>0.1717494883755889</v>
      </c>
      <c r="Y55">
        <f t="shared" ca="1" si="28"/>
        <v>2041</v>
      </c>
      <c r="Z55" t="b">
        <f t="shared" ca="1" si="29"/>
        <v>0</v>
      </c>
      <c r="AA55" s="23" t="b">
        <f t="shared" ca="1" si="19"/>
        <v>0</v>
      </c>
      <c r="AB55" t="b">
        <f t="shared" ca="1" si="23"/>
        <v>0</v>
      </c>
      <c r="AD55">
        <f t="shared" ca="1" si="30"/>
        <v>2041</v>
      </c>
      <c r="AE55" t="b">
        <f t="shared" ca="1" si="31"/>
        <v>0</v>
      </c>
      <c r="AF55" s="17" t="b">
        <f t="shared" ca="1" si="32"/>
        <v>0</v>
      </c>
      <c r="AG55" t="b">
        <f t="shared" ca="1" si="24"/>
        <v>0</v>
      </c>
      <c r="AJ55">
        <f t="shared" ca="1" si="33"/>
        <v>2041</v>
      </c>
      <c r="AK55">
        <f t="shared" ca="1" si="34"/>
        <v>1</v>
      </c>
      <c r="AL55" t="str">
        <f t="shared" ca="1" si="35"/>
        <v>2040-2038</v>
      </c>
      <c r="AM55" t="b">
        <f t="shared" ca="1" si="20"/>
        <v>0</v>
      </c>
      <c r="AN55">
        <f t="shared" ca="1" si="21"/>
        <v>14</v>
      </c>
      <c r="AO55">
        <f t="shared" si="25"/>
        <v>42</v>
      </c>
      <c r="AP55" t="e">
        <f t="shared" ca="1" si="36"/>
        <v>#N/A</v>
      </c>
      <c r="AQ55" t="e">
        <f t="shared" ca="1" si="37"/>
        <v>#N/A</v>
      </c>
      <c r="AR55" t="b">
        <f t="shared" ca="1" si="38"/>
        <v>0</v>
      </c>
    </row>
    <row r="56" spans="2:44">
      <c r="B56">
        <f t="shared" si="8"/>
        <v>46</v>
      </c>
      <c r="C56" s="22">
        <f ca="1"/>
        <v>38200</v>
      </c>
      <c r="D56" s="17">
        <f ca="1"/>
        <v>104.054545</v>
      </c>
      <c r="E56" s="17">
        <f ca="1"/>
        <v>104.84682599999999</v>
      </c>
      <c r="F56" s="23">
        <f ca="1"/>
        <v>-7.5852522645538109E-3</v>
      </c>
      <c r="G56" s="23">
        <f t="shared" ca="1" si="26"/>
        <v>0.20039528451333063</v>
      </c>
      <c r="H56" t="b">
        <f t="shared" ca="1" si="5"/>
        <v>1</v>
      </c>
      <c r="I56" s="22">
        <f t="shared" ca="1" si="0"/>
        <v>38200</v>
      </c>
      <c r="J56">
        <f t="shared" ca="1" si="1"/>
        <v>0.20039528451333063</v>
      </c>
      <c r="K56">
        <f t="shared" ca="1" si="6"/>
        <v>2004</v>
      </c>
      <c r="O56" s="22">
        <f t="shared" ca="1" si="2"/>
        <v>38200</v>
      </c>
      <c r="P56" s="17">
        <f ca="1"/>
        <v>87.772291980000006</v>
      </c>
      <c r="Q56" s="17">
        <f ca="1"/>
        <v>103.9693504</v>
      </c>
      <c r="R56" s="23">
        <f ca="1"/>
        <v>-0.16935027827273427</v>
      </c>
      <c r="S56" s="23">
        <f t="shared" ca="1" si="27"/>
        <v>0.24371336811064737</v>
      </c>
      <c r="T56" t="b">
        <f t="shared" ca="1" si="7"/>
        <v>1</v>
      </c>
      <c r="U56" s="22">
        <f t="shared" ca="1" si="3"/>
        <v>38200</v>
      </c>
      <c r="V56">
        <f t="shared" ca="1" si="4"/>
        <v>0.24371336811064737</v>
      </c>
      <c r="Y56">
        <f t="shared" ca="1" si="28"/>
        <v>2042</v>
      </c>
      <c r="Z56" t="b">
        <f t="shared" ca="1" si="29"/>
        <v>0</v>
      </c>
      <c r="AA56" s="23" t="b">
        <f t="shared" ca="1" si="19"/>
        <v>0</v>
      </c>
      <c r="AB56" t="b">
        <f t="shared" ca="1" si="23"/>
        <v>0</v>
      </c>
      <c r="AD56">
        <f t="shared" ca="1" si="30"/>
        <v>2042</v>
      </c>
      <c r="AE56" t="b">
        <f t="shared" ca="1" si="31"/>
        <v>0</v>
      </c>
      <c r="AF56" s="17" t="b">
        <f t="shared" ca="1" si="32"/>
        <v>0</v>
      </c>
      <c r="AG56" t="b">
        <f t="shared" ca="1" si="24"/>
        <v>0</v>
      </c>
      <c r="AJ56">
        <f t="shared" ca="1" si="33"/>
        <v>2042</v>
      </c>
      <c r="AK56">
        <f t="shared" ca="1" si="34"/>
        <v>2</v>
      </c>
      <c r="AL56" t="str">
        <f t="shared" ca="1" si="35"/>
        <v>2040-2038</v>
      </c>
      <c r="AM56" t="b">
        <f t="shared" ca="1" si="20"/>
        <v>0</v>
      </c>
      <c r="AN56">
        <f t="shared" ca="1" si="21"/>
        <v>14</v>
      </c>
      <c r="AO56">
        <f t="shared" si="25"/>
        <v>43</v>
      </c>
      <c r="AP56" t="e">
        <f t="shared" ca="1" si="36"/>
        <v>#N/A</v>
      </c>
      <c r="AQ56" t="e">
        <f t="shared" ca="1" si="37"/>
        <v>#N/A</v>
      </c>
      <c r="AR56" t="b">
        <f t="shared" ca="1" si="38"/>
        <v>0</v>
      </c>
    </row>
    <row r="57" spans="2:44">
      <c r="B57">
        <f t="shared" si="8"/>
        <v>47</v>
      </c>
      <c r="C57" s="22">
        <f ca="1"/>
        <v>38231</v>
      </c>
      <c r="D57" s="17">
        <f ca="1"/>
        <v>97.868848</v>
      </c>
      <c r="E57" s="17">
        <f ca="1"/>
        <v>104.054545</v>
      </c>
      <c r="F57" s="23">
        <f ca="1"/>
        <v>-6.1286936156096601E-2</v>
      </c>
      <c r="G57" s="23">
        <f t="shared" ca="1" si="26"/>
        <v>0.20817462561590461</v>
      </c>
      <c r="H57" t="b">
        <f t="shared" ca="1" si="5"/>
        <v>1</v>
      </c>
      <c r="I57" s="22">
        <f t="shared" ca="1" si="0"/>
        <v>38231</v>
      </c>
      <c r="J57">
        <f t="shared" ca="1" si="1"/>
        <v>0.20817462561590461</v>
      </c>
      <c r="K57">
        <f t="shared" ca="1" si="6"/>
        <v>2004</v>
      </c>
      <c r="O57" s="22">
        <f t="shared" ca="1" si="2"/>
        <v>38231</v>
      </c>
      <c r="P57" s="17">
        <f ca="1"/>
        <v>85.371468809999996</v>
      </c>
      <c r="Q57" s="17">
        <f ca="1"/>
        <v>87.772291980000006</v>
      </c>
      <c r="R57" s="23">
        <f ca="1"/>
        <v>-2.7733913642960364E-2</v>
      </c>
      <c r="S57" s="23">
        <f t="shared" ca="1" si="27"/>
        <v>0.23722211486088349</v>
      </c>
      <c r="T57" t="b">
        <f t="shared" ca="1" si="7"/>
        <v>1</v>
      </c>
      <c r="U57" s="22">
        <f t="shared" ca="1" si="3"/>
        <v>38231</v>
      </c>
      <c r="V57">
        <f t="shared" ca="1" si="4"/>
        <v>0.23722211486088349</v>
      </c>
      <c r="Y57">
        <f t="shared" ca="1" si="28"/>
        <v>2043</v>
      </c>
      <c r="Z57" t="b">
        <f t="shared" ca="1" si="29"/>
        <v>0</v>
      </c>
      <c r="AA57" s="23" t="b">
        <f t="shared" ca="1" si="19"/>
        <v>0</v>
      </c>
      <c r="AB57" t="b">
        <f t="shared" ca="1" si="23"/>
        <v>0</v>
      </c>
      <c r="AD57">
        <f t="shared" ca="1" si="30"/>
        <v>2043</v>
      </c>
      <c r="AE57" t="b">
        <f t="shared" ca="1" si="31"/>
        <v>0</v>
      </c>
      <c r="AF57" s="17" t="b">
        <f t="shared" ca="1" si="32"/>
        <v>0</v>
      </c>
      <c r="AG57" t="b">
        <f t="shared" ca="1" si="24"/>
        <v>0</v>
      </c>
      <c r="AJ57">
        <f t="shared" ca="1" si="33"/>
        <v>2043</v>
      </c>
      <c r="AK57">
        <f t="shared" ca="1" si="34"/>
        <v>0</v>
      </c>
      <c r="AL57" t="str">
        <f t="shared" ca="1" si="35"/>
        <v>2043-2041</v>
      </c>
      <c r="AM57" t="b">
        <f t="shared" ca="1" si="20"/>
        <v>1</v>
      </c>
      <c r="AN57">
        <f t="shared" ca="1" si="21"/>
        <v>15</v>
      </c>
      <c r="AO57">
        <f t="shared" si="25"/>
        <v>44</v>
      </c>
      <c r="AP57" t="e">
        <f t="shared" ca="1" si="36"/>
        <v>#N/A</v>
      </c>
      <c r="AQ57" t="e">
        <f t="shared" ca="1" si="37"/>
        <v>#N/A</v>
      </c>
      <c r="AR57" t="b">
        <f t="shared" ca="1" si="38"/>
        <v>0</v>
      </c>
    </row>
    <row r="58" spans="2:44">
      <c r="B58">
        <f t="shared" si="8"/>
        <v>48</v>
      </c>
      <c r="C58" s="22">
        <f ca="1"/>
        <v>38261</v>
      </c>
      <c r="D58" s="17">
        <f ca="1"/>
        <v>93.794259999999994</v>
      </c>
      <c r="E58" s="17">
        <f ca="1"/>
        <v>97.868848</v>
      </c>
      <c r="F58" s="23">
        <f ca="1"/>
        <v>-4.2524636542299252E-2</v>
      </c>
      <c r="G58" s="23">
        <f t="shared" ca="1" si="26"/>
        <v>0.20760588757489384</v>
      </c>
      <c r="H58" t="b">
        <f t="shared" ca="1" si="5"/>
        <v>1</v>
      </c>
      <c r="I58" s="22">
        <f t="shared" ca="1" si="0"/>
        <v>38261</v>
      </c>
      <c r="J58">
        <f t="shared" ca="1" si="1"/>
        <v>0.20760588757489384</v>
      </c>
      <c r="K58">
        <f t="shared" ca="1" si="6"/>
        <v>2004</v>
      </c>
      <c r="O58" s="22">
        <f t="shared" ca="1" si="2"/>
        <v>38261</v>
      </c>
      <c r="P58" s="17">
        <f ca="1"/>
        <v>87.888384439999996</v>
      </c>
      <c r="Q58" s="17">
        <f ca="1"/>
        <v>85.371468809999996</v>
      </c>
      <c r="R58" s="23">
        <f ca="1"/>
        <v>2.9055694695705077E-2</v>
      </c>
      <c r="S58" s="23">
        <f t="shared" ca="1" si="27"/>
        <v>0.22993419340902324</v>
      </c>
      <c r="T58" t="b">
        <f t="shared" ca="1" si="7"/>
        <v>1</v>
      </c>
      <c r="U58" s="22">
        <f t="shared" ca="1" si="3"/>
        <v>38261</v>
      </c>
      <c r="V58">
        <f t="shared" ca="1" si="4"/>
        <v>0.22993419340902324</v>
      </c>
      <c r="Y58">
        <f t="shared" ca="1" si="28"/>
        <v>2044</v>
      </c>
      <c r="Z58" t="b">
        <f t="shared" ca="1" si="29"/>
        <v>0</v>
      </c>
      <c r="AA58" s="23" t="b">
        <f t="shared" ca="1" si="19"/>
        <v>0</v>
      </c>
      <c r="AB58" t="b">
        <f t="shared" ca="1" si="23"/>
        <v>0</v>
      </c>
      <c r="AD58">
        <f t="shared" ca="1" si="30"/>
        <v>2044</v>
      </c>
      <c r="AE58" t="b">
        <f t="shared" ca="1" si="31"/>
        <v>0</v>
      </c>
      <c r="AF58" s="17" t="b">
        <f t="shared" ca="1" si="32"/>
        <v>0</v>
      </c>
      <c r="AG58" t="b">
        <f t="shared" ca="1" si="24"/>
        <v>0</v>
      </c>
      <c r="AJ58">
        <f t="shared" ca="1" si="33"/>
        <v>2044</v>
      </c>
      <c r="AK58">
        <f t="shared" ca="1" si="34"/>
        <v>1</v>
      </c>
      <c r="AL58" t="str">
        <f t="shared" ca="1" si="35"/>
        <v>2043-2041</v>
      </c>
      <c r="AM58" t="b">
        <f t="shared" ca="1" si="20"/>
        <v>0</v>
      </c>
      <c r="AN58">
        <f t="shared" ca="1" si="21"/>
        <v>15</v>
      </c>
      <c r="AO58">
        <f t="shared" si="25"/>
        <v>45</v>
      </c>
      <c r="AP58" t="e">
        <f t="shared" ca="1" si="36"/>
        <v>#N/A</v>
      </c>
      <c r="AQ58" t="e">
        <f t="shared" ca="1" si="37"/>
        <v>#N/A</v>
      </c>
      <c r="AR58" t="b">
        <f t="shared" ca="1" si="38"/>
        <v>0</v>
      </c>
    </row>
    <row r="59" spans="2:44">
      <c r="B59">
        <f t="shared" si="8"/>
        <v>49</v>
      </c>
      <c r="C59" s="22">
        <f ca="1"/>
        <v>38292</v>
      </c>
      <c r="D59" s="17">
        <f ca="1"/>
        <v>93.745050000000006</v>
      </c>
      <c r="E59" s="17">
        <f ca="1"/>
        <v>93.794259999999994</v>
      </c>
      <c r="F59" s="23">
        <f ca="1"/>
        <v>-5.2479665334597965E-4</v>
      </c>
      <c r="G59" s="23">
        <f t="shared" ca="1" si="26"/>
        <v>0.20470576319765399</v>
      </c>
      <c r="H59" t="b">
        <f t="shared" ca="1" si="5"/>
        <v>1</v>
      </c>
      <c r="I59" s="22">
        <f t="shared" ca="1" si="0"/>
        <v>38292</v>
      </c>
      <c r="J59">
        <f t="shared" ca="1" si="1"/>
        <v>0.20470576319765399</v>
      </c>
      <c r="K59">
        <f t="shared" ca="1" si="6"/>
        <v>2004</v>
      </c>
      <c r="O59" s="22">
        <f t="shared" ca="1" si="2"/>
        <v>38292</v>
      </c>
      <c r="P59" s="17">
        <f ca="1"/>
        <v>95.533337709999998</v>
      </c>
      <c r="Q59" s="17">
        <f ca="1"/>
        <v>87.888384439999996</v>
      </c>
      <c r="R59" s="23">
        <f ca="1"/>
        <v>8.3407621744710933E-2</v>
      </c>
      <c r="S59" s="23">
        <f t="shared" ca="1" si="27"/>
        <v>0.24734206973809061</v>
      </c>
      <c r="T59" t="b">
        <f t="shared" ca="1" si="7"/>
        <v>1</v>
      </c>
      <c r="U59" s="22">
        <f t="shared" ca="1" si="3"/>
        <v>38292</v>
      </c>
      <c r="V59">
        <f t="shared" ca="1" si="4"/>
        <v>0.24734206973809061</v>
      </c>
      <c r="Y59">
        <f t="shared" ca="1" si="28"/>
        <v>2045</v>
      </c>
      <c r="Z59" t="b">
        <f t="shared" ca="1" si="29"/>
        <v>0</v>
      </c>
      <c r="AA59" s="23" t="b">
        <f t="shared" ca="1" si="19"/>
        <v>0</v>
      </c>
      <c r="AB59" t="b">
        <f t="shared" ca="1" si="23"/>
        <v>0</v>
      </c>
      <c r="AD59">
        <f t="shared" ca="1" si="30"/>
        <v>2045</v>
      </c>
      <c r="AE59" t="b">
        <f t="shared" ca="1" si="31"/>
        <v>0</v>
      </c>
      <c r="AF59" s="17" t="b">
        <f t="shared" ca="1" si="32"/>
        <v>0</v>
      </c>
      <c r="AG59" t="b">
        <f t="shared" ca="1" si="24"/>
        <v>0</v>
      </c>
      <c r="AJ59">
        <f t="shared" ca="1" si="33"/>
        <v>2045</v>
      </c>
      <c r="AK59">
        <f t="shared" ca="1" si="34"/>
        <v>2</v>
      </c>
      <c r="AL59" t="str">
        <f t="shared" ca="1" si="35"/>
        <v>2043-2041</v>
      </c>
      <c r="AM59" t="b">
        <f t="shared" ca="1" si="20"/>
        <v>0</v>
      </c>
      <c r="AN59">
        <f t="shared" ca="1" si="21"/>
        <v>15</v>
      </c>
      <c r="AO59">
        <f t="shared" si="25"/>
        <v>46</v>
      </c>
      <c r="AP59" t="e">
        <f t="shared" ca="1" si="36"/>
        <v>#N/A</v>
      </c>
      <c r="AQ59" t="e">
        <f t="shared" ca="1" si="37"/>
        <v>#N/A</v>
      </c>
      <c r="AR59" t="b">
        <f t="shared" ca="1" si="38"/>
        <v>0</v>
      </c>
    </row>
    <row r="60" spans="2:44">
      <c r="B60">
        <f t="shared" si="8"/>
        <v>50</v>
      </c>
      <c r="C60" s="22">
        <f ca="1"/>
        <v>38322</v>
      </c>
      <c r="D60" s="17">
        <f ca="1"/>
        <v>95.388664000000006</v>
      </c>
      <c r="E60" s="17">
        <f ca="1"/>
        <v>93.745050000000006</v>
      </c>
      <c r="F60" s="23">
        <f ca="1"/>
        <v>1.7380881941514614E-2</v>
      </c>
      <c r="G60" s="23">
        <f t="shared" ca="1" si="26"/>
        <v>0.20033626030364277</v>
      </c>
      <c r="H60" t="b">
        <f t="shared" ca="1" si="5"/>
        <v>1</v>
      </c>
      <c r="I60" s="22">
        <f t="shared" ca="1" si="0"/>
        <v>38322</v>
      </c>
      <c r="J60">
        <f t="shared" ca="1" si="1"/>
        <v>0.20033626030364277</v>
      </c>
      <c r="K60">
        <f t="shared" ca="1" si="6"/>
        <v>2004</v>
      </c>
      <c r="O60" s="22">
        <f t="shared" ca="1" si="2"/>
        <v>38322</v>
      </c>
      <c r="P60" s="17">
        <f ca="1"/>
        <v>92.043884910000003</v>
      </c>
      <c r="Q60" s="17">
        <f ca="1"/>
        <v>95.533337709999998</v>
      </c>
      <c r="R60" s="23">
        <f ca="1"/>
        <v>-3.72097993316476E-2</v>
      </c>
      <c r="S60" s="23">
        <f t="shared" ca="1" si="27"/>
        <v>0.24854794553512818</v>
      </c>
      <c r="T60" t="b">
        <f t="shared" ca="1" si="7"/>
        <v>1</v>
      </c>
      <c r="U60" s="22">
        <f t="shared" ca="1" si="3"/>
        <v>38322</v>
      </c>
      <c r="V60">
        <f t="shared" ca="1" si="4"/>
        <v>0.24854794553512818</v>
      </c>
      <c r="Y60">
        <f t="shared" ca="1" si="28"/>
        <v>2046</v>
      </c>
      <c r="Z60" t="b">
        <f t="shared" ca="1" si="29"/>
        <v>0</v>
      </c>
      <c r="AA60" s="23" t="b">
        <f t="shared" ca="1" si="19"/>
        <v>0</v>
      </c>
      <c r="AB60" t="b">
        <f t="shared" ca="1" si="23"/>
        <v>0</v>
      </c>
      <c r="AD60">
        <f t="shared" ca="1" si="30"/>
        <v>2046</v>
      </c>
      <c r="AE60" t="b">
        <f t="shared" ca="1" si="31"/>
        <v>0</v>
      </c>
      <c r="AF60" s="17" t="b">
        <f t="shared" ca="1" si="32"/>
        <v>0</v>
      </c>
      <c r="AG60" t="b">
        <f t="shared" ca="1" si="24"/>
        <v>0</v>
      </c>
      <c r="AJ60">
        <f t="shared" ca="1" si="33"/>
        <v>2046</v>
      </c>
      <c r="AK60">
        <f t="shared" ca="1" si="34"/>
        <v>0</v>
      </c>
      <c r="AL60" t="str">
        <f t="shared" ca="1" si="35"/>
        <v>2046-2044</v>
      </c>
      <c r="AM60" t="b">
        <f t="shared" ca="1" si="20"/>
        <v>1</v>
      </c>
      <c r="AN60">
        <f t="shared" ca="1" si="21"/>
        <v>16</v>
      </c>
      <c r="AO60">
        <f t="shared" si="25"/>
        <v>47</v>
      </c>
      <c r="AP60" t="e">
        <f t="shared" ca="1" si="36"/>
        <v>#N/A</v>
      </c>
      <c r="AQ60" t="e">
        <f t="shared" ca="1" si="37"/>
        <v>#N/A</v>
      </c>
      <c r="AR60" t="b">
        <f t="shared" ca="1" si="38"/>
        <v>0</v>
      </c>
    </row>
    <row r="61" spans="2:44">
      <c r="B61">
        <f t="shared" si="8"/>
        <v>51</v>
      </c>
      <c r="C61" s="22">
        <f ca="1"/>
        <v>38353</v>
      </c>
      <c r="D61" s="17">
        <f ca="1"/>
        <v>96.254760000000005</v>
      </c>
      <c r="E61" s="17">
        <f ca="1"/>
        <v>95.388664000000006</v>
      </c>
      <c r="F61" s="23">
        <f ca="1"/>
        <v>9.0386810924466057E-3</v>
      </c>
      <c r="G61" s="23">
        <f t="shared" ca="1" si="26"/>
        <v>0.18368115587921033</v>
      </c>
      <c r="H61" t="b">
        <f t="shared" ca="1" si="5"/>
        <v>1</v>
      </c>
      <c r="I61" s="22">
        <f t="shared" ca="1" si="0"/>
        <v>38353</v>
      </c>
      <c r="J61">
        <f t="shared" ca="1" si="1"/>
        <v>0.18368115587921033</v>
      </c>
      <c r="K61">
        <f t="shared" ca="1" si="6"/>
        <v>2005</v>
      </c>
      <c r="O61" s="22">
        <f t="shared" ca="1" si="2"/>
        <v>38353</v>
      </c>
      <c r="P61" s="17">
        <f ca="1"/>
        <v>90.714802680000005</v>
      </c>
      <c r="Q61" s="17">
        <f ca="1"/>
        <v>92.043884910000003</v>
      </c>
      <c r="R61" s="23">
        <f ca="1"/>
        <v>-1.4544924551507099E-2</v>
      </c>
      <c r="S61" s="23">
        <f t="shared" ca="1" si="27"/>
        <v>0.24737412210256499</v>
      </c>
      <c r="T61" t="b">
        <f t="shared" ca="1" si="7"/>
        <v>1</v>
      </c>
      <c r="U61" s="22">
        <f t="shared" ca="1" si="3"/>
        <v>38353</v>
      </c>
      <c r="V61">
        <f t="shared" ca="1" si="4"/>
        <v>0.24737412210256499</v>
      </c>
      <c r="Y61">
        <f t="shared" ca="1" si="28"/>
        <v>2047</v>
      </c>
      <c r="Z61" t="b">
        <f t="shared" ca="1" si="29"/>
        <v>0</v>
      </c>
      <c r="AA61" s="23" t="b">
        <f t="shared" ca="1" si="19"/>
        <v>0</v>
      </c>
      <c r="AB61" t="b">
        <f t="shared" ca="1" si="23"/>
        <v>0</v>
      </c>
      <c r="AD61">
        <f t="shared" ca="1" si="30"/>
        <v>2047</v>
      </c>
      <c r="AE61" t="b">
        <f t="shared" ca="1" si="31"/>
        <v>0</v>
      </c>
      <c r="AF61" s="17" t="b">
        <f t="shared" ca="1" si="32"/>
        <v>0</v>
      </c>
      <c r="AG61" t="b">
        <f t="shared" ca="1" si="24"/>
        <v>0</v>
      </c>
      <c r="AJ61">
        <f t="shared" ca="1" si="33"/>
        <v>2047</v>
      </c>
      <c r="AK61">
        <f t="shared" ca="1" si="34"/>
        <v>1</v>
      </c>
      <c r="AL61" t="str">
        <f t="shared" ca="1" si="35"/>
        <v>2046-2044</v>
      </c>
      <c r="AM61" t="b">
        <f t="shared" ca="1" si="20"/>
        <v>0</v>
      </c>
      <c r="AN61">
        <f t="shared" ca="1" si="21"/>
        <v>16</v>
      </c>
      <c r="AO61">
        <f t="shared" si="25"/>
        <v>48</v>
      </c>
      <c r="AP61" t="e">
        <f t="shared" ca="1" si="36"/>
        <v>#N/A</v>
      </c>
      <c r="AQ61" t="e">
        <f t="shared" ca="1" si="37"/>
        <v>#N/A</v>
      </c>
      <c r="AR61" t="b">
        <f t="shared" ca="1" si="38"/>
        <v>0</v>
      </c>
    </row>
    <row r="62" spans="2:44">
      <c r="B62">
        <f t="shared" si="8"/>
        <v>52</v>
      </c>
      <c r="C62" s="22">
        <f ca="1"/>
        <v>38384</v>
      </c>
      <c r="D62" s="17">
        <f ca="1"/>
        <v>94.138729999999995</v>
      </c>
      <c r="E62" s="17">
        <f ca="1"/>
        <v>96.254760000000005</v>
      </c>
      <c r="F62" s="23">
        <f ca="1"/>
        <v>-2.2228881154509827E-2</v>
      </c>
      <c r="G62" s="23">
        <f t="shared" ca="1" si="26"/>
        <v>0.17505622286231276</v>
      </c>
      <c r="H62" t="b">
        <f t="shared" ca="1" si="5"/>
        <v>1</v>
      </c>
      <c r="I62" s="22">
        <f t="shared" ca="1" si="0"/>
        <v>38384</v>
      </c>
      <c r="J62">
        <f t="shared" ca="1" si="1"/>
        <v>0.17505622286231276</v>
      </c>
      <c r="K62">
        <f t="shared" ca="1" si="6"/>
        <v>2005</v>
      </c>
      <c r="O62" s="22">
        <f t="shared" ca="1" si="2"/>
        <v>38384</v>
      </c>
      <c r="P62" s="17">
        <f ca="1"/>
        <v>87.375633620000002</v>
      </c>
      <c r="Q62" s="17">
        <f ca="1"/>
        <v>90.714802680000005</v>
      </c>
      <c r="R62" s="23">
        <f ca="1"/>
        <v>-3.7504096397060753E-2</v>
      </c>
      <c r="S62" s="23">
        <f t="shared" ca="1" si="27"/>
        <v>0.23466510861507345</v>
      </c>
      <c r="T62" t="b">
        <f t="shared" ca="1" si="7"/>
        <v>1</v>
      </c>
      <c r="U62" s="22">
        <f t="shared" ca="1" si="3"/>
        <v>38384</v>
      </c>
      <c r="V62">
        <f t="shared" ca="1" si="4"/>
        <v>0.23466510861507345</v>
      </c>
      <c r="Y62">
        <f t="shared" ref="Y62:Y76" ca="1" si="39">Y61+1</f>
        <v>2048</v>
      </c>
      <c r="Z62" t="b">
        <f t="shared" ca="1" si="29"/>
        <v>0</v>
      </c>
      <c r="AA62" s="23" t="b">
        <f t="shared" ca="1" si="19"/>
        <v>0</v>
      </c>
      <c r="AB62" t="b">
        <f t="shared" ca="1" si="23"/>
        <v>0</v>
      </c>
      <c r="AD62">
        <f t="shared" ca="1" si="30"/>
        <v>2048</v>
      </c>
      <c r="AE62" t="b">
        <f t="shared" ca="1" si="31"/>
        <v>0</v>
      </c>
      <c r="AF62" s="17" t="b">
        <f t="shared" ca="1" si="32"/>
        <v>0</v>
      </c>
      <c r="AG62" t="b">
        <f t="shared" ca="1" si="24"/>
        <v>0</v>
      </c>
      <c r="AJ62">
        <f t="shared" ca="1" si="33"/>
        <v>2048</v>
      </c>
      <c r="AK62">
        <f t="shared" ca="1" si="34"/>
        <v>2</v>
      </c>
      <c r="AL62" t="str">
        <f t="shared" ca="1" si="35"/>
        <v>2046-2044</v>
      </c>
      <c r="AM62" t="b">
        <f t="shared" ca="1" si="20"/>
        <v>0</v>
      </c>
      <c r="AN62">
        <f t="shared" ca="1" si="21"/>
        <v>16</v>
      </c>
      <c r="AO62">
        <f t="shared" si="25"/>
        <v>49</v>
      </c>
      <c r="AP62" t="e">
        <f t="shared" ca="1" si="36"/>
        <v>#N/A</v>
      </c>
      <c r="AQ62" t="e">
        <f t="shared" ca="1" si="37"/>
        <v>#N/A</v>
      </c>
      <c r="AR62" t="b">
        <f t="shared" ca="1" si="38"/>
        <v>0</v>
      </c>
    </row>
    <row r="63" spans="2:44">
      <c r="B63">
        <f t="shared" si="8"/>
        <v>53</v>
      </c>
      <c r="C63" s="22">
        <f ca="1"/>
        <v>38412</v>
      </c>
      <c r="D63" s="17">
        <f ca="1"/>
        <v>99.876615999999999</v>
      </c>
      <c r="E63" s="17">
        <f ca="1"/>
        <v>94.138729999999995</v>
      </c>
      <c r="F63" s="23">
        <f ca="1"/>
        <v>5.9166038844819344E-2</v>
      </c>
      <c r="G63" s="23">
        <f t="shared" ca="1" si="26"/>
        <v>0.18167578672104845</v>
      </c>
      <c r="H63" t="b">
        <f t="shared" ca="1" si="5"/>
        <v>1</v>
      </c>
      <c r="I63" s="22">
        <f t="shared" ca="1" si="0"/>
        <v>38412</v>
      </c>
      <c r="J63">
        <f t="shared" ca="1" si="1"/>
        <v>0.18167578672104845</v>
      </c>
      <c r="K63">
        <f t="shared" ca="1" si="6"/>
        <v>2005</v>
      </c>
      <c r="O63" s="22">
        <f t="shared" ca="1" si="2"/>
        <v>38412</v>
      </c>
      <c r="P63" s="17">
        <f ca="1"/>
        <v>94.168641980000004</v>
      </c>
      <c r="Q63" s="17">
        <f ca="1"/>
        <v>87.375633620000002</v>
      </c>
      <c r="R63" s="23">
        <f ca="1"/>
        <v>7.4870786218412574E-2</v>
      </c>
      <c r="S63" s="23">
        <f t="shared" ca="1" si="27"/>
        <v>0.22921491611037242</v>
      </c>
      <c r="T63" t="b">
        <f t="shared" ca="1" si="7"/>
        <v>1</v>
      </c>
      <c r="U63" s="22">
        <f t="shared" ca="1" si="3"/>
        <v>38412</v>
      </c>
      <c r="V63">
        <f t="shared" ca="1" si="4"/>
        <v>0.22921491611037242</v>
      </c>
      <c r="Y63">
        <f t="shared" ca="1" si="39"/>
        <v>2049</v>
      </c>
      <c r="Z63" t="b">
        <f t="shared" ca="1" si="29"/>
        <v>0</v>
      </c>
      <c r="AA63" s="23" t="b">
        <f t="shared" ca="1" si="19"/>
        <v>0</v>
      </c>
      <c r="AB63" t="b">
        <f t="shared" ca="1" si="23"/>
        <v>0</v>
      </c>
      <c r="AD63">
        <f t="shared" ca="1" si="30"/>
        <v>2049</v>
      </c>
      <c r="AE63" t="b">
        <f t="shared" ca="1" si="31"/>
        <v>0</v>
      </c>
      <c r="AF63" s="17" t="b">
        <f t="shared" ca="1" si="32"/>
        <v>0</v>
      </c>
      <c r="AG63" t="b">
        <f t="shared" ca="1" si="24"/>
        <v>0</v>
      </c>
      <c r="AJ63">
        <f t="shared" ca="1" si="33"/>
        <v>2049</v>
      </c>
      <c r="AK63">
        <f t="shared" ca="1" si="34"/>
        <v>0</v>
      </c>
      <c r="AL63" t="str">
        <f t="shared" ca="1" si="35"/>
        <v>2049-2047</v>
      </c>
      <c r="AM63" t="b">
        <f t="shared" ca="1" si="20"/>
        <v>1</v>
      </c>
      <c r="AN63">
        <f t="shared" ca="1" si="21"/>
        <v>17</v>
      </c>
      <c r="AO63">
        <f t="shared" si="25"/>
        <v>50</v>
      </c>
      <c r="AP63" t="e">
        <f t="shared" ca="1" si="36"/>
        <v>#N/A</v>
      </c>
      <c r="AQ63" t="e">
        <f t="shared" ca="1" si="37"/>
        <v>#N/A</v>
      </c>
      <c r="AR63" t="b">
        <f t="shared" ca="1" si="38"/>
        <v>0</v>
      </c>
    </row>
    <row r="64" spans="2:44">
      <c r="B64">
        <f t="shared" si="8"/>
        <v>54</v>
      </c>
      <c r="C64" s="22">
        <f ca="1"/>
        <v>38443</v>
      </c>
      <c r="D64" s="17">
        <f ca="1"/>
        <v>96.279364999999999</v>
      </c>
      <c r="E64" s="17">
        <f ca="1"/>
        <v>99.876615999999999</v>
      </c>
      <c r="F64" s="23">
        <f ca="1"/>
        <v>-3.6681566634604978E-2</v>
      </c>
      <c r="G64" s="23">
        <f t="shared" ca="1" si="26"/>
        <v>0.18134490355376412</v>
      </c>
      <c r="H64" t="b">
        <f t="shared" ca="1" si="5"/>
        <v>1</v>
      </c>
      <c r="I64" s="22">
        <f t="shared" ca="1" si="0"/>
        <v>38443</v>
      </c>
      <c r="J64">
        <f t="shared" ca="1" si="1"/>
        <v>0.18134490355376412</v>
      </c>
      <c r="K64">
        <f t="shared" ca="1" si="6"/>
        <v>2005</v>
      </c>
      <c r="O64" s="22">
        <f t="shared" ca="1" si="2"/>
        <v>38443</v>
      </c>
      <c r="P64" s="17">
        <f ca="1"/>
        <v>93.327237550000007</v>
      </c>
      <c r="Q64" s="17">
        <f ca="1"/>
        <v>94.168641980000004</v>
      </c>
      <c r="R64" s="23">
        <f ca="1"/>
        <v>-8.9752380732024545E-3</v>
      </c>
      <c r="S64" s="23">
        <f t="shared" ca="1" si="27"/>
        <v>0.22920843705655849</v>
      </c>
      <c r="T64" t="b">
        <f t="shared" ca="1" si="7"/>
        <v>1</v>
      </c>
      <c r="U64" s="22">
        <f t="shared" ca="1" si="3"/>
        <v>38443</v>
      </c>
      <c r="V64">
        <f t="shared" ca="1" si="4"/>
        <v>0.22920843705655849</v>
      </c>
      <c r="Y64">
        <f t="shared" ca="1" si="39"/>
        <v>2050</v>
      </c>
      <c r="Z64" t="b">
        <f t="shared" ca="1" si="29"/>
        <v>0</v>
      </c>
      <c r="AA64" s="23" t="b">
        <f t="shared" ca="1" si="19"/>
        <v>0</v>
      </c>
      <c r="AB64" t="b">
        <f t="shared" ca="1" si="23"/>
        <v>0</v>
      </c>
      <c r="AD64">
        <f t="shared" ca="1" si="30"/>
        <v>2050</v>
      </c>
      <c r="AE64" t="b">
        <f t="shared" ca="1" si="31"/>
        <v>0</v>
      </c>
      <c r="AF64" s="17" t="b">
        <f t="shared" ca="1" si="32"/>
        <v>0</v>
      </c>
      <c r="AG64" t="b">
        <f t="shared" ca="1" si="24"/>
        <v>0</v>
      </c>
      <c r="AJ64">
        <f t="shared" ca="1" si="33"/>
        <v>2050</v>
      </c>
      <c r="AK64">
        <f t="shared" ca="1" si="34"/>
        <v>1</v>
      </c>
      <c r="AL64" t="str">
        <f t="shared" ca="1" si="35"/>
        <v>2049-2047</v>
      </c>
      <c r="AM64" t="b">
        <f t="shared" ca="1" si="20"/>
        <v>0</v>
      </c>
      <c r="AN64">
        <f t="shared" ca="1" si="21"/>
        <v>17</v>
      </c>
      <c r="AO64">
        <f t="shared" si="25"/>
        <v>51</v>
      </c>
      <c r="AP64" t="e">
        <f t="shared" ca="1" si="36"/>
        <v>#N/A</v>
      </c>
      <c r="AQ64" t="e">
        <f t="shared" ca="1" si="37"/>
        <v>#N/A</v>
      </c>
      <c r="AR64" t="b">
        <f t="shared" ca="1" si="38"/>
        <v>0</v>
      </c>
    </row>
    <row r="65" spans="2:44">
      <c r="B65">
        <f t="shared" si="8"/>
        <v>55</v>
      </c>
      <c r="C65" s="22">
        <f ca="1"/>
        <v>38473</v>
      </c>
      <c r="D65" s="17">
        <f ca="1"/>
        <v>95.418189999999996</v>
      </c>
      <c r="E65" s="17">
        <f ca="1"/>
        <v>96.279364999999999</v>
      </c>
      <c r="F65" s="23">
        <f ca="1"/>
        <v>-8.9847864078154097E-3</v>
      </c>
      <c r="G65" s="23">
        <f t="shared" ca="1" si="26"/>
        <v>0.18083600710518444</v>
      </c>
      <c r="H65" t="b">
        <f t="shared" ca="1" si="5"/>
        <v>1</v>
      </c>
      <c r="I65" s="22">
        <f t="shared" ca="1" si="0"/>
        <v>38473</v>
      </c>
      <c r="J65">
        <f t="shared" ca="1" si="1"/>
        <v>0.18083600710518444</v>
      </c>
      <c r="K65">
        <f t="shared" ca="1" si="6"/>
        <v>2005</v>
      </c>
      <c r="O65" s="22">
        <f t="shared" ca="1" si="2"/>
        <v>38473</v>
      </c>
      <c r="P65" s="17">
        <f ca="1"/>
        <v>88.894833449999993</v>
      </c>
      <c r="Q65" s="17">
        <f ca="1"/>
        <v>93.327237550000007</v>
      </c>
      <c r="R65" s="23">
        <f ca="1"/>
        <v>-4.8657975995848111E-2</v>
      </c>
      <c r="S65" s="23">
        <f t="shared" ca="1" si="27"/>
        <v>0.22823495664873533</v>
      </c>
      <c r="T65" t="b">
        <f t="shared" ca="1" si="7"/>
        <v>1</v>
      </c>
      <c r="U65" s="22">
        <f t="shared" ca="1" si="3"/>
        <v>38473</v>
      </c>
      <c r="V65">
        <f t="shared" ca="1" si="4"/>
        <v>0.22823495664873533</v>
      </c>
      <c r="Y65">
        <f t="shared" ca="1" si="39"/>
        <v>2051</v>
      </c>
      <c r="Z65" t="b">
        <f t="shared" ca="1" si="29"/>
        <v>0</v>
      </c>
      <c r="AA65" s="23" t="b">
        <f t="shared" ca="1" si="19"/>
        <v>0</v>
      </c>
      <c r="AB65" t="b">
        <f t="shared" ca="1" si="23"/>
        <v>0</v>
      </c>
      <c r="AD65">
        <f t="shared" ca="1" si="30"/>
        <v>2051</v>
      </c>
      <c r="AE65" t="b">
        <f t="shared" ca="1" si="31"/>
        <v>0</v>
      </c>
      <c r="AF65" s="17" t="b">
        <f t="shared" ca="1" si="32"/>
        <v>0</v>
      </c>
      <c r="AG65" t="b">
        <f t="shared" ca="1" si="24"/>
        <v>0</v>
      </c>
      <c r="AJ65">
        <f t="shared" ca="1" si="33"/>
        <v>2051</v>
      </c>
      <c r="AK65">
        <f t="shared" ca="1" si="34"/>
        <v>2</v>
      </c>
      <c r="AL65" t="str">
        <f t="shared" ca="1" si="35"/>
        <v>2049-2047</v>
      </c>
      <c r="AM65" t="b">
        <f t="shared" ca="1" si="20"/>
        <v>0</v>
      </c>
      <c r="AN65">
        <f t="shared" ca="1" si="21"/>
        <v>17</v>
      </c>
      <c r="AO65">
        <f t="shared" si="25"/>
        <v>52</v>
      </c>
      <c r="AP65" t="e">
        <f t="shared" ca="1" si="36"/>
        <v>#N/A</v>
      </c>
      <c r="AQ65" t="e">
        <f t="shared" ca="1" si="37"/>
        <v>#N/A</v>
      </c>
      <c r="AR65" t="b">
        <f t="shared" ca="1" si="38"/>
        <v>0</v>
      </c>
    </row>
    <row r="66" spans="2:44">
      <c r="B66">
        <f t="shared" si="8"/>
        <v>56</v>
      </c>
      <c r="C66" s="22">
        <f ca="1"/>
        <v>38504</v>
      </c>
      <c r="D66" s="17">
        <f ca="1"/>
        <v>97.101172000000005</v>
      </c>
      <c r="E66" s="17">
        <f ca="1"/>
        <v>95.418189999999996</v>
      </c>
      <c r="F66" s="23">
        <f ca="1"/>
        <v>1.7484214116931469E-2</v>
      </c>
      <c r="G66" s="23">
        <f t="shared" ca="1" si="26"/>
        <v>0.10620573124578092</v>
      </c>
      <c r="H66" t="b">
        <f t="shared" ca="1" si="5"/>
        <v>1</v>
      </c>
      <c r="I66" s="22">
        <f t="shared" ca="1" si="0"/>
        <v>38504</v>
      </c>
      <c r="J66">
        <f t="shared" ca="1" si="1"/>
        <v>0.10620573124578092</v>
      </c>
      <c r="K66">
        <f t="shared" ca="1" si="6"/>
        <v>2005</v>
      </c>
      <c r="O66" s="22">
        <f t="shared" ca="1" si="2"/>
        <v>38504</v>
      </c>
      <c r="P66" s="17">
        <f ca="1"/>
        <v>93.443528150000006</v>
      </c>
      <c r="Q66" s="17">
        <f ca="1"/>
        <v>88.894833449999993</v>
      </c>
      <c r="R66" s="23">
        <f ca="1"/>
        <v>4.9903252413620855E-2</v>
      </c>
      <c r="S66" s="23">
        <f t="shared" ca="1" si="27"/>
        <v>0.22342819153996454</v>
      </c>
      <c r="T66" t="b">
        <f t="shared" ca="1" si="7"/>
        <v>1</v>
      </c>
      <c r="U66" s="22">
        <f t="shared" ca="1" si="3"/>
        <v>38504</v>
      </c>
      <c r="V66">
        <f t="shared" ca="1" si="4"/>
        <v>0.22342819153996454</v>
      </c>
      <c r="Y66">
        <f t="shared" ca="1" si="39"/>
        <v>2052</v>
      </c>
      <c r="Z66" t="b">
        <f t="shared" ca="1" si="29"/>
        <v>0</v>
      </c>
      <c r="AA66" s="23" t="b">
        <f t="shared" ca="1" si="19"/>
        <v>0</v>
      </c>
      <c r="AB66" t="b">
        <f t="shared" ca="1" si="23"/>
        <v>0</v>
      </c>
      <c r="AD66">
        <f t="shared" ca="1" si="30"/>
        <v>2052</v>
      </c>
      <c r="AE66" t="b">
        <f t="shared" ca="1" si="31"/>
        <v>0</v>
      </c>
      <c r="AF66" s="17" t="b">
        <f t="shared" ca="1" si="32"/>
        <v>0</v>
      </c>
      <c r="AG66" t="b">
        <f t="shared" ca="1" si="24"/>
        <v>0</v>
      </c>
      <c r="AJ66">
        <f t="shared" ca="1" si="33"/>
        <v>2052</v>
      </c>
      <c r="AK66">
        <f t="shared" ca="1" si="34"/>
        <v>0</v>
      </c>
      <c r="AL66" t="str">
        <f t="shared" ca="1" si="35"/>
        <v>2052-2050</v>
      </c>
      <c r="AM66" t="b">
        <f t="shared" ca="1" si="20"/>
        <v>1</v>
      </c>
      <c r="AN66">
        <f t="shared" ca="1" si="21"/>
        <v>18</v>
      </c>
      <c r="AO66">
        <f t="shared" si="25"/>
        <v>53</v>
      </c>
      <c r="AP66" t="e">
        <f t="shared" ca="1" si="36"/>
        <v>#N/A</v>
      </c>
      <c r="AQ66" t="e">
        <f t="shared" ca="1" si="37"/>
        <v>#N/A</v>
      </c>
      <c r="AR66" t="b">
        <f t="shared" ca="1" si="38"/>
        <v>0</v>
      </c>
    </row>
    <row r="67" spans="2:44">
      <c r="B67">
        <f t="shared" si="8"/>
        <v>57</v>
      </c>
      <c r="C67" s="22">
        <f ca="1"/>
        <v>38534</v>
      </c>
      <c r="D67" s="17">
        <f ca="1"/>
        <v>107.52385</v>
      </c>
      <c r="E67" s="17">
        <f ca="1"/>
        <v>97.101172000000005</v>
      </c>
      <c r="F67" s="23">
        <f ca="1"/>
        <v>0.10195923817010728</v>
      </c>
      <c r="G67" s="23">
        <f t="shared" ca="1" si="26"/>
        <v>0.14828401220763995</v>
      </c>
      <c r="H67" t="b">
        <f t="shared" ca="1" si="5"/>
        <v>1</v>
      </c>
      <c r="I67" s="22">
        <f t="shared" ca="1" si="0"/>
        <v>38534</v>
      </c>
      <c r="J67">
        <f t="shared" ca="1" si="1"/>
        <v>0.14828401220763995</v>
      </c>
      <c r="K67">
        <f t="shared" ca="1" si="6"/>
        <v>2005</v>
      </c>
      <c r="O67" s="22">
        <f t="shared" ca="1" si="2"/>
        <v>38534</v>
      </c>
      <c r="P67" s="17">
        <f ca="1"/>
        <v>96.805338689999999</v>
      </c>
      <c r="Q67" s="17">
        <f ca="1"/>
        <v>93.443528150000006</v>
      </c>
      <c r="R67" s="23">
        <f ca="1"/>
        <v>3.5344867696219619E-2</v>
      </c>
      <c r="S67" s="23">
        <f t="shared" ca="1" si="27"/>
        <v>0.15042668538357332</v>
      </c>
      <c r="T67" t="b">
        <f t="shared" ca="1" si="7"/>
        <v>1</v>
      </c>
      <c r="U67" s="22">
        <f t="shared" ca="1" si="3"/>
        <v>38534</v>
      </c>
      <c r="V67">
        <f t="shared" ca="1" si="4"/>
        <v>0.15042668538357332</v>
      </c>
      <c r="Y67">
        <f t="shared" ca="1" si="39"/>
        <v>2053</v>
      </c>
      <c r="Z67" t="b">
        <f t="shared" ca="1" si="29"/>
        <v>0</v>
      </c>
      <c r="AA67" s="23" t="b">
        <f t="shared" ca="1" si="19"/>
        <v>0</v>
      </c>
      <c r="AB67" t="b">
        <f t="shared" ca="1" si="23"/>
        <v>0</v>
      </c>
      <c r="AD67">
        <f t="shared" ca="1" si="30"/>
        <v>2053</v>
      </c>
      <c r="AE67" t="b">
        <f t="shared" ca="1" si="31"/>
        <v>0</v>
      </c>
      <c r="AF67" s="17" t="b">
        <f t="shared" ca="1" si="32"/>
        <v>0</v>
      </c>
      <c r="AG67" t="b">
        <f t="shared" ca="1" si="24"/>
        <v>0</v>
      </c>
      <c r="AJ67">
        <f t="shared" ca="1" si="33"/>
        <v>2053</v>
      </c>
      <c r="AK67">
        <f t="shared" ca="1" si="34"/>
        <v>1</v>
      </c>
      <c r="AL67" t="str">
        <f t="shared" ca="1" si="35"/>
        <v>2052-2050</v>
      </c>
      <c r="AM67" t="b">
        <f t="shared" ca="1" si="20"/>
        <v>0</v>
      </c>
      <c r="AN67">
        <f t="shared" ca="1" si="21"/>
        <v>18</v>
      </c>
      <c r="AO67">
        <f t="shared" si="25"/>
        <v>54</v>
      </c>
      <c r="AP67" t="e">
        <f t="shared" ca="1" si="36"/>
        <v>#N/A</v>
      </c>
      <c r="AQ67" t="e">
        <f t="shared" ca="1" si="37"/>
        <v>#N/A</v>
      </c>
      <c r="AR67" t="b">
        <f t="shared" ca="1" si="38"/>
        <v>0</v>
      </c>
    </row>
    <row r="68" spans="2:44">
      <c r="B68">
        <f t="shared" si="8"/>
        <v>58</v>
      </c>
      <c r="C68" s="22">
        <f ca="1"/>
        <v>38565</v>
      </c>
      <c r="D68" s="17">
        <f ca="1"/>
        <v>101.66786</v>
      </c>
      <c r="E68" s="17">
        <f ca="1"/>
        <v>107.52385</v>
      </c>
      <c r="F68" s="23">
        <f ca="1"/>
        <v>-5.600145785010658E-2</v>
      </c>
      <c r="G68" s="23">
        <f t="shared" ca="1" si="26"/>
        <v>0.14608013108095996</v>
      </c>
      <c r="H68" t="b">
        <f t="shared" ca="1" si="5"/>
        <v>1</v>
      </c>
      <c r="I68" s="22">
        <f t="shared" ca="1" si="0"/>
        <v>38565</v>
      </c>
      <c r="J68">
        <f t="shared" ca="1" si="1"/>
        <v>0.14608013108095996</v>
      </c>
      <c r="K68">
        <f t="shared" ca="1" si="6"/>
        <v>2005</v>
      </c>
      <c r="O68" s="22">
        <f t="shared" ca="1" si="2"/>
        <v>38565</v>
      </c>
      <c r="P68" s="17">
        <f ca="1"/>
        <v>98.003967880000005</v>
      </c>
      <c r="Q68" s="17">
        <f ca="1"/>
        <v>96.805338689999999</v>
      </c>
      <c r="R68" s="23">
        <f ca="1"/>
        <v>1.2305821904432922E-2</v>
      </c>
      <c r="S68" s="23">
        <f t="shared" ca="1" si="27"/>
        <v>0.14588941929360585</v>
      </c>
      <c r="T68" t="b">
        <f t="shared" ca="1" si="7"/>
        <v>1</v>
      </c>
      <c r="U68" s="22">
        <f t="shared" ca="1" si="3"/>
        <v>38565</v>
      </c>
      <c r="V68">
        <f t="shared" ca="1" si="4"/>
        <v>0.14588941929360585</v>
      </c>
      <c r="Y68">
        <f t="shared" ca="1" si="39"/>
        <v>2054</v>
      </c>
      <c r="Z68" t="b">
        <f t="shared" ca="1" si="29"/>
        <v>0</v>
      </c>
      <c r="AA68" s="23" t="b">
        <f t="shared" ca="1" si="19"/>
        <v>0</v>
      </c>
      <c r="AB68" t="b">
        <f t="shared" ca="1" si="23"/>
        <v>0</v>
      </c>
      <c r="AD68">
        <f t="shared" ca="1" si="30"/>
        <v>2054</v>
      </c>
      <c r="AE68" t="b">
        <f t="shared" ca="1" si="31"/>
        <v>0</v>
      </c>
      <c r="AF68" s="17" t="b">
        <f t="shared" ca="1" si="32"/>
        <v>0</v>
      </c>
      <c r="AG68" t="b">
        <f t="shared" ca="1" si="24"/>
        <v>0</v>
      </c>
      <c r="AJ68">
        <f t="shared" ca="1" si="33"/>
        <v>2054</v>
      </c>
      <c r="AK68">
        <f t="shared" ca="1" si="34"/>
        <v>2</v>
      </c>
      <c r="AL68" t="str">
        <f t="shared" ca="1" si="35"/>
        <v>2052-2050</v>
      </c>
      <c r="AM68" t="b">
        <f t="shared" ca="1" si="20"/>
        <v>0</v>
      </c>
      <c r="AN68">
        <f t="shared" ca="1" si="21"/>
        <v>18</v>
      </c>
      <c r="AO68">
        <f t="shared" si="25"/>
        <v>55</v>
      </c>
      <c r="AP68" t="e">
        <f t="shared" ca="1" si="36"/>
        <v>#N/A</v>
      </c>
      <c r="AQ68" t="e">
        <f t="shared" ca="1" si="37"/>
        <v>#N/A</v>
      </c>
      <c r="AR68" t="b">
        <f t="shared" ca="1" si="38"/>
        <v>0</v>
      </c>
    </row>
    <row r="69" spans="2:44">
      <c r="B69">
        <f t="shared" si="8"/>
        <v>59</v>
      </c>
      <c r="C69" s="22">
        <f ca="1"/>
        <v>38596</v>
      </c>
      <c r="D69" s="17">
        <f ca="1"/>
        <v>96.353179999999995</v>
      </c>
      <c r="E69" s="17">
        <f ca="1"/>
        <v>101.66786</v>
      </c>
      <c r="F69" s="23">
        <f ca="1"/>
        <v>-5.3690826589128313E-2</v>
      </c>
      <c r="G69" s="23">
        <f t="shared" ca="1" si="26"/>
        <v>0.14989861831979329</v>
      </c>
      <c r="H69" t="b">
        <f t="shared" ca="1" si="5"/>
        <v>1</v>
      </c>
      <c r="I69" s="22">
        <f t="shared" ca="1" si="0"/>
        <v>38596</v>
      </c>
      <c r="J69">
        <f t="shared" ca="1" si="1"/>
        <v>0.14989861831979329</v>
      </c>
      <c r="K69">
        <f t="shared" ca="1" si="6"/>
        <v>2005</v>
      </c>
      <c r="O69" s="22">
        <f t="shared" ca="1" si="2"/>
        <v>38596</v>
      </c>
      <c r="P69" s="17">
        <f ca="1"/>
        <v>97.892251470000005</v>
      </c>
      <c r="Q69" s="17">
        <f ca="1"/>
        <v>98.003967880000005</v>
      </c>
      <c r="R69" s="23">
        <f ca="1"/>
        <v>-1.1405674135174125E-3</v>
      </c>
      <c r="S69" s="23">
        <f t="shared" ca="1" si="27"/>
        <v>0.14495420644482387</v>
      </c>
      <c r="T69" t="b">
        <f t="shared" ca="1" si="7"/>
        <v>1</v>
      </c>
      <c r="U69" s="22">
        <f t="shared" ca="1" si="3"/>
        <v>38596</v>
      </c>
      <c r="V69">
        <f t="shared" ca="1" si="4"/>
        <v>0.14495420644482387</v>
      </c>
      <c r="Y69">
        <f t="shared" ca="1" si="39"/>
        <v>2055</v>
      </c>
      <c r="Z69" t="b">
        <f t="shared" ca="1" si="29"/>
        <v>0</v>
      </c>
      <c r="AA69" s="23" t="b">
        <f t="shared" ca="1" si="19"/>
        <v>0</v>
      </c>
      <c r="AB69" t="b">
        <f t="shared" ca="1" si="23"/>
        <v>0</v>
      </c>
      <c r="AD69">
        <f t="shared" ca="1" si="30"/>
        <v>2055</v>
      </c>
      <c r="AE69" t="b">
        <f t="shared" ca="1" si="31"/>
        <v>0</v>
      </c>
      <c r="AF69" s="17" t="b">
        <f t="shared" ca="1" si="32"/>
        <v>0</v>
      </c>
      <c r="AG69" t="b">
        <f t="shared" ca="1" si="24"/>
        <v>0</v>
      </c>
      <c r="AJ69">
        <f t="shared" ca="1" si="33"/>
        <v>2055</v>
      </c>
      <c r="AK69">
        <f t="shared" ca="1" si="34"/>
        <v>0</v>
      </c>
      <c r="AL69" t="str">
        <f t="shared" ca="1" si="35"/>
        <v>2055-2053</v>
      </c>
      <c r="AM69" t="b">
        <f t="shared" ca="1" si="20"/>
        <v>1</v>
      </c>
      <c r="AN69">
        <f t="shared" ca="1" si="21"/>
        <v>19</v>
      </c>
      <c r="AO69">
        <f t="shared" si="25"/>
        <v>56</v>
      </c>
      <c r="AP69" t="e">
        <f t="shared" ca="1" si="36"/>
        <v>#N/A</v>
      </c>
      <c r="AQ69" t="e">
        <f t="shared" ca="1" si="37"/>
        <v>#N/A</v>
      </c>
      <c r="AR69" t="b">
        <f t="shared" ca="1" si="38"/>
        <v>0</v>
      </c>
    </row>
    <row r="70" spans="2:44">
      <c r="B70">
        <f t="shared" si="8"/>
        <v>60</v>
      </c>
      <c r="C70" s="22">
        <f ca="1"/>
        <v>38626</v>
      </c>
      <c r="D70" s="17">
        <f ca="1"/>
        <v>101.938515</v>
      </c>
      <c r="E70" s="17">
        <f ca="1"/>
        <v>96.353179999999995</v>
      </c>
      <c r="F70" s="23">
        <f ca="1"/>
        <v>5.634943842700086E-2</v>
      </c>
      <c r="G70" s="23">
        <f t="shared" ca="1" si="26"/>
        <v>0.15861979636123955</v>
      </c>
      <c r="H70" t="b">
        <f t="shared" ca="1" si="5"/>
        <v>1</v>
      </c>
      <c r="I70" s="22">
        <f t="shared" ca="1" si="0"/>
        <v>38626</v>
      </c>
      <c r="J70">
        <f t="shared" ca="1" si="1"/>
        <v>0.15861979636123955</v>
      </c>
      <c r="K70">
        <f t="shared" ca="1" si="6"/>
        <v>2005</v>
      </c>
      <c r="O70" s="22">
        <f t="shared" ca="1" si="2"/>
        <v>38626</v>
      </c>
      <c r="P70" s="17">
        <f ca="1"/>
        <v>98.525588330000005</v>
      </c>
      <c r="Q70" s="17">
        <f ca="1"/>
        <v>97.892251470000005</v>
      </c>
      <c r="R70" s="23">
        <f ca="1"/>
        <v>6.4488954322185661E-3</v>
      </c>
      <c r="S70" s="23">
        <f t="shared" ca="1" si="27"/>
        <v>0.12213606849006006</v>
      </c>
      <c r="T70" t="b">
        <f t="shared" ca="1" si="7"/>
        <v>1</v>
      </c>
      <c r="U70" s="22">
        <f t="shared" ca="1" si="3"/>
        <v>38626</v>
      </c>
      <c r="V70">
        <f t="shared" ca="1" si="4"/>
        <v>0.12213606849006006</v>
      </c>
      <c r="Y70">
        <f t="shared" ca="1" si="39"/>
        <v>2056</v>
      </c>
      <c r="Z70" t="b">
        <f t="shared" ca="1" si="29"/>
        <v>0</v>
      </c>
      <c r="AA70" s="23" t="b">
        <f t="shared" ca="1" si="19"/>
        <v>0</v>
      </c>
      <c r="AB70" t="b">
        <f t="shared" ca="1" si="23"/>
        <v>0</v>
      </c>
      <c r="AD70">
        <f t="shared" ca="1" si="30"/>
        <v>2056</v>
      </c>
      <c r="AE70" t="b">
        <f t="shared" ca="1" si="31"/>
        <v>0</v>
      </c>
      <c r="AF70" s="17" t="b">
        <f t="shared" ca="1" si="32"/>
        <v>0</v>
      </c>
      <c r="AG70" t="b">
        <f t="shared" ca="1" si="24"/>
        <v>0</v>
      </c>
      <c r="AJ70">
        <f t="shared" ca="1" si="33"/>
        <v>2056</v>
      </c>
      <c r="AK70">
        <f t="shared" ca="1" si="34"/>
        <v>1</v>
      </c>
      <c r="AL70" t="str">
        <f t="shared" ca="1" si="35"/>
        <v>2055-2053</v>
      </c>
      <c r="AM70" t="b">
        <f t="shared" ca="1" si="20"/>
        <v>0</v>
      </c>
      <c r="AN70">
        <f t="shared" ca="1" si="21"/>
        <v>19</v>
      </c>
      <c r="AO70">
        <f t="shared" si="25"/>
        <v>57</v>
      </c>
      <c r="AP70" t="e">
        <f t="shared" ca="1" si="36"/>
        <v>#N/A</v>
      </c>
      <c r="AQ70" t="e">
        <f t="shared" ca="1" si="37"/>
        <v>#N/A</v>
      </c>
      <c r="AR70" t="b">
        <f t="shared" ca="1" si="38"/>
        <v>0</v>
      </c>
    </row>
    <row r="71" spans="2:44">
      <c r="B71">
        <f t="shared" si="8"/>
        <v>61</v>
      </c>
      <c r="C71" s="22">
        <f ca="1"/>
        <v>38657</v>
      </c>
      <c r="D71" s="17">
        <f ca="1"/>
        <v>95.368979999999993</v>
      </c>
      <c r="E71" s="17">
        <f ca="1"/>
        <v>101.938515</v>
      </c>
      <c r="F71" s="23">
        <f ca="1"/>
        <v>-6.6616469066744982E-2</v>
      </c>
      <c r="G71" s="23">
        <f t="shared" ca="1" si="26"/>
        <v>0.17273090796997476</v>
      </c>
      <c r="H71" t="b">
        <f t="shared" ca="1" si="5"/>
        <v>1</v>
      </c>
      <c r="I71" s="22">
        <f t="shared" ca="1" si="0"/>
        <v>38657</v>
      </c>
      <c r="J71">
        <f t="shared" ca="1" si="1"/>
        <v>0.17273090796997476</v>
      </c>
      <c r="K71">
        <f t="shared" ca="1" si="6"/>
        <v>2005</v>
      </c>
      <c r="O71" s="22">
        <f t="shared" ca="1" si="2"/>
        <v>38657</v>
      </c>
      <c r="P71" s="17">
        <f ca="1"/>
        <v>98.759818109999998</v>
      </c>
      <c r="Q71" s="17">
        <f ca="1"/>
        <v>98.525588330000005</v>
      </c>
      <c r="R71" s="23">
        <f ca="1"/>
        <v>2.3745282966754324E-3</v>
      </c>
      <c r="S71" s="23">
        <f t="shared" ca="1" si="27"/>
        <v>0.11502146625464035</v>
      </c>
      <c r="T71" t="b">
        <f t="shared" ca="1" si="7"/>
        <v>1</v>
      </c>
      <c r="U71" s="22">
        <f t="shared" ca="1" si="3"/>
        <v>38657</v>
      </c>
      <c r="V71">
        <f t="shared" ca="1" si="4"/>
        <v>0.11502146625464035</v>
      </c>
      <c r="Y71">
        <f t="shared" ca="1" si="39"/>
        <v>2057</v>
      </c>
      <c r="Z71" t="b">
        <f t="shared" ca="1" si="29"/>
        <v>0</v>
      </c>
      <c r="AA71" s="23" t="b">
        <f t="shared" ca="1" si="19"/>
        <v>0</v>
      </c>
      <c r="AB71" t="b">
        <f t="shared" ca="1" si="23"/>
        <v>0</v>
      </c>
      <c r="AD71">
        <f t="shared" ca="1" si="30"/>
        <v>2057</v>
      </c>
      <c r="AE71" t="b">
        <f t="shared" ca="1" si="31"/>
        <v>0</v>
      </c>
      <c r="AF71" s="17" t="b">
        <f t="shared" ca="1" si="32"/>
        <v>0</v>
      </c>
      <c r="AG71" t="b">
        <f t="shared" ca="1" si="24"/>
        <v>0</v>
      </c>
      <c r="AJ71">
        <f t="shared" ca="1" si="33"/>
        <v>2057</v>
      </c>
      <c r="AK71">
        <f t="shared" ca="1" si="34"/>
        <v>2</v>
      </c>
      <c r="AL71" t="str">
        <f t="shared" ca="1" si="35"/>
        <v>2055-2053</v>
      </c>
      <c r="AM71" t="b">
        <f t="shared" ca="1" si="20"/>
        <v>0</v>
      </c>
      <c r="AN71">
        <f t="shared" ca="1" si="21"/>
        <v>19</v>
      </c>
      <c r="AO71">
        <f t="shared" si="25"/>
        <v>58</v>
      </c>
      <c r="AP71" t="e">
        <f t="shared" ca="1" si="36"/>
        <v>#N/A</v>
      </c>
      <c r="AQ71" t="e">
        <f t="shared" ca="1" si="37"/>
        <v>#N/A</v>
      </c>
      <c r="AR71" t="b">
        <f t="shared" ca="1" si="38"/>
        <v>0</v>
      </c>
    </row>
    <row r="72" spans="2:44">
      <c r="B72">
        <f t="shared" si="8"/>
        <v>62</v>
      </c>
      <c r="C72" s="22">
        <f ca="1"/>
        <v>38687</v>
      </c>
      <c r="D72" s="17">
        <f ca="1"/>
        <v>102.140276</v>
      </c>
      <c r="E72" s="17">
        <f ca="1"/>
        <v>95.368979999999993</v>
      </c>
      <c r="F72" s="23">
        <f ca="1"/>
        <v>6.8593755042873183E-2</v>
      </c>
      <c r="G72" s="23">
        <f t="shared" ca="1" si="26"/>
        <v>0.18490114036853686</v>
      </c>
      <c r="H72" t="b">
        <f t="shared" ca="1" si="5"/>
        <v>1</v>
      </c>
      <c r="I72" s="22">
        <f t="shared" ca="1" si="0"/>
        <v>38687</v>
      </c>
      <c r="J72">
        <f t="shared" ca="1" si="1"/>
        <v>0.18490114036853686</v>
      </c>
      <c r="K72">
        <f t="shared" ca="1" si="6"/>
        <v>2005</v>
      </c>
      <c r="O72" s="22">
        <f t="shared" ca="1" si="2"/>
        <v>38687</v>
      </c>
      <c r="P72" s="17">
        <f ca="1"/>
        <v>103.0139082</v>
      </c>
      <c r="Q72" s="17">
        <f ca="1"/>
        <v>98.759818109999998</v>
      </c>
      <c r="R72" s="23">
        <f ca="1"/>
        <v>4.217318744398578E-2</v>
      </c>
      <c r="S72" s="23">
        <f t="shared" ca="1" si="27"/>
        <v>0.11804652218261803</v>
      </c>
      <c r="T72" t="b">
        <f t="shared" ca="1" si="7"/>
        <v>1</v>
      </c>
      <c r="U72" s="22">
        <f t="shared" ca="1" si="3"/>
        <v>38687</v>
      </c>
      <c r="V72">
        <f t="shared" ca="1" si="4"/>
        <v>0.11804652218261803</v>
      </c>
      <c r="Y72">
        <f t="shared" ca="1" si="39"/>
        <v>2058</v>
      </c>
      <c r="Z72" t="b">
        <f t="shared" ca="1" si="29"/>
        <v>0</v>
      </c>
      <c r="AA72" s="23" t="b">
        <f t="shared" ca="1" si="19"/>
        <v>0</v>
      </c>
      <c r="AB72" t="b">
        <f t="shared" ca="1" si="23"/>
        <v>0</v>
      </c>
      <c r="AD72">
        <f t="shared" ca="1" si="30"/>
        <v>2058</v>
      </c>
      <c r="AE72" t="b">
        <f t="shared" ca="1" si="31"/>
        <v>0</v>
      </c>
      <c r="AF72" s="17" t="b">
        <f t="shared" ca="1" si="32"/>
        <v>0</v>
      </c>
      <c r="AG72" t="b">
        <f t="shared" ca="1" si="24"/>
        <v>0</v>
      </c>
      <c r="AJ72">
        <f t="shared" ca="1" si="33"/>
        <v>2058</v>
      </c>
      <c r="AK72">
        <f t="shared" ca="1" si="34"/>
        <v>0</v>
      </c>
      <c r="AL72" t="str">
        <f t="shared" ca="1" si="35"/>
        <v>2058-2056</v>
      </c>
      <c r="AM72" t="b">
        <f t="shared" ca="1" si="20"/>
        <v>1</v>
      </c>
      <c r="AN72">
        <f t="shared" ca="1" si="21"/>
        <v>20</v>
      </c>
      <c r="AO72">
        <f t="shared" si="25"/>
        <v>59</v>
      </c>
      <c r="AP72" t="e">
        <f t="shared" ca="1" si="36"/>
        <v>#N/A</v>
      </c>
      <c r="AQ72" t="e">
        <f t="shared" ca="1" si="37"/>
        <v>#N/A</v>
      </c>
      <c r="AR72" t="b">
        <f t="shared" ca="1" si="38"/>
        <v>0</v>
      </c>
    </row>
    <row r="73" spans="2:44">
      <c r="B73">
        <f t="shared" si="8"/>
        <v>63</v>
      </c>
      <c r="C73" s="22">
        <f ca="1"/>
        <v>38718</v>
      </c>
      <c r="D73" s="17">
        <f ca="1"/>
        <v>102.65206000000001</v>
      </c>
      <c r="E73" s="17">
        <f ca="1"/>
        <v>102.140276</v>
      </c>
      <c r="F73" s="23">
        <f ca="1"/>
        <v>4.9980880671331839E-3</v>
      </c>
      <c r="G73" s="23">
        <f t="shared" ca="1" si="26"/>
        <v>0.18279405904231563</v>
      </c>
      <c r="H73" t="b">
        <f t="shared" ca="1" si="5"/>
        <v>1</v>
      </c>
      <c r="I73" s="22">
        <f t="shared" ca="1" si="0"/>
        <v>38718</v>
      </c>
      <c r="J73">
        <f t="shared" ca="1" si="1"/>
        <v>0.18279405904231563</v>
      </c>
      <c r="K73">
        <f t="shared" ca="1" si="6"/>
        <v>2006</v>
      </c>
      <c r="O73" s="22">
        <f t="shared" ca="1" si="2"/>
        <v>38718</v>
      </c>
      <c r="P73" s="17">
        <f ca="1"/>
        <v>103.60208369999999</v>
      </c>
      <c r="Q73" s="17">
        <f ca="1"/>
        <v>103.0139082</v>
      </c>
      <c r="R73" s="23">
        <f ca="1"/>
        <v>5.6934323757602007E-3</v>
      </c>
      <c r="S73" s="23">
        <f t="shared" ca="1" si="27"/>
        <v>0.10757477500764968</v>
      </c>
      <c r="T73" t="b">
        <f t="shared" ca="1" si="7"/>
        <v>1</v>
      </c>
      <c r="U73" s="22">
        <f t="shared" ca="1" si="3"/>
        <v>38718</v>
      </c>
      <c r="V73">
        <f t="shared" ca="1" si="4"/>
        <v>0.10757477500764968</v>
      </c>
      <c r="Y73">
        <f t="shared" ca="1" si="39"/>
        <v>2059</v>
      </c>
      <c r="Z73" t="b">
        <f t="shared" ca="1" si="29"/>
        <v>0</v>
      </c>
      <c r="AA73" s="23" t="b">
        <f t="shared" ca="1" si="19"/>
        <v>0</v>
      </c>
      <c r="AB73" t="b">
        <f t="shared" ca="1" si="23"/>
        <v>0</v>
      </c>
      <c r="AD73">
        <f t="shared" ca="1" si="30"/>
        <v>2059</v>
      </c>
      <c r="AE73" t="b">
        <f t="shared" ca="1" si="31"/>
        <v>0</v>
      </c>
      <c r="AF73" s="17" t="b">
        <f t="shared" ca="1" si="32"/>
        <v>0</v>
      </c>
      <c r="AG73" t="b">
        <f t="shared" ca="1" si="24"/>
        <v>0</v>
      </c>
      <c r="AJ73">
        <f t="shared" ca="1" si="33"/>
        <v>2059</v>
      </c>
      <c r="AK73">
        <f t="shared" ca="1" si="34"/>
        <v>1</v>
      </c>
      <c r="AL73" t="str">
        <f t="shared" ca="1" si="35"/>
        <v>2058-2056</v>
      </c>
      <c r="AM73" t="b">
        <f t="shared" ca="1" si="20"/>
        <v>0</v>
      </c>
      <c r="AN73">
        <f t="shared" ca="1" si="21"/>
        <v>20</v>
      </c>
      <c r="AO73">
        <f t="shared" si="25"/>
        <v>60</v>
      </c>
      <c r="AP73" t="e">
        <f t="shared" ca="1" si="36"/>
        <v>#N/A</v>
      </c>
      <c r="AQ73" t="e">
        <f t="shared" ca="1" si="37"/>
        <v>#N/A</v>
      </c>
      <c r="AR73" t="b">
        <f t="shared" ca="1" si="38"/>
        <v>0</v>
      </c>
    </row>
    <row r="74" spans="2:44">
      <c r="B74">
        <f t="shared" si="8"/>
        <v>64</v>
      </c>
      <c r="C74" s="22">
        <f ca="1"/>
        <v>38749</v>
      </c>
      <c r="D74" s="17">
        <f ca="1"/>
        <v>107.13017000000001</v>
      </c>
      <c r="E74" s="17">
        <f ca="1"/>
        <v>102.65206000000001</v>
      </c>
      <c r="F74" s="23">
        <f ca="1"/>
        <v>4.2699425673829679E-2</v>
      </c>
      <c r="G74" s="23">
        <f t="shared" ca="1" si="26"/>
        <v>0.17870298090108097</v>
      </c>
      <c r="H74" t="b">
        <f t="shared" ca="1" si="5"/>
        <v>1</v>
      </c>
      <c r="I74" s="22">
        <f t="shared" ca="1" si="0"/>
        <v>38749</v>
      </c>
      <c r="J74">
        <f t="shared" ca="1" si="1"/>
        <v>0.17870298090108097</v>
      </c>
      <c r="K74">
        <f t="shared" ca="1" si="6"/>
        <v>2006</v>
      </c>
      <c r="O74" s="22">
        <f t="shared" ca="1" si="2"/>
        <v>38749</v>
      </c>
      <c r="P74" s="17">
        <f ca="1"/>
        <v>101.1340387</v>
      </c>
      <c r="Q74" s="17">
        <f ca="1"/>
        <v>103.60208369999999</v>
      </c>
      <c r="R74" s="23">
        <f ca="1"/>
        <v>-2.4110689714521103E-2</v>
      </c>
      <c r="S74" s="23">
        <f t="shared" ca="1" si="27"/>
        <v>9.1587775940478927E-2</v>
      </c>
      <c r="T74" t="b">
        <f t="shared" ca="1" si="7"/>
        <v>1</v>
      </c>
      <c r="U74" s="22">
        <f t="shared" ca="1" si="3"/>
        <v>38749</v>
      </c>
      <c r="V74">
        <f t="shared" ca="1" si="4"/>
        <v>9.1587775940478927E-2</v>
      </c>
      <c r="Y74">
        <f t="shared" ca="1" si="39"/>
        <v>2060</v>
      </c>
      <c r="Z74" t="b">
        <f t="shared" ca="1" si="29"/>
        <v>0</v>
      </c>
      <c r="AA74" s="23" t="b">
        <f t="shared" ca="1" si="19"/>
        <v>0</v>
      </c>
      <c r="AB74" t="b">
        <f t="shared" ca="1" si="23"/>
        <v>0</v>
      </c>
      <c r="AD74">
        <f t="shared" ca="1" si="30"/>
        <v>2060</v>
      </c>
      <c r="AE74" t="b">
        <f t="shared" ca="1" si="31"/>
        <v>0</v>
      </c>
      <c r="AF74" s="17" t="b">
        <f t="shared" ca="1" si="32"/>
        <v>0</v>
      </c>
      <c r="AG74" t="b">
        <f t="shared" ca="1" si="24"/>
        <v>0</v>
      </c>
      <c r="AJ74">
        <f t="shared" ca="1" si="33"/>
        <v>2060</v>
      </c>
      <c r="AK74">
        <f t="shared" ca="1" si="34"/>
        <v>2</v>
      </c>
      <c r="AL74" t="str">
        <f t="shared" ca="1" si="35"/>
        <v>2058-2056</v>
      </c>
      <c r="AM74" t="b">
        <f t="shared" ca="1" si="20"/>
        <v>0</v>
      </c>
      <c r="AN74">
        <f t="shared" ca="1" si="21"/>
        <v>20</v>
      </c>
      <c r="AO74">
        <f t="shared" si="25"/>
        <v>61</v>
      </c>
      <c r="AP74" t="e">
        <f t="shared" ca="1" si="36"/>
        <v>#N/A</v>
      </c>
      <c r="AQ74" t="e">
        <f t="shared" ca="1" si="37"/>
        <v>#N/A</v>
      </c>
      <c r="AR74" t="b">
        <f t="shared" ca="1" si="38"/>
        <v>0</v>
      </c>
    </row>
    <row r="75" spans="2:44">
      <c r="B75">
        <f t="shared" si="8"/>
        <v>65</v>
      </c>
      <c r="C75" s="22">
        <f ca="1"/>
        <v>38777</v>
      </c>
      <c r="D75" s="17">
        <f ca="1"/>
        <v>105.250348</v>
      </c>
      <c r="E75" s="17">
        <f ca="1"/>
        <v>107.13017000000001</v>
      </c>
      <c r="F75" s="23">
        <f ca="1"/>
        <v>-1.7702858159971028E-2</v>
      </c>
      <c r="G75" s="23">
        <f t="shared" ca="1" si="26"/>
        <v>0.17512908888292048</v>
      </c>
      <c r="H75" t="b">
        <f t="shared" ca="1" si="5"/>
        <v>1</v>
      </c>
      <c r="I75" s="22">
        <f t="shared" ref="I75:I138" ca="1" si="40">IF(H75,C75,NA)</f>
        <v>38777</v>
      </c>
      <c r="J75">
        <f t="shared" ref="J75:J138" ca="1" si="41">IF(H75,G75,NA)</f>
        <v>0.17512908888292048</v>
      </c>
      <c r="K75">
        <f t="shared" ca="1" si="6"/>
        <v>2006</v>
      </c>
      <c r="O75" s="22">
        <f t="shared" ref="O75:O138" ca="1" si="42">C75</f>
        <v>38777</v>
      </c>
      <c r="P75" s="17">
        <f ca="1"/>
        <v>100.3758447</v>
      </c>
      <c r="Q75" s="17">
        <f ca="1"/>
        <v>101.1340387</v>
      </c>
      <c r="R75" s="23">
        <f ca="1"/>
        <v>-7.5251651693538082E-3</v>
      </c>
      <c r="S75" s="23">
        <f t="shared" ca="1" si="27"/>
        <v>9.1369101545618364E-2</v>
      </c>
      <c r="T75" t="b">
        <f t="shared" ca="1" si="7"/>
        <v>1</v>
      </c>
      <c r="U75" s="22">
        <f t="shared" ref="U75:U138" ca="1" si="43">IF(T75,O75,NA)</f>
        <v>38777</v>
      </c>
      <c r="V75">
        <f t="shared" ref="V75:V138" ca="1" si="44">IF(T75,S75,NA)</f>
        <v>9.1369101545618364E-2</v>
      </c>
      <c r="Y75">
        <f t="shared" ca="1" si="39"/>
        <v>2061</v>
      </c>
      <c r="Z75" t="b">
        <f t="shared" ca="1" si="29"/>
        <v>0</v>
      </c>
      <c r="AA75" s="23" t="b">
        <f t="shared" ca="1" si="19"/>
        <v>0</v>
      </c>
      <c r="AB75" t="b">
        <f t="shared" ca="1" si="23"/>
        <v>0</v>
      </c>
      <c r="AD75">
        <f t="shared" ca="1" si="30"/>
        <v>2061</v>
      </c>
      <c r="AE75" t="b">
        <f t="shared" ca="1" si="31"/>
        <v>0</v>
      </c>
      <c r="AF75" s="17" t="b">
        <f t="shared" ca="1" si="32"/>
        <v>0</v>
      </c>
      <c r="AG75" t="b">
        <f t="shared" ca="1" si="24"/>
        <v>0</v>
      </c>
      <c r="AJ75">
        <f t="shared" ca="1" si="33"/>
        <v>2061</v>
      </c>
      <c r="AK75">
        <f t="shared" ca="1" si="34"/>
        <v>0</v>
      </c>
      <c r="AL75" t="str">
        <f t="shared" ca="1" si="35"/>
        <v>2061-2059</v>
      </c>
      <c r="AM75" t="b">
        <f t="shared" ca="1" si="20"/>
        <v>1</v>
      </c>
      <c r="AN75">
        <f t="shared" ca="1" si="21"/>
        <v>21</v>
      </c>
      <c r="AO75">
        <f t="shared" si="25"/>
        <v>62</v>
      </c>
      <c r="AP75" t="e">
        <f t="shared" ca="1" si="36"/>
        <v>#N/A</v>
      </c>
      <c r="AQ75" t="e">
        <f t="shared" ca="1" si="37"/>
        <v>#N/A</v>
      </c>
      <c r="AR75" t="b">
        <f t="shared" ca="1" si="38"/>
        <v>0</v>
      </c>
    </row>
    <row r="76" spans="2:44">
      <c r="B76">
        <f t="shared" si="8"/>
        <v>66</v>
      </c>
      <c r="C76" s="22">
        <f ca="1"/>
        <v>38808</v>
      </c>
      <c r="D76" s="17">
        <f ca="1"/>
        <v>107.72069</v>
      </c>
      <c r="E76" s="17">
        <f ca="1"/>
        <v>105.250348</v>
      </c>
      <c r="F76" s="23">
        <f ca="1"/>
        <v>2.3199894448286427E-2</v>
      </c>
      <c r="G76" s="23">
        <f t="shared" ca="1" si="26"/>
        <v>0.17494830186776586</v>
      </c>
      <c r="H76" t="b">
        <f t="shared" ref="H76:H139" ca="1" si="45">ISNUMBER(G76)</f>
        <v>1</v>
      </c>
      <c r="I76" s="22">
        <f t="shared" ca="1" si="40"/>
        <v>38808</v>
      </c>
      <c r="J76">
        <f t="shared" ca="1" si="41"/>
        <v>0.17494830186776586</v>
      </c>
      <c r="K76">
        <f t="shared" ref="K76:K139" ca="1" si="46">YEAR(C76)</f>
        <v>2006</v>
      </c>
      <c r="O76" s="22">
        <f t="shared" ca="1" si="42"/>
        <v>38808</v>
      </c>
      <c r="P76" s="17">
        <f ca="1"/>
        <v>102.1245618</v>
      </c>
      <c r="Q76" s="17">
        <f ca="1"/>
        <v>100.3758447</v>
      </c>
      <c r="R76" s="23">
        <f ca="1"/>
        <v>1.7271674677279584E-2</v>
      </c>
      <c r="S76" s="23">
        <f t="shared" ca="1" si="27"/>
        <v>7.2153672836225702E-2</v>
      </c>
      <c r="T76" t="b">
        <f t="shared" ref="T76:T139" ca="1" si="47">ISNUMBER(S76)</f>
        <v>1</v>
      </c>
      <c r="U76" s="22">
        <f t="shared" ca="1" si="43"/>
        <v>38808</v>
      </c>
      <c r="V76">
        <f t="shared" ca="1" si="44"/>
        <v>7.2153672836225702E-2</v>
      </c>
      <c r="Y76">
        <f t="shared" ca="1" si="39"/>
        <v>2062</v>
      </c>
      <c r="Z76" t="b">
        <f t="shared" ca="1" si="29"/>
        <v>0</v>
      </c>
      <c r="AA76" s="23" t="b">
        <f t="shared" ca="1" si="19"/>
        <v>0</v>
      </c>
      <c r="AB76" t="b">
        <f t="shared" ca="1" si="23"/>
        <v>0</v>
      </c>
      <c r="AD76">
        <f t="shared" ca="1" si="30"/>
        <v>2062</v>
      </c>
      <c r="AE76" t="b">
        <f t="shared" ca="1" si="31"/>
        <v>0</v>
      </c>
      <c r="AF76" s="17" t="b">
        <f t="shared" ca="1" si="32"/>
        <v>0</v>
      </c>
      <c r="AG76" t="b">
        <f t="shared" ca="1" si="24"/>
        <v>0</v>
      </c>
      <c r="AJ76">
        <f t="shared" ca="1" si="33"/>
        <v>2062</v>
      </c>
      <c r="AK76">
        <f t="shared" ca="1" si="34"/>
        <v>1</v>
      </c>
      <c r="AL76" t="str">
        <f t="shared" ca="1" si="35"/>
        <v>2061-2059</v>
      </c>
      <c r="AM76" t="b">
        <f t="shared" ca="1" si="20"/>
        <v>0</v>
      </c>
      <c r="AN76">
        <f t="shared" ca="1" si="21"/>
        <v>21</v>
      </c>
      <c r="AO76">
        <f t="shared" si="25"/>
        <v>63</v>
      </c>
      <c r="AP76" t="e">
        <f t="shared" ca="1" si="36"/>
        <v>#N/A</v>
      </c>
      <c r="AQ76" t="e">
        <f t="shared" ca="1" si="37"/>
        <v>#N/A</v>
      </c>
      <c r="AR76" t="b">
        <f t="shared" ca="1" si="38"/>
        <v>0</v>
      </c>
    </row>
    <row r="77" spans="2:44">
      <c r="B77">
        <f t="shared" ref="B77:B140" si="48">B76+1</f>
        <v>67</v>
      </c>
      <c r="C77" s="22">
        <f ca="1"/>
        <v>38838</v>
      </c>
      <c r="D77" s="17">
        <f ca="1"/>
        <v>110.648685</v>
      </c>
      <c r="E77" s="17">
        <f ca="1"/>
        <v>107.72069</v>
      </c>
      <c r="F77" s="23">
        <f ca="1"/>
        <v>2.6818508687899128E-2</v>
      </c>
      <c r="G77" s="23">
        <f t="shared" ca="1" si="26"/>
        <v>0.17561203838671458</v>
      </c>
      <c r="H77" t="b">
        <f t="shared" ca="1" si="45"/>
        <v>1</v>
      </c>
      <c r="I77" s="22">
        <f t="shared" ca="1" si="40"/>
        <v>38838</v>
      </c>
      <c r="J77">
        <f t="shared" ca="1" si="41"/>
        <v>0.17561203838671458</v>
      </c>
      <c r="K77">
        <f t="shared" ca="1" si="46"/>
        <v>2006</v>
      </c>
      <c r="O77" s="22">
        <f t="shared" ca="1" si="42"/>
        <v>38838</v>
      </c>
      <c r="P77" s="17">
        <f ca="1"/>
        <v>107.4755681</v>
      </c>
      <c r="Q77" s="17">
        <f ca="1"/>
        <v>102.1245618</v>
      </c>
      <c r="R77" s="23">
        <f ca="1"/>
        <v>5.1070285897924561E-2</v>
      </c>
      <c r="S77" s="23">
        <f t="shared" ca="1" si="27"/>
        <v>7.2794075586776197E-2</v>
      </c>
      <c r="T77" t="b">
        <f t="shared" ca="1" si="47"/>
        <v>1</v>
      </c>
      <c r="U77" s="22">
        <f t="shared" ca="1" si="43"/>
        <v>38838</v>
      </c>
      <c r="V77">
        <f t="shared" ca="1" si="44"/>
        <v>7.2794075586776197E-2</v>
      </c>
    </row>
    <row r="78" spans="2:44">
      <c r="B78">
        <f t="shared" si="48"/>
        <v>68</v>
      </c>
      <c r="C78" s="22">
        <f ca="1"/>
        <v>38869</v>
      </c>
      <c r="D78" s="17">
        <f ca="1"/>
        <v>109.403672</v>
      </c>
      <c r="E78" s="17">
        <f ca="1"/>
        <v>110.648685</v>
      </c>
      <c r="F78" s="23">
        <f ca="1"/>
        <v>-1.1315727782468093E-2</v>
      </c>
      <c r="G78" s="23">
        <f t="shared" ca="1" si="26"/>
        <v>0.14785467164523886</v>
      </c>
      <c r="H78" t="b">
        <f t="shared" ca="1" si="45"/>
        <v>1</v>
      </c>
      <c r="I78" s="22">
        <f t="shared" ca="1" si="40"/>
        <v>38869</v>
      </c>
      <c r="J78">
        <f t="shared" ca="1" si="41"/>
        <v>0.14785467164523886</v>
      </c>
      <c r="K78">
        <f t="shared" ca="1" si="46"/>
        <v>2006</v>
      </c>
      <c r="O78" s="22">
        <f t="shared" ca="1" si="42"/>
        <v>38869</v>
      </c>
      <c r="P78" s="17">
        <f ca="1"/>
        <v>106.8823855</v>
      </c>
      <c r="Q78" s="17">
        <f ca="1"/>
        <v>107.4755681</v>
      </c>
      <c r="R78" s="23">
        <f ca="1"/>
        <v>-5.5345192858987811E-3</v>
      </c>
      <c r="S78" s="23">
        <f t="shared" ca="1" si="27"/>
        <v>6.9510360557495571E-2</v>
      </c>
      <c r="T78" t="b">
        <f t="shared" ca="1" si="47"/>
        <v>1</v>
      </c>
      <c r="U78" s="22">
        <f t="shared" ca="1" si="43"/>
        <v>38869</v>
      </c>
      <c r="V78">
        <f t="shared" ca="1" si="44"/>
        <v>6.9510360557495571E-2</v>
      </c>
      <c r="AB78">
        <f ca="1">STDEV(AB15:AB36)</f>
        <v>0.14044228011621387</v>
      </c>
      <c r="AG78">
        <f ca="1">STDEV(AG15:AG76)</f>
        <v>0.14829216875500953</v>
      </c>
    </row>
    <row r="79" spans="2:44">
      <c r="B79">
        <f t="shared" si="48"/>
        <v>69</v>
      </c>
      <c r="C79" s="22">
        <f ca="1"/>
        <v>38899</v>
      </c>
      <c r="D79" s="17">
        <f ca="1"/>
        <v>113.99108</v>
      </c>
      <c r="E79" s="17">
        <f ca="1"/>
        <v>109.403672</v>
      </c>
      <c r="F79" s="23">
        <f ca="1"/>
        <v>4.1075745395068836E-2</v>
      </c>
      <c r="G79" s="23">
        <f t="shared" ca="1" si="26"/>
        <v>0.1393853879630525</v>
      </c>
      <c r="H79" t="b">
        <f t="shared" ca="1" si="45"/>
        <v>1</v>
      </c>
      <c r="I79" s="22">
        <f t="shared" ca="1" si="40"/>
        <v>38899</v>
      </c>
      <c r="J79">
        <f t="shared" ca="1" si="41"/>
        <v>0.1393853879630525</v>
      </c>
      <c r="K79">
        <f t="shared" ca="1" si="46"/>
        <v>2006</v>
      </c>
      <c r="O79" s="22">
        <f t="shared" ca="1" si="42"/>
        <v>38899</v>
      </c>
      <c r="P79" s="17">
        <f ca="1"/>
        <v>112.0984874</v>
      </c>
      <c r="Q79" s="17">
        <f ca="1"/>
        <v>106.8823855</v>
      </c>
      <c r="R79" s="23">
        <f ca="1"/>
        <v>4.7648807714620024E-2</v>
      </c>
      <c r="S79" s="23">
        <f t="shared" ca="1" si="27"/>
        <v>7.9474096567702324E-2</v>
      </c>
      <c r="T79" t="b">
        <f t="shared" ca="1" si="47"/>
        <v>1</v>
      </c>
      <c r="U79" s="22">
        <f t="shared" ca="1" si="43"/>
        <v>38899</v>
      </c>
      <c r="V79">
        <f t="shared" ca="1" si="44"/>
        <v>7.9474096567702324E-2</v>
      </c>
    </row>
    <row r="80" spans="2:44">
      <c r="B80">
        <f t="shared" si="48"/>
        <v>70</v>
      </c>
      <c r="C80" s="22">
        <f ca="1"/>
        <v>38930</v>
      </c>
      <c r="D80" s="17">
        <f ca="1"/>
        <v>116.58833199999999</v>
      </c>
      <c r="E80" s="17">
        <f ca="1"/>
        <v>113.99108</v>
      </c>
      <c r="F80" s="23">
        <f ca="1"/>
        <v>2.25290005794473E-2</v>
      </c>
      <c r="G80" s="23">
        <f t="shared" ca="1" si="26"/>
        <v>0.12355031890105987</v>
      </c>
      <c r="H80" t="b">
        <f t="shared" ca="1" si="45"/>
        <v>1</v>
      </c>
      <c r="I80" s="22">
        <f t="shared" ca="1" si="40"/>
        <v>38930</v>
      </c>
      <c r="J80">
        <f t="shared" ca="1" si="41"/>
        <v>0.12355031890105987</v>
      </c>
      <c r="K80">
        <f t="shared" ca="1" si="46"/>
        <v>2006</v>
      </c>
      <c r="O80" s="22">
        <f t="shared" ca="1" si="42"/>
        <v>38930</v>
      </c>
      <c r="P80" s="17">
        <f ca="1"/>
        <v>114.5306653</v>
      </c>
      <c r="Q80" s="17">
        <f ca="1"/>
        <v>112.0984874</v>
      </c>
      <c r="R80" s="23">
        <f ca="1"/>
        <v>2.1464769673570812E-2</v>
      </c>
      <c r="S80" s="23">
        <f t="shared" ca="1" si="27"/>
        <v>7.917673673501828E-2</v>
      </c>
      <c r="T80" t="b">
        <f t="shared" ca="1" si="47"/>
        <v>1</v>
      </c>
      <c r="U80" s="22">
        <f t="shared" ca="1" si="43"/>
        <v>38930</v>
      </c>
      <c r="V80">
        <f t="shared" ca="1" si="44"/>
        <v>7.917673673501828E-2</v>
      </c>
    </row>
    <row r="81" spans="2:22">
      <c r="B81">
        <f t="shared" si="48"/>
        <v>71</v>
      </c>
      <c r="C81" s="22">
        <f ca="1"/>
        <v>38961</v>
      </c>
      <c r="D81" s="17">
        <f ca="1"/>
        <v>121.74554000000001</v>
      </c>
      <c r="E81" s="17">
        <f ca="1"/>
        <v>116.58833199999999</v>
      </c>
      <c r="F81" s="23">
        <f ca="1"/>
        <v>4.3283928549623173E-2</v>
      </c>
      <c r="G81" s="23">
        <f t="shared" ca="1" si="26"/>
        <v>0.11972037458594209</v>
      </c>
      <c r="H81" t="b">
        <f t="shared" ca="1" si="45"/>
        <v>1</v>
      </c>
      <c r="I81" s="22">
        <f t="shared" ca="1" si="40"/>
        <v>38961</v>
      </c>
      <c r="J81">
        <f t="shared" ca="1" si="41"/>
        <v>0.11972037458594209</v>
      </c>
      <c r="K81">
        <f t="shared" ca="1" si="46"/>
        <v>2006</v>
      </c>
      <c r="O81" s="22">
        <f t="shared" ca="1" si="42"/>
        <v>38961</v>
      </c>
      <c r="P81" s="17">
        <f ca="1"/>
        <v>115.44458849999999</v>
      </c>
      <c r="Q81" s="17">
        <f ca="1"/>
        <v>114.5306653</v>
      </c>
      <c r="R81" s="23">
        <f ca="1"/>
        <v>7.94805524558128E-3</v>
      </c>
      <c r="S81" s="23">
        <f t="shared" ca="1" si="27"/>
        <v>7.9083255688797913E-2</v>
      </c>
      <c r="T81" t="b">
        <f t="shared" ca="1" si="47"/>
        <v>1</v>
      </c>
      <c r="U81" s="22">
        <f t="shared" ca="1" si="43"/>
        <v>38961</v>
      </c>
      <c r="V81">
        <f t="shared" ca="1" si="44"/>
        <v>7.9083255688797913E-2</v>
      </c>
    </row>
    <row r="82" spans="2:22">
      <c r="B82">
        <f t="shared" si="48"/>
        <v>72</v>
      </c>
      <c r="C82" s="22">
        <f ca="1"/>
        <v>38991</v>
      </c>
      <c r="D82" s="17">
        <f ca="1"/>
        <v>142.16768999999999</v>
      </c>
      <c r="E82" s="17">
        <f ca="1"/>
        <v>121.74554000000001</v>
      </c>
      <c r="F82" s="23">
        <f ca="1"/>
        <v>0.15507414751380189</v>
      </c>
      <c r="G82" s="23">
        <f t="shared" ca="1" si="26"/>
        <v>0.1552632302158998</v>
      </c>
      <c r="H82" t="b">
        <f t="shared" ca="1" si="45"/>
        <v>1</v>
      </c>
      <c r="I82" s="22">
        <f t="shared" ca="1" si="40"/>
        <v>38991</v>
      </c>
      <c r="J82">
        <f t="shared" ca="1" si="41"/>
        <v>0.1552632302158998</v>
      </c>
      <c r="K82">
        <f t="shared" ca="1" si="46"/>
        <v>2006</v>
      </c>
      <c r="O82" s="22">
        <f t="shared" ca="1" si="42"/>
        <v>38991</v>
      </c>
      <c r="P82" s="17">
        <f ca="1"/>
        <v>136.5974641</v>
      </c>
      <c r="Q82" s="17">
        <f ca="1"/>
        <v>115.44458849999999</v>
      </c>
      <c r="R82" s="23">
        <f ca="1"/>
        <v>0.1682477209460139</v>
      </c>
      <c r="S82" s="23">
        <f t="shared" ca="1" si="27"/>
        <v>0.16850893705039402</v>
      </c>
      <c r="T82" t="b">
        <f t="shared" ca="1" si="47"/>
        <v>1</v>
      </c>
      <c r="U82" s="22">
        <f t="shared" ca="1" si="43"/>
        <v>38991</v>
      </c>
      <c r="V82">
        <f t="shared" ca="1" si="44"/>
        <v>0.16850893705039402</v>
      </c>
    </row>
    <row r="83" spans="2:22">
      <c r="B83">
        <f t="shared" si="48"/>
        <v>73</v>
      </c>
      <c r="C83" s="22">
        <f ca="1"/>
        <v>39022</v>
      </c>
      <c r="D83" s="17">
        <f ca="1"/>
        <v>164.538556</v>
      </c>
      <c r="E83" s="17">
        <f ca="1"/>
        <v>142.16768999999999</v>
      </c>
      <c r="F83" s="23">
        <f ca="1"/>
        <v>0.14613764935876578</v>
      </c>
      <c r="G83" s="23">
        <f t="shared" ca="1" si="26"/>
        <v>0.18849988654393918</v>
      </c>
      <c r="H83" t="b">
        <f t="shared" ca="1" si="45"/>
        <v>1</v>
      </c>
      <c r="I83" s="22">
        <f t="shared" ca="1" si="40"/>
        <v>39022</v>
      </c>
      <c r="J83">
        <f t="shared" ca="1" si="41"/>
        <v>0.18849988654393918</v>
      </c>
      <c r="K83">
        <f t="shared" ca="1" si="46"/>
        <v>2006</v>
      </c>
      <c r="O83" s="22">
        <f t="shared" ca="1" si="42"/>
        <v>39022</v>
      </c>
      <c r="P83" s="17">
        <f ca="1"/>
        <v>148.14787559999999</v>
      </c>
      <c r="Q83" s="17">
        <f ca="1"/>
        <v>136.5974641</v>
      </c>
      <c r="R83" s="23">
        <f ca="1"/>
        <v>8.1172551853306782E-2</v>
      </c>
      <c r="S83" s="23">
        <f t="shared" ca="1" si="27"/>
        <v>0.17647270928916475</v>
      </c>
      <c r="T83" t="b">
        <f t="shared" ca="1" si="47"/>
        <v>1</v>
      </c>
      <c r="U83" s="22">
        <f t="shared" ca="1" si="43"/>
        <v>39022</v>
      </c>
      <c r="V83">
        <f t="shared" ca="1" si="44"/>
        <v>0.17647270928916475</v>
      </c>
    </row>
    <row r="84" spans="2:22">
      <c r="B84">
        <f t="shared" si="48"/>
        <v>74</v>
      </c>
      <c r="C84" s="22">
        <f ca="1"/>
        <v>39052</v>
      </c>
      <c r="D84" s="17">
        <f ca="1"/>
        <v>160.37539000000001</v>
      </c>
      <c r="E84" s="17">
        <f ca="1"/>
        <v>164.538556</v>
      </c>
      <c r="F84" s="23">
        <f ca="1"/>
        <v>-2.5627670987439479E-2</v>
      </c>
      <c r="G84" s="23">
        <f t="shared" ca="1" si="26"/>
        <v>0.19580184295085426</v>
      </c>
      <c r="H84" t="b">
        <f t="shared" ca="1" si="45"/>
        <v>1</v>
      </c>
      <c r="I84" s="22">
        <f t="shared" ca="1" si="40"/>
        <v>39052</v>
      </c>
      <c r="J84">
        <f t="shared" ca="1" si="41"/>
        <v>0.19580184295085426</v>
      </c>
      <c r="K84">
        <f t="shared" ca="1" si="46"/>
        <v>2006</v>
      </c>
      <c r="O84" s="22">
        <f t="shared" ca="1" si="42"/>
        <v>39052</v>
      </c>
      <c r="P84" s="17">
        <f ca="1"/>
        <v>150.96757869999999</v>
      </c>
      <c r="Q84" s="17">
        <f ca="1"/>
        <v>148.14787559999999</v>
      </c>
      <c r="R84" s="23">
        <f ca="1"/>
        <v>1.8854168769271516E-2</v>
      </c>
      <c r="S84" s="23">
        <f t="shared" ca="1" si="27"/>
        <v>0.17526174498902222</v>
      </c>
      <c r="T84" t="b">
        <f t="shared" ca="1" si="47"/>
        <v>1</v>
      </c>
      <c r="U84" s="22">
        <f t="shared" ca="1" si="43"/>
        <v>39052</v>
      </c>
      <c r="V84">
        <f t="shared" ca="1" si="44"/>
        <v>0.17526174498902222</v>
      </c>
    </row>
    <row r="85" spans="2:22">
      <c r="B85">
        <f t="shared" si="48"/>
        <v>75</v>
      </c>
      <c r="C85" s="22">
        <f ca="1"/>
        <v>39083</v>
      </c>
      <c r="D85" s="17">
        <f ca="1"/>
        <v>164.774764</v>
      </c>
      <c r="E85" s="17">
        <f ca="1"/>
        <v>160.37539000000001</v>
      </c>
      <c r="F85" s="23">
        <f ca="1"/>
        <v>2.7062219948339787E-2</v>
      </c>
      <c r="G85" s="23">
        <f t="shared" ca="1" si="26"/>
        <v>0.19570907455019093</v>
      </c>
      <c r="H85" t="b">
        <f t="shared" ca="1" si="45"/>
        <v>1</v>
      </c>
      <c r="I85" s="22">
        <f t="shared" ca="1" si="40"/>
        <v>39083</v>
      </c>
      <c r="J85">
        <f t="shared" ca="1" si="41"/>
        <v>0.19570907455019093</v>
      </c>
      <c r="K85">
        <f t="shared" ca="1" si="46"/>
        <v>2007</v>
      </c>
      <c r="O85" s="22">
        <f t="shared" ca="1" si="42"/>
        <v>39083</v>
      </c>
      <c r="P85" s="17">
        <f ca="1"/>
        <v>152.13268619999999</v>
      </c>
      <c r="Q85" s="17">
        <f ca="1"/>
        <v>150.96757869999999</v>
      </c>
      <c r="R85" s="23">
        <f ca="1"/>
        <v>7.6879724206832291E-3</v>
      </c>
      <c r="S85" s="23">
        <f t="shared" ca="1" si="27"/>
        <v>0.16815101517685235</v>
      </c>
      <c r="T85" t="b">
        <f t="shared" ca="1" si="47"/>
        <v>1</v>
      </c>
      <c r="U85" s="22">
        <f t="shared" ca="1" si="43"/>
        <v>39083</v>
      </c>
      <c r="V85">
        <f t="shared" ca="1" si="44"/>
        <v>0.16815101517685235</v>
      </c>
    </row>
    <row r="86" spans="2:22">
      <c r="B86">
        <f t="shared" si="48"/>
        <v>76</v>
      </c>
      <c r="C86" s="22">
        <f ca="1"/>
        <v>39114</v>
      </c>
      <c r="D86" s="17">
        <f ca="1"/>
        <v>177.3489032</v>
      </c>
      <c r="E86" s="17">
        <f ca="1"/>
        <v>164.774764</v>
      </c>
      <c r="F86" s="23">
        <f ca="1"/>
        <v>7.3539522137689134E-2</v>
      </c>
      <c r="G86" s="23">
        <f t="shared" ca="1" si="26"/>
        <v>0.19160577276746732</v>
      </c>
      <c r="H86" t="b">
        <f t="shared" ca="1" si="45"/>
        <v>1</v>
      </c>
      <c r="I86" s="22">
        <f t="shared" ca="1" si="40"/>
        <v>39114</v>
      </c>
      <c r="J86">
        <f t="shared" ca="1" si="41"/>
        <v>0.19160577276746732</v>
      </c>
      <c r="K86">
        <f t="shared" ca="1" si="46"/>
        <v>2007</v>
      </c>
      <c r="O86" s="22">
        <f t="shared" ca="1" si="42"/>
        <v>39114</v>
      </c>
      <c r="P86" s="17">
        <f ca="1"/>
        <v>151.0319169</v>
      </c>
      <c r="Q86" s="17">
        <f ca="1"/>
        <v>152.13268619999999</v>
      </c>
      <c r="R86" s="23">
        <f ca="1"/>
        <v>-7.261890907894239E-3</v>
      </c>
      <c r="S86" s="23">
        <f t="shared" ca="1" si="27"/>
        <v>0.16809023647619986</v>
      </c>
      <c r="T86" t="b">
        <f t="shared" ca="1" si="47"/>
        <v>1</v>
      </c>
      <c r="U86" s="22">
        <f t="shared" ca="1" si="43"/>
        <v>39114</v>
      </c>
      <c r="V86">
        <f t="shared" ca="1" si="44"/>
        <v>0.16809023647619986</v>
      </c>
    </row>
    <row r="87" spans="2:22">
      <c r="B87">
        <f t="shared" si="48"/>
        <v>77</v>
      </c>
      <c r="C87" s="22">
        <f ca="1"/>
        <v>39142</v>
      </c>
      <c r="D87" s="17">
        <f ca="1"/>
        <v>170.50674480000001</v>
      </c>
      <c r="E87" s="17">
        <f ca="1"/>
        <v>177.3489032</v>
      </c>
      <c r="F87" s="23">
        <f ca="1"/>
        <v>-3.9344141933921578E-2</v>
      </c>
      <c r="G87" s="23">
        <f t="shared" ref="G87:G150" ca="1" si="49">IFERROR(Volatility(D76:D87,12),FALSE)</f>
        <v>0.20601509175136271</v>
      </c>
      <c r="H87" t="b">
        <f t="shared" ca="1" si="45"/>
        <v>1</v>
      </c>
      <c r="I87" s="22">
        <f t="shared" ca="1" si="40"/>
        <v>39142</v>
      </c>
      <c r="J87">
        <f t="shared" ca="1" si="41"/>
        <v>0.20601509175136271</v>
      </c>
      <c r="K87">
        <f t="shared" ca="1" si="46"/>
        <v>2007</v>
      </c>
      <c r="O87" s="22">
        <f t="shared" ca="1" si="42"/>
        <v>39142</v>
      </c>
      <c r="P87" s="17">
        <f ca="1"/>
        <v>157.0577883</v>
      </c>
      <c r="Q87" s="17">
        <f ca="1"/>
        <v>151.0319169</v>
      </c>
      <c r="R87" s="23">
        <f ca="1"/>
        <v>3.9122631289974771E-2</v>
      </c>
      <c r="S87" s="23">
        <f t="shared" ref="S87:S150" ca="1" si="50">IFERROR(Volatility(P76:P87,12),FALSE)</f>
        <v>0.16756009849974524</v>
      </c>
      <c r="T87" t="b">
        <f t="shared" ca="1" si="47"/>
        <v>1</v>
      </c>
      <c r="U87" s="22">
        <f t="shared" ca="1" si="43"/>
        <v>39142</v>
      </c>
      <c r="V87">
        <f t="shared" ca="1" si="44"/>
        <v>0.16756009849974524</v>
      </c>
    </row>
    <row r="88" spans="2:22">
      <c r="B88">
        <f t="shared" si="48"/>
        <v>78</v>
      </c>
      <c r="C88" s="22">
        <f ca="1"/>
        <v>39173</v>
      </c>
      <c r="D88" s="17">
        <f ca="1"/>
        <v>152.74784</v>
      </c>
      <c r="E88" s="17">
        <f ca="1"/>
        <v>170.50674480000001</v>
      </c>
      <c r="F88" s="23">
        <f ca="1"/>
        <v>-0.10998639768655945</v>
      </c>
      <c r="G88" s="23">
        <f t="shared" ca="1" si="49"/>
        <v>0.24908988594843409</v>
      </c>
      <c r="H88" t="b">
        <f t="shared" ca="1" si="45"/>
        <v>1</v>
      </c>
      <c r="I88" s="22">
        <f t="shared" ca="1" si="40"/>
        <v>39173</v>
      </c>
      <c r="J88">
        <f t="shared" ca="1" si="41"/>
        <v>0.24908988594843409</v>
      </c>
      <c r="K88">
        <f t="shared" ca="1" si="46"/>
        <v>2007</v>
      </c>
      <c r="O88" s="22">
        <f t="shared" ca="1" si="42"/>
        <v>39173</v>
      </c>
      <c r="P88" s="17">
        <f ca="1"/>
        <v>157.1170037</v>
      </c>
      <c r="Q88" s="17">
        <f ca="1"/>
        <v>157.0577883</v>
      </c>
      <c r="R88" s="23">
        <f ca="1"/>
        <v>3.7695831880235896E-4</v>
      </c>
      <c r="S88" s="23">
        <f t="shared" ca="1" si="50"/>
        <v>0.1691966757462538</v>
      </c>
      <c r="T88" t="b">
        <f t="shared" ca="1" si="47"/>
        <v>1</v>
      </c>
      <c r="U88" s="22">
        <f t="shared" ca="1" si="43"/>
        <v>39173</v>
      </c>
      <c r="V88">
        <f t="shared" ca="1" si="44"/>
        <v>0.1691966757462538</v>
      </c>
    </row>
    <row r="89" spans="2:22">
      <c r="B89">
        <f t="shared" si="48"/>
        <v>79</v>
      </c>
      <c r="C89" s="22">
        <f ca="1"/>
        <v>39203</v>
      </c>
      <c r="D89" s="17">
        <f ca="1"/>
        <v>160.22775999999999</v>
      </c>
      <c r="E89" s="17">
        <f ca="1"/>
        <v>152.74784</v>
      </c>
      <c r="F89" s="23">
        <f ca="1"/>
        <v>4.7807845819321591E-2</v>
      </c>
      <c r="G89" s="23">
        <f t="shared" ca="1" si="49"/>
        <v>0.24698509494513468</v>
      </c>
      <c r="H89" t="b">
        <f t="shared" ca="1" si="45"/>
        <v>1</v>
      </c>
      <c r="I89" s="22">
        <f t="shared" ca="1" si="40"/>
        <v>39203</v>
      </c>
      <c r="J89">
        <f t="shared" ca="1" si="41"/>
        <v>0.24698509494513468</v>
      </c>
      <c r="K89">
        <f t="shared" ca="1" si="46"/>
        <v>2007</v>
      </c>
      <c r="O89" s="22">
        <f t="shared" ca="1" si="42"/>
        <v>39203</v>
      </c>
      <c r="P89" s="17">
        <f ca="1"/>
        <v>161.68943419999999</v>
      </c>
      <c r="Q89" s="17">
        <f ca="1"/>
        <v>157.1170037</v>
      </c>
      <c r="R89" s="23">
        <f ca="1"/>
        <v>2.8686648169994385E-2</v>
      </c>
      <c r="S89" s="23">
        <f t="shared" ca="1" si="50"/>
        <v>0.16531950371975609</v>
      </c>
      <c r="T89" t="b">
        <f t="shared" ca="1" si="47"/>
        <v>1</v>
      </c>
      <c r="U89" s="22">
        <f t="shared" ca="1" si="43"/>
        <v>39203</v>
      </c>
      <c r="V89">
        <f t="shared" ca="1" si="44"/>
        <v>0.16531950371975609</v>
      </c>
    </row>
    <row r="90" spans="2:22">
      <c r="B90">
        <f t="shared" si="48"/>
        <v>80</v>
      </c>
      <c r="C90" s="22">
        <f ca="1"/>
        <v>39234</v>
      </c>
      <c r="D90" s="17">
        <f ca="1"/>
        <v>165.24717999999999</v>
      </c>
      <c r="E90" s="17">
        <f ca="1"/>
        <v>160.22775999999999</v>
      </c>
      <c r="F90" s="23">
        <f ca="1"/>
        <v>3.0846110515055127E-2</v>
      </c>
      <c r="G90" s="23">
        <f t="shared" ca="1" si="49"/>
        <v>0.24669482297515047</v>
      </c>
      <c r="H90" t="b">
        <f t="shared" ca="1" si="45"/>
        <v>1</v>
      </c>
      <c r="I90" s="22">
        <f t="shared" ca="1" si="40"/>
        <v>39234</v>
      </c>
      <c r="J90">
        <f t="shared" ca="1" si="41"/>
        <v>0.24669482297515047</v>
      </c>
      <c r="K90">
        <f t="shared" ca="1" si="46"/>
        <v>2007</v>
      </c>
      <c r="O90" s="22">
        <f t="shared" ca="1" si="42"/>
        <v>39234</v>
      </c>
      <c r="P90" s="17">
        <f ca="1"/>
        <v>184.44876289999999</v>
      </c>
      <c r="Q90" s="17">
        <f ca="1"/>
        <v>161.68943419999999</v>
      </c>
      <c r="R90" s="23">
        <f ca="1"/>
        <v>0.13169429459669699</v>
      </c>
      <c r="S90" s="23">
        <f t="shared" ca="1" si="50"/>
        <v>0.1910700847592324</v>
      </c>
      <c r="T90" t="b">
        <f t="shared" ca="1" si="47"/>
        <v>1</v>
      </c>
      <c r="U90" s="22">
        <f t="shared" ca="1" si="43"/>
        <v>39234</v>
      </c>
      <c r="V90">
        <f t="shared" ca="1" si="44"/>
        <v>0.1910700847592324</v>
      </c>
    </row>
    <row r="91" spans="2:22">
      <c r="B91">
        <f t="shared" si="48"/>
        <v>81</v>
      </c>
      <c r="C91" s="22">
        <f ca="1"/>
        <v>39264</v>
      </c>
      <c r="D91" s="17">
        <f ca="1"/>
        <v>146.84263999999999</v>
      </c>
      <c r="E91" s="17">
        <f ca="1"/>
        <v>165.24717999999999</v>
      </c>
      <c r="F91" s="23">
        <f ca="1"/>
        <v>-0.11808087631383468</v>
      </c>
      <c r="G91" s="23">
        <f t="shared" ca="1" si="49"/>
        <v>0.28426319876248596</v>
      </c>
      <c r="H91" t="b">
        <f t="shared" ca="1" si="45"/>
        <v>1</v>
      </c>
      <c r="I91" s="22">
        <f t="shared" ca="1" si="40"/>
        <v>39264</v>
      </c>
      <c r="J91">
        <f t="shared" ca="1" si="41"/>
        <v>0.28426319876248596</v>
      </c>
      <c r="K91">
        <f t="shared" ca="1" si="46"/>
        <v>2007</v>
      </c>
      <c r="O91" s="22">
        <f t="shared" ca="1" si="42"/>
        <v>39264</v>
      </c>
      <c r="P91" s="17">
        <f ca="1"/>
        <v>177.9077053</v>
      </c>
      <c r="Q91" s="17">
        <f ca="1"/>
        <v>184.44876289999999</v>
      </c>
      <c r="R91" s="23">
        <f ca="1"/>
        <v>-3.6106810784574304E-2</v>
      </c>
      <c r="S91" s="23">
        <f t="shared" ca="1" si="50"/>
        <v>0.20373167797158356</v>
      </c>
      <c r="T91" t="b">
        <f t="shared" ca="1" si="47"/>
        <v>1</v>
      </c>
      <c r="U91" s="22">
        <f t="shared" ca="1" si="43"/>
        <v>39264</v>
      </c>
      <c r="V91">
        <f t="shared" ca="1" si="44"/>
        <v>0.20373167797158356</v>
      </c>
    </row>
    <row r="92" spans="2:22">
      <c r="B92">
        <f t="shared" si="48"/>
        <v>82</v>
      </c>
      <c r="C92" s="22" t="e">
        <f ca="1"/>
        <v>#N/A</v>
      </c>
      <c r="D92" s="17" t="e">
        <f ca="1"/>
        <v>#N/A</v>
      </c>
      <c r="E92" s="17" t="e">
        <f ca="1"/>
        <v>#N/A</v>
      </c>
      <c r="F92" s="23" t="e">
        <f ca="1"/>
        <v>#N/A</v>
      </c>
      <c r="G92" s="23">
        <f t="shared" ca="1" si="49"/>
        <v>0.28341538630489155</v>
      </c>
      <c r="H92" t="b">
        <f t="shared" ca="1" si="45"/>
        <v>1</v>
      </c>
      <c r="I92" s="22" t="e">
        <f t="shared" ca="1" si="40"/>
        <v>#N/A</v>
      </c>
      <c r="J92">
        <f t="shared" ca="1" si="41"/>
        <v>0.28341538630489155</v>
      </c>
      <c r="K92" t="e">
        <f t="shared" ca="1" si="46"/>
        <v>#N/A</v>
      </c>
      <c r="O92" s="22" t="e">
        <f t="shared" ca="1" si="42"/>
        <v>#N/A</v>
      </c>
      <c r="P92" s="17" t="e">
        <f ca="1"/>
        <v>#N/A</v>
      </c>
      <c r="Q92" s="17" t="e">
        <f ca="1"/>
        <v>#N/A</v>
      </c>
      <c r="R92" s="23" t="e">
        <f ca="1"/>
        <v>#N/A</v>
      </c>
      <c r="S92" s="23">
        <f t="shared" ca="1" si="50"/>
        <v>0.20488314775760613</v>
      </c>
      <c r="T92" t="b">
        <f t="shared" ca="1" si="47"/>
        <v>1</v>
      </c>
      <c r="U92" s="22" t="e">
        <f t="shared" ca="1" si="43"/>
        <v>#N/A</v>
      </c>
      <c r="V92">
        <f t="shared" ca="1" si="44"/>
        <v>0.20488314775760613</v>
      </c>
    </row>
    <row r="93" spans="2:22">
      <c r="B93">
        <f t="shared" si="48"/>
        <v>83</v>
      </c>
      <c r="C93" s="22" t="e">
        <f ca="1"/>
        <v>#N/A</v>
      </c>
      <c r="D93" s="17" t="e">
        <f ca="1"/>
        <v>#N/A</v>
      </c>
      <c r="E93" s="17" t="e">
        <f ca="1"/>
        <v>#N/A</v>
      </c>
      <c r="F93" s="23" t="e">
        <f ca="1"/>
        <v>#N/A</v>
      </c>
      <c r="G93" s="23">
        <f t="shared" ca="1" si="49"/>
        <v>0.24268916111763178</v>
      </c>
      <c r="H93" t="b">
        <f t="shared" ca="1" si="45"/>
        <v>1</v>
      </c>
      <c r="I93" s="22" t="e">
        <f t="shared" ca="1" si="40"/>
        <v>#N/A</v>
      </c>
      <c r="J93">
        <f t="shared" ca="1" si="41"/>
        <v>0.24268916111763178</v>
      </c>
      <c r="K93" t="e">
        <f t="shared" ca="1" si="46"/>
        <v>#N/A</v>
      </c>
      <c r="O93" s="22" t="e">
        <f t="shared" ca="1" si="42"/>
        <v>#N/A</v>
      </c>
      <c r="P93" s="17" t="e">
        <f ca="1"/>
        <v>#N/A</v>
      </c>
      <c r="Q93" s="17" t="e">
        <f ca="1"/>
        <v>#N/A</v>
      </c>
      <c r="R93" s="23" t="e">
        <f ca="1"/>
        <v>#N/A</v>
      </c>
      <c r="S93" s="23">
        <f t="shared" ca="1" si="50"/>
        <v>0.15062072899096313</v>
      </c>
      <c r="T93" t="b">
        <f t="shared" ca="1" si="47"/>
        <v>1</v>
      </c>
      <c r="U93" s="22" t="e">
        <f t="shared" ca="1" si="43"/>
        <v>#N/A</v>
      </c>
      <c r="V93">
        <f t="shared" ca="1" si="44"/>
        <v>0.15062072899096313</v>
      </c>
    </row>
    <row r="94" spans="2:22">
      <c r="B94">
        <f t="shared" si="48"/>
        <v>84</v>
      </c>
      <c r="C94" s="22" t="e">
        <f ca="1"/>
        <v>#N/A</v>
      </c>
      <c r="D94" s="17" t="e">
        <f ca="1"/>
        <v>#N/A</v>
      </c>
      <c r="E94" s="17" t="e">
        <f ca="1"/>
        <v>#N/A</v>
      </c>
      <c r="F94" s="23" t="e">
        <f ca="1"/>
        <v>#N/A</v>
      </c>
      <c r="G94" s="23">
        <f t="shared" ca="1" si="49"/>
        <v>0.19138035679395829</v>
      </c>
      <c r="H94" t="b">
        <f t="shared" ca="1" si="45"/>
        <v>1</v>
      </c>
      <c r="I94" s="22" t="e">
        <f t="shared" ca="1" si="40"/>
        <v>#N/A</v>
      </c>
      <c r="J94">
        <f t="shared" ca="1" si="41"/>
        <v>0.19138035679395829</v>
      </c>
      <c r="K94" t="e">
        <f t="shared" ca="1" si="46"/>
        <v>#N/A</v>
      </c>
      <c r="O94" s="22" t="e">
        <f t="shared" ca="1" si="42"/>
        <v>#N/A</v>
      </c>
      <c r="P94" s="17" t="e">
        <f ca="1"/>
        <v>#N/A</v>
      </c>
      <c r="Q94" s="17" t="e">
        <f ca="1"/>
        <v>#N/A</v>
      </c>
      <c r="R94" s="23" t="e">
        <f ca="1"/>
        <v>#N/A</v>
      </c>
      <c r="S94" s="23">
        <f t="shared" ca="1" si="50"/>
        <v>0.13744256895043477</v>
      </c>
      <c r="T94" t="b">
        <f t="shared" ca="1" si="47"/>
        <v>1</v>
      </c>
      <c r="U94" s="22" t="e">
        <f t="shared" ca="1" si="43"/>
        <v>#N/A</v>
      </c>
      <c r="V94">
        <f t="shared" ca="1" si="44"/>
        <v>0.13744256895043477</v>
      </c>
    </row>
    <row r="95" spans="2:22">
      <c r="B95">
        <f t="shared" si="48"/>
        <v>85</v>
      </c>
      <c r="C95" s="22" t="e">
        <f ca="1"/>
        <v>#N/A</v>
      </c>
      <c r="D95" s="17" t="e">
        <f ca="1"/>
        <v>#N/A</v>
      </c>
      <c r="E95" s="17" t="e">
        <f ca="1"/>
        <v>#N/A</v>
      </c>
      <c r="F95" s="23" t="e">
        <f ca="1"/>
        <v>#N/A</v>
      </c>
      <c r="G95" s="23">
        <f t="shared" ca="1" si="49"/>
        <v>0.19070332448679247</v>
      </c>
      <c r="H95" t="b">
        <f t="shared" ca="1" si="45"/>
        <v>1</v>
      </c>
      <c r="I95" s="22" t="e">
        <f t="shared" ca="1" si="40"/>
        <v>#N/A</v>
      </c>
      <c r="J95">
        <f t="shared" ca="1" si="41"/>
        <v>0.19070332448679247</v>
      </c>
      <c r="K95" t="e">
        <f t="shared" ca="1" si="46"/>
        <v>#N/A</v>
      </c>
      <c r="O95" s="22" t="e">
        <f t="shared" ca="1" si="42"/>
        <v>#N/A</v>
      </c>
      <c r="P95" s="17" t="e">
        <f ca="1"/>
        <v>#N/A</v>
      </c>
      <c r="Q95" s="17" t="e">
        <f ca="1"/>
        <v>#N/A</v>
      </c>
      <c r="R95" s="23" t="e">
        <f ca="1"/>
        <v>#N/A</v>
      </c>
      <c r="S95" s="23">
        <f t="shared" ca="1" si="50"/>
        <v>0.13798046754807977</v>
      </c>
      <c r="T95" t="b">
        <f t="shared" ca="1" si="47"/>
        <v>1</v>
      </c>
      <c r="U95" s="22" t="e">
        <f t="shared" ca="1" si="43"/>
        <v>#N/A</v>
      </c>
      <c r="V95">
        <f t="shared" ca="1" si="44"/>
        <v>0.13798046754807977</v>
      </c>
    </row>
    <row r="96" spans="2:22">
      <c r="B96">
        <f t="shared" si="48"/>
        <v>86</v>
      </c>
      <c r="C96" s="22" t="e">
        <f ca="1"/>
        <v>#N/A</v>
      </c>
      <c r="D96" s="17" t="e">
        <f ca="1"/>
        <v>#N/A</v>
      </c>
      <c r="E96" s="17" t="e">
        <f ca="1"/>
        <v>#N/A</v>
      </c>
      <c r="F96" s="23" t="e">
        <f ca="1"/>
        <v>#N/A</v>
      </c>
      <c r="G96" s="23">
        <f t="shared" ca="1" si="49"/>
        <v>0.18764868607919222</v>
      </c>
      <c r="H96" t="b">
        <f t="shared" ca="1" si="45"/>
        <v>1</v>
      </c>
      <c r="I96" s="22" t="e">
        <f t="shared" ca="1" si="40"/>
        <v>#N/A</v>
      </c>
      <c r="J96">
        <f t="shared" ca="1" si="41"/>
        <v>0.18764868607919222</v>
      </c>
      <c r="K96" t="e">
        <f t="shared" ca="1" si="46"/>
        <v>#N/A</v>
      </c>
      <c r="O96" s="22" t="e">
        <f t="shared" ca="1" si="42"/>
        <v>#N/A</v>
      </c>
      <c r="P96" s="17" t="e">
        <f ca="1"/>
        <v>#N/A</v>
      </c>
      <c r="Q96" s="17" t="e">
        <f ca="1"/>
        <v>#N/A</v>
      </c>
      <c r="R96" s="23" t="e">
        <f ca="1"/>
        <v>#N/A</v>
      </c>
      <c r="S96" s="23">
        <f t="shared" ca="1" si="50"/>
        <v>0.13845276363612005</v>
      </c>
      <c r="T96" t="b">
        <f t="shared" ca="1" si="47"/>
        <v>1</v>
      </c>
      <c r="U96" s="22" t="e">
        <f t="shared" ca="1" si="43"/>
        <v>#N/A</v>
      </c>
      <c r="V96">
        <f t="shared" ca="1" si="44"/>
        <v>0.13845276363612005</v>
      </c>
    </row>
    <row r="97" spans="2:22">
      <c r="B97">
        <f t="shared" si="48"/>
        <v>87</v>
      </c>
      <c r="C97" s="22" t="e">
        <f ca="1"/>
        <v>#N/A</v>
      </c>
      <c r="D97" s="17" t="e">
        <f ca="1"/>
        <v>#N/A</v>
      </c>
      <c r="E97" s="17" t="e">
        <f ca="1"/>
        <v>#N/A</v>
      </c>
      <c r="F97" s="23" t="e">
        <f ca="1"/>
        <v>#N/A</v>
      </c>
      <c r="G97" s="23">
        <f t="shared" ca="1" si="49"/>
        <v>0.16758404846565036</v>
      </c>
      <c r="H97" t="b">
        <f t="shared" ca="1" si="45"/>
        <v>1</v>
      </c>
      <c r="I97" s="22" t="e">
        <f t="shared" ca="1" si="40"/>
        <v>#N/A</v>
      </c>
      <c r="J97">
        <f t="shared" ca="1" si="41"/>
        <v>0.16758404846565036</v>
      </c>
      <c r="K97" t="e">
        <f t="shared" ca="1" si="46"/>
        <v>#N/A</v>
      </c>
      <c r="O97" s="22" t="e">
        <f t="shared" ca="1" si="42"/>
        <v>#N/A</v>
      </c>
      <c r="P97" s="17" t="e">
        <f ca="1"/>
        <v>#N/A</v>
      </c>
      <c r="Q97" s="17" t="e">
        <f ca="1"/>
        <v>#N/A</v>
      </c>
      <c r="R97" s="23" t="e">
        <f ca="1"/>
        <v>#N/A</v>
      </c>
      <c r="S97" s="23">
        <f t="shared" ca="1" si="50"/>
        <v>0.13761365826705058</v>
      </c>
      <c r="T97" t="b">
        <f t="shared" ca="1" si="47"/>
        <v>1</v>
      </c>
      <c r="U97" s="22" t="e">
        <f t="shared" ca="1" si="43"/>
        <v>#N/A</v>
      </c>
      <c r="V97">
        <f t="shared" ca="1" si="44"/>
        <v>0.13761365826705058</v>
      </c>
    </row>
    <row r="98" spans="2:22">
      <c r="B98">
        <f t="shared" si="48"/>
        <v>88</v>
      </c>
      <c r="C98" s="22" t="e">
        <f ca="1"/>
        <v>#N/A</v>
      </c>
      <c r="D98" s="17" t="e">
        <f ca="1"/>
        <v>#N/A</v>
      </c>
      <c r="E98" s="17" t="e">
        <f ca="1"/>
        <v>#N/A</v>
      </c>
      <c r="F98" s="23" t="e">
        <f ca="1"/>
        <v>#N/A</v>
      </c>
      <c r="G98" s="23">
        <f t="shared" ca="1" si="49"/>
        <v>0.1660117955657234</v>
      </c>
      <c r="H98" t="b">
        <f t="shared" ca="1" si="45"/>
        <v>1</v>
      </c>
      <c r="I98" s="22" t="e">
        <f t="shared" ca="1" si="40"/>
        <v>#N/A</v>
      </c>
      <c r="J98">
        <f t="shared" ca="1" si="41"/>
        <v>0.1660117955657234</v>
      </c>
      <c r="K98" t="e">
        <f t="shared" ca="1" si="46"/>
        <v>#N/A</v>
      </c>
      <c r="O98" s="22" t="e">
        <f t="shared" ca="1" si="42"/>
        <v>#N/A</v>
      </c>
      <c r="P98" s="17" t="e">
        <f ca="1"/>
        <v>#N/A</v>
      </c>
      <c r="Q98" s="17" t="e">
        <f ca="1"/>
        <v>#N/A</v>
      </c>
      <c r="R98" s="23" t="e">
        <f ca="1"/>
        <v>#N/A</v>
      </c>
      <c r="S98" s="23">
        <f t="shared" ca="1" si="50"/>
        <v>0.13518481417326522</v>
      </c>
      <c r="T98" t="b">
        <f t="shared" ca="1" si="47"/>
        <v>1</v>
      </c>
      <c r="U98" s="22" t="e">
        <f t="shared" ca="1" si="43"/>
        <v>#N/A</v>
      </c>
      <c r="V98">
        <f t="shared" ca="1" si="44"/>
        <v>0.13518481417326522</v>
      </c>
    </row>
    <row r="99" spans="2:22">
      <c r="B99">
        <f t="shared" si="48"/>
        <v>89</v>
      </c>
      <c r="C99" s="22" t="e">
        <f ca="1"/>
        <v>#N/A</v>
      </c>
      <c r="D99" s="17" t="e">
        <f ca="1"/>
        <v>#N/A</v>
      </c>
      <c r="E99" s="17" t="e">
        <f ca="1"/>
        <v>#N/A</v>
      </c>
      <c r="F99" s="23" t="e">
        <f ca="1"/>
        <v>#N/A</v>
      </c>
      <c r="G99" s="23">
        <f t="shared" ca="1" si="49"/>
        <v>0.13061619559162041</v>
      </c>
      <c r="H99" t="b">
        <f t="shared" ca="1" si="45"/>
        <v>1</v>
      </c>
      <c r="I99" s="22" t="e">
        <f t="shared" ca="1" si="40"/>
        <v>#N/A</v>
      </c>
      <c r="J99">
        <f t="shared" ca="1" si="41"/>
        <v>0.13061619559162041</v>
      </c>
      <c r="K99" t="e">
        <f t="shared" ca="1" si="46"/>
        <v>#N/A</v>
      </c>
      <c r="O99" s="22" t="e">
        <f t="shared" ca="1" si="42"/>
        <v>#N/A</v>
      </c>
      <c r="P99" s="17" t="e">
        <f ca="1"/>
        <v>#N/A</v>
      </c>
      <c r="Q99" s="17" t="e">
        <f ca="1"/>
        <v>#N/A</v>
      </c>
      <c r="R99" s="23" t="e">
        <f ca="1"/>
        <v>#N/A</v>
      </c>
      <c r="S99" s="23">
        <f t="shared" ca="1" si="50"/>
        <v>0.13521098298282719</v>
      </c>
      <c r="T99" t="b">
        <f t="shared" ca="1" si="47"/>
        <v>1</v>
      </c>
      <c r="U99" s="22" t="e">
        <f t="shared" ca="1" si="43"/>
        <v>#N/A</v>
      </c>
      <c r="V99">
        <f t="shared" ca="1" si="44"/>
        <v>0.13521098298282719</v>
      </c>
    </row>
    <row r="100" spans="2:22">
      <c r="B100">
        <f t="shared" si="48"/>
        <v>90</v>
      </c>
      <c r="C100" s="22" t="e">
        <f ca="1"/>
        <v>#N/A</v>
      </c>
      <c r="D100" s="17" t="e">
        <f ca="1"/>
        <v>#N/A</v>
      </c>
      <c r="E100" s="17" t="e">
        <f ca="1"/>
        <v>#N/A</v>
      </c>
      <c r="F100" s="23" t="e">
        <f ca="1"/>
        <v>#N/A</v>
      </c>
      <c r="G100" s="23">
        <f t="shared" ca="1" si="49"/>
        <v>0.11962106277560679</v>
      </c>
      <c r="H100" t="b">
        <f t="shared" ca="1" si="45"/>
        <v>1</v>
      </c>
      <c r="I100" s="22" t="e">
        <f t="shared" ca="1" si="40"/>
        <v>#N/A</v>
      </c>
      <c r="J100">
        <f t="shared" ca="1" si="41"/>
        <v>0.11962106277560679</v>
      </c>
      <c r="K100" t="e">
        <f t="shared" ca="1" si="46"/>
        <v>#N/A</v>
      </c>
      <c r="O100" s="22" t="e">
        <f t="shared" ca="1" si="42"/>
        <v>#N/A</v>
      </c>
      <c r="P100" s="17" t="e">
        <f ca="1"/>
        <v>#N/A</v>
      </c>
      <c r="Q100" s="17" t="e">
        <f ca="1"/>
        <v>#N/A</v>
      </c>
      <c r="R100" s="23" t="e">
        <f ca="1"/>
        <v>#N/A</v>
      </c>
      <c r="S100" s="23">
        <f t="shared" ca="1" si="50"/>
        <v>0.13395613892462671</v>
      </c>
      <c r="T100" t="b">
        <f t="shared" ca="1" si="47"/>
        <v>1</v>
      </c>
      <c r="U100" s="22" t="e">
        <f t="shared" ca="1" si="43"/>
        <v>#N/A</v>
      </c>
      <c r="V100">
        <f t="shared" ca="1" si="44"/>
        <v>0.13395613892462671</v>
      </c>
    </row>
    <row r="101" spans="2:22">
      <c r="B101">
        <f t="shared" si="48"/>
        <v>91</v>
      </c>
      <c r="C101" s="22" t="e">
        <f ca="1"/>
        <v>#N/A</v>
      </c>
      <c r="D101" s="17" t="e">
        <f ca="1"/>
        <v>#N/A</v>
      </c>
      <c r="E101" s="17" t="e">
        <f ca="1"/>
        <v>#N/A</v>
      </c>
      <c r="F101" s="23" t="e">
        <f ca="1"/>
        <v>#N/A</v>
      </c>
      <c r="G101" s="23">
        <f t="shared" ca="1" si="49"/>
        <v>0.11344843677892472</v>
      </c>
      <c r="H101" t="b">
        <f t="shared" ca="1" si="45"/>
        <v>1</v>
      </c>
      <c r="I101" s="22" t="e">
        <f t="shared" ca="1" si="40"/>
        <v>#N/A</v>
      </c>
      <c r="J101">
        <f t="shared" ca="1" si="41"/>
        <v>0.11344843677892472</v>
      </c>
      <c r="K101" t="e">
        <f t="shared" ca="1" si="46"/>
        <v>#N/A</v>
      </c>
      <c r="O101" s="22" t="e">
        <f t="shared" ca="1" si="42"/>
        <v>#N/A</v>
      </c>
      <c r="P101" s="17" t="e">
        <f ca="1"/>
        <v>#N/A</v>
      </c>
      <c r="Q101" s="17" t="e">
        <f ca="1"/>
        <v>#N/A</v>
      </c>
      <c r="R101" s="23" t="e">
        <f ca="1"/>
        <v>#N/A</v>
      </c>
      <c r="S101" s="23">
        <f t="shared" ca="1" si="50"/>
        <v>3.4690300925294203E-2</v>
      </c>
      <c r="T101" t="b">
        <f t="shared" ca="1" si="47"/>
        <v>1</v>
      </c>
      <c r="U101" s="22" t="e">
        <f t="shared" ca="1" si="43"/>
        <v>#N/A</v>
      </c>
      <c r="V101">
        <f t="shared" ca="1" si="44"/>
        <v>3.4690300925294203E-2</v>
      </c>
    </row>
    <row r="102" spans="2:22">
      <c r="B102">
        <f t="shared" si="48"/>
        <v>92</v>
      </c>
      <c r="C102" s="22" t="e">
        <f ca="1"/>
        <v>#N/A</v>
      </c>
      <c r="D102" s="17" t="e">
        <f ca="1"/>
        <v>#N/A</v>
      </c>
      <c r="E102" s="17" t="e">
        <f ca="1"/>
        <v>#N/A</v>
      </c>
      <c r="F102" s="23" t="e">
        <f ca="1"/>
        <v>#N/A</v>
      </c>
      <c r="G102" s="23">
        <f t="shared" ca="1" si="49"/>
        <v>0</v>
      </c>
      <c r="H102" t="b">
        <f t="shared" ca="1" si="45"/>
        <v>1</v>
      </c>
      <c r="I102" s="22" t="e">
        <f t="shared" ca="1" si="40"/>
        <v>#N/A</v>
      </c>
      <c r="J102">
        <f t="shared" ca="1" si="41"/>
        <v>0</v>
      </c>
      <c r="K102" t="e">
        <f t="shared" ca="1" si="46"/>
        <v>#N/A</v>
      </c>
      <c r="O102" s="22" t="e">
        <f t="shared" ca="1" si="42"/>
        <v>#N/A</v>
      </c>
      <c r="P102" s="17" t="e">
        <f ca="1"/>
        <v>#N/A</v>
      </c>
      <c r="Q102" s="17" t="e">
        <f ca="1"/>
        <v>#N/A</v>
      </c>
      <c r="R102" s="23" t="e">
        <f ca="1"/>
        <v>#N/A</v>
      </c>
      <c r="S102" s="23">
        <f t="shared" ca="1" si="50"/>
        <v>0</v>
      </c>
      <c r="T102" t="b">
        <f t="shared" ca="1" si="47"/>
        <v>1</v>
      </c>
      <c r="U102" s="22" t="e">
        <f t="shared" ca="1" si="43"/>
        <v>#N/A</v>
      </c>
      <c r="V102">
        <f t="shared" ca="1" si="44"/>
        <v>0</v>
      </c>
    </row>
    <row r="103" spans="2:22">
      <c r="B103">
        <f t="shared" si="48"/>
        <v>93</v>
      </c>
      <c r="C103" s="22" t="e">
        <f ca="1"/>
        <v>#N/A</v>
      </c>
      <c r="D103" s="17" t="e">
        <f ca="1"/>
        <v>#N/A</v>
      </c>
      <c r="E103" s="17" t="e">
        <f ca="1"/>
        <v>#N/A</v>
      </c>
      <c r="F103" s="23" t="e">
        <f ca="1"/>
        <v>#N/A</v>
      </c>
      <c r="G103" s="23">
        <f t="shared" ca="1" si="49"/>
        <v>0</v>
      </c>
      <c r="H103" t="b">
        <f t="shared" ca="1" si="45"/>
        <v>1</v>
      </c>
      <c r="I103" s="22" t="e">
        <f t="shared" ca="1" si="40"/>
        <v>#N/A</v>
      </c>
      <c r="J103">
        <f t="shared" ca="1" si="41"/>
        <v>0</v>
      </c>
      <c r="K103" t="e">
        <f t="shared" ca="1" si="46"/>
        <v>#N/A</v>
      </c>
      <c r="O103" s="22" t="e">
        <f t="shared" ca="1" si="42"/>
        <v>#N/A</v>
      </c>
      <c r="P103" s="17" t="e">
        <f ca="1"/>
        <v>#N/A</v>
      </c>
      <c r="Q103" s="17" t="e">
        <f ca="1"/>
        <v>#N/A</v>
      </c>
      <c r="R103" s="23" t="e">
        <f ca="1"/>
        <v>#N/A</v>
      </c>
      <c r="S103" s="23">
        <f t="shared" ca="1" si="50"/>
        <v>0</v>
      </c>
      <c r="T103" t="b">
        <f t="shared" ca="1" si="47"/>
        <v>1</v>
      </c>
      <c r="U103" s="22" t="e">
        <f t="shared" ca="1" si="43"/>
        <v>#N/A</v>
      </c>
      <c r="V103">
        <f t="shared" ca="1" si="44"/>
        <v>0</v>
      </c>
    </row>
    <row r="104" spans="2:22">
      <c r="B104">
        <f t="shared" si="48"/>
        <v>94</v>
      </c>
      <c r="C104" s="22" t="e">
        <f ca="1"/>
        <v>#N/A</v>
      </c>
      <c r="D104" s="17" t="e">
        <f ca="1"/>
        <v>#N/A</v>
      </c>
      <c r="E104" s="17" t="e">
        <f ca="1"/>
        <v>#N/A</v>
      </c>
      <c r="F104" s="23" t="e">
        <f ca="1"/>
        <v>#N/A</v>
      </c>
      <c r="G104" s="23">
        <f t="shared" ca="1" si="49"/>
        <v>0</v>
      </c>
      <c r="H104" t="b">
        <f t="shared" ca="1" si="45"/>
        <v>1</v>
      </c>
      <c r="I104" s="22" t="e">
        <f t="shared" ca="1" si="40"/>
        <v>#N/A</v>
      </c>
      <c r="J104">
        <f t="shared" ca="1" si="41"/>
        <v>0</v>
      </c>
      <c r="K104" t="e">
        <f t="shared" ca="1" si="46"/>
        <v>#N/A</v>
      </c>
      <c r="O104" s="22" t="e">
        <f t="shared" ca="1" si="42"/>
        <v>#N/A</v>
      </c>
      <c r="P104" s="17" t="e">
        <f ca="1"/>
        <v>#N/A</v>
      </c>
      <c r="Q104" s="17" t="e">
        <f ca="1"/>
        <v>#N/A</v>
      </c>
      <c r="R104" s="23" t="e">
        <f ca="1"/>
        <v>#N/A</v>
      </c>
      <c r="S104" s="23">
        <f t="shared" ca="1" si="50"/>
        <v>0</v>
      </c>
      <c r="T104" t="b">
        <f t="shared" ca="1" si="47"/>
        <v>1</v>
      </c>
      <c r="U104" s="22" t="e">
        <f t="shared" ca="1" si="43"/>
        <v>#N/A</v>
      </c>
      <c r="V104">
        <f t="shared" ca="1" si="44"/>
        <v>0</v>
      </c>
    </row>
    <row r="105" spans="2:22">
      <c r="B105">
        <f t="shared" si="48"/>
        <v>95</v>
      </c>
      <c r="C105" s="22" t="e">
        <f ca="1"/>
        <v>#N/A</v>
      </c>
      <c r="D105" s="17" t="e">
        <f ca="1"/>
        <v>#N/A</v>
      </c>
      <c r="E105" s="17" t="e">
        <f ca="1"/>
        <v>#N/A</v>
      </c>
      <c r="F105" s="23" t="e">
        <f ca="1"/>
        <v>#N/A</v>
      </c>
      <c r="G105" s="23">
        <f t="shared" ca="1" si="49"/>
        <v>0</v>
      </c>
      <c r="H105" t="b">
        <f t="shared" ca="1" si="45"/>
        <v>1</v>
      </c>
      <c r="I105" s="22" t="e">
        <f t="shared" ca="1" si="40"/>
        <v>#N/A</v>
      </c>
      <c r="J105">
        <f t="shared" ca="1" si="41"/>
        <v>0</v>
      </c>
      <c r="K105" t="e">
        <f t="shared" ca="1" si="46"/>
        <v>#N/A</v>
      </c>
      <c r="O105" s="22" t="e">
        <f t="shared" ca="1" si="42"/>
        <v>#N/A</v>
      </c>
      <c r="P105" s="17" t="e">
        <f ca="1"/>
        <v>#N/A</v>
      </c>
      <c r="Q105" s="17" t="e">
        <f ca="1"/>
        <v>#N/A</v>
      </c>
      <c r="R105" s="23" t="e">
        <f ca="1"/>
        <v>#N/A</v>
      </c>
      <c r="S105" s="23">
        <f t="shared" ca="1" si="50"/>
        <v>0</v>
      </c>
      <c r="T105" t="b">
        <f t="shared" ca="1" si="47"/>
        <v>1</v>
      </c>
      <c r="U105" s="22" t="e">
        <f t="shared" ca="1" si="43"/>
        <v>#N/A</v>
      </c>
      <c r="V105">
        <f t="shared" ca="1" si="44"/>
        <v>0</v>
      </c>
    </row>
    <row r="106" spans="2:22">
      <c r="B106">
        <f t="shared" si="48"/>
        <v>96</v>
      </c>
      <c r="C106" s="22" t="e">
        <f ca="1"/>
        <v>#N/A</v>
      </c>
      <c r="D106" s="17" t="e">
        <f ca="1"/>
        <v>#N/A</v>
      </c>
      <c r="E106" s="17" t="e">
        <f ca="1"/>
        <v>#N/A</v>
      </c>
      <c r="F106" s="23" t="e">
        <f ca="1"/>
        <v>#N/A</v>
      </c>
      <c r="G106" s="23">
        <f t="shared" ca="1" si="49"/>
        <v>0</v>
      </c>
      <c r="H106" t="b">
        <f t="shared" ca="1" si="45"/>
        <v>1</v>
      </c>
      <c r="I106" s="22" t="e">
        <f t="shared" ca="1" si="40"/>
        <v>#N/A</v>
      </c>
      <c r="J106">
        <f t="shared" ca="1" si="41"/>
        <v>0</v>
      </c>
      <c r="K106" t="e">
        <f t="shared" ca="1" si="46"/>
        <v>#N/A</v>
      </c>
      <c r="O106" s="22" t="e">
        <f t="shared" ca="1" si="42"/>
        <v>#N/A</v>
      </c>
      <c r="P106" s="17" t="e">
        <f ca="1"/>
        <v>#N/A</v>
      </c>
      <c r="Q106" s="17" t="e">
        <f ca="1"/>
        <v>#N/A</v>
      </c>
      <c r="R106" s="23" t="e">
        <f ca="1"/>
        <v>#N/A</v>
      </c>
      <c r="S106" s="23">
        <f t="shared" ca="1" si="50"/>
        <v>0</v>
      </c>
      <c r="T106" t="b">
        <f t="shared" ca="1" si="47"/>
        <v>1</v>
      </c>
      <c r="U106" s="22" t="e">
        <f t="shared" ca="1" si="43"/>
        <v>#N/A</v>
      </c>
      <c r="V106">
        <f t="shared" ca="1" si="44"/>
        <v>0</v>
      </c>
    </row>
    <row r="107" spans="2:22">
      <c r="B107">
        <f t="shared" si="48"/>
        <v>97</v>
      </c>
      <c r="C107" s="22" t="e">
        <f ca="1"/>
        <v>#N/A</v>
      </c>
      <c r="D107" s="17" t="e">
        <f ca="1"/>
        <v>#N/A</v>
      </c>
      <c r="E107" s="17" t="e">
        <f ca="1"/>
        <v>#N/A</v>
      </c>
      <c r="F107" s="23" t="e">
        <f ca="1"/>
        <v>#N/A</v>
      </c>
      <c r="G107" s="23">
        <f t="shared" ca="1" si="49"/>
        <v>0</v>
      </c>
      <c r="H107" t="b">
        <f t="shared" ca="1" si="45"/>
        <v>1</v>
      </c>
      <c r="I107" s="22" t="e">
        <f t="shared" ca="1" si="40"/>
        <v>#N/A</v>
      </c>
      <c r="J107">
        <f t="shared" ca="1" si="41"/>
        <v>0</v>
      </c>
      <c r="K107" t="e">
        <f t="shared" ca="1" si="46"/>
        <v>#N/A</v>
      </c>
      <c r="O107" s="22" t="e">
        <f t="shared" ca="1" si="42"/>
        <v>#N/A</v>
      </c>
      <c r="P107" s="17" t="e">
        <f ca="1"/>
        <v>#N/A</v>
      </c>
      <c r="Q107" s="17" t="e">
        <f ca="1"/>
        <v>#N/A</v>
      </c>
      <c r="R107" s="23" t="e">
        <f ca="1"/>
        <v>#N/A</v>
      </c>
      <c r="S107" s="23">
        <f t="shared" ca="1" si="50"/>
        <v>0</v>
      </c>
      <c r="T107" t="b">
        <f t="shared" ca="1" si="47"/>
        <v>1</v>
      </c>
      <c r="U107" s="22" t="e">
        <f t="shared" ca="1" si="43"/>
        <v>#N/A</v>
      </c>
      <c r="V107">
        <f t="shared" ca="1" si="44"/>
        <v>0</v>
      </c>
    </row>
    <row r="108" spans="2:22">
      <c r="B108">
        <f t="shared" si="48"/>
        <v>98</v>
      </c>
      <c r="C108" s="22" t="e">
        <f ca="1"/>
        <v>#N/A</v>
      </c>
      <c r="D108" s="17" t="e">
        <f ca="1"/>
        <v>#N/A</v>
      </c>
      <c r="E108" s="17" t="e">
        <f ca="1"/>
        <v>#N/A</v>
      </c>
      <c r="F108" s="23" t="e">
        <f ca="1"/>
        <v>#N/A</v>
      </c>
      <c r="G108" s="23">
        <f t="shared" ca="1" si="49"/>
        <v>0</v>
      </c>
      <c r="H108" t="b">
        <f t="shared" ca="1" si="45"/>
        <v>1</v>
      </c>
      <c r="I108" s="22" t="e">
        <f t="shared" ca="1" si="40"/>
        <v>#N/A</v>
      </c>
      <c r="J108">
        <f t="shared" ca="1" si="41"/>
        <v>0</v>
      </c>
      <c r="K108" t="e">
        <f t="shared" ca="1" si="46"/>
        <v>#N/A</v>
      </c>
      <c r="O108" s="22" t="e">
        <f t="shared" ca="1" si="42"/>
        <v>#N/A</v>
      </c>
      <c r="P108" s="17" t="e">
        <f ca="1"/>
        <v>#N/A</v>
      </c>
      <c r="Q108" s="17" t="e">
        <f ca="1"/>
        <v>#N/A</v>
      </c>
      <c r="R108" s="23" t="e">
        <f ca="1"/>
        <v>#N/A</v>
      </c>
      <c r="S108" s="23">
        <f t="shared" ca="1" si="50"/>
        <v>0</v>
      </c>
      <c r="T108" t="b">
        <f t="shared" ca="1" si="47"/>
        <v>1</v>
      </c>
      <c r="U108" s="22" t="e">
        <f t="shared" ca="1" si="43"/>
        <v>#N/A</v>
      </c>
      <c r="V108">
        <f t="shared" ca="1" si="44"/>
        <v>0</v>
      </c>
    </row>
    <row r="109" spans="2:22">
      <c r="B109">
        <f t="shared" si="48"/>
        <v>99</v>
      </c>
      <c r="C109" s="22" t="e">
        <f ca="1"/>
        <v>#N/A</v>
      </c>
      <c r="D109" s="17" t="e">
        <f ca="1"/>
        <v>#N/A</v>
      </c>
      <c r="E109" s="17" t="e">
        <f ca="1"/>
        <v>#N/A</v>
      </c>
      <c r="F109" s="23" t="e">
        <f ca="1"/>
        <v>#N/A</v>
      </c>
      <c r="G109" s="23">
        <f t="shared" ca="1" si="49"/>
        <v>0</v>
      </c>
      <c r="H109" t="b">
        <f t="shared" ca="1" si="45"/>
        <v>1</v>
      </c>
      <c r="I109" s="22" t="e">
        <f t="shared" ca="1" si="40"/>
        <v>#N/A</v>
      </c>
      <c r="J109">
        <f t="shared" ca="1" si="41"/>
        <v>0</v>
      </c>
      <c r="K109" t="e">
        <f t="shared" ca="1" si="46"/>
        <v>#N/A</v>
      </c>
      <c r="O109" s="22" t="e">
        <f t="shared" ca="1" si="42"/>
        <v>#N/A</v>
      </c>
      <c r="P109" s="17" t="e">
        <f ca="1"/>
        <v>#N/A</v>
      </c>
      <c r="Q109" s="17" t="e">
        <f ca="1"/>
        <v>#N/A</v>
      </c>
      <c r="R109" s="23" t="e">
        <f ca="1"/>
        <v>#N/A</v>
      </c>
      <c r="S109" s="23">
        <f t="shared" ca="1" si="50"/>
        <v>0</v>
      </c>
      <c r="T109" t="b">
        <f t="shared" ca="1" si="47"/>
        <v>1</v>
      </c>
      <c r="U109" s="22" t="e">
        <f t="shared" ca="1" si="43"/>
        <v>#N/A</v>
      </c>
      <c r="V109">
        <f t="shared" ca="1" si="44"/>
        <v>0</v>
      </c>
    </row>
    <row r="110" spans="2:22">
      <c r="B110">
        <f t="shared" si="48"/>
        <v>100</v>
      </c>
      <c r="C110" s="22" t="e">
        <f ca="1"/>
        <v>#N/A</v>
      </c>
      <c r="D110" s="17" t="e">
        <f ca="1"/>
        <v>#N/A</v>
      </c>
      <c r="E110" s="17" t="e">
        <f ca="1"/>
        <v>#N/A</v>
      </c>
      <c r="F110" s="23" t="e">
        <f ca="1"/>
        <v>#N/A</v>
      </c>
      <c r="G110" s="23">
        <f t="shared" ca="1" si="49"/>
        <v>0</v>
      </c>
      <c r="H110" t="b">
        <f t="shared" ca="1" si="45"/>
        <v>1</v>
      </c>
      <c r="I110" s="22" t="e">
        <f t="shared" ca="1" si="40"/>
        <v>#N/A</v>
      </c>
      <c r="J110">
        <f t="shared" ca="1" si="41"/>
        <v>0</v>
      </c>
      <c r="K110" t="e">
        <f t="shared" ca="1" si="46"/>
        <v>#N/A</v>
      </c>
      <c r="O110" s="22" t="e">
        <f t="shared" ca="1" si="42"/>
        <v>#N/A</v>
      </c>
      <c r="P110" s="17" t="e">
        <f ca="1"/>
        <v>#N/A</v>
      </c>
      <c r="Q110" s="17" t="e">
        <f ca="1"/>
        <v>#N/A</v>
      </c>
      <c r="R110" s="23" t="e">
        <f ca="1"/>
        <v>#N/A</v>
      </c>
      <c r="S110" s="23">
        <f t="shared" ca="1" si="50"/>
        <v>0</v>
      </c>
      <c r="T110" t="b">
        <f t="shared" ca="1" si="47"/>
        <v>1</v>
      </c>
      <c r="U110" s="22" t="e">
        <f t="shared" ca="1" si="43"/>
        <v>#N/A</v>
      </c>
      <c r="V110">
        <f t="shared" ca="1" si="44"/>
        <v>0</v>
      </c>
    </row>
    <row r="111" spans="2:22">
      <c r="B111">
        <f t="shared" si="48"/>
        <v>101</v>
      </c>
      <c r="C111" s="22" t="e">
        <f ca="1"/>
        <v>#N/A</v>
      </c>
      <c r="D111" s="17" t="e">
        <f ca="1"/>
        <v>#N/A</v>
      </c>
      <c r="E111" s="17" t="e">
        <f ca="1"/>
        <v>#N/A</v>
      </c>
      <c r="F111" s="23" t="e">
        <f ca="1"/>
        <v>#N/A</v>
      </c>
      <c r="G111" s="23">
        <f t="shared" ca="1" si="49"/>
        <v>0</v>
      </c>
      <c r="H111" t="b">
        <f t="shared" ca="1" si="45"/>
        <v>1</v>
      </c>
      <c r="I111" s="22" t="e">
        <f t="shared" ca="1" si="40"/>
        <v>#N/A</v>
      </c>
      <c r="J111">
        <f t="shared" ca="1" si="41"/>
        <v>0</v>
      </c>
      <c r="K111" t="e">
        <f t="shared" ca="1" si="46"/>
        <v>#N/A</v>
      </c>
      <c r="O111" s="22" t="e">
        <f t="shared" ca="1" si="42"/>
        <v>#N/A</v>
      </c>
      <c r="P111" s="17" t="e">
        <f ca="1"/>
        <v>#N/A</v>
      </c>
      <c r="Q111" s="17" t="e">
        <f ca="1"/>
        <v>#N/A</v>
      </c>
      <c r="R111" s="23" t="e">
        <f ca="1"/>
        <v>#N/A</v>
      </c>
      <c r="S111" s="23">
        <f t="shared" ca="1" si="50"/>
        <v>0</v>
      </c>
      <c r="T111" t="b">
        <f t="shared" ca="1" si="47"/>
        <v>1</v>
      </c>
      <c r="U111" s="22" t="e">
        <f t="shared" ca="1" si="43"/>
        <v>#N/A</v>
      </c>
      <c r="V111">
        <f t="shared" ca="1" si="44"/>
        <v>0</v>
      </c>
    </row>
    <row r="112" spans="2:22">
      <c r="B112">
        <f t="shared" si="48"/>
        <v>102</v>
      </c>
      <c r="C112" s="22" t="e">
        <f ca="1"/>
        <v>#N/A</v>
      </c>
      <c r="D112" s="17" t="e">
        <f ca="1"/>
        <v>#N/A</v>
      </c>
      <c r="E112" s="17" t="e">
        <f ca="1"/>
        <v>#N/A</v>
      </c>
      <c r="F112" s="23" t="e">
        <f ca="1"/>
        <v>#N/A</v>
      </c>
      <c r="G112" s="23">
        <f t="shared" ca="1" si="49"/>
        <v>0</v>
      </c>
      <c r="H112" t="b">
        <f t="shared" ca="1" si="45"/>
        <v>1</v>
      </c>
      <c r="I112" s="22" t="e">
        <f t="shared" ca="1" si="40"/>
        <v>#N/A</v>
      </c>
      <c r="J112">
        <f t="shared" ca="1" si="41"/>
        <v>0</v>
      </c>
      <c r="K112" t="e">
        <f t="shared" ca="1" si="46"/>
        <v>#N/A</v>
      </c>
      <c r="O112" s="22" t="e">
        <f t="shared" ca="1" si="42"/>
        <v>#N/A</v>
      </c>
      <c r="P112" s="17" t="e">
        <f ca="1"/>
        <v>#N/A</v>
      </c>
      <c r="Q112" s="17" t="e">
        <f ca="1"/>
        <v>#N/A</v>
      </c>
      <c r="R112" s="23" t="e">
        <f ca="1"/>
        <v>#N/A</v>
      </c>
      <c r="S112" s="23">
        <f t="shared" ca="1" si="50"/>
        <v>0</v>
      </c>
      <c r="T112" t="b">
        <f t="shared" ca="1" si="47"/>
        <v>1</v>
      </c>
      <c r="U112" s="22" t="e">
        <f t="shared" ca="1" si="43"/>
        <v>#N/A</v>
      </c>
      <c r="V112">
        <f t="shared" ca="1" si="44"/>
        <v>0</v>
      </c>
    </row>
    <row r="113" spans="2:22">
      <c r="B113">
        <f t="shared" si="48"/>
        <v>103</v>
      </c>
      <c r="C113" s="22" t="e">
        <f ca="1"/>
        <v>#N/A</v>
      </c>
      <c r="D113" s="17" t="e">
        <f ca="1"/>
        <v>#N/A</v>
      </c>
      <c r="E113" s="17" t="e">
        <f ca="1"/>
        <v>#N/A</v>
      </c>
      <c r="F113" s="23" t="e">
        <f ca="1"/>
        <v>#N/A</v>
      </c>
      <c r="G113" s="23">
        <f t="shared" ca="1" si="49"/>
        <v>0</v>
      </c>
      <c r="H113" t="b">
        <f t="shared" ca="1" si="45"/>
        <v>1</v>
      </c>
      <c r="I113" s="22" t="e">
        <f t="shared" ca="1" si="40"/>
        <v>#N/A</v>
      </c>
      <c r="J113">
        <f t="shared" ca="1" si="41"/>
        <v>0</v>
      </c>
      <c r="K113" t="e">
        <f t="shared" ca="1" si="46"/>
        <v>#N/A</v>
      </c>
      <c r="O113" s="22" t="e">
        <f t="shared" ca="1" si="42"/>
        <v>#N/A</v>
      </c>
      <c r="P113" s="17" t="e">
        <f ca="1"/>
        <v>#N/A</v>
      </c>
      <c r="Q113" s="17" t="e">
        <f ca="1"/>
        <v>#N/A</v>
      </c>
      <c r="R113" s="23" t="e">
        <f ca="1"/>
        <v>#N/A</v>
      </c>
      <c r="S113" s="23">
        <f t="shared" ca="1" si="50"/>
        <v>0</v>
      </c>
      <c r="T113" t="b">
        <f t="shared" ca="1" si="47"/>
        <v>1</v>
      </c>
      <c r="U113" s="22" t="e">
        <f t="shared" ca="1" si="43"/>
        <v>#N/A</v>
      </c>
      <c r="V113">
        <f t="shared" ca="1" si="44"/>
        <v>0</v>
      </c>
    </row>
    <row r="114" spans="2:22">
      <c r="B114">
        <f t="shared" si="48"/>
        <v>104</v>
      </c>
      <c r="C114" s="22" t="e">
        <f ca="1"/>
        <v>#N/A</v>
      </c>
      <c r="D114" s="17" t="e">
        <f ca="1"/>
        <v>#N/A</v>
      </c>
      <c r="E114" s="17" t="e">
        <f ca="1"/>
        <v>#N/A</v>
      </c>
      <c r="F114" s="23" t="e">
        <f ca="1"/>
        <v>#N/A</v>
      </c>
      <c r="G114" s="23">
        <f t="shared" ca="1" si="49"/>
        <v>0</v>
      </c>
      <c r="H114" t="b">
        <f t="shared" ca="1" si="45"/>
        <v>1</v>
      </c>
      <c r="I114" s="22" t="e">
        <f t="shared" ca="1" si="40"/>
        <v>#N/A</v>
      </c>
      <c r="J114">
        <f t="shared" ca="1" si="41"/>
        <v>0</v>
      </c>
      <c r="K114" t="e">
        <f t="shared" ca="1" si="46"/>
        <v>#N/A</v>
      </c>
      <c r="O114" s="22" t="e">
        <f t="shared" ca="1" si="42"/>
        <v>#N/A</v>
      </c>
      <c r="P114" s="17" t="e">
        <f ca="1"/>
        <v>#N/A</v>
      </c>
      <c r="Q114" s="17" t="e">
        <f ca="1"/>
        <v>#N/A</v>
      </c>
      <c r="R114" s="23" t="e">
        <f ca="1"/>
        <v>#N/A</v>
      </c>
      <c r="S114" s="23">
        <f t="shared" ca="1" si="50"/>
        <v>0</v>
      </c>
      <c r="T114" t="b">
        <f t="shared" ca="1" si="47"/>
        <v>1</v>
      </c>
      <c r="U114" s="22" t="e">
        <f t="shared" ca="1" si="43"/>
        <v>#N/A</v>
      </c>
      <c r="V114">
        <f t="shared" ca="1" si="44"/>
        <v>0</v>
      </c>
    </row>
    <row r="115" spans="2:22">
      <c r="B115">
        <f t="shared" si="48"/>
        <v>105</v>
      </c>
      <c r="C115" s="22" t="e">
        <f ca="1"/>
        <v>#N/A</v>
      </c>
      <c r="D115" s="17" t="e">
        <f ca="1"/>
        <v>#N/A</v>
      </c>
      <c r="E115" s="17" t="e">
        <f ca="1"/>
        <v>#N/A</v>
      </c>
      <c r="F115" s="23" t="e">
        <f ca="1"/>
        <v>#N/A</v>
      </c>
      <c r="G115" s="23">
        <f t="shared" ca="1" si="49"/>
        <v>0</v>
      </c>
      <c r="H115" t="b">
        <f t="shared" ca="1" si="45"/>
        <v>1</v>
      </c>
      <c r="I115" s="22" t="e">
        <f t="shared" ca="1" si="40"/>
        <v>#N/A</v>
      </c>
      <c r="J115">
        <f t="shared" ca="1" si="41"/>
        <v>0</v>
      </c>
      <c r="K115" t="e">
        <f t="shared" ca="1" si="46"/>
        <v>#N/A</v>
      </c>
      <c r="O115" s="22" t="e">
        <f t="shared" ca="1" si="42"/>
        <v>#N/A</v>
      </c>
      <c r="P115" s="17" t="e">
        <f ca="1"/>
        <v>#N/A</v>
      </c>
      <c r="Q115" s="17" t="e">
        <f ca="1"/>
        <v>#N/A</v>
      </c>
      <c r="R115" s="23" t="e">
        <f ca="1"/>
        <v>#N/A</v>
      </c>
      <c r="S115" s="23">
        <f t="shared" ca="1" si="50"/>
        <v>0</v>
      </c>
      <c r="T115" t="b">
        <f t="shared" ca="1" si="47"/>
        <v>1</v>
      </c>
      <c r="U115" s="22" t="e">
        <f t="shared" ca="1" si="43"/>
        <v>#N/A</v>
      </c>
      <c r="V115">
        <f t="shared" ca="1" si="44"/>
        <v>0</v>
      </c>
    </row>
    <row r="116" spans="2:22">
      <c r="B116">
        <f t="shared" si="48"/>
        <v>106</v>
      </c>
      <c r="C116" s="22" t="e">
        <f ca="1"/>
        <v>#N/A</v>
      </c>
      <c r="D116" s="17" t="e">
        <f ca="1"/>
        <v>#N/A</v>
      </c>
      <c r="E116" s="17" t="e">
        <f ca="1"/>
        <v>#N/A</v>
      </c>
      <c r="F116" s="23" t="e">
        <f ca="1"/>
        <v>#N/A</v>
      </c>
      <c r="G116" s="23">
        <f t="shared" ca="1" si="49"/>
        <v>0</v>
      </c>
      <c r="H116" t="b">
        <f t="shared" ca="1" si="45"/>
        <v>1</v>
      </c>
      <c r="I116" s="22" t="e">
        <f t="shared" ca="1" si="40"/>
        <v>#N/A</v>
      </c>
      <c r="J116">
        <f t="shared" ca="1" si="41"/>
        <v>0</v>
      </c>
      <c r="K116" t="e">
        <f t="shared" ca="1" si="46"/>
        <v>#N/A</v>
      </c>
      <c r="O116" s="22" t="e">
        <f t="shared" ca="1" si="42"/>
        <v>#N/A</v>
      </c>
      <c r="P116" s="17" t="e">
        <f ca="1"/>
        <v>#N/A</v>
      </c>
      <c r="Q116" s="17" t="e">
        <f ca="1"/>
        <v>#N/A</v>
      </c>
      <c r="R116" s="23" t="e">
        <f ca="1"/>
        <v>#N/A</v>
      </c>
      <c r="S116" s="23">
        <f t="shared" ca="1" si="50"/>
        <v>0</v>
      </c>
      <c r="T116" t="b">
        <f t="shared" ca="1" si="47"/>
        <v>1</v>
      </c>
      <c r="U116" s="22" t="e">
        <f t="shared" ca="1" si="43"/>
        <v>#N/A</v>
      </c>
      <c r="V116">
        <f t="shared" ca="1" si="44"/>
        <v>0</v>
      </c>
    </row>
    <row r="117" spans="2:22">
      <c r="B117">
        <f t="shared" si="48"/>
        <v>107</v>
      </c>
      <c r="C117" s="22" t="e">
        <f ca="1"/>
        <v>#N/A</v>
      </c>
      <c r="D117" s="17" t="e">
        <f ca="1"/>
        <v>#N/A</v>
      </c>
      <c r="E117" s="17" t="e">
        <f ca="1"/>
        <v>#N/A</v>
      </c>
      <c r="F117" s="23" t="e">
        <f ca="1"/>
        <v>#N/A</v>
      </c>
      <c r="G117" s="23">
        <f t="shared" ca="1" si="49"/>
        <v>0</v>
      </c>
      <c r="H117" t="b">
        <f t="shared" ca="1" si="45"/>
        <v>1</v>
      </c>
      <c r="I117" s="22" t="e">
        <f t="shared" ca="1" si="40"/>
        <v>#N/A</v>
      </c>
      <c r="J117">
        <f t="shared" ca="1" si="41"/>
        <v>0</v>
      </c>
      <c r="K117" t="e">
        <f t="shared" ca="1" si="46"/>
        <v>#N/A</v>
      </c>
      <c r="O117" s="22" t="e">
        <f t="shared" ca="1" si="42"/>
        <v>#N/A</v>
      </c>
      <c r="P117" s="17" t="e">
        <f ca="1"/>
        <v>#N/A</v>
      </c>
      <c r="Q117" s="17" t="e">
        <f ca="1"/>
        <v>#N/A</v>
      </c>
      <c r="R117" s="23" t="e">
        <f ca="1"/>
        <v>#N/A</v>
      </c>
      <c r="S117" s="23">
        <f t="shared" ca="1" si="50"/>
        <v>0</v>
      </c>
      <c r="T117" t="b">
        <f t="shared" ca="1" si="47"/>
        <v>1</v>
      </c>
      <c r="U117" s="22" t="e">
        <f t="shared" ca="1" si="43"/>
        <v>#N/A</v>
      </c>
      <c r="V117">
        <f t="shared" ca="1" si="44"/>
        <v>0</v>
      </c>
    </row>
    <row r="118" spans="2:22">
      <c r="B118">
        <f t="shared" si="48"/>
        <v>108</v>
      </c>
      <c r="C118" s="22" t="e">
        <f ca="1"/>
        <v>#N/A</v>
      </c>
      <c r="D118" s="17" t="e">
        <f ca="1"/>
        <v>#N/A</v>
      </c>
      <c r="E118" s="17" t="e">
        <f ca="1"/>
        <v>#N/A</v>
      </c>
      <c r="F118" s="23" t="e">
        <f ca="1"/>
        <v>#N/A</v>
      </c>
      <c r="G118" s="23">
        <f t="shared" ca="1" si="49"/>
        <v>0</v>
      </c>
      <c r="H118" t="b">
        <f t="shared" ca="1" si="45"/>
        <v>1</v>
      </c>
      <c r="I118" s="22" t="e">
        <f t="shared" ca="1" si="40"/>
        <v>#N/A</v>
      </c>
      <c r="J118">
        <f t="shared" ca="1" si="41"/>
        <v>0</v>
      </c>
      <c r="K118" t="e">
        <f t="shared" ca="1" si="46"/>
        <v>#N/A</v>
      </c>
      <c r="O118" s="22" t="e">
        <f t="shared" ca="1" si="42"/>
        <v>#N/A</v>
      </c>
      <c r="P118" s="17" t="e">
        <f ca="1"/>
        <v>#N/A</v>
      </c>
      <c r="Q118" s="17" t="e">
        <f ca="1"/>
        <v>#N/A</v>
      </c>
      <c r="R118" s="23" t="e">
        <f ca="1"/>
        <v>#N/A</v>
      </c>
      <c r="S118" s="23">
        <f t="shared" ca="1" si="50"/>
        <v>0</v>
      </c>
      <c r="T118" t="b">
        <f t="shared" ca="1" si="47"/>
        <v>1</v>
      </c>
      <c r="U118" s="22" t="e">
        <f t="shared" ca="1" si="43"/>
        <v>#N/A</v>
      </c>
      <c r="V118">
        <f t="shared" ca="1" si="44"/>
        <v>0</v>
      </c>
    </row>
    <row r="119" spans="2:22">
      <c r="B119">
        <f t="shared" si="48"/>
        <v>109</v>
      </c>
      <c r="C119" s="22" t="e">
        <f ca="1"/>
        <v>#N/A</v>
      </c>
      <c r="D119" s="17" t="e">
        <f ca="1"/>
        <v>#N/A</v>
      </c>
      <c r="E119" s="17" t="e">
        <f ca="1"/>
        <v>#N/A</v>
      </c>
      <c r="F119" s="23" t="e">
        <f ca="1"/>
        <v>#N/A</v>
      </c>
      <c r="G119" s="23">
        <f t="shared" ca="1" si="49"/>
        <v>0</v>
      </c>
      <c r="H119" t="b">
        <f t="shared" ca="1" si="45"/>
        <v>1</v>
      </c>
      <c r="I119" s="22" t="e">
        <f t="shared" ca="1" si="40"/>
        <v>#N/A</v>
      </c>
      <c r="J119">
        <f t="shared" ca="1" si="41"/>
        <v>0</v>
      </c>
      <c r="K119" t="e">
        <f t="shared" ca="1" si="46"/>
        <v>#N/A</v>
      </c>
      <c r="O119" s="22" t="e">
        <f t="shared" ca="1" si="42"/>
        <v>#N/A</v>
      </c>
      <c r="P119" s="17" t="e">
        <f ca="1"/>
        <v>#N/A</v>
      </c>
      <c r="Q119" s="17" t="e">
        <f ca="1"/>
        <v>#N/A</v>
      </c>
      <c r="R119" s="23" t="e">
        <f ca="1"/>
        <v>#N/A</v>
      </c>
      <c r="S119" s="23">
        <f t="shared" ca="1" si="50"/>
        <v>0</v>
      </c>
      <c r="T119" t="b">
        <f t="shared" ca="1" si="47"/>
        <v>1</v>
      </c>
      <c r="U119" s="22" t="e">
        <f t="shared" ca="1" si="43"/>
        <v>#N/A</v>
      </c>
      <c r="V119">
        <f t="shared" ca="1" si="44"/>
        <v>0</v>
      </c>
    </row>
    <row r="120" spans="2:22">
      <c r="B120">
        <f t="shared" si="48"/>
        <v>110</v>
      </c>
      <c r="C120" s="22" t="e">
        <f ca="1"/>
        <v>#N/A</v>
      </c>
      <c r="D120" s="17" t="e">
        <f ca="1"/>
        <v>#N/A</v>
      </c>
      <c r="E120" s="17" t="e">
        <f ca="1"/>
        <v>#N/A</v>
      </c>
      <c r="F120" s="23" t="e">
        <f ca="1"/>
        <v>#N/A</v>
      </c>
      <c r="G120" s="23">
        <f t="shared" ca="1" si="49"/>
        <v>0</v>
      </c>
      <c r="H120" t="b">
        <f t="shared" ca="1" si="45"/>
        <v>1</v>
      </c>
      <c r="I120" s="22" t="e">
        <f t="shared" ca="1" si="40"/>
        <v>#N/A</v>
      </c>
      <c r="J120">
        <f t="shared" ca="1" si="41"/>
        <v>0</v>
      </c>
      <c r="K120" t="e">
        <f t="shared" ca="1" si="46"/>
        <v>#N/A</v>
      </c>
      <c r="O120" s="22" t="e">
        <f t="shared" ca="1" si="42"/>
        <v>#N/A</v>
      </c>
      <c r="P120" s="17" t="e">
        <f ca="1"/>
        <v>#N/A</v>
      </c>
      <c r="Q120" s="17" t="e">
        <f ca="1"/>
        <v>#N/A</v>
      </c>
      <c r="R120" s="23" t="e">
        <f ca="1"/>
        <v>#N/A</v>
      </c>
      <c r="S120" s="23">
        <f t="shared" ca="1" si="50"/>
        <v>0</v>
      </c>
      <c r="T120" t="b">
        <f t="shared" ca="1" si="47"/>
        <v>1</v>
      </c>
      <c r="U120" s="22" t="e">
        <f t="shared" ca="1" si="43"/>
        <v>#N/A</v>
      </c>
      <c r="V120">
        <f t="shared" ca="1" si="44"/>
        <v>0</v>
      </c>
    </row>
    <row r="121" spans="2:22">
      <c r="B121">
        <f t="shared" si="48"/>
        <v>111</v>
      </c>
      <c r="C121" s="22" t="e">
        <f ca="1"/>
        <v>#N/A</v>
      </c>
      <c r="D121" s="17" t="e">
        <f ca="1"/>
        <v>#N/A</v>
      </c>
      <c r="E121" s="17" t="e">
        <f ca="1"/>
        <v>#N/A</v>
      </c>
      <c r="F121" s="23" t="e">
        <f ca="1"/>
        <v>#N/A</v>
      </c>
      <c r="G121" s="23">
        <f t="shared" ca="1" si="49"/>
        <v>0</v>
      </c>
      <c r="H121" t="b">
        <f t="shared" ca="1" si="45"/>
        <v>1</v>
      </c>
      <c r="I121" s="22" t="e">
        <f t="shared" ca="1" si="40"/>
        <v>#N/A</v>
      </c>
      <c r="J121">
        <f t="shared" ca="1" si="41"/>
        <v>0</v>
      </c>
      <c r="K121" t="e">
        <f t="shared" ca="1" si="46"/>
        <v>#N/A</v>
      </c>
      <c r="O121" s="22" t="e">
        <f t="shared" ca="1" si="42"/>
        <v>#N/A</v>
      </c>
      <c r="P121" s="17" t="e">
        <f ca="1"/>
        <v>#N/A</v>
      </c>
      <c r="Q121" s="17" t="e">
        <f ca="1"/>
        <v>#N/A</v>
      </c>
      <c r="R121" s="23" t="e">
        <f ca="1"/>
        <v>#N/A</v>
      </c>
      <c r="S121" s="23">
        <f t="shared" ca="1" si="50"/>
        <v>0</v>
      </c>
      <c r="T121" t="b">
        <f t="shared" ca="1" si="47"/>
        <v>1</v>
      </c>
      <c r="U121" s="22" t="e">
        <f t="shared" ca="1" si="43"/>
        <v>#N/A</v>
      </c>
      <c r="V121">
        <f t="shared" ca="1" si="44"/>
        <v>0</v>
      </c>
    </row>
    <row r="122" spans="2:22">
      <c r="B122">
        <f t="shared" si="48"/>
        <v>112</v>
      </c>
      <c r="C122" s="22" t="e">
        <f ca="1"/>
        <v>#N/A</v>
      </c>
      <c r="D122" s="17" t="e">
        <f ca="1"/>
        <v>#N/A</v>
      </c>
      <c r="E122" s="17" t="e">
        <f ca="1"/>
        <v>#N/A</v>
      </c>
      <c r="F122" s="23" t="e">
        <f ca="1"/>
        <v>#N/A</v>
      </c>
      <c r="G122" s="23">
        <f t="shared" ca="1" si="49"/>
        <v>0</v>
      </c>
      <c r="H122" t="b">
        <f t="shared" ca="1" si="45"/>
        <v>1</v>
      </c>
      <c r="I122" s="22" t="e">
        <f t="shared" ca="1" si="40"/>
        <v>#N/A</v>
      </c>
      <c r="J122">
        <f t="shared" ca="1" si="41"/>
        <v>0</v>
      </c>
      <c r="K122" t="e">
        <f t="shared" ca="1" si="46"/>
        <v>#N/A</v>
      </c>
      <c r="O122" s="22" t="e">
        <f t="shared" ca="1" si="42"/>
        <v>#N/A</v>
      </c>
      <c r="P122" s="17" t="e">
        <f ca="1"/>
        <v>#N/A</v>
      </c>
      <c r="Q122" s="17" t="e">
        <f ca="1"/>
        <v>#N/A</v>
      </c>
      <c r="R122" s="23" t="e">
        <f ca="1"/>
        <v>#N/A</v>
      </c>
      <c r="S122" s="23">
        <f t="shared" ca="1" si="50"/>
        <v>0</v>
      </c>
      <c r="T122" t="b">
        <f t="shared" ca="1" si="47"/>
        <v>1</v>
      </c>
      <c r="U122" s="22" t="e">
        <f t="shared" ca="1" si="43"/>
        <v>#N/A</v>
      </c>
      <c r="V122">
        <f t="shared" ca="1" si="44"/>
        <v>0</v>
      </c>
    </row>
    <row r="123" spans="2:22">
      <c r="B123">
        <f t="shared" si="48"/>
        <v>113</v>
      </c>
      <c r="C123" s="22" t="e">
        <f ca="1"/>
        <v>#N/A</v>
      </c>
      <c r="D123" s="17" t="e">
        <f ca="1"/>
        <v>#N/A</v>
      </c>
      <c r="E123" s="17" t="e">
        <f ca="1"/>
        <v>#N/A</v>
      </c>
      <c r="F123" s="23" t="e">
        <f ca="1"/>
        <v>#N/A</v>
      </c>
      <c r="G123" s="23">
        <f t="shared" ca="1" si="49"/>
        <v>0</v>
      </c>
      <c r="H123" t="b">
        <f t="shared" ca="1" si="45"/>
        <v>1</v>
      </c>
      <c r="I123" s="22" t="e">
        <f t="shared" ca="1" si="40"/>
        <v>#N/A</v>
      </c>
      <c r="J123">
        <f t="shared" ca="1" si="41"/>
        <v>0</v>
      </c>
      <c r="K123" t="e">
        <f t="shared" ca="1" si="46"/>
        <v>#N/A</v>
      </c>
      <c r="O123" s="22" t="e">
        <f t="shared" ca="1" si="42"/>
        <v>#N/A</v>
      </c>
      <c r="P123" s="17" t="e">
        <f ca="1"/>
        <v>#N/A</v>
      </c>
      <c r="Q123" s="17" t="e">
        <f ca="1"/>
        <v>#N/A</v>
      </c>
      <c r="R123" s="23" t="e">
        <f ca="1"/>
        <v>#N/A</v>
      </c>
      <c r="S123" s="23">
        <f t="shared" ca="1" si="50"/>
        <v>0</v>
      </c>
      <c r="T123" t="b">
        <f t="shared" ca="1" si="47"/>
        <v>1</v>
      </c>
      <c r="U123" s="22" t="e">
        <f t="shared" ca="1" si="43"/>
        <v>#N/A</v>
      </c>
      <c r="V123">
        <f t="shared" ca="1" si="44"/>
        <v>0</v>
      </c>
    </row>
    <row r="124" spans="2:22">
      <c r="B124">
        <f t="shared" si="48"/>
        <v>114</v>
      </c>
      <c r="C124" s="22" t="e">
        <f ca="1"/>
        <v>#N/A</v>
      </c>
      <c r="D124" s="17" t="e">
        <f ca="1"/>
        <v>#N/A</v>
      </c>
      <c r="E124" s="17" t="e">
        <f ca="1"/>
        <v>#N/A</v>
      </c>
      <c r="F124" s="23" t="e">
        <f ca="1"/>
        <v>#N/A</v>
      </c>
      <c r="G124" s="23">
        <f t="shared" ca="1" si="49"/>
        <v>0</v>
      </c>
      <c r="H124" t="b">
        <f t="shared" ca="1" si="45"/>
        <v>1</v>
      </c>
      <c r="I124" s="22" t="e">
        <f t="shared" ca="1" si="40"/>
        <v>#N/A</v>
      </c>
      <c r="J124">
        <f t="shared" ca="1" si="41"/>
        <v>0</v>
      </c>
      <c r="K124" t="e">
        <f t="shared" ca="1" si="46"/>
        <v>#N/A</v>
      </c>
      <c r="O124" s="22" t="e">
        <f t="shared" ca="1" si="42"/>
        <v>#N/A</v>
      </c>
      <c r="P124" s="17" t="e">
        <f ca="1"/>
        <v>#N/A</v>
      </c>
      <c r="Q124" s="17" t="e">
        <f ca="1"/>
        <v>#N/A</v>
      </c>
      <c r="R124" s="23" t="e">
        <f ca="1"/>
        <v>#N/A</v>
      </c>
      <c r="S124" s="23">
        <f t="shared" ca="1" si="50"/>
        <v>0</v>
      </c>
      <c r="T124" t="b">
        <f t="shared" ca="1" si="47"/>
        <v>1</v>
      </c>
      <c r="U124" s="22" t="e">
        <f t="shared" ca="1" si="43"/>
        <v>#N/A</v>
      </c>
      <c r="V124">
        <f t="shared" ca="1" si="44"/>
        <v>0</v>
      </c>
    </row>
    <row r="125" spans="2:22">
      <c r="B125">
        <f t="shared" si="48"/>
        <v>115</v>
      </c>
      <c r="C125" s="22" t="e">
        <f ca="1"/>
        <v>#N/A</v>
      </c>
      <c r="D125" s="17" t="e">
        <f ca="1"/>
        <v>#N/A</v>
      </c>
      <c r="E125" s="17" t="e">
        <f ca="1"/>
        <v>#N/A</v>
      </c>
      <c r="F125" s="23" t="e">
        <f ca="1"/>
        <v>#N/A</v>
      </c>
      <c r="G125" s="23">
        <f t="shared" ca="1" si="49"/>
        <v>0</v>
      </c>
      <c r="H125" t="b">
        <f t="shared" ca="1" si="45"/>
        <v>1</v>
      </c>
      <c r="I125" s="22" t="e">
        <f t="shared" ca="1" si="40"/>
        <v>#N/A</v>
      </c>
      <c r="J125">
        <f t="shared" ca="1" si="41"/>
        <v>0</v>
      </c>
      <c r="K125" t="e">
        <f t="shared" ca="1" si="46"/>
        <v>#N/A</v>
      </c>
      <c r="O125" s="22" t="e">
        <f t="shared" ca="1" si="42"/>
        <v>#N/A</v>
      </c>
      <c r="P125" s="17" t="e">
        <f ca="1"/>
        <v>#N/A</v>
      </c>
      <c r="Q125" s="17" t="e">
        <f ca="1"/>
        <v>#N/A</v>
      </c>
      <c r="R125" s="23" t="e">
        <f ca="1"/>
        <v>#N/A</v>
      </c>
      <c r="S125" s="23">
        <f t="shared" ca="1" si="50"/>
        <v>0</v>
      </c>
      <c r="T125" t="b">
        <f t="shared" ca="1" si="47"/>
        <v>1</v>
      </c>
      <c r="U125" s="22" t="e">
        <f t="shared" ca="1" si="43"/>
        <v>#N/A</v>
      </c>
      <c r="V125">
        <f t="shared" ca="1" si="44"/>
        <v>0</v>
      </c>
    </row>
    <row r="126" spans="2:22">
      <c r="B126">
        <f t="shared" si="48"/>
        <v>116</v>
      </c>
      <c r="C126" s="22" t="e">
        <f ca="1"/>
        <v>#N/A</v>
      </c>
      <c r="D126" s="17" t="e">
        <f ca="1"/>
        <v>#N/A</v>
      </c>
      <c r="E126" s="17" t="e">
        <f ca="1"/>
        <v>#N/A</v>
      </c>
      <c r="F126" s="23" t="e">
        <f ca="1"/>
        <v>#N/A</v>
      </c>
      <c r="G126" s="23">
        <f t="shared" ca="1" si="49"/>
        <v>0</v>
      </c>
      <c r="H126" t="b">
        <f t="shared" ca="1" si="45"/>
        <v>1</v>
      </c>
      <c r="I126" s="22" t="e">
        <f t="shared" ca="1" si="40"/>
        <v>#N/A</v>
      </c>
      <c r="J126">
        <f t="shared" ca="1" si="41"/>
        <v>0</v>
      </c>
      <c r="K126" t="e">
        <f t="shared" ca="1" si="46"/>
        <v>#N/A</v>
      </c>
      <c r="O126" s="22" t="e">
        <f t="shared" ca="1" si="42"/>
        <v>#N/A</v>
      </c>
      <c r="P126" s="17" t="e">
        <f ca="1"/>
        <v>#N/A</v>
      </c>
      <c r="Q126" s="17" t="e">
        <f ca="1"/>
        <v>#N/A</v>
      </c>
      <c r="R126" s="23" t="e">
        <f ca="1"/>
        <v>#N/A</v>
      </c>
      <c r="S126" s="23">
        <f t="shared" ca="1" si="50"/>
        <v>0</v>
      </c>
      <c r="T126" t="b">
        <f t="shared" ca="1" si="47"/>
        <v>1</v>
      </c>
      <c r="U126" s="22" t="e">
        <f t="shared" ca="1" si="43"/>
        <v>#N/A</v>
      </c>
      <c r="V126">
        <f t="shared" ca="1" si="44"/>
        <v>0</v>
      </c>
    </row>
    <row r="127" spans="2:22">
      <c r="B127">
        <f t="shared" si="48"/>
        <v>117</v>
      </c>
      <c r="C127" s="22" t="e">
        <f ca="1"/>
        <v>#N/A</v>
      </c>
      <c r="D127" s="17" t="e">
        <f ca="1"/>
        <v>#N/A</v>
      </c>
      <c r="E127" s="17" t="e">
        <f ca="1"/>
        <v>#N/A</v>
      </c>
      <c r="F127" s="23" t="e">
        <f ca="1"/>
        <v>#N/A</v>
      </c>
      <c r="G127" s="23">
        <f t="shared" ca="1" si="49"/>
        <v>0</v>
      </c>
      <c r="H127" t="b">
        <f t="shared" ca="1" si="45"/>
        <v>1</v>
      </c>
      <c r="I127" s="22" t="e">
        <f t="shared" ca="1" si="40"/>
        <v>#N/A</v>
      </c>
      <c r="J127">
        <f t="shared" ca="1" si="41"/>
        <v>0</v>
      </c>
      <c r="K127" t="e">
        <f t="shared" ca="1" si="46"/>
        <v>#N/A</v>
      </c>
      <c r="O127" s="22" t="e">
        <f t="shared" ca="1" si="42"/>
        <v>#N/A</v>
      </c>
      <c r="P127" s="17" t="e">
        <f ca="1"/>
        <v>#N/A</v>
      </c>
      <c r="Q127" s="17" t="e">
        <f ca="1"/>
        <v>#N/A</v>
      </c>
      <c r="R127" s="23" t="e">
        <f ca="1"/>
        <v>#N/A</v>
      </c>
      <c r="S127" s="23">
        <f t="shared" ca="1" si="50"/>
        <v>0</v>
      </c>
      <c r="T127" t="b">
        <f t="shared" ca="1" si="47"/>
        <v>1</v>
      </c>
      <c r="U127" s="22" t="e">
        <f t="shared" ca="1" si="43"/>
        <v>#N/A</v>
      </c>
      <c r="V127">
        <f t="shared" ca="1" si="44"/>
        <v>0</v>
      </c>
    </row>
    <row r="128" spans="2:22">
      <c r="B128">
        <f t="shared" si="48"/>
        <v>118</v>
      </c>
      <c r="C128" s="22" t="e">
        <f ca="1"/>
        <v>#N/A</v>
      </c>
      <c r="D128" s="17" t="e">
        <f ca="1"/>
        <v>#N/A</v>
      </c>
      <c r="E128" s="17" t="e">
        <f ca="1"/>
        <v>#N/A</v>
      </c>
      <c r="F128" s="23" t="e">
        <f ca="1"/>
        <v>#N/A</v>
      </c>
      <c r="G128" s="23">
        <f t="shared" ca="1" si="49"/>
        <v>0</v>
      </c>
      <c r="H128" t="b">
        <f t="shared" ca="1" si="45"/>
        <v>1</v>
      </c>
      <c r="I128" s="22" t="e">
        <f t="shared" ca="1" si="40"/>
        <v>#N/A</v>
      </c>
      <c r="J128">
        <f t="shared" ca="1" si="41"/>
        <v>0</v>
      </c>
      <c r="K128" t="e">
        <f t="shared" ca="1" si="46"/>
        <v>#N/A</v>
      </c>
      <c r="O128" s="22" t="e">
        <f t="shared" ca="1" si="42"/>
        <v>#N/A</v>
      </c>
      <c r="P128" s="17" t="e">
        <f ca="1"/>
        <v>#N/A</v>
      </c>
      <c r="Q128" s="17" t="e">
        <f ca="1"/>
        <v>#N/A</v>
      </c>
      <c r="R128" s="23" t="e">
        <f ca="1"/>
        <v>#N/A</v>
      </c>
      <c r="S128" s="23">
        <f t="shared" ca="1" si="50"/>
        <v>0</v>
      </c>
      <c r="T128" t="b">
        <f t="shared" ca="1" si="47"/>
        <v>1</v>
      </c>
      <c r="U128" s="22" t="e">
        <f t="shared" ca="1" si="43"/>
        <v>#N/A</v>
      </c>
      <c r="V128">
        <f t="shared" ca="1" si="44"/>
        <v>0</v>
      </c>
    </row>
    <row r="129" spans="2:22">
      <c r="B129">
        <f t="shared" si="48"/>
        <v>119</v>
      </c>
      <c r="C129" s="22" t="e">
        <f ca="1"/>
        <v>#N/A</v>
      </c>
      <c r="D129" s="17" t="e">
        <f ca="1"/>
        <v>#N/A</v>
      </c>
      <c r="E129" s="17" t="e">
        <f ca="1"/>
        <v>#N/A</v>
      </c>
      <c r="F129" s="23" t="e">
        <f ca="1"/>
        <v>#N/A</v>
      </c>
      <c r="G129" s="23">
        <f t="shared" ca="1" si="49"/>
        <v>0</v>
      </c>
      <c r="H129" t="b">
        <f t="shared" ca="1" si="45"/>
        <v>1</v>
      </c>
      <c r="I129" s="22" t="e">
        <f t="shared" ca="1" si="40"/>
        <v>#N/A</v>
      </c>
      <c r="J129">
        <f t="shared" ca="1" si="41"/>
        <v>0</v>
      </c>
      <c r="K129" t="e">
        <f t="shared" ca="1" si="46"/>
        <v>#N/A</v>
      </c>
      <c r="O129" s="22" t="e">
        <f t="shared" ca="1" si="42"/>
        <v>#N/A</v>
      </c>
      <c r="P129" s="17" t="e">
        <f ca="1"/>
        <v>#N/A</v>
      </c>
      <c r="Q129" s="17" t="e">
        <f ca="1"/>
        <v>#N/A</v>
      </c>
      <c r="R129" s="23" t="e">
        <f ca="1"/>
        <v>#N/A</v>
      </c>
      <c r="S129" s="23">
        <f t="shared" ca="1" si="50"/>
        <v>0</v>
      </c>
      <c r="T129" t="b">
        <f t="shared" ca="1" si="47"/>
        <v>1</v>
      </c>
      <c r="U129" s="22" t="e">
        <f t="shared" ca="1" si="43"/>
        <v>#N/A</v>
      </c>
      <c r="V129">
        <f t="shared" ca="1" si="44"/>
        <v>0</v>
      </c>
    </row>
    <row r="130" spans="2:22">
      <c r="B130">
        <f t="shared" si="48"/>
        <v>120</v>
      </c>
      <c r="C130" s="22" t="e">
        <f ca="1"/>
        <v>#N/A</v>
      </c>
      <c r="D130" s="17" t="e">
        <f ca="1"/>
        <v>#N/A</v>
      </c>
      <c r="E130" s="17" t="e">
        <f ca="1"/>
        <v>#N/A</v>
      </c>
      <c r="F130" s="23" t="e">
        <f ca="1"/>
        <v>#N/A</v>
      </c>
      <c r="G130" s="23">
        <f t="shared" ca="1" si="49"/>
        <v>0</v>
      </c>
      <c r="H130" t="b">
        <f t="shared" ca="1" si="45"/>
        <v>1</v>
      </c>
      <c r="I130" s="22" t="e">
        <f t="shared" ca="1" si="40"/>
        <v>#N/A</v>
      </c>
      <c r="J130">
        <f t="shared" ca="1" si="41"/>
        <v>0</v>
      </c>
      <c r="K130" t="e">
        <f t="shared" ca="1" si="46"/>
        <v>#N/A</v>
      </c>
      <c r="O130" s="22" t="e">
        <f t="shared" ca="1" si="42"/>
        <v>#N/A</v>
      </c>
      <c r="P130" s="17" t="e">
        <f ca="1"/>
        <v>#N/A</v>
      </c>
      <c r="Q130" s="17" t="e">
        <f ca="1"/>
        <v>#N/A</v>
      </c>
      <c r="R130" s="23" t="e">
        <f ca="1"/>
        <v>#N/A</v>
      </c>
      <c r="S130" s="23">
        <f t="shared" ca="1" si="50"/>
        <v>0</v>
      </c>
      <c r="T130" t="b">
        <f t="shared" ca="1" si="47"/>
        <v>1</v>
      </c>
      <c r="U130" s="22" t="e">
        <f t="shared" ca="1" si="43"/>
        <v>#N/A</v>
      </c>
      <c r="V130">
        <f t="shared" ca="1" si="44"/>
        <v>0</v>
      </c>
    </row>
    <row r="131" spans="2:22">
      <c r="B131">
        <f t="shared" si="48"/>
        <v>121</v>
      </c>
      <c r="C131" s="22" t="e">
        <f ca="1"/>
        <v>#N/A</v>
      </c>
      <c r="D131" s="17" t="e">
        <f ca="1"/>
        <v>#N/A</v>
      </c>
      <c r="E131" s="17" t="e">
        <f ca="1"/>
        <v>#N/A</v>
      </c>
      <c r="F131" s="23" t="e">
        <f ca="1"/>
        <v>#N/A</v>
      </c>
      <c r="G131" s="23">
        <f t="shared" ca="1" si="49"/>
        <v>0</v>
      </c>
      <c r="H131" t="b">
        <f t="shared" ca="1" si="45"/>
        <v>1</v>
      </c>
      <c r="I131" s="22" t="e">
        <f t="shared" ca="1" si="40"/>
        <v>#N/A</v>
      </c>
      <c r="J131">
        <f t="shared" ca="1" si="41"/>
        <v>0</v>
      </c>
      <c r="K131" t="e">
        <f t="shared" ca="1" si="46"/>
        <v>#N/A</v>
      </c>
      <c r="O131" s="22" t="e">
        <f t="shared" ca="1" si="42"/>
        <v>#N/A</v>
      </c>
      <c r="P131" s="17" t="e">
        <f ca="1"/>
        <v>#N/A</v>
      </c>
      <c r="Q131" s="17" t="e">
        <f ca="1"/>
        <v>#N/A</v>
      </c>
      <c r="R131" s="23" t="e">
        <f ca="1"/>
        <v>#N/A</v>
      </c>
      <c r="S131" s="23">
        <f t="shared" ca="1" si="50"/>
        <v>0</v>
      </c>
      <c r="T131" t="b">
        <f t="shared" ca="1" si="47"/>
        <v>1</v>
      </c>
      <c r="U131" s="22" t="e">
        <f t="shared" ca="1" si="43"/>
        <v>#N/A</v>
      </c>
      <c r="V131">
        <f t="shared" ca="1" si="44"/>
        <v>0</v>
      </c>
    </row>
    <row r="132" spans="2:22">
      <c r="B132">
        <f t="shared" si="48"/>
        <v>122</v>
      </c>
      <c r="C132" s="22" t="e">
        <f ca="1"/>
        <v>#N/A</v>
      </c>
      <c r="D132" s="17" t="e">
        <f ca="1"/>
        <v>#N/A</v>
      </c>
      <c r="E132" s="17" t="e">
        <f ca="1"/>
        <v>#N/A</v>
      </c>
      <c r="F132" s="23" t="e">
        <f ca="1"/>
        <v>#N/A</v>
      </c>
      <c r="G132" s="23">
        <f t="shared" ca="1" si="49"/>
        <v>0</v>
      </c>
      <c r="H132" t="b">
        <f t="shared" ca="1" si="45"/>
        <v>1</v>
      </c>
      <c r="I132" s="22" t="e">
        <f t="shared" ca="1" si="40"/>
        <v>#N/A</v>
      </c>
      <c r="J132">
        <f t="shared" ca="1" si="41"/>
        <v>0</v>
      </c>
      <c r="K132" t="e">
        <f t="shared" ca="1" si="46"/>
        <v>#N/A</v>
      </c>
      <c r="O132" s="22" t="e">
        <f t="shared" ca="1" si="42"/>
        <v>#N/A</v>
      </c>
      <c r="P132" s="17" t="e">
        <f ca="1"/>
        <v>#N/A</v>
      </c>
      <c r="Q132" s="17" t="e">
        <f ca="1"/>
        <v>#N/A</v>
      </c>
      <c r="R132" s="23" t="e">
        <f ca="1"/>
        <v>#N/A</v>
      </c>
      <c r="S132" s="23">
        <f t="shared" ca="1" si="50"/>
        <v>0</v>
      </c>
      <c r="T132" t="b">
        <f t="shared" ca="1" si="47"/>
        <v>1</v>
      </c>
      <c r="U132" s="22" t="e">
        <f t="shared" ca="1" si="43"/>
        <v>#N/A</v>
      </c>
      <c r="V132">
        <f t="shared" ca="1" si="44"/>
        <v>0</v>
      </c>
    </row>
    <row r="133" spans="2:22">
      <c r="B133">
        <f t="shared" si="48"/>
        <v>123</v>
      </c>
      <c r="C133" s="22" t="e">
        <f ca="1"/>
        <v>#N/A</v>
      </c>
      <c r="D133" s="17" t="e">
        <f ca="1"/>
        <v>#N/A</v>
      </c>
      <c r="E133" s="17" t="e">
        <f ca="1"/>
        <v>#N/A</v>
      </c>
      <c r="F133" s="23" t="e">
        <f ca="1"/>
        <v>#N/A</v>
      </c>
      <c r="G133" s="23">
        <f t="shared" ca="1" si="49"/>
        <v>0</v>
      </c>
      <c r="H133" t="b">
        <f t="shared" ca="1" si="45"/>
        <v>1</v>
      </c>
      <c r="I133" s="22" t="e">
        <f t="shared" ca="1" si="40"/>
        <v>#N/A</v>
      </c>
      <c r="J133">
        <f t="shared" ca="1" si="41"/>
        <v>0</v>
      </c>
      <c r="K133" t="e">
        <f t="shared" ca="1" si="46"/>
        <v>#N/A</v>
      </c>
      <c r="O133" s="22" t="e">
        <f t="shared" ca="1" si="42"/>
        <v>#N/A</v>
      </c>
      <c r="P133" s="17" t="e">
        <f ca="1"/>
        <v>#N/A</v>
      </c>
      <c r="Q133" s="17" t="e">
        <f ca="1"/>
        <v>#N/A</v>
      </c>
      <c r="R133" s="23" t="e">
        <f ca="1"/>
        <v>#N/A</v>
      </c>
      <c r="S133" s="23">
        <f t="shared" ca="1" si="50"/>
        <v>0</v>
      </c>
      <c r="T133" t="b">
        <f t="shared" ca="1" si="47"/>
        <v>1</v>
      </c>
      <c r="U133" s="22" t="e">
        <f t="shared" ca="1" si="43"/>
        <v>#N/A</v>
      </c>
      <c r="V133">
        <f t="shared" ca="1" si="44"/>
        <v>0</v>
      </c>
    </row>
    <row r="134" spans="2:22">
      <c r="B134">
        <f t="shared" si="48"/>
        <v>124</v>
      </c>
      <c r="C134" s="22" t="e">
        <f ca="1"/>
        <v>#N/A</v>
      </c>
      <c r="D134" s="17" t="e">
        <f ca="1"/>
        <v>#N/A</v>
      </c>
      <c r="E134" s="17" t="e">
        <f ca="1"/>
        <v>#N/A</v>
      </c>
      <c r="F134" s="23" t="e">
        <f ca="1"/>
        <v>#N/A</v>
      </c>
      <c r="G134" s="23">
        <f t="shared" ca="1" si="49"/>
        <v>0</v>
      </c>
      <c r="H134" t="b">
        <f t="shared" ca="1" si="45"/>
        <v>1</v>
      </c>
      <c r="I134" s="22" t="e">
        <f t="shared" ca="1" si="40"/>
        <v>#N/A</v>
      </c>
      <c r="J134">
        <f t="shared" ca="1" si="41"/>
        <v>0</v>
      </c>
      <c r="K134" t="e">
        <f t="shared" ca="1" si="46"/>
        <v>#N/A</v>
      </c>
      <c r="O134" s="22" t="e">
        <f t="shared" ca="1" si="42"/>
        <v>#N/A</v>
      </c>
      <c r="P134" s="17" t="e">
        <f ca="1"/>
        <v>#N/A</v>
      </c>
      <c r="Q134" s="17" t="e">
        <f ca="1"/>
        <v>#N/A</v>
      </c>
      <c r="R134" s="23" t="e">
        <f ca="1"/>
        <v>#N/A</v>
      </c>
      <c r="S134" s="23">
        <f t="shared" ca="1" si="50"/>
        <v>0</v>
      </c>
      <c r="T134" t="b">
        <f t="shared" ca="1" si="47"/>
        <v>1</v>
      </c>
      <c r="U134" s="22" t="e">
        <f t="shared" ca="1" si="43"/>
        <v>#N/A</v>
      </c>
      <c r="V134">
        <f t="shared" ca="1" si="44"/>
        <v>0</v>
      </c>
    </row>
    <row r="135" spans="2:22">
      <c r="B135">
        <f t="shared" si="48"/>
        <v>125</v>
      </c>
      <c r="C135" s="22" t="e">
        <f ca="1"/>
        <v>#N/A</v>
      </c>
      <c r="D135" s="17" t="e">
        <f ca="1"/>
        <v>#N/A</v>
      </c>
      <c r="E135" s="17" t="e">
        <f ca="1"/>
        <v>#N/A</v>
      </c>
      <c r="F135" s="23" t="e">
        <f ca="1"/>
        <v>#N/A</v>
      </c>
      <c r="G135" s="23">
        <f t="shared" ca="1" si="49"/>
        <v>0</v>
      </c>
      <c r="H135" t="b">
        <f t="shared" ca="1" si="45"/>
        <v>1</v>
      </c>
      <c r="I135" s="22" t="e">
        <f t="shared" ca="1" si="40"/>
        <v>#N/A</v>
      </c>
      <c r="J135">
        <f t="shared" ca="1" si="41"/>
        <v>0</v>
      </c>
      <c r="K135" t="e">
        <f t="shared" ca="1" si="46"/>
        <v>#N/A</v>
      </c>
      <c r="O135" s="22" t="e">
        <f t="shared" ca="1" si="42"/>
        <v>#N/A</v>
      </c>
      <c r="P135" s="17" t="e">
        <f ca="1"/>
        <v>#N/A</v>
      </c>
      <c r="Q135" s="17" t="e">
        <f ca="1"/>
        <v>#N/A</v>
      </c>
      <c r="R135" s="23" t="e">
        <f ca="1"/>
        <v>#N/A</v>
      </c>
      <c r="S135" s="23">
        <f t="shared" ca="1" si="50"/>
        <v>0</v>
      </c>
      <c r="T135" t="b">
        <f t="shared" ca="1" si="47"/>
        <v>1</v>
      </c>
      <c r="U135" s="22" t="e">
        <f t="shared" ca="1" si="43"/>
        <v>#N/A</v>
      </c>
      <c r="V135">
        <f t="shared" ca="1" si="44"/>
        <v>0</v>
      </c>
    </row>
    <row r="136" spans="2:22">
      <c r="B136">
        <f t="shared" si="48"/>
        <v>126</v>
      </c>
      <c r="C136" s="22" t="e">
        <f ca="1"/>
        <v>#N/A</v>
      </c>
      <c r="D136" s="17" t="e">
        <f ca="1"/>
        <v>#N/A</v>
      </c>
      <c r="E136" s="17" t="e">
        <f ca="1"/>
        <v>#N/A</v>
      </c>
      <c r="F136" s="23" t="e">
        <f ca="1"/>
        <v>#N/A</v>
      </c>
      <c r="G136" s="23">
        <f t="shared" ca="1" si="49"/>
        <v>0</v>
      </c>
      <c r="H136" t="b">
        <f t="shared" ca="1" si="45"/>
        <v>1</v>
      </c>
      <c r="I136" s="22" t="e">
        <f t="shared" ca="1" si="40"/>
        <v>#N/A</v>
      </c>
      <c r="J136">
        <f t="shared" ca="1" si="41"/>
        <v>0</v>
      </c>
      <c r="K136" t="e">
        <f t="shared" ca="1" si="46"/>
        <v>#N/A</v>
      </c>
      <c r="O136" s="22" t="e">
        <f t="shared" ca="1" si="42"/>
        <v>#N/A</v>
      </c>
      <c r="P136" s="17" t="e">
        <f ca="1"/>
        <v>#N/A</v>
      </c>
      <c r="Q136" s="17" t="e">
        <f ca="1"/>
        <v>#N/A</v>
      </c>
      <c r="R136" s="23" t="e">
        <f ca="1"/>
        <v>#N/A</v>
      </c>
      <c r="S136" s="23">
        <f t="shared" ca="1" si="50"/>
        <v>0</v>
      </c>
      <c r="T136" t="b">
        <f t="shared" ca="1" si="47"/>
        <v>1</v>
      </c>
      <c r="U136" s="22" t="e">
        <f t="shared" ca="1" si="43"/>
        <v>#N/A</v>
      </c>
      <c r="V136">
        <f t="shared" ca="1" si="44"/>
        <v>0</v>
      </c>
    </row>
    <row r="137" spans="2:22">
      <c r="B137">
        <f t="shared" si="48"/>
        <v>127</v>
      </c>
      <c r="C137" s="22" t="e">
        <f ca="1"/>
        <v>#N/A</v>
      </c>
      <c r="D137" s="17" t="e">
        <f ca="1"/>
        <v>#N/A</v>
      </c>
      <c r="E137" s="17" t="e">
        <f ca="1"/>
        <v>#N/A</v>
      </c>
      <c r="F137" s="23" t="e">
        <f ca="1"/>
        <v>#N/A</v>
      </c>
      <c r="G137" s="23">
        <f t="shared" ca="1" si="49"/>
        <v>0</v>
      </c>
      <c r="H137" t="b">
        <f t="shared" ca="1" si="45"/>
        <v>1</v>
      </c>
      <c r="I137" s="22" t="e">
        <f t="shared" ca="1" si="40"/>
        <v>#N/A</v>
      </c>
      <c r="J137">
        <f t="shared" ca="1" si="41"/>
        <v>0</v>
      </c>
      <c r="K137" t="e">
        <f t="shared" ca="1" si="46"/>
        <v>#N/A</v>
      </c>
      <c r="O137" s="22" t="e">
        <f t="shared" ca="1" si="42"/>
        <v>#N/A</v>
      </c>
      <c r="P137" s="17" t="e">
        <f ca="1"/>
        <v>#N/A</v>
      </c>
      <c r="Q137" s="17" t="e">
        <f ca="1"/>
        <v>#N/A</v>
      </c>
      <c r="R137" s="23" t="e">
        <f ca="1"/>
        <v>#N/A</v>
      </c>
      <c r="S137" s="23">
        <f t="shared" ca="1" si="50"/>
        <v>0</v>
      </c>
      <c r="T137" t="b">
        <f t="shared" ca="1" si="47"/>
        <v>1</v>
      </c>
      <c r="U137" s="22" t="e">
        <f t="shared" ca="1" si="43"/>
        <v>#N/A</v>
      </c>
      <c r="V137">
        <f t="shared" ca="1" si="44"/>
        <v>0</v>
      </c>
    </row>
    <row r="138" spans="2:22">
      <c r="B138">
        <f t="shared" si="48"/>
        <v>128</v>
      </c>
      <c r="C138" s="22" t="e">
        <f ca="1"/>
        <v>#N/A</v>
      </c>
      <c r="D138" s="17" t="e">
        <f ca="1"/>
        <v>#N/A</v>
      </c>
      <c r="E138" s="17" t="e">
        <f ca="1"/>
        <v>#N/A</v>
      </c>
      <c r="F138" s="23" t="e">
        <f ca="1"/>
        <v>#N/A</v>
      </c>
      <c r="G138" s="23">
        <f t="shared" ca="1" si="49"/>
        <v>0</v>
      </c>
      <c r="H138" t="b">
        <f t="shared" ca="1" si="45"/>
        <v>1</v>
      </c>
      <c r="I138" s="22" t="e">
        <f t="shared" ca="1" si="40"/>
        <v>#N/A</v>
      </c>
      <c r="J138">
        <f t="shared" ca="1" si="41"/>
        <v>0</v>
      </c>
      <c r="K138" t="e">
        <f t="shared" ca="1" si="46"/>
        <v>#N/A</v>
      </c>
      <c r="O138" s="22" t="e">
        <f t="shared" ca="1" si="42"/>
        <v>#N/A</v>
      </c>
      <c r="P138" s="17" t="e">
        <f ca="1"/>
        <v>#N/A</v>
      </c>
      <c r="Q138" s="17" t="e">
        <f ca="1"/>
        <v>#N/A</v>
      </c>
      <c r="R138" s="23" t="e">
        <f ca="1"/>
        <v>#N/A</v>
      </c>
      <c r="S138" s="23">
        <f t="shared" ca="1" si="50"/>
        <v>0</v>
      </c>
      <c r="T138" t="b">
        <f t="shared" ca="1" si="47"/>
        <v>1</v>
      </c>
      <c r="U138" s="22" t="e">
        <f t="shared" ca="1" si="43"/>
        <v>#N/A</v>
      </c>
      <c r="V138">
        <f t="shared" ca="1" si="44"/>
        <v>0</v>
      </c>
    </row>
    <row r="139" spans="2:22">
      <c r="B139">
        <f t="shared" si="48"/>
        <v>129</v>
      </c>
      <c r="C139" s="22" t="e">
        <f ca="1"/>
        <v>#N/A</v>
      </c>
      <c r="D139" s="17" t="e">
        <f ca="1"/>
        <v>#N/A</v>
      </c>
      <c r="E139" s="17" t="e">
        <f ca="1"/>
        <v>#N/A</v>
      </c>
      <c r="F139" s="23" t="e">
        <f ca="1"/>
        <v>#N/A</v>
      </c>
      <c r="G139" s="23">
        <f t="shared" ca="1" si="49"/>
        <v>0</v>
      </c>
      <c r="H139" t="b">
        <f t="shared" ca="1" si="45"/>
        <v>1</v>
      </c>
      <c r="I139" s="22" t="e">
        <f t="shared" ref="I139:I202" ca="1" si="51">IF(H139,C139,NA)</f>
        <v>#N/A</v>
      </c>
      <c r="J139">
        <f t="shared" ref="J139:J202" ca="1" si="52">IF(H139,G139,NA)</f>
        <v>0</v>
      </c>
      <c r="K139" t="e">
        <f t="shared" ca="1" si="46"/>
        <v>#N/A</v>
      </c>
      <c r="O139" s="22" t="e">
        <f t="shared" ref="O139:O202" ca="1" si="53">C139</f>
        <v>#N/A</v>
      </c>
      <c r="P139" s="17" t="e">
        <f ca="1"/>
        <v>#N/A</v>
      </c>
      <c r="Q139" s="17" t="e">
        <f ca="1"/>
        <v>#N/A</v>
      </c>
      <c r="R139" s="23" t="e">
        <f ca="1"/>
        <v>#N/A</v>
      </c>
      <c r="S139" s="23">
        <f t="shared" ca="1" si="50"/>
        <v>0</v>
      </c>
      <c r="T139" t="b">
        <f t="shared" ca="1" si="47"/>
        <v>1</v>
      </c>
      <c r="U139" s="22" t="e">
        <f t="shared" ref="U139:U202" ca="1" si="54">IF(T139,O139,NA)</f>
        <v>#N/A</v>
      </c>
      <c r="V139">
        <f t="shared" ref="V139:V202" ca="1" si="55">IF(T139,S139,NA)</f>
        <v>0</v>
      </c>
    </row>
    <row r="140" spans="2:22">
      <c r="B140">
        <f t="shared" si="48"/>
        <v>130</v>
      </c>
      <c r="C140" s="22" t="e">
        <f ca="1"/>
        <v>#N/A</v>
      </c>
      <c r="D140" s="17" t="e">
        <f ca="1"/>
        <v>#N/A</v>
      </c>
      <c r="E140" s="17" t="e">
        <f ca="1"/>
        <v>#N/A</v>
      </c>
      <c r="F140" s="23" t="e">
        <f ca="1"/>
        <v>#N/A</v>
      </c>
      <c r="G140" s="23">
        <f t="shared" ca="1" si="49"/>
        <v>0</v>
      </c>
      <c r="H140" t="b">
        <f t="shared" ref="H140:H203" ca="1" si="56">ISNUMBER(G140)</f>
        <v>1</v>
      </c>
      <c r="I140" s="22" t="e">
        <f t="shared" ca="1" si="51"/>
        <v>#N/A</v>
      </c>
      <c r="J140">
        <f t="shared" ca="1" si="52"/>
        <v>0</v>
      </c>
      <c r="K140" t="e">
        <f t="shared" ref="K140:K203" ca="1" si="57">YEAR(C140)</f>
        <v>#N/A</v>
      </c>
      <c r="O140" s="22" t="e">
        <f t="shared" ca="1" si="53"/>
        <v>#N/A</v>
      </c>
      <c r="P140" s="17" t="e">
        <f ca="1"/>
        <v>#N/A</v>
      </c>
      <c r="Q140" s="17" t="e">
        <f ca="1"/>
        <v>#N/A</v>
      </c>
      <c r="R140" s="23" t="e">
        <f ca="1"/>
        <v>#N/A</v>
      </c>
      <c r="S140" s="23">
        <f t="shared" ca="1" si="50"/>
        <v>0</v>
      </c>
      <c r="T140" t="b">
        <f t="shared" ref="T140:T203" ca="1" si="58">ISNUMBER(S140)</f>
        <v>1</v>
      </c>
      <c r="U140" s="22" t="e">
        <f t="shared" ca="1" si="54"/>
        <v>#N/A</v>
      </c>
      <c r="V140">
        <f t="shared" ca="1" si="55"/>
        <v>0</v>
      </c>
    </row>
    <row r="141" spans="2:22">
      <c r="B141">
        <f t="shared" ref="B141:B204" si="59">B140+1</f>
        <v>131</v>
      </c>
      <c r="C141" s="22" t="e">
        <f ca="1"/>
        <v>#N/A</v>
      </c>
      <c r="D141" s="17" t="e">
        <f ca="1"/>
        <v>#N/A</v>
      </c>
      <c r="E141" s="17" t="e">
        <f ca="1"/>
        <v>#N/A</v>
      </c>
      <c r="F141" s="23" t="e">
        <f ca="1"/>
        <v>#N/A</v>
      </c>
      <c r="G141" s="23">
        <f t="shared" ca="1" si="49"/>
        <v>0</v>
      </c>
      <c r="H141" t="b">
        <f t="shared" ca="1" si="56"/>
        <v>1</v>
      </c>
      <c r="I141" s="22" t="e">
        <f t="shared" ca="1" si="51"/>
        <v>#N/A</v>
      </c>
      <c r="J141">
        <f t="shared" ca="1" si="52"/>
        <v>0</v>
      </c>
      <c r="K141" t="e">
        <f t="shared" ca="1" si="57"/>
        <v>#N/A</v>
      </c>
      <c r="O141" s="22" t="e">
        <f t="shared" ca="1" si="53"/>
        <v>#N/A</v>
      </c>
      <c r="P141" s="17" t="e">
        <f ca="1"/>
        <v>#N/A</v>
      </c>
      <c r="Q141" s="17" t="e">
        <f ca="1"/>
        <v>#N/A</v>
      </c>
      <c r="R141" s="23" t="e">
        <f ca="1"/>
        <v>#N/A</v>
      </c>
      <c r="S141" s="23">
        <f t="shared" ca="1" si="50"/>
        <v>0</v>
      </c>
      <c r="T141" t="b">
        <f t="shared" ca="1" si="58"/>
        <v>1</v>
      </c>
      <c r="U141" s="22" t="e">
        <f t="shared" ca="1" si="54"/>
        <v>#N/A</v>
      </c>
      <c r="V141">
        <f t="shared" ca="1" si="55"/>
        <v>0</v>
      </c>
    </row>
    <row r="142" spans="2:22">
      <c r="B142">
        <f t="shared" si="59"/>
        <v>132</v>
      </c>
      <c r="C142" s="22" t="e">
        <f ca="1"/>
        <v>#N/A</v>
      </c>
      <c r="D142" s="17" t="e">
        <f ca="1"/>
        <v>#N/A</v>
      </c>
      <c r="E142" s="17" t="e">
        <f ca="1"/>
        <v>#N/A</v>
      </c>
      <c r="F142" s="23" t="e">
        <f ca="1"/>
        <v>#N/A</v>
      </c>
      <c r="G142" s="23">
        <f t="shared" ca="1" si="49"/>
        <v>0</v>
      </c>
      <c r="H142" t="b">
        <f t="shared" ca="1" si="56"/>
        <v>1</v>
      </c>
      <c r="I142" s="22" t="e">
        <f t="shared" ca="1" si="51"/>
        <v>#N/A</v>
      </c>
      <c r="J142">
        <f t="shared" ca="1" si="52"/>
        <v>0</v>
      </c>
      <c r="K142" t="e">
        <f t="shared" ca="1" si="57"/>
        <v>#N/A</v>
      </c>
      <c r="O142" s="22" t="e">
        <f t="shared" ca="1" si="53"/>
        <v>#N/A</v>
      </c>
      <c r="P142" s="17" t="e">
        <f ca="1"/>
        <v>#N/A</v>
      </c>
      <c r="Q142" s="17" t="e">
        <f ca="1"/>
        <v>#N/A</v>
      </c>
      <c r="R142" s="23" t="e">
        <f ca="1"/>
        <v>#N/A</v>
      </c>
      <c r="S142" s="23">
        <f t="shared" ca="1" si="50"/>
        <v>0</v>
      </c>
      <c r="T142" t="b">
        <f t="shared" ca="1" si="58"/>
        <v>1</v>
      </c>
      <c r="U142" s="22" t="e">
        <f t="shared" ca="1" si="54"/>
        <v>#N/A</v>
      </c>
      <c r="V142">
        <f t="shared" ca="1" si="55"/>
        <v>0</v>
      </c>
    </row>
    <row r="143" spans="2:22">
      <c r="B143">
        <f t="shared" si="59"/>
        <v>133</v>
      </c>
      <c r="C143" s="22" t="e">
        <f ca="1"/>
        <v>#N/A</v>
      </c>
      <c r="D143" s="17" t="e">
        <f ca="1"/>
        <v>#N/A</v>
      </c>
      <c r="E143" s="17" t="e">
        <f ca="1"/>
        <v>#N/A</v>
      </c>
      <c r="F143" s="23" t="e">
        <f ca="1"/>
        <v>#N/A</v>
      </c>
      <c r="G143" s="23">
        <f t="shared" ca="1" si="49"/>
        <v>0</v>
      </c>
      <c r="H143" t="b">
        <f t="shared" ca="1" si="56"/>
        <v>1</v>
      </c>
      <c r="I143" s="22" t="e">
        <f t="shared" ca="1" si="51"/>
        <v>#N/A</v>
      </c>
      <c r="J143">
        <f t="shared" ca="1" si="52"/>
        <v>0</v>
      </c>
      <c r="K143" t="e">
        <f t="shared" ca="1" si="57"/>
        <v>#N/A</v>
      </c>
      <c r="O143" s="22" t="e">
        <f t="shared" ca="1" si="53"/>
        <v>#N/A</v>
      </c>
      <c r="P143" s="17" t="e">
        <f ca="1"/>
        <v>#N/A</v>
      </c>
      <c r="Q143" s="17" t="e">
        <f ca="1"/>
        <v>#N/A</v>
      </c>
      <c r="R143" s="23" t="e">
        <f ca="1"/>
        <v>#N/A</v>
      </c>
      <c r="S143" s="23">
        <f t="shared" ca="1" si="50"/>
        <v>0</v>
      </c>
      <c r="T143" t="b">
        <f t="shared" ca="1" si="58"/>
        <v>1</v>
      </c>
      <c r="U143" s="22" t="e">
        <f t="shared" ca="1" si="54"/>
        <v>#N/A</v>
      </c>
      <c r="V143">
        <f t="shared" ca="1" si="55"/>
        <v>0</v>
      </c>
    </row>
    <row r="144" spans="2:22">
      <c r="B144">
        <f t="shared" si="59"/>
        <v>134</v>
      </c>
      <c r="C144" s="22" t="e">
        <f ca="1"/>
        <v>#N/A</v>
      </c>
      <c r="D144" s="17" t="e">
        <f ca="1"/>
        <v>#N/A</v>
      </c>
      <c r="E144" s="17" t="e">
        <f ca="1"/>
        <v>#N/A</v>
      </c>
      <c r="F144" s="23" t="e">
        <f ca="1"/>
        <v>#N/A</v>
      </c>
      <c r="G144" s="23">
        <f t="shared" ca="1" si="49"/>
        <v>0</v>
      </c>
      <c r="H144" t="b">
        <f t="shared" ca="1" si="56"/>
        <v>1</v>
      </c>
      <c r="I144" s="22" t="e">
        <f t="shared" ca="1" si="51"/>
        <v>#N/A</v>
      </c>
      <c r="J144">
        <f t="shared" ca="1" si="52"/>
        <v>0</v>
      </c>
      <c r="K144" t="e">
        <f t="shared" ca="1" si="57"/>
        <v>#N/A</v>
      </c>
      <c r="O144" s="22" t="e">
        <f t="shared" ca="1" si="53"/>
        <v>#N/A</v>
      </c>
      <c r="P144" s="17" t="e">
        <f ca="1"/>
        <v>#N/A</v>
      </c>
      <c r="Q144" s="17" t="e">
        <f ca="1"/>
        <v>#N/A</v>
      </c>
      <c r="R144" s="23" t="e">
        <f ca="1"/>
        <v>#N/A</v>
      </c>
      <c r="S144" s="23">
        <f t="shared" ca="1" si="50"/>
        <v>0</v>
      </c>
      <c r="T144" t="b">
        <f t="shared" ca="1" si="58"/>
        <v>1</v>
      </c>
      <c r="U144" s="22" t="e">
        <f t="shared" ca="1" si="54"/>
        <v>#N/A</v>
      </c>
      <c r="V144">
        <f t="shared" ca="1" si="55"/>
        <v>0</v>
      </c>
    </row>
    <row r="145" spans="2:22">
      <c r="B145">
        <f t="shared" si="59"/>
        <v>135</v>
      </c>
      <c r="C145" s="22" t="e">
        <f ca="1"/>
        <v>#N/A</v>
      </c>
      <c r="D145" s="17" t="e">
        <f ca="1"/>
        <v>#N/A</v>
      </c>
      <c r="E145" s="17" t="e">
        <f ca="1"/>
        <v>#N/A</v>
      </c>
      <c r="F145" s="23" t="e">
        <f ca="1"/>
        <v>#N/A</v>
      </c>
      <c r="G145" s="23">
        <f t="shared" ca="1" si="49"/>
        <v>0</v>
      </c>
      <c r="H145" t="b">
        <f t="shared" ca="1" si="56"/>
        <v>1</v>
      </c>
      <c r="I145" s="22" t="e">
        <f t="shared" ca="1" si="51"/>
        <v>#N/A</v>
      </c>
      <c r="J145">
        <f t="shared" ca="1" si="52"/>
        <v>0</v>
      </c>
      <c r="K145" t="e">
        <f t="shared" ca="1" si="57"/>
        <v>#N/A</v>
      </c>
      <c r="O145" s="22" t="e">
        <f t="shared" ca="1" si="53"/>
        <v>#N/A</v>
      </c>
      <c r="P145" s="17" t="e">
        <f ca="1"/>
        <v>#N/A</v>
      </c>
      <c r="Q145" s="17" t="e">
        <f ca="1"/>
        <v>#N/A</v>
      </c>
      <c r="R145" s="23" t="e">
        <f ca="1"/>
        <v>#N/A</v>
      </c>
      <c r="S145" s="23">
        <f t="shared" ca="1" si="50"/>
        <v>0</v>
      </c>
      <c r="T145" t="b">
        <f t="shared" ca="1" si="58"/>
        <v>1</v>
      </c>
      <c r="U145" s="22" t="e">
        <f t="shared" ca="1" si="54"/>
        <v>#N/A</v>
      </c>
      <c r="V145">
        <f t="shared" ca="1" si="55"/>
        <v>0</v>
      </c>
    </row>
    <row r="146" spans="2:22">
      <c r="B146">
        <f t="shared" si="59"/>
        <v>136</v>
      </c>
      <c r="C146" s="22" t="e">
        <f ca="1"/>
        <v>#N/A</v>
      </c>
      <c r="D146" s="17" t="e">
        <f ca="1"/>
        <v>#N/A</v>
      </c>
      <c r="E146" s="17" t="e">
        <f ca="1"/>
        <v>#N/A</v>
      </c>
      <c r="F146" s="23" t="e">
        <f ca="1"/>
        <v>#N/A</v>
      </c>
      <c r="G146" s="23">
        <f t="shared" ca="1" si="49"/>
        <v>0</v>
      </c>
      <c r="H146" t="b">
        <f t="shared" ca="1" si="56"/>
        <v>1</v>
      </c>
      <c r="I146" s="22" t="e">
        <f t="shared" ca="1" si="51"/>
        <v>#N/A</v>
      </c>
      <c r="J146">
        <f t="shared" ca="1" si="52"/>
        <v>0</v>
      </c>
      <c r="K146" t="e">
        <f t="shared" ca="1" si="57"/>
        <v>#N/A</v>
      </c>
      <c r="O146" s="22" t="e">
        <f t="shared" ca="1" si="53"/>
        <v>#N/A</v>
      </c>
      <c r="P146" s="17" t="e">
        <f ca="1"/>
        <v>#N/A</v>
      </c>
      <c r="Q146" s="17" t="e">
        <f ca="1"/>
        <v>#N/A</v>
      </c>
      <c r="R146" s="23" t="e">
        <f ca="1"/>
        <v>#N/A</v>
      </c>
      <c r="S146" s="23">
        <f t="shared" ca="1" si="50"/>
        <v>0</v>
      </c>
      <c r="T146" t="b">
        <f t="shared" ca="1" si="58"/>
        <v>1</v>
      </c>
      <c r="U146" s="22" t="e">
        <f t="shared" ca="1" si="54"/>
        <v>#N/A</v>
      </c>
      <c r="V146">
        <f t="shared" ca="1" si="55"/>
        <v>0</v>
      </c>
    </row>
    <row r="147" spans="2:22">
      <c r="B147">
        <f t="shared" si="59"/>
        <v>137</v>
      </c>
      <c r="C147" s="22" t="e">
        <f ca="1"/>
        <v>#N/A</v>
      </c>
      <c r="D147" s="17" t="e">
        <f ca="1"/>
        <v>#N/A</v>
      </c>
      <c r="E147" s="17" t="e">
        <f ca="1"/>
        <v>#N/A</v>
      </c>
      <c r="F147" s="23" t="e">
        <f ca="1"/>
        <v>#N/A</v>
      </c>
      <c r="G147" s="23">
        <f t="shared" ca="1" si="49"/>
        <v>0</v>
      </c>
      <c r="H147" t="b">
        <f t="shared" ca="1" si="56"/>
        <v>1</v>
      </c>
      <c r="I147" s="22" t="e">
        <f t="shared" ca="1" si="51"/>
        <v>#N/A</v>
      </c>
      <c r="J147">
        <f t="shared" ca="1" si="52"/>
        <v>0</v>
      </c>
      <c r="K147" t="e">
        <f t="shared" ca="1" si="57"/>
        <v>#N/A</v>
      </c>
      <c r="O147" s="22" t="e">
        <f t="shared" ca="1" si="53"/>
        <v>#N/A</v>
      </c>
      <c r="P147" s="17" t="e">
        <f ca="1"/>
        <v>#N/A</v>
      </c>
      <c r="Q147" s="17" t="e">
        <f ca="1"/>
        <v>#N/A</v>
      </c>
      <c r="R147" s="23" t="e">
        <f ca="1"/>
        <v>#N/A</v>
      </c>
      <c r="S147" s="23">
        <f t="shared" ca="1" si="50"/>
        <v>0</v>
      </c>
      <c r="T147" t="b">
        <f t="shared" ca="1" si="58"/>
        <v>1</v>
      </c>
      <c r="U147" s="22" t="e">
        <f t="shared" ca="1" si="54"/>
        <v>#N/A</v>
      </c>
      <c r="V147">
        <f t="shared" ca="1" si="55"/>
        <v>0</v>
      </c>
    </row>
    <row r="148" spans="2:22">
      <c r="B148">
        <f t="shared" si="59"/>
        <v>138</v>
      </c>
      <c r="C148" s="22" t="e">
        <f ca="1"/>
        <v>#N/A</v>
      </c>
      <c r="D148" s="17" t="e">
        <f ca="1"/>
        <v>#N/A</v>
      </c>
      <c r="E148" s="17" t="e">
        <f ca="1"/>
        <v>#N/A</v>
      </c>
      <c r="F148" s="23" t="e">
        <f ca="1"/>
        <v>#N/A</v>
      </c>
      <c r="G148" s="23">
        <f t="shared" ca="1" si="49"/>
        <v>0</v>
      </c>
      <c r="H148" t="b">
        <f t="shared" ca="1" si="56"/>
        <v>1</v>
      </c>
      <c r="I148" s="22" t="e">
        <f t="shared" ca="1" si="51"/>
        <v>#N/A</v>
      </c>
      <c r="J148">
        <f t="shared" ca="1" si="52"/>
        <v>0</v>
      </c>
      <c r="K148" t="e">
        <f t="shared" ca="1" si="57"/>
        <v>#N/A</v>
      </c>
      <c r="O148" s="22" t="e">
        <f t="shared" ca="1" si="53"/>
        <v>#N/A</v>
      </c>
      <c r="P148" s="17" t="e">
        <f ca="1"/>
        <v>#N/A</v>
      </c>
      <c r="Q148" s="17" t="e">
        <f ca="1"/>
        <v>#N/A</v>
      </c>
      <c r="R148" s="23" t="e">
        <f ca="1"/>
        <v>#N/A</v>
      </c>
      <c r="S148" s="23">
        <f t="shared" ca="1" si="50"/>
        <v>0</v>
      </c>
      <c r="T148" t="b">
        <f t="shared" ca="1" si="58"/>
        <v>1</v>
      </c>
      <c r="U148" s="22" t="e">
        <f t="shared" ca="1" si="54"/>
        <v>#N/A</v>
      </c>
      <c r="V148">
        <f t="shared" ca="1" si="55"/>
        <v>0</v>
      </c>
    </row>
    <row r="149" spans="2:22">
      <c r="B149">
        <f t="shared" si="59"/>
        <v>139</v>
      </c>
      <c r="C149" s="22" t="e">
        <f ca="1"/>
        <v>#N/A</v>
      </c>
      <c r="D149" s="17" t="e">
        <f ca="1"/>
        <v>#N/A</v>
      </c>
      <c r="E149" s="17" t="e">
        <f ca="1"/>
        <v>#N/A</v>
      </c>
      <c r="F149" s="23" t="e">
        <f ca="1"/>
        <v>#N/A</v>
      </c>
      <c r="G149" s="23">
        <f t="shared" ca="1" si="49"/>
        <v>0</v>
      </c>
      <c r="H149" t="b">
        <f t="shared" ca="1" si="56"/>
        <v>1</v>
      </c>
      <c r="I149" s="22" t="e">
        <f t="shared" ca="1" si="51"/>
        <v>#N/A</v>
      </c>
      <c r="J149">
        <f t="shared" ca="1" si="52"/>
        <v>0</v>
      </c>
      <c r="K149" t="e">
        <f t="shared" ca="1" si="57"/>
        <v>#N/A</v>
      </c>
      <c r="O149" s="22" t="e">
        <f t="shared" ca="1" si="53"/>
        <v>#N/A</v>
      </c>
      <c r="P149" s="17" t="e">
        <f ca="1"/>
        <v>#N/A</v>
      </c>
      <c r="Q149" s="17" t="e">
        <f ca="1"/>
        <v>#N/A</v>
      </c>
      <c r="R149" s="23" t="e">
        <f ca="1"/>
        <v>#N/A</v>
      </c>
      <c r="S149" s="23">
        <f t="shared" ca="1" si="50"/>
        <v>0</v>
      </c>
      <c r="T149" t="b">
        <f t="shared" ca="1" si="58"/>
        <v>1</v>
      </c>
      <c r="U149" s="22" t="e">
        <f t="shared" ca="1" si="54"/>
        <v>#N/A</v>
      </c>
      <c r="V149">
        <f t="shared" ca="1" si="55"/>
        <v>0</v>
      </c>
    </row>
    <row r="150" spans="2:22">
      <c r="B150">
        <f t="shared" si="59"/>
        <v>140</v>
      </c>
      <c r="C150" s="22" t="e">
        <f ca="1"/>
        <v>#N/A</v>
      </c>
      <c r="D150" s="17" t="e">
        <f ca="1"/>
        <v>#N/A</v>
      </c>
      <c r="E150" s="17" t="e">
        <f ca="1"/>
        <v>#N/A</v>
      </c>
      <c r="F150" s="23" t="e">
        <f ca="1"/>
        <v>#N/A</v>
      </c>
      <c r="G150" s="23">
        <f t="shared" ca="1" si="49"/>
        <v>0</v>
      </c>
      <c r="H150" t="b">
        <f t="shared" ca="1" si="56"/>
        <v>1</v>
      </c>
      <c r="I150" s="22" t="e">
        <f t="shared" ca="1" si="51"/>
        <v>#N/A</v>
      </c>
      <c r="J150">
        <f t="shared" ca="1" si="52"/>
        <v>0</v>
      </c>
      <c r="K150" t="e">
        <f t="shared" ca="1" si="57"/>
        <v>#N/A</v>
      </c>
      <c r="O150" s="22" t="e">
        <f t="shared" ca="1" si="53"/>
        <v>#N/A</v>
      </c>
      <c r="P150" s="17" t="e">
        <f ca="1"/>
        <v>#N/A</v>
      </c>
      <c r="Q150" s="17" t="e">
        <f ca="1"/>
        <v>#N/A</v>
      </c>
      <c r="R150" s="23" t="e">
        <f ca="1"/>
        <v>#N/A</v>
      </c>
      <c r="S150" s="23">
        <f t="shared" ca="1" si="50"/>
        <v>0</v>
      </c>
      <c r="T150" t="b">
        <f t="shared" ca="1" si="58"/>
        <v>1</v>
      </c>
      <c r="U150" s="22" t="e">
        <f t="shared" ca="1" si="54"/>
        <v>#N/A</v>
      </c>
      <c r="V150">
        <f t="shared" ca="1" si="55"/>
        <v>0</v>
      </c>
    </row>
    <row r="151" spans="2:22">
      <c r="B151">
        <f t="shared" si="59"/>
        <v>141</v>
      </c>
      <c r="C151" s="22" t="e">
        <f ca="1"/>
        <v>#N/A</v>
      </c>
      <c r="D151" s="17" t="e">
        <f ca="1"/>
        <v>#N/A</v>
      </c>
      <c r="E151" s="17" t="e">
        <f ca="1"/>
        <v>#N/A</v>
      </c>
      <c r="F151" s="23" t="e">
        <f ca="1"/>
        <v>#N/A</v>
      </c>
      <c r="G151" s="23">
        <f t="shared" ref="G151:G214" ca="1" si="60">IFERROR(Volatility(D140:D151,12),FALSE)</f>
        <v>0</v>
      </c>
      <c r="H151" t="b">
        <f t="shared" ca="1" si="56"/>
        <v>1</v>
      </c>
      <c r="I151" s="22" t="e">
        <f t="shared" ca="1" si="51"/>
        <v>#N/A</v>
      </c>
      <c r="J151">
        <f t="shared" ca="1" si="52"/>
        <v>0</v>
      </c>
      <c r="K151" t="e">
        <f t="shared" ca="1" si="57"/>
        <v>#N/A</v>
      </c>
      <c r="O151" s="22" t="e">
        <f t="shared" ca="1" si="53"/>
        <v>#N/A</v>
      </c>
      <c r="P151" s="17" t="e">
        <f ca="1"/>
        <v>#N/A</v>
      </c>
      <c r="Q151" s="17" t="e">
        <f ca="1"/>
        <v>#N/A</v>
      </c>
      <c r="R151" s="23" t="e">
        <f ca="1"/>
        <v>#N/A</v>
      </c>
      <c r="S151" s="23">
        <f t="shared" ref="S151:S214" ca="1" si="61">IFERROR(Volatility(P140:P151,12),FALSE)</f>
        <v>0</v>
      </c>
      <c r="T151" t="b">
        <f t="shared" ca="1" si="58"/>
        <v>1</v>
      </c>
      <c r="U151" s="22" t="e">
        <f t="shared" ca="1" si="54"/>
        <v>#N/A</v>
      </c>
      <c r="V151">
        <f t="shared" ca="1" si="55"/>
        <v>0</v>
      </c>
    </row>
    <row r="152" spans="2:22">
      <c r="B152">
        <f t="shared" si="59"/>
        <v>142</v>
      </c>
      <c r="C152" s="22" t="e">
        <f ca="1"/>
        <v>#N/A</v>
      </c>
      <c r="D152" s="17" t="e">
        <f ca="1"/>
        <v>#N/A</v>
      </c>
      <c r="E152" s="17" t="e">
        <f ca="1"/>
        <v>#N/A</v>
      </c>
      <c r="F152" s="23" t="e">
        <f ca="1"/>
        <v>#N/A</v>
      </c>
      <c r="G152" s="23">
        <f t="shared" ca="1" si="60"/>
        <v>0</v>
      </c>
      <c r="H152" t="b">
        <f t="shared" ca="1" si="56"/>
        <v>1</v>
      </c>
      <c r="I152" s="22" t="e">
        <f t="shared" ca="1" si="51"/>
        <v>#N/A</v>
      </c>
      <c r="J152">
        <f t="shared" ca="1" si="52"/>
        <v>0</v>
      </c>
      <c r="K152" t="e">
        <f t="shared" ca="1" si="57"/>
        <v>#N/A</v>
      </c>
      <c r="O152" s="22" t="e">
        <f t="shared" ca="1" si="53"/>
        <v>#N/A</v>
      </c>
      <c r="P152" s="17" t="e">
        <f ca="1"/>
        <v>#N/A</v>
      </c>
      <c r="Q152" s="17" t="e">
        <f ca="1"/>
        <v>#N/A</v>
      </c>
      <c r="R152" s="23" t="e">
        <f ca="1"/>
        <v>#N/A</v>
      </c>
      <c r="S152" s="23">
        <f t="shared" ca="1" si="61"/>
        <v>0</v>
      </c>
      <c r="T152" t="b">
        <f t="shared" ca="1" si="58"/>
        <v>1</v>
      </c>
      <c r="U152" s="22" t="e">
        <f t="shared" ca="1" si="54"/>
        <v>#N/A</v>
      </c>
      <c r="V152">
        <f t="shared" ca="1" si="55"/>
        <v>0</v>
      </c>
    </row>
    <row r="153" spans="2:22">
      <c r="B153">
        <f t="shared" si="59"/>
        <v>143</v>
      </c>
      <c r="C153" s="22" t="e">
        <f ca="1"/>
        <v>#N/A</v>
      </c>
      <c r="D153" s="17" t="e">
        <f ca="1"/>
        <v>#N/A</v>
      </c>
      <c r="E153" s="17" t="e">
        <f ca="1"/>
        <v>#N/A</v>
      </c>
      <c r="F153" s="23" t="e">
        <f ca="1"/>
        <v>#N/A</v>
      </c>
      <c r="G153" s="23">
        <f t="shared" ca="1" si="60"/>
        <v>0</v>
      </c>
      <c r="H153" t="b">
        <f t="shared" ca="1" si="56"/>
        <v>1</v>
      </c>
      <c r="I153" s="22" t="e">
        <f t="shared" ca="1" si="51"/>
        <v>#N/A</v>
      </c>
      <c r="J153">
        <f t="shared" ca="1" si="52"/>
        <v>0</v>
      </c>
      <c r="K153" t="e">
        <f t="shared" ca="1" si="57"/>
        <v>#N/A</v>
      </c>
      <c r="O153" s="22" t="e">
        <f t="shared" ca="1" si="53"/>
        <v>#N/A</v>
      </c>
      <c r="P153" s="17" t="e">
        <f ca="1"/>
        <v>#N/A</v>
      </c>
      <c r="Q153" s="17" t="e">
        <f ca="1"/>
        <v>#N/A</v>
      </c>
      <c r="R153" s="23" t="e">
        <f ca="1"/>
        <v>#N/A</v>
      </c>
      <c r="S153" s="23">
        <f t="shared" ca="1" si="61"/>
        <v>0</v>
      </c>
      <c r="T153" t="b">
        <f t="shared" ca="1" si="58"/>
        <v>1</v>
      </c>
      <c r="U153" s="22" t="e">
        <f t="shared" ca="1" si="54"/>
        <v>#N/A</v>
      </c>
      <c r="V153">
        <f t="shared" ca="1" si="55"/>
        <v>0</v>
      </c>
    </row>
    <row r="154" spans="2:22">
      <c r="B154">
        <f t="shared" si="59"/>
        <v>144</v>
      </c>
      <c r="C154" s="22" t="e">
        <f ca="1"/>
        <v>#N/A</v>
      </c>
      <c r="D154" s="17" t="e">
        <f ca="1"/>
        <v>#N/A</v>
      </c>
      <c r="E154" s="17" t="e">
        <f ca="1"/>
        <v>#N/A</v>
      </c>
      <c r="F154" s="23" t="e">
        <f ca="1"/>
        <v>#N/A</v>
      </c>
      <c r="G154" s="23">
        <f t="shared" ca="1" si="60"/>
        <v>0</v>
      </c>
      <c r="H154" t="b">
        <f t="shared" ca="1" si="56"/>
        <v>1</v>
      </c>
      <c r="I154" s="22" t="e">
        <f t="shared" ca="1" si="51"/>
        <v>#N/A</v>
      </c>
      <c r="J154">
        <f t="shared" ca="1" si="52"/>
        <v>0</v>
      </c>
      <c r="K154" t="e">
        <f t="shared" ca="1" si="57"/>
        <v>#N/A</v>
      </c>
      <c r="O154" s="22" t="e">
        <f t="shared" ca="1" si="53"/>
        <v>#N/A</v>
      </c>
      <c r="P154" s="17" t="e">
        <f ca="1"/>
        <v>#N/A</v>
      </c>
      <c r="Q154" s="17" t="e">
        <f ca="1"/>
        <v>#N/A</v>
      </c>
      <c r="R154" s="23" t="e">
        <f ca="1"/>
        <v>#N/A</v>
      </c>
      <c r="S154" s="23">
        <f t="shared" ca="1" si="61"/>
        <v>0</v>
      </c>
      <c r="T154" t="b">
        <f t="shared" ca="1" si="58"/>
        <v>1</v>
      </c>
      <c r="U154" s="22" t="e">
        <f t="shared" ca="1" si="54"/>
        <v>#N/A</v>
      </c>
      <c r="V154">
        <f t="shared" ca="1" si="55"/>
        <v>0</v>
      </c>
    </row>
    <row r="155" spans="2:22">
      <c r="B155">
        <f t="shared" si="59"/>
        <v>145</v>
      </c>
      <c r="C155" s="22" t="e">
        <f ca="1"/>
        <v>#N/A</v>
      </c>
      <c r="D155" s="17" t="e">
        <f ca="1"/>
        <v>#N/A</v>
      </c>
      <c r="E155" s="17" t="e">
        <f ca="1"/>
        <v>#N/A</v>
      </c>
      <c r="F155" s="23" t="e">
        <f ca="1"/>
        <v>#N/A</v>
      </c>
      <c r="G155" s="23">
        <f t="shared" ca="1" si="60"/>
        <v>0</v>
      </c>
      <c r="H155" t="b">
        <f t="shared" ca="1" si="56"/>
        <v>1</v>
      </c>
      <c r="I155" s="22" t="e">
        <f t="shared" ca="1" si="51"/>
        <v>#N/A</v>
      </c>
      <c r="J155">
        <f t="shared" ca="1" si="52"/>
        <v>0</v>
      </c>
      <c r="K155" t="e">
        <f t="shared" ca="1" si="57"/>
        <v>#N/A</v>
      </c>
      <c r="O155" s="22" t="e">
        <f t="shared" ca="1" si="53"/>
        <v>#N/A</v>
      </c>
      <c r="P155" s="17" t="e">
        <f ca="1"/>
        <v>#N/A</v>
      </c>
      <c r="Q155" s="17" t="e">
        <f ca="1"/>
        <v>#N/A</v>
      </c>
      <c r="R155" s="23" t="e">
        <f ca="1"/>
        <v>#N/A</v>
      </c>
      <c r="S155" s="23">
        <f t="shared" ca="1" si="61"/>
        <v>0</v>
      </c>
      <c r="T155" t="b">
        <f t="shared" ca="1" si="58"/>
        <v>1</v>
      </c>
      <c r="U155" s="22" t="e">
        <f t="shared" ca="1" si="54"/>
        <v>#N/A</v>
      </c>
      <c r="V155">
        <f t="shared" ca="1" si="55"/>
        <v>0</v>
      </c>
    </row>
    <row r="156" spans="2:22">
      <c r="B156">
        <f t="shared" si="59"/>
        <v>146</v>
      </c>
      <c r="C156" s="22" t="e">
        <f ca="1"/>
        <v>#N/A</v>
      </c>
      <c r="D156" s="17" t="e">
        <f ca="1"/>
        <v>#N/A</v>
      </c>
      <c r="E156" s="17" t="e">
        <f ca="1"/>
        <v>#N/A</v>
      </c>
      <c r="F156" s="23" t="e">
        <f ca="1"/>
        <v>#N/A</v>
      </c>
      <c r="G156" s="23">
        <f t="shared" ca="1" si="60"/>
        <v>0</v>
      </c>
      <c r="H156" t="b">
        <f t="shared" ca="1" si="56"/>
        <v>1</v>
      </c>
      <c r="I156" s="22" t="e">
        <f t="shared" ca="1" si="51"/>
        <v>#N/A</v>
      </c>
      <c r="J156">
        <f t="shared" ca="1" si="52"/>
        <v>0</v>
      </c>
      <c r="K156" t="e">
        <f t="shared" ca="1" si="57"/>
        <v>#N/A</v>
      </c>
      <c r="O156" s="22" t="e">
        <f t="shared" ca="1" si="53"/>
        <v>#N/A</v>
      </c>
      <c r="P156" s="17" t="e">
        <f ca="1"/>
        <v>#N/A</v>
      </c>
      <c r="Q156" s="17" t="e">
        <f ca="1"/>
        <v>#N/A</v>
      </c>
      <c r="R156" s="23" t="e">
        <f ca="1"/>
        <v>#N/A</v>
      </c>
      <c r="S156" s="23">
        <f t="shared" ca="1" si="61"/>
        <v>0</v>
      </c>
      <c r="T156" t="b">
        <f t="shared" ca="1" si="58"/>
        <v>1</v>
      </c>
      <c r="U156" s="22" t="e">
        <f t="shared" ca="1" si="54"/>
        <v>#N/A</v>
      </c>
      <c r="V156">
        <f t="shared" ca="1" si="55"/>
        <v>0</v>
      </c>
    </row>
    <row r="157" spans="2:22">
      <c r="B157">
        <f t="shared" si="59"/>
        <v>147</v>
      </c>
      <c r="C157" s="22" t="e">
        <f ca="1"/>
        <v>#N/A</v>
      </c>
      <c r="D157" s="17" t="e">
        <f ca="1"/>
        <v>#N/A</v>
      </c>
      <c r="E157" s="17" t="e">
        <f ca="1"/>
        <v>#N/A</v>
      </c>
      <c r="F157" s="23" t="e">
        <f ca="1"/>
        <v>#N/A</v>
      </c>
      <c r="G157" s="23">
        <f t="shared" ca="1" si="60"/>
        <v>0</v>
      </c>
      <c r="H157" t="b">
        <f t="shared" ca="1" si="56"/>
        <v>1</v>
      </c>
      <c r="I157" s="22" t="e">
        <f t="shared" ca="1" si="51"/>
        <v>#N/A</v>
      </c>
      <c r="J157">
        <f t="shared" ca="1" si="52"/>
        <v>0</v>
      </c>
      <c r="K157" t="e">
        <f t="shared" ca="1" si="57"/>
        <v>#N/A</v>
      </c>
      <c r="O157" s="22" t="e">
        <f t="shared" ca="1" si="53"/>
        <v>#N/A</v>
      </c>
      <c r="P157" s="17" t="e">
        <f ca="1"/>
        <v>#N/A</v>
      </c>
      <c r="Q157" s="17" t="e">
        <f ca="1"/>
        <v>#N/A</v>
      </c>
      <c r="R157" s="23" t="e">
        <f ca="1"/>
        <v>#N/A</v>
      </c>
      <c r="S157" s="23">
        <f t="shared" ca="1" si="61"/>
        <v>0</v>
      </c>
      <c r="T157" t="b">
        <f t="shared" ca="1" si="58"/>
        <v>1</v>
      </c>
      <c r="U157" s="22" t="e">
        <f t="shared" ca="1" si="54"/>
        <v>#N/A</v>
      </c>
      <c r="V157">
        <f t="shared" ca="1" si="55"/>
        <v>0</v>
      </c>
    </row>
    <row r="158" spans="2:22">
      <c r="B158">
        <f t="shared" si="59"/>
        <v>148</v>
      </c>
      <c r="C158" s="22" t="e">
        <f ca="1"/>
        <v>#N/A</v>
      </c>
      <c r="D158" s="17" t="e">
        <f ca="1"/>
        <v>#N/A</v>
      </c>
      <c r="E158" s="17" t="e">
        <f ca="1"/>
        <v>#N/A</v>
      </c>
      <c r="F158" s="23" t="e">
        <f ca="1"/>
        <v>#N/A</v>
      </c>
      <c r="G158" s="23">
        <f t="shared" ca="1" si="60"/>
        <v>0</v>
      </c>
      <c r="H158" t="b">
        <f t="shared" ca="1" si="56"/>
        <v>1</v>
      </c>
      <c r="I158" s="22" t="e">
        <f t="shared" ca="1" si="51"/>
        <v>#N/A</v>
      </c>
      <c r="J158">
        <f t="shared" ca="1" si="52"/>
        <v>0</v>
      </c>
      <c r="K158" t="e">
        <f t="shared" ca="1" si="57"/>
        <v>#N/A</v>
      </c>
      <c r="O158" s="22" t="e">
        <f t="shared" ca="1" si="53"/>
        <v>#N/A</v>
      </c>
      <c r="P158" s="17" t="e">
        <f ca="1"/>
        <v>#N/A</v>
      </c>
      <c r="Q158" s="17" t="e">
        <f ca="1"/>
        <v>#N/A</v>
      </c>
      <c r="R158" s="23" t="e">
        <f ca="1"/>
        <v>#N/A</v>
      </c>
      <c r="S158" s="23">
        <f t="shared" ca="1" si="61"/>
        <v>0</v>
      </c>
      <c r="T158" t="b">
        <f t="shared" ca="1" si="58"/>
        <v>1</v>
      </c>
      <c r="U158" s="22" t="e">
        <f t="shared" ca="1" si="54"/>
        <v>#N/A</v>
      </c>
      <c r="V158">
        <f t="shared" ca="1" si="55"/>
        <v>0</v>
      </c>
    </row>
    <row r="159" spans="2:22">
      <c r="B159">
        <f t="shared" si="59"/>
        <v>149</v>
      </c>
      <c r="C159" s="22" t="e">
        <f ca="1"/>
        <v>#N/A</v>
      </c>
      <c r="D159" s="17" t="e">
        <f ca="1"/>
        <v>#N/A</v>
      </c>
      <c r="E159" s="17" t="e">
        <f ca="1"/>
        <v>#N/A</v>
      </c>
      <c r="F159" s="23" t="e">
        <f ca="1"/>
        <v>#N/A</v>
      </c>
      <c r="G159" s="23">
        <f t="shared" ca="1" si="60"/>
        <v>0</v>
      </c>
      <c r="H159" t="b">
        <f t="shared" ca="1" si="56"/>
        <v>1</v>
      </c>
      <c r="I159" s="22" t="e">
        <f t="shared" ca="1" si="51"/>
        <v>#N/A</v>
      </c>
      <c r="J159">
        <f t="shared" ca="1" si="52"/>
        <v>0</v>
      </c>
      <c r="K159" t="e">
        <f t="shared" ca="1" si="57"/>
        <v>#N/A</v>
      </c>
      <c r="O159" s="22" t="e">
        <f t="shared" ca="1" si="53"/>
        <v>#N/A</v>
      </c>
      <c r="P159" s="17" t="e">
        <f ca="1"/>
        <v>#N/A</v>
      </c>
      <c r="Q159" s="17" t="e">
        <f ca="1"/>
        <v>#N/A</v>
      </c>
      <c r="R159" s="23" t="e">
        <f ca="1"/>
        <v>#N/A</v>
      </c>
      <c r="S159" s="23">
        <f t="shared" ca="1" si="61"/>
        <v>0</v>
      </c>
      <c r="T159" t="b">
        <f t="shared" ca="1" si="58"/>
        <v>1</v>
      </c>
      <c r="U159" s="22" t="e">
        <f t="shared" ca="1" si="54"/>
        <v>#N/A</v>
      </c>
      <c r="V159">
        <f t="shared" ca="1" si="55"/>
        <v>0</v>
      </c>
    </row>
    <row r="160" spans="2:22">
      <c r="B160">
        <f t="shared" si="59"/>
        <v>150</v>
      </c>
      <c r="C160" s="22" t="e">
        <f ca="1"/>
        <v>#N/A</v>
      </c>
      <c r="D160" s="17" t="e">
        <f ca="1"/>
        <v>#N/A</v>
      </c>
      <c r="E160" s="17" t="e">
        <f ca="1"/>
        <v>#N/A</v>
      </c>
      <c r="F160" s="23" t="e">
        <f ca="1"/>
        <v>#N/A</v>
      </c>
      <c r="G160" s="23">
        <f t="shared" ca="1" si="60"/>
        <v>0</v>
      </c>
      <c r="H160" t="b">
        <f t="shared" ca="1" si="56"/>
        <v>1</v>
      </c>
      <c r="I160" s="22" t="e">
        <f t="shared" ca="1" si="51"/>
        <v>#N/A</v>
      </c>
      <c r="J160">
        <f t="shared" ca="1" si="52"/>
        <v>0</v>
      </c>
      <c r="K160" t="e">
        <f t="shared" ca="1" si="57"/>
        <v>#N/A</v>
      </c>
      <c r="O160" s="22" t="e">
        <f t="shared" ca="1" si="53"/>
        <v>#N/A</v>
      </c>
      <c r="P160" s="17" t="e">
        <f ca="1"/>
        <v>#N/A</v>
      </c>
      <c r="Q160" s="17" t="e">
        <f ca="1"/>
        <v>#N/A</v>
      </c>
      <c r="R160" s="23" t="e">
        <f ca="1"/>
        <v>#N/A</v>
      </c>
      <c r="S160" s="23">
        <f t="shared" ca="1" si="61"/>
        <v>0</v>
      </c>
      <c r="T160" t="b">
        <f t="shared" ca="1" si="58"/>
        <v>1</v>
      </c>
      <c r="U160" s="22" t="e">
        <f t="shared" ca="1" si="54"/>
        <v>#N/A</v>
      </c>
      <c r="V160">
        <f t="shared" ca="1" si="55"/>
        <v>0</v>
      </c>
    </row>
    <row r="161" spans="2:22">
      <c r="B161">
        <f t="shared" si="59"/>
        <v>151</v>
      </c>
      <c r="C161" s="22" t="e">
        <f ca="1"/>
        <v>#N/A</v>
      </c>
      <c r="D161" s="17" t="e">
        <f ca="1"/>
        <v>#N/A</v>
      </c>
      <c r="E161" s="17" t="e">
        <f ca="1"/>
        <v>#N/A</v>
      </c>
      <c r="F161" s="23" t="e">
        <f ca="1"/>
        <v>#N/A</v>
      </c>
      <c r="G161" s="23">
        <f t="shared" ca="1" si="60"/>
        <v>0</v>
      </c>
      <c r="H161" t="b">
        <f t="shared" ca="1" si="56"/>
        <v>1</v>
      </c>
      <c r="I161" s="22" t="e">
        <f t="shared" ca="1" si="51"/>
        <v>#N/A</v>
      </c>
      <c r="J161">
        <f t="shared" ca="1" si="52"/>
        <v>0</v>
      </c>
      <c r="K161" t="e">
        <f t="shared" ca="1" si="57"/>
        <v>#N/A</v>
      </c>
      <c r="O161" s="22" t="e">
        <f t="shared" ca="1" si="53"/>
        <v>#N/A</v>
      </c>
      <c r="P161" s="17" t="e">
        <f ca="1"/>
        <v>#N/A</v>
      </c>
      <c r="Q161" s="17" t="e">
        <f ca="1"/>
        <v>#N/A</v>
      </c>
      <c r="R161" s="23" t="e">
        <f ca="1"/>
        <v>#N/A</v>
      </c>
      <c r="S161" s="23">
        <f t="shared" ca="1" si="61"/>
        <v>0</v>
      </c>
      <c r="T161" t="b">
        <f t="shared" ca="1" si="58"/>
        <v>1</v>
      </c>
      <c r="U161" s="22" t="e">
        <f t="shared" ca="1" si="54"/>
        <v>#N/A</v>
      </c>
      <c r="V161">
        <f t="shared" ca="1" si="55"/>
        <v>0</v>
      </c>
    </row>
    <row r="162" spans="2:22">
      <c r="B162">
        <f t="shared" si="59"/>
        <v>152</v>
      </c>
      <c r="C162" s="22" t="e">
        <f ca="1"/>
        <v>#N/A</v>
      </c>
      <c r="D162" s="17" t="e">
        <f ca="1"/>
        <v>#N/A</v>
      </c>
      <c r="E162" s="17" t="e">
        <f ca="1"/>
        <v>#N/A</v>
      </c>
      <c r="F162" s="23" t="e">
        <f ca="1"/>
        <v>#N/A</v>
      </c>
      <c r="G162" s="23">
        <f t="shared" ca="1" si="60"/>
        <v>0</v>
      </c>
      <c r="H162" t="b">
        <f t="shared" ca="1" si="56"/>
        <v>1</v>
      </c>
      <c r="I162" s="22" t="e">
        <f t="shared" ca="1" si="51"/>
        <v>#N/A</v>
      </c>
      <c r="J162">
        <f t="shared" ca="1" si="52"/>
        <v>0</v>
      </c>
      <c r="K162" t="e">
        <f t="shared" ca="1" si="57"/>
        <v>#N/A</v>
      </c>
      <c r="O162" s="22" t="e">
        <f t="shared" ca="1" si="53"/>
        <v>#N/A</v>
      </c>
      <c r="P162" s="17" t="e">
        <f ca="1"/>
        <v>#N/A</v>
      </c>
      <c r="Q162" s="17" t="e">
        <f ca="1"/>
        <v>#N/A</v>
      </c>
      <c r="R162" s="23" t="e">
        <f ca="1"/>
        <v>#N/A</v>
      </c>
      <c r="S162" s="23">
        <f t="shared" ca="1" si="61"/>
        <v>0</v>
      </c>
      <c r="T162" t="b">
        <f t="shared" ca="1" si="58"/>
        <v>1</v>
      </c>
      <c r="U162" s="22" t="e">
        <f t="shared" ca="1" si="54"/>
        <v>#N/A</v>
      </c>
      <c r="V162">
        <f t="shared" ca="1" si="55"/>
        <v>0</v>
      </c>
    </row>
    <row r="163" spans="2:22">
      <c r="B163">
        <f t="shared" si="59"/>
        <v>153</v>
      </c>
      <c r="C163" s="22" t="e">
        <f ca="1"/>
        <v>#N/A</v>
      </c>
      <c r="D163" s="17" t="e">
        <f ca="1"/>
        <v>#N/A</v>
      </c>
      <c r="E163" s="17" t="e">
        <f ca="1"/>
        <v>#N/A</v>
      </c>
      <c r="F163" s="23" t="e">
        <f ca="1"/>
        <v>#N/A</v>
      </c>
      <c r="G163" s="23">
        <f t="shared" ca="1" si="60"/>
        <v>0</v>
      </c>
      <c r="H163" t="b">
        <f t="shared" ca="1" si="56"/>
        <v>1</v>
      </c>
      <c r="I163" s="22" t="e">
        <f t="shared" ca="1" si="51"/>
        <v>#N/A</v>
      </c>
      <c r="J163">
        <f t="shared" ca="1" si="52"/>
        <v>0</v>
      </c>
      <c r="K163" t="e">
        <f t="shared" ca="1" si="57"/>
        <v>#N/A</v>
      </c>
      <c r="O163" s="22" t="e">
        <f t="shared" ca="1" si="53"/>
        <v>#N/A</v>
      </c>
      <c r="P163" s="17" t="e">
        <f ca="1"/>
        <v>#N/A</v>
      </c>
      <c r="Q163" s="17" t="e">
        <f ca="1"/>
        <v>#N/A</v>
      </c>
      <c r="R163" s="23" t="e">
        <f ca="1"/>
        <v>#N/A</v>
      </c>
      <c r="S163" s="23">
        <f t="shared" ca="1" si="61"/>
        <v>0</v>
      </c>
      <c r="T163" t="b">
        <f t="shared" ca="1" si="58"/>
        <v>1</v>
      </c>
      <c r="U163" s="22" t="e">
        <f t="shared" ca="1" si="54"/>
        <v>#N/A</v>
      </c>
      <c r="V163">
        <f t="shared" ca="1" si="55"/>
        <v>0</v>
      </c>
    </row>
    <row r="164" spans="2:22">
      <c r="B164">
        <f t="shared" si="59"/>
        <v>154</v>
      </c>
      <c r="C164" s="22" t="e">
        <f ca="1"/>
        <v>#N/A</v>
      </c>
      <c r="D164" s="17" t="e">
        <f ca="1"/>
        <v>#N/A</v>
      </c>
      <c r="E164" s="17" t="e">
        <f ca="1"/>
        <v>#N/A</v>
      </c>
      <c r="F164" s="23" t="e">
        <f ca="1"/>
        <v>#N/A</v>
      </c>
      <c r="G164" s="23">
        <f t="shared" ca="1" si="60"/>
        <v>0</v>
      </c>
      <c r="H164" t="b">
        <f t="shared" ca="1" si="56"/>
        <v>1</v>
      </c>
      <c r="I164" s="22" t="e">
        <f t="shared" ca="1" si="51"/>
        <v>#N/A</v>
      </c>
      <c r="J164">
        <f t="shared" ca="1" si="52"/>
        <v>0</v>
      </c>
      <c r="K164" t="e">
        <f t="shared" ca="1" si="57"/>
        <v>#N/A</v>
      </c>
      <c r="O164" s="22" t="e">
        <f t="shared" ca="1" si="53"/>
        <v>#N/A</v>
      </c>
      <c r="P164" s="17" t="e">
        <f ca="1"/>
        <v>#N/A</v>
      </c>
      <c r="Q164" s="17" t="e">
        <f ca="1"/>
        <v>#N/A</v>
      </c>
      <c r="R164" s="23" t="e">
        <f ca="1"/>
        <v>#N/A</v>
      </c>
      <c r="S164" s="23">
        <f t="shared" ca="1" si="61"/>
        <v>0</v>
      </c>
      <c r="T164" t="b">
        <f t="shared" ca="1" si="58"/>
        <v>1</v>
      </c>
      <c r="U164" s="22" t="e">
        <f t="shared" ca="1" si="54"/>
        <v>#N/A</v>
      </c>
      <c r="V164">
        <f t="shared" ca="1" si="55"/>
        <v>0</v>
      </c>
    </row>
    <row r="165" spans="2:22">
      <c r="B165">
        <f t="shared" si="59"/>
        <v>155</v>
      </c>
      <c r="C165" s="22" t="e">
        <f ca="1"/>
        <v>#N/A</v>
      </c>
      <c r="D165" s="17" t="e">
        <f ca="1"/>
        <v>#N/A</v>
      </c>
      <c r="E165" s="17" t="e">
        <f ca="1"/>
        <v>#N/A</v>
      </c>
      <c r="F165" s="23" t="e">
        <f ca="1"/>
        <v>#N/A</v>
      </c>
      <c r="G165" s="23">
        <f t="shared" ca="1" si="60"/>
        <v>0</v>
      </c>
      <c r="H165" t="b">
        <f t="shared" ca="1" si="56"/>
        <v>1</v>
      </c>
      <c r="I165" s="22" t="e">
        <f t="shared" ca="1" si="51"/>
        <v>#N/A</v>
      </c>
      <c r="J165">
        <f t="shared" ca="1" si="52"/>
        <v>0</v>
      </c>
      <c r="K165" t="e">
        <f t="shared" ca="1" si="57"/>
        <v>#N/A</v>
      </c>
      <c r="O165" s="22" t="e">
        <f t="shared" ca="1" si="53"/>
        <v>#N/A</v>
      </c>
      <c r="P165" s="17" t="e">
        <f ca="1"/>
        <v>#N/A</v>
      </c>
      <c r="Q165" s="17" t="e">
        <f ca="1"/>
        <v>#N/A</v>
      </c>
      <c r="R165" s="23" t="e">
        <f ca="1"/>
        <v>#N/A</v>
      </c>
      <c r="S165" s="23">
        <f t="shared" ca="1" si="61"/>
        <v>0</v>
      </c>
      <c r="T165" t="b">
        <f t="shared" ca="1" si="58"/>
        <v>1</v>
      </c>
      <c r="U165" s="22" t="e">
        <f t="shared" ca="1" si="54"/>
        <v>#N/A</v>
      </c>
      <c r="V165">
        <f t="shared" ca="1" si="55"/>
        <v>0</v>
      </c>
    </row>
    <row r="166" spans="2:22">
      <c r="B166">
        <f t="shared" si="59"/>
        <v>156</v>
      </c>
      <c r="C166" s="22" t="e">
        <f ca="1"/>
        <v>#N/A</v>
      </c>
      <c r="D166" s="17" t="e">
        <f ca="1"/>
        <v>#N/A</v>
      </c>
      <c r="E166" s="17" t="e">
        <f ca="1"/>
        <v>#N/A</v>
      </c>
      <c r="F166" s="23" t="e">
        <f ca="1"/>
        <v>#N/A</v>
      </c>
      <c r="G166" s="23">
        <f t="shared" ca="1" si="60"/>
        <v>0</v>
      </c>
      <c r="H166" t="b">
        <f t="shared" ca="1" si="56"/>
        <v>1</v>
      </c>
      <c r="I166" s="22" t="e">
        <f t="shared" ca="1" si="51"/>
        <v>#N/A</v>
      </c>
      <c r="J166">
        <f t="shared" ca="1" si="52"/>
        <v>0</v>
      </c>
      <c r="K166" t="e">
        <f t="shared" ca="1" si="57"/>
        <v>#N/A</v>
      </c>
      <c r="O166" s="22" t="e">
        <f t="shared" ca="1" si="53"/>
        <v>#N/A</v>
      </c>
      <c r="P166" s="17" t="e">
        <f ca="1"/>
        <v>#N/A</v>
      </c>
      <c r="Q166" s="17" t="e">
        <f ca="1"/>
        <v>#N/A</v>
      </c>
      <c r="R166" s="23" t="e">
        <f ca="1"/>
        <v>#N/A</v>
      </c>
      <c r="S166" s="23">
        <f t="shared" ca="1" si="61"/>
        <v>0</v>
      </c>
      <c r="T166" t="b">
        <f t="shared" ca="1" si="58"/>
        <v>1</v>
      </c>
      <c r="U166" s="22" t="e">
        <f t="shared" ca="1" si="54"/>
        <v>#N/A</v>
      </c>
      <c r="V166">
        <f t="shared" ca="1" si="55"/>
        <v>0</v>
      </c>
    </row>
    <row r="167" spans="2:22">
      <c r="B167">
        <f t="shared" si="59"/>
        <v>157</v>
      </c>
      <c r="C167" s="22" t="e">
        <f ca="1"/>
        <v>#N/A</v>
      </c>
      <c r="D167" s="17" t="e">
        <f ca="1"/>
        <v>#N/A</v>
      </c>
      <c r="E167" s="17" t="e">
        <f ca="1"/>
        <v>#N/A</v>
      </c>
      <c r="F167" s="23" t="e">
        <f ca="1"/>
        <v>#N/A</v>
      </c>
      <c r="G167" s="23">
        <f t="shared" ca="1" si="60"/>
        <v>0</v>
      </c>
      <c r="H167" t="b">
        <f t="shared" ca="1" si="56"/>
        <v>1</v>
      </c>
      <c r="I167" s="22" t="e">
        <f t="shared" ca="1" si="51"/>
        <v>#N/A</v>
      </c>
      <c r="J167">
        <f t="shared" ca="1" si="52"/>
        <v>0</v>
      </c>
      <c r="K167" t="e">
        <f t="shared" ca="1" si="57"/>
        <v>#N/A</v>
      </c>
      <c r="O167" s="22" t="e">
        <f t="shared" ca="1" si="53"/>
        <v>#N/A</v>
      </c>
      <c r="P167" s="17" t="e">
        <f ca="1"/>
        <v>#N/A</v>
      </c>
      <c r="Q167" s="17" t="e">
        <f ca="1"/>
        <v>#N/A</v>
      </c>
      <c r="R167" s="23" t="e">
        <f ca="1"/>
        <v>#N/A</v>
      </c>
      <c r="S167" s="23">
        <f t="shared" ca="1" si="61"/>
        <v>0</v>
      </c>
      <c r="T167" t="b">
        <f t="shared" ca="1" si="58"/>
        <v>1</v>
      </c>
      <c r="U167" s="22" t="e">
        <f t="shared" ca="1" si="54"/>
        <v>#N/A</v>
      </c>
      <c r="V167">
        <f t="shared" ca="1" si="55"/>
        <v>0</v>
      </c>
    </row>
    <row r="168" spans="2:22">
      <c r="B168">
        <f t="shared" si="59"/>
        <v>158</v>
      </c>
      <c r="C168" s="22" t="e">
        <f ca="1"/>
        <v>#N/A</v>
      </c>
      <c r="D168" s="17" t="e">
        <f ca="1"/>
        <v>#N/A</v>
      </c>
      <c r="E168" s="17" t="e">
        <f ca="1"/>
        <v>#N/A</v>
      </c>
      <c r="F168" s="23" t="e">
        <f ca="1"/>
        <v>#N/A</v>
      </c>
      <c r="G168" s="23">
        <f t="shared" ca="1" si="60"/>
        <v>0</v>
      </c>
      <c r="H168" t="b">
        <f t="shared" ca="1" si="56"/>
        <v>1</v>
      </c>
      <c r="I168" s="22" t="e">
        <f t="shared" ca="1" si="51"/>
        <v>#N/A</v>
      </c>
      <c r="J168">
        <f t="shared" ca="1" si="52"/>
        <v>0</v>
      </c>
      <c r="K168" t="e">
        <f t="shared" ca="1" si="57"/>
        <v>#N/A</v>
      </c>
      <c r="O168" s="22" t="e">
        <f t="shared" ca="1" si="53"/>
        <v>#N/A</v>
      </c>
      <c r="P168" s="17" t="e">
        <f ca="1"/>
        <v>#N/A</v>
      </c>
      <c r="Q168" s="17" t="e">
        <f ca="1"/>
        <v>#N/A</v>
      </c>
      <c r="R168" s="23" t="e">
        <f ca="1"/>
        <v>#N/A</v>
      </c>
      <c r="S168" s="23">
        <f t="shared" ca="1" si="61"/>
        <v>0</v>
      </c>
      <c r="T168" t="b">
        <f t="shared" ca="1" si="58"/>
        <v>1</v>
      </c>
      <c r="U168" s="22" t="e">
        <f t="shared" ca="1" si="54"/>
        <v>#N/A</v>
      </c>
      <c r="V168">
        <f t="shared" ca="1" si="55"/>
        <v>0</v>
      </c>
    </row>
    <row r="169" spans="2:22">
      <c r="B169">
        <f t="shared" si="59"/>
        <v>159</v>
      </c>
      <c r="C169" s="22" t="e">
        <f ca="1"/>
        <v>#N/A</v>
      </c>
      <c r="D169" s="17" t="e">
        <f ca="1"/>
        <v>#N/A</v>
      </c>
      <c r="E169" s="17" t="e">
        <f ca="1"/>
        <v>#N/A</v>
      </c>
      <c r="F169" s="23" t="e">
        <f ca="1"/>
        <v>#N/A</v>
      </c>
      <c r="G169" s="23">
        <f t="shared" ca="1" si="60"/>
        <v>0</v>
      </c>
      <c r="H169" t="b">
        <f t="shared" ca="1" si="56"/>
        <v>1</v>
      </c>
      <c r="I169" s="22" t="e">
        <f t="shared" ca="1" si="51"/>
        <v>#N/A</v>
      </c>
      <c r="J169">
        <f t="shared" ca="1" si="52"/>
        <v>0</v>
      </c>
      <c r="K169" t="e">
        <f t="shared" ca="1" si="57"/>
        <v>#N/A</v>
      </c>
      <c r="O169" s="22" t="e">
        <f t="shared" ca="1" si="53"/>
        <v>#N/A</v>
      </c>
      <c r="P169" s="17" t="e">
        <f ca="1"/>
        <v>#N/A</v>
      </c>
      <c r="Q169" s="17" t="e">
        <f ca="1"/>
        <v>#N/A</v>
      </c>
      <c r="R169" s="23" t="e">
        <f ca="1"/>
        <v>#N/A</v>
      </c>
      <c r="S169" s="23">
        <f t="shared" ca="1" si="61"/>
        <v>0</v>
      </c>
      <c r="T169" t="b">
        <f t="shared" ca="1" si="58"/>
        <v>1</v>
      </c>
      <c r="U169" s="22" t="e">
        <f t="shared" ca="1" si="54"/>
        <v>#N/A</v>
      </c>
      <c r="V169">
        <f t="shared" ca="1" si="55"/>
        <v>0</v>
      </c>
    </row>
    <row r="170" spans="2:22">
      <c r="B170">
        <f t="shared" si="59"/>
        <v>160</v>
      </c>
      <c r="C170" s="22" t="e">
        <f ca="1"/>
        <v>#N/A</v>
      </c>
      <c r="D170" s="17" t="e">
        <f ca="1"/>
        <v>#N/A</v>
      </c>
      <c r="E170" s="17" t="e">
        <f ca="1"/>
        <v>#N/A</v>
      </c>
      <c r="F170" s="23" t="e">
        <f ca="1"/>
        <v>#N/A</v>
      </c>
      <c r="G170" s="23">
        <f t="shared" ca="1" si="60"/>
        <v>0</v>
      </c>
      <c r="H170" t="b">
        <f t="shared" ca="1" si="56"/>
        <v>1</v>
      </c>
      <c r="I170" s="22" t="e">
        <f t="shared" ca="1" si="51"/>
        <v>#N/A</v>
      </c>
      <c r="J170">
        <f t="shared" ca="1" si="52"/>
        <v>0</v>
      </c>
      <c r="K170" t="e">
        <f t="shared" ca="1" si="57"/>
        <v>#N/A</v>
      </c>
      <c r="O170" s="22" t="e">
        <f t="shared" ca="1" si="53"/>
        <v>#N/A</v>
      </c>
      <c r="P170" s="17" t="e">
        <f ca="1"/>
        <v>#N/A</v>
      </c>
      <c r="Q170" s="17" t="e">
        <f ca="1"/>
        <v>#N/A</v>
      </c>
      <c r="R170" s="23" t="e">
        <f ca="1"/>
        <v>#N/A</v>
      </c>
      <c r="S170" s="23">
        <f t="shared" ca="1" si="61"/>
        <v>0</v>
      </c>
      <c r="T170" t="b">
        <f t="shared" ca="1" si="58"/>
        <v>1</v>
      </c>
      <c r="U170" s="22" t="e">
        <f t="shared" ca="1" si="54"/>
        <v>#N/A</v>
      </c>
      <c r="V170">
        <f t="shared" ca="1" si="55"/>
        <v>0</v>
      </c>
    </row>
    <row r="171" spans="2:22">
      <c r="B171">
        <f t="shared" si="59"/>
        <v>161</v>
      </c>
      <c r="C171" s="22" t="e">
        <f ca="1"/>
        <v>#N/A</v>
      </c>
      <c r="D171" s="17" t="e">
        <f ca="1"/>
        <v>#N/A</v>
      </c>
      <c r="E171" s="17" t="e">
        <f ca="1"/>
        <v>#N/A</v>
      </c>
      <c r="F171" s="23" t="e">
        <f ca="1"/>
        <v>#N/A</v>
      </c>
      <c r="G171" s="23">
        <f t="shared" ca="1" si="60"/>
        <v>0</v>
      </c>
      <c r="H171" t="b">
        <f t="shared" ca="1" si="56"/>
        <v>1</v>
      </c>
      <c r="I171" s="22" t="e">
        <f t="shared" ca="1" si="51"/>
        <v>#N/A</v>
      </c>
      <c r="J171">
        <f t="shared" ca="1" si="52"/>
        <v>0</v>
      </c>
      <c r="K171" t="e">
        <f t="shared" ca="1" si="57"/>
        <v>#N/A</v>
      </c>
      <c r="O171" s="22" t="e">
        <f t="shared" ca="1" si="53"/>
        <v>#N/A</v>
      </c>
      <c r="P171" s="17" t="e">
        <f ca="1"/>
        <v>#N/A</v>
      </c>
      <c r="Q171" s="17" t="e">
        <f ca="1"/>
        <v>#N/A</v>
      </c>
      <c r="R171" s="23" t="e">
        <f ca="1"/>
        <v>#N/A</v>
      </c>
      <c r="S171" s="23">
        <f t="shared" ca="1" si="61"/>
        <v>0</v>
      </c>
      <c r="T171" t="b">
        <f t="shared" ca="1" si="58"/>
        <v>1</v>
      </c>
      <c r="U171" s="22" t="e">
        <f t="shared" ca="1" si="54"/>
        <v>#N/A</v>
      </c>
      <c r="V171">
        <f t="shared" ca="1" si="55"/>
        <v>0</v>
      </c>
    </row>
    <row r="172" spans="2:22">
      <c r="B172">
        <f t="shared" si="59"/>
        <v>162</v>
      </c>
      <c r="C172" s="22" t="e">
        <f ca="1"/>
        <v>#N/A</v>
      </c>
      <c r="D172" s="17" t="e">
        <f ca="1"/>
        <v>#N/A</v>
      </c>
      <c r="E172" s="17" t="e">
        <f ca="1"/>
        <v>#N/A</v>
      </c>
      <c r="F172" s="23" t="e">
        <f ca="1"/>
        <v>#N/A</v>
      </c>
      <c r="G172" s="23">
        <f t="shared" ca="1" si="60"/>
        <v>0</v>
      </c>
      <c r="H172" t="b">
        <f t="shared" ca="1" si="56"/>
        <v>1</v>
      </c>
      <c r="I172" s="22" t="e">
        <f t="shared" ca="1" si="51"/>
        <v>#N/A</v>
      </c>
      <c r="J172">
        <f t="shared" ca="1" si="52"/>
        <v>0</v>
      </c>
      <c r="K172" t="e">
        <f t="shared" ca="1" si="57"/>
        <v>#N/A</v>
      </c>
      <c r="O172" s="22" t="e">
        <f t="shared" ca="1" si="53"/>
        <v>#N/A</v>
      </c>
      <c r="P172" s="17" t="e">
        <f ca="1"/>
        <v>#N/A</v>
      </c>
      <c r="Q172" s="17" t="e">
        <f ca="1"/>
        <v>#N/A</v>
      </c>
      <c r="R172" s="23" t="e">
        <f ca="1"/>
        <v>#N/A</v>
      </c>
      <c r="S172" s="23">
        <f t="shared" ca="1" si="61"/>
        <v>0</v>
      </c>
      <c r="T172" t="b">
        <f t="shared" ca="1" si="58"/>
        <v>1</v>
      </c>
      <c r="U172" s="22" t="e">
        <f t="shared" ca="1" si="54"/>
        <v>#N/A</v>
      </c>
      <c r="V172">
        <f t="shared" ca="1" si="55"/>
        <v>0</v>
      </c>
    </row>
    <row r="173" spans="2:22">
      <c r="B173">
        <f t="shared" si="59"/>
        <v>163</v>
      </c>
      <c r="C173" s="22" t="e">
        <f ca="1"/>
        <v>#N/A</v>
      </c>
      <c r="D173" s="17" t="e">
        <f ca="1"/>
        <v>#N/A</v>
      </c>
      <c r="E173" s="17" t="e">
        <f ca="1"/>
        <v>#N/A</v>
      </c>
      <c r="F173" s="23" t="e">
        <f ca="1"/>
        <v>#N/A</v>
      </c>
      <c r="G173" s="23">
        <f t="shared" ca="1" si="60"/>
        <v>0</v>
      </c>
      <c r="H173" t="b">
        <f t="shared" ca="1" si="56"/>
        <v>1</v>
      </c>
      <c r="I173" s="22" t="e">
        <f t="shared" ca="1" si="51"/>
        <v>#N/A</v>
      </c>
      <c r="J173">
        <f t="shared" ca="1" si="52"/>
        <v>0</v>
      </c>
      <c r="K173" t="e">
        <f t="shared" ca="1" si="57"/>
        <v>#N/A</v>
      </c>
      <c r="O173" s="22" t="e">
        <f t="shared" ca="1" si="53"/>
        <v>#N/A</v>
      </c>
      <c r="P173" s="17" t="e">
        <f ca="1"/>
        <v>#N/A</v>
      </c>
      <c r="Q173" s="17" t="e">
        <f ca="1"/>
        <v>#N/A</v>
      </c>
      <c r="R173" s="23" t="e">
        <f ca="1"/>
        <v>#N/A</v>
      </c>
      <c r="S173" s="23">
        <f t="shared" ca="1" si="61"/>
        <v>0</v>
      </c>
      <c r="T173" t="b">
        <f t="shared" ca="1" si="58"/>
        <v>1</v>
      </c>
      <c r="U173" s="22" t="e">
        <f t="shared" ca="1" si="54"/>
        <v>#N/A</v>
      </c>
      <c r="V173">
        <f t="shared" ca="1" si="55"/>
        <v>0</v>
      </c>
    </row>
    <row r="174" spans="2:22">
      <c r="B174">
        <f t="shared" si="59"/>
        <v>164</v>
      </c>
      <c r="C174" s="22" t="e">
        <f ca="1"/>
        <v>#N/A</v>
      </c>
      <c r="D174" s="17" t="e">
        <f ca="1"/>
        <v>#N/A</v>
      </c>
      <c r="E174" s="17" t="e">
        <f ca="1"/>
        <v>#N/A</v>
      </c>
      <c r="F174" s="23" t="e">
        <f ca="1"/>
        <v>#N/A</v>
      </c>
      <c r="G174" s="23">
        <f t="shared" ca="1" si="60"/>
        <v>0</v>
      </c>
      <c r="H174" t="b">
        <f t="shared" ca="1" si="56"/>
        <v>1</v>
      </c>
      <c r="I174" s="22" t="e">
        <f t="shared" ca="1" si="51"/>
        <v>#N/A</v>
      </c>
      <c r="J174">
        <f t="shared" ca="1" si="52"/>
        <v>0</v>
      </c>
      <c r="K174" t="e">
        <f t="shared" ca="1" si="57"/>
        <v>#N/A</v>
      </c>
      <c r="O174" s="22" t="e">
        <f t="shared" ca="1" si="53"/>
        <v>#N/A</v>
      </c>
      <c r="P174" s="17" t="e">
        <f ca="1"/>
        <v>#N/A</v>
      </c>
      <c r="Q174" s="17" t="e">
        <f ca="1"/>
        <v>#N/A</v>
      </c>
      <c r="R174" s="23" t="e">
        <f ca="1"/>
        <v>#N/A</v>
      </c>
      <c r="S174" s="23">
        <f t="shared" ca="1" si="61"/>
        <v>0</v>
      </c>
      <c r="T174" t="b">
        <f t="shared" ca="1" si="58"/>
        <v>1</v>
      </c>
      <c r="U174" s="22" t="e">
        <f t="shared" ca="1" si="54"/>
        <v>#N/A</v>
      </c>
      <c r="V174">
        <f t="shared" ca="1" si="55"/>
        <v>0</v>
      </c>
    </row>
    <row r="175" spans="2:22">
      <c r="B175">
        <f t="shared" si="59"/>
        <v>165</v>
      </c>
      <c r="C175" s="22" t="e">
        <f ca="1"/>
        <v>#N/A</v>
      </c>
      <c r="D175" s="17" t="e">
        <f ca="1"/>
        <v>#N/A</v>
      </c>
      <c r="E175" s="17" t="e">
        <f ca="1"/>
        <v>#N/A</v>
      </c>
      <c r="F175" s="23" t="e">
        <f ca="1"/>
        <v>#N/A</v>
      </c>
      <c r="G175" s="23">
        <f t="shared" ca="1" si="60"/>
        <v>0</v>
      </c>
      <c r="H175" t="b">
        <f t="shared" ca="1" si="56"/>
        <v>1</v>
      </c>
      <c r="I175" s="22" t="e">
        <f t="shared" ca="1" si="51"/>
        <v>#N/A</v>
      </c>
      <c r="J175">
        <f t="shared" ca="1" si="52"/>
        <v>0</v>
      </c>
      <c r="K175" t="e">
        <f t="shared" ca="1" si="57"/>
        <v>#N/A</v>
      </c>
      <c r="O175" s="22" t="e">
        <f t="shared" ca="1" si="53"/>
        <v>#N/A</v>
      </c>
      <c r="P175" s="17" t="e">
        <f ca="1"/>
        <v>#N/A</v>
      </c>
      <c r="Q175" s="17" t="e">
        <f ca="1"/>
        <v>#N/A</v>
      </c>
      <c r="R175" s="23" t="e">
        <f ca="1"/>
        <v>#N/A</v>
      </c>
      <c r="S175" s="23">
        <f t="shared" ca="1" si="61"/>
        <v>0</v>
      </c>
      <c r="T175" t="b">
        <f t="shared" ca="1" si="58"/>
        <v>1</v>
      </c>
      <c r="U175" s="22" t="e">
        <f t="shared" ca="1" si="54"/>
        <v>#N/A</v>
      </c>
      <c r="V175">
        <f t="shared" ca="1" si="55"/>
        <v>0</v>
      </c>
    </row>
    <row r="176" spans="2:22">
      <c r="B176">
        <f t="shared" si="59"/>
        <v>166</v>
      </c>
      <c r="C176" s="22" t="e">
        <f ca="1"/>
        <v>#N/A</v>
      </c>
      <c r="D176" s="17" t="e">
        <f ca="1"/>
        <v>#N/A</v>
      </c>
      <c r="E176" s="17" t="e">
        <f ca="1"/>
        <v>#N/A</v>
      </c>
      <c r="F176" s="23" t="e">
        <f ca="1"/>
        <v>#N/A</v>
      </c>
      <c r="G176" s="23">
        <f t="shared" ca="1" si="60"/>
        <v>0</v>
      </c>
      <c r="H176" t="b">
        <f t="shared" ca="1" si="56"/>
        <v>1</v>
      </c>
      <c r="I176" s="22" t="e">
        <f t="shared" ca="1" si="51"/>
        <v>#N/A</v>
      </c>
      <c r="J176">
        <f t="shared" ca="1" si="52"/>
        <v>0</v>
      </c>
      <c r="K176" t="e">
        <f t="shared" ca="1" si="57"/>
        <v>#N/A</v>
      </c>
      <c r="O176" s="22" t="e">
        <f t="shared" ca="1" si="53"/>
        <v>#N/A</v>
      </c>
      <c r="P176" s="17" t="e">
        <f ca="1"/>
        <v>#N/A</v>
      </c>
      <c r="Q176" s="17" t="e">
        <f ca="1"/>
        <v>#N/A</v>
      </c>
      <c r="R176" s="23" t="e">
        <f ca="1"/>
        <v>#N/A</v>
      </c>
      <c r="S176" s="23">
        <f t="shared" ca="1" si="61"/>
        <v>0</v>
      </c>
      <c r="T176" t="b">
        <f t="shared" ca="1" si="58"/>
        <v>1</v>
      </c>
      <c r="U176" s="22" t="e">
        <f t="shared" ca="1" si="54"/>
        <v>#N/A</v>
      </c>
      <c r="V176">
        <f t="shared" ca="1" si="55"/>
        <v>0</v>
      </c>
    </row>
    <row r="177" spans="2:22">
      <c r="B177">
        <f t="shared" si="59"/>
        <v>167</v>
      </c>
      <c r="C177" s="22" t="e">
        <f ca="1"/>
        <v>#N/A</v>
      </c>
      <c r="D177" s="17" t="e">
        <f ca="1"/>
        <v>#N/A</v>
      </c>
      <c r="E177" s="17" t="e">
        <f ca="1"/>
        <v>#N/A</v>
      </c>
      <c r="F177" s="23" t="e">
        <f ca="1"/>
        <v>#N/A</v>
      </c>
      <c r="G177" s="23">
        <f t="shared" ca="1" si="60"/>
        <v>0</v>
      </c>
      <c r="H177" t="b">
        <f t="shared" ca="1" si="56"/>
        <v>1</v>
      </c>
      <c r="I177" s="22" t="e">
        <f t="shared" ca="1" si="51"/>
        <v>#N/A</v>
      </c>
      <c r="J177">
        <f t="shared" ca="1" si="52"/>
        <v>0</v>
      </c>
      <c r="K177" t="e">
        <f t="shared" ca="1" si="57"/>
        <v>#N/A</v>
      </c>
      <c r="O177" s="22" t="e">
        <f t="shared" ca="1" si="53"/>
        <v>#N/A</v>
      </c>
      <c r="P177" s="17" t="e">
        <f ca="1"/>
        <v>#N/A</v>
      </c>
      <c r="Q177" s="17" t="e">
        <f ca="1"/>
        <v>#N/A</v>
      </c>
      <c r="R177" s="23" t="e">
        <f ca="1"/>
        <v>#N/A</v>
      </c>
      <c r="S177" s="23">
        <f t="shared" ca="1" si="61"/>
        <v>0</v>
      </c>
      <c r="T177" t="b">
        <f t="shared" ca="1" si="58"/>
        <v>1</v>
      </c>
      <c r="U177" s="22" t="e">
        <f t="shared" ca="1" si="54"/>
        <v>#N/A</v>
      </c>
      <c r="V177">
        <f t="shared" ca="1" si="55"/>
        <v>0</v>
      </c>
    </row>
    <row r="178" spans="2:22">
      <c r="B178">
        <f t="shared" si="59"/>
        <v>168</v>
      </c>
      <c r="C178" s="22" t="e">
        <f ca="1"/>
        <v>#N/A</v>
      </c>
      <c r="D178" s="17" t="e">
        <f ca="1"/>
        <v>#N/A</v>
      </c>
      <c r="E178" s="17" t="e">
        <f ca="1"/>
        <v>#N/A</v>
      </c>
      <c r="F178" s="23" t="e">
        <f ca="1"/>
        <v>#N/A</v>
      </c>
      <c r="G178" s="23">
        <f t="shared" ca="1" si="60"/>
        <v>0</v>
      </c>
      <c r="H178" t="b">
        <f t="shared" ca="1" si="56"/>
        <v>1</v>
      </c>
      <c r="I178" s="22" t="e">
        <f t="shared" ca="1" si="51"/>
        <v>#N/A</v>
      </c>
      <c r="J178">
        <f t="shared" ca="1" si="52"/>
        <v>0</v>
      </c>
      <c r="K178" t="e">
        <f t="shared" ca="1" si="57"/>
        <v>#N/A</v>
      </c>
      <c r="O178" s="22" t="e">
        <f t="shared" ca="1" si="53"/>
        <v>#N/A</v>
      </c>
      <c r="P178" s="17" t="e">
        <f ca="1"/>
        <v>#N/A</v>
      </c>
      <c r="Q178" s="17" t="e">
        <f ca="1"/>
        <v>#N/A</v>
      </c>
      <c r="R178" s="23" t="e">
        <f ca="1"/>
        <v>#N/A</v>
      </c>
      <c r="S178" s="23">
        <f t="shared" ca="1" si="61"/>
        <v>0</v>
      </c>
      <c r="T178" t="b">
        <f t="shared" ca="1" si="58"/>
        <v>1</v>
      </c>
      <c r="U178" s="22" t="e">
        <f t="shared" ca="1" si="54"/>
        <v>#N/A</v>
      </c>
      <c r="V178">
        <f t="shared" ca="1" si="55"/>
        <v>0</v>
      </c>
    </row>
    <row r="179" spans="2:22">
      <c r="B179">
        <f t="shared" si="59"/>
        <v>169</v>
      </c>
      <c r="C179" s="22" t="e">
        <f ca="1"/>
        <v>#N/A</v>
      </c>
      <c r="D179" s="17" t="e">
        <f ca="1"/>
        <v>#N/A</v>
      </c>
      <c r="E179" s="17" t="e">
        <f ca="1"/>
        <v>#N/A</v>
      </c>
      <c r="F179" s="23" t="e">
        <f ca="1"/>
        <v>#N/A</v>
      </c>
      <c r="G179" s="23">
        <f t="shared" ca="1" si="60"/>
        <v>0</v>
      </c>
      <c r="H179" t="b">
        <f t="shared" ca="1" si="56"/>
        <v>1</v>
      </c>
      <c r="I179" s="22" t="e">
        <f t="shared" ca="1" si="51"/>
        <v>#N/A</v>
      </c>
      <c r="J179">
        <f t="shared" ca="1" si="52"/>
        <v>0</v>
      </c>
      <c r="K179" t="e">
        <f t="shared" ca="1" si="57"/>
        <v>#N/A</v>
      </c>
      <c r="O179" s="22" t="e">
        <f t="shared" ca="1" si="53"/>
        <v>#N/A</v>
      </c>
      <c r="P179" s="17" t="e">
        <f ca="1"/>
        <v>#N/A</v>
      </c>
      <c r="Q179" s="17" t="e">
        <f ca="1"/>
        <v>#N/A</v>
      </c>
      <c r="R179" s="23" t="e">
        <f ca="1"/>
        <v>#N/A</v>
      </c>
      <c r="S179" s="23">
        <f t="shared" ca="1" si="61"/>
        <v>0</v>
      </c>
      <c r="T179" t="b">
        <f t="shared" ca="1" si="58"/>
        <v>1</v>
      </c>
      <c r="U179" s="22" t="e">
        <f t="shared" ca="1" si="54"/>
        <v>#N/A</v>
      </c>
      <c r="V179">
        <f t="shared" ca="1" si="55"/>
        <v>0</v>
      </c>
    </row>
    <row r="180" spans="2:22">
      <c r="B180">
        <f t="shared" si="59"/>
        <v>170</v>
      </c>
      <c r="C180" s="22" t="e">
        <f ca="1"/>
        <v>#N/A</v>
      </c>
      <c r="D180" s="17" t="e">
        <f ca="1"/>
        <v>#N/A</v>
      </c>
      <c r="E180" s="17" t="e">
        <f ca="1"/>
        <v>#N/A</v>
      </c>
      <c r="F180" s="23" t="e">
        <f ca="1"/>
        <v>#N/A</v>
      </c>
      <c r="G180" s="23">
        <f t="shared" ca="1" si="60"/>
        <v>0</v>
      </c>
      <c r="H180" t="b">
        <f t="shared" ca="1" si="56"/>
        <v>1</v>
      </c>
      <c r="I180" s="22" t="e">
        <f t="shared" ca="1" si="51"/>
        <v>#N/A</v>
      </c>
      <c r="J180">
        <f t="shared" ca="1" si="52"/>
        <v>0</v>
      </c>
      <c r="K180" t="e">
        <f t="shared" ca="1" si="57"/>
        <v>#N/A</v>
      </c>
      <c r="O180" s="22" t="e">
        <f t="shared" ca="1" si="53"/>
        <v>#N/A</v>
      </c>
      <c r="P180" s="17" t="e">
        <f ca="1"/>
        <v>#N/A</v>
      </c>
      <c r="Q180" s="17" t="e">
        <f ca="1"/>
        <v>#N/A</v>
      </c>
      <c r="R180" s="23" t="e">
        <f ca="1"/>
        <v>#N/A</v>
      </c>
      <c r="S180" s="23">
        <f t="shared" ca="1" si="61"/>
        <v>0</v>
      </c>
      <c r="T180" t="b">
        <f t="shared" ca="1" si="58"/>
        <v>1</v>
      </c>
      <c r="U180" s="22" t="e">
        <f t="shared" ca="1" si="54"/>
        <v>#N/A</v>
      </c>
      <c r="V180">
        <f t="shared" ca="1" si="55"/>
        <v>0</v>
      </c>
    </row>
    <row r="181" spans="2:22">
      <c r="B181">
        <f t="shared" si="59"/>
        <v>171</v>
      </c>
      <c r="C181" s="22" t="e">
        <f ca="1"/>
        <v>#N/A</v>
      </c>
      <c r="D181" s="17" t="e">
        <f ca="1"/>
        <v>#N/A</v>
      </c>
      <c r="E181" s="17" t="e">
        <f ca="1"/>
        <v>#N/A</v>
      </c>
      <c r="F181" s="23" t="e">
        <f ca="1"/>
        <v>#N/A</v>
      </c>
      <c r="G181" s="23">
        <f t="shared" ca="1" si="60"/>
        <v>0</v>
      </c>
      <c r="H181" t="b">
        <f t="shared" ca="1" si="56"/>
        <v>1</v>
      </c>
      <c r="I181" s="22" t="e">
        <f t="shared" ca="1" si="51"/>
        <v>#N/A</v>
      </c>
      <c r="J181">
        <f t="shared" ca="1" si="52"/>
        <v>0</v>
      </c>
      <c r="K181" t="e">
        <f t="shared" ca="1" si="57"/>
        <v>#N/A</v>
      </c>
      <c r="O181" s="22" t="e">
        <f t="shared" ca="1" si="53"/>
        <v>#N/A</v>
      </c>
      <c r="P181" s="17" t="e">
        <f ca="1"/>
        <v>#N/A</v>
      </c>
      <c r="Q181" s="17" t="e">
        <f ca="1"/>
        <v>#N/A</v>
      </c>
      <c r="R181" s="23" t="e">
        <f ca="1"/>
        <v>#N/A</v>
      </c>
      <c r="S181" s="23">
        <f t="shared" ca="1" si="61"/>
        <v>0</v>
      </c>
      <c r="T181" t="b">
        <f t="shared" ca="1" si="58"/>
        <v>1</v>
      </c>
      <c r="U181" s="22" t="e">
        <f t="shared" ca="1" si="54"/>
        <v>#N/A</v>
      </c>
      <c r="V181">
        <f t="shared" ca="1" si="55"/>
        <v>0</v>
      </c>
    </row>
    <row r="182" spans="2:22">
      <c r="B182">
        <f t="shared" si="59"/>
        <v>172</v>
      </c>
      <c r="C182" s="22" t="e">
        <f ca="1"/>
        <v>#N/A</v>
      </c>
      <c r="D182" s="17" t="e">
        <f ca="1"/>
        <v>#N/A</v>
      </c>
      <c r="E182" s="17" t="e">
        <f ca="1"/>
        <v>#N/A</v>
      </c>
      <c r="F182" s="23" t="e">
        <f ca="1"/>
        <v>#N/A</v>
      </c>
      <c r="G182" s="23">
        <f t="shared" ca="1" si="60"/>
        <v>0</v>
      </c>
      <c r="H182" t="b">
        <f t="shared" ca="1" si="56"/>
        <v>1</v>
      </c>
      <c r="I182" s="22" t="e">
        <f t="shared" ca="1" si="51"/>
        <v>#N/A</v>
      </c>
      <c r="J182">
        <f t="shared" ca="1" si="52"/>
        <v>0</v>
      </c>
      <c r="K182" t="e">
        <f t="shared" ca="1" si="57"/>
        <v>#N/A</v>
      </c>
      <c r="O182" s="22" t="e">
        <f t="shared" ca="1" si="53"/>
        <v>#N/A</v>
      </c>
      <c r="P182" s="17" t="e">
        <f ca="1"/>
        <v>#N/A</v>
      </c>
      <c r="Q182" s="17" t="e">
        <f ca="1"/>
        <v>#N/A</v>
      </c>
      <c r="R182" s="23" t="e">
        <f ca="1"/>
        <v>#N/A</v>
      </c>
      <c r="S182" s="23">
        <f t="shared" ca="1" si="61"/>
        <v>0</v>
      </c>
      <c r="T182" t="b">
        <f t="shared" ca="1" si="58"/>
        <v>1</v>
      </c>
      <c r="U182" s="22" t="e">
        <f t="shared" ca="1" si="54"/>
        <v>#N/A</v>
      </c>
      <c r="V182">
        <f t="shared" ca="1" si="55"/>
        <v>0</v>
      </c>
    </row>
    <row r="183" spans="2:22">
      <c r="B183">
        <f t="shared" si="59"/>
        <v>173</v>
      </c>
      <c r="C183" s="22" t="e">
        <f ca="1"/>
        <v>#N/A</v>
      </c>
      <c r="D183" s="17" t="e">
        <f ca="1"/>
        <v>#N/A</v>
      </c>
      <c r="E183" s="17" t="e">
        <f ca="1"/>
        <v>#N/A</v>
      </c>
      <c r="F183" s="23" t="e">
        <f ca="1"/>
        <v>#N/A</v>
      </c>
      <c r="G183" s="23">
        <f t="shared" ca="1" si="60"/>
        <v>0</v>
      </c>
      <c r="H183" t="b">
        <f t="shared" ca="1" si="56"/>
        <v>1</v>
      </c>
      <c r="I183" s="22" t="e">
        <f t="shared" ca="1" si="51"/>
        <v>#N/A</v>
      </c>
      <c r="J183">
        <f t="shared" ca="1" si="52"/>
        <v>0</v>
      </c>
      <c r="K183" t="e">
        <f t="shared" ca="1" si="57"/>
        <v>#N/A</v>
      </c>
      <c r="O183" s="22" t="e">
        <f t="shared" ca="1" si="53"/>
        <v>#N/A</v>
      </c>
      <c r="P183" s="17" t="e">
        <f ca="1"/>
        <v>#N/A</v>
      </c>
      <c r="Q183" s="17" t="e">
        <f ca="1"/>
        <v>#N/A</v>
      </c>
      <c r="R183" s="23" t="e">
        <f ca="1"/>
        <v>#N/A</v>
      </c>
      <c r="S183" s="23">
        <f t="shared" ca="1" si="61"/>
        <v>0</v>
      </c>
      <c r="T183" t="b">
        <f t="shared" ca="1" si="58"/>
        <v>1</v>
      </c>
      <c r="U183" s="22" t="e">
        <f t="shared" ca="1" si="54"/>
        <v>#N/A</v>
      </c>
      <c r="V183">
        <f t="shared" ca="1" si="55"/>
        <v>0</v>
      </c>
    </row>
    <row r="184" spans="2:22">
      <c r="B184">
        <f t="shared" si="59"/>
        <v>174</v>
      </c>
      <c r="C184" s="22" t="e">
        <f ca="1"/>
        <v>#N/A</v>
      </c>
      <c r="D184" s="17" t="e">
        <f ca="1"/>
        <v>#N/A</v>
      </c>
      <c r="E184" s="17" t="e">
        <f ca="1"/>
        <v>#N/A</v>
      </c>
      <c r="F184" s="23" t="e">
        <f ca="1"/>
        <v>#N/A</v>
      </c>
      <c r="G184" s="23">
        <f t="shared" ca="1" si="60"/>
        <v>0</v>
      </c>
      <c r="H184" t="b">
        <f t="shared" ca="1" si="56"/>
        <v>1</v>
      </c>
      <c r="I184" s="22" t="e">
        <f t="shared" ca="1" si="51"/>
        <v>#N/A</v>
      </c>
      <c r="J184">
        <f t="shared" ca="1" si="52"/>
        <v>0</v>
      </c>
      <c r="K184" t="e">
        <f t="shared" ca="1" si="57"/>
        <v>#N/A</v>
      </c>
      <c r="O184" s="22" t="e">
        <f t="shared" ca="1" si="53"/>
        <v>#N/A</v>
      </c>
      <c r="P184" s="17" t="e">
        <f ca="1"/>
        <v>#N/A</v>
      </c>
      <c r="Q184" s="17" t="e">
        <f ca="1"/>
        <v>#N/A</v>
      </c>
      <c r="R184" s="23" t="e">
        <f ca="1"/>
        <v>#N/A</v>
      </c>
      <c r="S184" s="23">
        <f t="shared" ca="1" si="61"/>
        <v>0</v>
      </c>
      <c r="T184" t="b">
        <f t="shared" ca="1" si="58"/>
        <v>1</v>
      </c>
      <c r="U184" s="22" t="e">
        <f t="shared" ca="1" si="54"/>
        <v>#N/A</v>
      </c>
      <c r="V184">
        <f t="shared" ca="1" si="55"/>
        <v>0</v>
      </c>
    </row>
    <row r="185" spans="2:22">
      <c r="B185">
        <f t="shared" si="59"/>
        <v>175</v>
      </c>
      <c r="C185" s="22" t="e">
        <f ca="1"/>
        <v>#N/A</v>
      </c>
      <c r="D185" s="17" t="e">
        <f ca="1"/>
        <v>#N/A</v>
      </c>
      <c r="E185" s="17" t="e">
        <f ca="1"/>
        <v>#N/A</v>
      </c>
      <c r="F185" s="23" t="e">
        <f ca="1"/>
        <v>#N/A</v>
      </c>
      <c r="G185" s="23">
        <f t="shared" ca="1" si="60"/>
        <v>0</v>
      </c>
      <c r="H185" t="b">
        <f t="shared" ca="1" si="56"/>
        <v>1</v>
      </c>
      <c r="I185" s="22" t="e">
        <f t="shared" ca="1" si="51"/>
        <v>#N/A</v>
      </c>
      <c r="J185">
        <f t="shared" ca="1" si="52"/>
        <v>0</v>
      </c>
      <c r="K185" t="e">
        <f t="shared" ca="1" si="57"/>
        <v>#N/A</v>
      </c>
      <c r="O185" s="22" t="e">
        <f t="shared" ca="1" si="53"/>
        <v>#N/A</v>
      </c>
      <c r="P185" s="17" t="e">
        <f ca="1"/>
        <v>#N/A</v>
      </c>
      <c r="Q185" s="17" t="e">
        <f ca="1"/>
        <v>#N/A</v>
      </c>
      <c r="R185" s="23" t="e">
        <f ca="1"/>
        <v>#N/A</v>
      </c>
      <c r="S185" s="23">
        <f t="shared" ca="1" si="61"/>
        <v>0</v>
      </c>
      <c r="T185" t="b">
        <f t="shared" ca="1" si="58"/>
        <v>1</v>
      </c>
      <c r="U185" s="22" t="e">
        <f t="shared" ca="1" si="54"/>
        <v>#N/A</v>
      </c>
      <c r="V185">
        <f t="shared" ca="1" si="55"/>
        <v>0</v>
      </c>
    </row>
    <row r="186" spans="2:22">
      <c r="B186">
        <f t="shared" si="59"/>
        <v>176</v>
      </c>
      <c r="C186" s="22" t="e">
        <f ca="1"/>
        <v>#N/A</v>
      </c>
      <c r="D186" s="17" t="e">
        <f ca="1"/>
        <v>#N/A</v>
      </c>
      <c r="E186" s="17" t="e">
        <f ca="1"/>
        <v>#N/A</v>
      </c>
      <c r="F186" s="23" t="e">
        <f ca="1"/>
        <v>#N/A</v>
      </c>
      <c r="G186" s="23">
        <f t="shared" ca="1" si="60"/>
        <v>0</v>
      </c>
      <c r="H186" t="b">
        <f t="shared" ca="1" si="56"/>
        <v>1</v>
      </c>
      <c r="I186" s="22" t="e">
        <f t="shared" ca="1" si="51"/>
        <v>#N/A</v>
      </c>
      <c r="J186">
        <f t="shared" ca="1" si="52"/>
        <v>0</v>
      </c>
      <c r="K186" t="e">
        <f t="shared" ca="1" si="57"/>
        <v>#N/A</v>
      </c>
      <c r="O186" s="22" t="e">
        <f t="shared" ca="1" si="53"/>
        <v>#N/A</v>
      </c>
      <c r="P186" s="17" t="e">
        <f ca="1"/>
        <v>#N/A</v>
      </c>
      <c r="Q186" s="17" t="e">
        <f ca="1"/>
        <v>#N/A</v>
      </c>
      <c r="R186" s="23" t="e">
        <f ca="1"/>
        <v>#N/A</v>
      </c>
      <c r="S186" s="23">
        <f t="shared" ca="1" si="61"/>
        <v>0</v>
      </c>
      <c r="T186" t="b">
        <f t="shared" ca="1" si="58"/>
        <v>1</v>
      </c>
      <c r="U186" s="22" t="e">
        <f t="shared" ca="1" si="54"/>
        <v>#N/A</v>
      </c>
      <c r="V186">
        <f t="shared" ca="1" si="55"/>
        <v>0</v>
      </c>
    </row>
    <row r="187" spans="2:22">
      <c r="B187">
        <f t="shared" si="59"/>
        <v>177</v>
      </c>
      <c r="C187" s="22" t="e">
        <f ca="1"/>
        <v>#N/A</v>
      </c>
      <c r="D187" s="17" t="e">
        <f ca="1"/>
        <v>#N/A</v>
      </c>
      <c r="E187" s="17" t="e">
        <f ca="1"/>
        <v>#N/A</v>
      </c>
      <c r="F187" s="23" t="e">
        <f ca="1"/>
        <v>#N/A</v>
      </c>
      <c r="G187" s="23">
        <f t="shared" ca="1" si="60"/>
        <v>0</v>
      </c>
      <c r="H187" t="b">
        <f t="shared" ca="1" si="56"/>
        <v>1</v>
      </c>
      <c r="I187" s="22" t="e">
        <f t="shared" ca="1" si="51"/>
        <v>#N/A</v>
      </c>
      <c r="J187">
        <f t="shared" ca="1" si="52"/>
        <v>0</v>
      </c>
      <c r="K187" t="e">
        <f t="shared" ca="1" si="57"/>
        <v>#N/A</v>
      </c>
      <c r="O187" s="22" t="e">
        <f t="shared" ca="1" si="53"/>
        <v>#N/A</v>
      </c>
      <c r="P187" s="17" t="e">
        <f ca="1"/>
        <v>#N/A</v>
      </c>
      <c r="Q187" s="17" t="e">
        <f ca="1"/>
        <v>#N/A</v>
      </c>
      <c r="R187" s="23" t="e">
        <f ca="1"/>
        <v>#N/A</v>
      </c>
      <c r="S187" s="23">
        <f t="shared" ca="1" si="61"/>
        <v>0</v>
      </c>
      <c r="T187" t="b">
        <f t="shared" ca="1" si="58"/>
        <v>1</v>
      </c>
      <c r="U187" s="22" t="e">
        <f t="shared" ca="1" si="54"/>
        <v>#N/A</v>
      </c>
      <c r="V187">
        <f t="shared" ca="1" si="55"/>
        <v>0</v>
      </c>
    </row>
    <row r="188" spans="2:22">
      <c r="B188">
        <f t="shared" si="59"/>
        <v>178</v>
      </c>
      <c r="C188" s="22" t="e">
        <f ca="1"/>
        <v>#N/A</v>
      </c>
      <c r="D188" s="17" t="e">
        <f ca="1"/>
        <v>#N/A</v>
      </c>
      <c r="E188" s="17" t="e">
        <f ca="1"/>
        <v>#N/A</v>
      </c>
      <c r="F188" s="23" t="e">
        <f ca="1"/>
        <v>#N/A</v>
      </c>
      <c r="G188" s="23">
        <f t="shared" ca="1" si="60"/>
        <v>0</v>
      </c>
      <c r="H188" t="b">
        <f t="shared" ca="1" si="56"/>
        <v>1</v>
      </c>
      <c r="I188" s="22" t="e">
        <f t="shared" ca="1" si="51"/>
        <v>#N/A</v>
      </c>
      <c r="J188">
        <f t="shared" ca="1" si="52"/>
        <v>0</v>
      </c>
      <c r="K188" t="e">
        <f t="shared" ca="1" si="57"/>
        <v>#N/A</v>
      </c>
      <c r="O188" s="22" t="e">
        <f t="shared" ca="1" si="53"/>
        <v>#N/A</v>
      </c>
      <c r="P188" s="17" t="e">
        <f ca="1"/>
        <v>#N/A</v>
      </c>
      <c r="Q188" s="17" t="e">
        <f ca="1"/>
        <v>#N/A</v>
      </c>
      <c r="R188" s="23" t="e">
        <f ca="1"/>
        <v>#N/A</v>
      </c>
      <c r="S188" s="23">
        <f t="shared" ca="1" si="61"/>
        <v>0</v>
      </c>
      <c r="T188" t="b">
        <f t="shared" ca="1" si="58"/>
        <v>1</v>
      </c>
      <c r="U188" s="22" t="e">
        <f t="shared" ca="1" si="54"/>
        <v>#N/A</v>
      </c>
      <c r="V188">
        <f t="shared" ca="1" si="55"/>
        <v>0</v>
      </c>
    </row>
    <row r="189" spans="2:22">
      <c r="B189">
        <f t="shared" si="59"/>
        <v>179</v>
      </c>
      <c r="C189" s="22" t="e">
        <f ca="1"/>
        <v>#N/A</v>
      </c>
      <c r="D189" s="17" t="e">
        <f ca="1"/>
        <v>#N/A</v>
      </c>
      <c r="E189" s="17" t="e">
        <f ca="1"/>
        <v>#N/A</v>
      </c>
      <c r="F189" s="23" t="e">
        <f ca="1"/>
        <v>#N/A</v>
      </c>
      <c r="G189" s="23">
        <f t="shared" ca="1" si="60"/>
        <v>0</v>
      </c>
      <c r="H189" t="b">
        <f t="shared" ca="1" si="56"/>
        <v>1</v>
      </c>
      <c r="I189" s="22" t="e">
        <f t="shared" ca="1" si="51"/>
        <v>#N/A</v>
      </c>
      <c r="J189">
        <f t="shared" ca="1" si="52"/>
        <v>0</v>
      </c>
      <c r="K189" t="e">
        <f t="shared" ca="1" si="57"/>
        <v>#N/A</v>
      </c>
      <c r="O189" s="22" t="e">
        <f t="shared" ca="1" si="53"/>
        <v>#N/A</v>
      </c>
      <c r="P189" s="17" t="e">
        <f ca="1"/>
        <v>#N/A</v>
      </c>
      <c r="Q189" s="17" t="e">
        <f ca="1"/>
        <v>#N/A</v>
      </c>
      <c r="R189" s="23" t="e">
        <f ca="1"/>
        <v>#N/A</v>
      </c>
      <c r="S189" s="23">
        <f t="shared" ca="1" si="61"/>
        <v>0</v>
      </c>
      <c r="T189" t="b">
        <f t="shared" ca="1" si="58"/>
        <v>1</v>
      </c>
      <c r="U189" s="22" t="e">
        <f t="shared" ca="1" si="54"/>
        <v>#N/A</v>
      </c>
      <c r="V189">
        <f t="shared" ca="1" si="55"/>
        <v>0</v>
      </c>
    </row>
    <row r="190" spans="2:22">
      <c r="B190">
        <f t="shared" si="59"/>
        <v>180</v>
      </c>
      <c r="C190" s="22" t="e">
        <f ca="1"/>
        <v>#N/A</v>
      </c>
      <c r="D190" s="17" t="e">
        <f ca="1"/>
        <v>#N/A</v>
      </c>
      <c r="E190" s="17" t="e">
        <f ca="1"/>
        <v>#N/A</v>
      </c>
      <c r="F190" s="23" t="e">
        <f ca="1"/>
        <v>#N/A</v>
      </c>
      <c r="G190" s="23">
        <f t="shared" ca="1" si="60"/>
        <v>0</v>
      </c>
      <c r="H190" t="b">
        <f t="shared" ca="1" si="56"/>
        <v>1</v>
      </c>
      <c r="I190" s="22" t="e">
        <f t="shared" ca="1" si="51"/>
        <v>#N/A</v>
      </c>
      <c r="J190">
        <f t="shared" ca="1" si="52"/>
        <v>0</v>
      </c>
      <c r="K190" t="e">
        <f t="shared" ca="1" si="57"/>
        <v>#N/A</v>
      </c>
      <c r="O190" s="22" t="e">
        <f t="shared" ca="1" si="53"/>
        <v>#N/A</v>
      </c>
      <c r="P190" s="17" t="e">
        <f ca="1"/>
        <v>#N/A</v>
      </c>
      <c r="Q190" s="17" t="e">
        <f ca="1"/>
        <v>#N/A</v>
      </c>
      <c r="R190" s="23" t="e">
        <f ca="1"/>
        <v>#N/A</v>
      </c>
      <c r="S190" s="23">
        <f t="shared" ca="1" si="61"/>
        <v>0</v>
      </c>
      <c r="T190" t="b">
        <f t="shared" ca="1" si="58"/>
        <v>1</v>
      </c>
      <c r="U190" s="22" t="e">
        <f t="shared" ca="1" si="54"/>
        <v>#N/A</v>
      </c>
      <c r="V190">
        <f t="shared" ca="1" si="55"/>
        <v>0</v>
      </c>
    </row>
    <row r="191" spans="2:22">
      <c r="B191">
        <f t="shared" si="59"/>
        <v>181</v>
      </c>
      <c r="C191" s="22" t="e">
        <f ca="1"/>
        <v>#N/A</v>
      </c>
      <c r="D191" s="17" t="e">
        <f ca="1"/>
        <v>#N/A</v>
      </c>
      <c r="E191" s="17" t="e">
        <f ca="1"/>
        <v>#N/A</v>
      </c>
      <c r="F191" s="23" t="e">
        <f ca="1"/>
        <v>#N/A</v>
      </c>
      <c r="G191" s="23">
        <f t="shared" ca="1" si="60"/>
        <v>0</v>
      </c>
      <c r="H191" t="b">
        <f t="shared" ca="1" si="56"/>
        <v>1</v>
      </c>
      <c r="I191" s="22" t="e">
        <f t="shared" ca="1" si="51"/>
        <v>#N/A</v>
      </c>
      <c r="J191">
        <f t="shared" ca="1" si="52"/>
        <v>0</v>
      </c>
      <c r="K191" t="e">
        <f t="shared" ca="1" si="57"/>
        <v>#N/A</v>
      </c>
      <c r="O191" s="22" t="e">
        <f t="shared" ca="1" si="53"/>
        <v>#N/A</v>
      </c>
      <c r="P191" s="17" t="e">
        <f ca="1"/>
        <v>#N/A</v>
      </c>
      <c r="Q191" s="17" t="e">
        <f ca="1"/>
        <v>#N/A</v>
      </c>
      <c r="R191" s="23" t="e">
        <f ca="1"/>
        <v>#N/A</v>
      </c>
      <c r="S191" s="23">
        <f t="shared" ca="1" si="61"/>
        <v>0</v>
      </c>
      <c r="T191" t="b">
        <f t="shared" ca="1" si="58"/>
        <v>1</v>
      </c>
      <c r="U191" s="22" t="e">
        <f t="shared" ca="1" si="54"/>
        <v>#N/A</v>
      </c>
      <c r="V191">
        <f t="shared" ca="1" si="55"/>
        <v>0</v>
      </c>
    </row>
    <row r="192" spans="2:22">
      <c r="B192">
        <f t="shared" si="59"/>
        <v>182</v>
      </c>
      <c r="C192" s="22" t="e">
        <f ca="1"/>
        <v>#N/A</v>
      </c>
      <c r="D192" s="17" t="e">
        <f ca="1"/>
        <v>#N/A</v>
      </c>
      <c r="E192" s="17" t="e">
        <f ca="1"/>
        <v>#N/A</v>
      </c>
      <c r="F192" s="23" t="e">
        <f ca="1"/>
        <v>#N/A</v>
      </c>
      <c r="G192" s="23">
        <f t="shared" ca="1" si="60"/>
        <v>0</v>
      </c>
      <c r="H192" t="b">
        <f t="shared" ca="1" si="56"/>
        <v>1</v>
      </c>
      <c r="I192" s="22" t="e">
        <f t="shared" ca="1" si="51"/>
        <v>#N/A</v>
      </c>
      <c r="J192">
        <f t="shared" ca="1" si="52"/>
        <v>0</v>
      </c>
      <c r="K192" t="e">
        <f t="shared" ca="1" si="57"/>
        <v>#N/A</v>
      </c>
      <c r="O192" s="22" t="e">
        <f t="shared" ca="1" si="53"/>
        <v>#N/A</v>
      </c>
      <c r="P192" s="17" t="e">
        <f ca="1"/>
        <v>#N/A</v>
      </c>
      <c r="Q192" s="17" t="e">
        <f ca="1"/>
        <v>#N/A</v>
      </c>
      <c r="R192" s="23" t="e">
        <f ca="1"/>
        <v>#N/A</v>
      </c>
      <c r="S192" s="23">
        <f t="shared" ca="1" si="61"/>
        <v>0</v>
      </c>
      <c r="T192" t="b">
        <f t="shared" ca="1" si="58"/>
        <v>1</v>
      </c>
      <c r="U192" s="22" t="e">
        <f t="shared" ca="1" si="54"/>
        <v>#N/A</v>
      </c>
      <c r="V192">
        <f t="shared" ca="1" si="55"/>
        <v>0</v>
      </c>
    </row>
    <row r="193" spans="2:22">
      <c r="B193">
        <f t="shared" si="59"/>
        <v>183</v>
      </c>
      <c r="C193" s="22" t="e">
        <f ca="1"/>
        <v>#N/A</v>
      </c>
      <c r="D193" s="17" t="e">
        <f ca="1"/>
        <v>#N/A</v>
      </c>
      <c r="E193" s="17" t="e">
        <f ca="1"/>
        <v>#N/A</v>
      </c>
      <c r="F193" s="23" t="e">
        <f ca="1"/>
        <v>#N/A</v>
      </c>
      <c r="G193" s="23">
        <f t="shared" ca="1" si="60"/>
        <v>0</v>
      </c>
      <c r="H193" t="b">
        <f t="shared" ca="1" si="56"/>
        <v>1</v>
      </c>
      <c r="I193" s="22" t="e">
        <f t="shared" ca="1" si="51"/>
        <v>#N/A</v>
      </c>
      <c r="J193">
        <f t="shared" ca="1" si="52"/>
        <v>0</v>
      </c>
      <c r="K193" t="e">
        <f t="shared" ca="1" si="57"/>
        <v>#N/A</v>
      </c>
      <c r="O193" s="22" t="e">
        <f t="shared" ca="1" si="53"/>
        <v>#N/A</v>
      </c>
      <c r="P193" s="17" t="e">
        <f ca="1"/>
        <v>#N/A</v>
      </c>
      <c r="Q193" s="17" t="e">
        <f ca="1"/>
        <v>#N/A</v>
      </c>
      <c r="R193" s="23" t="e">
        <f ca="1"/>
        <v>#N/A</v>
      </c>
      <c r="S193" s="23">
        <f t="shared" ca="1" si="61"/>
        <v>0</v>
      </c>
      <c r="T193" t="b">
        <f t="shared" ca="1" si="58"/>
        <v>1</v>
      </c>
      <c r="U193" s="22" t="e">
        <f t="shared" ca="1" si="54"/>
        <v>#N/A</v>
      </c>
      <c r="V193">
        <f t="shared" ca="1" si="55"/>
        <v>0</v>
      </c>
    </row>
    <row r="194" spans="2:22">
      <c r="B194">
        <f t="shared" si="59"/>
        <v>184</v>
      </c>
      <c r="C194" s="22" t="e">
        <f ca="1"/>
        <v>#N/A</v>
      </c>
      <c r="D194" s="17" t="e">
        <f ca="1"/>
        <v>#N/A</v>
      </c>
      <c r="E194" s="17" t="e">
        <f ca="1"/>
        <v>#N/A</v>
      </c>
      <c r="F194" s="23" t="e">
        <f ca="1"/>
        <v>#N/A</v>
      </c>
      <c r="G194" s="23">
        <f t="shared" ca="1" si="60"/>
        <v>0</v>
      </c>
      <c r="H194" t="b">
        <f t="shared" ca="1" si="56"/>
        <v>1</v>
      </c>
      <c r="I194" s="22" t="e">
        <f t="shared" ca="1" si="51"/>
        <v>#N/A</v>
      </c>
      <c r="J194">
        <f t="shared" ca="1" si="52"/>
        <v>0</v>
      </c>
      <c r="K194" t="e">
        <f t="shared" ca="1" si="57"/>
        <v>#N/A</v>
      </c>
      <c r="O194" s="22" t="e">
        <f t="shared" ca="1" si="53"/>
        <v>#N/A</v>
      </c>
      <c r="P194" s="17" t="e">
        <f ca="1"/>
        <v>#N/A</v>
      </c>
      <c r="Q194" s="17" t="e">
        <f ca="1"/>
        <v>#N/A</v>
      </c>
      <c r="R194" s="23" t="e">
        <f ca="1"/>
        <v>#N/A</v>
      </c>
      <c r="S194" s="23">
        <f t="shared" ca="1" si="61"/>
        <v>0</v>
      </c>
      <c r="T194" t="b">
        <f t="shared" ca="1" si="58"/>
        <v>1</v>
      </c>
      <c r="U194" s="22" t="e">
        <f t="shared" ca="1" si="54"/>
        <v>#N/A</v>
      </c>
      <c r="V194">
        <f t="shared" ca="1" si="55"/>
        <v>0</v>
      </c>
    </row>
    <row r="195" spans="2:22">
      <c r="B195">
        <f t="shared" si="59"/>
        <v>185</v>
      </c>
      <c r="C195" s="22" t="e">
        <f ca="1"/>
        <v>#N/A</v>
      </c>
      <c r="D195" s="17" t="e">
        <f ca="1"/>
        <v>#N/A</v>
      </c>
      <c r="E195" s="17" t="e">
        <f ca="1"/>
        <v>#N/A</v>
      </c>
      <c r="F195" s="23" t="e">
        <f ca="1"/>
        <v>#N/A</v>
      </c>
      <c r="G195" s="23">
        <f t="shared" ca="1" si="60"/>
        <v>0</v>
      </c>
      <c r="H195" t="b">
        <f t="shared" ca="1" si="56"/>
        <v>1</v>
      </c>
      <c r="I195" s="22" t="e">
        <f t="shared" ca="1" si="51"/>
        <v>#N/A</v>
      </c>
      <c r="J195">
        <f t="shared" ca="1" si="52"/>
        <v>0</v>
      </c>
      <c r="K195" t="e">
        <f t="shared" ca="1" si="57"/>
        <v>#N/A</v>
      </c>
      <c r="O195" s="22" t="e">
        <f t="shared" ca="1" si="53"/>
        <v>#N/A</v>
      </c>
      <c r="P195" s="17" t="e">
        <f ca="1"/>
        <v>#N/A</v>
      </c>
      <c r="Q195" s="17" t="e">
        <f ca="1"/>
        <v>#N/A</v>
      </c>
      <c r="R195" s="23" t="e">
        <f ca="1"/>
        <v>#N/A</v>
      </c>
      <c r="S195" s="23">
        <f t="shared" ca="1" si="61"/>
        <v>0</v>
      </c>
      <c r="T195" t="b">
        <f t="shared" ca="1" si="58"/>
        <v>1</v>
      </c>
      <c r="U195" s="22" t="e">
        <f t="shared" ca="1" si="54"/>
        <v>#N/A</v>
      </c>
      <c r="V195">
        <f t="shared" ca="1" si="55"/>
        <v>0</v>
      </c>
    </row>
    <row r="196" spans="2:22">
      <c r="B196">
        <f t="shared" si="59"/>
        <v>186</v>
      </c>
      <c r="C196" s="22" t="e">
        <f ca="1"/>
        <v>#N/A</v>
      </c>
      <c r="D196" s="17" t="e">
        <f ca="1"/>
        <v>#N/A</v>
      </c>
      <c r="E196" s="17" t="e">
        <f ca="1"/>
        <v>#N/A</v>
      </c>
      <c r="F196" s="23" t="e">
        <f ca="1"/>
        <v>#N/A</v>
      </c>
      <c r="G196" s="23">
        <f t="shared" ca="1" si="60"/>
        <v>0</v>
      </c>
      <c r="H196" t="b">
        <f t="shared" ca="1" si="56"/>
        <v>1</v>
      </c>
      <c r="I196" s="22" t="e">
        <f t="shared" ca="1" si="51"/>
        <v>#N/A</v>
      </c>
      <c r="J196">
        <f t="shared" ca="1" si="52"/>
        <v>0</v>
      </c>
      <c r="K196" t="e">
        <f t="shared" ca="1" si="57"/>
        <v>#N/A</v>
      </c>
      <c r="O196" s="22" t="e">
        <f t="shared" ca="1" si="53"/>
        <v>#N/A</v>
      </c>
      <c r="P196" s="17" t="e">
        <f ca="1"/>
        <v>#N/A</v>
      </c>
      <c r="Q196" s="17" t="e">
        <f ca="1"/>
        <v>#N/A</v>
      </c>
      <c r="R196" s="23" t="e">
        <f ca="1"/>
        <v>#N/A</v>
      </c>
      <c r="S196" s="23">
        <f t="shared" ca="1" si="61"/>
        <v>0</v>
      </c>
      <c r="T196" t="b">
        <f t="shared" ca="1" si="58"/>
        <v>1</v>
      </c>
      <c r="U196" s="22" t="e">
        <f t="shared" ca="1" si="54"/>
        <v>#N/A</v>
      </c>
      <c r="V196">
        <f t="shared" ca="1" si="55"/>
        <v>0</v>
      </c>
    </row>
    <row r="197" spans="2:22">
      <c r="B197">
        <f t="shared" si="59"/>
        <v>187</v>
      </c>
      <c r="C197" s="22" t="e">
        <f ca="1"/>
        <v>#N/A</v>
      </c>
      <c r="D197" s="17" t="e">
        <f ca="1"/>
        <v>#N/A</v>
      </c>
      <c r="E197" s="17" t="e">
        <f ca="1"/>
        <v>#N/A</v>
      </c>
      <c r="F197" s="23" t="e">
        <f ca="1"/>
        <v>#N/A</v>
      </c>
      <c r="G197" s="23">
        <f t="shared" ca="1" si="60"/>
        <v>0</v>
      </c>
      <c r="H197" t="b">
        <f t="shared" ca="1" si="56"/>
        <v>1</v>
      </c>
      <c r="I197" s="22" t="e">
        <f t="shared" ca="1" si="51"/>
        <v>#N/A</v>
      </c>
      <c r="J197">
        <f t="shared" ca="1" si="52"/>
        <v>0</v>
      </c>
      <c r="K197" t="e">
        <f t="shared" ca="1" si="57"/>
        <v>#N/A</v>
      </c>
      <c r="O197" s="22" t="e">
        <f t="shared" ca="1" si="53"/>
        <v>#N/A</v>
      </c>
      <c r="P197" s="17" t="e">
        <f ca="1"/>
        <v>#N/A</v>
      </c>
      <c r="Q197" s="17" t="e">
        <f ca="1"/>
        <v>#N/A</v>
      </c>
      <c r="R197" s="23" t="e">
        <f ca="1"/>
        <v>#N/A</v>
      </c>
      <c r="S197" s="23">
        <f t="shared" ca="1" si="61"/>
        <v>0</v>
      </c>
      <c r="T197" t="b">
        <f t="shared" ca="1" si="58"/>
        <v>1</v>
      </c>
      <c r="U197" s="22" t="e">
        <f t="shared" ca="1" si="54"/>
        <v>#N/A</v>
      </c>
      <c r="V197">
        <f t="shared" ca="1" si="55"/>
        <v>0</v>
      </c>
    </row>
    <row r="198" spans="2:22">
      <c r="B198">
        <f t="shared" si="59"/>
        <v>188</v>
      </c>
      <c r="C198" s="22" t="e">
        <f ca="1"/>
        <v>#N/A</v>
      </c>
      <c r="D198" s="17" t="e">
        <f ca="1"/>
        <v>#N/A</v>
      </c>
      <c r="E198" s="17" t="e">
        <f ca="1"/>
        <v>#N/A</v>
      </c>
      <c r="F198" s="23" t="e">
        <f ca="1"/>
        <v>#N/A</v>
      </c>
      <c r="G198" s="23">
        <f t="shared" ca="1" si="60"/>
        <v>0</v>
      </c>
      <c r="H198" t="b">
        <f t="shared" ca="1" si="56"/>
        <v>1</v>
      </c>
      <c r="I198" s="22" t="e">
        <f t="shared" ca="1" si="51"/>
        <v>#N/A</v>
      </c>
      <c r="J198">
        <f t="shared" ca="1" si="52"/>
        <v>0</v>
      </c>
      <c r="K198" t="e">
        <f t="shared" ca="1" si="57"/>
        <v>#N/A</v>
      </c>
      <c r="O198" s="22" t="e">
        <f t="shared" ca="1" si="53"/>
        <v>#N/A</v>
      </c>
      <c r="P198" s="17" t="e">
        <f ca="1"/>
        <v>#N/A</v>
      </c>
      <c r="Q198" s="17" t="e">
        <f ca="1"/>
        <v>#N/A</v>
      </c>
      <c r="R198" s="23" t="e">
        <f ca="1"/>
        <v>#N/A</v>
      </c>
      <c r="S198" s="23">
        <f t="shared" ca="1" si="61"/>
        <v>0</v>
      </c>
      <c r="T198" t="b">
        <f t="shared" ca="1" si="58"/>
        <v>1</v>
      </c>
      <c r="U198" s="22" t="e">
        <f t="shared" ca="1" si="54"/>
        <v>#N/A</v>
      </c>
      <c r="V198">
        <f t="shared" ca="1" si="55"/>
        <v>0</v>
      </c>
    </row>
    <row r="199" spans="2:22">
      <c r="B199">
        <f t="shared" si="59"/>
        <v>189</v>
      </c>
      <c r="C199" s="22" t="e">
        <f ca="1"/>
        <v>#N/A</v>
      </c>
      <c r="D199" s="17" t="e">
        <f ca="1"/>
        <v>#N/A</v>
      </c>
      <c r="E199" s="17" t="e">
        <f ca="1"/>
        <v>#N/A</v>
      </c>
      <c r="F199" s="23" t="e">
        <f ca="1"/>
        <v>#N/A</v>
      </c>
      <c r="G199" s="23">
        <f t="shared" ca="1" si="60"/>
        <v>0</v>
      </c>
      <c r="H199" t="b">
        <f t="shared" ca="1" si="56"/>
        <v>1</v>
      </c>
      <c r="I199" s="22" t="e">
        <f t="shared" ca="1" si="51"/>
        <v>#N/A</v>
      </c>
      <c r="J199">
        <f t="shared" ca="1" si="52"/>
        <v>0</v>
      </c>
      <c r="K199" t="e">
        <f t="shared" ca="1" si="57"/>
        <v>#N/A</v>
      </c>
      <c r="O199" s="22" t="e">
        <f t="shared" ca="1" si="53"/>
        <v>#N/A</v>
      </c>
      <c r="P199" s="17" t="e">
        <f ca="1"/>
        <v>#N/A</v>
      </c>
      <c r="Q199" s="17" t="e">
        <f ca="1"/>
        <v>#N/A</v>
      </c>
      <c r="R199" s="23" t="e">
        <f ca="1"/>
        <v>#N/A</v>
      </c>
      <c r="S199" s="23">
        <f t="shared" ca="1" si="61"/>
        <v>0</v>
      </c>
      <c r="T199" t="b">
        <f t="shared" ca="1" si="58"/>
        <v>1</v>
      </c>
      <c r="U199" s="22" t="e">
        <f t="shared" ca="1" si="54"/>
        <v>#N/A</v>
      </c>
      <c r="V199">
        <f t="shared" ca="1" si="55"/>
        <v>0</v>
      </c>
    </row>
    <row r="200" spans="2:22">
      <c r="B200">
        <f t="shared" si="59"/>
        <v>190</v>
      </c>
      <c r="C200" s="22" t="e">
        <f ca="1"/>
        <v>#N/A</v>
      </c>
      <c r="D200" s="17" t="e">
        <f ca="1"/>
        <v>#N/A</v>
      </c>
      <c r="E200" s="17" t="e">
        <f ca="1"/>
        <v>#N/A</v>
      </c>
      <c r="F200" s="23" t="e">
        <f ca="1"/>
        <v>#N/A</v>
      </c>
      <c r="G200" s="23">
        <f t="shared" ca="1" si="60"/>
        <v>0</v>
      </c>
      <c r="H200" t="b">
        <f t="shared" ca="1" si="56"/>
        <v>1</v>
      </c>
      <c r="I200" s="22" t="e">
        <f t="shared" ca="1" si="51"/>
        <v>#N/A</v>
      </c>
      <c r="J200">
        <f t="shared" ca="1" si="52"/>
        <v>0</v>
      </c>
      <c r="K200" t="e">
        <f t="shared" ca="1" si="57"/>
        <v>#N/A</v>
      </c>
      <c r="O200" s="22" t="e">
        <f t="shared" ca="1" si="53"/>
        <v>#N/A</v>
      </c>
      <c r="P200" s="17" t="e">
        <f ca="1"/>
        <v>#N/A</v>
      </c>
      <c r="Q200" s="17" t="e">
        <f ca="1"/>
        <v>#N/A</v>
      </c>
      <c r="R200" s="23" t="e">
        <f ca="1"/>
        <v>#N/A</v>
      </c>
      <c r="S200" s="23">
        <f t="shared" ca="1" si="61"/>
        <v>0</v>
      </c>
      <c r="T200" t="b">
        <f t="shared" ca="1" si="58"/>
        <v>1</v>
      </c>
      <c r="U200" s="22" t="e">
        <f t="shared" ca="1" si="54"/>
        <v>#N/A</v>
      </c>
      <c r="V200">
        <f t="shared" ca="1" si="55"/>
        <v>0</v>
      </c>
    </row>
    <row r="201" spans="2:22">
      <c r="B201">
        <f t="shared" si="59"/>
        <v>191</v>
      </c>
      <c r="C201" s="22" t="e">
        <f ca="1"/>
        <v>#N/A</v>
      </c>
      <c r="D201" s="17" t="e">
        <f ca="1"/>
        <v>#N/A</v>
      </c>
      <c r="E201" s="17" t="e">
        <f ca="1"/>
        <v>#N/A</v>
      </c>
      <c r="F201" s="23" t="e">
        <f ca="1"/>
        <v>#N/A</v>
      </c>
      <c r="G201" s="23">
        <f t="shared" ca="1" si="60"/>
        <v>0</v>
      </c>
      <c r="H201" t="b">
        <f t="shared" ca="1" si="56"/>
        <v>1</v>
      </c>
      <c r="I201" s="22" t="e">
        <f t="shared" ca="1" si="51"/>
        <v>#N/A</v>
      </c>
      <c r="J201">
        <f t="shared" ca="1" si="52"/>
        <v>0</v>
      </c>
      <c r="K201" t="e">
        <f t="shared" ca="1" si="57"/>
        <v>#N/A</v>
      </c>
      <c r="O201" s="22" t="e">
        <f t="shared" ca="1" si="53"/>
        <v>#N/A</v>
      </c>
      <c r="P201" s="17" t="e">
        <f ca="1"/>
        <v>#N/A</v>
      </c>
      <c r="Q201" s="17" t="e">
        <f ca="1"/>
        <v>#N/A</v>
      </c>
      <c r="R201" s="23" t="e">
        <f ca="1"/>
        <v>#N/A</v>
      </c>
      <c r="S201" s="23">
        <f t="shared" ca="1" si="61"/>
        <v>0</v>
      </c>
      <c r="T201" t="b">
        <f t="shared" ca="1" si="58"/>
        <v>1</v>
      </c>
      <c r="U201" s="22" t="e">
        <f t="shared" ca="1" si="54"/>
        <v>#N/A</v>
      </c>
      <c r="V201">
        <f t="shared" ca="1" si="55"/>
        <v>0</v>
      </c>
    </row>
    <row r="202" spans="2:22">
      <c r="B202">
        <f t="shared" si="59"/>
        <v>192</v>
      </c>
      <c r="C202" s="22" t="e">
        <f ca="1"/>
        <v>#N/A</v>
      </c>
      <c r="D202" s="17" t="e">
        <f ca="1"/>
        <v>#N/A</v>
      </c>
      <c r="E202" s="17" t="e">
        <f ca="1"/>
        <v>#N/A</v>
      </c>
      <c r="F202" s="23" t="e">
        <f ca="1"/>
        <v>#N/A</v>
      </c>
      <c r="G202" s="23">
        <f t="shared" ca="1" si="60"/>
        <v>0</v>
      </c>
      <c r="H202" t="b">
        <f t="shared" ca="1" si="56"/>
        <v>1</v>
      </c>
      <c r="I202" s="22" t="e">
        <f t="shared" ca="1" si="51"/>
        <v>#N/A</v>
      </c>
      <c r="J202">
        <f t="shared" ca="1" si="52"/>
        <v>0</v>
      </c>
      <c r="K202" t="e">
        <f t="shared" ca="1" si="57"/>
        <v>#N/A</v>
      </c>
      <c r="O202" s="22" t="e">
        <f t="shared" ca="1" si="53"/>
        <v>#N/A</v>
      </c>
      <c r="P202" s="17" t="e">
        <f ca="1"/>
        <v>#N/A</v>
      </c>
      <c r="Q202" s="17" t="e">
        <f ca="1"/>
        <v>#N/A</v>
      </c>
      <c r="R202" s="23" t="e">
        <f ca="1"/>
        <v>#N/A</v>
      </c>
      <c r="S202" s="23">
        <f t="shared" ca="1" si="61"/>
        <v>0</v>
      </c>
      <c r="T202" t="b">
        <f t="shared" ca="1" si="58"/>
        <v>1</v>
      </c>
      <c r="U202" s="22" t="e">
        <f t="shared" ca="1" si="54"/>
        <v>#N/A</v>
      </c>
      <c r="V202">
        <f t="shared" ca="1" si="55"/>
        <v>0</v>
      </c>
    </row>
    <row r="203" spans="2:22">
      <c r="B203">
        <f t="shared" si="59"/>
        <v>193</v>
      </c>
      <c r="C203" s="22" t="e">
        <f ca="1"/>
        <v>#N/A</v>
      </c>
      <c r="D203" s="17" t="e">
        <f ca="1"/>
        <v>#N/A</v>
      </c>
      <c r="E203" s="17" t="e">
        <f ca="1"/>
        <v>#N/A</v>
      </c>
      <c r="F203" s="23" t="e">
        <f ca="1"/>
        <v>#N/A</v>
      </c>
      <c r="G203" s="23">
        <f t="shared" ca="1" si="60"/>
        <v>0</v>
      </c>
      <c r="H203" t="b">
        <f t="shared" ca="1" si="56"/>
        <v>1</v>
      </c>
      <c r="I203" s="22" t="e">
        <f t="shared" ref="I203:I266" ca="1" si="62">IF(H203,C203,NA)</f>
        <v>#N/A</v>
      </c>
      <c r="J203">
        <f t="shared" ref="J203:J266" ca="1" si="63">IF(H203,G203,NA)</f>
        <v>0</v>
      </c>
      <c r="K203" t="e">
        <f t="shared" ca="1" si="57"/>
        <v>#N/A</v>
      </c>
      <c r="O203" s="22" t="e">
        <f t="shared" ref="O203:O266" ca="1" si="64">C203</f>
        <v>#N/A</v>
      </c>
      <c r="P203" s="17" t="e">
        <f ca="1"/>
        <v>#N/A</v>
      </c>
      <c r="Q203" s="17" t="e">
        <f ca="1"/>
        <v>#N/A</v>
      </c>
      <c r="R203" s="23" t="e">
        <f ca="1"/>
        <v>#N/A</v>
      </c>
      <c r="S203" s="23">
        <f t="shared" ca="1" si="61"/>
        <v>0</v>
      </c>
      <c r="T203" t="b">
        <f t="shared" ca="1" si="58"/>
        <v>1</v>
      </c>
      <c r="U203" s="22" t="e">
        <f t="shared" ref="U203:U266" ca="1" si="65">IF(T203,O203,NA)</f>
        <v>#N/A</v>
      </c>
      <c r="V203">
        <f t="shared" ref="V203:V266" ca="1" si="66">IF(T203,S203,NA)</f>
        <v>0</v>
      </c>
    </row>
    <row r="204" spans="2:22">
      <c r="B204">
        <f t="shared" si="59"/>
        <v>194</v>
      </c>
      <c r="C204" s="22" t="e">
        <f ca="1"/>
        <v>#N/A</v>
      </c>
      <c r="D204" s="17" t="e">
        <f ca="1"/>
        <v>#N/A</v>
      </c>
      <c r="E204" s="17" t="e">
        <f ca="1"/>
        <v>#N/A</v>
      </c>
      <c r="F204" s="23" t="e">
        <f ca="1"/>
        <v>#N/A</v>
      </c>
      <c r="G204" s="23">
        <f t="shared" ca="1" si="60"/>
        <v>0</v>
      </c>
      <c r="H204" t="b">
        <f t="shared" ref="H204:H267" ca="1" si="67">ISNUMBER(G204)</f>
        <v>1</v>
      </c>
      <c r="I204" s="22" t="e">
        <f t="shared" ca="1" si="62"/>
        <v>#N/A</v>
      </c>
      <c r="J204">
        <f t="shared" ca="1" si="63"/>
        <v>0</v>
      </c>
      <c r="K204" t="e">
        <f t="shared" ref="K204:K267" ca="1" si="68">YEAR(C204)</f>
        <v>#N/A</v>
      </c>
      <c r="O204" s="22" t="e">
        <f t="shared" ca="1" si="64"/>
        <v>#N/A</v>
      </c>
      <c r="P204" s="17" t="e">
        <f ca="1"/>
        <v>#N/A</v>
      </c>
      <c r="Q204" s="17" t="e">
        <f ca="1"/>
        <v>#N/A</v>
      </c>
      <c r="R204" s="23" t="e">
        <f ca="1"/>
        <v>#N/A</v>
      </c>
      <c r="S204" s="23">
        <f t="shared" ca="1" si="61"/>
        <v>0</v>
      </c>
      <c r="T204" t="b">
        <f t="shared" ref="T204:T267" ca="1" si="69">ISNUMBER(S204)</f>
        <v>1</v>
      </c>
      <c r="U204" s="22" t="e">
        <f t="shared" ca="1" si="65"/>
        <v>#N/A</v>
      </c>
      <c r="V204">
        <f t="shared" ca="1" si="66"/>
        <v>0</v>
      </c>
    </row>
    <row r="205" spans="2:22">
      <c r="B205">
        <f t="shared" ref="B205:B268" si="70">B204+1</f>
        <v>195</v>
      </c>
      <c r="C205" s="22" t="e">
        <f ca="1"/>
        <v>#N/A</v>
      </c>
      <c r="D205" s="17" t="e">
        <f ca="1"/>
        <v>#N/A</v>
      </c>
      <c r="E205" s="17" t="e">
        <f ca="1"/>
        <v>#N/A</v>
      </c>
      <c r="F205" s="23" t="e">
        <f ca="1"/>
        <v>#N/A</v>
      </c>
      <c r="G205" s="23">
        <f t="shared" ca="1" si="60"/>
        <v>0</v>
      </c>
      <c r="H205" t="b">
        <f t="shared" ca="1" si="67"/>
        <v>1</v>
      </c>
      <c r="I205" s="22" t="e">
        <f t="shared" ca="1" si="62"/>
        <v>#N/A</v>
      </c>
      <c r="J205">
        <f t="shared" ca="1" si="63"/>
        <v>0</v>
      </c>
      <c r="K205" t="e">
        <f t="shared" ca="1" si="68"/>
        <v>#N/A</v>
      </c>
      <c r="O205" s="22" t="e">
        <f t="shared" ca="1" si="64"/>
        <v>#N/A</v>
      </c>
      <c r="P205" s="17" t="e">
        <f ca="1"/>
        <v>#N/A</v>
      </c>
      <c r="Q205" s="17" t="e">
        <f ca="1"/>
        <v>#N/A</v>
      </c>
      <c r="R205" s="23" t="e">
        <f ca="1"/>
        <v>#N/A</v>
      </c>
      <c r="S205" s="23">
        <f t="shared" ca="1" si="61"/>
        <v>0</v>
      </c>
      <c r="T205" t="b">
        <f t="shared" ca="1" si="69"/>
        <v>1</v>
      </c>
      <c r="U205" s="22" t="e">
        <f t="shared" ca="1" si="65"/>
        <v>#N/A</v>
      </c>
      <c r="V205">
        <f t="shared" ca="1" si="66"/>
        <v>0</v>
      </c>
    </row>
    <row r="206" spans="2:22">
      <c r="B206">
        <f t="shared" si="70"/>
        <v>196</v>
      </c>
      <c r="C206" s="22" t="e">
        <f ca="1"/>
        <v>#N/A</v>
      </c>
      <c r="D206" s="17" t="e">
        <f ca="1"/>
        <v>#N/A</v>
      </c>
      <c r="E206" s="17" t="e">
        <f ca="1"/>
        <v>#N/A</v>
      </c>
      <c r="F206" s="23" t="e">
        <f ca="1"/>
        <v>#N/A</v>
      </c>
      <c r="G206" s="23">
        <f t="shared" ca="1" si="60"/>
        <v>0</v>
      </c>
      <c r="H206" t="b">
        <f t="shared" ca="1" si="67"/>
        <v>1</v>
      </c>
      <c r="I206" s="22" t="e">
        <f t="shared" ca="1" si="62"/>
        <v>#N/A</v>
      </c>
      <c r="J206">
        <f t="shared" ca="1" si="63"/>
        <v>0</v>
      </c>
      <c r="K206" t="e">
        <f t="shared" ca="1" si="68"/>
        <v>#N/A</v>
      </c>
      <c r="O206" s="22" t="e">
        <f t="shared" ca="1" si="64"/>
        <v>#N/A</v>
      </c>
      <c r="P206" s="17" t="e">
        <f ca="1"/>
        <v>#N/A</v>
      </c>
      <c r="Q206" s="17" t="e">
        <f ca="1"/>
        <v>#N/A</v>
      </c>
      <c r="R206" s="23" t="e">
        <f ca="1"/>
        <v>#N/A</v>
      </c>
      <c r="S206" s="23">
        <f t="shared" ca="1" si="61"/>
        <v>0</v>
      </c>
      <c r="T206" t="b">
        <f t="shared" ca="1" si="69"/>
        <v>1</v>
      </c>
      <c r="U206" s="22" t="e">
        <f t="shared" ca="1" si="65"/>
        <v>#N/A</v>
      </c>
      <c r="V206">
        <f t="shared" ca="1" si="66"/>
        <v>0</v>
      </c>
    </row>
    <row r="207" spans="2:22">
      <c r="B207">
        <f t="shared" si="70"/>
        <v>197</v>
      </c>
      <c r="C207" s="22" t="e">
        <f ca="1"/>
        <v>#N/A</v>
      </c>
      <c r="D207" s="17" t="e">
        <f ca="1"/>
        <v>#N/A</v>
      </c>
      <c r="E207" s="17" t="e">
        <f ca="1"/>
        <v>#N/A</v>
      </c>
      <c r="F207" s="23" t="e">
        <f ca="1"/>
        <v>#N/A</v>
      </c>
      <c r="G207" s="23">
        <f t="shared" ca="1" si="60"/>
        <v>0</v>
      </c>
      <c r="H207" t="b">
        <f t="shared" ca="1" si="67"/>
        <v>1</v>
      </c>
      <c r="I207" s="22" t="e">
        <f t="shared" ca="1" si="62"/>
        <v>#N/A</v>
      </c>
      <c r="J207">
        <f t="shared" ca="1" si="63"/>
        <v>0</v>
      </c>
      <c r="K207" t="e">
        <f t="shared" ca="1" si="68"/>
        <v>#N/A</v>
      </c>
      <c r="O207" s="22" t="e">
        <f t="shared" ca="1" si="64"/>
        <v>#N/A</v>
      </c>
      <c r="P207" s="17" t="e">
        <f ca="1"/>
        <v>#N/A</v>
      </c>
      <c r="Q207" s="17" t="e">
        <f ca="1"/>
        <v>#N/A</v>
      </c>
      <c r="R207" s="23" t="e">
        <f ca="1"/>
        <v>#N/A</v>
      </c>
      <c r="S207" s="23">
        <f t="shared" ca="1" si="61"/>
        <v>0</v>
      </c>
      <c r="T207" t="b">
        <f t="shared" ca="1" si="69"/>
        <v>1</v>
      </c>
      <c r="U207" s="22" t="e">
        <f t="shared" ca="1" si="65"/>
        <v>#N/A</v>
      </c>
      <c r="V207">
        <f t="shared" ca="1" si="66"/>
        <v>0</v>
      </c>
    </row>
    <row r="208" spans="2:22">
      <c r="B208">
        <f t="shared" si="70"/>
        <v>198</v>
      </c>
      <c r="C208" s="22" t="e">
        <f ca="1"/>
        <v>#N/A</v>
      </c>
      <c r="D208" s="17" t="e">
        <f ca="1"/>
        <v>#N/A</v>
      </c>
      <c r="E208" s="17" t="e">
        <f ca="1"/>
        <v>#N/A</v>
      </c>
      <c r="F208" s="23" t="e">
        <f ca="1"/>
        <v>#N/A</v>
      </c>
      <c r="G208" s="23">
        <f t="shared" ca="1" si="60"/>
        <v>0</v>
      </c>
      <c r="H208" t="b">
        <f t="shared" ca="1" si="67"/>
        <v>1</v>
      </c>
      <c r="I208" s="22" t="e">
        <f t="shared" ca="1" si="62"/>
        <v>#N/A</v>
      </c>
      <c r="J208">
        <f t="shared" ca="1" si="63"/>
        <v>0</v>
      </c>
      <c r="K208" t="e">
        <f t="shared" ca="1" si="68"/>
        <v>#N/A</v>
      </c>
      <c r="O208" s="22" t="e">
        <f t="shared" ca="1" si="64"/>
        <v>#N/A</v>
      </c>
      <c r="P208" s="17" t="e">
        <f ca="1"/>
        <v>#N/A</v>
      </c>
      <c r="Q208" s="17" t="e">
        <f ca="1"/>
        <v>#N/A</v>
      </c>
      <c r="R208" s="23" t="e">
        <f ca="1"/>
        <v>#N/A</v>
      </c>
      <c r="S208" s="23">
        <f t="shared" ca="1" si="61"/>
        <v>0</v>
      </c>
      <c r="T208" t="b">
        <f t="shared" ca="1" si="69"/>
        <v>1</v>
      </c>
      <c r="U208" s="22" t="e">
        <f t="shared" ca="1" si="65"/>
        <v>#N/A</v>
      </c>
      <c r="V208">
        <f t="shared" ca="1" si="66"/>
        <v>0</v>
      </c>
    </row>
    <row r="209" spans="2:22">
      <c r="B209">
        <f t="shared" si="70"/>
        <v>199</v>
      </c>
      <c r="C209" s="22" t="e">
        <f ca="1"/>
        <v>#N/A</v>
      </c>
      <c r="D209" s="17" t="e">
        <f ca="1"/>
        <v>#N/A</v>
      </c>
      <c r="E209" s="17" t="e">
        <f ca="1"/>
        <v>#N/A</v>
      </c>
      <c r="F209" s="23" t="e">
        <f ca="1"/>
        <v>#N/A</v>
      </c>
      <c r="G209" s="23">
        <f t="shared" ca="1" si="60"/>
        <v>0</v>
      </c>
      <c r="H209" t="b">
        <f t="shared" ca="1" si="67"/>
        <v>1</v>
      </c>
      <c r="I209" s="22" t="e">
        <f t="shared" ca="1" si="62"/>
        <v>#N/A</v>
      </c>
      <c r="J209">
        <f t="shared" ca="1" si="63"/>
        <v>0</v>
      </c>
      <c r="K209" t="e">
        <f t="shared" ca="1" si="68"/>
        <v>#N/A</v>
      </c>
      <c r="O209" s="22" t="e">
        <f t="shared" ca="1" si="64"/>
        <v>#N/A</v>
      </c>
      <c r="P209" s="17" t="e">
        <f ca="1"/>
        <v>#N/A</v>
      </c>
      <c r="Q209" s="17" t="e">
        <f ca="1"/>
        <v>#N/A</v>
      </c>
      <c r="R209" s="23" t="e">
        <f ca="1"/>
        <v>#N/A</v>
      </c>
      <c r="S209" s="23">
        <f t="shared" ca="1" si="61"/>
        <v>0</v>
      </c>
      <c r="T209" t="b">
        <f t="shared" ca="1" si="69"/>
        <v>1</v>
      </c>
      <c r="U209" s="22" t="e">
        <f t="shared" ca="1" si="65"/>
        <v>#N/A</v>
      </c>
      <c r="V209">
        <f t="shared" ca="1" si="66"/>
        <v>0</v>
      </c>
    </row>
    <row r="210" spans="2:22">
      <c r="B210">
        <f t="shared" si="70"/>
        <v>200</v>
      </c>
      <c r="C210" s="22" t="e">
        <f ca="1"/>
        <v>#N/A</v>
      </c>
      <c r="D210" s="17" t="e">
        <f ca="1"/>
        <v>#N/A</v>
      </c>
      <c r="E210" s="17" t="e">
        <f ca="1"/>
        <v>#N/A</v>
      </c>
      <c r="F210" s="23" t="e">
        <f ca="1"/>
        <v>#N/A</v>
      </c>
      <c r="G210" s="23">
        <f t="shared" ca="1" si="60"/>
        <v>0</v>
      </c>
      <c r="H210" t="b">
        <f t="shared" ca="1" si="67"/>
        <v>1</v>
      </c>
      <c r="I210" s="22" t="e">
        <f t="shared" ca="1" si="62"/>
        <v>#N/A</v>
      </c>
      <c r="J210">
        <f t="shared" ca="1" si="63"/>
        <v>0</v>
      </c>
      <c r="K210" t="e">
        <f t="shared" ca="1" si="68"/>
        <v>#N/A</v>
      </c>
      <c r="O210" s="22" t="e">
        <f t="shared" ca="1" si="64"/>
        <v>#N/A</v>
      </c>
      <c r="P210" s="17" t="e">
        <f ca="1"/>
        <v>#N/A</v>
      </c>
      <c r="Q210" s="17" t="e">
        <f ca="1"/>
        <v>#N/A</v>
      </c>
      <c r="R210" s="23" t="e">
        <f ca="1"/>
        <v>#N/A</v>
      </c>
      <c r="S210" s="23">
        <f t="shared" ca="1" si="61"/>
        <v>0</v>
      </c>
      <c r="T210" t="b">
        <f t="shared" ca="1" si="69"/>
        <v>1</v>
      </c>
      <c r="U210" s="22" t="e">
        <f t="shared" ca="1" si="65"/>
        <v>#N/A</v>
      </c>
      <c r="V210">
        <f t="shared" ca="1" si="66"/>
        <v>0</v>
      </c>
    </row>
    <row r="211" spans="2:22">
      <c r="B211">
        <f t="shared" si="70"/>
        <v>201</v>
      </c>
      <c r="C211" s="22" t="e">
        <f ca="1"/>
        <v>#N/A</v>
      </c>
      <c r="D211" s="17" t="e">
        <f ca="1"/>
        <v>#N/A</v>
      </c>
      <c r="E211" s="17" t="e">
        <f ca="1"/>
        <v>#N/A</v>
      </c>
      <c r="F211" s="23" t="e">
        <f ca="1"/>
        <v>#N/A</v>
      </c>
      <c r="G211" s="23">
        <f t="shared" ca="1" si="60"/>
        <v>0</v>
      </c>
      <c r="H211" t="b">
        <f t="shared" ca="1" si="67"/>
        <v>1</v>
      </c>
      <c r="I211" s="22" t="e">
        <f t="shared" ca="1" si="62"/>
        <v>#N/A</v>
      </c>
      <c r="J211">
        <f t="shared" ca="1" si="63"/>
        <v>0</v>
      </c>
      <c r="K211" t="e">
        <f t="shared" ca="1" si="68"/>
        <v>#N/A</v>
      </c>
      <c r="O211" s="22" t="e">
        <f t="shared" ca="1" si="64"/>
        <v>#N/A</v>
      </c>
      <c r="P211" s="17" t="e">
        <f ca="1"/>
        <v>#N/A</v>
      </c>
      <c r="Q211" s="17" t="e">
        <f ca="1"/>
        <v>#N/A</v>
      </c>
      <c r="R211" s="23" t="e">
        <f ca="1"/>
        <v>#N/A</v>
      </c>
      <c r="S211" s="23">
        <f t="shared" ca="1" si="61"/>
        <v>0</v>
      </c>
      <c r="T211" t="b">
        <f t="shared" ca="1" si="69"/>
        <v>1</v>
      </c>
      <c r="U211" s="22" t="e">
        <f t="shared" ca="1" si="65"/>
        <v>#N/A</v>
      </c>
      <c r="V211">
        <f t="shared" ca="1" si="66"/>
        <v>0</v>
      </c>
    </row>
    <row r="212" spans="2:22">
      <c r="B212">
        <f t="shared" si="70"/>
        <v>202</v>
      </c>
      <c r="C212" s="22" t="e">
        <f ca="1"/>
        <v>#N/A</v>
      </c>
      <c r="D212" s="17" t="e">
        <f ca="1"/>
        <v>#N/A</v>
      </c>
      <c r="E212" s="17" t="e">
        <f ca="1"/>
        <v>#N/A</v>
      </c>
      <c r="F212" s="23" t="e">
        <f ca="1"/>
        <v>#N/A</v>
      </c>
      <c r="G212" s="23">
        <f t="shared" ca="1" si="60"/>
        <v>0</v>
      </c>
      <c r="H212" t="b">
        <f t="shared" ca="1" si="67"/>
        <v>1</v>
      </c>
      <c r="I212" s="22" t="e">
        <f t="shared" ca="1" si="62"/>
        <v>#N/A</v>
      </c>
      <c r="J212">
        <f t="shared" ca="1" si="63"/>
        <v>0</v>
      </c>
      <c r="K212" t="e">
        <f t="shared" ca="1" si="68"/>
        <v>#N/A</v>
      </c>
      <c r="O212" s="22" t="e">
        <f t="shared" ca="1" si="64"/>
        <v>#N/A</v>
      </c>
      <c r="P212" s="17" t="e">
        <f ca="1"/>
        <v>#N/A</v>
      </c>
      <c r="Q212" s="17" t="e">
        <f ca="1"/>
        <v>#N/A</v>
      </c>
      <c r="R212" s="23" t="e">
        <f ca="1"/>
        <v>#N/A</v>
      </c>
      <c r="S212" s="23">
        <f t="shared" ca="1" si="61"/>
        <v>0</v>
      </c>
      <c r="T212" t="b">
        <f t="shared" ca="1" si="69"/>
        <v>1</v>
      </c>
      <c r="U212" s="22" t="e">
        <f t="shared" ca="1" si="65"/>
        <v>#N/A</v>
      </c>
      <c r="V212">
        <f t="shared" ca="1" si="66"/>
        <v>0</v>
      </c>
    </row>
    <row r="213" spans="2:22">
      <c r="B213">
        <f t="shared" si="70"/>
        <v>203</v>
      </c>
      <c r="C213" s="22" t="e">
        <f ca="1"/>
        <v>#N/A</v>
      </c>
      <c r="D213" s="17" t="e">
        <f ca="1"/>
        <v>#N/A</v>
      </c>
      <c r="E213" s="17" t="e">
        <f ca="1"/>
        <v>#N/A</v>
      </c>
      <c r="F213" s="23" t="e">
        <f ca="1"/>
        <v>#N/A</v>
      </c>
      <c r="G213" s="23">
        <f t="shared" ca="1" si="60"/>
        <v>0</v>
      </c>
      <c r="H213" t="b">
        <f t="shared" ca="1" si="67"/>
        <v>1</v>
      </c>
      <c r="I213" s="22" t="e">
        <f t="shared" ca="1" si="62"/>
        <v>#N/A</v>
      </c>
      <c r="J213">
        <f t="shared" ca="1" si="63"/>
        <v>0</v>
      </c>
      <c r="K213" t="e">
        <f t="shared" ca="1" si="68"/>
        <v>#N/A</v>
      </c>
      <c r="O213" s="22" t="e">
        <f t="shared" ca="1" si="64"/>
        <v>#N/A</v>
      </c>
      <c r="P213" s="17" t="e">
        <f ca="1"/>
        <v>#N/A</v>
      </c>
      <c r="Q213" s="17" t="e">
        <f ca="1"/>
        <v>#N/A</v>
      </c>
      <c r="R213" s="23" t="e">
        <f ca="1"/>
        <v>#N/A</v>
      </c>
      <c r="S213" s="23">
        <f t="shared" ca="1" si="61"/>
        <v>0</v>
      </c>
      <c r="T213" t="b">
        <f t="shared" ca="1" si="69"/>
        <v>1</v>
      </c>
      <c r="U213" s="22" t="e">
        <f t="shared" ca="1" si="65"/>
        <v>#N/A</v>
      </c>
      <c r="V213">
        <f t="shared" ca="1" si="66"/>
        <v>0</v>
      </c>
    </row>
    <row r="214" spans="2:22">
      <c r="B214">
        <f t="shared" si="70"/>
        <v>204</v>
      </c>
      <c r="C214" s="22" t="e">
        <f ca="1"/>
        <v>#N/A</v>
      </c>
      <c r="D214" s="17" t="e">
        <f ca="1"/>
        <v>#N/A</v>
      </c>
      <c r="E214" s="17" t="e">
        <f ca="1"/>
        <v>#N/A</v>
      </c>
      <c r="F214" s="23" t="e">
        <f ca="1"/>
        <v>#N/A</v>
      </c>
      <c r="G214" s="23">
        <f t="shared" ca="1" si="60"/>
        <v>0</v>
      </c>
      <c r="H214" t="b">
        <f t="shared" ca="1" si="67"/>
        <v>1</v>
      </c>
      <c r="I214" s="22" t="e">
        <f t="shared" ca="1" si="62"/>
        <v>#N/A</v>
      </c>
      <c r="J214">
        <f t="shared" ca="1" si="63"/>
        <v>0</v>
      </c>
      <c r="K214" t="e">
        <f t="shared" ca="1" si="68"/>
        <v>#N/A</v>
      </c>
      <c r="O214" s="22" t="e">
        <f t="shared" ca="1" si="64"/>
        <v>#N/A</v>
      </c>
      <c r="P214" s="17" t="e">
        <f ca="1"/>
        <v>#N/A</v>
      </c>
      <c r="Q214" s="17" t="e">
        <f ca="1"/>
        <v>#N/A</v>
      </c>
      <c r="R214" s="23" t="e">
        <f ca="1"/>
        <v>#N/A</v>
      </c>
      <c r="S214" s="23">
        <f t="shared" ca="1" si="61"/>
        <v>0</v>
      </c>
      <c r="T214" t="b">
        <f t="shared" ca="1" si="69"/>
        <v>1</v>
      </c>
      <c r="U214" s="22" t="e">
        <f t="shared" ca="1" si="65"/>
        <v>#N/A</v>
      </c>
      <c r="V214">
        <f t="shared" ca="1" si="66"/>
        <v>0</v>
      </c>
    </row>
    <row r="215" spans="2:22">
      <c r="B215">
        <f t="shared" si="70"/>
        <v>205</v>
      </c>
      <c r="C215" s="22" t="e">
        <f ca="1"/>
        <v>#N/A</v>
      </c>
      <c r="D215" s="17" t="e">
        <f ca="1"/>
        <v>#N/A</v>
      </c>
      <c r="E215" s="17" t="e">
        <f ca="1"/>
        <v>#N/A</v>
      </c>
      <c r="F215" s="23" t="e">
        <f ca="1"/>
        <v>#N/A</v>
      </c>
      <c r="G215" s="23">
        <f t="shared" ref="G215:G278" ca="1" si="71">IFERROR(Volatility(D204:D215,12),FALSE)</f>
        <v>0</v>
      </c>
      <c r="H215" t="b">
        <f t="shared" ca="1" si="67"/>
        <v>1</v>
      </c>
      <c r="I215" s="22" t="e">
        <f t="shared" ca="1" si="62"/>
        <v>#N/A</v>
      </c>
      <c r="J215">
        <f t="shared" ca="1" si="63"/>
        <v>0</v>
      </c>
      <c r="K215" t="e">
        <f t="shared" ca="1" si="68"/>
        <v>#N/A</v>
      </c>
      <c r="O215" s="22" t="e">
        <f t="shared" ca="1" si="64"/>
        <v>#N/A</v>
      </c>
      <c r="P215" s="17" t="e">
        <f ca="1"/>
        <v>#N/A</v>
      </c>
      <c r="Q215" s="17" t="e">
        <f ca="1"/>
        <v>#N/A</v>
      </c>
      <c r="R215" s="23" t="e">
        <f ca="1"/>
        <v>#N/A</v>
      </c>
      <c r="S215" s="23">
        <f t="shared" ref="S215:S278" ca="1" si="72">IFERROR(Volatility(P204:P215,12),FALSE)</f>
        <v>0</v>
      </c>
      <c r="T215" t="b">
        <f t="shared" ca="1" si="69"/>
        <v>1</v>
      </c>
      <c r="U215" s="22" t="e">
        <f t="shared" ca="1" si="65"/>
        <v>#N/A</v>
      </c>
      <c r="V215">
        <f t="shared" ca="1" si="66"/>
        <v>0</v>
      </c>
    </row>
    <row r="216" spans="2:22">
      <c r="B216">
        <f t="shared" si="70"/>
        <v>206</v>
      </c>
      <c r="C216" s="22" t="e">
        <f ca="1"/>
        <v>#N/A</v>
      </c>
      <c r="D216" s="17" t="e">
        <f ca="1"/>
        <v>#N/A</v>
      </c>
      <c r="E216" s="17" t="e">
        <f ca="1"/>
        <v>#N/A</v>
      </c>
      <c r="F216" s="23" t="e">
        <f ca="1"/>
        <v>#N/A</v>
      </c>
      <c r="G216" s="23">
        <f t="shared" ca="1" si="71"/>
        <v>0</v>
      </c>
      <c r="H216" t="b">
        <f t="shared" ca="1" si="67"/>
        <v>1</v>
      </c>
      <c r="I216" s="22" t="e">
        <f t="shared" ca="1" si="62"/>
        <v>#N/A</v>
      </c>
      <c r="J216">
        <f t="shared" ca="1" si="63"/>
        <v>0</v>
      </c>
      <c r="K216" t="e">
        <f t="shared" ca="1" si="68"/>
        <v>#N/A</v>
      </c>
      <c r="O216" s="22" t="e">
        <f t="shared" ca="1" si="64"/>
        <v>#N/A</v>
      </c>
      <c r="P216" s="17" t="e">
        <f ca="1"/>
        <v>#N/A</v>
      </c>
      <c r="Q216" s="17" t="e">
        <f ca="1"/>
        <v>#N/A</v>
      </c>
      <c r="R216" s="23" t="e">
        <f ca="1"/>
        <v>#N/A</v>
      </c>
      <c r="S216" s="23">
        <f t="shared" ca="1" si="72"/>
        <v>0</v>
      </c>
      <c r="T216" t="b">
        <f t="shared" ca="1" si="69"/>
        <v>1</v>
      </c>
      <c r="U216" s="22" t="e">
        <f t="shared" ca="1" si="65"/>
        <v>#N/A</v>
      </c>
      <c r="V216">
        <f t="shared" ca="1" si="66"/>
        <v>0</v>
      </c>
    </row>
    <row r="217" spans="2:22">
      <c r="B217">
        <f t="shared" si="70"/>
        <v>207</v>
      </c>
      <c r="C217" s="22" t="e">
        <f ca="1"/>
        <v>#N/A</v>
      </c>
      <c r="D217" s="17" t="e">
        <f ca="1"/>
        <v>#N/A</v>
      </c>
      <c r="E217" s="17" t="e">
        <f ca="1"/>
        <v>#N/A</v>
      </c>
      <c r="F217" s="23" t="e">
        <f ca="1"/>
        <v>#N/A</v>
      </c>
      <c r="G217" s="23">
        <f t="shared" ca="1" si="71"/>
        <v>0</v>
      </c>
      <c r="H217" t="b">
        <f t="shared" ca="1" si="67"/>
        <v>1</v>
      </c>
      <c r="I217" s="22" t="e">
        <f t="shared" ca="1" si="62"/>
        <v>#N/A</v>
      </c>
      <c r="J217">
        <f t="shared" ca="1" si="63"/>
        <v>0</v>
      </c>
      <c r="K217" t="e">
        <f t="shared" ca="1" si="68"/>
        <v>#N/A</v>
      </c>
      <c r="O217" s="22" t="e">
        <f t="shared" ca="1" si="64"/>
        <v>#N/A</v>
      </c>
      <c r="P217" s="17" t="e">
        <f ca="1"/>
        <v>#N/A</v>
      </c>
      <c r="Q217" s="17" t="e">
        <f ca="1"/>
        <v>#N/A</v>
      </c>
      <c r="R217" s="23" t="e">
        <f ca="1"/>
        <v>#N/A</v>
      </c>
      <c r="S217" s="23">
        <f t="shared" ca="1" si="72"/>
        <v>0</v>
      </c>
      <c r="T217" t="b">
        <f t="shared" ca="1" si="69"/>
        <v>1</v>
      </c>
      <c r="U217" s="22" t="e">
        <f t="shared" ca="1" si="65"/>
        <v>#N/A</v>
      </c>
      <c r="V217">
        <f t="shared" ca="1" si="66"/>
        <v>0</v>
      </c>
    </row>
    <row r="218" spans="2:22">
      <c r="B218">
        <f t="shared" si="70"/>
        <v>208</v>
      </c>
      <c r="C218" s="22" t="e">
        <f ca="1"/>
        <v>#N/A</v>
      </c>
      <c r="D218" s="17" t="e">
        <f ca="1"/>
        <v>#N/A</v>
      </c>
      <c r="E218" s="17" t="e">
        <f ca="1"/>
        <v>#N/A</v>
      </c>
      <c r="F218" s="23" t="e">
        <f ca="1"/>
        <v>#N/A</v>
      </c>
      <c r="G218" s="23">
        <f t="shared" ca="1" si="71"/>
        <v>0</v>
      </c>
      <c r="H218" t="b">
        <f t="shared" ca="1" si="67"/>
        <v>1</v>
      </c>
      <c r="I218" s="22" t="e">
        <f t="shared" ca="1" si="62"/>
        <v>#N/A</v>
      </c>
      <c r="J218">
        <f t="shared" ca="1" si="63"/>
        <v>0</v>
      </c>
      <c r="K218" t="e">
        <f t="shared" ca="1" si="68"/>
        <v>#N/A</v>
      </c>
      <c r="O218" s="22" t="e">
        <f t="shared" ca="1" si="64"/>
        <v>#N/A</v>
      </c>
      <c r="P218" s="17" t="e">
        <f ca="1"/>
        <v>#N/A</v>
      </c>
      <c r="Q218" s="17" t="e">
        <f ca="1"/>
        <v>#N/A</v>
      </c>
      <c r="R218" s="23" t="e">
        <f ca="1"/>
        <v>#N/A</v>
      </c>
      <c r="S218" s="23">
        <f t="shared" ca="1" si="72"/>
        <v>0</v>
      </c>
      <c r="T218" t="b">
        <f t="shared" ca="1" si="69"/>
        <v>1</v>
      </c>
      <c r="U218" s="22" t="e">
        <f t="shared" ca="1" si="65"/>
        <v>#N/A</v>
      </c>
      <c r="V218">
        <f t="shared" ca="1" si="66"/>
        <v>0</v>
      </c>
    </row>
    <row r="219" spans="2:22">
      <c r="B219">
        <f t="shared" si="70"/>
        <v>209</v>
      </c>
      <c r="C219" s="22" t="e">
        <f ca="1"/>
        <v>#N/A</v>
      </c>
      <c r="D219" s="17" t="e">
        <f ca="1"/>
        <v>#N/A</v>
      </c>
      <c r="E219" s="17" t="e">
        <f ca="1"/>
        <v>#N/A</v>
      </c>
      <c r="F219" s="23" t="e">
        <f ca="1"/>
        <v>#N/A</v>
      </c>
      <c r="G219" s="23">
        <f t="shared" ca="1" si="71"/>
        <v>0</v>
      </c>
      <c r="H219" t="b">
        <f t="shared" ca="1" si="67"/>
        <v>1</v>
      </c>
      <c r="I219" s="22" t="e">
        <f t="shared" ca="1" si="62"/>
        <v>#N/A</v>
      </c>
      <c r="J219">
        <f t="shared" ca="1" si="63"/>
        <v>0</v>
      </c>
      <c r="K219" t="e">
        <f t="shared" ca="1" si="68"/>
        <v>#N/A</v>
      </c>
      <c r="O219" s="22" t="e">
        <f t="shared" ca="1" si="64"/>
        <v>#N/A</v>
      </c>
      <c r="P219" s="17" t="e">
        <f ca="1"/>
        <v>#N/A</v>
      </c>
      <c r="Q219" s="17" t="e">
        <f ca="1"/>
        <v>#N/A</v>
      </c>
      <c r="R219" s="23" t="e">
        <f ca="1"/>
        <v>#N/A</v>
      </c>
      <c r="S219" s="23">
        <f t="shared" ca="1" si="72"/>
        <v>0</v>
      </c>
      <c r="T219" t="b">
        <f t="shared" ca="1" si="69"/>
        <v>1</v>
      </c>
      <c r="U219" s="22" t="e">
        <f t="shared" ca="1" si="65"/>
        <v>#N/A</v>
      </c>
      <c r="V219">
        <f t="shared" ca="1" si="66"/>
        <v>0</v>
      </c>
    </row>
    <row r="220" spans="2:22">
      <c r="B220">
        <f t="shared" si="70"/>
        <v>210</v>
      </c>
      <c r="C220" s="22" t="e">
        <f ca="1"/>
        <v>#N/A</v>
      </c>
      <c r="D220" s="17" t="e">
        <f ca="1"/>
        <v>#N/A</v>
      </c>
      <c r="E220" s="17" t="e">
        <f ca="1"/>
        <v>#N/A</v>
      </c>
      <c r="F220" s="23" t="e">
        <f ca="1"/>
        <v>#N/A</v>
      </c>
      <c r="G220" s="23">
        <f t="shared" ca="1" si="71"/>
        <v>0</v>
      </c>
      <c r="H220" t="b">
        <f t="shared" ca="1" si="67"/>
        <v>1</v>
      </c>
      <c r="I220" s="22" t="e">
        <f t="shared" ca="1" si="62"/>
        <v>#N/A</v>
      </c>
      <c r="J220">
        <f t="shared" ca="1" si="63"/>
        <v>0</v>
      </c>
      <c r="K220" t="e">
        <f t="shared" ca="1" si="68"/>
        <v>#N/A</v>
      </c>
      <c r="O220" s="22" t="e">
        <f t="shared" ca="1" si="64"/>
        <v>#N/A</v>
      </c>
      <c r="P220" s="17" t="e">
        <f ca="1"/>
        <v>#N/A</v>
      </c>
      <c r="Q220" s="17" t="e">
        <f ca="1"/>
        <v>#N/A</v>
      </c>
      <c r="R220" s="23" t="e">
        <f ca="1"/>
        <v>#N/A</v>
      </c>
      <c r="S220" s="23">
        <f t="shared" ca="1" si="72"/>
        <v>0</v>
      </c>
      <c r="T220" t="b">
        <f t="shared" ca="1" si="69"/>
        <v>1</v>
      </c>
      <c r="U220" s="22" t="e">
        <f t="shared" ca="1" si="65"/>
        <v>#N/A</v>
      </c>
      <c r="V220">
        <f t="shared" ca="1" si="66"/>
        <v>0</v>
      </c>
    </row>
    <row r="221" spans="2:22">
      <c r="B221">
        <f t="shared" si="70"/>
        <v>211</v>
      </c>
      <c r="C221" s="22" t="e">
        <f ca="1"/>
        <v>#N/A</v>
      </c>
      <c r="D221" s="17" t="e">
        <f ca="1"/>
        <v>#N/A</v>
      </c>
      <c r="E221" s="17" t="e">
        <f ca="1"/>
        <v>#N/A</v>
      </c>
      <c r="F221" s="23" t="e">
        <f ca="1"/>
        <v>#N/A</v>
      </c>
      <c r="G221" s="23">
        <f t="shared" ca="1" si="71"/>
        <v>0</v>
      </c>
      <c r="H221" t="b">
        <f t="shared" ca="1" si="67"/>
        <v>1</v>
      </c>
      <c r="I221" s="22" t="e">
        <f t="shared" ca="1" si="62"/>
        <v>#N/A</v>
      </c>
      <c r="J221">
        <f t="shared" ca="1" si="63"/>
        <v>0</v>
      </c>
      <c r="K221" t="e">
        <f t="shared" ca="1" si="68"/>
        <v>#N/A</v>
      </c>
      <c r="O221" s="22" t="e">
        <f t="shared" ca="1" si="64"/>
        <v>#N/A</v>
      </c>
      <c r="P221" s="17" t="e">
        <f ca="1"/>
        <v>#N/A</v>
      </c>
      <c r="Q221" s="17" t="e">
        <f ca="1"/>
        <v>#N/A</v>
      </c>
      <c r="R221" s="23" t="e">
        <f ca="1"/>
        <v>#N/A</v>
      </c>
      <c r="S221" s="23">
        <f t="shared" ca="1" si="72"/>
        <v>0</v>
      </c>
      <c r="T221" t="b">
        <f t="shared" ca="1" si="69"/>
        <v>1</v>
      </c>
      <c r="U221" s="22" t="e">
        <f t="shared" ca="1" si="65"/>
        <v>#N/A</v>
      </c>
      <c r="V221">
        <f t="shared" ca="1" si="66"/>
        <v>0</v>
      </c>
    </row>
    <row r="222" spans="2:22">
      <c r="B222">
        <f t="shared" si="70"/>
        <v>212</v>
      </c>
      <c r="C222" s="22" t="e">
        <f ca="1"/>
        <v>#N/A</v>
      </c>
      <c r="D222" s="17" t="e">
        <f ca="1"/>
        <v>#N/A</v>
      </c>
      <c r="E222" s="17" t="e">
        <f ca="1"/>
        <v>#N/A</v>
      </c>
      <c r="F222" s="23" t="e">
        <f ca="1"/>
        <v>#N/A</v>
      </c>
      <c r="G222" s="23">
        <f t="shared" ca="1" si="71"/>
        <v>0</v>
      </c>
      <c r="H222" t="b">
        <f t="shared" ca="1" si="67"/>
        <v>1</v>
      </c>
      <c r="I222" s="22" t="e">
        <f t="shared" ca="1" si="62"/>
        <v>#N/A</v>
      </c>
      <c r="J222">
        <f t="shared" ca="1" si="63"/>
        <v>0</v>
      </c>
      <c r="K222" t="e">
        <f t="shared" ca="1" si="68"/>
        <v>#N/A</v>
      </c>
      <c r="O222" s="22" t="e">
        <f t="shared" ca="1" si="64"/>
        <v>#N/A</v>
      </c>
      <c r="P222" s="17" t="e">
        <f ca="1"/>
        <v>#N/A</v>
      </c>
      <c r="Q222" s="17" t="e">
        <f ca="1"/>
        <v>#N/A</v>
      </c>
      <c r="R222" s="23" t="e">
        <f ca="1"/>
        <v>#N/A</v>
      </c>
      <c r="S222" s="23">
        <f t="shared" ca="1" si="72"/>
        <v>0</v>
      </c>
      <c r="T222" t="b">
        <f t="shared" ca="1" si="69"/>
        <v>1</v>
      </c>
      <c r="U222" s="22" t="e">
        <f t="shared" ca="1" si="65"/>
        <v>#N/A</v>
      </c>
      <c r="V222">
        <f t="shared" ca="1" si="66"/>
        <v>0</v>
      </c>
    </row>
    <row r="223" spans="2:22">
      <c r="B223">
        <f t="shared" si="70"/>
        <v>213</v>
      </c>
      <c r="C223" s="22" t="e">
        <f ca="1"/>
        <v>#N/A</v>
      </c>
      <c r="D223" s="17" t="e">
        <f ca="1"/>
        <v>#N/A</v>
      </c>
      <c r="E223" s="17" t="e">
        <f ca="1"/>
        <v>#N/A</v>
      </c>
      <c r="F223" s="23" t="e">
        <f ca="1"/>
        <v>#N/A</v>
      </c>
      <c r="G223" s="23">
        <f t="shared" ca="1" si="71"/>
        <v>0</v>
      </c>
      <c r="H223" t="b">
        <f t="shared" ca="1" si="67"/>
        <v>1</v>
      </c>
      <c r="I223" s="22" t="e">
        <f t="shared" ca="1" si="62"/>
        <v>#N/A</v>
      </c>
      <c r="J223">
        <f t="shared" ca="1" si="63"/>
        <v>0</v>
      </c>
      <c r="K223" t="e">
        <f t="shared" ca="1" si="68"/>
        <v>#N/A</v>
      </c>
      <c r="O223" s="22" t="e">
        <f t="shared" ca="1" si="64"/>
        <v>#N/A</v>
      </c>
      <c r="P223" s="17" t="e">
        <f ca="1"/>
        <v>#N/A</v>
      </c>
      <c r="Q223" s="17" t="e">
        <f ca="1"/>
        <v>#N/A</v>
      </c>
      <c r="R223" s="23" t="e">
        <f ca="1"/>
        <v>#N/A</v>
      </c>
      <c r="S223" s="23">
        <f t="shared" ca="1" si="72"/>
        <v>0</v>
      </c>
      <c r="T223" t="b">
        <f t="shared" ca="1" si="69"/>
        <v>1</v>
      </c>
      <c r="U223" s="22" t="e">
        <f t="shared" ca="1" si="65"/>
        <v>#N/A</v>
      </c>
      <c r="V223">
        <f t="shared" ca="1" si="66"/>
        <v>0</v>
      </c>
    </row>
    <row r="224" spans="2:22">
      <c r="B224">
        <f t="shared" si="70"/>
        <v>214</v>
      </c>
      <c r="C224" s="22" t="e">
        <f ca="1"/>
        <v>#N/A</v>
      </c>
      <c r="D224" s="17" t="e">
        <f ca="1"/>
        <v>#N/A</v>
      </c>
      <c r="E224" s="17" t="e">
        <f ca="1"/>
        <v>#N/A</v>
      </c>
      <c r="F224" s="23" t="e">
        <f ca="1"/>
        <v>#N/A</v>
      </c>
      <c r="G224" s="23">
        <f t="shared" ca="1" si="71"/>
        <v>0</v>
      </c>
      <c r="H224" t="b">
        <f t="shared" ca="1" si="67"/>
        <v>1</v>
      </c>
      <c r="I224" s="22" t="e">
        <f t="shared" ca="1" si="62"/>
        <v>#N/A</v>
      </c>
      <c r="J224">
        <f t="shared" ca="1" si="63"/>
        <v>0</v>
      </c>
      <c r="K224" t="e">
        <f t="shared" ca="1" si="68"/>
        <v>#N/A</v>
      </c>
      <c r="O224" s="22" t="e">
        <f t="shared" ca="1" si="64"/>
        <v>#N/A</v>
      </c>
      <c r="P224" s="17" t="e">
        <f ca="1"/>
        <v>#N/A</v>
      </c>
      <c r="Q224" s="17" t="e">
        <f ca="1"/>
        <v>#N/A</v>
      </c>
      <c r="R224" s="23" t="e">
        <f ca="1"/>
        <v>#N/A</v>
      </c>
      <c r="S224" s="23">
        <f t="shared" ca="1" si="72"/>
        <v>0</v>
      </c>
      <c r="T224" t="b">
        <f t="shared" ca="1" si="69"/>
        <v>1</v>
      </c>
      <c r="U224" s="22" t="e">
        <f t="shared" ca="1" si="65"/>
        <v>#N/A</v>
      </c>
      <c r="V224">
        <f t="shared" ca="1" si="66"/>
        <v>0</v>
      </c>
    </row>
    <row r="225" spans="2:22">
      <c r="B225">
        <f t="shared" si="70"/>
        <v>215</v>
      </c>
      <c r="C225" s="22" t="e">
        <f ca="1"/>
        <v>#N/A</v>
      </c>
      <c r="D225" s="17" t="e">
        <f ca="1"/>
        <v>#N/A</v>
      </c>
      <c r="E225" s="17" t="e">
        <f ca="1"/>
        <v>#N/A</v>
      </c>
      <c r="F225" s="23" t="e">
        <f ca="1"/>
        <v>#N/A</v>
      </c>
      <c r="G225" s="23">
        <f t="shared" ca="1" si="71"/>
        <v>0</v>
      </c>
      <c r="H225" t="b">
        <f t="shared" ca="1" si="67"/>
        <v>1</v>
      </c>
      <c r="I225" s="22" t="e">
        <f t="shared" ca="1" si="62"/>
        <v>#N/A</v>
      </c>
      <c r="J225">
        <f t="shared" ca="1" si="63"/>
        <v>0</v>
      </c>
      <c r="K225" t="e">
        <f t="shared" ca="1" si="68"/>
        <v>#N/A</v>
      </c>
      <c r="O225" s="22" t="e">
        <f t="shared" ca="1" si="64"/>
        <v>#N/A</v>
      </c>
      <c r="P225" s="17" t="e">
        <f ca="1"/>
        <v>#N/A</v>
      </c>
      <c r="Q225" s="17" t="e">
        <f ca="1"/>
        <v>#N/A</v>
      </c>
      <c r="R225" s="23" t="e">
        <f ca="1"/>
        <v>#N/A</v>
      </c>
      <c r="S225" s="23">
        <f t="shared" ca="1" si="72"/>
        <v>0</v>
      </c>
      <c r="T225" t="b">
        <f t="shared" ca="1" si="69"/>
        <v>1</v>
      </c>
      <c r="U225" s="22" t="e">
        <f t="shared" ca="1" si="65"/>
        <v>#N/A</v>
      </c>
      <c r="V225">
        <f t="shared" ca="1" si="66"/>
        <v>0</v>
      </c>
    </row>
    <row r="226" spans="2:22">
      <c r="B226">
        <f t="shared" si="70"/>
        <v>216</v>
      </c>
      <c r="C226" s="22" t="e">
        <f ca="1"/>
        <v>#N/A</v>
      </c>
      <c r="D226" s="17" t="e">
        <f ca="1"/>
        <v>#N/A</v>
      </c>
      <c r="E226" s="17" t="e">
        <f ca="1"/>
        <v>#N/A</v>
      </c>
      <c r="F226" s="23" t="e">
        <f ca="1"/>
        <v>#N/A</v>
      </c>
      <c r="G226" s="23">
        <f t="shared" ca="1" si="71"/>
        <v>0</v>
      </c>
      <c r="H226" t="b">
        <f t="shared" ca="1" si="67"/>
        <v>1</v>
      </c>
      <c r="I226" s="22" t="e">
        <f t="shared" ca="1" si="62"/>
        <v>#N/A</v>
      </c>
      <c r="J226">
        <f t="shared" ca="1" si="63"/>
        <v>0</v>
      </c>
      <c r="K226" t="e">
        <f t="shared" ca="1" si="68"/>
        <v>#N/A</v>
      </c>
      <c r="O226" s="22" t="e">
        <f t="shared" ca="1" si="64"/>
        <v>#N/A</v>
      </c>
      <c r="P226" s="17" t="e">
        <f ca="1"/>
        <v>#N/A</v>
      </c>
      <c r="Q226" s="17" t="e">
        <f ca="1"/>
        <v>#N/A</v>
      </c>
      <c r="R226" s="23" t="e">
        <f ca="1"/>
        <v>#N/A</v>
      </c>
      <c r="S226" s="23">
        <f t="shared" ca="1" si="72"/>
        <v>0</v>
      </c>
      <c r="T226" t="b">
        <f t="shared" ca="1" si="69"/>
        <v>1</v>
      </c>
      <c r="U226" s="22" t="e">
        <f t="shared" ca="1" si="65"/>
        <v>#N/A</v>
      </c>
      <c r="V226">
        <f t="shared" ca="1" si="66"/>
        <v>0</v>
      </c>
    </row>
    <row r="227" spans="2:22">
      <c r="B227">
        <f t="shared" si="70"/>
        <v>217</v>
      </c>
      <c r="C227" s="22" t="e">
        <f ca="1"/>
        <v>#N/A</v>
      </c>
      <c r="D227" s="17" t="e">
        <f ca="1"/>
        <v>#N/A</v>
      </c>
      <c r="E227" s="17" t="e">
        <f ca="1"/>
        <v>#N/A</v>
      </c>
      <c r="F227" s="23" t="e">
        <f ca="1"/>
        <v>#N/A</v>
      </c>
      <c r="G227" s="23">
        <f t="shared" ca="1" si="71"/>
        <v>0</v>
      </c>
      <c r="H227" t="b">
        <f t="shared" ca="1" si="67"/>
        <v>1</v>
      </c>
      <c r="I227" s="22" t="e">
        <f t="shared" ca="1" si="62"/>
        <v>#N/A</v>
      </c>
      <c r="J227">
        <f t="shared" ca="1" si="63"/>
        <v>0</v>
      </c>
      <c r="K227" t="e">
        <f t="shared" ca="1" si="68"/>
        <v>#N/A</v>
      </c>
      <c r="O227" s="22" t="e">
        <f t="shared" ca="1" si="64"/>
        <v>#N/A</v>
      </c>
      <c r="P227" s="17" t="e">
        <f ca="1"/>
        <v>#N/A</v>
      </c>
      <c r="Q227" s="17" t="e">
        <f ca="1"/>
        <v>#N/A</v>
      </c>
      <c r="R227" s="23" t="e">
        <f ca="1"/>
        <v>#N/A</v>
      </c>
      <c r="S227" s="23">
        <f t="shared" ca="1" si="72"/>
        <v>0</v>
      </c>
      <c r="T227" t="b">
        <f t="shared" ca="1" si="69"/>
        <v>1</v>
      </c>
      <c r="U227" s="22" t="e">
        <f t="shared" ca="1" si="65"/>
        <v>#N/A</v>
      </c>
      <c r="V227">
        <f t="shared" ca="1" si="66"/>
        <v>0</v>
      </c>
    </row>
    <row r="228" spans="2:22">
      <c r="B228">
        <f t="shared" si="70"/>
        <v>218</v>
      </c>
      <c r="C228" s="22" t="e">
        <f ca="1"/>
        <v>#N/A</v>
      </c>
      <c r="D228" s="17" t="e">
        <f ca="1"/>
        <v>#N/A</v>
      </c>
      <c r="E228" s="17" t="e">
        <f ca="1"/>
        <v>#N/A</v>
      </c>
      <c r="F228" s="23" t="e">
        <f ca="1"/>
        <v>#N/A</v>
      </c>
      <c r="G228" s="23">
        <f t="shared" ca="1" si="71"/>
        <v>0</v>
      </c>
      <c r="H228" t="b">
        <f t="shared" ca="1" si="67"/>
        <v>1</v>
      </c>
      <c r="I228" s="22" t="e">
        <f t="shared" ca="1" si="62"/>
        <v>#N/A</v>
      </c>
      <c r="J228">
        <f t="shared" ca="1" si="63"/>
        <v>0</v>
      </c>
      <c r="K228" t="e">
        <f t="shared" ca="1" si="68"/>
        <v>#N/A</v>
      </c>
      <c r="O228" s="22" t="e">
        <f t="shared" ca="1" si="64"/>
        <v>#N/A</v>
      </c>
      <c r="P228" s="17" t="e">
        <f ca="1"/>
        <v>#N/A</v>
      </c>
      <c r="Q228" s="17" t="e">
        <f ca="1"/>
        <v>#N/A</v>
      </c>
      <c r="R228" s="23" t="e">
        <f ca="1"/>
        <v>#N/A</v>
      </c>
      <c r="S228" s="23">
        <f t="shared" ca="1" si="72"/>
        <v>0</v>
      </c>
      <c r="T228" t="b">
        <f t="shared" ca="1" si="69"/>
        <v>1</v>
      </c>
      <c r="U228" s="22" t="e">
        <f t="shared" ca="1" si="65"/>
        <v>#N/A</v>
      </c>
      <c r="V228">
        <f t="shared" ca="1" si="66"/>
        <v>0</v>
      </c>
    </row>
    <row r="229" spans="2:22">
      <c r="B229">
        <f t="shared" si="70"/>
        <v>219</v>
      </c>
      <c r="C229" s="22" t="e">
        <f ca="1"/>
        <v>#N/A</v>
      </c>
      <c r="D229" s="17" t="e">
        <f ca="1"/>
        <v>#N/A</v>
      </c>
      <c r="E229" s="17" t="e">
        <f ca="1"/>
        <v>#N/A</v>
      </c>
      <c r="F229" s="23" t="e">
        <f ca="1"/>
        <v>#N/A</v>
      </c>
      <c r="G229" s="23">
        <f t="shared" ca="1" si="71"/>
        <v>0</v>
      </c>
      <c r="H229" t="b">
        <f t="shared" ca="1" si="67"/>
        <v>1</v>
      </c>
      <c r="I229" s="22" t="e">
        <f t="shared" ca="1" si="62"/>
        <v>#N/A</v>
      </c>
      <c r="J229">
        <f t="shared" ca="1" si="63"/>
        <v>0</v>
      </c>
      <c r="K229" t="e">
        <f t="shared" ca="1" si="68"/>
        <v>#N/A</v>
      </c>
      <c r="O229" s="22" t="e">
        <f t="shared" ca="1" si="64"/>
        <v>#N/A</v>
      </c>
      <c r="P229" s="17" t="e">
        <f ca="1"/>
        <v>#N/A</v>
      </c>
      <c r="Q229" s="17" t="e">
        <f ca="1"/>
        <v>#N/A</v>
      </c>
      <c r="R229" s="23" t="e">
        <f ca="1"/>
        <v>#N/A</v>
      </c>
      <c r="S229" s="23">
        <f t="shared" ca="1" si="72"/>
        <v>0</v>
      </c>
      <c r="T229" t="b">
        <f t="shared" ca="1" si="69"/>
        <v>1</v>
      </c>
      <c r="U229" s="22" t="e">
        <f t="shared" ca="1" si="65"/>
        <v>#N/A</v>
      </c>
      <c r="V229">
        <f t="shared" ca="1" si="66"/>
        <v>0</v>
      </c>
    </row>
    <row r="230" spans="2:22">
      <c r="B230">
        <f t="shared" si="70"/>
        <v>220</v>
      </c>
      <c r="C230" s="22" t="e">
        <f ca="1"/>
        <v>#N/A</v>
      </c>
      <c r="D230" s="17" t="e">
        <f ca="1"/>
        <v>#N/A</v>
      </c>
      <c r="E230" s="17" t="e">
        <f ca="1"/>
        <v>#N/A</v>
      </c>
      <c r="F230" s="23" t="e">
        <f ca="1"/>
        <v>#N/A</v>
      </c>
      <c r="G230" s="23">
        <f t="shared" ca="1" si="71"/>
        <v>0</v>
      </c>
      <c r="H230" t="b">
        <f t="shared" ca="1" si="67"/>
        <v>1</v>
      </c>
      <c r="I230" s="22" t="e">
        <f t="shared" ca="1" si="62"/>
        <v>#N/A</v>
      </c>
      <c r="J230">
        <f t="shared" ca="1" si="63"/>
        <v>0</v>
      </c>
      <c r="K230" t="e">
        <f t="shared" ca="1" si="68"/>
        <v>#N/A</v>
      </c>
      <c r="O230" s="22" t="e">
        <f t="shared" ca="1" si="64"/>
        <v>#N/A</v>
      </c>
      <c r="P230" s="17" t="e">
        <f ca="1"/>
        <v>#N/A</v>
      </c>
      <c r="Q230" s="17" t="e">
        <f ca="1"/>
        <v>#N/A</v>
      </c>
      <c r="R230" s="23" t="e">
        <f ca="1"/>
        <v>#N/A</v>
      </c>
      <c r="S230" s="23">
        <f t="shared" ca="1" si="72"/>
        <v>0</v>
      </c>
      <c r="T230" t="b">
        <f t="shared" ca="1" si="69"/>
        <v>1</v>
      </c>
      <c r="U230" s="22" t="e">
        <f t="shared" ca="1" si="65"/>
        <v>#N/A</v>
      </c>
      <c r="V230">
        <f t="shared" ca="1" si="66"/>
        <v>0</v>
      </c>
    </row>
    <row r="231" spans="2:22">
      <c r="B231">
        <f t="shared" si="70"/>
        <v>221</v>
      </c>
      <c r="C231" s="22" t="e">
        <f ca="1"/>
        <v>#N/A</v>
      </c>
      <c r="D231" s="17" t="e">
        <f ca="1"/>
        <v>#N/A</v>
      </c>
      <c r="E231" s="17" t="e">
        <f ca="1"/>
        <v>#N/A</v>
      </c>
      <c r="F231" s="23" t="e">
        <f ca="1"/>
        <v>#N/A</v>
      </c>
      <c r="G231" s="23">
        <f t="shared" ca="1" si="71"/>
        <v>0</v>
      </c>
      <c r="H231" t="b">
        <f t="shared" ca="1" si="67"/>
        <v>1</v>
      </c>
      <c r="I231" s="22" t="e">
        <f t="shared" ca="1" si="62"/>
        <v>#N/A</v>
      </c>
      <c r="J231">
        <f t="shared" ca="1" si="63"/>
        <v>0</v>
      </c>
      <c r="K231" t="e">
        <f t="shared" ca="1" si="68"/>
        <v>#N/A</v>
      </c>
      <c r="O231" s="22" t="e">
        <f t="shared" ca="1" si="64"/>
        <v>#N/A</v>
      </c>
      <c r="P231" s="17" t="e">
        <f ca="1"/>
        <v>#N/A</v>
      </c>
      <c r="Q231" s="17" t="e">
        <f ca="1"/>
        <v>#N/A</v>
      </c>
      <c r="R231" s="23" t="e">
        <f ca="1"/>
        <v>#N/A</v>
      </c>
      <c r="S231" s="23">
        <f t="shared" ca="1" si="72"/>
        <v>0</v>
      </c>
      <c r="T231" t="b">
        <f t="shared" ca="1" si="69"/>
        <v>1</v>
      </c>
      <c r="U231" s="22" t="e">
        <f t="shared" ca="1" si="65"/>
        <v>#N/A</v>
      </c>
      <c r="V231">
        <f t="shared" ca="1" si="66"/>
        <v>0</v>
      </c>
    </row>
    <row r="232" spans="2:22">
      <c r="B232">
        <f t="shared" si="70"/>
        <v>222</v>
      </c>
      <c r="C232" s="22" t="e">
        <f ca="1"/>
        <v>#N/A</v>
      </c>
      <c r="D232" s="17" t="e">
        <f ca="1"/>
        <v>#N/A</v>
      </c>
      <c r="E232" s="17" t="e">
        <f ca="1"/>
        <v>#N/A</v>
      </c>
      <c r="F232" s="23" t="e">
        <f ca="1"/>
        <v>#N/A</v>
      </c>
      <c r="G232" s="23">
        <f t="shared" ca="1" si="71"/>
        <v>0</v>
      </c>
      <c r="H232" t="b">
        <f t="shared" ca="1" si="67"/>
        <v>1</v>
      </c>
      <c r="I232" s="22" t="e">
        <f t="shared" ca="1" si="62"/>
        <v>#N/A</v>
      </c>
      <c r="J232">
        <f t="shared" ca="1" si="63"/>
        <v>0</v>
      </c>
      <c r="K232" t="e">
        <f t="shared" ca="1" si="68"/>
        <v>#N/A</v>
      </c>
      <c r="O232" s="22" t="e">
        <f t="shared" ca="1" si="64"/>
        <v>#N/A</v>
      </c>
      <c r="P232" s="17" t="e">
        <f ca="1"/>
        <v>#N/A</v>
      </c>
      <c r="Q232" s="17" t="e">
        <f ca="1"/>
        <v>#N/A</v>
      </c>
      <c r="R232" s="23" t="e">
        <f ca="1"/>
        <v>#N/A</v>
      </c>
      <c r="S232" s="23">
        <f t="shared" ca="1" si="72"/>
        <v>0</v>
      </c>
      <c r="T232" t="b">
        <f t="shared" ca="1" si="69"/>
        <v>1</v>
      </c>
      <c r="U232" s="22" t="e">
        <f t="shared" ca="1" si="65"/>
        <v>#N/A</v>
      </c>
      <c r="V232">
        <f t="shared" ca="1" si="66"/>
        <v>0</v>
      </c>
    </row>
    <row r="233" spans="2:22">
      <c r="B233">
        <f t="shared" si="70"/>
        <v>223</v>
      </c>
      <c r="C233" s="22" t="e">
        <f ca="1"/>
        <v>#N/A</v>
      </c>
      <c r="D233" s="17" t="e">
        <f ca="1"/>
        <v>#N/A</v>
      </c>
      <c r="E233" s="17" t="e">
        <f ca="1"/>
        <v>#N/A</v>
      </c>
      <c r="F233" s="23" t="e">
        <f ca="1"/>
        <v>#N/A</v>
      </c>
      <c r="G233" s="23">
        <f t="shared" ca="1" si="71"/>
        <v>0</v>
      </c>
      <c r="H233" t="b">
        <f t="shared" ca="1" si="67"/>
        <v>1</v>
      </c>
      <c r="I233" s="22" t="e">
        <f t="shared" ca="1" si="62"/>
        <v>#N/A</v>
      </c>
      <c r="J233">
        <f t="shared" ca="1" si="63"/>
        <v>0</v>
      </c>
      <c r="K233" t="e">
        <f t="shared" ca="1" si="68"/>
        <v>#N/A</v>
      </c>
      <c r="O233" s="22" t="e">
        <f t="shared" ca="1" si="64"/>
        <v>#N/A</v>
      </c>
      <c r="P233" s="17" t="e">
        <f ca="1"/>
        <v>#N/A</v>
      </c>
      <c r="Q233" s="17" t="e">
        <f ca="1"/>
        <v>#N/A</v>
      </c>
      <c r="R233" s="23" t="e">
        <f ca="1"/>
        <v>#N/A</v>
      </c>
      <c r="S233" s="23">
        <f t="shared" ca="1" si="72"/>
        <v>0</v>
      </c>
      <c r="T233" t="b">
        <f t="shared" ca="1" si="69"/>
        <v>1</v>
      </c>
      <c r="U233" s="22" t="e">
        <f t="shared" ca="1" si="65"/>
        <v>#N/A</v>
      </c>
      <c r="V233">
        <f t="shared" ca="1" si="66"/>
        <v>0</v>
      </c>
    </row>
    <row r="234" spans="2:22">
      <c r="B234">
        <f t="shared" si="70"/>
        <v>224</v>
      </c>
      <c r="C234" s="22" t="e">
        <f ca="1"/>
        <v>#N/A</v>
      </c>
      <c r="D234" s="17" t="e">
        <f ca="1"/>
        <v>#N/A</v>
      </c>
      <c r="E234" s="17" t="e">
        <f ca="1"/>
        <v>#N/A</v>
      </c>
      <c r="F234" s="23" t="e">
        <f ca="1"/>
        <v>#N/A</v>
      </c>
      <c r="G234" s="23">
        <f t="shared" ca="1" si="71"/>
        <v>0</v>
      </c>
      <c r="H234" t="b">
        <f t="shared" ca="1" si="67"/>
        <v>1</v>
      </c>
      <c r="I234" s="22" t="e">
        <f t="shared" ca="1" si="62"/>
        <v>#N/A</v>
      </c>
      <c r="J234">
        <f t="shared" ca="1" si="63"/>
        <v>0</v>
      </c>
      <c r="K234" t="e">
        <f t="shared" ca="1" si="68"/>
        <v>#N/A</v>
      </c>
      <c r="O234" s="22" t="e">
        <f t="shared" ca="1" si="64"/>
        <v>#N/A</v>
      </c>
      <c r="P234" s="17" t="e">
        <f ca="1"/>
        <v>#N/A</v>
      </c>
      <c r="Q234" s="17" t="e">
        <f ca="1"/>
        <v>#N/A</v>
      </c>
      <c r="R234" s="23" t="e">
        <f ca="1"/>
        <v>#N/A</v>
      </c>
      <c r="S234" s="23">
        <f t="shared" ca="1" si="72"/>
        <v>0</v>
      </c>
      <c r="T234" t="b">
        <f t="shared" ca="1" si="69"/>
        <v>1</v>
      </c>
      <c r="U234" s="22" t="e">
        <f t="shared" ca="1" si="65"/>
        <v>#N/A</v>
      </c>
      <c r="V234">
        <f t="shared" ca="1" si="66"/>
        <v>0</v>
      </c>
    </row>
    <row r="235" spans="2:22">
      <c r="B235">
        <f t="shared" si="70"/>
        <v>225</v>
      </c>
      <c r="C235" s="22" t="e">
        <f ca="1"/>
        <v>#N/A</v>
      </c>
      <c r="D235" s="17" t="e">
        <f ca="1"/>
        <v>#N/A</v>
      </c>
      <c r="E235" s="17" t="e">
        <f ca="1"/>
        <v>#N/A</v>
      </c>
      <c r="F235" s="23" t="e">
        <f ca="1"/>
        <v>#N/A</v>
      </c>
      <c r="G235" s="23">
        <f t="shared" ca="1" si="71"/>
        <v>0</v>
      </c>
      <c r="H235" t="b">
        <f t="shared" ca="1" si="67"/>
        <v>1</v>
      </c>
      <c r="I235" s="22" t="e">
        <f t="shared" ca="1" si="62"/>
        <v>#N/A</v>
      </c>
      <c r="J235">
        <f t="shared" ca="1" si="63"/>
        <v>0</v>
      </c>
      <c r="K235" t="e">
        <f t="shared" ca="1" si="68"/>
        <v>#N/A</v>
      </c>
      <c r="O235" s="22" t="e">
        <f t="shared" ca="1" si="64"/>
        <v>#N/A</v>
      </c>
      <c r="P235" s="17" t="e">
        <f ca="1"/>
        <v>#N/A</v>
      </c>
      <c r="Q235" s="17" t="e">
        <f ca="1"/>
        <v>#N/A</v>
      </c>
      <c r="R235" s="23" t="e">
        <f ca="1"/>
        <v>#N/A</v>
      </c>
      <c r="S235" s="23">
        <f t="shared" ca="1" si="72"/>
        <v>0</v>
      </c>
      <c r="T235" t="b">
        <f t="shared" ca="1" si="69"/>
        <v>1</v>
      </c>
      <c r="U235" s="22" t="e">
        <f t="shared" ca="1" si="65"/>
        <v>#N/A</v>
      </c>
      <c r="V235">
        <f t="shared" ca="1" si="66"/>
        <v>0</v>
      </c>
    </row>
    <row r="236" spans="2:22">
      <c r="B236">
        <f t="shared" si="70"/>
        <v>226</v>
      </c>
      <c r="C236" s="22" t="e">
        <f ca="1"/>
        <v>#N/A</v>
      </c>
      <c r="D236" s="17" t="e">
        <f ca="1"/>
        <v>#N/A</v>
      </c>
      <c r="E236" s="17" t="e">
        <f ca="1"/>
        <v>#N/A</v>
      </c>
      <c r="F236" s="23" t="e">
        <f ca="1"/>
        <v>#N/A</v>
      </c>
      <c r="G236" s="23">
        <f t="shared" ca="1" si="71"/>
        <v>0</v>
      </c>
      <c r="H236" t="b">
        <f t="shared" ca="1" si="67"/>
        <v>1</v>
      </c>
      <c r="I236" s="22" t="e">
        <f t="shared" ca="1" si="62"/>
        <v>#N/A</v>
      </c>
      <c r="J236">
        <f t="shared" ca="1" si="63"/>
        <v>0</v>
      </c>
      <c r="K236" t="e">
        <f t="shared" ca="1" si="68"/>
        <v>#N/A</v>
      </c>
      <c r="O236" s="22" t="e">
        <f t="shared" ca="1" si="64"/>
        <v>#N/A</v>
      </c>
      <c r="P236" s="17" t="e">
        <f ca="1"/>
        <v>#N/A</v>
      </c>
      <c r="Q236" s="17" t="e">
        <f ca="1"/>
        <v>#N/A</v>
      </c>
      <c r="R236" s="23" t="e">
        <f ca="1"/>
        <v>#N/A</v>
      </c>
      <c r="S236" s="23">
        <f t="shared" ca="1" si="72"/>
        <v>0</v>
      </c>
      <c r="T236" t="b">
        <f t="shared" ca="1" si="69"/>
        <v>1</v>
      </c>
      <c r="U236" s="22" t="e">
        <f t="shared" ca="1" si="65"/>
        <v>#N/A</v>
      </c>
      <c r="V236">
        <f t="shared" ca="1" si="66"/>
        <v>0</v>
      </c>
    </row>
    <row r="237" spans="2:22">
      <c r="B237">
        <f t="shared" si="70"/>
        <v>227</v>
      </c>
      <c r="C237" s="22" t="e">
        <f ca="1"/>
        <v>#N/A</v>
      </c>
      <c r="D237" s="17" t="e">
        <f ca="1"/>
        <v>#N/A</v>
      </c>
      <c r="E237" s="17" t="e">
        <f ca="1"/>
        <v>#N/A</v>
      </c>
      <c r="F237" s="23" t="e">
        <f ca="1"/>
        <v>#N/A</v>
      </c>
      <c r="G237" s="23">
        <f t="shared" ca="1" si="71"/>
        <v>0</v>
      </c>
      <c r="H237" t="b">
        <f t="shared" ca="1" si="67"/>
        <v>1</v>
      </c>
      <c r="I237" s="22" t="e">
        <f t="shared" ca="1" si="62"/>
        <v>#N/A</v>
      </c>
      <c r="J237">
        <f t="shared" ca="1" si="63"/>
        <v>0</v>
      </c>
      <c r="K237" t="e">
        <f t="shared" ca="1" si="68"/>
        <v>#N/A</v>
      </c>
      <c r="O237" s="22" t="e">
        <f t="shared" ca="1" si="64"/>
        <v>#N/A</v>
      </c>
      <c r="P237" s="17" t="e">
        <f ca="1"/>
        <v>#N/A</v>
      </c>
      <c r="Q237" s="17" t="e">
        <f ca="1"/>
        <v>#N/A</v>
      </c>
      <c r="R237" s="23" t="e">
        <f ca="1"/>
        <v>#N/A</v>
      </c>
      <c r="S237" s="23">
        <f t="shared" ca="1" si="72"/>
        <v>0</v>
      </c>
      <c r="T237" t="b">
        <f t="shared" ca="1" si="69"/>
        <v>1</v>
      </c>
      <c r="U237" s="22" t="e">
        <f t="shared" ca="1" si="65"/>
        <v>#N/A</v>
      </c>
      <c r="V237">
        <f t="shared" ca="1" si="66"/>
        <v>0</v>
      </c>
    </row>
    <row r="238" spans="2:22">
      <c r="B238">
        <f t="shared" si="70"/>
        <v>228</v>
      </c>
      <c r="C238" s="22" t="e">
        <f ca="1"/>
        <v>#N/A</v>
      </c>
      <c r="D238" s="17" t="e">
        <f ca="1"/>
        <v>#N/A</v>
      </c>
      <c r="E238" s="17" t="e">
        <f ca="1"/>
        <v>#N/A</v>
      </c>
      <c r="F238" s="23" t="e">
        <f ca="1"/>
        <v>#N/A</v>
      </c>
      <c r="G238" s="23">
        <f t="shared" ca="1" si="71"/>
        <v>0</v>
      </c>
      <c r="H238" t="b">
        <f t="shared" ca="1" si="67"/>
        <v>1</v>
      </c>
      <c r="I238" s="22" t="e">
        <f t="shared" ca="1" si="62"/>
        <v>#N/A</v>
      </c>
      <c r="J238">
        <f t="shared" ca="1" si="63"/>
        <v>0</v>
      </c>
      <c r="K238" t="e">
        <f t="shared" ca="1" si="68"/>
        <v>#N/A</v>
      </c>
      <c r="O238" s="22" t="e">
        <f t="shared" ca="1" si="64"/>
        <v>#N/A</v>
      </c>
      <c r="P238" s="17" t="e">
        <f ca="1"/>
        <v>#N/A</v>
      </c>
      <c r="Q238" s="17" t="e">
        <f ca="1"/>
        <v>#N/A</v>
      </c>
      <c r="R238" s="23" t="e">
        <f ca="1"/>
        <v>#N/A</v>
      </c>
      <c r="S238" s="23">
        <f t="shared" ca="1" si="72"/>
        <v>0</v>
      </c>
      <c r="T238" t="b">
        <f t="shared" ca="1" si="69"/>
        <v>1</v>
      </c>
      <c r="U238" s="22" t="e">
        <f t="shared" ca="1" si="65"/>
        <v>#N/A</v>
      </c>
      <c r="V238">
        <f t="shared" ca="1" si="66"/>
        <v>0</v>
      </c>
    </row>
    <row r="239" spans="2:22">
      <c r="B239">
        <f t="shared" si="70"/>
        <v>229</v>
      </c>
      <c r="C239" s="22" t="e">
        <f ca="1"/>
        <v>#N/A</v>
      </c>
      <c r="D239" s="17" t="e">
        <f ca="1"/>
        <v>#N/A</v>
      </c>
      <c r="E239" s="17" t="e">
        <f ca="1"/>
        <v>#N/A</v>
      </c>
      <c r="F239" s="23" t="e">
        <f ca="1"/>
        <v>#N/A</v>
      </c>
      <c r="G239" s="23">
        <f t="shared" ca="1" si="71"/>
        <v>0</v>
      </c>
      <c r="H239" t="b">
        <f t="shared" ca="1" si="67"/>
        <v>1</v>
      </c>
      <c r="I239" s="22" t="e">
        <f t="shared" ca="1" si="62"/>
        <v>#N/A</v>
      </c>
      <c r="J239">
        <f t="shared" ca="1" si="63"/>
        <v>0</v>
      </c>
      <c r="K239" t="e">
        <f t="shared" ca="1" si="68"/>
        <v>#N/A</v>
      </c>
      <c r="O239" s="22" t="e">
        <f t="shared" ca="1" si="64"/>
        <v>#N/A</v>
      </c>
      <c r="P239" s="17" t="e">
        <f ca="1"/>
        <v>#N/A</v>
      </c>
      <c r="Q239" s="17" t="e">
        <f ca="1"/>
        <v>#N/A</v>
      </c>
      <c r="R239" s="23" t="e">
        <f ca="1"/>
        <v>#N/A</v>
      </c>
      <c r="S239" s="23">
        <f t="shared" ca="1" si="72"/>
        <v>0</v>
      </c>
      <c r="T239" t="b">
        <f t="shared" ca="1" si="69"/>
        <v>1</v>
      </c>
      <c r="U239" s="22" t="e">
        <f t="shared" ca="1" si="65"/>
        <v>#N/A</v>
      </c>
      <c r="V239">
        <f t="shared" ca="1" si="66"/>
        <v>0</v>
      </c>
    </row>
    <row r="240" spans="2:22">
      <c r="B240">
        <f t="shared" si="70"/>
        <v>230</v>
      </c>
      <c r="C240" s="22" t="e">
        <f ca="1"/>
        <v>#N/A</v>
      </c>
      <c r="D240" s="17" t="e">
        <f ca="1"/>
        <v>#N/A</v>
      </c>
      <c r="E240" s="17" t="e">
        <f ca="1"/>
        <v>#N/A</v>
      </c>
      <c r="F240" s="23" t="e">
        <f ca="1"/>
        <v>#N/A</v>
      </c>
      <c r="G240" s="23">
        <f t="shared" ca="1" si="71"/>
        <v>0</v>
      </c>
      <c r="H240" t="b">
        <f t="shared" ca="1" si="67"/>
        <v>1</v>
      </c>
      <c r="I240" s="22" t="e">
        <f t="shared" ca="1" si="62"/>
        <v>#N/A</v>
      </c>
      <c r="J240">
        <f t="shared" ca="1" si="63"/>
        <v>0</v>
      </c>
      <c r="K240" t="e">
        <f t="shared" ca="1" si="68"/>
        <v>#N/A</v>
      </c>
      <c r="O240" s="22" t="e">
        <f t="shared" ca="1" si="64"/>
        <v>#N/A</v>
      </c>
      <c r="P240" s="17" t="e">
        <f ca="1"/>
        <v>#N/A</v>
      </c>
      <c r="Q240" s="17" t="e">
        <f ca="1"/>
        <v>#N/A</v>
      </c>
      <c r="R240" s="23" t="e">
        <f ca="1"/>
        <v>#N/A</v>
      </c>
      <c r="S240" s="23">
        <f t="shared" ca="1" si="72"/>
        <v>0</v>
      </c>
      <c r="T240" t="b">
        <f t="shared" ca="1" si="69"/>
        <v>1</v>
      </c>
      <c r="U240" s="22" t="e">
        <f t="shared" ca="1" si="65"/>
        <v>#N/A</v>
      </c>
      <c r="V240">
        <f t="shared" ca="1" si="66"/>
        <v>0</v>
      </c>
    </row>
    <row r="241" spans="2:22">
      <c r="B241">
        <f t="shared" si="70"/>
        <v>231</v>
      </c>
      <c r="C241" s="22" t="e">
        <f ca="1"/>
        <v>#N/A</v>
      </c>
      <c r="D241" s="17" t="e">
        <f ca="1"/>
        <v>#N/A</v>
      </c>
      <c r="E241" s="17" t="e">
        <f ca="1"/>
        <v>#N/A</v>
      </c>
      <c r="F241" s="23" t="e">
        <f ca="1"/>
        <v>#N/A</v>
      </c>
      <c r="G241" s="23">
        <f t="shared" ca="1" si="71"/>
        <v>0</v>
      </c>
      <c r="H241" t="b">
        <f t="shared" ca="1" si="67"/>
        <v>1</v>
      </c>
      <c r="I241" s="22" t="e">
        <f t="shared" ca="1" si="62"/>
        <v>#N/A</v>
      </c>
      <c r="J241">
        <f t="shared" ca="1" si="63"/>
        <v>0</v>
      </c>
      <c r="K241" t="e">
        <f t="shared" ca="1" si="68"/>
        <v>#N/A</v>
      </c>
      <c r="O241" s="22" t="e">
        <f t="shared" ca="1" si="64"/>
        <v>#N/A</v>
      </c>
      <c r="P241" s="17" t="e">
        <f ca="1"/>
        <v>#N/A</v>
      </c>
      <c r="Q241" s="17" t="e">
        <f ca="1"/>
        <v>#N/A</v>
      </c>
      <c r="R241" s="23" t="e">
        <f ca="1"/>
        <v>#N/A</v>
      </c>
      <c r="S241" s="23">
        <f t="shared" ca="1" si="72"/>
        <v>0</v>
      </c>
      <c r="T241" t="b">
        <f t="shared" ca="1" si="69"/>
        <v>1</v>
      </c>
      <c r="U241" s="22" t="e">
        <f t="shared" ca="1" si="65"/>
        <v>#N/A</v>
      </c>
      <c r="V241">
        <f t="shared" ca="1" si="66"/>
        <v>0</v>
      </c>
    </row>
    <row r="242" spans="2:22">
      <c r="B242">
        <f t="shared" si="70"/>
        <v>232</v>
      </c>
      <c r="C242" s="22" t="e">
        <f ca="1"/>
        <v>#N/A</v>
      </c>
      <c r="D242" s="17" t="e">
        <f ca="1"/>
        <v>#N/A</v>
      </c>
      <c r="E242" s="17" t="e">
        <f ca="1"/>
        <v>#N/A</v>
      </c>
      <c r="F242" s="23" t="e">
        <f ca="1"/>
        <v>#N/A</v>
      </c>
      <c r="G242" s="23">
        <f t="shared" ca="1" si="71"/>
        <v>0</v>
      </c>
      <c r="H242" t="b">
        <f t="shared" ca="1" si="67"/>
        <v>1</v>
      </c>
      <c r="I242" s="22" t="e">
        <f t="shared" ca="1" si="62"/>
        <v>#N/A</v>
      </c>
      <c r="J242">
        <f t="shared" ca="1" si="63"/>
        <v>0</v>
      </c>
      <c r="K242" t="e">
        <f t="shared" ca="1" si="68"/>
        <v>#N/A</v>
      </c>
      <c r="O242" s="22" t="e">
        <f t="shared" ca="1" si="64"/>
        <v>#N/A</v>
      </c>
      <c r="P242" s="17" t="e">
        <f ca="1"/>
        <v>#N/A</v>
      </c>
      <c r="Q242" s="17" t="e">
        <f ca="1"/>
        <v>#N/A</v>
      </c>
      <c r="R242" s="23" t="e">
        <f ca="1"/>
        <v>#N/A</v>
      </c>
      <c r="S242" s="23">
        <f t="shared" ca="1" si="72"/>
        <v>0</v>
      </c>
      <c r="T242" t="b">
        <f t="shared" ca="1" si="69"/>
        <v>1</v>
      </c>
      <c r="U242" s="22" t="e">
        <f t="shared" ca="1" si="65"/>
        <v>#N/A</v>
      </c>
      <c r="V242">
        <f t="shared" ca="1" si="66"/>
        <v>0</v>
      </c>
    </row>
    <row r="243" spans="2:22">
      <c r="B243">
        <f t="shared" si="70"/>
        <v>233</v>
      </c>
      <c r="C243" s="22" t="e">
        <f ca="1"/>
        <v>#N/A</v>
      </c>
      <c r="D243" s="17" t="e">
        <f ca="1"/>
        <v>#N/A</v>
      </c>
      <c r="E243" s="17" t="e">
        <f ca="1"/>
        <v>#N/A</v>
      </c>
      <c r="F243" s="23" t="e">
        <f ca="1"/>
        <v>#N/A</v>
      </c>
      <c r="G243" s="23">
        <f t="shared" ca="1" si="71"/>
        <v>0</v>
      </c>
      <c r="H243" t="b">
        <f t="shared" ca="1" si="67"/>
        <v>1</v>
      </c>
      <c r="I243" s="22" t="e">
        <f t="shared" ca="1" si="62"/>
        <v>#N/A</v>
      </c>
      <c r="J243">
        <f t="shared" ca="1" si="63"/>
        <v>0</v>
      </c>
      <c r="K243" t="e">
        <f t="shared" ca="1" si="68"/>
        <v>#N/A</v>
      </c>
      <c r="O243" s="22" t="e">
        <f t="shared" ca="1" si="64"/>
        <v>#N/A</v>
      </c>
      <c r="P243" s="17" t="e">
        <f ca="1"/>
        <v>#N/A</v>
      </c>
      <c r="Q243" s="17" t="e">
        <f ca="1"/>
        <v>#N/A</v>
      </c>
      <c r="R243" s="23" t="e">
        <f ca="1"/>
        <v>#N/A</v>
      </c>
      <c r="S243" s="23">
        <f t="shared" ca="1" si="72"/>
        <v>0</v>
      </c>
      <c r="T243" t="b">
        <f t="shared" ca="1" si="69"/>
        <v>1</v>
      </c>
      <c r="U243" s="22" t="e">
        <f t="shared" ca="1" si="65"/>
        <v>#N/A</v>
      </c>
      <c r="V243">
        <f t="shared" ca="1" si="66"/>
        <v>0</v>
      </c>
    </row>
    <row r="244" spans="2:22">
      <c r="B244">
        <f t="shared" si="70"/>
        <v>234</v>
      </c>
      <c r="C244" s="22" t="e">
        <f ca="1"/>
        <v>#N/A</v>
      </c>
      <c r="D244" s="17" t="e">
        <f ca="1"/>
        <v>#N/A</v>
      </c>
      <c r="E244" s="17" t="e">
        <f ca="1"/>
        <v>#N/A</v>
      </c>
      <c r="F244" s="23" t="e">
        <f ca="1"/>
        <v>#N/A</v>
      </c>
      <c r="G244" s="23">
        <f t="shared" ca="1" si="71"/>
        <v>0</v>
      </c>
      <c r="H244" t="b">
        <f t="shared" ca="1" si="67"/>
        <v>1</v>
      </c>
      <c r="I244" s="22" t="e">
        <f t="shared" ca="1" si="62"/>
        <v>#N/A</v>
      </c>
      <c r="J244">
        <f t="shared" ca="1" si="63"/>
        <v>0</v>
      </c>
      <c r="K244" t="e">
        <f t="shared" ca="1" si="68"/>
        <v>#N/A</v>
      </c>
      <c r="O244" s="22" t="e">
        <f t="shared" ca="1" si="64"/>
        <v>#N/A</v>
      </c>
      <c r="P244" s="17" t="e">
        <f ca="1"/>
        <v>#N/A</v>
      </c>
      <c r="Q244" s="17" t="e">
        <f ca="1"/>
        <v>#N/A</v>
      </c>
      <c r="R244" s="23" t="e">
        <f ca="1"/>
        <v>#N/A</v>
      </c>
      <c r="S244" s="23">
        <f t="shared" ca="1" si="72"/>
        <v>0</v>
      </c>
      <c r="T244" t="b">
        <f t="shared" ca="1" si="69"/>
        <v>1</v>
      </c>
      <c r="U244" s="22" t="e">
        <f t="shared" ca="1" si="65"/>
        <v>#N/A</v>
      </c>
      <c r="V244">
        <f t="shared" ca="1" si="66"/>
        <v>0</v>
      </c>
    </row>
    <row r="245" spans="2:22">
      <c r="B245">
        <f t="shared" si="70"/>
        <v>235</v>
      </c>
      <c r="C245" s="22" t="e">
        <f ca="1"/>
        <v>#N/A</v>
      </c>
      <c r="D245" s="17" t="e">
        <f ca="1"/>
        <v>#N/A</v>
      </c>
      <c r="E245" s="17" t="e">
        <f ca="1"/>
        <v>#N/A</v>
      </c>
      <c r="F245" s="23" t="e">
        <f ca="1"/>
        <v>#N/A</v>
      </c>
      <c r="G245" s="23">
        <f t="shared" ca="1" si="71"/>
        <v>0</v>
      </c>
      <c r="H245" t="b">
        <f t="shared" ca="1" si="67"/>
        <v>1</v>
      </c>
      <c r="I245" s="22" t="e">
        <f t="shared" ca="1" si="62"/>
        <v>#N/A</v>
      </c>
      <c r="J245">
        <f t="shared" ca="1" si="63"/>
        <v>0</v>
      </c>
      <c r="K245" t="e">
        <f t="shared" ca="1" si="68"/>
        <v>#N/A</v>
      </c>
      <c r="O245" s="22" t="e">
        <f t="shared" ca="1" si="64"/>
        <v>#N/A</v>
      </c>
      <c r="P245" s="17" t="e">
        <f ca="1"/>
        <v>#N/A</v>
      </c>
      <c r="Q245" s="17" t="e">
        <f ca="1"/>
        <v>#N/A</v>
      </c>
      <c r="R245" s="23" t="e">
        <f ca="1"/>
        <v>#N/A</v>
      </c>
      <c r="S245" s="23">
        <f t="shared" ca="1" si="72"/>
        <v>0</v>
      </c>
      <c r="T245" t="b">
        <f t="shared" ca="1" si="69"/>
        <v>1</v>
      </c>
      <c r="U245" s="22" t="e">
        <f t="shared" ca="1" si="65"/>
        <v>#N/A</v>
      </c>
      <c r="V245">
        <f t="shared" ca="1" si="66"/>
        <v>0</v>
      </c>
    </row>
    <row r="246" spans="2:22">
      <c r="B246">
        <f t="shared" si="70"/>
        <v>236</v>
      </c>
      <c r="C246" s="22" t="e">
        <f ca="1"/>
        <v>#N/A</v>
      </c>
      <c r="D246" s="17" t="e">
        <f ca="1"/>
        <v>#N/A</v>
      </c>
      <c r="E246" s="17" t="e">
        <f ca="1"/>
        <v>#N/A</v>
      </c>
      <c r="F246" s="23" t="e">
        <f ca="1"/>
        <v>#N/A</v>
      </c>
      <c r="G246" s="23">
        <f t="shared" ca="1" si="71"/>
        <v>0</v>
      </c>
      <c r="H246" t="b">
        <f t="shared" ca="1" si="67"/>
        <v>1</v>
      </c>
      <c r="I246" s="22" t="e">
        <f t="shared" ca="1" si="62"/>
        <v>#N/A</v>
      </c>
      <c r="J246">
        <f t="shared" ca="1" si="63"/>
        <v>0</v>
      </c>
      <c r="K246" t="e">
        <f t="shared" ca="1" si="68"/>
        <v>#N/A</v>
      </c>
      <c r="O246" s="22" t="e">
        <f t="shared" ca="1" si="64"/>
        <v>#N/A</v>
      </c>
      <c r="P246" s="17" t="e">
        <f ca="1"/>
        <v>#N/A</v>
      </c>
      <c r="Q246" s="17" t="e">
        <f ca="1"/>
        <v>#N/A</v>
      </c>
      <c r="R246" s="23" t="e">
        <f ca="1"/>
        <v>#N/A</v>
      </c>
      <c r="S246" s="23">
        <f t="shared" ca="1" si="72"/>
        <v>0</v>
      </c>
      <c r="T246" t="b">
        <f t="shared" ca="1" si="69"/>
        <v>1</v>
      </c>
      <c r="U246" s="22" t="e">
        <f t="shared" ca="1" si="65"/>
        <v>#N/A</v>
      </c>
      <c r="V246">
        <f t="shared" ca="1" si="66"/>
        <v>0</v>
      </c>
    </row>
    <row r="247" spans="2:22">
      <c r="B247">
        <f t="shared" si="70"/>
        <v>237</v>
      </c>
      <c r="C247" s="22" t="e">
        <f ca="1"/>
        <v>#N/A</v>
      </c>
      <c r="D247" s="17" t="e">
        <f ca="1"/>
        <v>#N/A</v>
      </c>
      <c r="E247" s="17" t="e">
        <f ca="1"/>
        <v>#N/A</v>
      </c>
      <c r="F247" s="23" t="e">
        <f ca="1"/>
        <v>#N/A</v>
      </c>
      <c r="G247" s="23">
        <f t="shared" ca="1" si="71"/>
        <v>0</v>
      </c>
      <c r="H247" t="b">
        <f t="shared" ca="1" si="67"/>
        <v>1</v>
      </c>
      <c r="I247" s="22" t="e">
        <f t="shared" ca="1" si="62"/>
        <v>#N/A</v>
      </c>
      <c r="J247">
        <f t="shared" ca="1" si="63"/>
        <v>0</v>
      </c>
      <c r="K247" t="e">
        <f t="shared" ca="1" si="68"/>
        <v>#N/A</v>
      </c>
      <c r="O247" s="22" t="e">
        <f t="shared" ca="1" si="64"/>
        <v>#N/A</v>
      </c>
      <c r="P247" s="17" t="e">
        <f ca="1"/>
        <v>#N/A</v>
      </c>
      <c r="Q247" s="17" t="e">
        <f ca="1"/>
        <v>#N/A</v>
      </c>
      <c r="R247" s="23" t="e">
        <f ca="1"/>
        <v>#N/A</v>
      </c>
      <c r="S247" s="23">
        <f t="shared" ca="1" si="72"/>
        <v>0</v>
      </c>
      <c r="T247" t="b">
        <f t="shared" ca="1" si="69"/>
        <v>1</v>
      </c>
      <c r="U247" s="22" t="e">
        <f t="shared" ca="1" si="65"/>
        <v>#N/A</v>
      </c>
      <c r="V247">
        <f t="shared" ca="1" si="66"/>
        <v>0</v>
      </c>
    </row>
    <row r="248" spans="2:22">
      <c r="B248">
        <f t="shared" si="70"/>
        <v>238</v>
      </c>
      <c r="C248" s="22" t="e">
        <f ca="1"/>
        <v>#N/A</v>
      </c>
      <c r="D248" s="17" t="e">
        <f ca="1"/>
        <v>#N/A</v>
      </c>
      <c r="E248" s="17" t="e">
        <f ca="1"/>
        <v>#N/A</v>
      </c>
      <c r="F248" s="23" t="e">
        <f ca="1"/>
        <v>#N/A</v>
      </c>
      <c r="G248" s="23">
        <f t="shared" ca="1" si="71"/>
        <v>0</v>
      </c>
      <c r="H248" t="b">
        <f t="shared" ca="1" si="67"/>
        <v>1</v>
      </c>
      <c r="I248" s="22" t="e">
        <f t="shared" ca="1" si="62"/>
        <v>#N/A</v>
      </c>
      <c r="J248">
        <f t="shared" ca="1" si="63"/>
        <v>0</v>
      </c>
      <c r="K248" t="e">
        <f t="shared" ca="1" si="68"/>
        <v>#N/A</v>
      </c>
      <c r="O248" s="22" t="e">
        <f t="shared" ca="1" si="64"/>
        <v>#N/A</v>
      </c>
      <c r="P248" s="17" t="e">
        <f ca="1"/>
        <v>#N/A</v>
      </c>
      <c r="Q248" s="17" t="e">
        <f ca="1"/>
        <v>#N/A</v>
      </c>
      <c r="R248" s="23" t="e">
        <f ca="1"/>
        <v>#N/A</v>
      </c>
      <c r="S248" s="23">
        <f t="shared" ca="1" si="72"/>
        <v>0</v>
      </c>
      <c r="T248" t="b">
        <f t="shared" ca="1" si="69"/>
        <v>1</v>
      </c>
      <c r="U248" s="22" t="e">
        <f t="shared" ca="1" si="65"/>
        <v>#N/A</v>
      </c>
      <c r="V248">
        <f t="shared" ca="1" si="66"/>
        <v>0</v>
      </c>
    </row>
    <row r="249" spans="2:22">
      <c r="B249">
        <f t="shared" si="70"/>
        <v>239</v>
      </c>
      <c r="C249" s="22" t="e">
        <f ca="1"/>
        <v>#N/A</v>
      </c>
      <c r="D249" s="17" t="e">
        <f ca="1"/>
        <v>#N/A</v>
      </c>
      <c r="E249" s="17" t="e">
        <f ca="1"/>
        <v>#N/A</v>
      </c>
      <c r="F249" s="23" t="e">
        <f ca="1"/>
        <v>#N/A</v>
      </c>
      <c r="G249" s="23">
        <f t="shared" ca="1" si="71"/>
        <v>0</v>
      </c>
      <c r="H249" t="b">
        <f t="shared" ca="1" si="67"/>
        <v>1</v>
      </c>
      <c r="I249" s="22" t="e">
        <f t="shared" ca="1" si="62"/>
        <v>#N/A</v>
      </c>
      <c r="J249">
        <f t="shared" ca="1" si="63"/>
        <v>0</v>
      </c>
      <c r="K249" t="e">
        <f t="shared" ca="1" si="68"/>
        <v>#N/A</v>
      </c>
      <c r="O249" s="22" t="e">
        <f t="shared" ca="1" si="64"/>
        <v>#N/A</v>
      </c>
      <c r="P249" s="17" t="e">
        <f ca="1"/>
        <v>#N/A</v>
      </c>
      <c r="Q249" s="17" t="e">
        <f ca="1"/>
        <v>#N/A</v>
      </c>
      <c r="R249" s="23" t="e">
        <f ca="1"/>
        <v>#N/A</v>
      </c>
      <c r="S249" s="23">
        <f t="shared" ca="1" si="72"/>
        <v>0</v>
      </c>
      <c r="T249" t="b">
        <f t="shared" ca="1" si="69"/>
        <v>1</v>
      </c>
      <c r="U249" s="22" t="e">
        <f t="shared" ca="1" si="65"/>
        <v>#N/A</v>
      </c>
      <c r="V249">
        <f t="shared" ca="1" si="66"/>
        <v>0</v>
      </c>
    </row>
    <row r="250" spans="2:22">
      <c r="B250">
        <f t="shared" si="70"/>
        <v>240</v>
      </c>
      <c r="C250" s="22" t="e">
        <f ca="1"/>
        <v>#N/A</v>
      </c>
      <c r="D250" s="17" t="e">
        <f ca="1"/>
        <v>#N/A</v>
      </c>
      <c r="E250" s="17" t="e">
        <f ca="1"/>
        <v>#N/A</v>
      </c>
      <c r="F250" s="23" t="e">
        <f ca="1"/>
        <v>#N/A</v>
      </c>
      <c r="G250" s="23">
        <f t="shared" ca="1" si="71"/>
        <v>0</v>
      </c>
      <c r="H250" t="b">
        <f t="shared" ca="1" si="67"/>
        <v>1</v>
      </c>
      <c r="I250" s="22" t="e">
        <f t="shared" ca="1" si="62"/>
        <v>#N/A</v>
      </c>
      <c r="J250">
        <f t="shared" ca="1" si="63"/>
        <v>0</v>
      </c>
      <c r="K250" t="e">
        <f t="shared" ca="1" si="68"/>
        <v>#N/A</v>
      </c>
      <c r="O250" s="22" t="e">
        <f t="shared" ca="1" si="64"/>
        <v>#N/A</v>
      </c>
      <c r="P250" s="17" t="e">
        <f ca="1"/>
        <v>#N/A</v>
      </c>
      <c r="Q250" s="17" t="e">
        <f ca="1"/>
        <v>#N/A</v>
      </c>
      <c r="R250" s="23" t="e">
        <f ca="1"/>
        <v>#N/A</v>
      </c>
      <c r="S250" s="23">
        <f t="shared" ca="1" si="72"/>
        <v>0</v>
      </c>
      <c r="T250" t="b">
        <f t="shared" ca="1" si="69"/>
        <v>1</v>
      </c>
      <c r="U250" s="22" t="e">
        <f t="shared" ca="1" si="65"/>
        <v>#N/A</v>
      </c>
      <c r="V250">
        <f t="shared" ca="1" si="66"/>
        <v>0</v>
      </c>
    </row>
    <row r="251" spans="2:22">
      <c r="B251">
        <f t="shared" si="70"/>
        <v>241</v>
      </c>
      <c r="C251" s="22" t="e">
        <f ca="1"/>
        <v>#N/A</v>
      </c>
      <c r="D251" s="17" t="e">
        <f ca="1"/>
        <v>#N/A</v>
      </c>
      <c r="E251" s="17" t="e">
        <f ca="1"/>
        <v>#N/A</v>
      </c>
      <c r="F251" s="23" t="e">
        <f ca="1"/>
        <v>#N/A</v>
      </c>
      <c r="G251" s="23">
        <f t="shared" ca="1" si="71"/>
        <v>0</v>
      </c>
      <c r="H251" t="b">
        <f t="shared" ca="1" si="67"/>
        <v>1</v>
      </c>
      <c r="I251" s="22" t="e">
        <f t="shared" ca="1" si="62"/>
        <v>#N/A</v>
      </c>
      <c r="J251">
        <f t="shared" ca="1" si="63"/>
        <v>0</v>
      </c>
      <c r="K251" t="e">
        <f t="shared" ca="1" si="68"/>
        <v>#N/A</v>
      </c>
      <c r="O251" s="22" t="e">
        <f t="shared" ca="1" si="64"/>
        <v>#N/A</v>
      </c>
      <c r="P251" s="17" t="e">
        <f ca="1"/>
        <v>#N/A</v>
      </c>
      <c r="Q251" s="17" t="e">
        <f ca="1"/>
        <v>#N/A</v>
      </c>
      <c r="R251" s="23" t="e">
        <f ca="1"/>
        <v>#N/A</v>
      </c>
      <c r="S251" s="23">
        <f t="shared" ca="1" si="72"/>
        <v>0</v>
      </c>
      <c r="T251" t="b">
        <f t="shared" ca="1" si="69"/>
        <v>1</v>
      </c>
      <c r="U251" s="22" t="e">
        <f t="shared" ca="1" si="65"/>
        <v>#N/A</v>
      </c>
      <c r="V251">
        <f t="shared" ca="1" si="66"/>
        <v>0</v>
      </c>
    </row>
    <row r="252" spans="2:22">
      <c r="B252">
        <f t="shared" si="70"/>
        <v>242</v>
      </c>
      <c r="C252" s="22" t="e">
        <f ca="1"/>
        <v>#N/A</v>
      </c>
      <c r="D252" s="17" t="e">
        <f ca="1"/>
        <v>#N/A</v>
      </c>
      <c r="E252" s="17" t="e">
        <f ca="1"/>
        <v>#N/A</v>
      </c>
      <c r="F252" s="23" t="e">
        <f ca="1"/>
        <v>#N/A</v>
      </c>
      <c r="G252" s="23">
        <f t="shared" ca="1" si="71"/>
        <v>0</v>
      </c>
      <c r="H252" t="b">
        <f t="shared" ca="1" si="67"/>
        <v>1</v>
      </c>
      <c r="I252" s="22" t="e">
        <f t="shared" ca="1" si="62"/>
        <v>#N/A</v>
      </c>
      <c r="J252">
        <f t="shared" ca="1" si="63"/>
        <v>0</v>
      </c>
      <c r="K252" t="e">
        <f t="shared" ca="1" si="68"/>
        <v>#N/A</v>
      </c>
      <c r="O252" s="22" t="e">
        <f t="shared" ca="1" si="64"/>
        <v>#N/A</v>
      </c>
      <c r="P252" s="17" t="e">
        <f ca="1"/>
        <v>#N/A</v>
      </c>
      <c r="Q252" s="17" t="e">
        <f ca="1"/>
        <v>#N/A</v>
      </c>
      <c r="R252" s="23" t="e">
        <f ca="1"/>
        <v>#N/A</v>
      </c>
      <c r="S252" s="23">
        <f t="shared" ca="1" si="72"/>
        <v>0</v>
      </c>
      <c r="T252" t="b">
        <f t="shared" ca="1" si="69"/>
        <v>1</v>
      </c>
      <c r="U252" s="22" t="e">
        <f t="shared" ca="1" si="65"/>
        <v>#N/A</v>
      </c>
      <c r="V252">
        <f t="shared" ca="1" si="66"/>
        <v>0</v>
      </c>
    </row>
    <row r="253" spans="2:22">
      <c r="B253">
        <f t="shared" si="70"/>
        <v>243</v>
      </c>
      <c r="C253" s="22" t="e">
        <f ca="1"/>
        <v>#N/A</v>
      </c>
      <c r="D253" s="17" t="e">
        <f ca="1"/>
        <v>#N/A</v>
      </c>
      <c r="E253" s="17" t="e">
        <f ca="1"/>
        <v>#N/A</v>
      </c>
      <c r="F253" s="23" t="e">
        <f ca="1"/>
        <v>#N/A</v>
      </c>
      <c r="G253" s="23">
        <f t="shared" ca="1" si="71"/>
        <v>0</v>
      </c>
      <c r="H253" t="b">
        <f t="shared" ca="1" si="67"/>
        <v>1</v>
      </c>
      <c r="I253" s="22" t="e">
        <f t="shared" ca="1" si="62"/>
        <v>#N/A</v>
      </c>
      <c r="J253">
        <f t="shared" ca="1" si="63"/>
        <v>0</v>
      </c>
      <c r="K253" t="e">
        <f t="shared" ca="1" si="68"/>
        <v>#N/A</v>
      </c>
      <c r="O253" s="22" t="e">
        <f t="shared" ca="1" si="64"/>
        <v>#N/A</v>
      </c>
      <c r="P253" s="17" t="e">
        <f ca="1"/>
        <v>#N/A</v>
      </c>
      <c r="Q253" s="17" t="e">
        <f ca="1"/>
        <v>#N/A</v>
      </c>
      <c r="R253" s="23" t="e">
        <f ca="1"/>
        <v>#N/A</v>
      </c>
      <c r="S253" s="23">
        <f t="shared" ca="1" si="72"/>
        <v>0</v>
      </c>
      <c r="T253" t="b">
        <f t="shared" ca="1" si="69"/>
        <v>1</v>
      </c>
      <c r="U253" s="22" t="e">
        <f t="shared" ca="1" si="65"/>
        <v>#N/A</v>
      </c>
      <c r="V253">
        <f t="shared" ca="1" si="66"/>
        <v>0</v>
      </c>
    </row>
    <row r="254" spans="2:22">
      <c r="B254">
        <f t="shared" si="70"/>
        <v>244</v>
      </c>
      <c r="C254" s="22" t="e">
        <f ca="1"/>
        <v>#N/A</v>
      </c>
      <c r="D254" s="17" t="e">
        <f ca="1"/>
        <v>#N/A</v>
      </c>
      <c r="E254" s="17" t="e">
        <f ca="1"/>
        <v>#N/A</v>
      </c>
      <c r="F254" s="23" t="e">
        <f ca="1"/>
        <v>#N/A</v>
      </c>
      <c r="G254" s="23">
        <f t="shared" ca="1" si="71"/>
        <v>0</v>
      </c>
      <c r="H254" t="b">
        <f t="shared" ca="1" si="67"/>
        <v>1</v>
      </c>
      <c r="I254" s="22" t="e">
        <f t="shared" ca="1" si="62"/>
        <v>#N/A</v>
      </c>
      <c r="J254">
        <f t="shared" ca="1" si="63"/>
        <v>0</v>
      </c>
      <c r="K254" t="e">
        <f t="shared" ca="1" si="68"/>
        <v>#N/A</v>
      </c>
      <c r="O254" s="22" t="e">
        <f t="shared" ca="1" si="64"/>
        <v>#N/A</v>
      </c>
      <c r="P254" s="17" t="e">
        <f ca="1"/>
        <v>#N/A</v>
      </c>
      <c r="Q254" s="17" t="e">
        <f ca="1"/>
        <v>#N/A</v>
      </c>
      <c r="R254" s="23" t="e">
        <f ca="1"/>
        <v>#N/A</v>
      </c>
      <c r="S254" s="23">
        <f t="shared" ca="1" si="72"/>
        <v>0</v>
      </c>
      <c r="T254" t="b">
        <f t="shared" ca="1" si="69"/>
        <v>1</v>
      </c>
      <c r="U254" s="22" t="e">
        <f t="shared" ca="1" si="65"/>
        <v>#N/A</v>
      </c>
      <c r="V254">
        <f t="shared" ca="1" si="66"/>
        <v>0</v>
      </c>
    </row>
    <row r="255" spans="2:22">
      <c r="B255">
        <f t="shared" si="70"/>
        <v>245</v>
      </c>
      <c r="C255" s="22" t="e">
        <f ca="1"/>
        <v>#N/A</v>
      </c>
      <c r="D255" s="17" t="e">
        <f ca="1"/>
        <v>#N/A</v>
      </c>
      <c r="E255" s="17" t="e">
        <f ca="1"/>
        <v>#N/A</v>
      </c>
      <c r="F255" s="23" t="e">
        <f ca="1"/>
        <v>#N/A</v>
      </c>
      <c r="G255" s="23">
        <f t="shared" ca="1" si="71"/>
        <v>0</v>
      </c>
      <c r="H255" t="b">
        <f t="shared" ca="1" si="67"/>
        <v>1</v>
      </c>
      <c r="I255" s="22" t="e">
        <f t="shared" ca="1" si="62"/>
        <v>#N/A</v>
      </c>
      <c r="J255">
        <f t="shared" ca="1" si="63"/>
        <v>0</v>
      </c>
      <c r="K255" t="e">
        <f t="shared" ca="1" si="68"/>
        <v>#N/A</v>
      </c>
      <c r="O255" s="22" t="e">
        <f t="shared" ca="1" si="64"/>
        <v>#N/A</v>
      </c>
      <c r="P255" s="17" t="e">
        <f ca="1"/>
        <v>#N/A</v>
      </c>
      <c r="Q255" s="17" t="e">
        <f ca="1"/>
        <v>#N/A</v>
      </c>
      <c r="R255" s="23" t="e">
        <f ca="1"/>
        <v>#N/A</v>
      </c>
      <c r="S255" s="23">
        <f t="shared" ca="1" si="72"/>
        <v>0</v>
      </c>
      <c r="T255" t="b">
        <f t="shared" ca="1" si="69"/>
        <v>1</v>
      </c>
      <c r="U255" s="22" t="e">
        <f t="shared" ca="1" si="65"/>
        <v>#N/A</v>
      </c>
      <c r="V255">
        <f t="shared" ca="1" si="66"/>
        <v>0</v>
      </c>
    </row>
    <row r="256" spans="2:22">
      <c r="B256">
        <f t="shared" si="70"/>
        <v>246</v>
      </c>
      <c r="C256" s="22" t="e">
        <f ca="1"/>
        <v>#N/A</v>
      </c>
      <c r="D256" s="17" t="e">
        <f ca="1"/>
        <v>#N/A</v>
      </c>
      <c r="E256" s="17" t="e">
        <f ca="1"/>
        <v>#N/A</v>
      </c>
      <c r="F256" s="23" t="e">
        <f ca="1"/>
        <v>#N/A</v>
      </c>
      <c r="G256" s="23">
        <f t="shared" ca="1" si="71"/>
        <v>0</v>
      </c>
      <c r="H256" t="b">
        <f t="shared" ca="1" si="67"/>
        <v>1</v>
      </c>
      <c r="I256" s="22" t="e">
        <f t="shared" ca="1" si="62"/>
        <v>#N/A</v>
      </c>
      <c r="J256">
        <f t="shared" ca="1" si="63"/>
        <v>0</v>
      </c>
      <c r="K256" t="e">
        <f t="shared" ca="1" si="68"/>
        <v>#N/A</v>
      </c>
      <c r="O256" s="22" t="e">
        <f t="shared" ca="1" si="64"/>
        <v>#N/A</v>
      </c>
      <c r="P256" s="17" t="e">
        <f ca="1"/>
        <v>#N/A</v>
      </c>
      <c r="Q256" s="17" t="e">
        <f ca="1"/>
        <v>#N/A</v>
      </c>
      <c r="R256" s="23" t="e">
        <f ca="1"/>
        <v>#N/A</v>
      </c>
      <c r="S256" s="23">
        <f t="shared" ca="1" si="72"/>
        <v>0</v>
      </c>
      <c r="T256" t="b">
        <f t="shared" ca="1" si="69"/>
        <v>1</v>
      </c>
      <c r="U256" s="22" t="e">
        <f t="shared" ca="1" si="65"/>
        <v>#N/A</v>
      </c>
      <c r="V256">
        <f t="shared" ca="1" si="66"/>
        <v>0</v>
      </c>
    </row>
    <row r="257" spans="2:22">
      <c r="B257">
        <f t="shared" si="70"/>
        <v>247</v>
      </c>
      <c r="C257" s="22" t="e">
        <f ca="1"/>
        <v>#N/A</v>
      </c>
      <c r="D257" s="17" t="e">
        <f ca="1"/>
        <v>#N/A</v>
      </c>
      <c r="E257" s="17" t="e">
        <f ca="1"/>
        <v>#N/A</v>
      </c>
      <c r="F257" s="23" t="e">
        <f ca="1"/>
        <v>#N/A</v>
      </c>
      <c r="G257" s="23">
        <f t="shared" ca="1" si="71"/>
        <v>0</v>
      </c>
      <c r="H257" t="b">
        <f t="shared" ca="1" si="67"/>
        <v>1</v>
      </c>
      <c r="I257" s="22" t="e">
        <f t="shared" ca="1" si="62"/>
        <v>#N/A</v>
      </c>
      <c r="J257">
        <f t="shared" ca="1" si="63"/>
        <v>0</v>
      </c>
      <c r="K257" t="e">
        <f t="shared" ca="1" si="68"/>
        <v>#N/A</v>
      </c>
      <c r="O257" s="22" t="e">
        <f t="shared" ca="1" si="64"/>
        <v>#N/A</v>
      </c>
      <c r="P257" s="17" t="e">
        <f ca="1"/>
        <v>#N/A</v>
      </c>
      <c r="Q257" s="17" t="e">
        <f ca="1"/>
        <v>#N/A</v>
      </c>
      <c r="R257" s="23" t="e">
        <f ca="1"/>
        <v>#N/A</v>
      </c>
      <c r="S257" s="23">
        <f t="shared" ca="1" si="72"/>
        <v>0</v>
      </c>
      <c r="T257" t="b">
        <f t="shared" ca="1" si="69"/>
        <v>1</v>
      </c>
      <c r="U257" s="22" t="e">
        <f t="shared" ca="1" si="65"/>
        <v>#N/A</v>
      </c>
      <c r="V257">
        <f t="shared" ca="1" si="66"/>
        <v>0</v>
      </c>
    </row>
    <row r="258" spans="2:22">
      <c r="B258">
        <f t="shared" si="70"/>
        <v>248</v>
      </c>
      <c r="C258" s="22" t="e">
        <f ca="1"/>
        <v>#N/A</v>
      </c>
      <c r="D258" s="17" t="e">
        <f ca="1"/>
        <v>#N/A</v>
      </c>
      <c r="E258" s="17" t="e">
        <f ca="1"/>
        <v>#N/A</v>
      </c>
      <c r="F258" s="23" t="e">
        <f ca="1"/>
        <v>#N/A</v>
      </c>
      <c r="G258" s="23">
        <f t="shared" ca="1" si="71"/>
        <v>0</v>
      </c>
      <c r="H258" t="b">
        <f t="shared" ca="1" si="67"/>
        <v>1</v>
      </c>
      <c r="I258" s="22" t="e">
        <f t="shared" ca="1" si="62"/>
        <v>#N/A</v>
      </c>
      <c r="J258">
        <f t="shared" ca="1" si="63"/>
        <v>0</v>
      </c>
      <c r="K258" t="e">
        <f t="shared" ca="1" si="68"/>
        <v>#N/A</v>
      </c>
      <c r="O258" s="22" t="e">
        <f t="shared" ca="1" si="64"/>
        <v>#N/A</v>
      </c>
      <c r="P258" s="17" t="e">
        <f ca="1"/>
        <v>#N/A</v>
      </c>
      <c r="Q258" s="17" t="e">
        <f ca="1"/>
        <v>#N/A</v>
      </c>
      <c r="R258" s="23" t="e">
        <f ca="1"/>
        <v>#N/A</v>
      </c>
      <c r="S258" s="23">
        <f t="shared" ca="1" si="72"/>
        <v>0</v>
      </c>
      <c r="T258" t="b">
        <f t="shared" ca="1" si="69"/>
        <v>1</v>
      </c>
      <c r="U258" s="22" t="e">
        <f t="shared" ca="1" si="65"/>
        <v>#N/A</v>
      </c>
      <c r="V258">
        <f t="shared" ca="1" si="66"/>
        <v>0</v>
      </c>
    </row>
    <row r="259" spans="2:22">
      <c r="B259">
        <f t="shared" si="70"/>
        <v>249</v>
      </c>
      <c r="C259" s="22" t="e">
        <f ca="1"/>
        <v>#N/A</v>
      </c>
      <c r="D259" s="17" t="e">
        <f ca="1"/>
        <v>#N/A</v>
      </c>
      <c r="E259" s="17" t="e">
        <f ca="1"/>
        <v>#N/A</v>
      </c>
      <c r="F259" s="23" t="e">
        <f ca="1"/>
        <v>#N/A</v>
      </c>
      <c r="G259" s="23">
        <f t="shared" ca="1" si="71"/>
        <v>0</v>
      </c>
      <c r="H259" t="b">
        <f t="shared" ca="1" si="67"/>
        <v>1</v>
      </c>
      <c r="I259" s="22" t="e">
        <f t="shared" ca="1" si="62"/>
        <v>#N/A</v>
      </c>
      <c r="J259">
        <f t="shared" ca="1" si="63"/>
        <v>0</v>
      </c>
      <c r="K259" t="e">
        <f t="shared" ca="1" si="68"/>
        <v>#N/A</v>
      </c>
      <c r="O259" s="22" t="e">
        <f t="shared" ca="1" si="64"/>
        <v>#N/A</v>
      </c>
      <c r="P259" s="17" t="e">
        <f ca="1"/>
        <v>#N/A</v>
      </c>
      <c r="Q259" s="17" t="e">
        <f ca="1"/>
        <v>#N/A</v>
      </c>
      <c r="R259" s="23" t="e">
        <f ca="1"/>
        <v>#N/A</v>
      </c>
      <c r="S259" s="23">
        <f t="shared" ca="1" si="72"/>
        <v>0</v>
      </c>
      <c r="T259" t="b">
        <f t="shared" ca="1" si="69"/>
        <v>1</v>
      </c>
      <c r="U259" s="22" t="e">
        <f t="shared" ca="1" si="65"/>
        <v>#N/A</v>
      </c>
      <c r="V259">
        <f t="shared" ca="1" si="66"/>
        <v>0</v>
      </c>
    </row>
    <row r="260" spans="2:22">
      <c r="B260">
        <f t="shared" si="70"/>
        <v>250</v>
      </c>
      <c r="C260" s="22" t="e">
        <f ca="1"/>
        <v>#N/A</v>
      </c>
      <c r="D260" s="17" t="e">
        <f ca="1"/>
        <v>#N/A</v>
      </c>
      <c r="E260" s="17" t="e">
        <f ca="1"/>
        <v>#N/A</v>
      </c>
      <c r="F260" s="23" t="e">
        <f ca="1"/>
        <v>#N/A</v>
      </c>
      <c r="G260" s="23">
        <f t="shared" ca="1" si="71"/>
        <v>0</v>
      </c>
      <c r="H260" t="b">
        <f t="shared" ca="1" si="67"/>
        <v>1</v>
      </c>
      <c r="I260" s="22" t="e">
        <f t="shared" ca="1" si="62"/>
        <v>#N/A</v>
      </c>
      <c r="J260">
        <f t="shared" ca="1" si="63"/>
        <v>0</v>
      </c>
      <c r="K260" t="e">
        <f t="shared" ca="1" si="68"/>
        <v>#N/A</v>
      </c>
      <c r="O260" s="22" t="e">
        <f t="shared" ca="1" si="64"/>
        <v>#N/A</v>
      </c>
      <c r="P260" s="17" t="e">
        <f ca="1"/>
        <v>#N/A</v>
      </c>
      <c r="Q260" s="17" t="e">
        <f ca="1"/>
        <v>#N/A</v>
      </c>
      <c r="R260" s="23" t="e">
        <f ca="1"/>
        <v>#N/A</v>
      </c>
      <c r="S260" s="23">
        <f t="shared" ca="1" si="72"/>
        <v>0</v>
      </c>
      <c r="T260" t="b">
        <f t="shared" ca="1" si="69"/>
        <v>1</v>
      </c>
      <c r="U260" s="22" t="e">
        <f t="shared" ca="1" si="65"/>
        <v>#N/A</v>
      </c>
      <c r="V260">
        <f t="shared" ca="1" si="66"/>
        <v>0</v>
      </c>
    </row>
    <row r="261" spans="2:22">
      <c r="B261">
        <f t="shared" si="70"/>
        <v>251</v>
      </c>
      <c r="C261" s="22" t="e">
        <f ca="1"/>
        <v>#N/A</v>
      </c>
      <c r="D261" s="17" t="e">
        <f ca="1"/>
        <v>#N/A</v>
      </c>
      <c r="E261" s="17" t="e">
        <f ca="1"/>
        <v>#N/A</v>
      </c>
      <c r="F261" s="23" t="e">
        <f ca="1"/>
        <v>#N/A</v>
      </c>
      <c r="G261" s="23">
        <f t="shared" ca="1" si="71"/>
        <v>0</v>
      </c>
      <c r="H261" t="b">
        <f t="shared" ca="1" si="67"/>
        <v>1</v>
      </c>
      <c r="I261" s="22" t="e">
        <f t="shared" ca="1" si="62"/>
        <v>#N/A</v>
      </c>
      <c r="J261">
        <f t="shared" ca="1" si="63"/>
        <v>0</v>
      </c>
      <c r="K261" t="e">
        <f t="shared" ca="1" si="68"/>
        <v>#N/A</v>
      </c>
      <c r="O261" s="22" t="e">
        <f t="shared" ca="1" si="64"/>
        <v>#N/A</v>
      </c>
      <c r="P261" s="17" t="e">
        <f ca="1"/>
        <v>#N/A</v>
      </c>
      <c r="Q261" s="17" t="e">
        <f ca="1"/>
        <v>#N/A</v>
      </c>
      <c r="R261" s="23" t="e">
        <f ca="1"/>
        <v>#N/A</v>
      </c>
      <c r="S261" s="23">
        <f t="shared" ca="1" si="72"/>
        <v>0</v>
      </c>
      <c r="T261" t="b">
        <f t="shared" ca="1" si="69"/>
        <v>1</v>
      </c>
      <c r="U261" s="22" t="e">
        <f t="shared" ca="1" si="65"/>
        <v>#N/A</v>
      </c>
      <c r="V261">
        <f t="shared" ca="1" si="66"/>
        <v>0</v>
      </c>
    </row>
    <row r="262" spans="2:22">
      <c r="B262">
        <f t="shared" si="70"/>
        <v>252</v>
      </c>
      <c r="C262" s="22" t="e">
        <f ca="1"/>
        <v>#N/A</v>
      </c>
      <c r="D262" s="17" t="e">
        <f ca="1"/>
        <v>#N/A</v>
      </c>
      <c r="E262" s="17" t="e">
        <f ca="1"/>
        <v>#N/A</v>
      </c>
      <c r="F262" s="23" t="e">
        <f ca="1"/>
        <v>#N/A</v>
      </c>
      <c r="G262" s="23">
        <f t="shared" ca="1" si="71"/>
        <v>0</v>
      </c>
      <c r="H262" t="b">
        <f t="shared" ca="1" si="67"/>
        <v>1</v>
      </c>
      <c r="I262" s="22" t="e">
        <f t="shared" ca="1" si="62"/>
        <v>#N/A</v>
      </c>
      <c r="J262">
        <f t="shared" ca="1" si="63"/>
        <v>0</v>
      </c>
      <c r="K262" t="e">
        <f t="shared" ca="1" si="68"/>
        <v>#N/A</v>
      </c>
      <c r="O262" s="22" t="e">
        <f t="shared" ca="1" si="64"/>
        <v>#N/A</v>
      </c>
      <c r="P262" s="17" t="e">
        <f ca="1"/>
        <v>#N/A</v>
      </c>
      <c r="Q262" s="17" t="e">
        <f ca="1"/>
        <v>#N/A</v>
      </c>
      <c r="R262" s="23" t="e">
        <f ca="1"/>
        <v>#N/A</v>
      </c>
      <c r="S262" s="23">
        <f t="shared" ca="1" si="72"/>
        <v>0</v>
      </c>
      <c r="T262" t="b">
        <f t="shared" ca="1" si="69"/>
        <v>1</v>
      </c>
      <c r="U262" s="22" t="e">
        <f t="shared" ca="1" si="65"/>
        <v>#N/A</v>
      </c>
      <c r="V262">
        <f t="shared" ca="1" si="66"/>
        <v>0</v>
      </c>
    </row>
    <row r="263" spans="2:22">
      <c r="B263">
        <f t="shared" si="70"/>
        <v>253</v>
      </c>
      <c r="C263" s="22" t="e">
        <f ca="1"/>
        <v>#N/A</v>
      </c>
      <c r="D263" s="17" t="e">
        <f ca="1"/>
        <v>#N/A</v>
      </c>
      <c r="E263" s="17" t="e">
        <f ca="1"/>
        <v>#N/A</v>
      </c>
      <c r="F263" s="23" t="e">
        <f ca="1"/>
        <v>#N/A</v>
      </c>
      <c r="G263" s="23">
        <f t="shared" ca="1" si="71"/>
        <v>0</v>
      </c>
      <c r="H263" t="b">
        <f t="shared" ca="1" si="67"/>
        <v>1</v>
      </c>
      <c r="I263" s="22" t="e">
        <f t="shared" ca="1" si="62"/>
        <v>#N/A</v>
      </c>
      <c r="J263">
        <f t="shared" ca="1" si="63"/>
        <v>0</v>
      </c>
      <c r="K263" t="e">
        <f t="shared" ca="1" si="68"/>
        <v>#N/A</v>
      </c>
      <c r="O263" s="22" t="e">
        <f t="shared" ca="1" si="64"/>
        <v>#N/A</v>
      </c>
      <c r="P263" s="17" t="e">
        <f ca="1"/>
        <v>#N/A</v>
      </c>
      <c r="Q263" s="17" t="e">
        <f ca="1"/>
        <v>#N/A</v>
      </c>
      <c r="R263" s="23" t="e">
        <f ca="1"/>
        <v>#N/A</v>
      </c>
      <c r="S263" s="23">
        <f t="shared" ca="1" si="72"/>
        <v>0</v>
      </c>
      <c r="T263" t="b">
        <f t="shared" ca="1" si="69"/>
        <v>1</v>
      </c>
      <c r="U263" s="22" t="e">
        <f t="shared" ca="1" si="65"/>
        <v>#N/A</v>
      </c>
      <c r="V263">
        <f t="shared" ca="1" si="66"/>
        <v>0</v>
      </c>
    </row>
    <row r="264" spans="2:22">
      <c r="B264">
        <f t="shared" si="70"/>
        <v>254</v>
      </c>
      <c r="C264" s="22" t="e">
        <f ca="1"/>
        <v>#N/A</v>
      </c>
      <c r="D264" s="17" t="e">
        <f ca="1"/>
        <v>#N/A</v>
      </c>
      <c r="E264" s="17" t="e">
        <f ca="1"/>
        <v>#N/A</v>
      </c>
      <c r="F264" s="23" t="e">
        <f ca="1"/>
        <v>#N/A</v>
      </c>
      <c r="G264" s="23">
        <f t="shared" ca="1" si="71"/>
        <v>0</v>
      </c>
      <c r="H264" t="b">
        <f t="shared" ca="1" si="67"/>
        <v>1</v>
      </c>
      <c r="I264" s="22" t="e">
        <f t="shared" ca="1" si="62"/>
        <v>#N/A</v>
      </c>
      <c r="J264">
        <f t="shared" ca="1" si="63"/>
        <v>0</v>
      </c>
      <c r="K264" t="e">
        <f t="shared" ca="1" si="68"/>
        <v>#N/A</v>
      </c>
      <c r="O264" s="22" t="e">
        <f t="shared" ca="1" si="64"/>
        <v>#N/A</v>
      </c>
      <c r="P264" s="17" t="e">
        <f ca="1"/>
        <v>#N/A</v>
      </c>
      <c r="Q264" s="17" t="e">
        <f ca="1"/>
        <v>#N/A</v>
      </c>
      <c r="R264" s="23" t="e">
        <f ca="1"/>
        <v>#N/A</v>
      </c>
      <c r="S264" s="23">
        <f t="shared" ca="1" si="72"/>
        <v>0</v>
      </c>
      <c r="T264" t="b">
        <f t="shared" ca="1" si="69"/>
        <v>1</v>
      </c>
      <c r="U264" s="22" t="e">
        <f t="shared" ca="1" si="65"/>
        <v>#N/A</v>
      </c>
      <c r="V264">
        <f t="shared" ca="1" si="66"/>
        <v>0</v>
      </c>
    </row>
    <row r="265" spans="2:22">
      <c r="B265">
        <f t="shared" si="70"/>
        <v>255</v>
      </c>
      <c r="C265" s="22" t="e">
        <f ca="1"/>
        <v>#N/A</v>
      </c>
      <c r="D265" s="17" t="e">
        <f ca="1"/>
        <v>#N/A</v>
      </c>
      <c r="E265" s="17" t="e">
        <f ca="1"/>
        <v>#N/A</v>
      </c>
      <c r="F265" s="23" t="e">
        <f ca="1"/>
        <v>#N/A</v>
      </c>
      <c r="G265" s="23">
        <f t="shared" ca="1" si="71"/>
        <v>0</v>
      </c>
      <c r="H265" t="b">
        <f t="shared" ca="1" si="67"/>
        <v>1</v>
      </c>
      <c r="I265" s="22" t="e">
        <f t="shared" ca="1" si="62"/>
        <v>#N/A</v>
      </c>
      <c r="J265">
        <f t="shared" ca="1" si="63"/>
        <v>0</v>
      </c>
      <c r="K265" t="e">
        <f t="shared" ca="1" si="68"/>
        <v>#N/A</v>
      </c>
      <c r="O265" s="22" t="e">
        <f t="shared" ca="1" si="64"/>
        <v>#N/A</v>
      </c>
      <c r="P265" s="17" t="e">
        <f ca="1"/>
        <v>#N/A</v>
      </c>
      <c r="Q265" s="17" t="e">
        <f ca="1"/>
        <v>#N/A</v>
      </c>
      <c r="R265" s="23" t="e">
        <f ca="1"/>
        <v>#N/A</v>
      </c>
      <c r="S265" s="23">
        <f t="shared" ca="1" si="72"/>
        <v>0</v>
      </c>
      <c r="T265" t="b">
        <f t="shared" ca="1" si="69"/>
        <v>1</v>
      </c>
      <c r="U265" s="22" t="e">
        <f t="shared" ca="1" si="65"/>
        <v>#N/A</v>
      </c>
      <c r="V265">
        <f t="shared" ca="1" si="66"/>
        <v>0</v>
      </c>
    </row>
    <row r="266" spans="2:22">
      <c r="B266">
        <f t="shared" si="70"/>
        <v>256</v>
      </c>
      <c r="C266" s="22" t="e">
        <f ca="1"/>
        <v>#N/A</v>
      </c>
      <c r="D266" s="17" t="e">
        <f ca="1"/>
        <v>#N/A</v>
      </c>
      <c r="E266" s="17" t="e">
        <f ca="1"/>
        <v>#N/A</v>
      </c>
      <c r="F266" s="23" t="e">
        <f ca="1"/>
        <v>#N/A</v>
      </c>
      <c r="G266" s="23">
        <f t="shared" ca="1" si="71"/>
        <v>0</v>
      </c>
      <c r="H266" t="b">
        <f t="shared" ca="1" si="67"/>
        <v>1</v>
      </c>
      <c r="I266" s="22" t="e">
        <f t="shared" ca="1" si="62"/>
        <v>#N/A</v>
      </c>
      <c r="J266">
        <f t="shared" ca="1" si="63"/>
        <v>0</v>
      </c>
      <c r="K266" t="e">
        <f t="shared" ca="1" si="68"/>
        <v>#N/A</v>
      </c>
      <c r="O266" s="22" t="e">
        <f t="shared" ca="1" si="64"/>
        <v>#N/A</v>
      </c>
      <c r="P266" s="17" t="e">
        <f ca="1"/>
        <v>#N/A</v>
      </c>
      <c r="Q266" s="17" t="e">
        <f ca="1"/>
        <v>#N/A</v>
      </c>
      <c r="R266" s="23" t="e">
        <f ca="1"/>
        <v>#N/A</v>
      </c>
      <c r="S266" s="23">
        <f t="shared" ca="1" si="72"/>
        <v>0</v>
      </c>
      <c r="T266" t="b">
        <f t="shared" ca="1" si="69"/>
        <v>1</v>
      </c>
      <c r="U266" s="22" t="e">
        <f t="shared" ca="1" si="65"/>
        <v>#N/A</v>
      </c>
      <c r="V266">
        <f t="shared" ca="1" si="66"/>
        <v>0</v>
      </c>
    </row>
    <row r="267" spans="2:22">
      <c r="B267">
        <f t="shared" si="70"/>
        <v>257</v>
      </c>
      <c r="C267" s="22" t="e">
        <f ca="1"/>
        <v>#N/A</v>
      </c>
      <c r="D267" s="17" t="e">
        <f ca="1"/>
        <v>#N/A</v>
      </c>
      <c r="E267" s="17" t="e">
        <f ca="1"/>
        <v>#N/A</v>
      </c>
      <c r="F267" s="23" t="e">
        <f ca="1"/>
        <v>#N/A</v>
      </c>
      <c r="G267" s="23">
        <f t="shared" ca="1" si="71"/>
        <v>0</v>
      </c>
      <c r="H267" t="b">
        <f t="shared" ca="1" si="67"/>
        <v>1</v>
      </c>
      <c r="I267" s="22" t="e">
        <f t="shared" ref="I267:I330" ca="1" si="73">IF(H267,C267,NA)</f>
        <v>#N/A</v>
      </c>
      <c r="J267">
        <f t="shared" ref="J267:J330" ca="1" si="74">IF(H267,G267,NA)</f>
        <v>0</v>
      </c>
      <c r="K267" t="e">
        <f t="shared" ca="1" si="68"/>
        <v>#N/A</v>
      </c>
      <c r="O267" s="22" t="e">
        <f t="shared" ref="O267:O330" ca="1" si="75">C267</f>
        <v>#N/A</v>
      </c>
      <c r="P267" s="17" t="e">
        <f ca="1"/>
        <v>#N/A</v>
      </c>
      <c r="Q267" s="17" t="e">
        <f ca="1"/>
        <v>#N/A</v>
      </c>
      <c r="R267" s="23" t="e">
        <f ca="1"/>
        <v>#N/A</v>
      </c>
      <c r="S267" s="23">
        <f t="shared" ca="1" si="72"/>
        <v>0</v>
      </c>
      <c r="T267" t="b">
        <f t="shared" ca="1" si="69"/>
        <v>1</v>
      </c>
      <c r="U267" s="22" t="e">
        <f t="shared" ref="U267:U330" ca="1" si="76">IF(T267,O267,NA)</f>
        <v>#N/A</v>
      </c>
      <c r="V267">
        <f t="shared" ref="V267:V330" ca="1" si="77">IF(T267,S267,NA)</f>
        <v>0</v>
      </c>
    </row>
    <row r="268" spans="2:22">
      <c r="B268">
        <f t="shared" si="70"/>
        <v>258</v>
      </c>
      <c r="C268" s="22" t="e">
        <f ca="1"/>
        <v>#N/A</v>
      </c>
      <c r="D268" s="17" t="e">
        <f ca="1"/>
        <v>#N/A</v>
      </c>
      <c r="E268" s="17" t="e">
        <f ca="1"/>
        <v>#N/A</v>
      </c>
      <c r="F268" s="23" t="e">
        <f ca="1"/>
        <v>#N/A</v>
      </c>
      <c r="G268" s="23">
        <f t="shared" ca="1" si="71"/>
        <v>0</v>
      </c>
      <c r="H268" t="b">
        <f t="shared" ref="H268:H331" ca="1" si="78">ISNUMBER(G268)</f>
        <v>1</v>
      </c>
      <c r="I268" s="22" t="e">
        <f t="shared" ca="1" si="73"/>
        <v>#N/A</v>
      </c>
      <c r="J268">
        <f t="shared" ca="1" si="74"/>
        <v>0</v>
      </c>
      <c r="K268" t="e">
        <f t="shared" ref="K268:K331" ca="1" si="79">YEAR(C268)</f>
        <v>#N/A</v>
      </c>
      <c r="O268" s="22" t="e">
        <f t="shared" ca="1" si="75"/>
        <v>#N/A</v>
      </c>
      <c r="P268" s="17" t="e">
        <f ca="1"/>
        <v>#N/A</v>
      </c>
      <c r="Q268" s="17" t="e">
        <f ca="1"/>
        <v>#N/A</v>
      </c>
      <c r="R268" s="23" t="e">
        <f ca="1"/>
        <v>#N/A</v>
      </c>
      <c r="S268" s="23">
        <f t="shared" ca="1" si="72"/>
        <v>0</v>
      </c>
      <c r="T268" t="b">
        <f t="shared" ref="T268:T331" ca="1" si="80">ISNUMBER(S268)</f>
        <v>1</v>
      </c>
      <c r="U268" s="22" t="e">
        <f t="shared" ca="1" si="76"/>
        <v>#N/A</v>
      </c>
      <c r="V268">
        <f t="shared" ca="1" si="77"/>
        <v>0</v>
      </c>
    </row>
    <row r="269" spans="2:22">
      <c r="B269">
        <f t="shared" ref="B269:B332" si="81">B268+1</f>
        <v>259</v>
      </c>
      <c r="C269" s="22" t="e">
        <f ca="1"/>
        <v>#N/A</v>
      </c>
      <c r="D269" s="17" t="e">
        <f ca="1"/>
        <v>#N/A</v>
      </c>
      <c r="E269" s="17" t="e">
        <f ca="1"/>
        <v>#N/A</v>
      </c>
      <c r="F269" s="23" t="e">
        <f ca="1"/>
        <v>#N/A</v>
      </c>
      <c r="G269" s="23">
        <f t="shared" ca="1" si="71"/>
        <v>0</v>
      </c>
      <c r="H269" t="b">
        <f t="shared" ca="1" si="78"/>
        <v>1</v>
      </c>
      <c r="I269" s="22" t="e">
        <f t="shared" ca="1" si="73"/>
        <v>#N/A</v>
      </c>
      <c r="J269">
        <f t="shared" ca="1" si="74"/>
        <v>0</v>
      </c>
      <c r="K269" t="e">
        <f t="shared" ca="1" si="79"/>
        <v>#N/A</v>
      </c>
      <c r="O269" s="22" t="e">
        <f t="shared" ca="1" si="75"/>
        <v>#N/A</v>
      </c>
      <c r="P269" s="17" t="e">
        <f ca="1"/>
        <v>#N/A</v>
      </c>
      <c r="Q269" s="17" t="e">
        <f ca="1"/>
        <v>#N/A</v>
      </c>
      <c r="R269" s="23" t="e">
        <f ca="1"/>
        <v>#N/A</v>
      </c>
      <c r="S269" s="23">
        <f t="shared" ca="1" si="72"/>
        <v>0</v>
      </c>
      <c r="T269" t="b">
        <f t="shared" ca="1" si="80"/>
        <v>1</v>
      </c>
      <c r="U269" s="22" t="e">
        <f t="shared" ca="1" si="76"/>
        <v>#N/A</v>
      </c>
      <c r="V269">
        <f t="shared" ca="1" si="77"/>
        <v>0</v>
      </c>
    </row>
    <row r="270" spans="2:22">
      <c r="B270">
        <f t="shared" si="81"/>
        <v>260</v>
      </c>
      <c r="C270" s="22" t="e">
        <f ca="1"/>
        <v>#N/A</v>
      </c>
      <c r="D270" s="17" t="e">
        <f ca="1"/>
        <v>#N/A</v>
      </c>
      <c r="E270" s="17" t="e">
        <f ca="1"/>
        <v>#N/A</v>
      </c>
      <c r="F270" s="23" t="e">
        <f ca="1"/>
        <v>#N/A</v>
      </c>
      <c r="G270" s="23">
        <f t="shared" ca="1" si="71"/>
        <v>0</v>
      </c>
      <c r="H270" t="b">
        <f t="shared" ca="1" si="78"/>
        <v>1</v>
      </c>
      <c r="I270" s="22" t="e">
        <f t="shared" ca="1" si="73"/>
        <v>#N/A</v>
      </c>
      <c r="J270">
        <f t="shared" ca="1" si="74"/>
        <v>0</v>
      </c>
      <c r="K270" t="e">
        <f t="shared" ca="1" si="79"/>
        <v>#N/A</v>
      </c>
      <c r="O270" s="22" t="e">
        <f t="shared" ca="1" si="75"/>
        <v>#N/A</v>
      </c>
      <c r="P270" s="17" t="e">
        <f ca="1"/>
        <v>#N/A</v>
      </c>
      <c r="Q270" s="17" t="e">
        <f ca="1"/>
        <v>#N/A</v>
      </c>
      <c r="R270" s="23" t="e">
        <f ca="1"/>
        <v>#N/A</v>
      </c>
      <c r="S270" s="23">
        <f t="shared" ca="1" si="72"/>
        <v>0</v>
      </c>
      <c r="T270" t="b">
        <f t="shared" ca="1" si="80"/>
        <v>1</v>
      </c>
      <c r="U270" s="22" t="e">
        <f t="shared" ca="1" si="76"/>
        <v>#N/A</v>
      </c>
      <c r="V270">
        <f t="shared" ca="1" si="77"/>
        <v>0</v>
      </c>
    </row>
    <row r="271" spans="2:22">
      <c r="B271">
        <f t="shared" si="81"/>
        <v>261</v>
      </c>
      <c r="C271" s="22" t="e">
        <f ca="1"/>
        <v>#N/A</v>
      </c>
      <c r="D271" s="17" t="e">
        <f ca="1"/>
        <v>#N/A</v>
      </c>
      <c r="E271" s="17" t="e">
        <f ca="1"/>
        <v>#N/A</v>
      </c>
      <c r="F271" s="23" t="e">
        <f ca="1"/>
        <v>#N/A</v>
      </c>
      <c r="G271" s="23">
        <f t="shared" ca="1" si="71"/>
        <v>0</v>
      </c>
      <c r="H271" t="b">
        <f t="shared" ca="1" si="78"/>
        <v>1</v>
      </c>
      <c r="I271" s="22" t="e">
        <f t="shared" ca="1" si="73"/>
        <v>#N/A</v>
      </c>
      <c r="J271">
        <f t="shared" ca="1" si="74"/>
        <v>0</v>
      </c>
      <c r="K271" t="e">
        <f t="shared" ca="1" si="79"/>
        <v>#N/A</v>
      </c>
      <c r="O271" s="22" t="e">
        <f t="shared" ca="1" si="75"/>
        <v>#N/A</v>
      </c>
      <c r="P271" s="17" t="e">
        <f ca="1"/>
        <v>#N/A</v>
      </c>
      <c r="Q271" s="17" t="e">
        <f ca="1"/>
        <v>#N/A</v>
      </c>
      <c r="R271" s="23" t="e">
        <f ca="1"/>
        <v>#N/A</v>
      </c>
      <c r="S271" s="23">
        <f t="shared" ca="1" si="72"/>
        <v>0</v>
      </c>
      <c r="T271" t="b">
        <f t="shared" ca="1" si="80"/>
        <v>1</v>
      </c>
      <c r="U271" s="22" t="e">
        <f t="shared" ca="1" si="76"/>
        <v>#N/A</v>
      </c>
      <c r="V271">
        <f t="shared" ca="1" si="77"/>
        <v>0</v>
      </c>
    </row>
    <row r="272" spans="2:22">
      <c r="B272">
        <f t="shared" si="81"/>
        <v>262</v>
      </c>
      <c r="C272" s="22" t="e">
        <f ca="1"/>
        <v>#N/A</v>
      </c>
      <c r="D272" s="17" t="e">
        <f ca="1"/>
        <v>#N/A</v>
      </c>
      <c r="E272" s="17" t="e">
        <f ca="1"/>
        <v>#N/A</v>
      </c>
      <c r="F272" s="23" t="e">
        <f ca="1"/>
        <v>#N/A</v>
      </c>
      <c r="G272" s="23">
        <f t="shared" ca="1" si="71"/>
        <v>0</v>
      </c>
      <c r="H272" t="b">
        <f t="shared" ca="1" si="78"/>
        <v>1</v>
      </c>
      <c r="I272" s="22" t="e">
        <f t="shared" ca="1" si="73"/>
        <v>#N/A</v>
      </c>
      <c r="J272">
        <f t="shared" ca="1" si="74"/>
        <v>0</v>
      </c>
      <c r="K272" t="e">
        <f t="shared" ca="1" si="79"/>
        <v>#N/A</v>
      </c>
      <c r="O272" s="22" t="e">
        <f t="shared" ca="1" si="75"/>
        <v>#N/A</v>
      </c>
      <c r="P272" s="17" t="e">
        <f ca="1"/>
        <v>#N/A</v>
      </c>
      <c r="Q272" s="17" t="e">
        <f ca="1"/>
        <v>#N/A</v>
      </c>
      <c r="R272" s="23" t="e">
        <f ca="1"/>
        <v>#N/A</v>
      </c>
      <c r="S272" s="23">
        <f t="shared" ca="1" si="72"/>
        <v>0</v>
      </c>
      <c r="T272" t="b">
        <f t="shared" ca="1" si="80"/>
        <v>1</v>
      </c>
      <c r="U272" s="22" t="e">
        <f t="shared" ca="1" si="76"/>
        <v>#N/A</v>
      </c>
      <c r="V272">
        <f t="shared" ca="1" si="77"/>
        <v>0</v>
      </c>
    </row>
    <row r="273" spans="2:22">
      <c r="B273">
        <f t="shared" si="81"/>
        <v>263</v>
      </c>
      <c r="C273" s="22" t="e">
        <f ca="1"/>
        <v>#N/A</v>
      </c>
      <c r="D273" s="17" t="e">
        <f ca="1"/>
        <v>#N/A</v>
      </c>
      <c r="E273" s="17" t="e">
        <f ca="1"/>
        <v>#N/A</v>
      </c>
      <c r="F273" s="23" t="e">
        <f ca="1"/>
        <v>#N/A</v>
      </c>
      <c r="G273" s="23">
        <f t="shared" ca="1" si="71"/>
        <v>0</v>
      </c>
      <c r="H273" t="b">
        <f t="shared" ca="1" si="78"/>
        <v>1</v>
      </c>
      <c r="I273" s="22" t="e">
        <f t="shared" ca="1" si="73"/>
        <v>#N/A</v>
      </c>
      <c r="J273">
        <f t="shared" ca="1" si="74"/>
        <v>0</v>
      </c>
      <c r="K273" t="e">
        <f t="shared" ca="1" si="79"/>
        <v>#N/A</v>
      </c>
      <c r="O273" s="22" t="e">
        <f t="shared" ca="1" si="75"/>
        <v>#N/A</v>
      </c>
      <c r="P273" s="17" t="e">
        <f ca="1"/>
        <v>#N/A</v>
      </c>
      <c r="Q273" s="17" t="e">
        <f ca="1"/>
        <v>#N/A</v>
      </c>
      <c r="R273" s="23" t="e">
        <f ca="1"/>
        <v>#N/A</v>
      </c>
      <c r="S273" s="23">
        <f t="shared" ca="1" si="72"/>
        <v>0</v>
      </c>
      <c r="T273" t="b">
        <f t="shared" ca="1" si="80"/>
        <v>1</v>
      </c>
      <c r="U273" s="22" t="e">
        <f t="shared" ca="1" si="76"/>
        <v>#N/A</v>
      </c>
      <c r="V273">
        <f t="shared" ca="1" si="77"/>
        <v>0</v>
      </c>
    </row>
    <row r="274" spans="2:22">
      <c r="B274">
        <f t="shared" si="81"/>
        <v>264</v>
      </c>
      <c r="C274" s="22" t="e">
        <f ca="1"/>
        <v>#N/A</v>
      </c>
      <c r="D274" s="17" t="e">
        <f ca="1"/>
        <v>#N/A</v>
      </c>
      <c r="E274" s="17" t="e">
        <f ca="1"/>
        <v>#N/A</v>
      </c>
      <c r="F274" s="23" t="e">
        <f ca="1"/>
        <v>#N/A</v>
      </c>
      <c r="G274" s="23">
        <f t="shared" ca="1" si="71"/>
        <v>0</v>
      </c>
      <c r="H274" t="b">
        <f t="shared" ca="1" si="78"/>
        <v>1</v>
      </c>
      <c r="I274" s="22" t="e">
        <f t="shared" ca="1" si="73"/>
        <v>#N/A</v>
      </c>
      <c r="J274">
        <f t="shared" ca="1" si="74"/>
        <v>0</v>
      </c>
      <c r="K274" t="e">
        <f t="shared" ca="1" si="79"/>
        <v>#N/A</v>
      </c>
      <c r="O274" s="22" t="e">
        <f t="shared" ca="1" si="75"/>
        <v>#N/A</v>
      </c>
      <c r="P274" s="17" t="e">
        <f ca="1"/>
        <v>#N/A</v>
      </c>
      <c r="Q274" s="17" t="e">
        <f ca="1"/>
        <v>#N/A</v>
      </c>
      <c r="R274" s="23" t="e">
        <f ca="1"/>
        <v>#N/A</v>
      </c>
      <c r="S274" s="23">
        <f t="shared" ca="1" si="72"/>
        <v>0</v>
      </c>
      <c r="T274" t="b">
        <f t="shared" ca="1" si="80"/>
        <v>1</v>
      </c>
      <c r="U274" s="22" t="e">
        <f t="shared" ca="1" si="76"/>
        <v>#N/A</v>
      </c>
      <c r="V274">
        <f t="shared" ca="1" si="77"/>
        <v>0</v>
      </c>
    </row>
    <row r="275" spans="2:22">
      <c r="B275">
        <f t="shared" si="81"/>
        <v>265</v>
      </c>
      <c r="C275" s="22" t="e">
        <f ca="1"/>
        <v>#N/A</v>
      </c>
      <c r="D275" s="17" t="e">
        <f ca="1"/>
        <v>#N/A</v>
      </c>
      <c r="E275" s="17" t="e">
        <f ca="1"/>
        <v>#N/A</v>
      </c>
      <c r="F275" s="23" t="e">
        <f ca="1"/>
        <v>#N/A</v>
      </c>
      <c r="G275" s="23">
        <f t="shared" ca="1" si="71"/>
        <v>0</v>
      </c>
      <c r="H275" t="b">
        <f t="shared" ca="1" si="78"/>
        <v>1</v>
      </c>
      <c r="I275" s="22" t="e">
        <f t="shared" ca="1" si="73"/>
        <v>#N/A</v>
      </c>
      <c r="J275">
        <f t="shared" ca="1" si="74"/>
        <v>0</v>
      </c>
      <c r="K275" t="e">
        <f t="shared" ca="1" si="79"/>
        <v>#N/A</v>
      </c>
      <c r="O275" s="22" t="e">
        <f t="shared" ca="1" si="75"/>
        <v>#N/A</v>
      </c>
      <c r="P275" s="17" t="e">
        <f ca="1"/>
        <v>#N/A</v>
      </c>
      <c r="Q275" s="17" t="e">
        <f ca="1"/>
        <v>#N/A</v>
      </c>
      <c r="R275" s="23" t="e">
        <f ca="1"/>
        <v>#N/A</v>
      </c>
      <c r="S275" s="23">
        <f t="shared" ca="1" si="72"/>
        <v>0</v>
      </c>
      <c r="T275" t="b">
        <f t="shared" ca="1" si="80"/>
        <v>1</v>
      </c>
      <c r="U275" s="22" t="e">
        <f t="shared" ca="1" si="76"/>
        <v>#N/A</v>
      </c>
      <c r="V275">
        <f t="shared" ca="1" si="77"/>
        <v>0</v>
      </c>
    </row>
    <row r="276" spans="2:22">
      <c r="B276">
        <f t="shared" si="81"/>
        <v>266</v>
      </c>
      <c r="C276" s="22" t="e">
        <f ca="1"/>
        <v>#N/A</v>
      </c>
      <c r="D276" s="17" t="e">
        <f ca="1"/>
        <v>#N/A</v>
      </c>
      <c r="E276" s="17" t="e">
        <f ca="1"/>
        <v>#N/A</v>
      </c>
      <c r="F276" s="23" t="e">
        <f ca="1"/>
        <v>#N/A</v>
      </c>
      <c r="G276" s="23">
        <f t="shared" ca="1" si="71"/>
        <v>0</v>
      </c>
      <c r="H276" t="b">
        <f t="shared" ca="1" si="78"/>
        <v>1</v>
      </c>
      <c r="I276" s="22" t="e">
        <f t="shared" ca="1" si="73"/>
        <v>#N/A</v>
      </c>
      <c r="J276">
        <f t="shared" ca="1" si="74"/>
        <v>0</v>
      </c>
      <c r="K276" t="e">
        <f t="shared" ca="1" si="79"/>
        <v>#N/A</v>
      </c>
      <c r="O276" s="22" t="e">
        <f t="shared" ca="1" si="75"/>
        <v>#N/A</v>
      </c>
      <c r="P276" s="17" t="e">
        <f ca="1"/>
        <v>#N/A</v>
      </c>
      <c r="Q276" s="17" t="e">
        <f ca="1"/>
        <v>#N/A</v>
      </c>
      <c r="R276" s="23" t="e">
        <f ca="1"/>
        <v>#N/A</v>
      </c>
      <c r="S276" s="23">
        <f t="shared" ca="1" si="72"/>
        <v>0</v>
      </c>
      <c r="T276" t="b">
        <f t="shared" ca="1" si="80"/>
        <v>1</v>
      </c>
      <c r="U276" s="22" t="e">
        <f t="shared" ca="1" si="76"/>
        <v>#N/A</v>
      </c>
      <c r="V276">
        <f t="shared" ca="1" si="77"/>
        <v>0</v>
      </c>
    </row>
    <row r="277" spans="2:22">
      <c r="B277">
        <f t="shared" si="81"/>
        <v>267</v>
      </c>
      <c r="C277" s="22" t="e">
        <f ca="1"/>
        <v>#N/A</v>
      </c>
      <c r="D277" s="17" t="e">
        <f ca="1"/>
        <v>#N/A</v>
      </c>
      <c r="E277" s="17" t="e">
        <f ca="1"/>
        <v>#N/A</v>
      </c>
      <c r="F277" s="23" t="e">
        <f ca="1"/>
        <v>#N/A</v>
      </c>
      <c r="G277" s="23">
        <f t="shared" ca="1" si="71"/>
        <v>0</v>
      </c>
      <c r="H277" t="b">
        <f t="shared" ca="1" si="78"/>
        <v>1</v>
      </c>
      <c r="I277" s="22" t="e">
        <f t="shared" ca="1" si="73"/>
        <v>#N/A</v>
      </c>
      <c r="J277">
        <f t="shared" ca="1" si="74"/>
        <v>0</v>
      </c>
      <c r="K277" t="e">
        <f t="shared" ca="1" si="79"/>
        <v>#N/A</v>
      </c>
      <c r="O277" s="22" t="e">
        <f t="shared" ca="1" si="75"/>
        <v>#N/A</v>
      </c>
      <c r="P277" s="17" t="e">
        <f ca="1"/>
        <v>#N/A</v>
      </c>
      <c r="Q277" s="17" t="e">
        <f ca="1"/>
        <v>#N/A</v>
      </c>
      <c r="R277" s="23" t="e">
        <f ca="1"/>
        <v>#N/A</v>
      </c>
      <c r="S277" s="23">
        <f t="shared" ca="1" si="72"/>
        <v>0</v>
      </c>
      <c r="T277" t="b">
        <f t="shared" ca="1" si="80"/>
        <v>1</v>
      </c>
      <c r="U277" s="22" t="e">
        <f t="shared" ca="1" si="76"/>
        <v>#N/A</v>
      </c>
      <c r="V277">
        <f t="shared" ca="1" si="77"/>
        <v>0</v>
      </c>
    </row>
    <row r="278" spans="2:22">
      <c r="B278">
        <f t="shared" si="81"/>
        <v>268</v>
      </c>
      <c r="C278" s="22" t="e">
        <f ca="1"/>
        <v>#N/A</v>
      </c>
      <c r="D278" s="17" t="e">
        <f ca="1"/>
        <v>#N/A</v>
      </c>
      <c r="E278" s="17" t="e">
        <f ca="1"/>
        <v>#N/A</v>
      </c>
      <c r="F278" s="23" t="e">
        <f ca="1"/>
        <v>#N/A</v>
      </c>
      <c r="G278" s="23">
        <f t="shared" ca="1" si="71"/>
        <v>0</v>
      </c>
      <c r="H278" t="b">
        <f t="shared" ca="1" si="78"/>
        <v>1</v>
      </c>
      <c r="I278" s="22" t="e">
        <f t="shared" ca="1" si="73"/>
        <v>#N/A</v>
      </c>
      <c r="J278">
        <f t="shared" ca="1" si="74"/>
        <v>0</v>
      </c>
      <c r="K278" t="e">
        <f t="shared" ca="1" si="79"/>
        <v>#N/A</v>
      </c>
      <c r="O278" s="22" t="e">
        <f t="shared" ca="1" si="75"/>
        <v>#N/A</v>
      </c>
      <c r="P278" s="17" t="e">
        <f ca="1"/>
        <v>#N/A</v>
      </c>
      <c r="Q278" s="17" t="e">
        <f ca="1"/>
        <v>#N/A</v>
      </c>
      <c r="R278" s="23" t="e">
        <f ca="1"/>
        <v>#N/A</v>
      </c>
      <c r="S278" s="23">
        <f t="shared" ca="1" si="72"/>
        <v>0</v>
      </c>
      <c r="T278" t="b">
        <f t="shared" ca="1" si="80"/>
        <v>1</v>
      </c>
      <c r="U278" s="22" t="e">
        <f t="shared" ca="1" si="76"/>
        <v>#N/A</v>
      </c>
      <c r="V278">
        <f t="shared" ca="1" si="77"/>
        <v>0</v>
      </c>
    </row>
    <row r="279" spans="2:22">
      <c r="B279">
        <f t="shared" si="81"/>
        <v>269</v>
      </c>
      <c r="C279" s="22" t="e">
        <f ca="1"/>
        <v>#N/A</v>
      </c>
      <c r="D279" s="17" t="e">
        <f ca="1"/>
        <v>#N/A</v>
      </c>
      <c r="E279" s="17" t="e">
        <f ca="1"/>
        <v>#N/A</v>
      </c>
      <c r="F279" s="23" t="e">
        <f ca="1"/>
        <v>#N/A</v>
      </c>
      <c r="G279" s="23">
        <f t="shared" ref="G279:G342" ca="1" si="82">IFERROR(Volatility(D268:D279,12),FALSE)</f>
        <v>0</v>
      </c>
      <c r="H279" t="b">
        <f t="shared" ca="1" si="78"/>
        <v>1</v>
      </c>
      <c r="I279" s="22" t="e">
        <f t="shared" ca="1" si="73"/>
        <v>#N/A</v>
      </c>
      <c r="J279">
        <f t="shared" ca="1" si="74"/>
        <v>0</v>
      </c>
      <c r="K279" t="e">
        <f t="shared" ca="1" si="79"/>
        <v>#N/A</v>
      </c>
      <c r="O279" s="22" t="e">
        <f t="shared" ca="1" si="75"/>
        <v>#N/A</v>
      </c>
      <c r="P279" s="17" t="e">
        <f ca="1"/>
        <v>#N/A</v>
      </c>
      <c r="Q279" s="17" t="e">
        <f ca="1"/>
        <v>#N/A</v>
      </c>
      <c r="R279" s="23" t="e">
        <f ca="1"/>
        <v>#N/A</v>
      </c>
      <c r="S279" s="23">
        <f t="shared" ref="S279:S342" ca="1" si="83">IFERROR(Volatility(P268:P279,12),FALSE)</f>
        <v>0</v>
      </c>
      <c r="T279" t="b">
        <f t="shared" ca="1" si="80"/>
        <v>1</v>
      </c>
      <c r="U279" s="22" t="e">
        <f t="shared" ca="1" si="76"/>
        <v>#N/A</v>
      </c>
      <c r="V279">
        <f t="shared" ca="1" si="77"/>
        <v>0</v>
      </c>
    </row>
    <row r="280" spans="2:22">
      <c r="B280">
        <f t="shared" si="81"/>
        <v>270</v>
      </c>
      <c r="C280" s="22" t="e">
        <f ca="1"/>
        <v>#N/A</v>
      </c>
      <c r="D280" s="17" t="e">
        <f ca="1"/>
        <v>#N/A</v>
      </c>
      <c r="E280" s="17" t="e">
        <f ca="1"/>
        <v>#N/A</v>
      </c>
      <c r="F280" s="23" t="e">
        <f ca="1"/>
        <v>#N/A</v>
      </c>
      <c r="G280" s="23">
        <f t="shared" ca="1" si="82"/>
        <v>0</v>
      </c>
      <c r="H280" t="b">
        <f t="shared" ca="1" si="78"/>
        <v>1</v>
      </c>
      <c r="I280" s="22" t="e">
        <f t="shared" ca="1" si="73"/>
        <v>#N/A</v>
      </c>
      <c r="J280">
        <f t="shared" ca="1" si="74"/>
        <v>0</v>
      </c>
      <c r="K280" t="e">
        <f t="shared" ca="1" si="79"/>
        <v>#N/A</v>
      </c>
      <c r="O280" s="22" t="e">
        <f t="shared" ca="1" si="75"/>
        <v>#N/A</v>
      </c>
      <c r="P280" s="17" t="e">
        <f ca="1"/>
        <v>#N/A</v>
      </c>
      <c r="Q280" s="17" t="e">
        <f ca="1"/>
        <v>#N/A</v>
      </c>
      <c r="R280" s="23" t="e">
        <f ca="1"/>
        <v>#N/A</v>
      </c>
      <c r="S280" s="23">
        <f t="shared" ca="1" si="83"/>
        <v>0</v>
      </c>
      <c r="T280" t="b">
        <f t="shared" ca="1" si="80"/>
        <v>1</v>
      </c>
      <c r="U280" s="22" t="e">
        <f t="shared" ca="1" si="76"/>
        <v>#N/A</v>
      </c>
      <c r="V280">
        <f t="shared" ca="1" si="77"/>
        <v>0</v>
      </c>
    </row>
    <row r="281" spans="2:22">
      <c r="B281">
        <f t="shared" si="81"/>
        <v>271</v>
      </c>
      <c r="C281" s="22" t="e">
        <f ca="1"/>
        <v>#N/A</v>
      </c>
      <c r="D281" s="17" t="e">
        <f ca="1"/>
        <v>#N/A</v>
      </c>
      <c r="E281" s="17" t="e">
        <f ca="1"/>
        <v>#N/A</v>
      </c>
      <c r="F281" s="23" t="e">
        <f ca="1"/>
        <v>#N/A</v>
      </c>
      <c r="G281" s="23">
        <f t="shared" ca="1" si="82"/>
        <v>0</v>
      </c>
      <c r="H281" t="b">
        <f t="shared" ca="1" si="78"/>
        <v>1</v>
      </c>
      <c r="I281" s="22" t="e">
        <f t="shared" ca="1" si="73"/>
        <v>#N/A</v>
      </c>
      <c r="J281">
        <f t="shared" ca="1" si="74"/>
        <v>0</v>
      </c>
      <c r="K281" t="e">
        <f t="shared" ca="1" si="79"/>
        <v>#N/A</v>
      </c>
      <c r="O281" s="22" t="e">
        <f t="shared" ca="1" si="75"/>
        <v>#N/A</v>
      </c>
      <c r="P281" s="17" t="e">
        <f ca="1"/>
        <v>#N/A</v>
      </c>
      <c r="Q281" s="17" t="e">
        <f ca="1"/>
        <v>#N/A</v>
      </c>
      <c r="R281" s="23" t="e">
        <f ca="1"/>
        <v>#N/A</v>
      </c>
      <c r="S281" s="23">
        <f t="shared" ca="1" si="83"/>
        <v>0</v>
      </c>
      <c r="T281" t="b">
        <f t="shared" ca="1" si="80"/>
        <v>1</v>
      </c>
      <c r="U281" s="22" t="e">
        <f t="shared" ca="1" si="76"/>
        <v>#N/A</v>
      </c>
      <c r="V281">
        <f t="shared" ca="1" si="77"/>
        <v>0</v>
      </c>
    </row>
    <row r="282" spans="2:22">
      <c r="B282">
        <f t="shared" si="81"/>
        <v>272</v>
      </c>
      <c r="C282" s="22" t="e">
        <f ca="1"/>
        <v>#N/A</v>
      </c>
      <c r="D282" s="17" t="e">
        <f ca="1"/>
        <v>#N/A</v>
      </c>
      <c r="E282" s="17" t="e">
        <f ca="1"/>
        <v>#N/A</v>
      </c>
      <c r="F282" s="23" t="e">
        <f ca="1"/>
        <v>#N/A</v>
      </c>
      <c r="G282" s="23">
        <f t="shared" ca="1" si="82"/>
        <v>0</v>
      </c>
      <c r="H282" t="b">
        <f t="shared" ca="1" si="78"/>
        <v>1</v>
      </c>
      <c r="I282" s="22" t="e">
        <f t="shared" ca="1" si="73"/>
        <v>#N/A</v>
      </c>
      <c r="J282">
        <f t="shared" ca="1" si="74"/>
        <v>0</v>
      </c>
      <c r="K282" t="e">
        <f t="shared" ca="1" si="79"/>
        <v>#N/A</v>
      </c>
      <c r="O282" s="22" t="e">
        <f t="shared" ca="1" si="75"/>
        <v>#N/A</v>
      </c>
      <c r="P282" s="17" t="e">
        <f ca="1"/>
        <v>#N/A</v>
      </c>
      <c r="Q282" s="17" t="e">
        <f ca="1"/>
        <v>#N/A</v>
      </c>
      <c r="R282" s="23" t="e">
        <f ca="1"/>
        <v>#N/A</v>
      </c>
      <c r="S282" s="23">
        <f t="shared" ca="1" si="83"/>
        <v>0</v>
      </c>
      <c r="T282" t="b">
        <f t="shared" ca="1" si="80"/>
        <v>1</v>
      </c>
      <c r="U282" s="22" t="e">
        <f t="shared" ca="1" si="76"/>
        <v>#N/A</v>
      </c>
      <c r="V282">
        <f t="shared" ca="1" si="77"/>
        <v>0</v>
      </c>
    </row>
    <row r="283" spans="2:22">
      <c r="B283">
        <f t="shared" si="81"/>
        <v>273</v>
      </c>
      <c r="C283" s="22" t="e">
        <f ca="1"/>
        <v>#N/A</v>
      </c>
      <c r="D283" s="17" t="e">
        <f ca="1"/>
        <v>#N/A</v>
      </c>
      <c r="E283" s="17" t="e">
        <f ca="1"/>
        <v>#N/A</v>
      </c>
      <c r="F283" s="23" t="e">
        <f ca="1"/>
        <v>#N/A</v>
      </c>
      <c r="G283" s="23">
        <f t="shared" ca="1" si="82"/>
        <v>0</v>
      </c>
      <c r="H283" t="b">
        <f t="shared" ca="1" si="78"/>
        <v>1</v>
      </c>
      <c r="I283" s="22" t="e">
        <f t="shared" ca="1" si="73"/>
        <v>#N/A</v>
      </c>
      <c r="J283">
        <f t="shared" ca="1" si="74"/>
        <v>0</v>
      </c>
      <c r="K283" t="e">
        <f t="shared" ca="1" si="79"/>
        <v>#N/A</v>
      </c>
      <c r="O283" s="22" t="e">
        <f t="shared" ca="1" si="75"/>
        <v>#N/A</v>
      </c>
      <c r="P283" s="17" t="e">
        <f ca="1"/>
        <v>#N/A</v>
      </c>
      <c r="Q283" s="17" t="e">
        <f ca="1"/>
        <v>#N/A</v>
      </c>
      <c r="R283" s="23" t="e">
        <f ca="1"/>
        <v>#N/A</v>
      </c>
      <c r="S283" s="23">
        <f t="shared" ca="1" si="83"/>
        <v>0</v>
      </c>
      <c r="T283" t="b">
        <f t="shared" ca="1" si="80"/>
        <v>1</v>
      </c>
      <c r="U283" s="22" t="e">
        <f t="shared" ca="1" si="76"/>
        <v>#N/A</v>
      </c>
      <c r="V283">
        <f t="shared" ca="1" si="77"/>
        <v>0</v>
      </c>
    </row>
    <row r="284" spans="2:22">
      <c r="B284">
        <f t="shared" si="81"/>
        <v>274</v>
      </c>
      <c r="C284" s="22" t="e">
        <f ca="1"/>
        <v>#N/A</v>
      </c>
      <c r="D284" s="17" t="e">
        <f ca="1"/>
        <v>#N/A</v>
      </c>
      <c r="E284" s="17" t="e">
        <f ca="1"/>
        <v>#N/A</v>
      </c>
      <c r="F284" s="23" t="e">
        <f ca="1"/>
        <v>#N/A</v>
      </c>
      <c r="G284" s="23">
        <f t="shared" ca="1" si="82"/>
        <v>0</v>
      </c>
      <c r="H284" t="b">
        <f t="shared" ca="1" si="78"/>
        <v>1</v>
      </c>
      <c r="I284" s="22" t="e">
        <f t="shared" ca="1" si="73"/>
        <v>#N/A</v>
      </c>
      <c r="J284">
        <f t="shared" ca="1" si="74"/>
        <v>0</v>
      </c>
      <c r="K284" t="e">
        <f t="shared" ca="1" si="79"/>
        <v>#N/A</v>
      </c>
      <c r="O284" s="22" t="e">
        <f t="shared" ca="1" si="75"/>
        <v>#N/A</v>
      </c>
      <c r="P284" s="17" t="e">
        <f ca="1"/>
        <v>#N/A</v>
      </c>
      <c r="Q284" s="17" t="e">
        <f ca="1"/>
        <v>#N/A</v>
      </c>
      <c r="R284" s="23" t="e">
        <f ca="1"/>
        <v>#N/A</v>
      </c>
      <c r="S284" s="23">
        <f t="shared" ca="1" si="83"/>
        <v>0</v>
      </c>
      <c r="T284" t="b">
        <f t="shared" ca="1" si="80"/>
        <v>1</v>
      </c>
      <c r="U284" s="22" t="e">
        <f t="shared" ca="1" si="76"/>
        <v>#N/A</v>
      </c>
      <c r="V284">
        <f t="shared" ca="1" si="77"/>
        <v>0</v>
      </c>
    </row>
    <row r="285" spans="2:22">
      <c r="B285">
        <f t="shared" si="81"/>
        <v>275</v>
      </c>
      <c r="C285" s="22" t="e">
        <f ca="1"/>
        <v>#N/A</v>
      </c>
      <c r="D285" s="17" t="e">
        <f ca="1"/>
        <v>#N/A</v>
      </c>
      <c r="E285" s="17" t="e">
        <f ca="1"/>
        <v>#N/A</v>
      </c>
      <c r="F285" s="23" t="e">
        <f ca="1"/>
        <v>#N/A</v>
      </c>
      <c r="G285" s="23">
        <f t="shared" ca="1" si="82"/>
        <v>0</v>
      </c>
      <c r="H285" t="b">
        <f t="shared" ca="1" si="78"/>
        <v>1</v>
      </c>
      <c r="I285" s="22" t="e">
        <f t="shared" ca="1" si="73"/>
        <v>#N/A</v>
      </c>
      <c r="J285">
        <f t="shared" ca="1" si="74"/>
        <v>0</v>
      </c>
      <c r="K285" t="e">
        <f t="shared" ca="1" si="79"/>
        <v>#N/A</v>
      </c>
      <c r="O285" s="22" t="e">
        <f t="shared" ca="1" si="75"/>
        <v>#N/A</v>
      </c>
      <c r="P285" s="17" t="e">
        <f ca="1"/>
        <v>#N/A</v>
      </c>
      <c r="Q285" s="17" t="e">
        <f ca="1"/>
        <v>#N/A</v>
      </c>
      <c r="R285" s="23" t="e">
        <f ca="1"/>
        <v>#N/A</v>
      </c>
      <c r="S285" s="23">
        <f t="shared" ca="1" si="83"/>
        <v>0</v>
      </c>
      <c r="T285" t="b">
        <f t="shared" ca="1" si="80"/>
        <v>1</v>
      </c>
      <c r="U285" s="22" t="e">
        <f t="shared" ca="1" si="76"/>
        <v>#N/A</v>
      </c>
      <c r="V285">
        <f t="shared" ca="1" si="77"/>
        <v>0</v>
      </c>
    </row>
    <row r="286" spans="2:22">
      <c r="B286">
        <f t="shared" si="81"/>
        <v>276</v>
      </c>
      <c r="C286" s="22" t="e">
        <f ca="1"/>
        <v>#N/A</v>
      </c>
      <c r="D286" s="17" t="e">
        <f ca="1"/>
        <v>#N/A</v>
      </c>
      <c r="E286" s="17" t="e">
        <f ca="1"/>
        <v>#N/A</v>
      </c>
      <c r="F286" s="23" t="e">
        <f ca="1"/>
        <v>#N/A</v>
      </c>
      <c r="G286" s="23">
        <f t="shared" ca="1" si="82"/>
        <v>0</v>
      </c>
      <c r="H286" t="b">
        <f t="shared" ca="1" si="78"/>
        <v>1</v>
      </c>
      <c r="I286" s="22" t="e">
        <f t="shared" ca="1" si="73"/>
        <v>#N/A</v>
      </c>
      <c r="J286">
        <f t="shared" ca="1" si="74"/>
        <v>0</v>
      </c>
      <c r="K286" t="e">
        <f t="shared" ca="1" si="79"/>
        <v>#N/A</v>
      </c>
      <c r="O286" s="22" t="e">
        <f t="shared" ca="1" si="75"/>
        <v>#N/A</v>
      </c>
      <c r="P286" s="17" t="e">
        <f ca="1"/>
        <v>#N/A</v>
      </c>
      <c r="Q286" s="17" t="e">
        <f ca="1"/>
        <v>#N/A</v>
      </c>
      <c r="R286" s="23" t="e">
        <f ca="1"/>
        <v>#N/A</v>
      </c>
      <c r="S286" s="23">
        <f t="shared" ca="1" si="83"/>
        <v>0</v>
      </c>
      <c r="T286" t="b">
        <f t="shared" ca="1" si="80"/>
        <v>1</v>
      </c>
      <c r="U286" s="22" t="e">
        <f t="shared" ca="1" si="76"/>
        <v>#N/A</v>
      </c>
      <c r="V286">
        <f t="shared" ca="1" si="77"/>
        <v>0</v>
      </c>
    </row>
    <row r="287" spans="2:22">
      <c r="B287">
        <f t="shared" si="81"/>
        <v>277</v>
      </c>
      <c r="C287" s="22" t="e">
        <f ca="1"/>
        <v>#N/A</v>
      </c>
      <c r="D287" s="17" t="e">
        <f ca="1"/>
        <v>#N/A</v>
      </c>
      <c r="E287" s="17" t="e">
        <f ca="1"/>
        <v>#N/A</v>
      </c>
      <c r="F287" s="23" t="e">
        <f ca="1"/>
        <v>#N/A</v>
      </c>
      <c r="G287" s="23">
        <f t="shared" ca="1" si="82"/>
        <v>0</v>
      </c>
      <c r="H287" t="b">
        <f t="shared" ca="1" si="78"/>
        <v>1</v>
      </c>
      <c r="I287" s="22" t="e">
        <f t="shared" ca="1" si="73"/>
        <v>#N/A</v>
      </c>
      <c r="J287">
        <f t="shared" ca="1" si="74"/>
        <v>0</v>
      </c>
      <c r="K287" t="e">
        <f t="shared" ca="1" si="79"/>
        <v>#N/A</v>
      </c>
      <c r="O287" s="22" t="e">
        <f t="shared" ca="1" si="75"/>
        <v>#N/A</v>
      </c>
      <c r="P287" s="17" t="e">
        <f ca="1"/>
        <v>#N/A</v>
      </c>
      <c r="Q287" s="17" t="e">
        <f ca="1"/>
        <v>#N/A</v>
      </c>
      <c r="R287" s="23" t="e">
        <f ca="1"/>
        <v>#N/A</v>
      </c>
      <c r="S287" s="23">
        <f t="shared" ca="1" si="83"/>
        <v>0</v>
      </c>
      <c r="T287" t="b">
        <f t="shared" ca="1" si="80"/>
        <v>1</v>
      </c>
      <c r="U287" s="22" t="e">
        <f t="shared" ca="1" si="76"/>
        <v>#N/A</v>
      </c>
      <c r="V287">
        <f t="shared" ca="1" si="77"/>
        <v>0</v>
      </c>
    </row>
    <row r="288" spans="2:22">
      <c r="B288">
        <f t="shared" si="81"/>
        <v>278</v>
      </c>
      <c r="C288" s="22" t="e">
        <f ca="1"/>
        <v>#N/A</v>
      </c>
      <c r="D288" s="17" t="e">
        <f ca="1"/>
        <v>#N/A</v>
      </c>
      <c r="E288" s="17" t="e">
        <f ca="1"/>
        <v>#N/A</v>
      </c>
      <c r="F288" s="23" t="e">
        <f ca="1"/>
        <v>#N/A</v>
      </c>
      <c r="G288" s="23">
        <f t="shared" ca="1" si="82"/>
        <v>0</v>
      </c>
      <c r="H288" t="b">
        <f t="shared" ca="1" si="78"/>
        <v>1</v>
      </c>
      <c r="I288" s="22" t="e">
        <f t="shared" ca="1" si="73"/>
        <v>#N/A</v>
      </c>
      <c r="J288">
        <f t="shared" ca="1" si="74"/>
        <v>0</v>
      </c>
      <c r="K288" t="e">
        <f t="shared" ca="1" si="79"/>
        <v>#N/A</v>
      </c>
      <c r="O288" s="22" t="e">
        <f t="shared" ca="1" si="75"/>
        <v>#N/A</v>
      </c>
      <c r="P288" s="17" t="e">
        <f ca="1"/>
        <v>#N/A</v>
      </c>
      <c r="Q288" s="17" t="e">
        <f ca="1"/>
        <v>#N/A</v>
      </c>
      <c r="R288" s="23" t="e">
        <f ca="1"/>
        <v>#N/A</v>
      </c>
      <c r="S288" s="23">
        <f t="shared" ca="1" si="83"/>
        <v>0</v>
      </c>
      <c r="T288" t="b">
        <f t="shared" ca="1" si="80"/>
        <v>1</v>
      </c>
      <c r="U288" s="22" t="e">
        <f t="shared" ca="1" si="76"/>
        <v>#N/A</v>
      </c>
      <c r="V288">
        <f t="shared" ca="1" si="77"/>
        <v>0</v>
      </c>
    </row>
    <row r="289" spans="2:22">
      <c r="B289">
        <f t="shared" si="81"/>
        <v>279</v>
      </c>
      <c r="C289" s="22" t="e">
        <f ca="1"/>
        <v>#N/A</v>
      </c>
      <c r="D289" s="17" t="e">
        <f ca="1"/>
        <v>#N/A</v>
      </c>
      <c r="E289" s="17" t="e">
        <f ca="1"/>
        <v>#N/A</v>
      </c>
      <c r="F289" s="23" t="e">
        <f ca="1"/>
        <v>#N/A</v>
      </c>
      <c r="G289" s="23">
        <f t="shared" ca="1" si="82"/>
        <v>0</v>
      </c>
      <c r="H289" t="b">
        <f t="shared" ca="1" si="78"/>
        <v>1</v>
      </c>
      <c r="I289" s="22" t="e">
        <f t="shared" ca="1" si="73"/>
        <v>#N/A</v>
      </c>
      <c r="J289">
        <f t="shared" ca="1" si="74"/>
        <v>0</v>
      </c>
      <c r="K289" t="e">
        <f t="shared" ca="1" si="79"/>
        <v>#N/A</v>
      </c>
      <c r="O289" s="22" t="e">
        <f t="shared" ca="1" si="75"/>
        <v>#N/A</v>
      </c>
      <c r="P289" s="17" t="e">
        <f ca="1"/>
        <v>#N/A</v>
      </c>
      <c r="Q289" s="17" t="e">
        <f ca="1"/>
        <v>#N/A</v>
      </c>
      <c r="R289" s="23" t="e">
        <f ca="1"/>
        <v>#N/A</v>
      </c>
      <c r="S289" s="23">
        <f t="shared" ca="1" si="83"/>
        <v>0</v>
      </c>
      <c r="T289" t="b">
        <f t="shared" ca="1" si="80"/>
        <v>1</v>
      </c>
      <c r="U289" s="22" t="e">
        <f t="shared" ca="1" si="76"/>
        <v>#N/A</v>
      </c>
      <c r="V289">
        <f t="shared" ca="1" si="77"/>
        <v>0</v>
      </c>
    </row>
    <row r="290" spans="2:22">
      <c r="B290">
        <f t="shared" si="81"/>
        <v>280</v>
      </c>
      <c r="C290" s="22" t="e">
        <f ca="1"/>
        <v>#N/A</v>
      </c>
      <c r="D290" s="17" t="e">
        <f ca="1"/>
        <v>#N/A</v>
      </c>
      <c r="E290" s="17" t="e">
        <f ca="1"/>
        <v>#N/A</v>
      </c>
      <c r="F290" s="23" t="e">
        <f ca="1"/>
        <v>#N/A</v>
      </c>
      <c r="G290" s="23">
        <f t="shared" ca="1" si="82"/>
        <v>0</v>
      </c>
      <c r="H290" t="b">
        <f t="shared" ca="1" si="78"/>
        <v>1</v>
      </c>
      <c r="I290" s="22" t="e">
        <f t="shared" ca="1" si="73"/>
        <v>#N/A</v>
      </c>
      <c r="J290">
        <f t="shared" ca="1" si="74"/>
        <v>0</v>
      </c>
      <c r="K290" t="e">
        <f t="shared" ca="1" si="79"/>
        <v>#N/A</v>
      </c>
      <c r="O290" s="22" t="e">
        <f t="shared" ca="1" si="75"/>
        <v>#N/A</v>
      </c>
      <c r="P290" s="17" t="e">
        <f ca="1"/>
        <v>#N/A</v>
      </c>
      <c r="Q290" s="17" t="e">
        <f ca="1"/>
        <v>#N/A</v>
      </c>
      <c r="R290" s="23" t="e">
        <f ca="1"/>
        <v>#N/A</v>
      </c>
      <c r="S290" s="23">
        <f t="shared" ca="1" si="83"/>
        <v>0</v>
      </c>
      <c r="T290" t="b">
        <f t="shared" ca="1" si="80"/>
        <v>1</v>
      </c>
      <c r="U290" s="22" t="e">
        <f t="shared" ca="1" si="76"/>
        <v>#N/A</v>
      </c>
      <c r="V290">
        <f t="shared" ca="1" si="77"/>
        <v>0</v>
      </c>
    </row>
    <row r="291" spans="2:22">
      <c r="B291">
        <f t="shared" si="81"/>
        <v>281</v>
      </c>
      <c r="C291" s="22" t="e">
        <f ca="1"/>
        <v>#N/A</v>
      </c>
      <c r="D291" s="17" t="e">
        <f ca="1"/>
        <v>#N/A</v>
      </c>
      <c r="E291" s="17" t="e">
        <f ca="1"/>
        <v>#N/A</v>
      </c>
      <c r="F291" s="23" t="e">
        <f ca="1"/>
        <v>#N/A</v>
      </c>
      <c r="G291" s="23">
        <f t="shared" ca="1" si="82"/>
        <v>0</v>
      </c>
      <c r="H291" t="b">
        <f t="shared" ca="1" si="78"/>
        <v>1</v>
      </c>
      <c r="I291" s="22" t="e">
        <f t="shared" ca="1" si="73"/>
        <v>#N/A</v>
      </c>
      <c r="J291">
        <f t="shared" ca="1" si="74"/>
        <v>0</v>
      </c>
      <c r="K291" t="e">
        <f t="shared" ca="1" si="79"/>
        <v>#N/A</v>
      </c>
      <c r="O291" s="22" t="e">
        <f t="shared" ca="1" si="75"/>
        <v>#N/A</v>
      </c>
      <c r="P291" s="17" t="e">
        <f ca="1"/>
        <v>#N/A</v>
      </c>
      <c r="Q291" s="17" t="e">
        <f ca="1"/>
        <v>#N/A</v>
      </c>
      <c r="R291" s="23" t="e">
        <f ca="1"/>
        <v>#N/A</v>
      </c>
      <c r="S291" s="23">
        <f t="shared" ca="1" si="83"/>
        <v>0</v>
      </c>
      <c r="T291" t="b">
        <f t="shared" ca="1" si="80"/>
        <v>1</v>
      </c>
      <c r="U291" s="22" t="e">
        <f t="shared" ca="1" si="76"/>
        <v>#N/A</v>
      </c>
      <c r="V291">
        <f t="shared" ca="1" si="77"/>
        <v>0</v>
      </c>
    </row>
    <row r="292" spans="2:22">
      <c r="B292">
        <f t="shared" si="81"/>
        <v>282</v>
      </c>
      <c r="C292" s="22" t="e">
        <f ca="1"/>
        <v>#N/A</v>
      </c>
      <c r="D292" s="17" t="e">
        <f ca="1"/>
        <v>#N/A</v>
      </c>
      <c r="E292" s="17" t="e">
        <f ca="1"/>
        <v>#N/A</v>
      </c>
      <c r="F292" s="23" t="e">
        <f ca="1"/>
        <v>#N/A</v>
      </c>
      <c r="G292" s="23">
        <f t="shared" ca="1" si="82"/>
        <v>0</v>
      </c>
      <c r="H292" t="b">
        <f t="shared" ca="1" si="78"/>
        <v>1</v>
      </c>
      <c r="I292" s="22" t="e">
        <f t="shared" ca="1" si="73"/>
        <v>#N/A</v>
      </c>
      <c r="J292">
        <f t="shared" ca="1" si="74"/>
        <v>0</v>
      </c>
      <c r="K292" t="e">
        <f t="shared" ca="1" si="79"/>
        <v>#N/A</v>
      </c>
      <c r="O292" s="22" t="e">
        <f t="shared" ca="1" si="75"/>
        <v>#N/A</v>
      </c>
      <c r="P292" s="17" t="e">
        <f ca="1"/>
        <v>#N/A</v>
      </c>
      <c r="Q292" s="17" t="e">
        <f ca="1"/>
        <v>#N/A</v>
      </c>
      <c r="R292" s="23" t="e">
        <f ca="1"/>
        <v>#N/A</v>
      </c>
      <c r="S292" s="23">
        <f t="shared" ca="1" si="83"/>
        <v>0</v>
      </c>
      <c r="T292" t="b">
        <f t="shared" ca="1" si="80"/>
        <v>1</v>
      </c>
      <c r="U292" s="22" t="e">
        <f t="shared" ca="1" si="76"/>
        <v>#N/A</v>
      </c>
      <c r="V292">
        <f t="shared" ca="1" si="77"/>
        <v>0</v>
      </c>
    </row>
    <row r="293" spans="2:22">
      <c r="B293">
        <f t="shared" si="81"/>
        <v>283</v>
      </c>
      <c r="C293" s="22" t="e">
        <f ca="1"/>
        <v>#N/A</v>
      </c>
      <c r="D293" s="17" t="e">
        <f ca="1"/>
        <v>#N/A</v>
      </c>
      <c r="E293" s="17" t="e">
        <f ca="1"/>
        <v>#N/A</v>
      </c>
      <c r="F293" s="23" t="e">
        <f ca="1"/>
        <v>#N/A</v>
      </c>
      <c r="G293" s="23">
        <f t="shared" ca="1" si="82"/>
        <v>0</v>
      </c>
      <c r="H293" t="b">
        <f t="shared" ca="1" si="78"/>
        <v>1</v>
      </c>
      <c r="I293" s="22" t="e">
        <f t="shared" ca="1" si="73"/>
        <v>#N/A</v>
      </c>
      <c r="J293">
        <f t="shared" ca="1" si="74"/>
        <v>0</v>
      </c>
      <c r="K293" t="e">
        <f t="shared" ca="1" si="79"/>
        <v>#N/A</v>
      </c>
      <c r="O293" s="22" t="e">
        <f t="shared" ca="1" si="75"/>
        <v>#N/A</v>
      </c>
      <c r="P293" s="17" t="e">
        <f ca="1"/>
        <v>#N/A</v>
      </c>
      <c r="Q293" s="17" t="e">
        <f ca="1"/>
        <v>#N/A</v>
      </c>
      <c r="R293" s="23" t="e">
        <f ca="1"/>
        <v>#N/A</v>
      </c>
      <c r="S293" s="23">
        <f t="shared" ca="1" si="83"/>
        <v>0</v>
      </c>
      <c r="T293" t="b">
        <f t="shared" ca="1" si="80"/>
        <v>1</v>
      </c>
      <c r="U293" s="22" t="e">
        <f t="shared" ca="1" si="76"/>
        <v>#N/A</v>
      </c>
      <c r="V293">
        <f t="shared" ca="1" si="77"/>
        <v>0</v>
      </c>
    </row>
    <row r="294" spans="2:22">
      <c r="B294">
        <f t="shared" si="81"/>
        <v>284</v>
      </c>
      <c r="C294" s="22" t="e">
        <f ca="1"/>
        <v>#N/A</v>
      </c>
      <c r="D294" s="17" t="e">
        <f ca="1"/>
        <v>#N/A</v>
      </c>
      <c r="E294" s="17" t="e">
        <f ca="1"/>
        <v>#N/A</v>
      </c>
      <c r="F294" s="23" t="e">
        <f ca="1"/>
        <v>#N/A</v>
      </c>
      <c r="G294" s="23">
        <f t="shared" ca="1" si="82"/>
        <v>0</v>
      </c>
      <c r="H294" t="b">
        <f t="shared" ca="1" si="78"/>
        <v>1</v>
      </c>
      <c r="I294" s="22" t="e">
        <f t="shared" ca="1" si="73"/>
        <v>#N/A</v>
      </c>
      <c r="J294">
        <f t="shared" ca="1" si="74"/>
        <v>0</v>
      </c>
      <c r="K294" t="e">
        <f t="shared" ca="1" si="79"/>
        <v>#N/A</v>
      </c>
      <c r="O294" s="22" t="e">
        <f t="shared" ca="1" si="75"/>
        <v>#N/A</v>
      </c>
      <c r="P294" s="17" t="e">
        <f ca="1"/>
        <v>#N/A</v>
      </c>
      <c r="Q294" s="17" t="e">
        <f ca="1"/>
        <v>#N/A</v>
      </c>
      <c r="R294" s="23" t="e">
        <f ca="1"/>
        <v>#N/A</v>
      </c>
      <c r="S294" s="23">
        <f t="shared" ca="1" si="83"/>
        <v>0</v>
      </c>
      <c r="T294" t="b">
        <f t="shared" ca="1" si="80"/>
        <v>1</v>
      </c>
      <c r="U294" s="22" t="e">
        <f t="shared" ca="1" si="76"/>
        <v>#N/A</v>
      </c>
      <c r="V294">
        <f t="shared" ca="1" si="77"/>
        <v>0</v>
      </c>
    </row>
    <row r="295" spans="2:22">
      <c r="B295">
        <f t="shared" si="81"/>
        <v>285</v>
      </c>
      <c r="C295" s="22" t="e">
        <f ca="1"/>
        <v>#N/A</v>
      </c>
      <c r="D295" s="17" t="e">
        <f ca="1"/>
        <v>#N/A</v>
      </c>
      <c r="E295" s="17" t="e">
        <f ca="1"/>
        <v>#N/A</v>
      </c>
      <c r="F295" s="23" t="e">
        <f ca="1"/>
        <v>#N/A</v>
      </c>
      <c r="G295" s="23">
        <f t="shared" ca="1" si="82"/>
        <v>0</v>
      </c>
      <c r="H295" t="b">
        <f t="shared" ca="1" si="78"/>
        <v>1</v>
      </c>
      <c r="I295" s="22" t="e">
        <f t="shared" ca="1" si="73"/>
        <v>#N/A</v>
      </c>
      <c r="J295">
        <f t="shared" ca="1" si="74"/>
        <v>0</v>
      </c>
      <c r="K295" t="e">
        <f t="shared" ca="1" si="79"/>
        <v>#N/A</v>
      </c>
      <c r="O295" s="22" t="e">
        <f t="shared" ca="1" si="75"/>
        <v>#N/A</v>
      </c>
      <c r="P295" s="17" t="e">
        <f ca="1"/>
        <v>#N/A</v>
      </c>
      <c r="Q295" s="17" t="e">
        <f ca="1"/>
        <v>#N/A</v>
      </c>
      <c r="R295" s="23" t="e">
        <f ca="1"/>
        <v>#N/A</v>
      </c>
      <c r="S295" s="23">
        <f t="shared" ca="1" si="83"/>
        <v>0</v>
      </c>
      <c r="T295" t="b">
        <f t="shared" ca="1" si="80"/>
        <v>1</v>
      </c>
      <c r="U295" s="22" t="e">
        <f t="shared" ca="1" si="76"/>
        <v>#N/A</v>
      </c>
      <c r="V295">
        <f t="shared" ca="1" si="77"/>
        <v>0</v>
      </c>
    </row>
    <row r="296" spans="2:22">
      <c r="B296">
        <f t="shared" si="81"/>
        <v>286</v>
      </c>
      <c r="C296" s="22" t="e">
        <f ca="1"/>
        <v>#N/A</v>
      </c>
      <c r="D296" s="17" t="e">
        <f ca="1"/>
        <v>#N/A</v>
      </c>
      <c r="E296" s="17" t="e">
        <f ca="1"/>
        <v>#N/A</v>
      </c>
      <c r="F296" s="23" t="e">
        <f ca="1"/>
        <v>#N/A</v>
      </c>
      <c r="G296" s="23">
        <f t="shared" ca="1" si="82"/>
        <v>0</v>
      </c>
      <c r="H296" t="b">
        <f t="shared" ca="1" si="78"/>
        <v>1</v>
      </c>
      <c r="I296" s="22" t="e">
        <f t="shared" ca="1" si="73"/>
        <v>#N/A</v>
      </c>
      <c r="J296">
        <f t="shared" ca="1" si="74"/>
        <v>0</v>
      </c>
      <c r="K296" t="e">
        <f t="shared" ca="1" si="79"/>
        <v>#N/A</v>
      </c>
      <c r="O296" s="22" t="e">
        <f t="shared" ca="1" si="75"/>
        <v>#N/A</v>
      </c>
      <c r="P296" s="17" t="e">
        <f ca="1"/>
        <v>#N/A</v>
      </c>
      <c r="Q296" s="17" t="e">
        <f ca="1"/>
        <v>#N/A</v>
      </c>
      <c r="R296" s="23" t="e">
        <f ca="1"/>
        <v>#N/A</v>
      </c>
      <c r="S296" s="23">
        <f t="shared" ca="1" si="83"/>
        <v>0</v>
      </c>
      <c r="T296" t="b">
        <f t="shared" ca="1" si="80"/>
        <v>1</v>
      </c>
      <c r="U296" s="22" t="e">
        <f t="shared" ca="1" si="76"/>
        <v>#N/A</v>
      </c>
      <c r="V296">
        <f t="shared" ca="1" si="77"/>
        <v>0</v>
      </c>
    </row>
    <row r="297" spans="2:22">
      <c r="B297">
        <f t="shared" si="81"/>
        <v>287</v>
      </c>
      <c r="C297" s="22" t="e">
        <f ca="1"/>
        <v>#N/A</v>
      </c>
      <c r="D297" s="17" t="e">
        <f ca="1"/>
        <v>#N/A</v>
      </c>
      <c r="E297" s="17" t="e">
        <f ca="1"/>
        <v>#N/A</v>
      </c>
      <c r="F297" s="23" t="e">
        <f ca="1"/>
        <v>#N/A</v>
      </c>
      <c r="G297" s="23">
        <f t="shared" ca="1" si="82"/>
        <v>0</v>
      </c>
      <c r="H297" t="b">
        <f t="shared" ca="1" si="78"/>
        <v>1</v>
      </c>
      <c r="I297" s="22" t="e">
        <f t="shared" ca="1" si="73"/>
        <v>#N/A</v>
      </c>
      <c r="J297">
        <f t="shared" ca="1" si="74"/>
        <v>0</v>
      </c>
      <c r="K297" t="e">
        <f t="shared" ca="1" si="79"/>
        <v>#N/A</v>
      </c>
      <c r="O297" s="22" t="e">
        <f t="shared" ca="1" si="75"/>
        <v>#N/A</v>
      </c>
      <c r="P297" s="17" t="e">
        <f ca="1"/>
        <v>#N/A</v>
      </c>
      <c r="Q297" s="17" t="e">
        <f ca="1"/>
        <v>#N/A</v>
      </c>
      <c r="R297" s="23" t="e">
        <f ca="1"/>
        <v>#N/A</v>
      </c>
      <c r="S297" s="23">
        <f t="shared" ca="1" si="83"/>
        <v>0</v>
      </c>
      <c r="T297" t="b">
        <f t="shared" ca="1" si="80"/>
        <v>1</v>
      </c>
      <c r="U297" s="22" t="e">
        <f t="shared" ca="1" si="76"/>
        <v>#N/A</v>
      </c>
      <c r="V297">
        <f t="shared" ca="1" si="77"/>
        <v>0</v>
      </c>
    </row>
    <row r="298" spans="2:22">
      <c r="B298">
        <f t="shared" si="81"/>
        <v>288</v>
      </c>
      <c r="C298" s="22" t="e">
        <f ca="1"/>
        <v>#N/A</v>
      </c>
      <c r="D298" s="17" t="e">
        <f ca="1"/>
        <v>#N/A</v>
      </c>
      <c r="E298" s="17" t="e">
        <f ca="1"/>
        <v>#N/A</v>
      </c>
      <c r="F298" s="23" t="e">
        <f ca="1"/>
        <v>#N/A</v>
      </c>
      <c r="G298" s="23">
        <f t="shared" ca="1" si="82"/>
        <v>0</v>
      </c>
      <c r="H298" t="b">
        <f t="shared" ca="1" si="78"/>
        <v>1</v>
      </c>
      <c r="I298" s="22" t="e">
        <f t="shared" ca="1" si="73"/>
        <v>#N/A</v>
      </c>
      <c r="J298">
        <f t="shared" ca="1" si="74"/>
        <v>0</v>
      </c>
      <c r="K298" t="e">
        <f t="shared" ca="1" si="79"/>
        <v>#N/A</v>
      </c>
      <c r="O298" s="22" t="e">
        <f t="shared" ca="1" si="75"/>
        <v>#N/A</v>
      </c>
      <c r="P298" s="17" t="e">
        <f ca="1"/>
        <v>#N/A</v>
      </c>
      <c r="Q298" s="17" t="e">
        <f ca="1"/>
        <v>#N/A</v>
      </c>
      <c r="R298" s="23" t="e">
        <f ca="1"/>
        <v>#N/A</v>
      </c>
      <c r="S298" s="23">
        <f t="shared" ca="1" si="83"/>
        <v>0</v>
      </c>
      <c r="T298" t="b">
        <f t="shared" ca="1" si="80"/>
        <v>1</v>
      </c>
      <c r="U298" s="22" t="e">
        <f t="shared" ca="1" si="76"/>
        <v>#N/A</v>
      </c>
      <c r="V298">
        <f t="shared" ca="1" si="77"/>
        <v>0</v>
      </c>
    </row>
    <row r="299" spans="2:22">
      <c r="B299">
        <f t="shared" si="81"/>
        <v>289</v>
      </c>
      <c r="C299" s="22" t="e">
        <f ca="1"/>
        <v>#N/A</v>
      </c>
      <c r="D299" s="17" t="e">
        <f ca="1"/>
        <v>#N/A</v>
      </c>
      <c r="E299" s="17" t="e">
        <f ca="1"/>
        <v>#N/A</v>
      </c>
      <c r="F299" s="23" t="e">
        <f ca="1"/>
        <v>#N/A</v>
      </c>
      <c r="G299" s="23">
        <f t="shared" ca="1" si="82"/>
        <v>0</v>
      </c>
      <c r="H299" t="b">
        <f t="shared" ca="1" si="78"/>
        <v>1</v>
      </c>
      <c r="I299" s="22" t="e">
        <f t="shared" ca="1" si="73"/>
        <v>#N/A</v>
      </c>
      <c r="J299">
        <f t="shared" ca="1" si="74"/>
        <v>0</v>
      </c>
      <c r="K299" t="e">
        <f t="shared" ca="1" si="79"/>
        <v>#N/A</v>
      </c>
      <c r="O299" s="22" t="e">
        <f t="shared" ca="1" si="75"/>
        <v>#N/A</v>
      </c>
      <c r="P299" s="17" t="e">
        <f ca="1"/>
        <v>#N/A</v>
      </c>
      <c r="Q299" s="17" t="e">
        <f ca="1"/>
        <v>#N/A</v>
      </c>
      <c r="R299" s="23" t="e">
        <f ca="1"/>
        <v>#N/A</v>
      </c>
      <c r="S299" s="23">
        <f t="shared" ca="1" si="83"/>
        <v>0</v>
      </c>
      <c r="T299" t="b">
        <f t="shared" ca="1" si="80"/>
        <v>1</v>
      </c>
      <c r="U299" s="22" t="e">
        <f t="shared" ca="1" si="76"/>
        <v>#N/A</v>
      </c>
      <c r="V299">
        <f t="shared" ca="1" si="77"/>
        <v>0</v>
      </c>
    </row>
    <row r="300" spans="2:22">
      <c r="B300">
        <f t="shared" si="81"/>
        <v>290</v>
      </c>
      <c r="C300" s="22" t="e">
        <f ca="1"/>
        <v>#N/A</v>
      </c>
      <c r="D300" s="17" t="e">
        <f ca="1"/>
        <v>#N/A</v>
      </c>
      <c r="E300" s="17" t="e">
        <f ca="1"/>
        <v>#N/A</v>
      </c>
      <c r="F300" s="23" t="e">
        <f ca="1"/>
        <v>#N/A</v>
      </c>
      <c r="G300" s="23">
        <f t="shared" ca="1" si="82"/>
        <v>0</v>
      </c>
      <c r="H300" t="b">
        <f t="shared" ca="1" si="78"/>
        <v>1</v>
      </c>
      <c r="I300" s="22" t="e">
        <f t="shared" ca="1" si="73"/>
        <v>#N/A</v>
      </c>
      <c r="J300">
        <f t="shared" ca="1" si="74"/>
        <v>0</v>
      </c>
      <c r="K300" t="e">
        <f t="shared" ca="1" si="79"/>
        <v>#N/A</v>
      </c>
      <c r="O300" s="22" t="e">
        <f t="shared" ca="1" si="75"/>
        <v>#N/A</v>
      </c>
      <c r="P300" s="17" t="e">
        <f ca="1"/>
        <v>#N/A</v>
      </c>
      <c r="Q300" s="17" t="e">
        <f ca="1"/>
        <v>#N/A</v>
      </c>
      <c r="R300" s="23" t="e">
        <f ca="1"/>
        <v>#N/A</v>
      </c>
      <c r="S300" s="23">
        <f t="shared" ca="1" si="83"/>
        <v>0</v>
      </c>
      <c r="T300" t="b">
        <f t="shared" ca="1" si="80"/>
        <v>1</v>
      </c>
      <c r="U300" s="22" t="e">
        <f t="shared" ca="1" si="76"/>
        <v>#N/A</v>
      </c>
      <c r="V300">
        <f t="shared" ca="1" si="77"/>
        <v>0</v>
      </c>
    </row>
    <row r="301" spans="2:22">
      <c r="B301">
        <f t="shared" si="81"/>
        <v>291</v>
      </c>
      <c r="C301" s="22" t="e">
        <f ca="1"/>
        <v>#N/A</v>
      </c>
      <c r="D301" s="17" t="e">
        <f ca="1"/>
        <v>#N/A</v>
      </c>
      <c r="E301" s="17" t="e">
        <f ca="1"/>
        <v>#N/A</v>
      </c>
      <c r="F301" s="23" t="e">
        <f ca="1"/>
        <v>#N/A</v>
      </c>
      <c r="G301" s="23">
        <f t="shared" ca="1" si="82"/>
        <v>0</v>
      </c>
      <c r="H301" t="b">
        <f t="shared" ca="1" si="78"/>
        <v>1</v>
      </c>
      <c r="I301" s="22" t="e">
        <f t="shared" ca="1" si="73"/>
        <v>#N/A</v>
      </c>
      <c r="J301">
        <f t="shared" ca="1" si="74"/>
        <v>0</v>
      </c>
      <c r="K301" t="e">
        <f t="shared" ca="1" si="79"/>
        <v>#N/A</v>
      </c>
      <c r="O301" s="22" t="e">
        <f t="shared" ca="1" si="75"/>
        <v>#N/A</v>
      </c>
      <c r="P301" s="17" t="e">
        <f ca="1"/>
        <v>#N/A</v>
      </c>
      <c r="Q301" s="17" t="e">
        <f ca="1"/>
        <v>#N/A</v>
      </c>
      <c r="R301" s="23" t="e">
        <f ca="1"/>
        <v>#N/A</v>
      </c>
      <c r="S301" s="23">
        <f t="shared" ca="1" si="83"/>
        <v>0</v>
      </c>
      <c r="T301" t="b">
        <f t="shared" ca="1" si="80"/>
        <v>1</v>
      </c>
      <c r="U301" s="22" t="e">
        <f t="shared" ca="1" si="76"/>
        <v>#N/A</v>
      </c>
      <c r="V301">
        <f t="shared" ca="1" si="77"/>
        <v>0</v>
      </c>
    </row>
    <row r="302" spans="2:22">
      <c r="B302">
        <f t="shared" si="81"/>
        <v>292</v>
      </c>
      <c r="C302" s="22" t="e">
        <f ca="1"/>
        <v>#N/A</v>
      </c>
      <c r="D302" s="17" t="e">
        <f ca="1"/>
        <v>#N/A</v>
      </c>
      <c r="E302" s="17" t="e">
        <f ca="1"/>
        <v>#N/A</v>
      </c>
      <c r="F302" s="23" t="e">
        <f ca="1"/>
        <v>#N/A</v>
      </c>
      <c r="G302" s="23">
        <f t="shared" ca="1" si="82"/>
        <v>0</v>
      </c>
      <c r="H302" t="b">
        <f t="shared" ca="1" si="78"/>
        <v>1</v>
      </c>
      <c r="I302" s="22" t="e">
        <f t="shared" ca="1" si="73"/>
        <v>#N/A</v>
      </c>
      <c r="J302">
        <f t="shared" ca="1" si="74"/>
        <v>0</v>
      </c>
      <c r="K302" t="e">
        <f t="shared" ca="1" si="79"/>
        <v>#N/A</v>
      </c>
      <c r="O302" s="22" t="e">
        <f t="shared" ca="1" si="75"/>
        <v>#N/A</v>
      </c>
      <c r="P302" s="17" t="e">
        <f ca="1"/>
        <v>#N/A</v>
      </c>
      <c r="Q302" s="17" t="e">
        <f ca="1"/>
        <v>#N/A</v>
      </c>
      <c r="R302" s="23" t="e">
        <f ca="1"/>
        <v>#N/A</v>
      </c>
      <c r="S302" s="23">
        <f t="shared" ca="1" si="83"/>
        <v>0</v>
      </c>
      <c r="T302" t="b">
        <f t="shared" ca="1" si="80"/>
        <v>1</v>
      </c>
      <c r="U302" s="22" t="e">
        <f t="shared" ca="1" si="76"/>
        <v>#N/A</v>
      </c>
      <c r="V302">
        <f t="shared" ca="1" si="77"/>
        <v>0</v>
      </c>
    </row>
    <row r="303" spans="2:22">
      <c r="B303">
        <f t="shared" si="81"/>
        <v>293</v>
      </c>
      <c r="C303" s="22" t="e">
        <f ca="1"/>
        <v>#N/A</v>
      </c>
      <c r="D303" s="17" t="e">
        <f ca="1"/>
        <v>#N/A</v>
      </c>
      <c r="E303" s="17" t="e">
        <f ca="1"/>
        <v>#N/A</v>
      </c>
      <c r="F303" s="23" t="e">
        <f ca="1"/>
        <v>#N/A</v>
      </c>
      <c r="G303" s="23">
        <f t="shared" ca="1" si="82"/>
        <v>0</v>
      </c>
      <c r="H303" t="b">
        <f t="shared" ca="1" si="78"/>
        <v>1</v>
      </c>
      <c r="I303" s="22" t="e">
        <f t="shared" ca="1" si="73"/>
        <v>#N/A</v>
      </c>
      <c r="J303">
        <f t="shared" ca="1" si="74"/>
        <v>0</v>
      </c>
      <c r="K303" t="e">
        <f t="shared" ca="1" si="79"/>
        <v>#N/A</v>
      </c>
      <c r="O303" s="22" t="e">
        <f t="shared" ca="1" si="75"/>
        <v>#N/A</v>
      </c>
      <c r="P303" s="17" t="e">
        <f ca="1"/>
        <v>#N/A</v>
      </c>
      <c r="Q303" s="17" t="e">
        <f ca="1"/>
        <v>#N/A</v>
      </c>
      <c r="R303" s="23" t="e">
        <f ca="1"/>
        <v>#N/A</v>
      </c>
      <c r="S303" s="23">
        <f t="shared" ca="1" si="83"/>
        <v>0</v>
      </c>
      <c r="T303" t="b">
        <f t="shared" ca="1" si="80"/>
        <v>1</v>
      </c>
      <c r="U303" s="22" t="e">
        <f t="shared" ca="1" si="76"/>
        <v>#N/A</v>
      </c>
      <c r="V303">
        <f t="shared" ca="1" si="77"/>
        <v>0</v>
      </c>
    </row>
    <row r="304" spans="2:22">
      <c r="B304">
        <f t="shared" si="81"/>
        <v>294</v>
      </c>
      <c r="C304" s="22" t="e">
        <f ca="1"/>
        <v>#N/A</v>
      </c>
      <c r="D304" s="17" t="e">
        <f ca="1"/>
        <v>#N/A</v>
      </c>
      <c r="E304" s="17" t="e">
        <f ca="1"/>
        <v>#N/A</v>
      </c>
      <c r="F304" s="23" t="e">
        <f ca="1"/>
        <v>#N/A</v>
      </c>
      <c r="G304" s="23">
        <f t="shared" ca="1" si="82"/>
        <v>0</v>
      </c>
      <c r="H304" t="b">
        <f t="shared" ca="1" si="78"/>
        <v>1</v>
      </c>
      <c r="I304" s="22" t="e">
        <f t="shared" ca="1" si="73"/>
        <v>#N/A</v>
      </c>
      <c r="J304">
        <f t="shared" ca="1" si="74"/>
        <v>0</v>
      </c>
      <c r="K304" t="e">
        <f t="shared" ca="1" si="79"/>
        <v>#N/A</v>
      </c>
      <c r="O304" s="22" t="e">
        <f t="shared" ca="1" si="75"/>
        <v>#N/A</v>
      </c>
      <c r="P304" s="17" t="e">
        <f ca="1"/>
        <v>#N/A</v>
      </c>
      <c r="Q304" s="17" t="e">
        <f ca="1"/>
        <v>#N/A</v>
      </c>
      <c r="R304" s="23" t="e">
        <f ca="1"/>
        <v>#N/A</v>
      </c>
      <c r="S304" s="23">
        <f t="shared" ca="1" si="83"/>
        <v>0</v>
      </c>
      <c r="T304" t="b">
        <f t="shared" ca="1" si="80"/>
        <v>1</v>
      </c>
      <c r="U304" s="22" t="e">
        <f t="shared" ca="1" si="76"/>
        <v>#N/A</v>
      </c>
      <c r="V304">
        <f t="shared" ca="1" si="77"/>
        <v>0</v>
      </c>
    </row>
    <row r="305" spans="2:22">
      <c r="B305">
        <f t="shared" si="81"/>
        <v>295</v>
      </c>
      <c r="C305" s="22" t="e">
        <f ca="1"/>
        <v>#N/A</v>
      </c>
      <c r="D305" s="17" t="e">
        <f ca="1"/>
        <v>#N/A</v>
      </c>
      <c r="E305" s="17" t="e">
        <f ca="1"/>
        <v>#N/A</v>
      </c>
      <c r="F305" s="23" t="e">
        <f ca="1"/>
        <v>#N/A</v>
      </c>
      <c r="G305" s="23">
        <f t="shared" ca="1" si="82"/>
        <v>0</v>
      </c>
      <c r="H305" t="b">
        <f t="shared" ca="1" si="78"/>
        <v>1</v>
      </c>
      <c r="I305" s="22" t="e">
        <f t="shared" ca="1" si="73"/>
        <v>#N/A</v>
      </c>
      <c r="J305">
        <f t="shared" ca="1" si="74"/>
        <v>0</v>
      </c>
      <c r="K305" t="e">
        <f t="shared" ca="1" si="79"/>
        <v>#N/A</v>
      </c>
      <c r="O305" s="22" t="e">
        <f t="shared" ca="1" si="75"/>
        <v>#N/A</v>
      </c>
      <c r="P305" s="17" t="e">
        <f ca="1"/>
        <v>#N/A</v>
      </c>
      <c r="Q305" s="17" t="e">
        <f ca="1"/>
        <v>#N/A</v>
      </c>
      <c r="R305" s="23" t="e">
        <f ca="1"/>
        <v>#N/A</v>
      </c>
      <c r="S305" s="23">
        <f t="shared" ca="1" si="83"/>
        <v>0</v>
      </c>
      <c r="T305" t="b">
        <f t="shared" ca="1" si="80"/>
        <v>1</v>
      </c>
      <c r="U305" s="22" t="e">
        <f t="shared" ca="1" si="76"/>
        <v>#N/A</v>
      </c>
      <c r="V305">
        <f t="shared" ca="1" si="77"/>
        <v>0</v>
      </c>
    </row>
    <row r="306" spans="2:22">
      <c r="B306">
        <f t="shared" si="81"/>
        <v>296</v>
      </c>
      <c r="C306" s="22" t="e">
        <f ca="1"/>
        <v>#N/A</v>
      </c>
      <c r="D306" s="17" t="e">
        <f ca="1"/>
        <v>#N/A</v>
      </c>
      <c r="E306" s="17" t="e">
        <f ca="1"/>
        <v>#N/A</v>
      </c>
      <c r="F306" s="23" t="e">
        <f ca="1"/>
        <v>#N/A</v>
      </c>
      <c r="G306" s="23">
        <f t="shared" ca="1" si="82"/>
        <v>0</v>
      </c>
      <c r="H306" t="b">
        <f t="shared" ca="1" si="78"/>
        <v>1</v>
      </c>
      <c r="I306" s="22" t="e">
        <f t="shared" ca="1" si="73"/>
        <v>#N/A</v>
      </c>
      <c r="J306">
        <f t="shared" ca="1" si="74"/>
        <v>0</v>
      </c>
      <c r="K306" t="e">
        <f t="shared" ca="1" si="79"/>
        <v>#N/A</v>
      </c>
      <c r="O306" s="22" t="e">
        <f t="shared" ca="1" si="75"/>
        <v>#N/A</v>
      </c>
      <c r="P306" s="17" t="e">
        <f ca="1"/>
        <v>#N/A</v>
      </c>
      <c r="Q306" s="17" t="e">
        <f ca="1"/>
        <v>#N/A</v>
      </c>
      <c r="R306" s="23" t="e">
        <f ca="1"/>
        <v>#N/A</v>
      </c>
      <c r="S306" s="23">
        <f t="shared" ca="1" si="83"/>
        <v>0</v>
      </c>
      <c r="T306" t="b">
        <f t="shared" ca="1" si="80"/>
        <v>1</v>
      </c>
      <c r="U306" s="22" t="e">
        <f t="shared" ca="1" si="76"/>
        <v>#N/A</v>
      </c>
      <c r="V306">
        <f t="shared" ca="1" si="77"/>
        <v>0</v>
      </c>
    </row>
    <row r="307" spans="2:22">
      <c r="B307">
        <f t="shared" si="81"/>
        <v>297</v>
      </c>
      <c r="C307" s="22" t="e">
        <f ca="1"/>
        <v>#N/A</v>
      </c>
      <c r="D307" s="17" t="e">
        <f ca="1"/>
        <v>#N/A</v>
      </c>
      <c r="E307" s="17" t="e">
        <f ca="1"/>
        <v>#N/A</v>
      </c>
      <c r="F307" s="23" t="e">
        <f ca="1"/>
        <v>#N/A</v>
      </c>
      <c r="G307" s="23">
        <f t="shared" ca="1" si="82"/>
        <v>0</v>
      </c>
      <c r="H307" t="b">
        <f t="shared" ca="1" si="78"/>
        <v>1</v>
      </c>
      <c r="I307" s="22" t="e">
        <f t="shared" ca="1" si="73"/>
        <v>#N/A</v>
      </c>
      <c r="J307">
        <f t="shared" ca="1" si="74"/>
        <v>0</v>
      </c>
      <c r="K307" t="e">
        <f t="shared" ca="1" si="79"/>
        <v>#N/A</v>
      </c>
      <c r="O307" s="22" t="e">
        <f t="shared" ca="1" si="75"/>
        <v>#N/A</v>
      </c>
      <c r="P307" s="17" t="e">
        <f ca="1"/>
        <v>#N/A</v>
      </c>
      <c r="Q307" s="17" t="e">
        <f ca="1"/>
        <v>#N/A</v>
      </c>
      <c r="R307" s="23" t="e">
        <f ca="1"/>
        <v>#N/A</v>
      </c>
      <c r="S307" s="23">
        <f t="shared" ca="1" si="83"/>
        <v>0</v>
      </c>
      <c r="T307" t="b">
        <f t="shared" ca="1" si="80"/>
        <v>1</v>
      </c>
      <c r="U307" s="22" t="e">
        <f t="shared" ca="1" si="76"/>
        <v>#N/A</v>
      </c>
      <c r="V307">
        <f t="shared" ca="1" si="77"/>
        <v>0</v>
      </c>
    </row>
    <row r="308" spans="2:22">
      <c r="B308">
        <f t="shared" si="81"/>
        <v>298</v>
      </c>
      <c r="C308" s="22" t="e">
        <f ca="1"/>
        <v>#N/A</v>
      </c>
      <c r="D308" s="17" t="e">
        <f ca="1"/>
        <v>#N/A</v>
      </c>
      <c r="E308" s="17" t="e">
        <f ca="1"/>
        <v>#N/A</v>
      </c>
      <c r="F308" s="23" t="e">
        <f ca="1"/>
        <v>#N/A</v>
      </c>
      <c r="G308" s="23">
        <f t="shared" ca="1" si="82"/>
        <v>0</v>
      </c>
      <c r="H308" t="b">
        <f t="shared" ca="1" si="78"/>
        <v>1</v>
      </c>
      <c r="I308" s="22" t="e">
        <f t="shared" ca="1" si="73"/>
        <v>#N/A</v>
      </c>
      <c r="J308">
        <f t="shared" ca="1" si="74"/>
        <v>0</v>
      </c>
      <c r="K308" t="e">
        <f t="shared" ca="1" si="79"/>
        <v>#N/A</v>
      </c>
      <c r="O308" s="22" t="e">
        <f t="shared" ca="1" si="75"/>
        <v>#N/A</v>
      </c>
      <c r="P308" s="17" t="e">
        <f ca="1"/>
        <v>#N/A</v>
      </c>
      <c r="Q308" s="17" t="e">
        <f ca="1"/>
        <v>#N/A</v>
      </c>
      <c r="R308" s="23" t="e">
        <f ca="1"/>
        <v>#N/A</v>
      </c>
      <c r="S308" s="23">
        <f t="shared" ca="1" si="83"/>
        <v>0</v>
      </c>
      <c r="T308" t="b">
        <f t="shared" ca="1" si="80"/>
        <v>1</v>
      </c>
      <c r="U308" s="22" t="e">
        <f t="shared" ca="1" si="76"/>
        <v>#N/A</v>
      </c>
      <c r="V308">
        <f t="shared" ca="1" si="77"/>
        <v>0</v>
      </c>
    </row>
    <row r="309" spans="2:22">
      <c r="B309">
        <f t="shared" si="81"/>
        <v>299</v>
      </c>
      <c r="C309" s="22" t="e">
        <f ca="1"/>
        <v>#N/A</v>
      </c>
      <c r="D309" s="17" t="e">
        <f ca="1"/>
        <v>#N/A</v>
      </c>
      <c r="E309" s="17" t="e">
        <f ca="1"/>
        <v>#N/A</v>
      </c>
      <c r="F309" s="23" t="e">
        <f ca="1"/>
        <v>#N/A</v>
      </c>
      <c r="G309" s="23">
        <f t="shared" ca="1" si="82"/>
        <v>0</v>
      </c>
      <c r="H309" t="b">
        <f t="shared" ca="1" si="78"/>
        <v>1</v>
      </c>
      <c r="I309" s="22" t="e">
        <f t="shared" ca="1" si="73"/>
        <v>#N/A</v>
      </c>
      <c r="J309">
        <f t="shared" ca="1" si="74"/>
        <v>0</v>
      </c>
      <c r="K309" t="e">
        <f t="shared" ca="1" si="79"/>
        <v>#N/A</v>
      </c>
      <c r="O309" s="22" t="e">
        <f t="shared" ca="1" si="75"/>
        <v>#N/A</v>
      </c>
      <c r="P309" s="17" t="e">
        <f ca="1"/>
        <v>#N/A</v>
      </c>
      <c r="Q309" s="17" t="e">
        <f ca="1"/>
        <v>#N/A</v>
      </c>
      <c r="R309" s="23" t="e">
        <f ca="1"/>
        <v>#N/A</v>
      </c>
      <c r="S309" s="23">
        <f t="shared" ca="1" si="83"/>
        <v>0</v>
      </c>
      <c r="T309" t="b">
        <f t="shared" ca="1" si="80"/>
        <v>1</v>
      </c>
      <c r="U309" s="22" t="e">
        <f t="shared" ca="1" si="76"/>
        <v>#N/A</v>
      </c>
      <c r="V309">
        <f t="shared" ca="1" si="77"/>
        <v>0</v>
      </c>
    </row>
    <row r="310" spans="2:22">
      <c r="B310">
        <f t="shared" si="81"/>
        <v>300</v>
      </c>
      <c r="C310" s="22" t="e">
        <f ca="1"/>
        <v>#N/A</v>
      </c>
      <c r="D310" s="17" t="e">
        <f ca="1"/>
        <v>#N/A</v>
      </c>
      <c r="E310" s="17" t="e">
        <f ca="1"/>
        <v>#N/A</v>
      </c>
      <c r="F310" s="23" t="e">
        <f ca="1"/>
        <v>#N/A</v>
      </c>
      <c r="G310" s="23">
        <f t="shared" ca="1" si="82"/>
        <v>0</v>
      </c>
      <c r="H310" t="b">
        <f t="shared" ca="1" si="78"/>
        <v>1</v>
      </c>
      <c r="I310" s="22" t="e">
        <f t="shared" ca="1" si="73"/>
        <v>#N/A</v>
      </c>
      <c r="J310">
        <f t="shared" ca="1" si="74"/>
        <v>0</v>
      </c>
      <c r="K310" t="e">
        <f t="shared" ca="1" si="79"/>
        <v>#N/A</v>
      </c>
      <c r="O310" s="22" t="e">
        <f t="shared" ca="1" si="75"/>
        <v>#N/A</v>
      </c>
      <c r="P310" s="17" t="e">
        <f ca="1"/>
        <v>#N/A</v>
      </c>
      <c r="Q310" s="17" t="e">
        <f ca="1"/>
        <v>#N/A</v>
      </c>
      <c r="R310" s="23" t="e">
        <f ca="1"/>
        <v>#N/A</v>
      </c>
      <c r="S310" s="23">
        <f t="shared" ca="1" si="83"/>
        <v>0</v>
      </c>
      <c r="T310" t="b">
        <f t="shared" ca="1" si="80"/>
        <v>1</v>
      </c>
      <c r="U310" s="22" t="e">
        <f t="shared" ca="1" si="76"/>
        <v>#N/A</v>
      </c>
      <c r="V310">
        <f t="shared" ca="1" si="77"/>
        <v>0</v>
      </c>
    </row>
    <row r="311" spans="2:22">
      <c r="B311">
        <f t="shared" si="81"/>
        <v>301</v>
      </c>
      <c r="C311" s="22" t="e">
        <f ca="1"/>
        <v>#N/A</v>
      </c>
      <c r="D311" s="17" t="e">
        <f ca="1"/>
        <v>#N/A</v>
      </c>
      <c r="E311" s="17" t="e">
        <f ca="1"/>
        <v>#N/A</v>
      </c>
      <c r="F311" s="23" t="e">
        <f ca="1"/>
        <v>#N/A</v>
      </c>
      <c r="G311" s="23">
        <f t="shared" ca="1" si="82"/>
        <v>0</v>
      </c>
      <c r="H311" t="b">
        <f t="shared" ca="1" si="78"/>
        <v>1</v>
      </c>
      <c r="I311" s="22" t="e">
        <f t="shared" ca="1" si="73"/>
        <v>#N/A</v>
      </c>
      <c r="J311">
        <f t="shared" ca="1" si="74"/>
        <v>0</v>
      </c>
      <c r="K311" t="e">
        <f t="shared" ca="1" si="79"/>
        <v>#N/A</v>
      </c>
      <c r="O311" s="22" t="e">
        <f t="shared" ca="1" si="75"/>
        <v>#N/A</v>
      </c>
      <c r="P311" s="17" t="e">
        <f ca="1"/>
        <v>#N/A</v>
      </c>
      <c r="Q311" s="17" t="e">
        <f ca="1"/>
        <v>#N/A</v>
      </c>
      <c r="R311" s="23" t="e">
        <f ca="1"/>
        <v>#N/A</v>
      </c>
      <c r="S311" s="23">
        <f t="shared" ca="1" si="83"/>
        <v>0</v>
      </c>
      <c r="T311" t="b">
        <f t="shared" ca="1" si="80"/>
        <v>1</v>
      </c>
      <c r="U311" s="22" t="e">
        <f t="shared" ca="1" si="76"/>
        <v>#N/A</v>
      </c>
      <c r="V311">
        <f t="shared" ca="1" si="77"/>
        <v>0</v>
      </c>
    </row>
    <row r="312" spans="2:22">
      <c r="B312">
        <f t="shared" si="81"/>
        <v>302</v>
      </c>
      <c r="C312" s="22" t="e">
        <f ca="1"/>
        <v>#N/A</v>
      </c>
      <c r="D312" s="17" t="e">
        <f ca="1"/>
        <v>#N/A</v>
      </c>
      <c r="E312" s="17" t="e">
        <f ca="1"/>
        <v>#N/A</v>
      </c>
      <c r="F312" s="23" t="e">
        <f ca="1"/>
        <v>#N/A</v>
      </c>
      <c r="G312" s="23">
        <f t="shared" ca="1" si="82"/>
        <v>0</v>
      </c>
      <c r="H312" t="b">
        <f t="shared" ca="1" si="78"/>
        <v>1</v>
      </c>
      <c r="I312" s="22" t="e">
        <f t="shared" ca="1" si="73"/>
        <v>#N/A</v>
      </c>
      <c r="J312">
        <f t="shared" ca="1" si="74"/>
        <v>0</v>
      </c>
      <c r="K312" t="e">
        <f t="shared" ca="1" si="79"/>
        <v>#N/A</v>
      </c>
      <c r="O312" s="22" t="e">
        <f t="shared" ca="1" si="75"/>
        <v>#N/A</v>
      </c>
      <c r="P312" s="17" t="e">
        <f ca="1"/>
        <v>#N/A</v>
      </c>
      <c r="Q312" s="17" t="e">
        <f ca="1"/>
        <v>#N/A</v>
      </c>
      <c r="R312" s="23" t="e">
        <f ca="1"/>
        <v>#N/A</v>
      </c>
      <c r="S312" s="23">
        <f t="shared" ca="1" si="83"/>
        <v>0</v>
      </c>
      <c r="T312" t="b">
        <f t="shared" ca="1" si="80"/>
        <v>1</v>
      </c>
      <c r="U312" s="22" t="e">
        <f t="shared" ca="1" si="76"/>
        <v>#N/A</v>
      </c>
      <c r="V312">
        <f t="shared" ca="1" si="77"/>
        <v>0</v>
      </c>
    </row>
    <row r="313" spans="2:22">
      <c r="B313">
        <f t="shared" si="81"/>
        <v>303</v>
      </c>
      <c r="C313" s="22" t="e">
        <f ca="1"/>
        <v>#N/A</v>
      </c>
      <c r="D313" s="17" t="e">
        <f ca="1"/>
        <v>#N/A</v>
      </c>
      <c r="E313" s="17" t="e">
        <f ca="1"/>
        <v>#N/A</v>
      </c>
      <c r="F313" s="23" t="e">
        <f ca="1"/>
        <v>#N/A</v>
      </c>
      <c r="G313" s="23">
        <f t="shared" ca="1" si="82"/>
        <v>0</v>
      </c>
      <c r="H313" t="b">
        <f t="shared" ca="1" si="78"/>
        <v>1</v>
      </c>
      <c r="I313" s="22" t="e">
        <f t="shared" ca="1" si="73"/>
        <v>#N/A</v>
      </c>
      <c r="J313">
        <f t="shared" ca="1" si="74"/>
        <v>0</v>
      </c>
      <c r="K313" t="e">
        <f t="shared" ca="1" si="79"/>
        <v>#N/A</v>
      </c>
      <c r="O313" s="22" t="e">
        <f t="shared" ca="1" si="75"/>
        <v>#N/A</v>
      </c>
      <c r="P313" s="17" t="e">
        <f ca="1"/>
        <v>#N/A</v>
      </c>
      <c r="Q313" s="17" t="e">
        <f ca="1"/>
        <v>#N/A</v>
      </c>
      <c r="R313" s="23" t="e">
        <f ca="1"/>
        <v>#N/A</v>
      </c>
      <c r="S313" s="23">
        <f t="shared" ca="1" si="83"/>
        <v>0</v>
      </c>
      <c r="T313" t="b">
        <f t="shared" ca="1" si="80"/>
        <v>1</v>
      </c>
      <c r="U313" s="22" t="e">
        <f t="shared" ca="1" si="76"/>
        <v>#N/A</v>
      </c>
      <c r="V313">
        <f t="shared" ca="1" si="77"/>
        <v>0</v>
      </c>
    </row>
    <row r="314" spans="2:22">
      <c r="B314">
        <f t="shared" si="81"/>
        <v>304</v>
      </c>
      <c r="C314" s="22" t="e">
        <f ca="1"/>
        <v>#N/A</v>
      </c>
      <c r="D314" s="17" t="e">
        <f ca="1"/>
        <v>#N/A</v>
      </c>
      <c r="E314" s="17" t="e">
        <f ca="1"/>
        <v>#N/A</v>
      </c>
      <c r="F314" s="23" t="e">
        <f ca="1"/>
        <v>#N/A</v>
      </c>
      <c r="G314" s="23">
        <f t="shared" ca="1" si="82"/>
        <v>0</v>
      </c>
      <c r="H314" t="b">
        <f t="shared" ca="1" si="78"/>
        <v>1</v>
      </c>
      <c r="I314" s="22" t="e">
        <f t="shared" ca="1" si="73"/>
        <v>#N/A</v>
      </c>
      <c r="J314">
        <f t="shared" ca="1" si="74"/>
        <v>0</v>
      </c>
      <c r="K314" t="e">
        <f t="shared" ca="1" si="79"/>
        <v>#N/A</v>
      </c>
      <c r="O314" s="22" t="e">
        <f t="shared" ca="1" si="75"/>
        <v>#N/A</v>
      </c>
      <c r="P314" s="17" t="e">
        <f ca="1"/>
        <v>#N/A</v>
      </c>
      <c r="Q314" s="17" t="e">
        <f ca="1"/>
        <v>#N/A</v>
      </c>
      <c r="R314" s="23" t="e">
        <f ca="1"/>
        <v>#N/A</v>
      </c>
      <c r="S314" s="23">
        <f t="shared" ca="1" si="83"/>
        <v>0</v>
      </c>
      <c r="T314" t="b">
        <f t="shared" ca="1" si="80"/>
        <v>1</v>
      </c>
      <c r="U314" s="22" t="e">
        <f t="shared" ca="1" si="76"/>
        <v>#N/A</v>
      </c>
      <c r="V314">
        <f t="shared" ca="1" si="77"/>
        <v>0</v>
      </c>
    </row>
    <row r="315" spans="2:22">
      <c r="B315">
        <f t="shared" si="81"/>
        <v>305</v>
      </c>
      <c r="C315" s="22" t="e">
        <f ca="1"/>
        <v>#N/A</v>
      </c>
      <c r="D315" s="17" t="e">
        <f ca="1"/>
        <v>#N/A</v>
      </c>
      <c r="E315" s="17" t="e">
        <f ca="1"/>
        <v>#N/A</v>
      </c>
      <c r="F315" s="23" t="e">
        <f ca="1"/>
        <v>#N/A</v>
      </c>
      <c r="G315" s="23">
        <f t="shared" ca="1" si="82"/>
        <v>0</v>
      </c>
      <c r="H315" t="b">
        <f t="shared" ca="1" si="78"/>
        <v>1</v>
      </c>
      <c r="I315" s="22" t="e">
        <f t="shared" ca="1" si="73"/>
        <v>#N/A</v>
      </c>
      <c r="J315">
        <f t="shared" ca="1" si="74"/>
        <v>0</v>
      </c>
      <c r="K315" t="e">
        <f t="shared" ca="1" si="79"/>
        <v>#N/A</v>
      </c>
      <c r="O315" s="22" t="e">
        <f t="shared" ca="1" si="75"/>
        <v>#N/A</v>
      </c>
      <c r="P315" s="17" t="e">
        <f ca="1"/>
        <v>#N/A</v>
      </c>
      <c r="Q315" s="17" t="e">
        <f ca="1"/>
        <v>#N/A</v>
      </c>
      <c r="R315" s="23" t="e">
        <f ca="1"/>
        <v>#N/A</v>
      </c>
      <c r="S315" s="23">
        <f t="shared" ca="1" si="83"/>
        <v>0</v>
      </c>
      <c r="T315" t="b">
        <f t="shared" ca="1" si="80"/>
        <v>1</v>
      </c>
      <c r="U315" s="22" t="e">
        <f t="shared" ca="1" si="76"/>
        <v>#N/A</v>
      </c>
      <c r="V315">
        <f t="shared" ca="1" si="77"/>
        <v>0</v>
      </c>
    </row>
    <row r="316" spans="2:22">
      <c r="B316">
        <f t="shared" si="81"/>
        <v>306</v>
      </c>
      <c r="C316" s="22" t="e">
        <f ca="1"/>
        <v>#N/A</v>
      </c>
      <c r="D316" s="17" t="e">
        <f ca="1"/>
        <v>#N/A</v>
      </c>
      <c r="E316" s="17" t="e">
        <f ca="1"/>
        <v>#N/A</v>
      </c>
      <c r="F316" s="23" t="e">
        <f ca="1"/>
        <v>#N/A</v>
      </c>
      <c r="G316" s="23">
        <f t="shared" ca="1" si="82"/>
        <v>0</v>
      </c>
      <c r="H316" t="b">
        <f t="shared" ca="1" si="78"/>
        <v>1</v>
      </c>
      <c r="I316" s="22" t="e">
        <f t="shared" ca="1" si="73"/>
        <v>#N/A</v>
      </c>
      <c r="J316">
        <f t="shared" ca="1" si="74"/>
        <v>0</v>
      </c>
      <c r="K316" t="e">
        <f t="shared" ca="1" si="79"/>
        <v>#N/A</v>
      </c>
      <c r="O316" s="22" t="e">
        <f t="shared" ca="1" si="75"/>
        <v>#N/A</v>
      </c>
      <c r="P316" s="17" t="e">
        <f ca="1"/>
        <v>#N/A</v>
      </c>
      <c r="Q316" s="17" t="e">
        <f ca="1"/>
        <v>#N/A</v>
      </c>
      <c r="R316" s="23" t="e">
        <f ca="1"/>
        <v>#N/A</v>
      </c>
      <c r="S316" s="23">
        <f t="shared" ca="1" si="83"/>
        <v>0</v>
      </c>
      <c r="T316" t="b">
        <f t="shared" ca="1" si="80"/>
        <v>1</v>
      </c>
      <c r="U316" s="22" t="e">
        <f t="shared" ca="1" si="76"/>
        <v>#N/A</v>
      </c>
      <c r="V316">
        <f t="shared" ca="1" si="77"/>
        <v>0</v>
      </c>
    </row>
    <row r="317" spans="2:22">
      <c r="B317">
        <f t="shared" si="81"/>
        <v>307</v>
      </c>
      <c r="C317" s="22" t="e">
        <f ca="1"/>
        <v>#N/A</v>
      </c>
      <c r="D317" s="17" t="e">
        <f ca="1"/>
        <v>#N/A</v>
      </c>
      <c r="E317" s="17" t="e">
        <f ca="1"/>
        <v>#N/A</v>
      </c>
      <c r="F317" s="23" t="e">
        <f ca="1"/>
        <v>#N/A</v>
      </c>
      <c r="G317" s="23">
        <f t="shared" ca="1" si="82"/>
        <v>0</v>
      </c>
      <c r="H317" t="b">
        <f t="shared" ca="1" si="78"/>
        <v>1</v>
      </c>
      <c r="I317" s="22" t="e">
        <f t="shared" ca="1" si="73"/>
        <v>#N/A</v>
      </c>
      <c r="J317">
        <f t="shared" ca="1" si="74"/>
        <v>0</v>
      </c>
      <c r="K317" t="e">
        <f t="shared" ca="1" si="79"/>
        <v>#N/A</v>
      </c>
      <c r="O317" s="22" t="e">
        <f t="shared" ca="1" si="75"/>
        <v>#N/A</v>
      </c>
      <c r="P317" s="17" t="e">
        <f ca="1"/>
        <v>#N/A</v>
      </c>
      <c r="Q317" s="17" t="e">
        <f ca="1"/>
        <v>#N/A</v>
      </c>
      <c r="R317" s="23" t="e">
        <f ca="1"/>
        <v>#N/A</v>
      </c>
      <c r="S317" s="23">
        <f t="shared" ca="1" si="83"/>
        <v>0</v>
      </c>
      <c r="T317" t="b">
        <f t="shared" ca="1" si="80"/>
        <v>1</v>
      </c>
      <c r="U317" s="22" t="e">
        <f t="shared" ca="1" si="76"/>
        <v>#N/A</v>
      </c>
      <c r="V317">
        <f t="shared" ca="1" si="77"/>
        <v>0</v>
      </c>
    </row>
    <row r="318" spans="2:22">
      <c r="B318">
        <f t="shared" si="81"/>
        <v>308</v>
      </c>
      <c r="C318" s="22" t="e">
        <f ca="1"/>
        <v>#N/A</v>
      </c>
      <c r="D318" s="17" t="e">
        <f ca="1"/>
        <v>#N/A</v>
      </c>
      <c r="E318" s="17" t="e">
        <f ca="1"/>
        <v>#N/A</v>
      </c>
      <c r="F318" s="23" t="e">
        <f ca="1"/>
        <v>#N/A</v>
      </c>
      <c r="G318" s="23">
        <f t="shared" ca="1" si="82"/>
        <v>0</v>
      </c>
      <c r="H318" t="b">
        <f t="shared" ca="1" si="78"/>
        <v>1</v>
      </c>
      <c r="I318" s="22" t="e">
        <f t="shared" ca="1" si="73"/>
        <v>#N/A</v>
      </c>
      <c r="J318">
        <f t="shared" ca="1" si="74"/>
        <v>0</v>
      </c>
      <c r="K318" t="e">
        <f t="shared" ca="1" si="79"/>
        <v>#N/A</v>
      </c>
      <c r="O318" s="22" t="e">
        <f t="shared" ca="1" si="75"/>
        <v>#N/A</v>
      </c>
      <c r="P318" s="17" t="e">
        <f ca="1"/>
        <v>#N/A</v>
      </c>
      <c r="Q318" s="17" t="e">
        <f ca="1"/>
        <v>#N/A</v>
      </c>
      <c r="R318" s="23" t="e">
        <f ca="1"/>
        <v>#N/A</v>
      </c>
      <c r="S318" s="23">
        <f t="shared" ca="1" si="83"/>
        <v>0</v>
      </c>
      <c r="T318" t="b">
        <f t="shared" ca="1" si="80"/>
        <v>1</v>
      </c>
      <c r="U318" s="22" t="e">
        <f t="shared" ca="1" si="76"/>
        <v>#N/A</v>
      </c>
      <c r="V318">
        <f t="shared" ca="1" si="77"/>
        <v>0</v>
      </c>
    </row>
    <row r="319" spans="2:22">
      <c r="B319">
        <f t="shared" si="81"/>
        <v>309</v>
      </c>
      <c r="C319" s="22" t="e">
        <f ca="1"/>
        <v>#N/A</v>
      </c>
      <c r="D319" s="17" t="e">
        <f ca="1"/>
        <v>#N/A</v>
      </c>
      <c r="E319" s="17" t="e">
        <f ca="1"/>
        <v>#N/A</v>
      </c>
      <c r="F319" s="23" t="e">
        <f ca="1"/>
        <v>#N/A</v>
      </c>
      <c r="G319" s="23">
        <f t="shared" ca="1" si="82"/>
        <v>0</v>
      </c>
      <c r="H319" t="b">
        <f t="shared" ca="1" si="78"/>
        <v>1</v>
      </c>
      <c r="I319" s="22" t="e">
        <f t="shared" ca="1" si="73"/>
        <v>#N/A</v>
      </c>
      <c r="J319">
        <f t="shared" ca="1" si="74"/>
        <v>0</v>
      </c>
      <c r="K319" t="e">
        <f t="shared" ca="1" si="79"/>
        <v>#N/A</v>
      </c>
      <c r="O319" s="22" t="e">
        <f t="shared" ca="1" si="75"/>
        <v>#N/A</v>
      </c>
      <c r="P319" s="17" t="e">
        <f ca="1"/>
        <v>#N/A</v>
      </c>
      <c r="Q319" s="17" t="e">
        <f ca="1"/>
        <v>#N/A</v>
      </c>
      <c r="R319" s="23" t="e">
        <f ca="1"/>
        <v>#N/A</v>
      </c>
      <c r="S319" s="23">
        <f t="shared" ca="1" si="83"/>
        <v>0</v>
      </c>
      <c r="T319" t="b">
        <f t="shared" ca="1" si="80"/>
        <v>1</v>
      </c>
      <c r="U319" s="22" t="e">
        <f t="shared" ca="1" si="76"/>
        <v>#N/A</v>
      </c>
      <c r="V319">
        <f t="shared" ca="1" si="77"/>
        <v>0</v>
      </c>
    </row>
    <row r="320" spans="2:22">
      <c r="B320">
        <f t="shared" si="81"/>
        <v>310</v>
      </c>
      <c r="C320" s="22" t="e">
        <f ca="1"/>
        <v>#N/A</v>
      </c>
      <c r="D320" s="17" t="e">
        <f ca="1"/>
        <v>#N/A</v>
      </c>
      <c r="E320" s="17" t="e">
        <f ca="1"/>
        <v>#N/A</v>
      </c>
      <c r="F320" s="23" t="e">
        <f ca="1"/>
        <v>#N/A</v>
      </c>
      <c r="G320" s="23">
        <f t="shared" ca="1" si="82"/>
        <v>0</v>
      </c>
      <c r="H320" t="b">
        <f t="shared" ca="1" si="78"/>
        <v>1</v>
      </c>
      <c r="I320" s="22" t="e">
        <f t="shared" ca="1" si="73"/>
        <v>#N/A</v>
      </c>
      <c r="J320">
        <f t="shared" ca="1" si="74"/>
        <v>0</v>
      </c>
      <c r="K320" t="e">
        <f t="shared" ca="1" si="79"/>
        <v>#N/A</v>
      </c>
      <c r="O320" s="22" t="e">
        <f t="shared" ca="1" si="75"/>
        <v>#N/A</v>
      </c>
      <c r="P320" s="17" t="e">
        <f ca="1"/>
        <v>#N/A</v>
      </c>
      <c r="Q320" s="17" t="e">
        <f ca="1"/>
        <v>#N/A</v>
      </c>
      <c r="R320" s="23" t="e">
        <f ca="1"/>
        <v>#N/A</v>
      </c>
      <c r="S320" s="23">
        <f t="shared" ca="1" si="83"/>
        <v>0</v>
      </c>
      <c r="T320" t="b">
        <f t="shared" ca="1" si="80"/>
        <v>1</v>
      </c>
      <c r="U320" s="22" t="e">
        <f t="shared" ca="1" si="76"/>
        <v>#N/A</v>
      </c>
      <c r="V320">
        <f t="shared" ca="1" si="77"/>
        <v>0</v>
      </c>
    </row>
    <row r="321" spans="2:22">
      <c r="B321">
        <f t="shared" si="81"/>
        <v>311</v>
      </c>
      <c r="C321" s="22" t="e">
        <f ca="1"/>
        <v>#N/A</v>
      </c>
      <c r="D321" s="17" t="e">
        <f ca="1"/>
        <v>#N/A</v>
      </c>
      <c r="E321" s="17" t="e">
        <f ca="1"/>
        <v>#N/A</v>
      </c>
      <c r="F321" s="23" t="e">
        <f ca="1"/>
        <v>#N/A</v>
      </c>
      <c r="G321" s="23">
        <f t="shared" ca="1" si="82"/>
        <v>0</v>
      </c>
      <c r="H321" t="b">
        <f t="shared" ca="1" si="78"/>
        <v>1</v>
      </c>
      <c r="I321" s="22" t="e">
        <f t="shared" ca="1" si="73"/>
        <v>#N/A</v>
      </c>
      <c r="J321">
        <f t="shared" ca="1" si="74"/>
        <v>0</v>
      </c>
      <c r="K321" t="e">
        <f t="shared" ca="1" si="79"/>
        <v>#N/A</v>
      </c>
      <c r="O321" s="22" t="e">
        <f t="shared" ca="1" si="75"/>
        <v>#N/A</v>
      </c>
      <c r="P321" s="17" t="e">
        <f ca="1"/>
        <v>#N/A</v>
      </c>
      <c r="Q321" s="17" t="e">
        <f ca="1"/>
        <v>#N/A</v>
      </c>
      <c r="R321" s="23" t="e">
        <f ca="1"/>
        <v>#N/A</v>
      </c>
      <c r="S321" s="23">
        <f t="shared" ca="1" si="83"/>
        <v>0</v>
      </c>
      <c r="T321" t="b">
        <f t="shared" ca="1" si="80"/>
        <v>1</v>
      </c>
      <c r="U321" s="22" t="e">
        <f t="shared" ca="1" si="76"/>
        <v>#N/A</v>
      </c>
      <c r="V321">
        <f t="shared" ca="1" si="77"/>
        <v>0</v>
      </c>
    </row>
    <row r="322" spans="2:22">
      <c r="B322">
        <f t="shared" si="81"/>
        <v>312</v>
      </c>
      <c r="C322" s="22" t="e">
        <f ca="1"/>
        <v>#N/A</v>
      </c>
      <c r="D322" s="17" t="e">
        <f ca="1"/>
        <v>#N/A</v>
      </c>
      <c r="E322" s="17" t="e">
        <f ca="1"/>
        <v>#N/A</v>
      </c>
      <c r="F322" s="23" t="e">
        <f ca="1"/>
        <v>#N/A</v>
      </c>
      <c r="G322" s="23">
        <f t="shared" ca="1" si="82"/>
        <v>0</v>
      </c>
      <c r="H322" t="b">
        <f t="shared" ca="1" si="78"/>
        <v>1</v>
      </c>
      <c r="I322" s="22" t="e">
        <f t="shared" ca="1" si="73"/>
        <v>#N/A</v>
      </c>
      <c r="J322">
        <f t="shared" ca="1" si="74"/>
        <v>0</v>
      </c>
      <c r="K322" t="e">
        <f t="shared" ca="1" si="79"/>
        <v>#N/A</v>
      </c>
      <c r="O322" s="22" t="e">
        <f t="shared" ca="1" si="75"/>
        <v>#N/A</v>
      </c>
      <c r="P322" s="17" t="e">
        <f ca="1"/>
        <v>#N/A</v>
      </c>
      <c r="Q322" s="17" t="e">
        <f ca="1"/>
        <v>#N/A</v>
      </c>
      <c r="R322" s="23" t="e">
        <f ca="1"/>
        <v>#N/A</v>
      </c>
      <c r="S322" s="23">
        <f t="shared" ca="1" si="83"/>
        <v>0</v>
      </c>
      <c r="T322" t="b">
        <f t="shared" ca="1" si="80"/>
        <v>1</v>
      </c>
      <c r="U322" s="22" t="e">
        <f t="shared" ca="1" si="76"/>
        <v>#N/A</v>
      </c>
      <c r="V322">
        <f t="shared" ca="1" si="77"/>
        <v>0</v>
      </c>
    </row>
    <row r="323" spans="2:22">
      <c r="B323">
        <f t="shared" si="81"/>
        <v>313</v>
      </c>
      <c r="C323" s="22" t="e">
        <f ca="1"/>
        <v>#N/A</v>
      </c>
      <c r="D323" s="17" t="e">
        <f ca="1"/>
        <v>#N/A</v>
      </c>
      <c r="E323" s="17" t="e">
        <f ca="1"/>
        <v>#N/A</v>
      </c>
      <c r="F323" s="23" t="e">
        <f ca="1"/>
        <v>#N/A</v>
      </c>
      <c r="G323" s="23">
        <f t="shared" ca="1" si="82"/>
        <v>0</v>
      </c>
      <c r="H323" t="b">
        <f t="shared" ca="1" si="78"/>
        <v>1</v>
      </c>
      <c r="I323" s="22" t="e">
        <f t="shared" ca="1" si="73"/>
        <v>#N/A</v>
      </c>
      <c r="J323">
        <f t="shared" ca="1" si="74"/>
        <v>0</v>
      </c>
      <c r="K323" t="e">
        <f t="shared" ca="1" si="79"/>
        <v>#N/A</v>
      </c>
      <c r="O323" s="22" t="e">
        <f t="shared" ca="1" si="75"/>
        <v>#N/A</v>
      </c>
      <c r="P323" s="17" t="e">
        <f ca="1"/>
        <v>#N/A</v>
      </c>
      <c r="Q323" s="17" t="e">
        <f ca="1"/>
        <v>#N/A</v>
      </c>
      <c r="R323" s="23" t="e">
        <f ca="1"/>
        <v>#N/A</v>
      </c>
      <c r="S323" s="23">
        <f t="shared" ca="1" si="83"/>
        <v>0</v>
      </c>
      <c r="T323" t="b">
        <f t="shared" ca="1" si="80"/>
        <v>1</v>
      </c>
      <c r="U323" s="22" t="e">
        <f t="shared" ca="1" si="76"/>
        <v>#N/A</v>
      </c>
      <c r="V323">
        <f t="shared" ca="1" si="77"/>
        <v>0</v>
      </c>
    </row>
    <row r="324" spans="2:22">
      <c r="B324">
        <f t="shared" si="81"/>
        <v>314</v>
      </c>
      <c r="C324" s="22" t="e">
        <f ca="1"/>
        <v>#N/A</v>
      </c>
      <c r="D324" s="17" t="e">
        <f ca="1"/>
        <v>#N/A</v>
      </c>
      <c r="E324" s="17" t="e">
        <f ca="1"/>
        <v>#N/A</v>
      </c>
      <c r="F324" s="23" t="e">
        <f ca="1"/>
        <v>#N/A</v>
      </c>
      <c r="G324" s="23">
        <f t="shared" ca="1" si="82"/>
        <v>0</v>
      </c>
      <c r="H324" t="b">
        <f t="shared" ca="1" si="78"/>
        <v>1</v>
      </c>
      <c r="I324" s="22" t="e">
        <f t="shared" ca="1" si="73"/>
        <v>#N/A</v>
      </c>
      <c r="J324">
        <f t="shared" ca="1" si="74"/>
        <v>0</v>
      </c>
      <c r="K324" t="e">
        <f t="shared" ca="1" si="79"/>
        <v>#N/A</v>
      </c>
      <c r="O324" s="22" t="e">
        <f t="shared" ca="1" si="75"/>
        <v>#N/A</v>
      </c>
      <c r="P324" s="17" t="e">
        <f ca="1"/>
        <v>#N/A</v>
      </c>
      <c r="Q324" s="17" t="e">
        <f ca="1"/>
        <v>#N/A</v>
      </c>
      <c r="R324" s="23" t="e">
        <f ca="1"/>
        <v>#N/A</v>
      </c>
      <c r="S324" s="23">
        <f t="shared" ca="1" si="83"/>
        <v>0</v>
      </c>
      <c r="T324" t="b">
        <f t="shared" ca="1" si="80"/>
        <v>1</v>
      </c>
      <c r="U324" s="22" t="e">
        <f t="shared" ca="1" si="76"/>
        <v>#N/A</v>
      </c>
      <c r="V324">
        <f t="shared" ca="1" si="77"/>
        <v>0</v>
      </c>
    </row>
    <row r="325" spans="2:22">
      <c r="B325">
        <f t="shared" si="81"/>
        <v>315</v>
      </c>
      <c r="C325" s="22" t="e">
        <f ca="1"/>
        <v>#N/A</v>
      </c>
      <c r="D325" s="17" t="e">
        <f ca="1"/>
        <v>#N/A</v>
      </c>
      <c r="E325" s="17" t="e">
        <f ca="1"/>
        <v>#N/A</v>
      </c>
      <c r="F325" s="23" t="e">
        <f ca="1"/>
        <v>#N/A</v>
      </c>
      <c r="G325" s="23">
        <f t="shared" ca="1" si="82"/>
        <v>0</v>
      </c>
      <c r="H325" t="b">
        <f t="shared" ca="1" si="78"/>
        <v>1</v>
      </c>
      <c r="I325" s="22" t="e">
        <f t="shared" ca="1" si="73"/>
        <v>#N/A</v>
      </c>
      <c r="J325">
        <f t="shared" ca="1" si="74"/>
        <v>0</v>
      </c>
      <c r="K325" t="e">
        <f t="shared" ca="1" si="79"/>
        <v>#N/A</v>
      </c>
      <c r="O325" s="22" t="e">
        <f t="shared" ca="1" si="75"/>
        <v>#N/A</v>
      </c>
      <c r="P325" s="17" t="e">
        <f ca="1"/>
        <v>#N/A</v>
      </c>
      <c r="Q325" s="17" t="e">
        <f ca="1"/>
        <v>#N/A</v>
      </c>
      <c r="R325" s="23" t="e">
        <f ca="1"/>
        <v>#N/A</v>
      </c>
      <c r="S325" s="23">
        <f t="shared" ca="1" si="83"/>
        <v>0</v>
      </c>
      <c r="T325" t="b">
        <f t="shared" ca="1" si="80"/>
        <v>1</v>
      </c>
      <c r="U325" s="22" t="e">
        <f t="shared" ca="1" si="76"/>
        <v>#N/A</v>
      </c>
      <c r="V325">
        <f t="shared" ca="1" si="77"/>
        <v>0</v>
      </c>
    </row>
    <row r="326" spans="2:22">
      <c r="B326">
        <f t="shared" si="81"/>
        <v>316</v>
      </c>
      <c r="C326" s="22" t="e">
        <f ca="1"/>
        <v>#N/A</v>
      </c>
      <c r="D326" s="17" t="e">
        <f ca="1"/>
        <v>#N/A</v>
      </c>
      <c r="E326" s="17" t="e">
        <f ca="1"/>
        <v>#N/A</v>
      </c>
      <c r="F326" s="23" t="e">
        <f ca="1"/>
        <v>#N/A</v>
      </c>
      <c r="G326" s="23">
        <f t="shared" ca="1" si="82"/>
        <v>0</v>
      </c>
      <c r="H326" t="b">
        <f t="shared" ca="1" si="78"/>
        <v>1</v>
      </c>
      <c r="I326" s="22" t="e">
        <f t="shared" ca="1" si="73"/>
        <v>#N/A</v>
      </c>
      <c r="J326">
        <f t="shared" ca="1" si="74"/>
        <v>0</v>
      </c>
      <c r="K326" t="e">
        <f t="shared" ca="1" si="79"/>
        <v>#N/A</v>
      </c>
      <c r="O326" s="22" t="e">
        <f t="shared" ca="1" si="75"/>
        <v>#N/A</v>
      </c>
      <c r="P326" s="17" t="e">
        <f ca="1"/>
        <v>#N/A</v>
      </c>
      <c r="Q326" s="17" t="e">
        <f ca="1"/>
        <v>#N/A</v>
      </c>
      <c r="R326" s="23" t="e">
        <f ca="1"/>
        <v>#N/A</v>
      </c>
      <c r="S326" s="23">
        <f t="shared" ca="1" si="83"/>
        <v>0</v>
      </c>
      <c r="T326" t="b">
        <f t="shared" ca="1" si="80"/>
        <v>1</v>
      </c>
      <c r="U326" s="22" t="e">
        <f t="shared" ca="1" si="76"/>
        <v>#N/A</v>
      </c>
      <c r="V326">
        <f t="shared" ca="1" si="77"/>
        <v>0</v>
      </c>
    </row>
    <row r="327" spans="2:22">
      <c r="B327">
        <f t="shared" si="81"/>
        <v>317</v>
      </c>
      <c r="C327" s="22" t="e">
        <f ca="1"/>
        <v>#N/A</v>
      </c>
      <c r="D327" s="17" t="e">
        <f ca="1"/>
        <v>#N/A</v>
      </c>
      <c r="E327" s="17" t="e">
        <f ca="1"/>
        <v>#N/A</v>
      </c>
      <c r="F327" s="23" t="e">
        <f ca="1"/>
        <v>#N/A</v>
      </c>
      <c r="G327" s="23">
        <f t="shared" ca="1" si="82"/>
        <v>0</v>
      </c>
      <c r="H327" t="b">
        <f t="shared" ca="1" si="78"/>
        <v>1</v>
      </c>
      <c r="I327" s="22" t="e">
        <f t="shared" ca="1" si="73"/>
        <v>#N/A</v>
      </c>
      <c r="J327">
        <f t="shared" ca="1" si="74"/>
        <v>0</v>
      </c>
      <c r="K327" t="e">
        <f t="shared" ca="1" si="79"/>
        <v>#N/A</v>
      </c>
      <c r="O327" s="22" t="e">
        <f t="shared" ca="1" si="75"/>
        <v>#N/A</v>
      </c>
      <c r="P327" s="17" t="e">
        <f ca="1"/>
        <v>#N/A</v>
      </c>
      <c r="Q327" s="17" t="e">
        <f ca="1"/>
        <v>#N/A</v>
      </c>
      <c r="R327" s="23" t="e">
        <f ca="1"/>
        <v>#N/A</v>
      </c>
      <c r="S327" s="23">
        <f t="shared" ca="1" si="83"/>
        <v>0</v>
      </c>
      <c r="T327" t="b">
        <f t="shared" ca="1" si="80"/>
        <v>1</v>
      </c>
      <c r="U327" s="22" t="e">
        <f t="shared" ca="1" si="76"/>
        <v>#N/A</v>
      </c>
      <c r="V327">
        <f t="shared" ca="1" si="77"/>
        <v>0</v>
      </c>
    </row>
    <row r="328" spans="2:22">
      <c r="B328">
        <f t="shared" si="81"/>
        <v>318</v>
      </c>
      <c r="C328" s="22" t="e">
        <f ca="1"/>
        <v>#N/A</v>
      </c>
      <c r="D328" s="17" t="e">
        <f ca="1"/>
        <v>#N/A</v>
      </c>
      <c r="E328" s="17" t="e">
        <f ca="1"/>
        <v>#N/A</v>
      </c>
      <c r="F328" s="23" t="e">
        <f ca="1"/>
        <v>#N/A</v>
      </c>
      <c r="G328" s="23">
        <f t="shared" ca="1" si="82"/>
        <v>0</v>
      </c>
      <c r="H328" t="b">
        <f t="shared" ca="1" si="78"/>
        <v>1</v>
      </c>
      <c r="I328" s="22" t="e">
        <f t="shared" ca="1" si="73"/>
        <v>#N/A</v>
      </c>
      <c r="J328">
        <f t="shared" ca="1" si="74"/>
        <v>0</v>
      </c>
      <c r="K328" t="e">
        <f t="shared" ca="1" si="79"/>
        <v>#N/A</v>
      </c>
      <c r="O328" s="22" t="e">
        <f t="shared" ca="1" si="75"/>
        <v>#N/A</v>
      </c>
      <c r="P328" s="17" t="e">
        <f ca="1"/>
        <v>#N/A</v>
      </c>
      <c r="Q328" s="17" t="e">
        <f ca="1"/>
        <v>#N/A</v>
      </c>
      <c r="R328" s="23" t="e">
        <f ca="1"/>
        <v>#N/A</v>
      </c>
      <c r="S328" s="23">
        <f t="shared" ca="1" si="83"/>
        <v>0</v>
      </c>
      <c r="T328" t="b">
        <f t="shared" ca="1" si="80"/>
        <v>1</v>
      </c>
      <c r="U328" s="22" t="e">
        <f t="shared" ca="1" si="76"/>
        <v>#N/A</v>
      </c>
      <c r="V328">
        <f t="shared" ca="1" si="77"/>
        <v>0</v>
      </c>
    </row>
    <row r="329" spans="2:22">
      <c r="B329">
        <f t="shared" si="81"/>
        <v>319</v>
      </c>
      <c r="C329" s="22" t="e">
        <f ca="1"/>
        <v>#N/A</v>
      </c>
      <c r="D329" s="17" t="e">
        <f ca="1"/>
        <v>#N/A</v>
      </c>
      <c r="E329" s="17" t="e">
        <f ca="1"/>
        <v>#N/A</v>
      </c>
      <c r="F329" s="23" t="e">
        <f ca="1"/>
        <v>#N/A</v>
      </c>
      <c r="G329" s="23">
        <f t="shared" ca="1" si="82"/>
        <v>0</v>
      </c>
      <c r="H329" t="b">
        <f t="shared" ca="1" si="78"/>
        <v>1</v>
      </c>
      <c r="I329" s="22" t="e">
        <f t="shared" ca="1" si="73"/>
        <v>#N/A</v>
      </c>
      <c r="J329">
        <f t="shared" ca="1" si="74"/>
        <v>0</v>
      </c>
      <c r="K329" t="e">
        <f t="shared" ca="1" si="79"/>
        <v>#N/A</v>
      </c>
      <c r="O329" s="22" t="e">
        <f t="shared" ca="1" si="75"/>
        <v>#N/A</v>
      </c>
      <c r="P329" s="17" t="e">
        <f ca="1"/>
        <v>#N/A</v>
      </c>
      <c r="Q329" s="17" t="e">
        <f ca="1"/>
        <v>#N/A</v>
      </c>
      <c r="R329" s="23" t="e">
        <f ca="1"/>
        <v>#N/A</v>
      </c>
      <c r="S329" s="23">
        <f t="shared" ca="1" si="83"/>
        <v>0</v>
      </c>
      <c r="T329" t="b">
        <f t="shared" ca="1" si="80"/>
        <v>1</v>
      </c>
      <c r="U329" s="22" t="e">
        <f t="shared" ca="1" si="76"/>
        <v>#N/A</v>
      </c>
      <c r="V329">
        <f t="shared" ca="1" si="77"/>
        <v>0</v>
      </c>
    </row>
    <row r="330" spans="2:22">
      <c r="B330">
        <f t="shared" si="81"/>
        <v>320</v>
      </c>
      <c r="C330" s="22" t="e">
        <f ca="1"/>
        <v>#N/A</v>
      </c>
      <c r="D330" s="17" t="e">
        <f ca="1"/>
        <v>#N/A</v>
      </c>
      <c r="E330" s="17" t="e">
        <f ca="1"/>
        <v>#N/A</v>
      </c>
      <c r="F330" s="23" t="e">
        <f ca="1"/>
        <v>#N/A</v>
      </c>
      <c r="G330" s="23">
        <f t="shared" ca="1" si="82"/>
        <v>0</v>
      </c>
      <c r="H330" t="b">
        <f t="shared" ca="1" si="78"/>
        <v>1</v>
      </c>
      <c r="I330" s="22" t="e">
        <f t="shared" ca="1" si="73"/>
        <v>#N/A</v>
      </c>
      <c r="J330">
        <f t="shared" ca="1" si="74"/>
        <v>0</v>
      </c>
      <c r="K330" t="e">
        <f t="shared" ca="1" si="79"/>
        <v>#N/A</v>
      </c>
      <c r="O330" s="22" t="e">
        <f t="shared" ca="1" si="75"/>
        <v>#N/A</v>
      </c>
      <c r="P330" s="17" t="e">
        <f ca="1"/>
        <v>#N/A</v>
      </c>
      <c r="Q330" s="17" t="e">
        <f ca="1"/>
        <v>#N/A</v>
      </c>
      <c r="R330" s="23" t="e">
        <f ca="1"/>
        <v>#N/A</v>
      </c>
      <c r="S330" s="23">
        <f t="shared" ca="1" si="83"/>
        <v>0</v>
      </c>
      <c r="T330" t="b">
        <f t="shared" ca="1" si="80"/>
        <v>1</v>
      </c>
      <c r="U330" s="22" t="e">
        <f t="shared" ca="1" si="76"/>
        <v>#N/A</v>
      </c>
      <c r="V330">
        <f t="shared" ca="1" si="77"/>
        <v>0</v>
      </c>
    </row>
    <row r="331" spans="2:22">
      <c r="B331">
        <f t="shared" si="81"/>
        <v>321</v>
      </c>
      <c r="C331" s="22" t="e">
        <f ca="1"/>
        <v>#N/A</v>
      </c>
      <c r="D331" s="17" t="e">
        <f ca="1"/>
        <v>#N/A</v>
      </c>
      <c r="E331" s="17" t="e">
        <f ca="1"/>
        <v>#N/A</v>
      </c>
      <c r="F331" s="23" t="e">
        <f ca="1"/>
        <v>#N/A</v>
      </c>
      <c r="G331" s="23">
        <f t="shared" ca="1" si="82"/>
        <v>0</v>
      </c>
      <c r="H331" t="b">
        <f t="shared" ca="1" si="78"/>
        <v>1</v>
      </c>
      <c r="I331" s="22" t="e">
        <f t="shared" ref="I331:I394" ca="1" si="84">IF(H331,C331,NA)</f>
        <v>#N/A</v>
      </c>
      <c r="J331">
        <f t="shared" ref="J331:J394" ca="1" si="85">IF(H331,G331,NA)</f>
        <v>0</v>
      </c>
      <c r="K331" t="e">
        <f t="shared" ca="1" si="79"/>
        <v>#N/A</v>
      </c>
      <c r="O331" s="22" t="e">
        <f t="shared" ref="O331:O394" ca="1" si="86">C331</f>
        <v>#N/A</v>
      </c>
      <c r="P331" s="17" t="e">
        <f ca="1"/>
        <v>#N/A</v>
      </c>
      <c r="Q331" s="17" t="e">
        <f ca="1"/>
        <v>#N/A</v>
      </c>
      <c r="R331" s="23" t="e">
        <f ca="1"/>
        <v>#N/A</v>
      </c>
      <c r="S331" s="23">
        <f t="shared" ca="1" si="83"/>
        <v>0</v>
      </c>
      <c r="T331" t="b">
        <f t="shared" ca="1" si="80"/>
        <v>1</v>
      </c>
      <c r="U331" s="22" t="e">
        <f t="shared" ref="U331:U394" ca="1" si="87">IF(T331,O331,NA)</f>
        <v>#N/A</v>
      </c>
      <c r="V331">
        <f t="shared" ref="V331:V394" ca="1" si="88">IF(T331,S331,NA)</f>
        <v>0</v>
      </c>
    </row>
    <row r="332" spans="2:22">
      <c r="B332">
        <f t="shared" si="81"/>
        <v>322</v>
      </c>
      <c r="C332" s="22" t="e">
        <f ca="1"/>
        <v>#N/A</v>
      </c>
      <c r="D332" s="17" t="e">
        <f ca="1"/>
        <v>#N/A</v>
      </c>
      <c r="E332" s="17" t="e">
        <f ca="1"/>
        <v>#N/A</v>
      </c>
      <c r="F332" s="23" t="e">
        <f ca="1"/>
        <v>#N/A</v>
      </c>
      <c r="G332" s="23">
        <f t="shared" ca="1" si="82"/>
        <v>0</v>
      </c>
      <c r="H332" t="b">
        <f t="shared" ref="H332:H395" ca="1" si="89">ISNUMBER(G332)</f>
        <v>1</v>
      </c>
      <c r="I332" s="22" t="e">
        <f t="shared" ca="1" si="84"/>
        <v>#N/A</v>
      </c>
      <c r="J332">
        <f t="shared" ca="1" si="85"/>
        <v>0</v>
      </c>
      <c r="K332" t="e">
        <f t="shared" ref="K332:K395" ca="1" si="90">YEAR(C332)</f>
        <v>#N/A</v>
      </c>
      <c r="O332" s="22" t="e">
        <f t="shared" ca="1" si="86"/>
        <v>#N/A</v>
      </c>
      <c r="P332" s="17" t="e">
        <f ca="1"/>
        <v>#N/A</v>
      </c>
      <c r="Q332" s="17" t="e">
        <f ca="1"/>
        <v>#N/A</v>
      </c>
      <c r="R332" s="23" t="e">
        <f ca="1"/>
        <v>#N/A</v>
      </c>
      <c r="S332" s="23">
        <f t="shared" ca="1" si="83"/>
        <v>0</v>
      </c>
      <c r="T332" t="b">
        <f t="shared" ref="T332:T395" ca="1" si="91">ISNUMBER(S332)</f>
        <v>1</v>
      </c>
      <c r="U332" s="22" t="e">
        <f t="shared" ca="1" si="87"/>
        <v>#N/A</v>
      </c>
      <c r="V332">
        <f t="shared" ca="1" si="88"/>
        <v>0</v>
      </c>
    </row>
    <row r="333" spans="2:22">
      <c r="B333">
        <f t="shared" ref="B333:B396" si="92">B332+1</f>
        <v>323</v>
      </c>
      <c r="C333" s="22" t="e">
        <f ca="1"/>
        <v>#N/A</v>
      </c>
      <c r="D333" s="17" t="e">
        <f ca="1"/>
        <v>#N/A</v>
      </c>
      <c r="E333" s="17" t="e">
        <f ca="1"/>
        <v>#N/A</v>
      </c>
      <c r="F333" s="23" t="e">
        <f ca="1"/>
        <v>#N/A</v>
      </c>
      <c r="G333" s="23">
        <f t="shared" ca="1" si="82"/>
        <v>0</v>
      </c>
      <c r="H333" t="b">
        <f t="shared" ca="1" si="89"/>
        <v>1</v>
      </c>
      <c r="I333" s="22" t="e">
        <f t="shared" ca="1" si="84"/>
        <v>#N/A</v>
      </c>
      <c r="J333">
        <f t="shared" ca="1" si="85"/>
        <v>0</v>
      </c>
      <c r="K333" t="e">
        <f t="shared" ca="1" si="90"/>
        <v>#N/A</v>
      </c>
      <c r="O333" s="22" t="e">
        <f t="shared" ca="1" si="86"/>
        <v>#N/A</v>
      </c>
      <c r="P333" s="17" t="e">
        <f ca="1"/>
        <v>#N/A</v>
      </c>
      <c r="Q333" s="17" t="e">
        <f ca="1"/>
        <v>#N/A</v>
      </c>
      <c r="R333" s="23" t="e">
        <f ca="1"/>
        <v>#N/A</v>
      </c>
      <c r="S333" s="23">
        <f t="shared" ca="1" si="83"/>
        <v>0</v>
      </c>
      <c r="T333" t="b">
        <f t="shared" ca="1" si="91"/>
        <v>1</v>
      </c>
      <c r="U333" s="22" t="e">
        <f t="shared" ca="1" si="87"/>
        <v>#N/A</v>
      </c>
      <c r="V333">
        <f t="shared" ca="1" si="88"/>
        <v>0</v>
      </c>
    </row>
    <row r="334" spans="2:22">
      <c r="B334">
        <f t="shared" si="92"/>
        <v>324</v>
      </c>
      <c r="C334" s="22" t="e">
        <f ca="1"/>
        <v>#N/A</v>
      </c>
      <c r="D334" s="17" t="e">
        <f ca="1"/>
        <v>#N/A</v>
      </c>
      <c r="E334" s="17" t="e">
        <f ca="1"/>
        <v>#N/A</v>
      </c>
      <c r="F334" s="23" t="e">
        <f ca="1"/>
        <v>#N/A</v>
      </c>
      <c r="G334" s="23">
        <f t="shared" ca="1" si="82"/>
        <v>0</v>
      </c>
      <c r="H334" t="b">
        <f t="shared" ca="1" si="89"/>
        <v>1</v>
      </c>
      <c r="I334" s="22" t="e">
        <f t="shared" ca="1" si="84"/>
        <v>#N/A</v>
      </c>
      <c r="J334">
        <f t="shared" ca="1" si="85"/>
        <v>0</v>
      </c>
      <c r="K334" t="e">
        <f t="shared" ca="1" si="90"/>
        <v>#N/A</v>
      </c>
      <c r="O334" s="22" t="e">
        <f t="shared" ca="1" si="86"/>
        <v>#N/A</v>
      </c>
      <c r="P334" s="17" t="e">
        <f ca="1"/>
        <v>#N/A</v>
      </c>
      <c r="Q334" s="17" t="e">
        <f ca="1"/>
        <v>#N/A</v>
      </c>
      <c r="R334" s="23" t="e">
        <f ca="1"/>
        <v>#N/A</v>
      </c>
      <c r="S334" s="23">
        <f t="shared" ca="1" si="83"/>
        <v>0</v>
      </c>
      <c r="T334" t="b">
        <f t="shared" ca="1" si="91"/>
        <v>1</v>
      </c>
      <c r="U334" s="22" t="e">
        <f t="shared" ca="1" si="87"/>
        <v>#N/A</v>
      </c>
      <c r="V334">
        <f t="shared" ca="1" si="88"/>
        <v>0</v>
      </c>
    </row>
    <row r="335" spans="2:22">
      <c r="B335">
        <f t="shared" si="92"/>
        <v>325</v>
      </c>
      <c r="C335" s="22" t="e">
        <f ca="1"/>
        <v>#N/A</v>
      </c>
      <c r="D335" s="17" t="e">
        <f ca="1"/>
        <v>#N/A</v>
      </c>
      <c r="E335" s="17" t="e">
        <f ca="1"/>
        <v>#N/A</v>
      </c>
      <c r="F335" s="23" t="e">
        <f ca="1"/>
        <v>#N/A</v>
      </c>
      <c r="G335" s="23">
        <f t="shared" ca="1" si="82"/>
        <v>0</v>
      </c>
      <c r="H335" t="b">
        <f t="shared" ca="1" si="89"/>
        <v>1</v>
      </c>
      <c r="I335" s="22" t="e">
        <f t="shared" ca="1" si="84"/>
        <v>#N/A</v>
      </c>
      <c r="J335">
        <f t="shared" ca="1" si="85"/>
        <v>0</v>
      </c>
      <c r="K335" t="e">
        <f t="shared" ca="1" si="90"/>
        <v>#N/A</v>
      </c>
      <c r="O335" s="22" t="e">
        <f t="shared" ca="1" si="86"/>
        <v>#N/A</v>
      </c>
      <c r="P335" s="17" t="e">
        <f ca="1"/>
        <v>#N/A</v>
      </c>
      <c r="Q335" s="17" t="e">
        <f ca="1"/>
        <v>#N/A</v>
      </c>
      <c r="R335" s="23" t="e">
        <f ca="1"/>
        <v>#N/A</v>
      </c>
      <c r="S335" s="23">
        <f t="shared" ca="1" si="83"/>
        <v>0</v>
      </c>
      <c r="T335" t="b">
        <f t="shared" ca="1" si="91"/>
        <v>1</v>
      </c>
      <c r="U335" s="22" t="e">
        <f t="shared" ca="1" si="87"/>
        <v>#N/A</v>
      </c>
      <c r="V335">
        <f t="shared" ca="1" si="88"/>
        <v>0</v>
      </c>
    </row>
    <row r="336" spans="2:22">
      <c r="B336">
        <f t="shared" si="92"/>
        <v>326</v>
      </c>
      <c r="C336" s="22" t="e">
        <f ca="1"/>
        <v>#N/A</v>
      </c>
      <c r="D336" s="17" t="e">
        <f ca="1"/>
        <v>#N/A</v>
      </c>
      <c r="E336" s="17" t="e">
        <f ca="1"/>
        <v>#N/A</v>
      </c>
      <c r="F336" s="23" t="e">
        <f ca="1"/>
        <v>#N/A</v>
      </c>
      <c r="G336" s="23">
        <f t="shared" ca="1" si="82"/>
        <v>0</v>
      </c>
      <c r="H336" t="b">
        <f t="shared" ca="1" si="89"/>
        <v>1</v>
      </c>
      <c r="I336" s="22" t="e">
        <f t="shared" ca="1" si="84"/>
        <v>#N/A</v>
      </c>
      <c r="J336">
        <f t="shared" ca="1" si="85"/>
        <v>0</v>
      </c>
      <c r="K336" t="e">
        <f t="shared" ca="1" si="90"/>
        <v>#N/A</v>
      </c>
      <c r="O336" s="22" t="e">
        <f t="shared" ca="1" si="86"/>
        <v>#N/A</v>
      </c>
      <c r="P336" s="17" t="e">
        <f ca="1"/>
        <v>#N/A</v>
      </c>
      <c r="Q336" s="17" t="e">
        <f ca="1"/>
        <v>#N/A</v>
      </c>
      <c r="R336" s="23" t="e">
        <f ca="1"/>
        <v>#N/A</v>
      </c>
      <c r="S336" s="23">
        <f t="shared" ca="1" si="83"/>
        <v>0</v>
      </c>
      <c r="T336" t="b">
        <f t="shared" ca="1" si="91"/>
        <v>1</v>
      </c>
      <c r="U336" s="22" t="e">
        <f t="shared" ca="1" si="87"/>
        <v>#N/A</v>
      </c>
      <c r="V336">
        <f t="shared" ca="1" si="88"/>
        <v>0</v>
      </c>
    </row>
    <row r="337" spans="2:22">
      <c r="B337">
        <f t="shared" si="92"/>
        <v>327</v>
      </c>
      <c r="C337" s="22" t="e">
        <f ca="1"/>
        <v>#N/A</v>
      </c>
      <c r="D337" s="17" t="e">
        <f ca="1"/>
        <v>#N/A</v>
      </c>
      <c r="E337" s="17" t="e">
        <f ca="1"/>
        <v>#N/A</v>
      </c>
      <c r="F337" s="23" t="e">
        <f ca="1"/>
        <v>#N/A</v>
      </c>
      <c r="G337" s="23">
        <f t="shared" ca="1" si="82"/>
        <v>0</v>
      </c>
      <c r="H337" t="b">
        <f t="shared" ca="1" si="89"/>
        <v>1</v>
      </c>
      <c r="I337" s="22" t="e">
        <f t="shared" ca="1" si="84"/>
        <v>#N/A</v>
      </c>
      <c r="J337">
        <f t="shared" ca="1" si="85"/>
        <v>0</v>
      </c>
      <c r="K337" t="e">
        <f t="shared" ca="1" si="90"/>
        <v>#N/A</v>
      </c>
      <c r="O337" s="22" t="e">
        <f t="shared" ca="1" si="86"/>
        <v>#N/A</v>
      </c>
      <c r="P337" s="17" t="e">
        <f ca="1"/>
        <v>#N/A</v>
      </c>
      <c r="Q337" s="17" t="e">
        <f ca="1"/>
        <v>#N/A</v>
      </c>
      <c r="R337" s="23" t="e">
        <f ca="1"/>
        <v>#N/A</v>
      </c>
      <c r="S337" s="23">
        <f t="shared" ca="1" si="83"/>
        <v>0</v>
      </c>
      <c r="T337" t="b">
        <f t="shared" ca="1" si="91"/>
        <v>1</v>
      </c>
      <c r="U337" s="22" t="e">
        <f t="shared" ca="1" si="87"/>
        <v>#N/A</v>
      </c>
      <c r="V337">
        <f t="shared" ca="1" si="88"/>
        <v>0</v>
      </c>
    </row>
    <row r="338" spans="2:22">
      <c r="B338">
        <f t="shared" si="92"/>
        <v>328</v>
      </c>
      <c r="C338" s="22" t="e">
        <f ca="1"/>
        <v>#N/A</v>
      </c>
      <c r="D338" s="17" t="e">
        <f ca="1"/>
        <v>#N/A</v>
      </c>
      <c r="E338" s="17" t="e">
        <f ca="1"/>
        <v>#N/A</v>
      </c>
      <c r="F338" s="23" t="e">
        <f ca="1"/>
        <v>#N/A</v>
      </c>
      <c r="G338" s="23">
        <f t="shared" ca="1" si="82"/>
        <v>0</v>
      </c>
      <c r="H338" t="b">
        <f t="shared" ca="1" si="89"/>
        <v>1</v>
      </c>
      <c r="I338" s="22" t="e">
        <f t="shared" ca="1" si="84"/>
        <v>#N/A</v>
      </c>
      <c r="J338">
        <f t="shared" ca="1" si="85"/>
        <v>0</v>
      </c>
      <c r="K338" t="e">
        <f t="shared" ca="1" si="90"/>
        <v>#N/A</v>
      </c>
      <c r="O338" s="22" t="e">
        <f t="shared" ca="1" si="86"/>
        <v>#N/A</v>
      </c>
      <c r="P338" s="17" t="e">
        <f ca="1"/>
        <v>#N/A</v>
      </c>
      <c r="Q338" s="17" t="e">
        <f ca="1"/>
        <v>#N/A</v>
      </c>
      <c r="R338" s="23" t="e">
        <f ca="1"/>
        <v>#N/A</v>
      </c>
      <c r="S338" s="23">
        <f t="shared" ca="1" si="83"/>
        <v>0</v>
      </c>
      <c r="T338" t="b">
        <f t="shared" ca="1" si="91"/>
        <v>1</v>
      </c>
      <c r="U338" s="22" t="e">
        <f t="shared" ca="1" si="87"/>
        <v>#N/A</v>
      </c>
      <c r="V338">
        <f t="shared" ca="1" si="88"/>
        <v>0</v>
      </c>
    </row>
    <row r="339" spans="2:22">
      <c r="B339">
        <f t="shared" si="92"/>
        <v>329</v>
      </c>
      <c r="C339" s="22" t="e">
        <f ca="1"/>
        <v>#N/A</v>
      </c>
      <c r="D339" s="17" t="e">
        <f ca="1"/>
        <v>#N/A</v>
      </c>
      <c r="E339" s="17" t="e">
        <f ca="1"/>
        <v>#N/A</v>
      </c>
      <c r="F339" s="23" t="e">
        <f ca="1"/>
        <v>#N/A</v>
      </c>
      <c r="G339" s="23">
        <f t="shared" ca="1" si="82"/>
        <v>0</v>
      </c>
      <c r="H339" t="b">
        <f t="shared" ca="1" si="89"/>
        <v>1</v>
      </c>
      <c r="I339" s="22" t="e">
        <f t="shared" ca="1" si="84"/>
        <v>#N/A</v>
      </c>
      <c r="J339">
        <f t="shared" ca="1" si="85"/>
        <v>0</v>
      </c>
      <c r="K339" t="e">
        <f t="shared" ca="1" si="90"/>
        <v>#N/A</v>
      </c>
      <c r="O339" s="22" t="e">
        <f t="shared" ca="1" si="86"/>
        <v>#N/A</v>
      </c>
      <c r="P339" s="17" t="e">
        <f ca="1"/>
        <v>#N/A</v>
      </c>
      <c r="Q339" s="17" t="e">
        <f ca="1"/>
        <v>#N/A</v>
      </c>
      <c r="R339" s="23" t="e">
        <f ca="1"/>
        <v>#N/A</v>
      </c>
      <c r="S339" s="23">
        <f t="shared" ca="1" si="83"/>
        <v>0</v>
      </c>
      <c r="T339" t="b">
        <f t="shared" ca="1" si="91"/>
        <v>1</v>
      </c>
      <c r="U339" s="22" t="e">
        <f t="shared" ca="1" si="87"/>
        <v>#N/A</v>
      </c>
      <c r="V339">
        <f t="shared" ca="1" si="88"/>
        <v>0</v>
      </c>
    </row>
    <row r="340" spans="2:22">
      <c r="B340">
        <f t="shared" si="92"/>
        <v>330</v>
      </c>
      <c r="C340" s="22" t="e">
        <f ca="1"/>
        <v>#N/A</v>
      </c>
      <c r="D340" s="17" t="e">
        <f ca="1"/>
        <v>#N/A</v>
      </c>
      <c r="E340" s="17" t="e">
        <f ca="1"/>
        <v>#N/A</v>
      </c>
      <c r="F340" s="23" t="e">
        <f ca="1"/>
        <v>#N/A</v>
      </c>
      <c r="G340" s="23">
        <f t="shared" ca="1" si="82"/>
        <v>0</v>
      </c>
      <c r="H340" t="b">
        <f t="shared" ca="1" si="89"/>
        <v>1</v>
      </c>
      <c r="I340" s="22" t="e">
        <f t="shared" ca="1" si="84"/>
        <v>#N/A</v>
      </c>
      <c r="J340">
        <f t="shared" ca="1" si="85"/>
        <v>0</v>
      </c>
      <c r="K340" t="e">
        <f t="shared" ca="1" si="90"/>
        <v>#N/A</v>
      </c>
      <c r="O340" s="22" t="e">
        <f t="shared" ca="1" si="86"/>
        <v>#N/A</v>
      </c>
      <c r="P340" s="17" t="e">
        <f ca="1"/>
        <v>#N/A</v>
      </c>
      <c r="Q340" s="17" t="e">
        <f ca="1"/>
        <v>#N/A</v>
      </c>
      <c r="R340" s="23" t="e">
        <f ca="1"/>
        <v>#N/A</v>
      </c>
      <c r="S340" s="23">
        <f t="shared" ca="1" si="83"/>
        <v>0</v>
      </c>
      <c r="T340" t="b">
        <f t="shared" ca="1" si="91"/>
        <v>1</v>
      </c>
      <c r="U340" s="22" t="e">
        <f t="shared" ca="1" si="87"/>
        <v>#N/A</v>
      </c>
      <c r="V340">
        <f t="shared" ca="1" si="88"/>
        <v>0</v>
      </c>
    </row>
    <row r="341" spans="2:22">
      <c r="B341">
        <f t="shared" si="92"/>
        <v>331</v>
      </c>
      <c r="C341" s="22" t="e">
        <f ca="1"/>
        <v>#N/A</v>
      </c>
      <c r="D341" s="17" t="e">
        <f ca="1"/>
        <v>#N/A</v>
      </c>
      <c r="E341" s="17" t="e">
        <f ca="1"/>
        <v>#N/A</v>
      </c>
      <c r="F341" s="23" t="e">
        <f ca="1"/>
        <v>#N/A</v>
      </c>
      <c r="G341" s="23">
        <f t="shared" ca="1" si="82"/>
        <v>0</v>
      </c>
      <c r="H341" t="b">
        <f t="shared" ca="1" si="89"/>
        <v>1</v>
      </c>
      <c r="I341" s="22" t="e">
        <f t="shared" ca="1" si="84"/>
        <v>#N/A</v>
      </c>
      <c r="J341">
        <f t="shared" ca="1" si="85"/>
        <v>0</v>
      </c>
      <c r="K341" t="e">
        <f t="shared" ca="1" si="90"/>
        <v>#N/A</v>
      </c>
      <c r="O341" s="22" t="e">
        <f t="shared" ca="1" si="86"/>
        <v>#N/A</v>
      </c>
      <c r="P341" s="17" t="e">
        <f ca="1"/>
        <v>#N/A</v>
      </c>
      <c r="Q341" s="17" t="e">
        <f ca="1"/>
        <v>#N/A</v>
      </c>
      <c r="R341" s="23" t="e">
        <f ca="1"/>
        <v>#N/A</v>
      </c>
      <c r="S341" s="23">
        <f t="shared" ca="1" si="83"/>
        <v>0</v>
      </c>
      <c r="T341" t="b">
        <f t="shared" ca="1" si="91"/>
        <v>1</v>
      </c>
      <c r="U341" s="22" t="e">
        <f t="shared" ca="1" si="87"/>
        <v>#N/A</v>
      </c>
      <c r="V341">
        <f t="shared" ca="1" si="88"/>
        <v>0</v>
      </c>
    </row>
    <row r="342" spans="2:22">
      <c r="B342">
        <f t="shared" si="92"/>
        <v>332</v>
      </c>
      <c r="C342" s="22" t="e">
        <f ca="1"/>
        <v>#N/A</v>
      </c>
      <c r="D342" s="17" t="e">
        <f ca="1"/>
        <v>#N/A</v>
      </c>
      <c r="E342" s="17" t="e">
        <f ca="1"/>
        <v>#N/A</v>
      </c>
      <c r="F342" s="23" t="e">
        <f ca="1"/>
        <v>#N/A</v>
      </c>
      <c r="G342" s="23">
        <f t="shared" ca="1" si="82"/>
        <v>0</v>
      </c>
      <c r="H342" t="b">
        <f t="shared" ca="1" si="89"/>
        <v>1</v>
      </c>
      <c r="I342" s="22" t="e">
        <f t="shared" ca="1" si="84"/>
        <v>#N/A</v>
      </c>
      <c r="J342">
        <f t="shared" ca="1" si="85"/>
        <v>0</v>
      </c>
      <c r="K342" t="e">
        <f t="shared" ca="1" si="90"/>
        <v>#N/A</v>
      </c>
      <c r="O342" s="22" t="e">
        <f t="shared" ca="1" si="86"/>
        <v>#N/A</v>
      </c>
      <c r="P342" s="17" t="e">
        <f ca="1"/>
        <v>#N/A</v>
      </c>
      <c r="Q342" s="17" t="e">
        <f ca="1"/>
        <v>#N/A</v>
      </c>
      <c r="R342" s="23" t="e">
        <f ca="1"/>
        <v>#N/A</v>
      </c>
      <c r="S342" s="23">
        <f t="shared" ca="1" si="83"/>
        <v>0</v>
      </c>
      <c r="T342" t="b">
        <f t="shared" ca="1" si="91"/>
        <v>1</v>
      </c>
      <c r="U342" s="22" t="e">
        <f t="shared" ca="1" si="87"/>
        <v>#N/A</v>
      </c>
      <c r="V342">
        <f t="shared" ca="1" si="88"/>
        <v>0</v>
      </c>
    </row>
    <row r="343" spans="2:22">
      <c r="B343">
        <f t="shared" si="92"/>
        <v>333</v>
      </c>
      <c r="C343" s="22" t="e">
        <f ca="1"/>
        <v>#N/A</v>
      </c>
      <c r="D343" s="17" t="e">
        <f ca="1"/>
        <v>#N/A</v>
      </c>
      <c r="E343" s="17" t="e">
        <f ca="1"/>
        <v>#N/A</v>
      </c>
      <c r="F343" s="23" t="e">
        <f ca="1"/>
        <v>#N/A</v>
      </c>
      <c r="G343" s="23">
        <f t="shared" ref="G343:G406" ca="1" si="93">IFERROR(Volatility(D332:D343,12),FALSE)</f>
        <v>0</v>
      </c>
      <c r="H343" t="b">
        <f t="shared" ca="1" si="89"/>
        <v>1</v>
      </c>
      <c r="I343" s="22" t="e">
        <f t="shared" ca="1" si="84"/>
        <v>#N/A</v>
      </c>
      <c r="J343">
        <f t="shared" ca="1" si="85"/>
        <v>0</v>
      </c>
      <c r="K343" t="e">
        <f t="shared" ca="1" si="90"/>
        <v>#N/A</v>
      </c>
      <c r="O343" s="22" t="e">
        <f t="shared" ca="1" si="86"/>
        <v>#N/A</v>
      </c>
      <c r="P343" s="17" t="e">
        <f ca="1"/>
        <v>#N/A</v>
      </c>
      <c r="Q343" s="17" t="e">
        <f ca="1"/>
        <v>#N/A</v>
      </c>
      <c r="R343" s="23" t="e">
        <f ca="1"/>
        <v>#N/A</v>
      </c>
      <c r="S343" s="23">
        <f t="shared" ref="S343:S406" ca="1" si="94">IFERROR(Volatility(P332:P343,12),FALSE)</f>
        <v>0</v>
      </c>
      <c r="T343" t="b">
        <f t="shared" ca="1" si="91"/>
        <v>1</v>
      </c>
      <c r="U343" s="22" t="e">
        <f t="shared" ca="1" si="87"/>
        <v>#N/A</v>
      </c>
      <c r="V343">
        <f t="shared" ca="1" si="88"/>
        <v>0</v>
      </c>
    </row>
    <row r="344" spans="2:22">
      <c r="B344">
        <f t="shared" si="92"/>
        <v>334</v>
      </c>
      <c r="C344" s="22" t="e">
        <f ca="1"/>
        <v>#N/A</v>
      </c>
      <c r="D344" s="17" t="e">
        <f ca="1"/>
        <v>#N/A</v>
      </c>
      <c r="E344" s="17" t="e">
        <f ca="1"/>
        <v>#N/A</v>
      </c>
      <c r="F344" s="23" t="e">
        <f ca="1"/>
        <v>#N/A</v>
      </c>
      <c r="G344" s="23">
        <f t="shared" ca="1" si="93"/>
        <v>0</v>
      </c>
      <c r="H344" t="b">
        <f t="shared" ca="1" si="89"/>
        <v>1</v>
      </c>
      <c r="I344" s="22" t="e">
        <f t="shared" ca="1" si="84"/>
        <v>#N/A</v>
      </c>
      <c r="J344">
        <f t="shared" ca="1" si="85"/>
        <v>0</v>
      </c>
      <c r="K344" t="e">
        <f t="shared" ca="1" si="90"/>
        <v>#N/A</v>
      </c>
      <c r="O344" s="22" t="e">
        <f t="shared" ca="1" si="86"/>
        <v>#N/A</v>
      </c>
      <c r="P344" s="17" t="e">
        <f ca="1"/>
        <v>#N/A</v>
      </c>
      <c r="Q344" s="17" t="e">
        <f ca="1"/>
        <v>#N/A</v>
      </c>
      <c r="R344" s="23" t="e">
        <f ca="1"/>
        <v>#N/A</v>
      </c>
      <c r="S344" s="23">
        <f t="shared" ca="1" si="94"/>
        <v>0</v>
      </c>
      <c r="T344" t="b">
        <f t="shared" ca="1" si="91"/>
        <v>1</v>
      </c>
      <c r="U344" s="22" t="e">
        <f t="shared" ca="1" si="87"/>
        <v>#N/A</v>
      </c>
      <c r="V344">
        <f t="shared" ca="1" si="88"/>
        <v>0</v>
      </c>
    </row>
    <row r="345" spans="2:22">
      <c r="B345">
        <f t="shared" si="92"/>
        <v>335</v>
      </c>
      <c r="C345" s="22" t="e">
        <f ca="1"/>
        <v>#N/A</v>
      </c>
      <c r="D345" s="17" t="e">
        <f ca="1"/>
        <v>#N/A</v>
      </c>
      <c r="E345" s="17" t="e">
        <f ca="1"/>
        <v>#N/A</v>
      </c>
      <c r="F345" s="23" t="e">
        <f ca="1"/>
        <v>#N/A</v>
      </c>
      <c r="G345" s="23">
        <f t="shared" ca="1" si="93"/>
        <v>0</v>
      </c>
      <c r="H345" t="b">
        <f t="shared" ca="1" si="89"/>
        <v>1</v>
      </c>
      <c r="I345" s="22" t="e">
        <f t="shared" ca="1" si="84"/>
        <v>#N/A</v>
      </c>
      <c r="J345">
        <f t="shared" ca="1" si="85"/>
        <v>0</v>
      </c>
      <c r="K345" t="e">
        <f t="shared" ca="1" si="90"/>
        <v>#N/A</v>
      </c>
      <c r="O345" s="22" t="e">
        <f t="shared" ca="1" si="86"/>
        <v>#N/A</v>
      </c>
      <c r="P345" s="17" t="e">
        <f ca="1"/>
        <v>#N/A</v>
      </c>
      <c r="Q345" s="17" t="e">
        <f ca="1"/>
        <v>#N/A</v>
      </c>
      <c r="R345" s="23" t="e">
        <f ca="1"/>
        <v>#N/A</v>
      </c>
      <c r="S345" s="23">
        <f t="shared" ca="1" si="94"/>
        <v>0</v>
      </c>
      <c r="T345" t="b">
        <f t="shared" ca="1" si="91"/>
        <v>1</v>
      </c>
      <c r="U345" s="22" t="e">
        <f t="shared" ca="1" si="87"/>
        <v>#N/A</v>
      </c>
      <c r="V345">
        <f t="shared" ca="1" si="88"/>
        <v>0</v>
      </c>
    </row>
    <row r="346" spans="2:22">
      <c r="B346">
        <f t="shared" si="92"/>
        <v>336</v>
      </c>
      <c r="C346" s="22" t="e">
        <f ca="1"/>
        <v>#N/A</v>
      </c>
      <c r="D346" s="17" t="e">
        <f ca="1"/>
        <v>#N/A</v>
      </c>
      <c r="E346" s="17" t="e">
        <f ca="1"/>
        <v>#N/A</v>
      </c>
      <c r="F346" s="23" t="e">
        <f ca="1"/>
        <v>#N/A</v>
      </c>
      <c r="G346" s="23">
        <f t="shared" ca="1" si="93"/>
        <v>0</v>
      </c>
      <c r="H346" t="b">
        <f t="shared" ca="1" si="89"/>
        <v>1</v>
      </c>
      <c r="I346" s="22" t="e">
        <f t="shared" ca="1" si="84"/>
        <v>#N/A</v>
      </c>
      <c r="J346">
        <f t="shared" ca="1" si="85"/>
        <v>0</v>
      </c>
      <c r="K346" t="e">
        <f t="shared" ca="1" si="90"/>
        <v>#N/A</v>
      </c>
      <c r="O346" s="22" t="e">
        <f t="shared" ca="1" si="86"/>
        <v>#N/A</v>
      </c>
      <c r="P346" s="17" t="e">
        <f ca="1"/>
        <v>#N/A</v>
      </c>
      <c r="Q346" s="17" t="e">
        <f ca="1"/>
        <v>#N/A</v>
      </c>
      <c r="R346" s="23" t="e">
        <f ca="1"/>
        <v>#N/A</v>
      </c>
      <c r="S346" s="23">
        <f t="shared" ca="1" si="94"/>
        <v>0</v>
      </c>
      <c r="T346" t="b">
        <f t="shared" ca="1" si="91"/>
        <v>1</v>
      </c>
      <c r="U346" s="22" t="e">
        <f t="shared" ca="1" si="87"/>
        <v>#N/A</v>
      </c>
      <c r="V346">
        <f t="shared" ca="1" si="88"/>
        <v>0</v>
      </c>
    </row>
    <row r="347" spans="2:22">
      <c r="B347">
        <f t="shared" si="92"/>
        <v>337</v>
      </c>
      <c r="C347" s="22" t="e">
        <f ca="1"/>
        <v>#N/A</v>
      </c>
      <c r="D347" s="17" t="e">
        <f ca="1"/>
        <v>#N/A</v>
      </c>
      <c r="E347" s="17" t="e">
        <f ca="1"/>
        <v>#N/A</v>
      </c>
      <c r="F347" s="23" t="e">
        <f ca="1"/>
        <v>#N/A</v>
      </c>
      <c r="G347" s="23">
        <f t="shared" ca="1" si="93"/>
        <v>0</v>
      </c>
      <c r="H347" t="b">
        <f t="shared" ca="1" si="89"/>
        <v>1</v>
      </c>
      <c r="I347" s="22" t="e">
        <f t="shared" ca="1" si="84"/>
        <v>#N/A</v>
      </c>
      <c r="J347">
        <f t="shared" ca="1" si="85"/>
        <v>0</v>
      </c>
      <c r="K347" t="e">
        <f t="shared" ca="1" si="90"/>
        <v>#N/A</v>
      </c>
      <c r="O347" s="22" t="e">
        <f t="shared" ca="1" si="86"/>
        <v>#N/A</v>
      </c>
      <c r="P347" s="17" t="e">
        <f ca="1"/>
        <v>#N/A</v>
      </c>
      <c r="Q347" s="17" t="e">
        <f ca="1"/>
        <v>#N/A</v>
      </c>
      <c r="R347" s="23" t="e">
        <f ca="1"/>
        <v>#N/A</v>
      </c>
      <c r="S347" s="23">
        <f t="shared" ca="1" si="94"/>
        <v>0</v>
      </c>
      <c r="T347" t="b">
        <f t="shared" ca="1" si="91"/>
        <v>1</v>
      </c>
      <c r="U347" s="22" t="e">
        <f t="shared" ca="1" si="87"/>
        <v>#N/A</v>
      </c>
      <c r="V347">
        <f t="shared" ca="1" si="88"/>
        <v>0</v>
      </c>
    </row>
    <row r="348" spans="2:22">
      <c r="B348">
        <f t="shared" si="92"/>
        <v>338</v>
      </c>
      <c r="C348" s="22" t="e">
        <f ca="1"/>
        <v>#N/A</v>
      </c>
      <c r="D348" s="17" t="e">
        <f ca="1"/>
        <v>#N/A</v>
      </c>
      <c r="E348" s="17" t="e">
        <f ca="1"/>
        <v>#N/A</v>
      </c>
      <c r="F348" s="23" t="e">
        <f ca="1"/>
        <v>#N/A</v>
      </c>
      <c r="G348" s="23">
        <f t="shared" ca="1" si="93"/>
        <v>0</v>
      </c>
      <c r="H348" t="b">
        <f t="shared" ca="1" si="89"/>
        <v>1</v>
      </c>
      <c r="I348" s="22" t="e">
        <f t="shared" ca="1" si="84"/>
        <v>#N/A</v>
      </c>
      <c r="J348">
        <f t="shared" ca="1" si="85"/>
        <v>0</v>
      </c>
      <c r="K348" t="e">
        <f t="shared" ca="1" si="90"/>
        <v>#N/A</v>
      </c>
      <c r="O348" s="22" t="e">
        <f t="shared" ca="1" si="86"/>
        <v>#N/A</v>
      </c>
      <c r="P348" s="17" t="e">
        <f ca="1"/>
        <v>#N/A</v>
      </c>
      <c r="Q348" s="17" t="e">
        <f ca="1"/>
        <v>#N/A</v>
      </c>
      <c r="R348" s="23" t="e">
        <f ca="1"/>
        <v>#N/A</v>
      </c>
      <c r="S348" s="23">
        <f t="shared" ca="1" si="94"/>
        <v>0</v>
      </c>
      <c r="T348" t="b">
        <f t="shared" ca="1" si="91"/>
        <v>1</v>
      </c>
      <c r="U348" s="22" t="e">
        <f t="shared" ca="1" si="87"/>
        <v>#N/A</v>
      </c>
      <c r="V348">
        <f t="shared" ca="1" si="88"/>
        <v>0</v>
      </c>
    </row>
    <row r="349" spans="2:22">
      <c r="B349">
        <f t="shared" si="92"/>
        <v>339</v>
      </c>
      <c r="C349" s="22" t="e">
        <f ca="1"/>
        <v>#N/A</v>
      </c>
      <c r="D349" s="17" t="e">
        <f ca="1"/>
        <v>#N/A</v>
      </c>
      <c r="E349" s="17" t="e">
        <f ca="1"/>
        <v>#N/A</v>
      </c>
      <c r="F349" s="23" t="e">
        <f ca="1"/>
        <v>#N/A</v>
      </c>
      <c r="G349" s="23">
        <f t="shared" ca="1" si="93"/>
        <v>0</v>
      </c>
      <c r="H349" t="b">
        <f t="shared" ca="1" si="89"/>
        <v>1</v>
      </c>
      <c r="I349" s="22" t="e">
        <f t="shared" ca="1" si="84"/>
        <v>#N/A</v>
      </c>
      <c r="J349">
        <f t="shared" ca="1" si="85"/>
        <v>0</v>
      </c>
      <c r="K349" t="e">
        <f t="shared" ca="1" si="90"/>
        <v>#N/A</v>
      </c>
      <c r="O349" s="22" t="e">
        <f t="shared" ca="1" si="86"/>
        <v>#N/A</v>
      </c>
      <c r="P349" s="17" t="e">
        <f ca="1"/>
        <v>#N/A</v>
      </c>
      <c r="Q349" s="17" t="e">
        <f ca="1"/>
        <v>#N/A</v>
      </c>
      <c r="R349" s="23" t="e">
        <f ca="1"/>
        <v>#N/A</v>
      </c>
      <c r="S349" s="23">
        <f t="shared" ca="1" si="94"/>
        <v>0</v>
      </c>
      <c r="T349" t="b">
        <f t="shared" ca="1" si="91"/>
        <v>1</v>
      </c>
      <c r="U349" s="22" t="e">
        <f t="shared" ca="1" si="87"/>
        <v>#N/A</v>
      </c>
      <c r="V349">
        <f t="shared" ca="1" si="88"/>
        <v>0</v>
      </c>
    </row>
    <row r="350" spans="2:22">
      <c r="B350">
        <f t="shared" si="92"/>
        <v>340</v>
      </c>
      <c r="C350" s="22" t="e">
        <f ca="1"/>
        <v>#N/A</v>
      </c>
      <c r="D350" s="17" t="e">
        <f ca="1"/>
        <v>#N/A</v>
      </c>
      <c r="E350" s="17" t="e">
        <f ca="1"/>
        <v>#N/A</v>
      </c>
      <c r="F350" s="23" t="e">
        <f ca="1"/>
        <v>#N/A</v>
      </c>
      <c r="G350" s="23">
        <f t="shared" ca="1" si="93"/>
        <v>0</v>
      </c>
      <c r="H350" t="b">
        <f t="shared" ca="1" si="89"/>
        <v>1</v>
      </c>
      <c r="I350" s="22" t="e">
        <f t="shared" ca="1" si="84"/>
        <v>#N/A</v>
      </c>
      <c r="J350">
        <f t="shared" ca="1" si="85"/>
        <v>0</v>
      </c>
      <c r="K350" t="e">
        <f t="shared" ca="1" si="90"/>
        <v>#N/A</v>
      </c>
      <c r="O350" s="22" t="e">
        <f t="shared" ca="1" si="86"/>
        <v>#N/A</v>
      </c>
      <c r="P350" s="17" t="e">
        <f ca="1"/>
        <v>#N/A</v>
      </c>
      <c r="Q350" s="17" t="e">
        <f ca="1"/>
        <v>#N/A</v>
      </c>
      <c r="R350" s="23" t="e">
        <f ca="1"/>
        <v>#N/A</v>
      </c>
      <c r="S350" s="23">
        <f t="shared" ca="1" si="94"/>
        <v>0</v>
      </c>
      <c r="T350" t="b">
        <f t="shared" ca="1" si="91"/>
        <v>1</v>
      </c>
      <c r="U350" s="22" t="e">
        <f t="shared" ca="1" si="87"/>
        <v>#N/A</v>
      </c>
      <c r="V350">
        <f t="shared" ca="1" si="88"/>
        <v>0</v>
      </c>
    </row>
    <row r="351" spans="2:22">
      <c r="B351">
        <f t="shared" si="92"/>
        <v>341</v>
      </c>
      <c r="C351" s="22" t="e">
        <f ca="1"/>
        <v>#N/A</v>
      </c>
      <c r="D351" s="17" t="e">
        <f ca="1"/>
        <v>#N/A</v>
      </c>
      <c r="E351" s="17" t="e">
        <f ca="1"/>
        <v>#N/A</v>
      </c>
      <c r="F351" s="23" t="e">
        <f ca="1"/>
        <v>#N/A</v>
      </c>
      <c r="G351" s="23">
        <f t="shared" ca="1" si="93"/>
        <v>0</v>
      </c>
      <c r="H351" t="b">
        <f t="shared" ca="1" si="89"/>
        <v>1</v>
      </c>
      <c r="I351" s="22" t="e">
        <f t="shared" ca="1" si="84"/>
        <v>#N/A</v>
      </c>
      <c r="J351">
        <f t="shared" ca="1" si="85"/>
        <v>0</v>
      </c>
      <c r="K351" t="e">
        <f t="shared" ca="1" si="90"/>
        <v>#N/A</v>
      </c>
      <c r="O351" s="22" t="e">
        <f t="shared" ca="1" si="86"/>
        <v>#N/A</v>
      </c>
      <c r="P351" s="17" t="e">
        <f ca="1"/>
        <v>#N/A</v>
      </c>
      <c r="Q351" s="17" t="e">
        <f ca="1"/>
        <v>#N/A</v>
      </c>
      <c r="R351" s="23" t="e">
        <f ca="1"/>
        <v>#N/A</v>
      </c>
      <c r="S351" s="23">
        <f t="shared" ca="1" si="94"/>
        <v>0</v>
      </c>
      <c r="T351" t="b">
        <f t="shared" ca="1" si="91"/>
        <v>1</v>
      </c>
      <c r="U351" s="22" t="e">
        <f t="shared" ca="1" si="87"/>
        <v>#N/A</v>
      </c>
      <c r="V351">
        <f t="shared" ca="1" si="88"/>
        <v>0</v>
      </c>
    </row>
    <row r="352" spans="2:22">
      <c r="B352">
        <f t="shared" si="92"/>
        <v>342</v>
      </c>
      <c r="C352" s="22" t="e">
        <f ca="1"/>
        <v>#N/A</v>
      </c>
      <c r="D352" s="17" t="e">
        <f ca="1"/>
        <v>#N/A</v>
      </c>
      <c r="E352" s="17" t="e">
        <f ca="1"/>
        <v>#N/A</v>
      </c>
      <c r="F352" s="23" t="e">
        <f ca="1"/>
        <v>#N/A</v>
      </c>
      <c r="G352" s="23">
        <f t="shared" ca="1" si="93"/>
        <v>0</v>
      </c>
      <c r="H352" t="b">
        <f t="shared" ca="1" si="89"/>
        <v>1</v>
      </c>
      <c r="I352" s="22" t="e">
        <f t="shared" ca="1" si="84"/>
        <v>#N/A</v>
      </c>
      <c r="J352">
        <f t="shared" ca="1" si="85"/>
        <v>0</v>
      </c>
      <c r="K352" t="e">
        <f t="shared" ca="1" si="90"/>
        <v>#N/A</v>
      </c>
      <c r="O352" s="22" t="e">
        <f t="shared" ca="1" si="86"/>
        <v>#N/A</v>
      </c>
      <c r="P352" s="17" t="e">
        <f ca="1"/>
        <v>#N/A</v>
      </c>
      <c r="Q352" s="17" t="e">
        <f ca="1"/>
        <v>#N/A</v>
      </c>
      <c r="R352" s="23" t="e">
        <f ca="1"/>
        <v>#N/A</v>
      </c>
      <c r="S352" s="23">
        <f t="shared" ca="1" si="94"/>
        <v>0</v>
      </c>
      <c r="T352" t="b">
        <f t="shared" ca="1" si="91"/>
        <v>1</v>
      </c>
      <c r="U352" s="22" t="e">
        <f t="shared" ca="1" si="87"/>
        <v>#N/A</v>
      </c>
      <c r="V352">
        <f t="shared" ca="1" si="88"/>
        <v>0</v>
      </c>
    </row>
    <row r="353" spans="2:22">
      <c r="B353">
        <f t="shared" si="92"/>
        <v>343</v>
      </c>
      <c r="C353" s="22" t="e">
        <f ca="1"/>
        <v>#N/A</v>
      </c>
      <c r="D353" s="17" t="e">
        <f ca="1"/>
        <v>#N/A</v>
      </c>
      <c r="E353" s="17" t="e">
        <f ca="1"/>
        <v>#N/A</v>
      </c>
      <c r="F353" s="23" t="e">
        <f ca="1"/>
        <v>#N/A</v>
      </c>
      <c r="G353" s="23">
        <f t="shared" ca="1" si="93"/>
        <v>0</v>
      </c>
      <c r="H353" t="b">
        <f t="shared" ca="1" si="89"/>
        <v>1</v>
      </c>
      <c r="I353" s="22" t="e">
        <f t="shared" ca="1" si="84"/>
        <v>#N/A</v>
      </c>
      <c r="J353">
        <f t="shared" ca="1" si="85"/>
        <v>0</v>
      </c>
      <c r="K353" t="e">
        <f t="shared" ca="1" si="90"/>
        <v>#N/A</v>
      </c>
      <c r="O353" s="22" t="e">
        <f t="shared" ca="1" si="86"/>
        <v>#N/A</v>
      </c>
      <c r="P353" s="17" t="e">
        <f ca="1"/>
        <v>#N/A</v>
      </c>
      <c r="Q353" s="17" t="e">
        <f ca="1"/>
        <v>#N/A</v>
      </c>
      <c r="R353" s="23" t="e">
        <f ca="1"/>
        <v>#N/A</v>
      </c>
      <c r="S353" s="23">
        <f t="shared" ca="1" si="94"/>
        <v>0</v>
      </c>
      <c r="T353" t="b">
        <f t="shared" ca="1" si="91"/>
        <v>1</v>
      </c>
      <c r="U353" s="22" t="e">
        <f t="shared" ca="1" si="87"/>
        <v>#N/A</v>
      </c>
      <c r="V353">
        <f t="shared" ca="1" si="88"/>
        <v>0</v>
      </c>
    </row>
    <row r="354" spans="2:22">
      <c r="B354">
        <f t="shared" si="92"/>
        <v>344</v>
      </c>
      <c r="C354" s="22" t="e">
        <f ca="1"/>
        <v>#N/A</v>
      </c>
      <c r="D354" s="17" t="e">
        <f ca="1"/>
        <v>#N/A</v>
      </c>
      <c r="E354" s="17" t="e">
        <f ca="1"/>
        <v>#N/A</v>
      </c>
      <c r="F354" s="23" t="e">
        <f ca="1"/>
        <v>#N/A</v>
      </c>
      <c r="G354" s="23">
        <f t="shared" ca="1" si="93"/>
        <v>0</v>
      </c>
      <c r="H354" t="b">
        <f t="shared" ca="1" si="89"/>
        <v>1</v>
      </c>
      <c r="I354" s="22" t="e">
        <f t="shared" ca="1" si="84"/>
        <v>#N/A</v>
      </c>
      <c r="J354">
        <f t="shared" ca="1" si="85"/>
        <v>0</v>
      </c>
      <c r="K354" t="e">
        <f t="shared" ca="1" si="90"/>
        <v>#N/A</v>
      </c>
      <c r="O354" s="22" t="e">
        <f t="shared" ca="1" si="86"/>
        <v>#N/A</v>
      </c>
      <c r="P354" s="17" t="e">
        <f ca="1"/>
        <v>#N/A</v>
      </c>
      <c r="Q354" s="17" t="e">
        <f ca="1"/>
        <v>#N/A</v>
      </c>
      <c r="R354" s="23" t="e">
        <f ca="1"/>
        <v>#N/A</v>
      </c>
      <c r="S354" s="23">
        <f t="shared" ca="1" si="94"/>
        <v>0</v>
      </c>
      <c r="T354" t="b">
        <f t="shared" ca="1" si="91"/>
        <v>1</v>
      </c>
      <c r="U354" s="22" t="e">
        <f t="shared" ca="1" si="87"/>
        <v>#N/A</v>
      </c>
      <c r="V354">
        <f t="shared" ca="1" si="88"/>
        <v>0</v>
      </c>
    </row>
    <row r="355" spans="2:22">
      <c r="B355">
        <f t="shared" si="92"/>
        <v>345</v>
      </c>
      <c r="C355" s="22" t="e">
        <f ca="1"/>
        <v>#N/A</v>
      </c>
      <c r="D355" s="17" t="e">
        <f ca="1"/>
        <v>#N/A</v>
      </c>
      <c r="E355" s="17" t="e">
        <f ca="1"/>
        <v>#N/A</v>
      </c>
      <c r="F355" s="23" t="e">
        <f ca="1"/>
        <v>#N/A</v>
      </c>
      <c r="G355" s="23">
        <f t="shared" ca="1" si="93"/>
        <v>0</v>
      </c>
      <c r="H355" t="b">
        <f t="shared" ca="1" si="89"/>
        <v>1</v>
      </c>
      <c r="I355" s="22" t="e">
        <f t="shared" ca="1" si="84"/>
        <v>#N/A</v>
      </c>
      <c r="J355">
        <f t="shared" ca="1" si="85"/>
        <v>0</v>
      </c>
      <c r="K355" t="e">
        <f t="shared" ca="1" si="90"/>
        <v>#N/A</v>
      </c>
      <c r="O355" s="22" t="e">
        <f t="shared" ca="1" si="86"/>
        <v>#N/A</v>
      </c>
      <c r="P355" s="17" t="e">
        <f ca="1"/>
        <v>#N/A</v>
      </c>
      <c r="Q355" s="17" t="e">
        <f ca="1"/>
        <v>#N/A</v>
      </c>
      <c r="R355" s="23" t="e">
        <f ca="1"/>
        <v>#N/A</v>
      </c>
      <c r="S355" s="23">
        <f t="shared" ca="1" si="94"/>
        <v>0</v>
      </c>
      <c r="T355" t="b">
        <f t="shared" ca="1" si="91"/>
        <v>1</v>
      </c>
      <c r="U355" s="22" t="e">
        <f t="shared" ca="1" si="87"/>
        <v>#N/A</v>
      </c>
      <c r="V355">
        <f t="shared" ca="1" si="88"/>
        <v>0</v>
      </c>
    </row>
    <row r="356" spans="2:22">
      <c r="B356">
        <f t="shared" si="92"/>
        <v>346</v>
      </c>
      <c r="C356" s="22" t="e">
        <f ca="1"/>
        <v>#N/A</v>
      </c>
      <c r="D356" s="17" t="e">
        <f ca="1"/>
        <v>#N/A</v>
      </c>
      <c r="E356" s="17" t="e">
        <f ca="1"/>
        <v>#N/A</v>
      </c>
      <c r="F356" s="23" t="e">
        <f ca="1"/>
        <v>#N/A</v>
      </c>
      <c r="G356" s="23">
        <f t="shared" ca="1" si="93"/>
        <v>0</v>
      </c>
      <c r="H356" t="b">
        <f t="shared" ca="1" si="89"/>
        <v>1</v>
      </c>
      <c r="I356" s="22" t="e">
        <f t="shared" ca="1" si="84"/>
        <v>#N/A</v>
      </c>
      <c r="J356">
        <f t="shared" ca="1" si="85"/>
        <v>0</v>
      </c>
      <c r="K356" t="e">
        <f t="shared" ca="1" si="90"/>
        <v>#N/A</v>
      </c>
      <c r="O356" s="22" t="e">
        <f t="shared" ca="1" si="86"/>
        <v>#N/A</v>
      </c>
      <c r="P356" s="17" t="e">
        <f ca="1"/>
        <v>#N/A</v>
      </c>
      <c r="Q356" s="17" t="e">
        <f ca="1"/>
        <v>#N/A</v>
      </c>
      <c r="R356" s="23" t="e">
        <f ca="1"/>
        <v>#N/A</v>
      </c>
      <c r="S356" s="23">
        <f t="shared" ca="1" si="94"/>
        <v>0</v>
      </c>
      <c r="T356" t="b">
        <f t="shared" ca="1" si="91"/>
        <v>1</v>
      </c>
      <c r="U356" s="22" t="e">
        <f t="shared" ca="1" si="87"/>
        <v>#N/A</v>
      </c>
      <c r="V356">
        <f t="shared" ca="1" si="88"/>
        <v>0</v>
      </c>
    </row>
    <row r="357" spans="2:22">
      <c r="B357">
        <f t="shared" si="92"/>
        <v>347</v>
      </c>
      <c r="C357" s="22" t="e">
        <f ca="1"/>
        <v>#N/A</v>
      </c>
      <c r="D357" s="17" t="e">
        <f ca="1"/>
        <v>#N/A</v>
      </c>
      <c r="E357" s="17" t="e">
        <f ca="1"/>
        <v>#N/A</v>
      </c>
      <c r="F357" s="23" t="e">
        <f ca="1"/>
        <v>#N/A</v>
      </c>
      <c r="G357" s="23">
        <f t="shared" ca="1" si="93"/>
        <v>0</v>
      </c>
      <c r="H357" t="b">
        <f t="shared" ca="1" si="89"/>
        <v>1</v>
      </c>
      <c r="I357" s="22" t="e">
        <f t="shared" ca="1" si="84"/>
        <v>#N/A</v>
      </c>
      <c r="J357">
        <f t="shared" ca="1" si="85"/>
        <v>0</v>
      </c>
      <c r="K357" t="e">
        <f t="shared" ca="1" si="90"/>
        <v>#N/A</v>
      </c>
      <c r="O357" s="22" t="e">
        <f t="shared" ca="1" si="86"/>
        <v>#N/A</v>
      </c>
      <c r="P357" s="17" t="e">
        <f ca="1"/>
        <v>#N/A</v>
      </c>
      <c r="Q357" s="17" t="e">
        <f ca="1"/>
        <v>#N/A</v>
      </c>
      <c r="R357" s="23" t="e">
        <f ca="1"/>
        <v>#N/A</v>
      </c>
      <c r="S357" s="23">
        <f t="shared" ca="1" si="94"/>
        <v>0</v>
      </c>
      <c r="T357" t="b">
        <f t="shared" ca="1" si="91"/>
        <v>1</v>
      </c>
      <c r="U357" s="22" t="e">
        <f t="shared" ca="1" si="87"/>
        <v>#N/A</v>
      </c>
      <c r="V357">
        <f t="shared" ca="1" si="88"/>
        <v>0</v>
      </c>
    </row>
    <row r="358" spans="2:22">
      <c r="B358">
        <f t="shared" si="92"/>
        <v>348</v>
      </c>
      <c r="C358" s="22" t="e">
        <f ca="1"/>
        <v>#N/A</v>
      </c>
      <c r="D358" s="17" t="e">
        <f ca="1"/>
        <v>#N/A</v>
      </c>
      <c r="E358" s="17" t="e">
        <f ca="1"/>
        <v>#N/A</v>
      </c>
      <c r="F358" s="23" t="e">
        <f ca="1"/>
        <v>#N/A</v>
      </c>
      <c r="G358" s="23">
        <f t="shared" ca="1" si="93"/>
        <v>0</v>
      </c>
      <c r="H358" t="b">
        <f t="shared" ca="1" si="89"/>
        <v>1</v>
      </c>
      <c r="I358" s="22" t="e">
        <f t="shared" ca="1" si="84"/>
        <v>#N/A</v>
      </c>
      <c r="J358">
        <f t="shared" ca="1" si="85"/>
        <v>0</v>
      </c>
      <c r="K358" t="e">
        <f t="shared" ca="1" si="90"/>
        <v>#N/A</v>
      </c>
      <c r="O358" s="22" t="e">
        <f t="shared" ca="1" si="86"/>
        <v>#N/A</v>
      </c>
      <c r="P358" s="17" t="e">
        <f ca="1"/>
        <v>#N/A</v>
      </c>
      <c r="Q358" s="17" t="e">
        <f ca="1"/>
        <v>#N/A</v>
      </c>
      <c r="R358" s="23" t="e">
        <f ca="1"/>
        <v>#N/A</v>
      </c>
      <c r="S358" s="23">
        <f t="shared" ca="1" si="94"/>
        <v>0</v>
      </c>
      <c r="T358" t="b">
        <f t="shared" ca="1" si="91"/>
        <v>1</v>
      </c>
      <c r="U358" s="22" t="e">
        <f t="shared" ca="1" si="87"/>
        <v>#N/A</v>
      </c>
      <c r="V358">
        <f t="shared" ca="1" si="88"/>
        <v>0</v>
      </c>
    </row>
    <row r="359" spans="2:22">
      <c r="B359">
        <f t="shared" si="92"/>
        <v>349</v>
      </c>
      <c r="C359" s="22" t="e">
        <f ca="1"/>
        <v>#N/A</v>
      </c>
      <c r="D359" s="17" t="e">
        <f ca="1"/>
        <v>#N/A</v>
      </c>
      <c r="E359" s="17" t="e">
        <f ca="1"/>
        <v>#N/A</v>
      </c>
      <c r="F359" s="23" t="e">
        <f ca="1"/>
        <v>#N/A</v>
      </c>
      <c r="G359" s="23">
        <f t="shared" ca="1" si="93"/>
        <v>0</v>
      </c>
      <c r="H359" t="b">
        <f t="shared" ca="1" si="89"/>
        <v>1</v>
      </c>
      <c r="I359" s="22" t="e">
        <f t="shared" ca="1" si="84"/>
        <v>#N/A</v>
      </c>
      <c r="J359">
        <f t="shared" ca="1" si="85"/>
        <v>0</v>
      </c>
      <c r="K359" t="e">
        <f t="shared" ca="1" si="90"/>
        <v>#N/A</v>
      </c>
      <c r="O359" s="22" t="e">
        <f t="shared" ca="1" si="86"/>
        <v>#N/A</v>
      </c>
      <c r="P359" s="17" t="e">
        <f ca="1"/>
        <v>#N/A</v>
      </c>
      <c r="Q359" s="17" t="e">
        <f ca="1"/>
        <v>#N/A</v>
      </c>
      <c r="R359" s="23" t="e">
        <f ca="1"/>
        <v>#N/A</v>
      </c>
      <c r="S359" s="23">
        <f t="shared" ca="1" si="94"/>
        <v>0</v>
      </c>
      <c r="T359" t="b">
        <f t="shared" ca="1" si="91"/>
        <v>1</v>
      </c>
      <c r="U359" s="22" t="e">
        <f t="shared" ca="1" si="87"/>
        <v>#N/A</v>
      </c>
      <c r="V359">
        <f t="shared" ca="1" si="88"/>
        <v>0</v>
      </c>
    </row>
    <row r="360" spans="2:22">
      <c r="B360">
        <f t="shared" si="92"/>
        <v>350</v>
      </c>
      <c r="C360" s="22" t="e">
        <f ca="1"/>
        <v>#N/A</v>
      </c>
      <c r="D360" s="17" t="e">
        <f ca="1"/>
        <v>#N/A</v>
      </c>
      <c r="E360" s="17" t="e">
        <f ca="1"/>
        <v>#N/A</v>
      </c>
      <c r="F360" s="23" t="e">
        <f ca="1"/>
        <v>#N/A</v>
      </c>
      <c r="G360" s="23">
        <f t="shared" ca="1" si="93"/>
        <v>0</v>
      </c>
      <c r="H360" t="b">
        <f t="shared" ca="1" si="89"/>
        <v>1</v>
      </c>
      <c r="I360" s="22" t="e">
        <f t="shared" ca="1" si="84"/>
        <v>#N/A</v>
      </c>
      <c r="J360">
        <f t="shared" ca="1" si="85"/>
        <v>0</v>
      </c>
      <c r="K360" t="e">
        <f t="shared" ca="1" si="90"/>
        <v>#N/A</v>
      </c>
      <c r="O360" s="22" t="e">
        <f t="shared" ca="1" si="86"/>
        <v>#N/A</v>
      </c>
      <c r="P360" s="17" t="e">
        <f ca="1"/>
        <v>#N/A</v>
      </c>
      <c r="Q360" s="17" t="e">
        <f ca="1"/>
        <v>#N/A</v>
      </c>
      <c r="R360" s="23" t="e">
        <f ca="1"/>
        <v>#N/A</v>
      </c>
      <c r="S360" s="23">
        <f t="shared" ca="1" si="94"/>
        <v>0</v>
      </c>
      <c r="T360" t="b">
        <f t="shared" ca="1" si="91"/>
        <v>1</v>
      </c>
      <c r="U360" s="22" t="e">
        <f t="shared" ca="1" si="87"/>
        <v>#N/A</v>
      </c>
      <c r="V360">
        <f t="shared" ca="1" si="88"/>
        <v>0</v>
      </c>
    </row>
    <row r="361" spans="2:22">
      <c r="B361">
        <f t="shared" si="92"/>
        <v>351</v>
      </c>
      <c r="C361" s="22" t="e">
        <f ca="1"/>
        <v>#N/A</v>
      </c>
      <c r="D361" s="17" t="e">
        <f ca="1"/>
        <v>#N/A</v>
      </c>
      <c r="E361" s="17" t="e">
        <f ca="1"/>
        <v>#N/A</v>
      </c>
      <c r="F361" s="23" t="e">
        <f ca="1"/>
        <v>#N/A</v>
      </c>
      <c r="G361" s="23">
        <f t="shared" ca="1" si="93"/>
        <v>0</v>
      </c>
      <c r="H361" t="b">
        <f t="shared" ca="1" si="89"/>
        <v>1</v>
      </c>
      <c r="I361" s="22" t="e">
        <f t="shared" ca="1" si="84"/>
        <v>#N/A</v>
      </c>
      <c r="J361">
        <f t="shared" ca="1" si="85"/>
        <v>0</v>
      </c>
      <c r="K361" t="e">
        <f t="shared" ca="1" si="90"/>
        <v>#N/A</v>
      </c>
      <c r="O361" s="22" t="e">
        <f t="shared" ca="1" si="86"/>
        <v>#N/A</v>
      </c>
      <c r="P361" s="17" t="e">
        <f ca="1"/>
        <v>#N/A</v>
      </c>
      <c r="Q361" s="17" t="e">
        <f ca="1"/>
        <v>#N/A</v>
      </c>
      <c r="R361" s="23" t="e">
        <f ca="1"/>
        <v>#N/A</v>
      </c>
      <c r="S361" s="23">
        <f t="shared" ca="1" si="94"/>
        <v>0</v>
      </c>
      <c r="T361" t="b">
        <f t="shared" ca="1" si="91"/>
        <v>1</v>
      </c>
      <c r="U361" s="22" t="e">
        <f t="shared" ca="1" si="87"/>
        <v>#N/A</v>
      </c>
      <c r="V361">
        <f t="shared" ca="1" si="88"/>
        <v>0</v>
      </c>
    </row>
    <row r="362" spans="2:22">
      <c r="B362">
        <f t="shared" si="92"/>
        <v>352</v>
      </c>
      <c r="C362" s="22" t="e">
        <f ca="1"/>
        <v>#N/A</v>
      </c>
      <c r="D362" s="17" t="e">
        <f ca="1"/>
        <v>#N/A</v>
      </c>
      <c r="E362" s="17" t="e">
        <f ca="1"/>
        <v>#N/A</v>
      </c>
      <c r="F362" s="23" t="e">
        <f ca="1"/>
        <v>#N/A</v>
      </c>
      <c r="G362" s="23">
        <f t="shared" ca="1" si="93"/>
        <v>0</v>
      </c>
      <c r="H362" t="b">
        <f t="shared" ca="1" si="89"/>
        <v>1</v>
      </c>
      <c r="I362" s="22" t="e">
        <f t="shared" ca="1" si="84"/>
        <v>#N/A</v>
      </c>
      <c r="J362">
        <f t="shared" ca="1" si="85"/>
        <v>0</v>
      </c>
      <c r="K362" t="e">
        <f t="shared" ca="1" si="90"/>
        <v>#N/A</v>
      </c>
      <c r="O362" s="22" t="e">
        <f t="shared" ca="1" si="86"/>
        <v>#N/A</v>
      </c>
      <c r="P362" s="17" t="e">
        <f ca="1"/>
        <v>#N/A</v>
      </c>
      <c r="Q362" s="17" t="e">
        <f ca="1"/>
        <v>#N/A</v>
      </c>
      <c r="R362" s="23" t="e">
        <f ca="1"/>
        <v>#N/A</v>
      </c>
      <c r="S362" s="23">
        <f t="shared" ca="1" si="94"/>
        <v>0</v>
      </c>
      <c r="T362" t="b">
        <f t="shared" ca="1" si="91"/>
        <v>1</v>
      </c>
      <c r="U362" s="22" t="e">
        <f t="shared" ca="1" si="87"/>
        <v>#N/A</v>
      </c>
      <c r="V362">
        <f t="shared" ca="1" si="88"/>
        <v>0</v>
      </c>
    </row>
    <row r="363" spans="2:22">
      <c r="B363">
        <f t="shared" si="92"/>
        <v>353</v>
      </c>
      <c r="C363" s="22" t="e">
        <f ca="1"/>
        <v>#N/A</v>
      </c>
      <c r="D363" s="17" t="e">
        <f ca="1"/>
        <v>#N/A</v>
      </c>
      <c r="E363" s="17" t="e">
        <f ca="1"/>
        <v>#N/A</v>
      </c>
      <c r="F363" s="23" t="e">
        <f ca="1"/>
        <v>#N/A</v>
      </c>
      <c r="G363" s="23">
        <f t="shared" ca="1" si="93"/>
        <v>0</v>
      </c>
      <c r="H363" t="b">
        <f t="shared" ca="1" si="89"/>
        <v>1</v>
      </c>
      <c r="I363" s="22" t="e">
        <f t="shared" ca="1" si="84"/>
        <v>#N/A</v>
      </c>
      <c r="J363">
        <f t="shared" ca="1" si="85"/>
        <v>0</v>
      </c>
      <c r="K363" t="e">
        <f t="shared" ca="1" si="90"/>
        <v>#N/A</v>
      </c>
      <c r="O363" s="22" t="e">
        <f t="shared" ca="1" si="86"/>
        <v>#N/A</v>
      </c>
      <c r="P363" s="17" t="e">
        <f ca="1"/>
        <v>#N/A</v>
      </c>
      <c r="Q363" s="17" t="e">
        <f ca="1"/>
        <v>#N/A</v>
      </c>
      <c r="R363" s="23" t="e">
        <f ca="1"/>
        <v>#N/A</v>
      </c>
      <c r="S363" s="23">
        <f t="shared" ca="1" si="94"/>
        <v>0</v>
      </c>
      <c r="T363" t="b">
        <f t="shared" ca="1" si="91"/>
        <v>1</v>
      </c>
      <c r="U363" s="22" t="e">
        <f t="shared" ca="1" si="87"/>
        <v>#N/A</v>
      </c>
      <c r="V363">
        <f t="shared" ca="1" si="88"/>
        <v>0</v>
      </c>
    </row>
    <row r="364" spans="2:22">
      <c r="B364">
        <f t="shared" si="92"/>
        <v>354</v>
      </c>
      <c r="C364" s="22" t="e">
        <f ca="1"/>
        <v>#N/A</v>
      </c>
      <c r="D364" s="17" t="e">
        <f ca="1"/>
        <v>#N/A</v>
      </c>
      <c r="E364" s="17" t="e">
        <f ca="1"/>
        <v>#N/A</v>
      </c>
      <c r="F364" s="23" t="e">
        <f ca="1"/>
        <v>#N/A</v>
      </c>
      <c r="G364" s="23">
        <f t="shared" ca="1" si="93"/>
        <v>0</v>
      </c>
      <c r="H364" t="b">
        <f t="shared" ca="1" si="89"/>
        <v>1</v>
      </c>
      <c r="I364" s="22" t="e">
        <f t="shared" ca="1" si="84"/>
        <v>#N/A</v>
      </c>
      <c r="J364">
        <f t="shared" ca="1" si="85"/>
        <v>0</v>
      </c>
      <c r="K364" t="e">
        <f t="shared" ca="1" si="90"/>
        <v>#N/A</v>
      </c>
      <c r="O364" s="22" t="e">
        <f t="shared" ca="1" si="86"/>
        <v>#N/A</v>
      </c>
      <c r="P364" s="17" t="e">
        <f ca="1"/>
        <v>#N/A</v>
      </c>
      <c r="Q364" s="17" t="e">
        <f ca="1"/>
        <v>#N/A</v>
      </c>
      <c r="R364" s="23" t="e">
        <f ca="1"/>
        <v>#N/A</v>
      </c>
      <c r="S364" s="23">
        <f t="shared" ca="1" si="94"/>
        <v>0</v>
      </c>
      <c r="T364" t="b">
        <f t="shared" ca="1" si="91"/>
        <v>1</v>
      </c>
      <c r="U364" s="22" t="e">
        <f t="shared" ca="1" si="87"/>
        <v>#N/A</v>
      </c>
      <c r="V364">
        <f t="shared" ca="1" si="88"/>
        <v>0</v>
      </c>
    </row>
    <row r="365" spans="2:22">
      <c r="B365">
        <f t="shared" si="92"/>
        <v>355</v>
      </c>
      <c r="C365" s="22" t="e">
        <f ca="1"/>
        <v>#N/A</v>
      </c>
      <c r="D365" s="17" t="e">
        <f ca="1"/>
        <v>#N/A</v>
      </c>
      <c r="E365" s="17" t="e">
        <f ca="1"/>
        <v>#N/A</v>
      </c>
      <c r="F365" s="23" t="e">
        <f ca="1"/>
        <v>#N/A</v>
      </c>
      <c r="G365" s="23">
        <f t="shared" ca="1" si="93"/>
        <v>0</v>
      </c>
      <c r="H365" t="b">
        <f t="shared" ca="1" si="89"/>
        <v>1</v>
      </c>
      <c r="I365" s="22" t="e">
        <f t="shared" ca="1" si="84"/>
        <v>#N/A</v>
      </c>
      <c r="J365">
        <f t="shared" ca="1" si="85"/>
        <v>0</v>
      </c>
      <c r="K365" t="e">
        <f t="shared" ca="1" si="90"/>
        <v>#N/A</v>
      </c>
      <c r="O365" s="22" t="e">
        <f t="shared" ca="1" si="86"/>
        <v>#N/A</v>
      </c>
      <c r="P365" s="17" t="e">
        <f ca="1"/>
        <v>#N/A</v>
      </c>
      <c r="Q365" s="17" t="e">
        <f ca="1"/>
        <v>#N/A</v>
      </c>
      <c r="R365" s="23" t="e">
        <f ca="1"/>
        <v>#N/A</v>
      </c>
      <c r="S365" s="23">
        <f t="shared" ca="1" si="94"/>
        <v>0</v>
      </c>
      <c r="T365" t="b">
        <f t="shared" ca="1" si="91"/>
        <v>1</v>
      </c>
      <c r="U365" s="22" t="e">
        <f t="shared" ca="1" si="87"/>
        <v>#N/A</v>
      </c>
      <c r="V365">
        <f t="shared" ca="1" si="88"/>
        <v>0</v>
      </c>
    </row>
    <row r="366" spans="2:22">
      <c r="B366">
        <f t="shared" si="92"/>
        <v>356</v>
      </c>
      <c r="C366" s="22" t="e">
        <f ca="1"/>
        <v>#N/A</v>
      </c>
      <c r="D366" s="17" t="e">
        <f ca="1"/>
        <v>#N/A</v>
      </c>
      <c r="E366" s="17" t="e">
        <f ca="1"/>
        <v>#N/A</v>
      </c>
      <c r="F366" s="23" t="e">
        <f ca="1"/>
        <v>#N/A</v>
      </c>
      <c r="G366" s="23">
        <f t="shared" ca="1" si="93"/>
        <v>0</v>
      </c>
      <c r="H366" t="b">
        <f t="shared" ca="1" si="89"/>
        <v>1</v>
      </c>
      <c r="I366" s="22" t="e">
        <f t="shared" ca="1" si="84"/>
        <v>#N/A</v>
      </c>
      <c r="J366">
        <f t="shared" ca="1" si="85"/>
        <v>0</v>
      </c>
      <c r="K366" t="e">
        <f t="shared" ca="1" si="90"/>
        <v>#N/A</v>
      </c>
      <c r="O366" s="22" t="e">
        <f t="shared" ca="1" si="86"/>
        <v>#N/A</v>
      </c>
      <c r="P366" s="17" t="e">
        <f ca="1"/>
        <v>#N/A</v>
      </c>
      <c r="Q366" s="17" t="e">
        <f ca="1"/>
        <v>#N/A</v>
      </c>
      <c r="R366" s="23" t="e">
        <f ca="1"/>
        <v>#N/A</v>
      </c>
      <c r="S366" s="23">
        <f t="shared" ca="1" si="94"/>
        <v>0</v>
      </c>
      <c r="T366" t="b">
        <f t="shared" ca="1" si="91"/>
        <v>1</v>
      </c>
      <c r="U366" s="22" t="e">
        <f t="shared" ca="1" si="87"/>
        <v>#N/A</v>
      </c>
      <c r="V366">
        <f t="shared" ca="1" si="88"/>
        <v>0</v>
      </c>
    </row>
    <row r="367" spans="2:22">
      <c r="B367">
        <f t="shared" si="92"/>
        <v>357</v>
      </c>
      <c r="C367" s="22" t="e">
        <f ca="1"/>
        <v>#N/A</v>
      </c>
      <c r="D367" s="17" t="e">
        <f ca="1"/>
        <v>#N/A</v>
      </c>
      <c r="E367" s="17" t="e">
        <f ca="1"/>
        <v>#N/A</v>
      </c>
      <c r="F367" s="23" t="e">
        <f ca="1"/>
        <v>#N/A</v>
      </c>
      <c r="G367" s="23">
        <f t="shared" ca="1" si="93"/>
        <v>0</v>
      </c>
      <c r="H367" t="b">
        <f t="shared" ca="1" si="89"/>
        <v>1</v>
      </c>
      <c r="I367" s="22" t="e">
        <f t="shared" ca="1" si="84"/>
        <v>#N/A</v>
      </c>
      <c r="J367">
        <f t="shared" ca="1" si="85"/>
        <v>0</v>
      </c>
      <c r="K367" t="e">
        <f t="shared" ca="1" si="90"/>
        <v>#N/A</v>
      </c>
      <c r="O367" s="22" t="e">
        <f t="shared" ca="1" si="86"/>
        <v>#N/A</v>
      </c>
      <c r="P367" s="17" t="e">
        <f ca="1"/>
        <v>#N/A</v>
      </c>
      <c r="Q367" s="17" t="e">
        <f ca="1"/>
        <v>#N/A</v>
      </c>
      <c r="R367" s="23" t="e">
        <f ca="1"/>
        <v>#N/A</v>
      </c>
      <c r="S367" s="23">
        <f t="shared" ca="1" si="94"/>
        <v>0</v>
      </c>
      <c r="T367" t="b">
        <f t="shared" ca="1" si="91"/>
        <v>1</v>
      </c>
      <c r="U367" s="22" t="e">
        <f t="shared" ca="1" si="87"/>
        <v>#N/A</v>
      </c>
      <c r="V367">
        <f t="shared" ca="1" si="88"/>
        <v>0</v>
      </c>
    </row>
    <row r="368" spans="2:22">
      <c r="B368">
        <f t="shared" si="92"/>
        <v>358</v>
      </c>
      <c r="C368" s="22" t="e">
        <f ca="1"/>
        <v>#N/A</v>
      </c>
      <c r="D368" s="17" t="e">
        <f ca="1"/>
        <v>#N/A</v>
      </c>
      <c r="E368" s="17" t="e">
        <f ca="1"/>
        <v>#N/A</v>
      </c>
      <c r="F368" s="23" t="e">
        <f ca="1"/>
        <v>#N/A</v>
      </c>
      <c r="G368" s="23">
        <f t="shared" ca="1" si="93"/>
        <v>0</v>
      </c>
      <c r="H368" t="b">
        <f t="shared" ca="1" si="89"/>
        <v>1</v>
      </c>
      <c r="I368" s="22" t="e">
        <f t="shared" ca="1" si="84"/>
        <v>#N/A</v>
      </c>
      <c r="J368">
        <f t="shared" ca="1" si="85"/>
        <v>0</v>
      </c>
      <c r="K368" t="e">
        <f t="shared" ca="1" si="90"/>
        <v>#N/A</v>
      </c>
      <c r="O368" s="22" t="e">
        <f t="shared" ca="1" si="86"/>
        <v>#N/A</v>
      </c>
      <c r="P368" s="17" t="e">
        <f ca="1"/>
        <v>#N/A</v>
      </c>
      <c r="Q368" s="17" t="e">
        <f ca="1"/>
        <v>#N/A</v>
      </c>
      <c r="R368" s="23" t="e">
        <f ca="1"/>
        <v>#N/A</v>
      </c>
      <c r="S368" s="23">
        <f t="shared" ca="1" si="94"/>
        <v>0</v>
      </c>
      <c r="T368" t="b">
        <f t="shared" ca="1" si="91"/>
        <v>1</v>
      </c>
      <c r="U368" s="22" t="e">
        <f t="shared" ca="1" si="87"/>
        <v>#N/A</v>
      </c>
      <c r="V368">
        <f t="shared" ca="1" si="88"/>
        <v>0</v>
      </c>
    </row>
    <row r="369" spans="2:22">
      <c r="B369">
        <f t="shared" si="92"/>
        <v>359</v>
      </c>
      <c r="C369" s="22" t="e">
        <f ca="1"/>
        <v>#N/A</v>
      </c>
      <c r="D369" s="17" t="e">
        <f ca="1"/>
        <v>#N/A</v>
      </c>
      <c r="E369" s="17" t="e">
        <f ca="1"/>
        <v>#N/A</v>
      </c>
      <c r="F369" s="23" t="e">
        <f ca="1"/>
        <v>#N/A</v>
      </c>
      <c r="G369" s="23">
        <f t="shared" ca="1" si="93"/>
        <v>0</v>
      </c>
      <c r="H369" t="b">
        <f t="shared" ca="1" si="89"/>
        <v>1</v>
      </c>
      <c r="I369" s="22" t="e">
        <f t="shared" ca="1" si="84"/>
        <v>#N/A</v>
      </c>
      <c r="J369">
        <f t="shared" ca="1" si="85"/>
        <v>0</v>
      </c>
      <c r="K369" t="e">
        <f t="shared" ca="1" si="90"/>
        <v>#N/A</v>
      </c>
      <c r="O369" s="22" t="e">
        <f t="shared" ca="1" si="86"/>
        <v>#N/A</v>
      </c>
      <c r="P369" s="17" t="e">
        <f ca="1"/>
        <v>#N/A</v>
      </c>
      <c r="Q369" s="17" t="e">
        <f ca="1"/>
        <v>#N/A</v>
      </c>
      <c r="R369" s="23" t="e">
        <f ca="1"/>
        <v>#N/A</v>
      </c>
      <c r="S369" s="23">
        <f t="shared" ca="1" si="94"/>
        <v>0</v>
      </c>
      <c r="T369" t="b">
        <f t="shared" ca="1" si="91"/>
        <v>1</v>
      </c>
      <c r="U369" s="22" t="e">
        <f t="shared" ca="1" si="87"/>
        <v>#N/A</v>
      </c>
      <c r="V369">
        <f t="shared" ca="1" si="88"/>
        <v>0</v>
      </c>
    </row>
    <row r="370" spans="2:22">
      <c r="B370">
        <f t="shared" si="92"/>
        <v>360</v>
      </c>
      <c r="C370" s="22" t="e">
        <f ca="1"/>
        <v>#N/A</v>
      </c>
      <c r="D370" s="17" t="e">
        <f ca="1"/>
        <v>#N/A</v>
      </c>
      <c r="E370" s="17" t="e">
        <f ca="1"/>
        <v>#N/A</v>
      </c>
      <c r="F370" s="23" t="e">
        <f ca="1"/>
        <v>#N/A</v>
      </c>
      <c r="G370" s="23">
        <f t="shared" ca="1" si="93"/>
        <v>0</v>
      </c>
      <c r="H370" t="b">
        <f t="shared" ca="1" si="89"/>
        <v>1</v>
      </c>
      <c r="I370" s="22" t="e">
        <f t="shared" ca="1" si="84"/>
        <v>#N/A</v>
      </c>
      <c r="J370">
        <f t="shared" ca="1" si="85"/>
        <v>0</v>
      </c>
      <c r="K370" t="e">
        <f t="shared" ca="1" si="90"/>
        <v>#N/A</v>
      </c>
      <c r="O370" s="22" t="e">
        <f t="shared" ca="1" si="86"/>
        <v>#N/A</v>
      </c>
      <c r="P370" s="17" t="e">
        <f ca="1"/>
        <v>#N/A</v>
      </c>
      <c r="Q370" s="17" t="e">
        <f ca="1"/>
        <v>#N/A</v>
      </c>
      <c r="R370" s="23" t="e">
        <f ca="1"/>
        <v>#N/A</v>
      </c>
      <c r="S370" s="23">
        <f t="shared" ca="1" si="94"/>
        <v>0</v>
      </c>
      <c r="T370" t="b">
        <f t="shared" ca="1" si="91"/>
        <v>1</v>
      </c>
      <c r="U370" s="22" t="e">
        <f t="shared" ca="1" si="87"/>
        <v>#N/A</v>
      </c>
      <c r="V370">
        <f t="shared" ca="1" si="88"/>
        <v>0</v>
      </c>
    </row>
    <row r="371" spans="2:22">
      <c r="B371">
        <f t="shared" si="92"/>
        <v>361</v>
      </c>
      <c r="C371" s="22" t="e">
        <f ca="1"/>
        <v>#N/A</v>
      </c>
      <c r="D371" s="17" t="e">
        <f ca="1"/>
        <v>#N/A</v>
      </c>
      <c r="E371" s="17" t="e">
        <f ca="1"/>
        <v>#N/A</v>
      </c>
      <c r="F371" s="23" t="e">
        <f ca="1"/>
        <v>#N/A</v>
      </c>
      <c r="G371" s="23">
        <f t="shared" ca="1" si="93"/>
        <v>0</v>
      </c>
      <c r="H371" t="b">
        <f t="shared" ca="1" si="89"/>
        <v>1</v>
      </c>
      <c r="I371" s="22" t="e">
        <f t="shared" ca="1" si="84"/>
        <v>#N/A</v>
      </c>
      <c r="J371">
        <f t="shared" ca="1" si="85"/>
        <v>0</v>
      </c>
      <c r="K371" t="e">
        <f t="shared" ca="1" si="90"/>
        <v>#N/A</v>
      </c>
      <c r="O371" s="22" t="e">
        <f t="shared" ca="1" si="86"/>
        <v>#N/A</v>
      </c>
      <c r="P371" s="17" t="e">
        <f ca="1"/>
        <v>#N/A</v>
      </c>
      <c r="Q371" s="17" t="e">
        <f ca="1"/>
        <v>#N/A</v>
      </c>
      <c r="R371" s="23" t="e">
        <f ca="1"/>
        <v>#N/A</v>
      </c>
      <c r="S371" s="23">
        <f t="shared" ca="1" si="94"/>
        <v>0</v>
      </c>
      <c r="T371" t="b">
        <f t="shared" ca="1" si="91"/>
        <v>1</v>
      </c>
      <c r="U371" s="22" t="e">
        <f t="shared" ca="1" si="87"/>
        <v>#N/A</v>
      </c>
      <c r="V371">
        <f t="shared" ca="1" si="88"/>
        <v>0</v>
      </c>
    </row>
    <row r="372" spans="2:22">
      <c r="B372">
        <f t="shared" si="92"/>
        <v>362</v>
      </c>
      <c r="C372" s="22" t="e">
        <f ca="1"/>
        <v>#N/A</v>
      </c>
      <c r="D372" s="17" t="e">
        <f ca="1"/>
        <v>#N/A</v>
      </c>
      <c r="E372" s="17" t="e">
        <f ca="1"/>
        <v>#N/A</v>
      </c>
      <c r="F372" s="23" t="e">
        <f ca="1"/>
        <v>#N/A</v>
      </c>
      <c r="G372" s="23">
        <f t="shared" ca="1" si="93"/>
        <v>0</v>
      </c>
      <c r="H372" t="b">
        <f t="shared" ca="1" si="89"/>
        <v>1</v>
      </c>
      <c r="I372" s="22" t="e">
        <f t="shared" ca="1" si="84"/>
        <v>#N/A</v>
      </c>
      <c r="J372">
        <f t="shared" ca="1" si="85"/>
        <v>0</v>
      </c>
      <c r="K372" t="e">
        <f t="shared" ca="1" si="90"/>
        <v>#N/A</v>
      </c>
      <c r="O372" s="22" t="e">
        <f t="shared" ca="1" si="86"/>
        <v>#N/A</v>
      </c>
      <c r="P372" s="17" t="e">
        <f ca="1"/>
        <v>#N/A</v>
      </c>
      <c r="Q372" s="17" t="e">
        <f ca="1"/>
        <v>#N/A</v>
      </c>
      <c r="R372" s="23" t="e">
        <f ca="1"/>
        <v>#N/A</v>
      </c>
      <c r="S372" s="23">
        <f t="shared" ca="1" si="94"/>
        <v>0</v>
      </c>
      <c r="T372" t="b">
        <f t="shared" ca="1" si="91"/>
        <v>1</v>
      </c>
      <c r="U372" s="22" t="e">
        <f t="shared" ca="1" si="87"/>
        <v>#N/A</v>
      </c>
      <c r="V372">
        <f t="shared" ca="1" si="88"/>
        <v>0</v>
      </c>
    </row>
    <row r="373" spans="2:22">
      <c r="B373">
        <f t="shared" si="92"/>
        <v>363</v>
      </c>
      <c r="C373" s="22" t="e">
        <f ca="1"/>
        <v>#N/A</v>
      </c>
      <c r="D373" s="17" t="e">
        <f ca="1"/>
        <v>#N/A</v>
      </c>
      <c r="E373" s="17" t="e">
        <f ca="1"/>
        <v>#N/A</v>
      </c>
      <c r="F373" s="23" t="e">
        <f ca="1"/>
        <v>#N/A</v>
      </c>
      <c r="G373" s="23">
        <f t="shared" ca="1" si="93"/>
        <v>0</v>
      </c>
      <c r="H373" t="b">
        <f t="shared" ca="1" si="89"/>
        <v>1</v>
      </c>
      <c r="I373" s="22" t="e">
        <f t="shared" ca="1" si="84"/>
        <v>#N/A</v>
      </c>
      <c r="J373">
        <f t="shared" ca="1" si="85"/>
        <v>0</v>
      </c>
      <c r="K373" t="e">
        <f t="shared" ca="1" si="90"/>
        <v>#N/A</v>
      </c>
      <c r="O373" s="22" t="e">
        <f t="shared" ca="1" si="86"/>
        <v>#N/A</v>
      </c>
      <c r="P373" s="17" t="e">
        <f ca="1"/>
        <v>#N/A</v>
      </c>
      <c r="Q373" s="17" t="e">
        <f ca="1"/>
        <v>#N/A</v>
      </c>
      <c r="R373" s="23" t="e">
        <f ca="1"/>
        <v>#N/A</v>
      </c>
      <c r="S373" s="23">
        <f t="shared" ca="1" si="94"/>
        <v>0</v>
      </c>
      <c r="T373" t="b">
        <f t="shared" ca="1" si="91"/>
        <v>1</v>
      </c>
      <c r="U373" s="22" t="e">
        <f t="shared" ca="1" si="87"/>
        <v>#N/A</v>
      </c>
      <c r="V373">
        <f t="shared" ca="1" si="88"/>
        <v>0</v>
      </c>
    </row>
    <row r="374" spans="2:22">
      <c r="B374">
        <f t="shared" si="92"/>
        <v>364</v>
      </c>
      <c r="C374" s="22" t="e">
        <f ca="1"/>
        <v>#N/A</v>
      </c>
      <c r="D374" s="17" t="e">
        <f ca="1"/>
        <v>#N/A</v>
      </c>
      <c r="E374" s="17" t="e">
        <f ca="1"/>
        <v>#N/A</v>
      </c>
      <c r="F374" s="23" t="e">
        <f ca="1"/>
        <v>#N/A</v>
      </c>
      <c r="G374" s="23">
        <f t="shared" ca="1" si="93"/>
        <v>0</v>
      </c>
      <c r="H374" t="b">
        <f t="shared" ca="1" si="89"/>
        <v>1</v>
      </c>
      <c r="I374" s="22" t="e">
        <f t="shared" ca="1" si="84"/>
        <v>#N/A</v>
      </c>
      <c r="J374">
        <f t="shared" ca="1" si="85"/>
        <v>0</v>
      </c>
      <c r="K374" t="e">
        <f t="shared" ca="1" si="90"/>
        <v>#N/A</v>
      </c>
      <c r="O374" s="22" t="e">
        <f t="shared" ca="1" si="86"/>
        <v>#N/A</v>
      </c>
      <c r="P374" s="17" t="e">
        <f ca="1"/>
        <v>#N/A</v>
      </c>
      <c r="Q374" s="17" t="e">
        <f ca="1"/>
        <v>#N/A</v>
      </c>
      <c r="R374" s="23" t="e">
        <f ca="1"/>
        <v>#N/A</v>
      </c>
      <c r="S374" s="23">
        <f t="shared" ca="1" si="94"/>
        <v>0</v>
      </c>
      <c r="T374" t="b">
        <f t="shared" ca="1" si="91"/>
        <v>1</v>
      </c>
      <c r="U374" s="22" t="e">
        <f t="shared" ca="1" si="87"/>
        <v>#N/A</v>
      </c>
      <c r="V374">
        <f t="shared" ca="1" si="88"/>
        <v>0</v>
      </c>
    </row>
    <row r="375" spans="2:22">
      <c r="B375">
        <f t="shared" si="92"/>
        <v>365</v>
      </c>
      <c r="C375" s="22" t="e">
        <f ca="1"/>
        <v>#N/A</v>
      </c>
      <c r="D375" s="17" t="e">
        <f ca="1"/>
        <v>#N/A</v>
      </c>
      <c r="E375" s="17" t="e">
        <f ca="1"/>
        <v>#N/A</v>
      </c>
      <c r="F375" s="23" t="e">
        <f ca="1"/>
        <v>#N/A</v>
      </c>
      <c r="G375" s="23">
        <f t="shared" ca="1" si="93"/>
        <v>0</v>
      </c>
      <c r="H375" t="b">
        <f t="shared" ca="1" si="89"/>
        <v>1</v>
      </c>
      <c r="I375" s="22" t="e">
        <f t="shared" ca="1" si="84"/>
        <v>#N/A</v>
      </c>
      <c r="J375">
        <f t="shared" ca="1" si="85"/>
        <v>0</v>
      </c>
      <c r="K375" t="e">
        <f t="shared" ca="1" si="90"/>
        <v>#N/A</v>
      </c>
      <c r="O375" s="22" t="e">
        <f t="shared" ca="1" si="86"/>
        <v>#N/A</v>
      </c>
      <c r="P375" s="17" t="e">
        <f ca="1"/>
        <v>#N/A</v>
      </c>
      <c r="Q375" s="17" t="e">
        <f ca="1"/>
        <v>#N/A</v>
      </c>
      <c r="R375" s="23" t="e">
        <f ca="1"/>
        <v>#N/A</v>
      </c>
      <c r="S375" s="23">
        <f t="shared" ca="1" si="94"/>
        <v>0</v>
      </c>
      <c r="T375" t="b">
        <f t="shared" ca="1" si="91"/>
        <v>1</v>
      </c>
      <c r="U375" s="22" t="e">
        <f t="shared" ca="1" si="87"/>
        <v>#N/A</v>
      </c>
      <c r="V375">
        <f t="shared" ca="1" si="88"/>
        <v>0</v>
      </c>
    </row>
    <row r="376" spans="2:22">
      <c r="B376">
        <f t="shared" si="92"/>
        <v>366</v>
      </c>
      <c r="C376" s="22" t="e">
        <f ca="1"/>
        <v>#N/A</v>
      </c>
      <c r="D376" s="17" t="e">
        <f ca="1"/>
        <v>#N/A</v>
      </c>
      <c r="E376" s="17" t="e">
        <f ca="1"/>
        <v>#N/A</v>
      </c>
      <c r="F376" s="23" t="e">
        <f ca="1"/>
        <v>#N/A</v>
      </c>
      <c r="G376" s="23">
        <f t="shared" ca="1" si="93"/>
        <v>0</v>
      </c>
      <c r="H376" t="b">
        <f t="shared" ca="1" si="89"/>
        <v>1</v>
      </c>
      <c r="I376" s="22" t="e">
        <f t="shared" ca="1" si="84"/>
        <v>#N/A</v>
      </c>
      <c r="J376">
        <f t="shared" ca="1" si="85"/>
        <v>0</v>
      </c>
      <c r="K376" t="e">
        <f t="shared" ca="1" si="90"/>
        <v>#N/A</v>
      </c>
      <c r="O376" s="22" t="e">
        <f t="shared" ca="1" si="86"/>
        <v>#N/A</v>
      </c>
      <c r="P376" s="17" t="e">
        <f ca="1"/>
        <v>#N/A</v>
      </c>
      <c r="Q376" s="17" t="e">
        <f ca="1"/>
        <v>#N/A</v>
      </c>
      <c r="R376" s="23" t="e">
        <f ca="1"/>
        <v>#N/A</v>
      </c>
      <c r="S376" s="23">
        <f t="shared" ca="1" si="94"/>
        <v>0</v>
      </c>
      <c r="T376" t="b">
        <f t="shared" ca="1" si="91"/>
        <v>1</v>
      </c>
      <c r="U376" s="22" t="e">
        <f t="shared" ca="1" si="87"/>
        <v>#N/A</v>
      </c>
      <c r="V376">
        <f t="shared" ca="1" si="88"/>
        <v>0</v>
      </c>
    </row>
    <row r="377" spans="2:22">
      <c r="B377">
        <f t="shared" si="92"/>
        <v>367</v>
      </c>
      <c r="C377" s="22" t="e">
        <f ca="1"/>
        <v>#N/A</v>
      </c>
      <c r="D377" s="17" t="e">
        <f ca="1"/>
        <v>#N/A</v>
      </c>
      <c r="E377" s="17" t="e">
        <f ca="1"/>
        <v>#N/A</v>
      </c>
      <c r="F377" s="23" t="e">
        <f ca="1"/>
        <v>#N/A</v>
      </c>
      <c r="G377" s="23">
        <f t="shared" ca="1" si="93"/>
        <v>0</v>
      </c>
      <c r="H377" t="b">
        <f t="shared" ca="1" si="89"/>
        <v>1</v>
      </c>
      <c r="I377" s="22" t="e">
        <f t="shared" ca="1" si="84"/>
        <v>#N/A</v>
      </c>
      <c r="J377">
        <f t="shared" ca="1" si="85"/>
        <v>0</v>
      </c>
      <c r="K377" t="e">
        <f t="shared" ca="1" si="90"/>
        <v>#N/A</v>
      </c>
      <c r="O377" s="22" t="e">
        <f t="shared" ca="1" si="86"/>
        <v>#N/A</v>
      </c>
      <c r="P377" s="17" t="e">
        <f ca="1"/>
        <v>#N/A</v>
      </c>
      <c r="Q377" s="17" t="e">
        <f ca="1"/>
        <v>#N/A</v>
      </c>
      <c r="R377" s="23" t="e">
        <f ca="1"/>
        <v>#N/A</v>
      </c>
      <c r="S377" s="23">
        <f t="shared" ca="1" si="94"/>
        <v>0</v>
      </c>
      <c r="T377" t="b">
        <f t="shared" ca="1" si="91"/>
        <v>1</v>
      </c>
      <c r="U377" s="22" t="e">
        <f t="shared" ca="1" si="87"/>
        <v>#N/A</v>
      </c>
      <c r="V377">
        <f t="shared" ca="1" si="88"/>
        <v>0</v>
      </c>
    </row>
    <row r="378" spans="2:22">
      <c r="B378">
        <f t="shared" si="92"/>
        <v>368</v>
      </c>
      <c r="C378" s="22" t="e">
        <f ca="1"/>
        <v>#N/A</v>
      </c>
      <c r="D378" s="17" t="e">
        <f ca="1"/>
        <v>#N/A</v>
      </c>
      <c r="E378" s="17" t="e">
        <f ca="1"/>
        <v>#N/A</v>
      </c>
      <c r="F378" s="23" t="e">
        <f ca="1"/>
        <v>#N/A</v>
      </c>
      <c r="G378" s="23">
        <f t="shared" ca="1" si="93"/>
        <v>0</v>
      </c>
      <c r="H378" t="b">
        <f t="shared" ca="1" si="89"/>
        <v>1</v>
      </c>
      <c r="I378" s="22" t="e">
        <f t="shared" ca="1" si="84"/>
        <v>#N/A</v>
      </c>
      <c r="J378">
        <f t="shared" ca="1" si="85"/>
        <v>0</v>
      </c>
      <c r="K378" t="e">
        <f t="shared" ca="1" si="90"/>
        <v>#N/A</v>
      </c>
      <c r="O378" s="22" t="e">
        <f t="shared" ca="1" si="86"/>
        <v>#N/A</v>
      </c>
      <c r="P378" s="17" t="e">
        <f ca="1"/>
        <v>#N/A</v>
      </c>
      <c r="Q378" s="17" t="e">
        <f ca="1"/>
        <v>#N/A</v>
      </c>
      <c r="R378" s="23" t="e">
        <f ca="1"/>
        <v>#N/A</v>
      </c>
      <c r="S378" s="23">
        <f t="shared" ca="1" si="94"/>
        <v>0</v>
      </c>
      <c r="T378" t="b">
        <f t="shared" ca="1" si="91"/>
        <v>1</v>
      </c>
      <c r="U378" s="22" t="e">
        <f t="shared" ca="1" si="87"/>
        <v>#N/A</v>
      </c>
      <c r="V378">
        <f t="shared" ca="1" si="88"/>
        <v>0</v>
      </c>
    </row>
    <row r="379" spans="2:22">
      <c r="B379">
        <f t="shared" si="92"/>
        <v>369</v>
      </c>
      <c r="C379" s="22" t="e">
        <f ca="1"/>
        <v>#N/A</v>
      </c>
      <c r="D379" s="17" t="e">
        <f ca="1"/>
        <v>#N/A</v>
      </c>
      <c r="E379" s="17" t="e">
        <f ca="1"/>
        <v>#N/A</v>
      </c>
      <c r="F379" s="23" t="e">
        <f ca="1"/>
        <v>#N/A</v>
      </c>
      <c r="G379" s="23">
        <f t="shared" ca="1" si="93"/>
        <v>0</v>
      </c>
      <c r="H379" t="b">
        <f t="shared" ca="1" si="89"/>
        <v>1</v>
      </c>
      <c r="I379" s="22" t="e">
        <f t="shared" ca="1" si="84"/>
        <v>#N/A</v>
      </c>
      <c r="J379">
        <f t="shared" ca="1" si="85"/>
        <v>0</v>
      </c>
      <c r="K379" t="e">
        <f t="shared" ca="1" si="90"/>
        <v>#N/A</v>
      </c>
      <c r="O379" s="22" t="e">
        <f t="shared" ca="1" si="86"/>
        <v>#N/A</v>
      </c>
      <c r="P379" s="17" t="e">
        <f ca="1"/>
        <v>#N/A</v>
      </c>
      <c r="Q379" s="17" t="e">
        <f ca="1"/>
        <v>#N/A</v>
      </c>
      <c r="R379" s="23" t="e">
        <f ca="1"/>
        <v>#N/A</v>
      </c>
      <c r="S379" s="23">
        <f t="shared" ca="1" si="94"/>
        <v>0</v>
      </c>
      <c r="T379" t="b">
        <f t="shared" ca="1" si="91"/>
        <v>1</v>
      </c>
      <c r="U379" s="22" t="e">
        <f t="shared" ca="1" si="87"/>
        <v>#N/A</v>
      </c>
      <c r="V379">
        <f t="shared" ca="1" si="88"/>
        <v>0</v>
      </c>
    </row>
    <row r="380" spans="2:22">
      <c r="B380">
        <f t="shared" si="92"/>
        <v>370</v>
      </c>
      <c r="C380" s="22" t="e">
        <f ca="1"/>
        <v>#N/A</v>
      </c>
      <c r="D380" s="17" t="e">
        <f ca="1"/>
        <v>#N/A</v>
      </c>
      <c r="E380" s="17" t="e">
        <f ca="1"/>
        <v>#N/A</v>
      </c>
      <c r="F380" s="23" t="e">
        <f ca="1"/>
        <v>#N/A</v>
      </c>
      <c r="G380" s="23">
        <f t="shared" ca="1" si="93"/>
        <v>0</v>
      </c>
      <c r="H380" t="b">
        <f t="shared" ca="1" si="89"/>
        <v>1</v>
      </c>
      <c r="I380" s="22" t="e">
        <f t="shared" ca="1" si="84"/>
        <v>#N/A</v>
      </c>
      <c r="J380">
        <f t="shared" ca="1" si="85"/>
        <v>0</v>
      </c>
      <c r="K380" t="e">
        <f t="shared" ca="1" si="90"/>
        <v>#N/A</v>
      </c>
      <c r="O380" s="22" t="e">
        <f t="shared" ca="1" si="86"/>
        <v>#N/A</v>
      </c>
      <c r="P380" s="17" t="e">
        <f ca="1"/>
        <v>#N/A</v>
      </c>
      <c r="Q380" s="17" t="e">
        <f ca="1"/>
        <v>#N/A</v>
      </c>
      <c r="R380" s="23" t="e">
        <f ca="1"/>
        <v>#N/A</v>
      </c>
      <c r="S380" s="23">
        <f t="shared" ca="1" si="94"/>
        <v>0</v>
      </c>
      <c r="T380" t="b">
        <f t="shared" ca="1" si="91"/>
        <v>1</v>
      </c>
      <c r="U380" s="22" t="e">
        <f t="shared" ca="1" si="87"/>
        <v>#N/A</v>
      </c>
      <c r="V380">
        <f t="shared" ca="1" si="88"/>
        <v>0</v>
      </c>
    </row>
    <row r="381" spans="2:22">
      <c r="B381">
        <f t="shared" si="92"/>
        <v>371</v>
      </c>
      <c r="C381" s="22" t="e">
        <f ca="1"/>
        <v>#N/A</v>
      </c>
      <c r="D381" s="17" t="e">
        <f ca="1"/>
        <v>#N/A</v>
      </c>
      <c r="E381" s="17" t="e">
        <f ca="1"/>
        <v>#N/A</v>
      </c>
      <c r="F381" s="23" t="e">
        <f ca="1"/>
        <v>#N/A</v>
      </c>
      <c r="G381" s="23">
        <f t="shared" ca="1" si="93"/>
        <v>0</v>
      </c>
      <c r="H381" t="b">
        <f t="shared" ca="1" si="89"/>
        <v>1</v>
      </c>
      <c r="I381" s="22" t="e">
        <f t="shared" ca="1" si="84"/>
        <v>#N/A</v>
      </c>
      <c r="J381">
        <f t="shared" ca="1" si="85"/>
        <v>0</v>
      </c>
      <c r="K381" t="e">
        <f t="shared" ca="1" si="90"/>
        <v>#N/A</v>
      </c>
      <c r="O381" s="22" t="e">
        <f t="shared" ca="1" si="86"/>
        <v>#N/A</v>
      </c>
      <c r="P381" s="17" t="e">
        <f ca="1"/>
        <v>#N/A</v>
      </c>
      <c r="Q381" s="17" t="e">
        <f ca="1"/>
        <v>#N/A</v>
      </c>
      <c r="R381" s="23" t="e">
        <f ca="1"/>
        <v>#N/A</v>
      </c>
      <c r="S381" s="23">
        <f t="shared" ca="1" si="94"/>
        <v>0</v>
      </c>
      <c r="T381" t="b">
        <f t="shared" ca="1" si="91"/>
        <v>1</v>
      </c>
      <c r="U381" s="22" t="e">
        <f t="shared" ca="1" si="87"/>
        <v>#N/A</v>
      </c>
      <c r="V381">
        <f t="shared" ca="1" si="88"/>
        <v>0</v>
      </c>
    </row>
    <row r="382" spans="2:22">
      <c r="B382">
        <f t="shared" si="92"/>
        <v>372</v>
      </c>
      <c r="C382" s="22" t="e">
        <f ca="1"/>
        <v>#N/A</v>
      </c>
      <c r="D382" s="17" t="e">
        <f ca="1"/>
        <v>#N/A</v>
      </c>
      <c r="E382" s="17" t="e">
        <f ca="1"/>
        <v>#N/A</v>
      </c>
      <c r="F382" s="23" t="e">
        <f ca="1"/>
        <v>#N/A</v>
      </c>
      <c r="G382" s="23">
        <f t="shared" ca="1" si="93"/>
        <v>0</v>
      </c>
      <c r="H382" t="b">
        <f t="shared" ca="1" si="89"/>
        <v>1</v>
      </c>
      <c r="I382" s="22" t="e">
        <f t="shared" ca="1" si="84"/>
        <v>#N/A</v>
      </c>
      <c r="J382">
        <f t="shared" ca="1" si="85"/>
        <v>0</v>
      </c>
      <c r="K382" t="e">
        <f t="shared" ca="1" si="90"/>
        <v>#N/A</v>
      </c>
      <c r="O382" s="22" t="e">
        <f t="shared" ca="1" si="86"/>
        <v>#N/A</v>
      </c>
      <c r="P382" s="17" t="e">
        <f ca="1"/>
        <v>#N/A</v>
      </c>
      <c r="Q382" s="17" t="e">
        <f ca="1"/>
        <v>#N/A</v>
      </c>
      <c r="R382" s="23" t="e">
        <f ca="1"/>
        <v>#N/A</v>
      </c>
      <c r="S382" s="23">
        <f t="shared" ca="1" si="94"/>
        <v>0</v>
      </c>
      <c r="T382" t="b">
        <f t="shared" ca="1" si="91"/>
        <v>1</v>
      </c>
      <c r="U382" s="22" t="e">
        <f t="shared" ca="1" si="87"/>
        <v>#N/A</v>
      </c>
      <c r="V382">
        <f t="shared" ca="1" si="88"/>
        <v>0</v>
      </c>
    </row>
    <row r="383" spans="2:22">
      <c r="B383">
        <f t="shared" si="92"/>
        <v>373</v>
      </c>
      <c r="C383" s="22" t="e">
        <f ca="1"/>
        <v>#N/A</v>
      </c>
      <c r="D383" s="17" t="e">
        <f ca="1"/>
        <v>#N/A</v>
      </c>
      <c r="E383" s="17" t="e">
        <f ca="1"/>
        <v>#N/A</v>
      </c>
      <c r="F383" s="23" t="e">
        <f ca="1"/>
        <v>#N/A</v>
      </c>
      <c r="G383" s="23">
        <f t="shared" ca="1" si="93"/>
        <v>0</v>
      </c>
      <c r="H383" t="b">
        <f t="shared" ca="1" si="89"/>
        <v>1</v>
      </c>
      <c r="I383" s="22" t="e">
        <f t="shared" ca="1" si="84"/>
        <v>#N/A</v>
      </c>
      <c r="J383">
        <f t="shared" ca="1" si="85"/>
        <v>0</v>
      </c>
      <c r="K383" t="e">
        <f t="shared" ca="1" si="90"/>
        <v>#N/A</v>
      </c>
      <c r="O383" s="22" t="e">
        <f t="shared" ca="1" si="86"/>
        <v>#N/A</v>
      </c>
      <c r="P383" s="17" t="e">
        <f ca="1"/>
        <v>#N/A</v>
      </c>
      <c r="Q383" s="17" t="e">
        <f ca="1"/>
        <v>#N/A</v>
      </c>
      <c r="R383" s="23" t="e">
        <f ca="1"/>
        <v>#N/A</v>
      </c>
      <c r="S383" s="23">
        <f t="shared" ca="1" si="94"/>
        <v>0</v>
      </c>
      <c r="T383" t="b">
        <f t="shared" ca="1" si="91"/>
        <v>1</v>
      </c>
      <c r="U383" s="22" t="e">
        <f t="shared" ca="1" si="87"/>
        <v>#N/A</v>
      </c>
      <c r="V383">
        <f t="shared" ca="1" si="88"/>
        <v>0</v>
      </c>
    </row>
    <row r="384" spans="2:22">
      <c r="B384">
        <f t="shared" si="92"/>
        <v>374</v>
      </c>
      <c r="C384" s="22" t="e">
        <f ca="1"/>
        <v>#N/A</v>
      </c>
      <c r="D384" s="17" t="e">
        <f ca="1"/>
        <v>#N/A</v>
      </c>
      <c r="E384" s="17" t="e">
        <f ca="1"/>
        <v>#N/A</v>
      </c>
      <c r="F384" s="23" t="e">
        <f ca="1"/>
        <v>#N/A</v>
      </c>
      <c r="G384" s="23">
        <f t="shared" ca="1" si="93"/>
        <v>0</v>
      </c>
      <c r="H384" t="b">
        <f t="shared" ca="1" si="89"/>
        <v>1</v>
      </c>
      <c r="I384" s="22" t="e">
        <f t="shared" ca="1" si="84"/>
        <v>#N/A</v>
      </c>
      <c r="J384">
        <f t="shared" ca="1" si="85"/>
        <v>0</v>
      </c>
      <c r="K384" t="e">
        <f t="shared" ca="1" si="90"/>
        <v>#N/A</v>
      </c>
      <c r="O384" s="22" t="e">
        <f t="shared" ca="1" si="86"/>
        <v>#N/A</v>
      </c>
      <c r="P384" s="17" t="e">
        <f ca="1"/>
        <v>#N/A</v>
      </c>
      <c r="Q384" s="17" t="e">
        <f ca="1"/>
        <v>#N/A</v>
      </c>
      <c r="R384" s="23" t="e">
        <f ca="1"/>
        <v>#N/A</v>
      </c>
      <c r="S384" s="23">
        <f t="shared" ca="1" si="94"/>
        <v>0</v>
      </c>
      <c r="T384" t="b">
        <f t="shared" ca="1" si="91"/>
        <v>1</v>
      </c>
      <c r="U384" s="22" t="e">
        <f t="shared" ca="1" si="87"/>
        <v>#N/A</v>
      </c>
      <c r="V384">
        <f t="shared" ca="1" si="88"/>
        <v>0</v>
      </c>
    </row>
    <row r="385" spans="2:22">
      <c r="B385">
        <f t="shared" si="92"/>
        <v>375</v>
      </c>
      <c r="C385" s="22" t="e">
        <f ca="1"/>
        <v>#N/A</v>
      </c>
      <c r="D385" s="17" t="e">
        <f ca="1"/>
        <v>#N/A</v>
      </c>
      <c r="E385" s="17" t="e">
        <f ca="1"/>
        <v>#N/A</v>
      </c>
      <c r="F385" s="23" t="e">
        <f ca="1"/>
        <v>#N/A</v>
      </c>
      <c r="G385" s="23">
        <f t="shared" ca="1" si="93"/>
        <v>0</v>
      </c>
      <c r="H385" t="b">
        <f t="shared" ca="1" si="89"/>
        <v>1</v>
      </c>
      <c r="I385" s="22" t="e">
        <f t="shared" ca="1" si="84"/>
        <v>#N/A</v>
      </c>
      <c r="J385">
        <f t="shared" ca="1" si="85"/>
        <v>0</v>
      </c>
      <c r="K385" t="e">
        <f t="shared" ca="1" si="90"/>
        <v>#N/A</v>
      </c>
      <c r="O385" s="22" t="e">
        <f t="shared" ca="1" si="86"/>
        <v>#N/A</v>
      </c>
      <c r="P385" s="17" t="e">
        <f ca="1"/>
        <v>#N/A</v>
      </c>
      <c r="Q385" s="17" t="e">
        <f ca="1"/>
        <v>#N/A</v>
      </c>
      <c r="R385" s="23" t="e">
        <f ca="1"/>
        <v>#N/A</v>
      </c>
      <c r="S385" s="23">
        <f t="shared" ca="1" si="94"/>
        <v>0</v>
      </c>
      <c r="T385" t="b">
        <f t="shared" ca="1" si="91"/>
        <v>1</v>
      </c>
      <c r="U385" s="22" t="e">
        <f t="shared" ca="1" si="87"/>
        <v>#N/A</v>
      </c>
      <c r="V385">
        <f t="shared" ca="1" si="88"/>
        <v>0</v>
      </c>
    </row>
    <row r="386" spans="2:22">
      <c r="B386">
        <f t="shared" si="92"/>
        <v>376</v>
      </c>
      <c r="C386" s="22" t="e">
        <f ca="1"/>
        <v>#N/A</v>
      </c>
      <c r="D386" s="17" t="e">
        <f ca="1"/>
        <v>#N/A</v>
      </c>
      <c r="E386" s="17" t="e">
        <f ca="1"/>
        <v>#N/A</v>
      </c>
      <c r="F386" s="23" t="e">
        <f ca="1"/>
        <v>#N/A</v>
      </c>
      <c r="G386" s="23">
        <f t="shared" ca="1" si="93"/>
        <v>0</v>
      </c>
      <c r="H386" t="b">
        <f t="shared" ca="1" si="89"/>
        <v>1</v>
      </c>
      <c r="I386" s="22" t="e">
        <f t="shared" ca="1" si="84"/>
        <v>#N/A</v>
      </c>
      <c r="J386">
        <f t="shared" ca="1" si="85"/>
        <v>0</v>
      </c>
      <c r="K386" t="e">
        <f t="shared" ca="1" si="90"/>
        <v>#N/A</v>
      </c>
      <c r="O386" s="22" t="e">
        <f t="shared" ca="1" si="86"/>
        <v>#N/A</v>
      </c>
      <c r="P386" s="17" t="e">
        <f ca="1"/>
        <v>#N/A</v>
      </c>
      <c r="Q386" s="17" t="e">
        <f ca="1"/>
        <v>#N/A</v>
      </c>
      <c r="R386" s="23" t="e">
        <f ca="1"/>
        <v>#N/A</v>
      </c>
      <c r="S386" s="23">
        <f t="shared" ca="1" si="94"/>
        <v>0</v>
      </c>
      <c r="T386" t="b">
        <f t="shared" ca="1" si="91"/>
        <v>1</v>
      </c>
      <c r="U386" s="22" t="e">
        <f t="shared" ca="1" si="87"/>
        <v>#N/A</v>
      </c>
      <c r="V386">
        <f t="shared" ca="1" si="88"/>
        <v>0</v>
      </c>
    </row>
    <row r="387" spans="2:22">
      <c r="B387">
        <f t="shared" si="92"/>
        <v>377</v>
      </c>
      <c r="C387" s="22" t="e">
        <f ca="1"/>
        <v>#N/A</v>
      </c>
      <c r="D387" s="17" t="e">
        <f ca="1"/>
        <v>#N/A</v>
      </c>
      <c r="E387" s="17" t="e">
        <f ca="1"/>
        <v>#N/A</v>
      </c>
      <c r="F387" s="23" t="e">
        <f ca="1"/>
        <v>#N/A</v>
      </c>
      <c r="G387" s="23">
        <f t="shared" ca="1" si="93"/>
        <v>0</v>
      </c>
      <c r="H387" t="b">
        <f t="shared" ca="1" si="89"/>
        <v>1</v>
      </c>
      <c r="I387" s="22" t="e">
        <f t="shared" ca="1" si="84"/>
        <v>#N/A</v>
      </c>
      <c r="J387">
        <f t="shared" ca="1" si="85"/>
        <v>0</v>
      </c>
      <c r="K387" t="e">
        <f t="shared" ca="1" si="90"/>
        <v>#N/A</v>
      </c>
      <c r="O387" s="22" t="e">
        <f t="shared" ca="1" si="86"/>
        <v>#N/A</v>
      </c>
      <c r="P387" s="17" t="e">
        <f ca="1"/>
        <v>#N/A</v>
      </c>
      <c r="Q387" s="17" t="e">
        <f ca="1"/>
        <v>#N/A</v>
      </c>
      <c r="R387" s="23" t="e">
        <f ca="1"/>
        <v>#N/A</v>
      </c>
      <c r="S387" s="23">
        <f t="shared" ca="1" si="94"/>
        <v>0</v>
      </c>
      <c r="T387" t="b">
        <f t="shared" ca="1" si="91"/>
        <v>1</v>
      </c>
      <c r="U387" s="22" t="e">
        <f t="shared" ca="1" si="87"/>
        <v>#N/A</v>
      </c>
      <c r="V387">
        <f t="shared" ca="1" si="88"/>
        <v>0</v>
      </c>
    </row>
    <row r="388" spans="2:22">
      <c r="B388">
        <f t="shared" si="92"/>
        <v>378</v>
      </c>
      <c r="C388" s="22" t="e">
        <f ca="1"/>
        <v>#N/A</v>
      </c>
      <c r="D388" s="17" t="e">
        <f ca="1"/>
        <v>#N/A</v>
      </c>
      <c r="E388" s="17" t="e">
        <f ca="1"/>
        <v>#N/A</v>
      </c>
      <c r="F388" s="23" t="e">
        <f ca="1"/>
        <v>#N/A</v>
      </c>
      <c r="G388" s="23">
        <f t="shared" ca="1" si="93"/>
        <v>0</v>
      </c>
      <c r="H388" t="b">
        <f t="shared" ca="1" si="89"/>
        <v>1</v>
      </c>
      <c r="I388" s="22" t="e">
        <f t="shared" ca="1" si="84"/>
        <v>#N/A</v>
      </c>
      <c r="J388">
        <f t="shared" ca="1" si="85"/>
        <v>0</v>
      </c>
      <c r="K388" t="e">
        <f t="shared" ca="1" si="90"/>
        <v>#N/A</v>
      </c>
      <c r="O388" s="22" t="e">
        <f t="shared" ca="1" si="86"/>
        <v>#N/A</v>
      </c>
      <c r="P388" s="17" t="e">
        <f ca="1"/>
        <v>#N/A</v>
      </c>
      <c r="Q388" s="17" t="e">
        <f ca="1"/>
        <v>#N/A</v>
      </c>
      <c r="R388" s="23" t="e">
        <f ca="1"/>
        <v>#N/A</v>
      </c>
      <c r="S388" s="23">
        <f t="shared" ca="1" si="94"/>
        <v>0</v>
      </c>
      <c r="T388" t="b">
        <f t="shared" ca="1" si="91"/>
        <v>1</v>
      </c>
      <c r="U388" s="22" t="e">
        <f t="shared" ca="1" si="87"/>
        <v>#N/A</v>
      </c>
      <c r="V388">
        <f t="shared" ca="1" si="88"/>
        <v>0</v>
      </c>
    </row>
    <row r="389" spans="2:22">
      <c r="B389">
        <f t="shared" si="92"/>
        <v>379</v>
      </c>
      <c r="C389" s="22" t="e">
        <f ca="1"/>
        <v>#N/A</v>
      </c>
      <c r="D389" s="17" t="e">
        <f ca="1"/>
        <v>#N/A</v>
      </c>
      <c r="E389" s="17" t="e">
        <f ca="1"/>
        <v>#N/A</v>
      </c>
      <c r="F389" s="23" t="e">
        <f ca="1"/>
        <v>#N/A</v>
      </c>
      <c r="G389" s="23">
        <f t="shared" ca="1" si="93"/>
        <v>0</v>
      </c>
      <c r="H389" t="b">
        <f t="shared" ca="1" si="89"/>
        <v>1</v>
      </c>
      <c r="I389" s="22" t="e">
        <f t="shared" ca="1" si="84"/>
        <v>#N/A</v>
      </c>
      <c r="J389">
        <f t="shared" ca="1" si="85"/>
        <v>0</v>
      </c>
      <c r="K389" t="e">
        <f t="shared" ca="1" si="90"/>
        <v>#N/A</v>
      </c>
      <c r="O389" s="22" t="e">
        <f t="shared" ca="1" si="86"/>
        <v>#N/A</v>
      </c>
      <c r="P389" s="17" t="e">
        <f ca="1"/>
        <v>#N/A</v>
      </c>
      <c r="Q389" s="17" t="e">
        <f ca="1"/>
        <v>#N/A</v>
      </c>
      <c r="R389" s="23" t="e">
        <f ca="1"/>
        <v>#N/A</v>
      </c>
      <c r="S389" s="23">
        <f t="shared" ca="1" si="94"/>
        <v>0</v>
      </c>
      <c r="T389" t="b">
        <f t="shared" ca="1" si="91"/>
        <v>1</v>
      </c>
      <c r="U389" s="22" t="e">
        <f t="shared" ca="1" si="87"/>
        <v>#N/A</v>
      </c>
      <c r="V389">
        <f t="shared" ca="1" si="88"/>
        <v>0</v>
      </c>
    </row>
    <row r="390" spans="2:22">
      <c r="B390">
        <f t="shared" si="92"/>
        <v>380</v>
      </c>
      <c r="C390" s="22" t="e">
        <f ca="1"/>
        <v>#N/A</v>
      </c>
      <c r="D390" s="17" t="e">
        <f ca="1"/>
        <v>#N/A</v>
      </c>
      <c r="E390" s="17" t="e">
        <f ca="1"/>
        <v>#N/A</v>
      </c>
      <c r="F390" s="23" t="e">
        <f ca="1"/>
        <v>#N/A</v>
      </c>
      <c r="G390" s="23">
        <f t="shared" ca="1" si="93"/>
        <v>0</v>
      </c>
      <c r="H390" t="b">
        <f t="shared" ca="1" si="89"/>
        <v>1</v>
      </c>
      <c r="I390" s="22" t="e">
        <f t="shared" ca="1" si="84"/>
        <v>#N/A</v>
      </c>
      <c r="J390">
        <f t="shared" ca="1" si="85"/>
        <v>0</v>
      </c>
      <c r="K390" t="e">
        <f t="shared" ca="1" si="90"/>
        <v>#N/A</v>
      </c>
      <c r="O390" s="22" t="e">
        <f t="shared" ca="1" si="86"/>
        <v>#N/A</v>
      </c>
      <c r="P390" s="17" t="e">
        <f ca="1"/>
        <v>#N/A</v>
      </c>
      <c r="Q390" s="17" t="e">
        <f ca="1"/>
        <v>#N/A</v>
      </c>
      <c r="R390" s="23" t="e">
        <f ca="1"/>
        <v>#N/A</v>
      </c>
      <c r="S390" s="23">
        <f t="shared" ca="1" si="94"/>
        <v>0</v>
      </c>
      <c r="T390" t="b">
        <f t="shared" ca="1" si="91"/>
        <v>1</v>
      </c>
      <c r="U390" s="22" t="e">
        <f t="shared" ca="1" si="87"/>
        <v>#N/A</v>
      </c>
      <c r="V390">
        <f t="shared" ca="1" si="88"/>
        <v>0</v>
      </c>
    </row>
    <row r="391" spans="2:22">
      <c r="B391">
        <f t="shared" si="92"/>
        <v>381</v>
      </c>
      <c r="C391" s="22" t="e">
        <f ca="1"/>
        <v>#N/A</v>
      </c>
      <c r="D391" s="17" t="e">
        <f ca="1"/>
        <v>#N/A</v>
      </c>
      <c r="E391" s="17" t="e">
        <f ca="1"/>
        <v>#N/A</v>
      </c>
      <c r="F391" s="23" t="e">
        <f ca="1"/>
        <v>#N/A</v>
      </c>
      <c r="G391" s="23">
        <f t="shared" ca="1" si="93"/>
        <v>0</v>
      </c>
      <c r="H391" t="b">
        <f t="shared" ca="1" si="89"/>
        <v>1</v>
      </c>
      <c r="I391" s="22" t="e">
        <f t="shared" ca="1" si="84"/>
        <v>#N/A</v>
      </c>
      <c r="J391">
        <f t="shared" ca="1" si="85"/>
        <v>0</v>
      </c>
      <c r="K391" t="e">
        <f t="shared" ca="1" si="90"/>
        <v>#N/A</v>
      </c>
      <c r="O391" s="22" t="e">
        <f t="shared" ca="1" si="86"/>
        <v>#N/A</v>
      </c>
      <c r="P391" s="17" t="e">
        <f ca="1"/>
        <v>#N/A</v>
      </c>
      <c r="Q391" s="17" t="e">
        <f ca="1"/>
        <v>#N/A</v>
      </c>
      <c r="R391" s="23" t="e">
        <f ca="1"/>
        <v>#N/A</v>
      </c>
      <c r="S391" s="23">
        <f t="shared" ca="1" si="94"/>
        <v>0</v>
      </c>
      <c r="T391" t="b">
        <f t="shared" ca="1" si="91"/>
        <v>1</v>
      </c>
      <c r="U391" s="22" t="e">
        <f t="shared" ca="1" si="87"/>
        <v>#N/A</v>
      </c>
      <c r="V391">
        <f t="shared" ca="1" si="88"/>
        <v>0</v>
      </c>
    </row>
    <row r="392" spans="2:22">
      <c r="B392">
        <f t="shared" si="92"/>
        <v>382</v>
      </c>
      <c r="C392" s="22" t="e">
        <f ca="1"/>
        <v>#N/A</v>
      </c>
      <c r="D392" s="17" t="e">
        <f ca="1"/>
        <v>#N/A</v>
      </c>
      <c r="E392" s="17" t="e">
        <f ca="1"/>
        <v>#N/A</v>
      </c>
      <c r="F392" s="23" t="e">
        <f ca="1"/>
        <v>#N/A</v>
      </c>
      <c r="G392" s="23">
        <f t="shared" ca="1" si="93"/>
        <v>0</v>
      </c>
      <c r="H392" t="b">
        <f t="shared" ca="1" si="89"/>
        <v>1</v>
      </c>
      <c r="I392" s="22" t="e">
        <f t="shared" ca="1" si="84"/>
        <v>#N/A</v>
      </c>
      <c r="J392">
        <f t="shared" ca="1" si="85"/>
        <v>0</v>
      </c>
      <c r="K392" t="e">
        <f t="shared" ca="1" si="90"/>
        <v>#N/A</v>
      </c>
      <c r="O392" s="22" t="e">
        <f t="shared" ca="1" si="86"/>
        <v>#N/A</v>
      </c>
      <c r="P392" s="17" t="e">
        <f ca="1"/>
        <v>#N/A</v>
      </c>
      <c r="Q392" s="17" t="e">
        <f ca="1"/>
        <v>#N/A</v>
      </c>
      <c r="R392" s="23" t="e">
        <f ca="1"/>
        <v>#N/A</v>
      </c>
      <c r="S392" s="23">
        <f t="shared" ca="1" si="94"/>
        <v>0</v>
      </c>
      <c r="T392" t="b">
        <f t="shared" ca="1" si="91"/>
        <v>1</v>
      </c>
      <c r="U392" s="22" t="e">
        <f t="shared" ca="1" si="87"/>
        <v>#N/A</v>
      </c>
      <c r="V392">
        <f t="shared" ca="1" si="88"/>
        <v>0</v>
      </c>
    </row>
    <row r="393" spans="2:22">
      <c r="B393">
        <f t="shared" si="92"/>
        <v>383</v>
      </c>
      <c r="C393" s="22" t="e">
        <f ca="1"/>
        <v>#N/A</v>
      </c>
      <c r="D393" s="17" t="e">
        <f ca="1"/>
        <v>#N/A</v>
      </c>
      <c r="E393" s="17" t="e">
        <f ca="1"/>
        <v>#N/A</v>
      </c>
      <c r="F393" s="23" t="e">
        <f ca="1"/>
        <v>#N/A</v>
      </c>
      <c r="G393" s="23">
        <f t="shared" ca="1" si="93"/>
        <v>0</v>
      </c>
      <c r="H393" t="b">
        <f t="shared" ca="1" si="89"/>
        <v>1</v>
      </c>
      <c r="I393" s="22" t="e">
        <f t="shared" ca="1" si="84"/>
        <v>#N/A</v>
      </c>
      <c r="J393">
        <f t="shared" ca="1" si="85"/>
        <v>0</v>
      </c>
      <c r="K393" t="e">
        <f t="shared" ca="1" si="90"/>
        <v>#N/A</v>
      </c>
      <c r="O393" s="22" t="e">
        <f t="shared" ca="1" si="86"/>
        <v>#N/A</v>
      </c>
      <c r="P393" s="17" t="e">
        <f ca="1"/>
        <v>#N/A</v>
      </c>
      <c r="Q393" s="17" t="e">
        <f ca="1"/>
        <v>#N/A</v>
      </c>
      <c r="R393" s="23" t="e">
        <f ca="1"/>
        <v>#N/A</v>
      </c>
      <c r="S393" s="23">
        <f t="shared" ca="1" si="94"/>
        <v>0</v>
      </c>
      <c r="T393" t="b">
        <f t="shared" ca="1" si="91"/>
        <v>1</v>
      </c>
      <c r="U393" s="22" t="e">
        <f t="shared" ca="1" si="87"/>
        <v>#N/A</v>
      </c>
      <c r="V393">
        <f t="shared" ca="1" si="88"/>
        <v>0</v>
      </c>
    </row>
    <row r="394" spans="2:22">
      <c r="B394">
        <f t="shared" si="92"/>
        <v>384</v>
      </c>
      <c r="C394" s="22" t="e">
        <f ca="1"/>
        <v>#N/A</v>
      </c>
      <c r="D394" s="17" t="e">
        <f ca="1"/>
        <v>#N/A</v>
      </c>
      <c r="E394" s="17" t="e">
        <f ca="1"/>
        <v>#N/A</v>
      </c>
      <c r="F394" s="23" t="e">
        <f ca="1"/>
        <v>#N/A</v>
      </c>
      <c r="G394" s="23">
        <f t="shared" ca="1" si="93"/>
        <v>0</v>
      </c>
      <c r="H394" t="b">
        <f t="shared" ca="1" si="89"/>
        <v>1</v>
      </c>
      <c r="I394" s="22" t="e">
        <f t="shared" ca="1" si="84"/>
        <v>#N/A</v>
      </c>
      <c r="J394">
        <f t="shared" ca="1" si="85"/>
        <v>0</v>
      </c>
      <c r="K394" t="e">
        <f t="shared" ca="1" si="90"/>
        <v>#N/A</v>
      </c>
      <c r="O394" s="22" t="e">
        <f t="shared" ca="1" si="86"/>
        <v>#N/A</v>
      </c>
      <c r="P394" s="17" t="e">
        <f ca="1"/>
        <v>#N/A</v>
      </c>
      <c r="Q394" s="17" t="e">
        <f ca="1"/>
        <v>#N/A</v>
      </c>
      <c r="R394" s="23" t="e">
        <f ca="1"/>
        <v>#N/A</v>
      </c>
      <c r="S394" s="23">
        <f t="shared" ca="1" si="94"/>
        <v>0</v>
      </c>
      <c r="T394" t="b">
        <f t="shared" ca="1" si="91"/>
        <v>1</v>
      </c>
      <c r="U394" s="22" t="e">
        <f t="shared" ca="1" si="87"/>
        <v>#N/A</v>
      </c>
      <c r="V394">
        <f t="shared" ca="1" si="88"/>
        <v>0</v>
      </c>
    </row>
    <row r="395" spans="2:22">
      <c r="B395">
        <f t="shared" si="92"/>
        <v>385</v>
      </c>
      <c r="C395" s="22" t="e">
        <f ca="1"/>
        <v>#N/A</v>
      </c>
      <c r="D395" s="17" t="e">
        <f ca="1"/>
        <v>#N/A</v>
      </c>
      <c r="E395" s="17" t="e">
        <f ca="1"/>
        <v>#N/A</v>
      </c>
      <c r="F395" s="23" t="e">
        <f ca="1"/>
        <v>#N/A</v>
      </c>
      <c r="G395" s="23">
        <f t="shared" ca="1" si="93"/>
        <v>0</v>
      </c>
      <c r="H395" t="b">
        <f t="shared" ca="1" si="89"/>
        <v>1</v>
      </c>
      <c r="I395" s="22" t="e">
        <f t="shared" ref="I395:I458" ca="1" si="95">IF(H395,C395,NA)</f>
        <v>#N/A</v>
      </c>
      <c r="J395">
        <f t="shared" ref="J395:J458" ca="1" si="96">IF(H395,G395,NA)</f>
        <v>0</v>
      </c>
      <c r="K395" t="e">
        <f t="shared" ca="1" si="90"/>
        <v>#N/A</v>
      </c>
      <c r="O395" s="22" t="e">
        <f t="shared" ref="O395:O458" ca="1" si="97">C395</f>
        <v>#N/A</v>
      </c>
      <c r="P395" s="17" t="e">
        <f ca="1"/>
        <v>#N/A</v>
      </c>
      <c r="Q395" s="17" t="e">
        <f ca="1"/>
        <v>#N/A</v>
      </c>
      <c r="R395" s="23" t="e">
        <f ca="1"/>
        <v>#N/A</v>
      </c>
      <c r="S395" s="23">
        <f t="shared" ca="1" si="94"/>
        <v>0</v>
      </c>
      <c r="T395" t="b">
        <f t="shared" ca="1" si="91"/>
        <v>1</v>
      </c>
      <c r="U395" s="22" t="e">
        <f t="shared" ref="U395:U458" ca="1" si="98">IF(T395,O395,NA)</f>
        <v>#N/A</v>
      </c>
      <c r="V395">
        <f t="shared" ref="V395:V458" ca="1" si="99">IF(T395,S395,NA)</f>
        <v>0</v>
      </c>
    </row>
    <row r="396" spans="2:22">
      <c r="B396">
        <f t="shared" si="92"/>
        <v>386</v>
      </c>
      <c r="C396" s="22" t="e">
        <f ca="1"/>
        <v>#N/A</v>
      </c>
      <c r="D396" s="17" t="e">
        <f ca="1"/>
        <v>#N/A</v>
      </c>
      <c r="E396" s="17" t="e">
        <f ca="1"/>
        <v>#N/A</v>
      </c>
      <c r="F396" s="23" t="e">
        <f ca="1"/>
        <v>#N/A</v>
      </c>
      <c r="G396" s="23">
        <f t="shared" ca="1" si="93"/>
        <v>0</v>
      </c>
      <c r="H396" t="b">
        <f t="shared" ref="H396:H459" ca="1" si="100">ISNUMBER(G396)</f>
        <v>1</v>
      </c>
      <c r="I396" s="22" t="e">
        <f t="shared" ca="1" si="95"/>
        <v>#N/A</v>
      </c>
      <c r="J396">
        <f t="shared" ca="1" si="96"/>
        <v>0</v>
      </c>
      <c r="K396" t="e">
        <f t="shared" ref="K396:K459" ca="1" si="101">YEAR(C396)</f>
        <v>#N/A</v>
      </c>
      <c r="O396" s="22" t="e">
        <f t="shared" ca="1" si="97"/>
        <v>#N/A</v>
      </c>
      <c r="P396" s="17" t="e">
        <f ca="1"/>
        <v>#N/A</v>
      </c>
      <c r="Q396" s="17" t="e">
        <f ca="1"/>
        <v>#N/A</v>
      </c>
      <c r="R396" s="23" t="e">
        <f ca="1"/>
        <v>#N/A</v>
      </c>
      <c r="S396" s="23">
        <f t="shared" ca="1" si="94"/>
        <v>0</v>
      </c>
      <c r="T396" t="b">
        <f t="shared" ref="T396:T459" ca="1" si="102">ISNUMBER(S396)</f>
        <v>1</v>
      </c>
      <c r="U396" s="22" t="e">
        <f t="shared" ca="1" si="98"/>
        <v>#N/A</v>
      </c>
      <c r="V396">
        <f t="shared" ca="1" si="99"/>
        <v>0</v>
      </c>
    </row>
    <row r="397" spans="2:22">
      <c r="B397">
        <f t="shared" ref="B397:B460" si="103">B396+1</f>
        <v>387</v>
      </c>
      <c r="C397" s="22" t="e">
        <f ca="1"/>
        <v>#N/A</v>
      </c>
      <c r="D397" s="17" t="e">
        <f ca="1"/>
        <v>#N/A</v>
      </c>
      <c r="E397" s="17" t="e">
        <f ca="1"/>
        <v>#N/A</v>
      </c>
      <c r="F397" s="23" t="e">
        <f ca="1"/>
        <v>#N/A</v>
      </c>
      <c r="G397" s="23">
        <f t="shared" ca="1" si="93"/>
        <v>0</v>
      </c>
      <c r="H397" t="b">
        <f t="shared" ca="1" si="100"/>
        <v>1</v>
      </c>
      <c r="I397" s="22" t="e">
        <f t="shared" ca="1" si="95"/>
        <v>#N/A</v>
      </c>
      <c r="J397">
        <f t="shared" ca="1" si="96"/>
        <v>0</v>
      </c>
      <c r="K397" t="e">
        <f t="shared" ca="1" si="101"/>
        <v>#N/A</v>
      </c>
      <c r="O397" s="22" t="e">
        <f t="shared" ca="1" si="97"/>
        <v>#N/A</v>
      </c>
      <c r="P397" s="17" t="e">
        <f ca="1"/>
        <v>#N/A</v>
      </c>
      <c r="Q397" s="17" t="e">
        <f ca="1"/>
        <v>#N/A</v>
      </c>
      <c r="R397" s="23" t="e">
        <f ca="1"/>
        <v>#N/A</v>
      </c>
      <c r="S397" s="23">
        <f t="shared" ca="1" si="94"/>
        <v>0</v>
      </c>
      <c r="T397" t="b">
        <f t="shared" ca="1" si="102"/>
        <v>1</v>
      </c>
      <c r="U397" s="22" t="e">
        <f t="shared" ca="1" si="98"/>
        <v>#N/A</v>
      </c>
      <c r="V397">
        <f t="shared" ca="1" si="99"/>
        <v>0</v>
      </c>
    </row>
    <row r="398" spans="2:22">
      <c r="B398">
        <f t="shared" si="103"/>
        <v>388</v>
      </c>
      <c r="C398" s="22" t="e">
        <f ca="1"/>
        <v>#N/A</v>
      </c>
      <c r="D398" s="17" t="e">
        <f ca="1"/>
        <v>#N/A</v>
      </c>
      <c r="E398" s="17" t="e">
        <f ca="1"/>
        <v>#N/A</v>
      </c>
      <c r="F398" s="23" t="e">
        <f ca="1"/>
        <v>#N/A</v>
      </c>
      <c r="G398" s="23">
        <f t="shared" ca="1" si="93"/>
        <v>0</v>
      </c>
      <c r="H398" t="b">
        <f t="shared" ca="1" si="100"/>
        <v>1</v>
      </c>
      <c r="I398" s="22" t="e">
        <f t="shared" ca="1" si="95"/>
        <v>#N/A</v>
      </c>
      <c r="J398">
        <f t="shared" ca="1" si="96"/>
        <v>0</v>
      </c>
      <c r="K398" t="e">
        <f t="shared" ca="1" si="101"/>
        <v>#N/A</v>
      </c>
      <c r="O398" s="22" t="e">
        <f t="shared" ca="1" si="97"/>
        <v>#N/A</v>
      </c>
      <c r="P398" s="17" t="e">
        <f ca="1"/>
        <v>#N/A</v>
      </c>
      <c r="Q398" s="17" t="e">
        <f ca="1"/>
        <v>#N/A</v>
      </c>
      <c r="R398" s="23" t="e">
        <f ca="1"/>
        <v>#N/A</v>
      </c>
      <c r="S398" s="23">
        <f t="shared" ca="1" si="94"/>
        <v>0</v>
      </c>
      <c r="T398" t="b">
        <f t="shared" ca="1" si="102"/>
        <v>1</v>
      </c>
      <c r="U398" s="22" t="e">
        <f t="shared" ca="1" si="98"/>
        <v>#N/A</v>
      </c>
      <c r="V398">
        <f t="shared" ca="1" si="99"/>
        <v>0</v>
      </c>
    </row>
    <row r="399" spans="2:22">
      <c r="B399">
        <f t="shared" si="103"/>
        <v>389</v>
      </c>
      <c r="C399" s="22" t="e">
        <f ca="1"/>
        <v>#N/A</v>
      </c>
      <c r="D399" s="17" t="e">
        <f ca="1"/>
        <v>#N/A</v>
      </c>
      <c r="E399" s="17" t="e">
        <f ca="1"/>
        <v>#N/A</v>
      </c>
      <c r="F399" s="23" t="e">
        <f ca="1"/>
        <v>#N/A</v>
      </c>
      <c r="G399" s="23">
        <f t="shared" ca="1" si="93"/>
        <v>0</v>
      </c>
      <c r="H399" t="b">
        <f t="shared" ca="1" si="100"/>
        <v>1</v>
      </c>
      <c r="I399" s="22" t="e">
        <f t="shared" ca="1" si="95"/>
        <v>#N/A</v>
      </c>
      <c r="J399">
        <f t="shared" ca="1" si="96"/>
        <v>0</v>
      </c>
      <c r="K399" t="e">
        <f t="shared" ca="1" si="101"/>
        <v>#N/A</v>
      </c>
      <c r="O399" s="22" t="e">
        <f t="shared" ca="1" si="97"/>
        <v>#N/A</v>
      </c>
      <c r="P399" s="17" t="e">
        <f ca="1"/>
        <v>#N/A</v>
      </c>
      <c r="Q399" s="17" t="e">
        <f ca="1"/>
        <v>#N/A</v>
      </c>
      <c r="R399" s="23" t="e">
        <f ca="1"/>
        <v>#N/A</v>
      </c>
      <c r="S399" s="23">
        <f t="shared" ca="1" si="94"/>
        <v>0</v>
      </c>
      <c r="T399" t="b">
        <f t="shared" ca="1" si="102"/>
        <v>1</v>
      </c>
      <c r="U399" s="22" t="e">
        <f t="shared" ca="1" si="98"/>
        <v>#N/A</v>
      </c>
      <c r="V399">
        <f t="shared" ca="1" si="99"/>
        <v>0</v>
      </c>
    </row>
    <row r="400" spans="2:22">
      <c r="B400">
        <f t="shared" si="103"/>
        <v>390</v>
      </c>
      <c r="C400" s="22" t="e">
        <f ca="1"/>
        <v>#N/A</v>
      </c>
      <c r="D400" s="17" t="e">
        <f ca="1"/>
        <v>#N/A</v>
      </c>
      <c r="E400" s="17" t="e">
        <f ca="1"/>
        <v>#N/A</v>
      </c>
      <c r="F400" s="23" t="e">
        <f ca="1"/>
        <v>#N/A</v>
      </c>
      <c r="G400" s="23">
        <f t="shared" ca="1" si="93"/>
        <v>0</v>
      </c>
      <c r="H400" t="b">
        <f t="shared" ca="1" si="100"/>
        <v>1</v>
      </c>
      <c r="I400" s="22" t="e">
        <f t="shared" ca="1" si="95"/>
        <v>#N/A</v>
      </c>
      <c r="J400">
        <f t="shared" ca="1" si="96"/>
        <v>0</v>
      </c>
      <c r="K400" t="e">
        <f t="shared" ca="1" si="101"/>
        <v>#N/A</v>
      </c>
      <c r="O400" s="22" t="e">
        <f t="shared" ca="1" si="97"/>
        <v>#N/A</v>
      </c>
      <c r="P400" s="17" t="e">
        <f ca="1"/>
        <v>#N/A</v>
      </c>
      <c r="Q400" s="17" t="e">
        <f ca="1"/>
        <v>#N/A</v>
      </c>
      <c r="R400" s="23" t="e">
        <f ca="1"/>
        <v>#N/A</v>
      </c>
      <c r="S400" s="23">
        <f t="shared" ca="1" si="94"/>
        <v>0</v>
      </c>
      <c r="T400" t="b">
        <f t="shared" ca="1" si="102"/>
        <v>1</v>
      </c>
      <c r="U400" s="22" t="e">
        <f t="shared" ca="1" si="98"/>
        <v>#N/A</v>
      </c>
      <c r="V400">
        <f t="shared" ca="1" si="99"/>
        <v>0</v>
      </c>
    </row>
    <row r="401" spans="2:22">
      <c r="B401">
        <f t="shared" si="103"/>
        <v>391</v>
      </c>
      <c r="C401" s="22" t="e">
        <f ca="1"/>
        <v>#N/A</v>
      </c>
      <c r="D401" s="17" t="e">
        <f ca="1"/>
        <v>#N/A</v>
      </c>
      <c r="E401" s="17" t="e">
        <f ca="1"/>
        <v>#N/A</v>
      </c>
      <c r="F401" s="23" t="e">
        <f ca="1"/>
        <v>#N/A</v>
      </c>
      <c r="G401" s="23">
        <f t="shared" ca="1" si="93"/>
        <v>0</v>
      </c>
      <c r="H401" t="b">
        <f t="shared" ca="1" si="100"/>
        <v>1</v>
      </c>
      <c r="I401" s="22" t="e">
        <f t="shared" ca="1" si="95"/>
        <v>#N/A</v>
      </c>
      <c r="J401">
        <f t="shared" ca="1" si="96"/>
        <v>0</v>
      </c>
      <c r="K401" t="e">
        <f t="shared" ca="1" si="101"/>
        <v>#N/A</v>
      </c>
      <c r="O401" s="22" t="e">
        <f t="shared" ca="1" si="97"/>
        <v>#N/A</v>
      </c>
      <c r="P401" s="17" t="e">
        <f ca="1"/>
        <v>#N/A</v>
      </c>
      <c r="Q401" s="17" t="e">
        <f ca="1"/>
        <v>#N/A</v>
      </c>
      <c r="R401" s="23" t="e">
        <f ca="1"/>
        <v>#N/A</v>
      </c>
      <c r="S401" s="23">
        <f t="shared" ca="1" si="94"/>
        <v>0</v>
      </c>
      <c r="T401" t="b">
        <f t="shared" ca="1" si="102"/>
        <v>1</v>
      </c>
      <c r="U401" s="22" t="e">
        <f t="shared" ca="1" si="98"/>
        <v>#N/A</v>
      </c>
      <c r="V401">
        <f t="shared" ca="1" si="99"/>
        <v>0</v>
      </c>
    </row>
    <row r="402" spans="2:22">
      <c r="B402">
        <f t="shared" si="103"/>
        <v>392</v>
      </c>
      <c r="C402" s="22" t="e">
        <f ca="1"/>
        <v>#N/A</v>
      </c>
      <c r="D402" s="17" t="e">
        <f ca="1"/>
        <v>#N/A</v>
      </c>
      <c r="E402" s="17" t="e">
        <f ca="1"/>
        <v>#N/A</v>
      </c>
      <c r="F402" s="23" t="e">
        <f ca="1"/>
        <v>#N/A</v>
      </c>
      <c r="G402" s="23">
        <f t="shared" ca="1" si="93"/>
        <v>0</v>
      </c>
      <c r="H402" t="b">
        <f t="shared" ca="1" si="100"/>
        <v>1</v>
      </c>
      <c r="I402" s="22" t="e">
        <f t="shared" ca="1" si="95"/>
        <v>#N/A</v>
      </c>
      <c r="J402">
        <f t="shared" ca="1" si="96"/>
        <v>0</v>
      </c>
      <c r="K402" t="e">
        <f t="shared" ca="1" si="101"/>
        <v>#N/A</v>
      </c>
      <c r="O402" s="22" t="e">
        <f t="shared" ca="1" si="97"/>
        <v>#N/A</v>
      </c>
      <c r="P402" s="17" t="e">
        <f ca="1"/>
        <v>#N/A</v>
      </c>
      <c r="Q402" s="17" t="e">
        <f ca="1"/>
        <v>#N/A</v>
      </c>
      <c r="R402" s="23" t="e">
        <f ca="1"/>
        <v>#N/A</v>
      </c>
      <c r="S402" s="23">
        <f t="shared" ca="1" si="94"/>
        <v>0</v>
      </c>
      <c r="T402" t="b">
        <f t="shared" ca="1" si="102"/>
        <v>1</v>
      </c>
      <c r="U402" s="22" t="e">
        <f t="shared" ca="1" si="98"/>
        <v>#N/A</v>
      </c>
      <c r="V402">
        <f t="shared" ca="1" si="99"/>
        <v>0</v>
      </c>
    </row>
    <row r="403" spans="2:22">
      <c r="B403">
        <f t="shared" si="103"/>
        <v>393</v>
      </c>
      <c r="C403" s="22" t="e">
        <f ca="1"/>
        <v>#N/A</v>
      </c>
      <c r="D403" s="17" t="e">
        <f ca="1"/>
        <v>#N/A</v>
      </c>
      <c r="E403" s="17" t="e">
        <f ca="1"/>
        <v>#N/A</v>
      </c>
      <c r="F403" s="23" t="e">
        <f ca="1"/>
        <v>#N/A</v>
      </c>
      <c r="G403" s="23">
        <f t="shared" ca="1" si="93"/>
        <v>0</v>
      </c>
      <c r="H403" t="b">
        <f t="shared" ca="1" si="100"/>
        <v>1</v>
      </c>
      <c r="I403" s="22" t="e">
        <f t="shared" ca="1" si="95"/>
        <v>#N/A</v>
      </c>
      <c r="J403">
        <f t="shared" ca="1" si="96"/>
        <v>0</v>
      </c>
      <c r="K403" t="e">
        <f t="shared" ca="1" si="101"/>
        <v>#N/A</v>
      </c>
      <c r="O403" s="22" t="e">
        <f t="shared" ca="1" si="97"/>
        <v>#N/A</v>
      </c>
      <c r="P403" s="17" t="e">
        <f ca="1"/>
        <v>#N/A</v>
      </c>
      <c r="Q403" s="17" t="e">
        <f ca="1"/>
        <v>#N/A</v>
      </c>
      <c r="R403" s="23" t="e">
        <f ca="1"/>
        <v>#N/A</v>
      </c>
      <c r="S403" s="23">
        <f t="shared" ca="1" si="94"/>
        <v>0</v>
      </c>
      <c r="T403" t="b">
        <f t="shared" ca="1" si="102"/>
        <v>1</v>
      </c>
      <c r="U403" s="22" t="e">
        <f t="shared" ca="1" si="98"/>
        <v>#N/A</v>
      </c>
      <c r="V403">
        <f t="shared" ca="1" si="99"/>
        <v>0</v>
      </c>
    </row>
    <row r="404" spans="2:22">
      <c r="B404">
        <f t="shared" si="103"/>
        <v>394</v>
      </c>
      <c r="C404" s="22" t="e">
        <f ca="1"/>
        <v>#N/A</v>
      </c>
      <c r="D404" s="17" t="e">
        <f ca="1"/>
        <v>#N/A</v>
      </c>
      <c r="E404" s="17" t="e">
        <f ca="1"/>
        <v>#N/A</v>
      </c>
      <c r="F404" s="23" t="e">
        <f ca="1"/>
        <v>#N/A</v>
      </c>
      <c r="G404" s="23">
        <f t="shared" ca="1" si="93"/>
        <v>0</v>
      </c>
      <c r="H404" t="b">
        <f t="shared" ca="1" si="100"/>
        <v>1</v>
      </c>
      <c r="I404" s="22" t="e">
        <f t="shared" ca="1" si="95"/>
        <v>#N/A</v>
      </c>
      <c r="J404">
        <f t="shared" ca="1" si="96"/>
        <v>0</v>
      </c>
      <c r="K404" t="e">
        <f t="shared" ca="1" si="101"/>
        <v>#N/A</v>
      </c>
      <c r="O404" s="22" t="e">
        <f t="shared" ca="1" si="97"/>
        <v>#N/A</v>
      </c>
      <c r="P404" s="17" t="e">
        <f ca="1"/>
        <v>#N/A</v>
      </c>
      <c r="Q404" s="17" t="e">
        <f ca="1"/>
        <v>#N/A</v>
      </c>
      <c r="R404" s="23" t="e">
        <f ca="1"/>
        <v>#N/A</v>
      </c>
      <c r="S404" s="23">
        <f t="shared" ca="1" si="94"/>
        <v>0</v>
      </c>
      <c r="T404" t="b">
        <f t="shared" ca="1" si="102"/>
        <v>1</v>
      </c>
      <c r="U404" s="22" t="e">
        <f t="shared" ca="1" si="98"/>
        <v>#N/A</v>
      </c>
      <c r="V404">
        <f t="shared" ca="1" si="99"/>
        <v>0</v>
      </c>
    </row>
    <row r="405" spans="2:22">
      <c r="B405">
        <f t="shared" si="103"/>
        <v>395</v>
      </c>
      <c r="C405" s="22" t="e">
        <f ca="1"/>
        <v>#N/A</v>
      </c>
      <c r="D405" s="17" t="e">
        <f ca="1"/>
        <v>#N/A</v>
      </c>
      <c r="E405" s="17" t="e">
        <f ca="1"/>
        <v>#N/A</v>
      </c>
      <c r="F405" s="23" t="e">
        <f ca="1"/>
        <v>#N/A</v>
      </c>
      <c r="G405" s="23">
        <f t="shared" ca="1" si="93"/>
        <v>0</v>
      </c>
      <c r="H405" t="b">
        <f t="shared" ca="1" si="100"/>
        <v>1</v>
      </c>
      <c r="I405" s="22" t="e">
        <f t="shared" ca="1" si="95"/>
        <v>#N/A</v>
      </c>
      <c r="J405">
        <f t="shared" ca="1" si="96"/>
        <v>0</v>
      </c>
      <c r="K405" t="e">
        <f t="shared" ca="1" si="101"/>
        <v>#N/A</v>
      </c>
      <c r="O405" s="22" t="e">
        <f t="shared" ca="1" si="97"/>
        <v>#N/A</v>
      </c>
      <c r="P405" s="17" t="e">
        <f ca="1"/>
        <v>#N/A</v>
      </c>
      <c r="Q405" s="17" t="e">
        <f ca="1"/>
        <v>#N/A</v>
      </c>
      <c r="R405" s="23" t="e">
        <f ca="1"/>
        <v>#N/A</v>
      </c>
      <c r="S405" s="23">
        <f t="shared" ca="1" si="94"/>
        <v>0</v>
      </c>
      <c r="T405" t="b">
        <f t="shared" ca="1" si="102"/>
        <v>1</v>
      </c>
      <c r="U405" s="22" t="e">
        <f t="shared" ca="1" si="98"/>
        <v>#N/A</v>
      </c>
      <c r="V405">
        <f t="shared" ca="1" si="99"/>
        <v>0</v>
      </c>
    </row>
    <row r="406" spans="2:22">
      <c r="B406">
        <f t="shared" si="103"/>
        <v>396</v>
      </c>
      <c r="C406" s="22" t="e">
        <f ca="1"/>
        <v>#N/A</v>
      </c>
      <c r="D406" s="17" t="e">
        <f ca="1"/>
        <v>#N/A</v>
      </c>
      <c r="E406" s="17" t="e">
        <f ca="1"/>
        <v>#N/A</v>
      </c>
      <c r="F406" s="23" t="e">
        <f ca="1"/>
        <v>#N/A</v>
      </c>
      <c r="G406" s="23">
        <f t="shared" ca="1" si="93"/>
        <v>0</v>
      </c>
      <c r="H406" t="b">
        <f t="shared" ca="1" si="100"/>
        <v>1</v>
      </c>
      <c r="I406" s="22" t="e">
        <f t="shared" ca="1" si="95"/>
        <v>#N/A</v>
      </c>
      <c r="J406">
        <f t="shared" ca="1" si="96"/>
        <v>0</v>
      </c>
      <c r="K406" t="e">
        <f t="shared" ca="1" si="101"/>
        <v>#N/A</v>
      </c>
      <c r="O406" s="22" t="e">
        <f t="shared" ca="1" si="97"/>
        <v>#N/A</v>
      </c>
      <c r="P406" s="17" t="e">
        <f ca="1"/>
        <v>#N/A</v>
      </c>
      <c r="Q406" s="17" t="e">
        <f ca="1"/>
        <v>#N/A</v>
      </c>
      <c r="R406" s="23" t="e">
        <f ca="1"/>
        <v>#N/A</v>
      </c>
      <c r="S406" s="23">
        <f t="shared" ca="1" si="94"/>
        <v>0</v>
      </c>
      <c r="T406" t="b">
        <f t="shared" ca="1" si="102"/>
        <v>1</v>
      </c>
      <c r="U406" s="22" t="e">
        <f t="shared" ca="1" si="98"/>
        <v>#N/A</v>
      </c>
      <c r="V406">
        <f t="shared" ca="1" si="99"/>
        <v>0</v>
      </c>
    </row>
    <row r="407" spans="2:22">
      <c r="B407">
        <f t="shared" si="103"/>
        <v>397</v>
      </c>
      <c r="C407" s="22" t="e">
        <f ca="1"/>
        <v>#N/A</v>
      </c>
      <c r="D407" s="17" t="e">
        <f ca="1"/>
        <v>#N/A</v>
      </c>
      <c r="E407" s="17" t="e">
        <f ca="1"/>
        <v>#N/A</v>
      </c>
      <c r="F407" s="23" t="e">
        <f ca="1"/>
        <v>#N/A</v>
      </c>
      <c r="G407" s="23">
        <f t="shared" ref="G407:G470" ca="1" si="104">IFERROR(Volatility(D396:D407,12),FALSE)</f>
        <v>0</v>
      </c>
      <c r="H407" t="b">
        <f t="shared" ca="1" si="100"/>
        <v>1</v>
      </c>
      <c r="I407" s="22" t="e">
        <f t="shared" ca="1" si="95"/>
        <v>#N/A</v>
      </c>
      <c r="J407">
        <f t="shared" ca="1" si="96"/>
        <v>0</v>
      </c>
      <c r="K407" t="e">
        <f t="shared" ca="1" si="101"/>
        <v>#N/A</v>
      </c>
      <c r="O407" s="22" t="e">
        <f t="shared" ca="1" si="97"/>
        <v>#N/A</v>
      </c>
      <c r="P407" s="17" t="e">
        <f ca="1"/>
        <v>#N/A</v>
      </c>
      <c r="Q407" s="17" t="e">
        <f ca="1"/>
        <v>#N/A</v>
      </c>
      <c r="R407" s="23" t="e">
        <f ca="1"/>
        <v>#N/A</v>
      </c>
      <c r="S407" s="23">
        <f t="shared" ref="S407:S470" ca="1" si="105">IFERROR(Volatility(P396:P407,12),FALSE)</f>
        <v>0</v>
      </c>
      <c r="T407" t="b">
        <f t="shared" ca="1" si="102"/>
        <v>1</v>
      </c>
      <c r="U407" s="22" t="e">
        <f t="shared" ca="1" si="98"/>
        <v>#N/A</v>
      </c>
      <c r="V407">
        <f t="shared" ca="1" si="99"/>
        <v>0</v>
      </c>
    </row>
    <row r="408" spans="2:22">
      <c r="B408">
        <f t="shared" si="103"/>
        <v>398</v>
      </c>
      <c r="C408" s="22" t="e">
        <f ca="1"/>
        <v>#N/A</v>
      </c>
      <c r="D408" s="17" t="e">
        <f ca="1"/>
        <v>#N/A</v>
      </c>
      <c r="E408" s="17" t="e">
        <f ca="1"/>
        <v>#N/A</v>
      </c>
      <c r="F408" s="23" t="e">
        <f ca="1"/>
        <v>#N/A</v>
      </c>
      <c r="G408" s="23">
        <f t="shared" ca="1" si="104"/>
        <v>0</v>
      </c>
      <c r="H408" t="b">
        <f t="shared" ca="1" si="100"/>
        <v>1</v>
      </c>
      <c r="I408" s="22" t="e">
        <f t="shared" ca="1" si="95"/>
        <v>#N/A</v>
      </c>
      <c r="J408">
        <f t="shared" ca="1" si="96"/>
        <v>0</v>
      </c>
      <c r="K408" t="e">
        <f t="shared" ca="1" si="101"/>
        <v>#N/A</v>
      </c>
      <c r="O408" s="22" t="e">
        <f t="shared" ca="1" si="97"/>
        <v>#N/A</v>
      </c>
      <c r="P408" s="17" t="e">
        <f ca="1"/>
        <v>#N/A</v>
      </c>
      <c r="Q408" s="17" t="e">
        <f ca="1"/>
        <v>#N/A</v>
      </c>
      <c r="R408" s="23" t="e">
        <f ca="1"/>
        <v>#N/A</v>
      </c>
      <c r="S408" s="23">
        <f t="shared" ca="1" si="105"/>
        <v>0</v>
      </c>
      <c r="T408" t="b">
        <f t="shared" ca="1" si="102"/>
        <v>1</v>
      </c>
      <c r="U408" s="22" t="e">
        <f t="shared" ca="1" si="98"/>
        <v>#N/A</v>
      </c>
      <c r="V408">
        <f t="shared" ca="1" si="99"/>
        <v>0</v>
      </c>
    </row>
    <row r="409" spans="2:22">
      <c r="B409">
        <f t="shared" si="103"/>
        <v>399</v>
      </c>
      <c r="C409" s="22" t="e">
        <f ca="1"/>
        <v>#N/A</v>
      </c>
      <c r="D409" s="17" t="e">
        <f ca="1"/>
        <v>#N/A</v>
      </c>
      <c r="E409" s="17" t="e">
        <f ca="1"/>
        <v>#N/A</v>
      </c>
      <c r="F409" s="23" t="e">
        <f ca="1"/>
        <v>#N/A</v>
      </c>
      <c r="G409" s="23">
        <f t="shared" ca="1" si="104"/>
        <v>0</v>
      </c>
      <c r="H409" t="b">
        <f t="shared" ca="1" si="100"/>
        <v>1</v>
      </c>
      <c r="I409" s="22" t="e">
        <f t="shared" ca="1" si="95"/>
        <v>#N/A</v>
      </c>
      <c r="J409">
        <f t="shared" ca="1" si="96"/>
        <v>0</v>
      </c>
      <c r="K409" t="e">
        <f t="shared" ca="1" si="101"/>
        <v>#N/A</v>
      </c>
      <c r="O409" s="22" t="e">
        <f t="shared" ca="1" si="97"/>
        <v>#N/A</v>
      </c>
      <c r="P409" s="17" t="e">
        <f ca="1"/>
        <v>#N/A</v>
      </c>
      <c r="Q409" s="17" t="e">
        <f ca="1"/>
        <v>#N/A</v>
      </c>
      <c r="R409" s="23" t="e">
        <f ca="1"/>
        <v>#N/A</v>
      </c>
      <c r="S409" s="23">
        <f t="shared" ca="1" si="105"/>
        <v>0</v>
      </c>
      <c r="T409" t="b">
        <f t="shared" ca="1" si="102"/>
        <v>1</v>
      </c>
      <c r="U409" s="22" t="e">
        <f t="shared" ca="1" si="98"/>
        <v>#N/A</v>
      </c>
      <c r="V409">
        <f t="shared" ca="1" si="99"/>
        <v>0</v>
      </c>
    </row>
    <row r="410" spans="2:22">
      <c r="B410">
        <f t="shared" si="103"/>
        <v>400</v>
      </c>
      <c r="C410" s="22" t="e">
        <f ca="1"/>
        <v>#N/A</v>
      </c>
      <c r="D410" s="17" t="e">
        <f ca="1"/>
        <v>#N/A</v>
      </c>
      <c r="E410" s="17" t="e">
        <f ca="1"/>
        <v>#N/A</v>
      </c>
      <c r="F410" s="23" t="e">
        <f ca="1"/>
        <v>#N/A</v>
      </c>
      <c r="G410" s="23">
        <f t="shared" ca="1" si="104"/>
        <v>0</v>
      </c>
      <c r="H410" t="b">
        <f t="shared" ca="1" si="100"/>
        <v>1</v>
      </c>
      <c r="I410" s="22" t="e">
        <f t="shared" ca="1" si="95"/>
        <v>#N/A</v>
      </c>
      <c r="J410">
        <f t="shared" ca="1" si="96"/>
        <v>0</v>
      </c>
      <c r="K410" t="e">
        <f t="shared" ca="1" si="101"/>
        <v>#N/A</v>
      </c>
      <c r="O410" s="22" t="e">
        <f t="shared" ca="1" si="97"/>
        <v>#N/A</v>
      </c>
      <c r="P410" s="17" t="e">
        <f ca="1"/>
        <v>#N/A</v>
      </c>
      <c r="Q410" s="17" t="e">
        <f ca="1"/>
        <v>#N/A</v>
      </c>
      <c r="R410" s="23" t="e">
        <f ca="1"/>
        <v>#N/A</v>
      </c>
      <c r="S410" s="23">
        <f t="shared" ca="1" si="105"/>
        <v>0</v>
      </c>
      <c r="T410" t="b">
        <f t="shared" ca="1" si="102"/>
        <v>1</v>
      </c>
      <c r="U410" s="22" t="e">
        <f t="shared" ca="1" si="98"/>
        <v>#N/A</v>
      </c>
      <c r="V410">
        <f t="shared" ca="1" si="99"/>
        <v>0</v>
      </c>
    </row>
    <row r="411" spans="2:22">
      <c r="B411">
        <f t="shared" si="103"/>
        <v>401</v>
      </c>
      <c r="C411" s="22" t="e">
        <f ca="1"/>
        <v>#N/A</v>
      </c>
      <c r="D411" s="17" t="e">
        <f ca="1"/>
        <v>#N/A</v>
      </c>
      <c r="E411" s="17" t="e">
        <f ca="1"/>
        <v>#N/A</v>
      </c>
      <c r="F411" s="23" t="e">
        <f ca="1"/>
        <v>#N/A</v>
      </c>
      <c r="G411" s="23">
        <f t="shared" ca="1" si="104"/>
        <v>0</v>
      </c>
      <c r="H411" t="b">
        <f t="shared" ca="1" si="100"/>
        <v>1</v>
      </c>
      <c r="I411" s="22" t="e">
        <f t="shared" ca="1" si="95"/>
        <v>#N/A</v>
      </c>
      <c r="J411">
        <f t="shared" ca="1" si="96"/>
        <v>0</v>
      </c>
      <c r="K411" t="e">
        <f t="shared" ca="1" si="101"/>
        <v>#N/A</v>
      </c>
      <c r="O411" s="22" t="e">
        <f t="shared" ca="1" si="97"/>
        <v>#N/A</v>
      </c>
      <c r="P411" s="17" t="e">
        <f ca="1"/>
        <v>#N/A</v>
      </c>
      <c r="Q411" s="17" t="e">
        <f ca="1"/>
        <v>#N/A</v>
      </c>
      <c r="R411" s="23" t="e">
        <f ca="1"/>
        <v>#N/A</v>
      </c>
      <c r="S411" s="23">
        <f t="shared" ca="1" si="105"/>
        <v>0</v>
      </c>
      <c r="T411" t="b">
        <f t="shared" ca="1" si="102"/>
        <v>1</v>
      </c>
      <c r="U411" s="22" t="e">
        <f t="shared" ca="1" si="98"/>
        <v>#N/A</v>
      </c>
      <c r="V411">
        <f t="shared" ca="1" si="99"/>
        <v>0</v>
      </c>
    </row>
    <row r="412" spans="2:22">
      <c r="B412">
        <f t="shared" si="103"/>
        <v>402</v>
      </c>
      <c r="C412" s="22" t="e">
        <f ca="1"/>
        <v>#N/A</v>
      </c>
      <c r="D412" s="17" t="e">
        <f ca="1"/>
        <v>#N/A</v>
      </c>
      <c r="E412" s="17" t="e">
        <f ca="1"/>
        <v>#N/A</v>
      </c>
      <c r="F412" s="23" t="e">
        <f ca="1"/>
        <v>#N/A</v>
      </c>
      <c r="G412" s="23">
        <f t="shared" ca="1" si="104"/>
        <v>0</v>
      </c>
      <c r="H412" t="b">
        <f t="shared" ca="1" si="100"/>
        <v>1</v>
      </c>
      <c r="I412" s="22" t="e">
        <f t="shared" ca="1" si="95"/>
        <v>#N/A</v>
      </c>
      <c r="J412">
        <f t="shared" ca="1" si="96"/>
        <v>0</v>
      </c>
      <c r="K412" t="e">
        <f t="shared" ca="1" si="101"/>
        <v>#N/A</v>
      </c>
      <c r="O412" s="22" t="e">
        <f t="shared" ca="1" si="97"/>
        <v>#N/A</v>
      </c>
      <c r="P412" s="17" t="e">
        <f ca="1"/>
        <v>#N/A</v>
      </c>
      <c r="Q412" s="17" t="e">
        <f ca="1"/>
        <v>#N/A</v>
      </c>
      <c r="R412" s="23" t="e">
        <f ca="1"/>
        <v>#N/A</v>
      </c>
      <c r="S412" s="23">
        <f t="shared" ca="1" si="105"/>
        <v>0</v>
      </c>
      <c r="T412" t="b">
        <f t="shared" ca="1" si="102"/>
        <v>1</v>
      </c>
      <c r="U412" s="22" t="e">
        <f t="shared" ca="1" si="98"/>
        <v>#N/A</v>
      </c>
      <c r="V412">
        <f t="shared" ca="1" si="99"/>
        <v>0</v>
      </c>
    </row>
    <row r="413" spans="2:22">
      <c r="B413">
        <f t="shared" si="103"/>
        <v>403</v>
      </c>
      <c r="C413" s="22" t="e">
        <f ca="1"/>
        <v>#N/A</v>
      </c>
      <c r="D413" s="17" t="e">
        <f ca="1"/>
        <v>#N/A</v>
      </c>
      <c r="E413" s="17" t="e">
        <f ca="1"/>
        <v>#N/A</v>
      </c>
      <c r="F413" s="23" t="e">
        <f ca="1"/>
        <v>#N/A</v>
      </c>
      <c r="G413" s="23">
        <f t="shared" ca="1" si="104"/>
        <v>0</v>
      </c>
      <c r="H413" t="b">
        <f t="shared" ca="1" si="100"/>
        <v>1</v>
      </c>
      <c r="I413" s="22" t="e">
        <f t="shared" ca="1" si="95"/>
        <v>#N/A</v>
      </c>
      <c r="J413">
        <f t="shared" ca="1" si="96"/>
        <v>0</v>
      </c>
      <c r="K413" t="e">
        <f t="shared" ca="1" si="101"/>
        <v>#N/A</v>
      </c>
      <c r="O413" s="22" t="e">
        <f t="shared" ca="1" si="97"/>
        <v>#N/A</v>
      </c>
      <c r="P413" s="17" t="e">
        <f ca="1"/>
        <v>#N/A</v>
      </c>
      <c r="Q413" s="17" t="e">
        <f ca="1"/>
        <v>#N/A</v>
      </c>
      <c r="R413" s="23" t="e">
        <f ca="1"/>
        <v>#N/A</v>
      </c>
      <c r="S413" s="23">
        <f t="shared" ca="1" si="105"/>
        <v>0</v>
      </c>
      <c r="T413" t="b">
        <f t="shared" ca="1" si="102"/>
        <v>1</v>
      </c>
      <c r="U413" s="22" t="e">
        <f t="shared" ca="1" si="98"/>
        <v>#N/A</v>
      </c>
      <c r="V413">
        <f t="shared" ca="1" si="99"/>
        <v>0</v>
      </c>
    </row>
    <row r="414" spans="2:22">
      <c r="B414">
        <f t="shared" si="103"/>
        <v>404</v>
      </c>
      <c r="C414" s="22" t="e">
        <f ca="1"/>
        <v>#N/A</v>
      </c>
      <c r="D414" s="17" t="e">
        <f ca="1"/>
        <v>#N/A</v>
      </c>
      <c r="E414" s="17" t="e">
        <f ca="1"/>
        <v>#N/A</v>
      </c>
      <c r="F414" s="23" t="e">
        <f ca="1"/>
        <v>#N/A</v>
      </c>
      <c r="G414" s="23">
        <f t="shared" ca="1" si="104"/>
        <v>0</v>
      </c>
      <c r="H414" t="b">
        <f t="shared" ca="1" si="100"/>
        <v>1</v>
      </c>
      <c r="I414" s="22" t="e">
        <f t="shared" ca="1" si="95"/>
        <v>#N/A</v>
      </c>
      <c r="J414">
        <f t="shared" ca="1" si="96"/>
        <v>0</v>
      </c>
      <c r="K414" t="e">
        <f t="shared" ca="1" si="101"/>
        <v>#N/A</v>
      </c>
      <c r="O414" s="22" t="e">
        <f t="shared" ca="1" si="97"/>
        <v>#N/A</v>
      </c>
      <c r="P414" s="17" t="e">
        <f ca="1"/>
        <v>#N/A</v>
      </c>
      <c r="Q414" s="17" t="e">
        <f ca="1"/>
        <v>#N/A</v>
      </c>
      <c r="R414" s="23" t="e">
        <f ca="1"/>
        <v>#N/A</v>
      </c>
      <c r="S414" s="23">
        <f t="shared" ca="1" si="105"/>
        <v>0</v>
      </c>
      <c r="T414" t="b">
        <f t="shared" ca="1" si="102"/>
        <v>1</v>
      </c>
      <c r="U414" s="22" t="e">
        <f t="shared" ca="1" si="98"/>
        <v>#N/A</v>
      </c>
      <c r="V414">
        <f t="shared" ca="1" si="99"/>
        <v>0</v>
      </c>
    </row>
    <row r="415" spans="2:22">
      <c r="B415">
        <f t="shared" si="103"/>
        <v>405</v>
      </c>
      <c r="C415" s="22" t="e">
        <f ca="1"/>
        <v>#N/A</v>
      </c>
      <c r="D415" s="17" t="e">
        <f ca="1"/>
        <v>#N/A</v>
      </c>
      <c r="E415" s="17" t="e">
        <f ca="1"/>
        <v>#N/A</v>
      </c>
      <c r="F415" s="23" t="e">
        <f ca="1"/>
        <v>#N/A</v>
      </c>
      <c r="G415" s="23">
        <f t="shared" ca="1" si="104"/>
        <v>0</v>
      </c>
      <c r="H415" t="b">
        <f t="shared" ca="1" si="100"/>
        <v>1</v>
      </c>
      <c r="I415" s="22" t="e">
        <f t="shared" ca="1" si="95"/>
        <v>#N/A</v>
      </c>
      <c r="J415">
        <f t="shared" ca="1" si="96"/>
        <v>0</v>
      </c>
      <c r="K415" t="e">
        <f t="shared" ca="1" si="101"/>
        <v>#N/A</v>
      </c>
      <c r="O415" s="22" t="e">
        <f t="shared" ca="1" si="97"/>
        <v>#N/A</v>
      </c>
      <c r="P415" s="17" t="e">
        <f ca="1"/>
        <v>#N/A</v>
      </c>
      <c r="Q415" s="17" t="e">
        <f ca="1"/>
        <v>#N/A</v>
      </c>
      <c r="R415" s="23" t="e">
        <f ca="1"/>
        <v>#N/A</v>
      </c>
      <c r="S415" s="23">
        <f t="shared" ca="1" si="105"/>
        <v>0</v>
      </c>
      <c r="T415" t="b">
        <f t="shared" ca="1" si="102"/>
        <v>1</v>
      </c>
      <c r="U415" s="22" t="e">
        <f t="shared" ca="1" si="98"/>
        <v>#N/A</v>
      </c>
      <c r="V415">
        <f t="shared" ca="1" si="99"/>
        <v>0</v>
      </c>
    </row>
    <row r="416" spans="2:22">
      <c r="B416">
        <f t="shared" si="103"/>
        <v>406</v>
      </c>
      <c r="C416" s="22" t="e">
        <f ca="1"/>
        <v>#N/A</v>
      </c>
      <c r="D416" s="17" t="e">
        <f ca="1"/>
        <v>#N/A</v>
      </c>
      <c r="E416" s="17" t="e">
        <f ca="1"/>
        <v>#N/A</v>
      </c>
      <c r="F416" s="23" t="e">
        <f ca="1"/>
        <v>#N/A</v>
      </c>
      <c r="G416" s="23">
        <f t="shared" ca="1" si="104"/>
        <v>0</v>
      </c>
      <c r="H416" t="b">
        <f t="shared" ca="1" si="100"/>
        <v>1</v>
      </c>
      <c r="I416" s="22" t="e">
        <f t="shared" ca="1" si="95"/>
        <v>#N/A</v>
      </c>
      <c r="J416">
        <f t="shared" ca="1" si="96"/>
        <v>0</v>
      </c>
      <c r="K416" t="e">
        <f t="shared" ca="1" si="101"/>
        <v>#N/A</v>
      </c>
      <c r="O416" s="22" t="e">
        <f t="shared" ca="1" si="97"/>
        <v>#N/A</v>
      </c>
      <c r="P416" s="17" t="e">
        <f ca="1"/>
        <v>#N/A</v>
      </c>
      <c r="Q416" s="17" t="e">
        <f ca="1"/>
        <v>#N/A</v>
      </c>
      <c r="R416" s="23" t="e">
        <f ca="1"/>
        <v>#N/A</v>
      </c>
      <c r="S416" s="23">
        <f t="shared" ca="1" si="105"/>
        <v>0</v>
      </c>
      <c r="T416" t="b">
        <f t="shared" ca="1" si="102"/>
        <v>1</v>
      </c>
      <c r="U416" s="22" t="e">
        <f t="shared" ca="1" si="98"/>
        <v>#N/A</v>
      </c>
      <c r="V416">
        <f t="shared" ca="1" si="99"/>
        <v>0</v>
      </c>
    </row>
    <row r="417" spans="2:22">
      <c r="B417">
        <f t="shared" si="103"/>
        <v>407</v>
      </c>
      <c r="C417" s="22" t="e">
        <f ca="1"/>
        <v>#N/A</v>
      </c>
      <c r="D417" s="17" t="e">
        <f ca="1"/>
        <v>#N/A</v>
      </c>
      <c r="E417" s="17" t="e">
        <f ca="1"/>
        <v>#N/A</v>
      </c>
      <c r="F417" s="23" t="e">
        <f ca="1"/>
        <v>#N/A</v>
      </c>
      <c r="G417" s="23">
        <f t="shared" ca="1" si="104"/>
        <v>0</v>
      </c>
      <c r="H417" t="b">
        <f t="shared" ca="1" si="100"/>
        <v>1</v>
      </c>
      <c r="I417" s="22" t="e">
        <f t="shared" ca="1" si="95"/>
        <v>#N/A</v>
      </c>
      <c r="J417">
        <f t="shared" ca="1" si="96"/>
        <v>0</v>
      </c>
      <c r="K417" t="e">
        <f t="shared" ca="1" si="101"/>
        <v>#N/A</v>
      </c>
      <c r="O417" s="22" t="e">
        <f t="shared" ca="1" si="97"/>
        <v>#N/A</v>
      </c>
      <c r="P417" s="17" t="e">
        <f ca="1"/>
        <v>#N/A</v>
      </c>
      <c r="Q417" s="17" t="e">
        <f ca="1"/>
        <v>#N/A</v>
      </c>
      <c r="R417" s="23" t="e">
        <f ca="1"/>
        <v>#N/A</v>
      </c>
      <c r="S417" s="23">
        <f t="shared" ca="1" si="105"/>
        <v>0</v>
      </c>
      <c r="T417" t="b">
        <f t="shared" ca="1" si="102"/>
        <v>1</v>
      </c>
      <c r="U417" s="22" t="e">
        <f t="shared" ca="1" si="98"/>
        <v>#N/A</v>
      </c>
      <c r="V417">
        <f t="shared" ca="1" si="99"/>
        <v>0</v>
      </c>
    </row>
    <row r="418" spans="2:22">
      <c r="B418">
        <f t="shared" si="103"/>
        <v>408</v>
      </c>
      <c r="C418" s="22" t="e">
        <f ca="1"/>
        <v>#N/A</v>
      </c>
      <c r="D418" s="17" t="e">
        <f ca="1"/>
        <v>#N/A</v>
      </c>
      <c r="E418" s="17" t="e">
        <f ca="1"/>
        <v>#N/A</v>
      </c>
      <c r="F418" s="23" t="e">
        <f ca="1"/>
        <v>#N/A</v>
      </c>
      <c r="G418" s="23">
        <f t="shared" ca="1" si="104"/>
        <v>0</v>
      </c>
      <c r="H418" t="b">
        <f t="shared" ca="1" si="100"/>
        <v>1</v>
      </c>
      <c r="I418" s="22" t="e">
        <f t="shared" ca="1" si="95"/>
        <v>#N/A</v>
      </c>
      <c r="J418">
        <f t="shared" ca="1" si="96"/>
        <v>0</v>
      </c>
      <c r="K418" t="e">
        <f t="shared" ca="1" si="101"/>
        <v>#N/A</v>
      </c>
      <c r="O418" s="22" t="e">
        <f t="shared" ca="1" si="97"/>
        <v>#N/A</v>
      </c>
      <c r="P418" s="17" t="e">
        <f ca="1"/>
        <v>#N/A</v>
      </c>
      <c r="Q418" s="17" t="e">
        <f ca="1"/>
        <v>#N/A</v>
      </c>
      <c r="R418" s="23" t="e">
        <f ca="1"/>
        <v>#N/A</v>
      </c>
      <c r="S418" s="23">
        <f t="shared" ca="1" si="105"/>
        <v>0</v>
      </c>
      <c r="T418" t="b">
        <f t="shared" ca="1" si="102"/>
        <v>1</v>
      </c>
      <c r="U418" s="22" t="e">
        <f t="shared" ca="1" si="98"/>
        <v>#N/A</v>
      </c>
      <c r="V418">
        <f t="shared" ca="1" si="99"/>
        <v>0</v>
      </c>
    </row>
    <row r="419" spans="2:22">
      <c r="B419">
        <f t="shared" si="103"/>
        <v>409</v>
      </c>
      <c r="C419" s="22" t="e">
        <f ca="1"/>
        <v>#N/A</v>
      </c>
      <c r="D419" s="17" t="e">
        <f ca="1"/>
        <v>#N/A</v>
      </c>
      <c r="E419" s="17" t="e">
        <f ca="1"/>
        <v>#N/A</v>
      </c>
      <c r="F419" s="23" t="e">
        <f ca="1"/>
        <v>#N/A</v>
      </c>
      <c r="G419" s="23">
        <f t="shared" ca="1" si="104"/>
        <v>0</v>
      </c>
      <c r="H419" t="b">
        <f t="shared" ca="1" si="100"/>
        <v>1</v>
      </c>
      <c r="I419" s="22" t="e">
        <f t="shared" ca="1" si="95"/>
        <v>#N/A</v>
      </c>
      <c r="J419">
        <f t="shared" ca="1" si="96"/>
        <v>0</v>
      </c>
      <c r="K419" t="e">
        <f t="shared" ca="1" si="101"/>
        <v>#N/A</v>
      </c>
      <c r="O419" s="22" t="e">
        <f t="shared" ca="1" si="97"/>
        <v>#N/A</v>
      </c>
      <c r="P419" s="17" t="e">
        <f ca="1"/>
        <v>#N/A</v>
      </c>
      <c r="Q419" s="17" t="e">
        <f ca="1"/>
        <v>#N/A</v>
      </c>
      <c r="R419" s="23" t="e">
        <f ca="1"/>
        <v>#N/A</v>
      </c>
      <c r="S419" s="23">
        <f t="shared" ca="1" si="105"/>
        <v>0</v>
      </c>
      <c r="T419" t="b">
        <f t="shared" ca="1" si="102"/>
        <v>1</v>
      </c>
      <c r="U419" s="22" t="e">
        <f t="shared" ca="1" si="98"/>
        <v>#N/A</v>
      </c>
      <c r="V419">
        <f t="shared" ca="1" si="99"/>
        <v>0</v>
      </c>
    </row>
    <row r="420" spans="2:22">
      <c r="B420">
        <f t="shared" si="103"/>
        <v>410</v>
      </c>
      <c r="C420" s="22" t="e">
        <f ca="1"/>
        <v>#N/A</v>
      </c>
      <c r="D420" s="17" t="e">
        <f ca="1"/>
        <v>#N/A</v>
      </c>
      <c r="E420" s="17" t="e">
        <f ca="1"/>
        <v>#N/A</v>
      </c>
      <c r="F420" s="23" t="e">
        <f ca="1"/>
        <v>#N/A</v>
      </c>
      <c r="G420" s="23">
        <f t="shared" ca="1" si="104"/>
        <v>0</v>
      </c>
      <c r="H420" t="b">
        <f t="shared" ca="1" si="100"/>
        <v>1</v>
      </c>
      <c r="I420" s="22" t="e">
        <f t="shared" ca="1" si="95"/>
        <v>#N/A</v>
      </c>
      <c r="J420">
        <f t="shared" ca="1" si="96"/>
        <v>0</v>
      </c>
      <c r="K420" t="e">
        <f t="shared" ca="1" si="101"/>
        <v>#N/A</v>
      </c>
      <c r="O420" s="22" t="e">
        <f t="shared" ca="1" si="97"/>
        <v>#N/A</v>
      </c>
      <c r="P420" s="17" t="e">
        <f ca="1"/>
        <v>#N/A</v>
      </c>
      <c r="Q420" s="17" t="e">
        <f ca="1"/>
        <v>#N/A</v>
      </c>
      <c r="R420" s="23" t="e">
        <f ca="1"/>
        <v>#N/A</v>
      </c>
      <c r="S420" s="23">
        <f t="shared" ca="1" si="105"/>
        <v>0</v>
      </c>
      <c r="T420" t="b">
        <f t="shared" ca="1" si="102"/>
        <v>1</v>
      </c>
      <c r="U420" s="22" t="e">
        <f t="shared" ca="1" si="98"/>
        <v>#N/A</v>
      </c>
      <c r="V420">
        <f t="shared" ca="1" si="99"/>
        <v>0</v>
      </c>
    </row>
    <row r="421" spans="2:22">
      <c r="B421">
        <f t="shared" si="103"/>
        <v>411</v>
      </c>
      <c r="C421" s="22" t="e">
        <f ca="1"/>
        <v>#N/A</v>
      </c>
      <c r="D421" s="17" t="e">
        <f ca="1"/>
        <v>#N/A</v>
      </c>
      <c r="E421" s="17" t="e">
        <f ca="1"/>
        <v>#N/A</v>
      </c>
      <c r="F421" s="23" t="e">
        <f ca="1"/>
        <v>#N/A</v>
      </c>
      <c r="G421" s="23">
        <f t="shared" ca="1" si="104"/>
        <v>0</v>
      </c>
      <c r="H421" t="b">
        <f t="shared" ca="1" si="100"/>
        <v>1</v>
      </c>
      <c r="I421" s="22" t="e">
        <f t="shared" ca="1" si="95"/>
        <v>#N/A</v>
      </c>
      <c r="J421">
        <f t="shared" ca="1" si="96"/>
        <v>0</v>
      </c>
      <c r="K421" t="e">
        <f t="shared" ca="1" si="101"/>
        <v>#N/A</v>
      </c>
      <c r="O421" s="22" t="e">
        <f t="shared" ca="1" si="97"/>
        <v>#N/A</v>
      </c>
      <c r="P421" s="17" t="e">
        <f ca="1"/>
        <v>#N/A</v>
      </c>
      <c r="Q421" s="17" t="e">
        <f ca="1"/>
        <v>#N/A</v>
      </c>
      <c r="R421" s="23" t="e">
        <f ca="1"/>
        <v>#N/A</v>
      </c>
      <c r="S421" s="23">
        <f t="shared" ca="1" si="105"/>
        <v>0</v>
      </c>
      <c r="T421" t="b">
        <f t="shared" ca="1" si="102"/>
        <v>1</v>
      </c>
      <c r="U421" s="22" t="e">
        <f t="shared" ca="1" si="98"/>
        <v>#N/A</v>
      </c>
      <c r="V421">
        <f t="shared" ca="1" si="99"/>
        <v>0</v>
      </c>
    </row>
    <row r="422" spans="2:22">
      <c r="B422">
        <f t="shared" si="103"/>
        <v>412</v>
      </c>
      <c r="C422" s="22" t="e">
        <f ca="1"/>
        <v>#N/A</v>
      </c>
      <c r="D422" s="17" t="e">
        <f ca="1"/>
        <v>#N/A</v>
      </c>
      <c r="E422" s="17" t="e">
        <f ca="1"/>
        <v>#N/A</v>
      </c>
      <c r="F422" s="23" t="e">
        <f ca="1"/>
        <v>#N/A</v>
      </c>
      <c r="G422" s="23">
        <f t="shared" ca="1" si="104"/>
        <v>0</v>
      </c>
      <c r="H422" t="b">
        <f t="shared" ca="1" si="100"/>
        <v>1</v>
      </c>
      <c r="I422" s="22" t="e">
        <f t="shared" ca="1" si="95"/>
        <v>#N/A</v>
      </c>
      <c r="J422">
        <f t="shared" ca="1" si="96"/>
        <v>0</v>
      </c>
      <c r="K422" t="e">
        <f t="shared" ca="1" si="101"/>
        <v>#N/A</v>
      </c>
      <c r="O422" s="22" t="e">
        <f t="shared" ca="1" si="97"/>
        <v>#N/A</v>
      </c>
      <c r="P422" s="17" t="e">
        <f ca="1"/>
        <v>#N/A</v>
      </c>
      <c r="Q422" s="17" t="e">
        <f ca="1"/>
        <v>#N/A</v>
      </c>
      <c r="R422" s="23" t="e">
        <f ca="1"/>
        <v>#N/A</v>
      </c>
      <c r="S422" s="23">
        <f t="shared" ca="1" si="105"/>
        <v>0</v>
      </c>
      <c r="T422" t="b">
        <f t="shared" ca="1" si="102"/>
        <v>1</v>
      </c>
      <c r="U422" s="22" t="e">
        <f t="shared" ca="1" si="98"/>
        <v>#N/A</v>
      </c>
      <c r="V422">
        <f t="shared" ca="1" si="99"/>
        <v>0</v>
      </c>
    </row>
    <row r="423" spans="2:22">
      <c r="B423">
        <f t="shared" si="103"/>
        <v>413</v>
      </c>
      <c r="C423" s="22" t="e">
        <f ca="1"/>
        <v>#N/A</v>
      </c>
      <c r="D423" s="17" t="e">
        <f ca="1"/>
        <v>#N/A</v>
      </c>
      <c r="E423" s="17" t="e">
        <f ca="1"/>
        <v>#N/A</v>
      </c>
      <c r="F423" s="23" t="e">
        <f ca="1"/>
        <v>#N/A</v>
      </c>
      <c r="G423" s="23">
        <f t="shared" ca="1" si="104"/>
        <v>0</v>
      </c>
      <c r="H423" t="b">
        <f t="shared" ca="1" si="100"/>
        <v>1</v>
      </c>
      <c r="I423" s="22" t="e">
        <f t="shared" ca="1" si="95"/>
        <v>#N/A</v>
      </c>
      <c r="J423">
        <f t="shared" ca="1" si="96"/>
        <v>0</v>
      </c>
      <c r="K423" t="e">
        <f t="shared" ca="1" si="101"/>
        <v>#N/A</v>
      </c>
      <c r="O423" s="22" t="e">
        <f t="shared" ca="1" si="97"/>
        <v>#N/A</v>
      </c>
      <c r="P423" s="17" t="e">
        <f ca="1"/>
        <v>#N/A</v>
      </c>
      <c r="Q423" s="17" t="e">
        <f ca="1"/>
        <v>#N/A</v>
      </c>
      <c r="R423" s="23" t="e">
        <f ca="1"/>
        <v>#N/A</v>
      </c>
      <c r="S423" s="23">
        <f t="shared" ca="1" si="105"/>
        <v>0</v>
      </c>
      <c r="T423" t="b">
        <f t="shared" ca="1" si="102"/>
        <v>1</v>
      </c>
      <c r="U423" s="22" t="e">
        <f t="shared" ca="1" si="98"/>
        <v>#N/A</v>
      </c>
      <c r="V423">
        <f t="shared" ca="1" si="99"/>
        <v>0</v>
      </c>
    </row>
    <row r="424" spans="2:22">
      <c r="B424">
        <f t="shared" si="103"/>
        <v>414</v>
      </c>
      <c r="C424" s="22" t="e">
        <f ca="1"/>
        <v>#N/A</v>
      </c>
      <c r="D424" s="17" t="e">
        <f ca="1"/>
        <v>#N/A</v>
      </c>
      <c r="E424" s="17" t="e">
        <f ca="1"/>
        <v>#N/A</v>
      </c>
      <c r="F424" s="23" t="e">
        <f ca="1"/>
        <v>#N/A</v>
      </c>
      <c r="G424" s="23">
        <f t="shared" ca="1" si="104"/>
        <v>0</v>
      </c>
      <c r="H424" t="b">
        <f t="shared" ca="1" si="100"/>
        <v>1</v>
      </c>
      <c r="I424" s="22" t="e">
        <f t="shared" ca="1" si="95"/>
        <v>#N/A</v>
      </c>
      <c r="J424">
        <f t="shared" ca="1" si="96"/>
        <v>0</v>
      </c>
      <c r="K424" t="e">
        <f t="shared" ca="1" si="101"/>
        <v>#N/A</v>
      </c>
      <c r="O424" s="22" t="e">
        <f t="shared" ca="1" si="97"/>
        <v>#N/A</v>
      </c>
      <c r="P424" s="17" t="e">
        <f ca="1"/>
        <v>#N/A</v>
      </c>
      <c r="Q424" s="17" t="e">
        <f ca="1"/>
        <v>#N/A</v>
      </c>
      <c r="R424" s="23" t="e">
        <f ca="1"/>
        <v>#N/A</v>
      </c>
      <c r="S424" s="23">
        <f t="shared" ca="1" si="105"/>
        <v>0</v>
      </c>
      <c r="T424" t="b">
        <f t="shared" ca="1" si="102"/>
        <v>1</v>
      </c>
      <c r="U424" s="22" t="e">
        <f t="shared" ca="1" si="98"/>
        <v>#N/A</v>
      </c>
      <c r="V424">
        <f t="shared" ca="1" si="99"/>
        <v>0</v>
      </c>
    </row>
    <row r="425" spans="2:22">
      <c r="B425">
        <f t="shared" si="103"/>
        <v>415</v>
      </c>
      <c r="C425" s="22" t="e">
        <f ca="1"/>
        <v>#N/A</v>
      </c>
      <c r="D425" s="17" t="e">
        <f ca="1"/>
        <v>#N/A</v>
      </c>
      <c r="E425" s="17" t="e">
        <f ca="1"/>
        <v>#N/A</v>
      </c>
      <c r="F425" s="23" t="e">
        <f ca="1"/>
        <v>#N/A</v>
      </c>
      <c r="G425" s="23">
        <f t="shared" ca="1" si="104"/>
        <v>0</v>
      </c>
      <c r="H425" t="b">
        <f t="shared" ca="1" si="100"/>
        <v>1</v>
      </c>
      <c r="I425" s="22" t="e">
        <f t="shared" ca="1" si="95"/>
        <v>#N/A</v>
      </c>
      <c r="J425">
        <f t="shared" ca="1" si="96"/>
        <v>0</v>
      </c>
      <c r="K425" t="e">
        <f t="shared" ca="1" si="101"/>
        <v>#N/A</v>
      </c>
      <c r="O425" s="22" t="e">
        <f t="shared" ca="1" si="97"/>
        <v>#N/A</v>
      </c>
      <c r="P425" s="17" t="e">
        <f ca="1"/>
        <v>#N/A</v>
      </c>
      <c r="Q425" s="17" t="e">
        <f ca="1"/>
        <v>#N/A</v>
      </c>
      <c r="R425" s="23" t="e">
        <f ca="1"/>
        <v>#N/A</v>
      </c>
      <c r="S425" s="23">
        <f t="shared" ca="1" si="105"/>
        <v>0</v>
      </c>
      <c r="T425" t="b">
        <f t="shared" ca="1" si="102"/>
        <v>1</v>
      </c>
      <c r="U425" s="22" t="e">
        <f t="shared" ca="1" si="98"/>
        <v>#N/A</v>
      </c>
      <c r="V425">
        <f t="shared" ca="1" si="99"/>
        <v>0</v>
      </c>
    </row>
    <row r="426" spans="2:22">
      <c r="B426">
        <f t="shared" si="103"/>
        <v>416</v>
      </c>
      <c r="C426" s="22" t="e">
        <f ca="1"/>
        <v>#N/A</v>
      </c>
      <c r="D426" s="17" t="e">
        <f ca="1"/>
        <v>#N/A</v>
      </c>
      <c r="E426" s="17" t="e">
        <f ca="1"/>
        <v>#N/A</v>
      </c>
      <c r="F426" s="23" t="e">
        <f ca="1"/>
        <v>#N/A</v>
      </c>
      <c r="G426" s="23">
        <f t="shared" ca="1" si="104"/>
        <v>0</v>
      </c>
      <c r="H426" t="b">
        <f t="shared" ca="1" si="100"/>
        <v>1</v>
      </c>
      <c r="I426" s="22" t="e">
        <f t="shared" ca="1" si="95"/>
        <v>#N/A</v>
      </c>
      <c r="J426">
        <f t="shared" ca="1" si="96"/>
        <v>0</v>
      </c>
      <c r="K426" t="e">
        <f t="shared" ca="1" si="101"/>
        <v>#N/A</v>
      </c>
      <c r="O426" s="22" t="e">
        <f t="shared" ca="1" si="97"/>
        <v>#N/A</v>
      </c>
      <c r="P426" s="17" t="e">
        <f ca="1"/>
        <v>#N/A</v>
      </c>
      <c r="Q426" s="17" t="e">
        <f ca="1"/>
        <v>#N/A</v>
      </c>
      <c r="R426" s="23" t="e">
        <f ca="1"/>
        <v>#N/A</v>
      </c>
      <c r="S426" s="23">
        <f t="shared" ca="1" si="105"/>
        <v>0</v>
      </c>
      <c r="T426" t="b">
        <f t="shared" ca="1" si="102"/>
        <v>1</v>
      </c>
      <c r="U426" s="22" t="e">
        <f t="shared" ca="1" si="98"/>
        <v>#N/A</v>
      </c>
      <c r="V426">
        <f t="shared" ca="1" si="99"/>
        <v>0</v>
      </c>
    </row>
    <row r="427" spans="2:22">
      <c r="B427">
        <f t="shared" si="103"/>
        <v>417</v>
      </c>
      <c r="C427" s="22" t="e">
        <f ca="1"/>
        <v>#N/A</v>
      </c>
      <c r="D427" s="17" t="e">
        <f ca="1"/>
        <v>#N/A</v>
      </c>
      <c r="E427" s="17" t="e">
        <f ca="1"/>
        <v>#N/A</v>
      </c>
      <c r="F427" s="23" t="e">
        <f ca="1"/>
        <v>#N/A</v>
      </c>
      <c r="G427" s="23">
        <f t="shared" ca="1" si="104"/>
        <v>0</v>
      </c>
      <c r="H427" t="b">
        <f t="shared" ca="1" si="100"/>
        <v>1</v>
      </c>
      <c r="I427" s="22" t="e">
        <f t="shared" ca="1" si="95"/>
        <v>#N/A</v>
      </c>
      <c r="J427">
        <f t="shared" ca="1" si="96"/>
        <v>0</v>
      </c>
      <c r="K427" t="e">
        <f t="shared" ca="1" si="101"/>
        <v>#N/A</v>
      </c>
      <c r="O427" s="22" t="e">
        <f t="shared" ca="1" si="97"/>
        <v>#N/A</v>
      </c>
      <c r="P427" s="17" t="e">
        <f ca="1"/>
        <v>#N/A</v>
      </c>
      <c r="Q427" s="17" t="e">
        <f ca="1"/>
        <v>#N/A</v>
      </c>
      <c r="R427" s="23" t="e">
        <f ca="1"/>
        <v>#N/A</v>
      </c>
      <c r="S427" s="23">
        <f t="shared" ca="1" si="105"/>
        <v>0</v>
      </c>
      <c r="T427" t="b">
        <f t="shared" ca="1" si="102"/>
        <v>1</v>
      </c>
      <c r="U427" s="22" t="e">
        <f t="shared" ca="1" si="98"/>
        <v>#N/A</v>
      </c>
      <c r="V427">
        <f t="shared" ca="1" si="99"/>
        <v>0</v>
      </c>
    </row>
    <row r="428" spans="2:22">
      <c r="B428">
        <f t="shared" si="103"/>
        <v>418</v>
      </c>
      <c r="C428" s="22" t="e">
        <f ca="1"/>
        <v>#N/A</v>
      </c>
      <c r="D428" s="17" t="e">
        <f ca="1"/>
        <v>#N/A</v>
      </c>
      <c r="E428" s="17" t="e">
        <f ca="1"/>
        <v>#N/A</v>
      </c>
      <c r="F428" s="23" t="e">
        <f ca="1"/>
        <v>#N/A</v>
      </c>
      <c r="G428" s="23">
        <f t="shared" ca="1" si="104"/>
        <v>0</v>
      </c>
      <c r="H428" t="b">
        <f t="shared" ca="1" si="100"/>
        <v>1</v>
      </c>
      <c r="I428" s="22" t="e">
        <f t="shared" ca="1" si="95"/>
        <v>#N/A</v>
      </c>
      <c r="J428">
        <f t="shared" ca="1" si="96"/>
        <v>0</v>
      </c>
      <c r="K428" t="e">
        <f t="shared" ca="1" si="101"/>
        <v>#N/A</v>
      </c>
      <c r="O428" s="22" t="e">
        <f t="shared" ca="1" si="97"/>
        <v>#N/A</v>
      </c>
      <c r="P428" s="17" t="e">
        <f ca="1"/>
        <v>#N/A</v>
      </c>
      <c r="Q428" s="17" t="e">
        <f ca="1"/>
        <v>#N/A</v>
      </c>
      <c r="R428" s="23" t="e">
        <f ca="1"/>
        <v>#N/A</v>
      </c>
      <c r="S428" s="23">
        <f t="shared" ca="1" si="105"/>
        <v>0</v>
      </c>
      <c r="T428" t="b">
        <f t="shared" ca="1" si="102"/>
        <v>1</v>
      </c>
      <c r="U428" s="22" t="e">
        <f t="shared" ca="1" si="98"/>
        <v>#N/A</v>
      </c>
      <c r="V428">
        <f t="shared" ca="1" si="99"/>
        <v>0</v>
      </c>
    </row>
    <row r="429" spans="2:22">
      <c r="B429">
        <f t="shared" si="103"/>
        <v>419</v>
      </c>
      <c r="C429" s="22" t="e">
        <f ca="1"/>
        <v>#N/A</v>
      </c>
      <c r="D429" s="17" t="e">
        <f ca="1"/>
        <v>#N/A</v>
      </c>
      <c r="E429" s="17" t="e">
        <f ca="1"/>
        <v>#N/A</v>
      </c>
      <c r="F429" s="23" t="e">
        <f ca="1"/>
        <v>#N/A</v>
      </c>
      <c r="G429" s="23">
        <f t="shared" ca="1" si="104"/>
        <v>0</v>
      </c>
      <c r="H429" t="b">
        <f t="shared" ca="1" si="100"/>
        <v>1</v>
      </c>
      <c r="I429" s="22" t="e">
        <f t="shared" ca="1" si="95"/>
        <v>#N/A</v>
      </c>
      <c r="J429">
        <f t="shared" ca="1" si="96"/>
        <v>0</v>
      </c>
      <c r="K429" t="e">
        <f t="shared" ca="1" si="101"/>
        <v>#N/A</v>
      </c>
      <c r="O429" s="22" t="e">
        <f t="shared" ca="1" si="97"/>
        <v>#N/A</v>
      </c>
      <c r="P429" s="17" t="e">
        <f ca="1"/>
        <v>#N/A</v>
      </c>
      <c r="Q429" s="17" t="e">
        <f ca="1"/>
        <v>#N/A</v>
      </c>
      <c r="R429" s="23" t="e">
        <f ca="1"/>
        <v>#N/A</v>
      </c>
      <c r="S429" s="23">
        <f t="shared" ca="1" si="105"/>
        <v>0</v>
      </c>
      <c r="T429" t="b">
        <f t="shared" ca="1" si="102"/>
        <v>1</v>
      </c>
      <c r="U429" s="22" t="e">
        <f t="shared" ca="1" si="98"/>
        <v>#N/A</v>
      </c>
      <c r="V429">
        <f t="shared" ca="1" si="99"/>
        <v>0</v>
      </c>
    </row>
    <row r="430" spans="2:22">
      <c r="B430">
        <f t="shared" si="103"/>
        <v>420</v>
      </c>
      <c r="C430" s="22" t="e">
        <f ca="1"/>
        <v>#N/A</v>
      </c>
      <c r="D430" s="17" t="e">
        <f ca="1"/>
        <v>#N/A</v>
      </c>
      <c r="E430" s="17" t="e">
        <f ca="1"/>
        <v>#N/A</v>
      </c>
      <c r="F430" s="23" t="e">
        <f ca="1"/>
        <v>#N/A</v>
      </c>
      <c r="G430" s="23">
        <f t="shared" ca="1" si="104"/>
        <v>0</v>
      </c>
      <c r="H430" t="b">
        <f t="shared" ca="1" si="100"/>
        <v>1</v>
      </c>
      <c r="I430" s="22" t="e">
        <f t="shared" ca="1" si="95"/>
        <v>#N/A</v>
      </c>
      <c r="J430">
        <f t="shared" ca="1" si="96"/>
        <v>0</v>
      </c>
      <c r="K430" t="e">
        <f t="shared" ca="1" si="101"/>
        <v>#N/A</v>
      </c>
      <c r="O430" s="22" t="e">
        <f t="shared" ca="1" si="97"/>
        <v>#N/A</v>
      </c>
      <c r="P430" s="17" t="e">
        <f ca="1"/>
        <v>#N/A</v>
      </c>
      <c r="Q430" s="17" t="e">
        <f ca="1"/>
        <v>#N/A</v>
      </c>
      <c r="R430" s="23" t="e">
        <f ca="1"/>
        <v>#N/A</v>
      </c>
      <c r="S430" s="23">
        <f t="shared" ca="1" si="105"/>
        <v>0</v>
      </c>
      <c r="T430" t="b">
        <f t="shared" ca="1" si="102"/>
        <v>1</v>
      </c>
      <c r="U430" s="22" t="e">
        <f t="shared" ca="1" si="98"/>
        <v>#N/A</v>
      </c>
      <c r="V430">
        <f t="shared" ca="1" si="99"/>
        <v>0</v>
      </c>
    </row>
    <row r="431" spans="2:22">
      <c r="B431">
        <f t="shared" si="103"/>
        <v>421</v>
      </c>
      <c r="C431" s="22" t="e">
        <f ca="1"/>
        <v>#N/A</v>
      </c>
      <c r="D431" s="17" t="e">
        <f ca="1"/>
        <v>#N/A</v>
      </c>
      <c r="E431" s="17" t="e">
        <f ca="1"/>
        <v>#N/A</v>
      </c>
      <c r="F431" s="23" t="e">
        <f ca="1"/>
        <v>#N/A</v>
      </c>
      <c r="G431" s="23">
        <f t="shared" ca="1" si="104"/>
        <v>0</v>
      </c>
      <c r="H431" t="b">
        <f t="shared" ca="1" si="100"/>
        <v>1</v>
      </c>
      <c r="I431" s="22" t="e">
        <f t="shared" ca="1" si="95"/>
        <v>#N/A</v>
      </c>
      <c r="J431">
        <f t="shared" ca="1" si="96"/>
        <v>0</v>
      </c>
      <c r="K431" t="e">
        <f t="shared" ca="1" si="101"/>
        <v>#N/A</v>
      </c>
      <c r="O431" s="22" t="e">
        <f t="shared" ca="1" si="97"/>
        <v>#N/A</v>
      </c>
      <c r="P431" s="17" t="e">
        <f ca="1"/>
        <v>#N/A</v>
      </c>
      <c r="Q431" s="17" t="e">
        <f ca="1"/>
        <v>#N/A</v>
      </c>
      <c r="R431" s="23" t="e">
        <f ca="1"/>
        <v>#N/A</v>
      </c>
      <c r="S431" s="23">
        <f t="shared" ca="1" si="105"/>
        <v>0</v>
      </c>
      <c r="T431" t="b">
        <f t="shared" ca="1" si="102"/>
        <v>1</v>
      </c>
      <c r="U431" s="22" t="e">
        <f t="shared" ca="1" si="98"/>
        <v>#N/A</v>
      </c>
      <c r="V431">
        <f t="shared" ca="1" si="99"/>
        <v>0</v>
      </c>
    </row>
    <row r="432" spans="2:22">
      <c r="B432">
        <f t="shared" si="103"/>
        <v>422</v>
      </c>
      <c r="C432" s="22" t="e">
        <f ca="1"/>
        <v>#N/A</v>
      </c>
      <c r="D432" s="17" t="e">
        <f ca="1"/>
        <v>#N/A</v>
      </c>
      <c r="E432" s="17" t="e">
        <f ca="1"/>
        <v>#N/A</v>
      </c>
      <c r="F432" s="23" t="e">
        <f ca="1"/>
        <v>#N/A</v>
      </c>
      <c r="G432" s="23">
        <f t="shared" ca="1" si="104"/>
        <v>0</v>
      </c>
      <c r="H432" t="b">
        <f t="shared" ca="1" si="100"/>
        <v>1</v>
      </c>
      <c r="I432" s="22" t="e">
        <f t="shared" ca="1" si="95"/>
        <v>#N/A</v>
      </c>
      <c r="J432">
        <f t="shared" ca="1" si="96"/>
        <v>0</v>
      </c>
      <c r="K432" t="e">
        <f t="shared" ca="1" si="101"/>
        <v>#N/A</v>
      </c>
      <c r="O432" s="22" t="e">
        <f t="shared" ca="1" si="97"/>
        <v>#N/A</v>
      </c>
      <c r="P432" s="17" t="e">
        <f ca="1"/>
        <v>#N/A</v>
      </c>
      <c r="Q432" s="17" t="e">
        <f ca="1"/>
        <v>#N/A</v>
      </c>
      <c r="R432" s="23" t="e">
        <f ca="1"/>
        <v>#N/A</v>
      </c>
      <c r="S432" s="23">
        <f t="shared" ca="1" si="105"/>
        <v>0</v>
      </c>
      <c r="T432" t="b">
        <f t="shared" ca="1" si="102"/>
        <v>1</v>
      </c>
      <c r="U432" s="22" t="e">
        <f t="shared" ca="1" si="98"/>
        <v>#N/A</v>
      </c>
      <c r="V432">
        <f t="shared" ca="1" si="99"/>
        <v>0</v>
      </c>
    </row>
    <row r="433" spans="2:22">
      <c r="B433">
        <f t="shared" si="103"/>
        <v>423</v>
      </c>
      <c r="C433" s="22" t="e">
        <f ca="1"/>
        <v>#N/A</v>
      </c>
      <c r="D433" s="17" t="e">
        <f ca="1"/>
        <v>#N/A</v>
      </c>
      <c r="E433" s="17" t="e">
        <f ca="1"/>
        <v>#N/A</v>
      </c>
      <c r="F433" s="23" t="e">
        <f ca="1"/>
        <v>#N/A</v>
      </c>
      <c r="G433" s="23">
        <f t="shared" ca="1" si="104"/>
        <v>0</v>
      </c>
      <c r="H433" t="b">
        <f t="shared" ca="1" si="100"/>
        <v>1</v>
      </c>
      <c r="I433" s="22" t="e">
        <f t="shared" ca="1" si="95"/>
        <v>#N/A</v>
      </c>
      <c r="J433">
        <f t="shared" ca="1" si="96"/>
        <v>0</v>
      </c>
      <c r="K433" t="e">
        <f t="shared" ca="1" si="101"/>
        <v>#N/A</v>
      </c>
      <c r="O433" s="22" t="e">
        <f t="shared" ca="1" si="97"/>
        <v>#N/A</v>
      </c>
      <c r="P433" s="17" t="e">
        <f ca="1"/>
        <v>#N/A</v>
      </c>
      <c r="Q433" s="17" t="e">
        <f ca="1"/>
        <v>#N/A</v>
      </c>
      <c r="R433" s="23" t="e">
        <f ca="1"/>
        <v>#N/A</v>
      </c>
      <c r="S433" s="23">
        <f t="shared" ca="1" si="105"/>
        <v>0</v>
      </c>
      <c r="T433" t="b">
        <f t="shared" ca="1" si="102"/>
        <v>1</v>
      </c>
      <c r="U433" s="22" t="e">
        <f t="shared" ca="1" si="98"/>
        <v>#N/A</v>
      </c>
      <c r="V433">
        <f t="shared" ca="1" si="99"/>
        <v>0</v>
      </c>
    </row>
    <row r="434" spans="2:22">
      <c r="B434">
        <f t="shared" si="103"/>
        <v>424</v>
      </c>
      <c r="C434" s="22" t="e">
        <f ca="1"/>
        <v>#N/A</v>
      </c>
      <c r="D434" s="17" t="e">
        <f ca="1"/>
        <v>#N/A</v>
      </c>
      <c r="E434" s="17" t="e">
        <f ca="1"/>
        <v>#N/A</v>
      </c>
      <c r="F434" s="23" t="e">
        <f ca="1"/>
        <v>#N/A</v>
      </c>
      <c r="G434" s="23">
        <f t="shared" ca="1" si="104"/>
        <v>0</v>
      </c>
      <c r="H434" t="b">
        <f t="shared" ca="1" si="100"/>
        <v>1</v>
      </c>
      <c r="I434" s="22" t="e">
        <f t="shared" ca="1" si="95"/>
        <v>#N/A</v>
      </c>
      <c r="J434">
        <f t="shared" ca="1" si="96"/>
        <v>0</v>
      </c>
      <c r="K434" t="e">
        <f t="shared" ca="1" si="101"/>
        <v>#N/A</v>
      </c>
      <c r="O434" s="22" t="e">
        <f t="shared" ca="1" si="97"/>
        <v>#N/A</v>
      </c>
      <c r="P434" s="17" t="e">
        <f ca="1"/>
        <v>#N/A</v>
      </c>
      <c r="Q434" s="17" t="e">
        <f ca="1"/>
        <v>#N/A</v>
      </c>
      <c r="R434" s="23" t="e">
        <f ca="1"/>
        <v>#N/A</v>
      </c>
      <c r="S434" s="23">
        <f t="shared" ca="1" si="105"/>
        <v>0</v>
      </c>
      <c r="T434" t="b">
        <f t="shared" ca="1" si="102"/>
        <v>1</v>
      </c>
      <c r="U434" s="22" t="e">
        <f t="shared" ca="1" si="98"/>
        <v>#N/A</v>
      </c>
      <c r="V434">
        <f t="shared" ca="1" si="99"/>
        <v>0</v>
      </c>
    </row>
    <row r="435" spans="2:22">
      <c r="B435">
        <f t="shared" si="103"/>
        <v>425</v>
      </c>
      <c r="C435" s="22" t="e">
        <f ca="1"/>
        <v>#N/A</v>
      </c>
      <c r="D435" s="17" t="e">
        <f ca="1"/>
        <v>#N/A</v>
      </c>
      <c r="E435" s="17" t="e">
        <f ca="1"/>
        <v>#N/A</v>
      </c>
      <c r="F435" s="23" t="e">
        <f ca="1"/>
        <v>#N/A</v>
      </c>
      <c r="G435" s="23">
        <f t="shared" ca="1" si="104"/>
        <v>0</v>
      </c>
      <c r="H435" t="b">
        <f t="shared" ca="1" si="100"/>
        <v>1</v>
      </c>
      <c r="I435" s="22" t="e">
        <f t="shared" ca="1" si="95"/>
        <v>#N/A</v>
      </c>
      <c r="J435">
        <f t="shared" ca="1" si="96"/>
        <v>0</v>
      </c>
      <c r="K435" t="e">
        <f t="shared" ca="1" si="101"/>
        <v>#N/A</v>
      </c>
      <c r="O435" s="22" t="e">
        <f t="shared" ca="1" si="97"/>
        <v>#N/A</v>
      </c>
      <c r="P435" s="17" t="e">
        <f ca="1"/>
        <v>#N/A</v>
      </c>
      <c r="Q435" s="17" t="e">
        <f ca="1"/>
        <v>#N/A</v>
      </c>
      <c r="R435" s="23" t="e">
        <f ca="1"/>
        <v>#N/A</v>
      </c>
      <c r="S435" s="23">
        <f t="shared" ca="1" si="105"/>
        <v>0</v>
      </c>
      <c r="T435" t="b">
        <f t="shared" ca="1" si="102"/>
        <v>1</v>
      </c>
      <c r="U435" s="22" t="e">
        <f t="shared" ca="1" si="98"/>
        <v>#N/A</v>
      </c>
      <c r="V435">
        <f t="shared" ca="1" si="99"/>
        <v>0</v>
      </c>
    </row>
    <row r="436" spans="2:22">
      <c r="B436">
        <f t="shared" si="103"/>
        <v>426</v>
      </c>
      <c r="C436" s="22" t="e">
        <f ca="1"/>
        <v>#N/A</v>
      </c>
      <c r="D436" s="17" t="e">
        <f ca="1"/>
        <v>#N/A</v>
      </c>
      <c r="E436" s="17" t="e">
        <f ca="1"/>
        <v>#N/A</v>
      </c>
      <c r="F436" s="23" t="e">
        <f ca="1"/>
        <v>#N/A</v>
      </c>
      <c r="G436" s="23">
        <f t="shared" ca="1" si="104"/>
        <v>0</v>
      </c>
      <c r="H436" t="b">
        <f t="shared" ca="1" si="100"/>
        <v>1</v>
      </c>
      <c r="I436" s="22" t="e">
        <f t="shared" ca="1" si="95"/>
        <v>#N/A</v>
      </c>
      <c r="J436">
        <f t="shared" ca="1" si="96"/>
        <v>0</v>
      </c>
      <c r="K436" t="e">
        <f t="shared" ca="1" si="101"/>
        <v>#N/A</v>
      </c>
      <c r="O436" s="22" t="e">
        <f t="shared" ca="1" si="97"/>
        <v>#N/A</v>
      </c>
      <c r="P436" s="17" t="e">
        <f ca="1"/>
        <v>#N/A</v>
      </c>
      <c r="Q436" s="17" t="e">
        <f ca="1"/>
        <v>#N/A</v>
      </c>
      <c r="R436" s="23" t="e">
        <f ca="1"/>
        <v>#N/A</v>
      </c>
      <c r="S436" s="23">
        <f t="shared" ca="1" si="105"/>
        <v>0</v>
      </c>
      <c r="T436" t="b">
        <f t="shared" ca="1" si="102"/>
        <v>1</v>
      </c>
      <c r="U436" s="22" t="e">
        <f t="shared" ca="1" si="98"/>
        <v>#N/A</v>
      </c>
      <c r="V436">
        <f t="shared" ca="1" si="99"/>
        <v>0</v>
      </c>
    </row>
    <row r="437" spans="2:22">
      <c r="B437">
        <f t="shared" si="103"/>
        <v>427</v>
      </c>
      <c r="C437" s="22" t="e">
        <f ca="1"/>
        <v>#N/A</v>
      </c>
      <c r="D437" s="17" t="e">
        <f ca="1"/>
        <v>#N/A</v>
      </c>
      <c r="E437" s="17" t="e">
        <f ca="1"/>
        <v>#N/A</v>
      </c>
      <c r="F437" s="23" t="e">
        <f ca="1"/>
        <v>#N/A</v>
      </c>
      <c r="G437" s="23">
        <f t="shared" ca="1" si="104"/>
        <v>0</v>
      </c>
      <c r="H437" t="b">
        <f t="shared" ca="1" si="100"/>
        <v>1</v>
      </c>
      <c r="I437" s="22" t="e">
        <f t="shared" ca="1" si="95"/>
        <v>#N/A</v>
      </c>
      <c r="J437">
        <f t="shared" ca="1" si="96"/>
        <v>0</v>
      </c>
      <c r="K437" t="e">
        <f t="shared" ca="1" si="101"/>
        <v>#N/A</v>
      </c>
      <c r="O437" s="22" t="e">
        <f t="shared" ca="1" si="97"/>
        <v>#N/A</v>
      </c>
      <c r="P437" s="17" t="e">
        <f ca="1"/>
        <v>#N/A</v>
      </c>
      <c r="Q437" s="17" t="e">
        <f ca="1"/>
        <v>#N/A</v>
      </c>
      <c r="R437" s="23" t="e">
        <f ca="1"/>
        <v>#N/A</v>
      </c>
      <c r="S437" s="23">
        <f t="shared" ca="1" si="105"/>
        <v>0</v>
      </c>
      <c r="T437" t="b">
        <f t="shared" ca="1" si="102"/>
        <v>1</v>
      </c>
      <c r="U437" s="22" t="e">
        <f t="shared" ca="1" si="98"/>
        <v>#N/A</v>
      </c>
      <c r="V437">
        <f t="shared" ca="1" si="99"/>
        <v>0</v>
      </c>
    </row>
    <row r="438" spans="2:22">
      <c r="B438">
        <f t="shared" si="103"/>
        <v>428</v>
      </c>
      <c r="C438" s="22" t="e">
        <f ca="1"/>
        <v>#N/A</v>
      </c>
      <c r="D438" s="17" t="e">
        <f ca="1"/>
        <v>#N/A</v>
      </c>
      <c r="E438" s="17" t="e">
        <f ca="1"/>
        <v>#N/A</v>
      </c>
      <c r="F438" s="23" t="e">
        <f ca="1"/>
        <v>#N/A</v>
      </c>
      <c r="G438" s="23">
        <f t="shared" ca="1" si="104"/>
        <v>0</v>
      </c>
      <c r="H438" t="b">
        <f t="shared" ca="1" si="100"/>
        <v>1</v>
      </c>
      <c r="I438" s="22" t="e">
        <f t="shared" ca="1" si="95"/>
        <v>#N/A</v>
      </c>
      <c r="J438">
        <f t="shared" ca="1" si="96"/>
        <v>0</v>
      </c>
      <c r="K438" t="e">
        <f t="shared" ca="1" si="101"/>
        <v>#N/A</v>
      </c>
      <c r="O438" s="22" t="e">
        <f t="shared" ca="1" si="97"/>
        <v>#N/A</v>
      </c>
      <c r="P438" s="17" t="e">
        <f ca="1"/>
        <v>#N/A</v>
      </c>
      <c r="Q438" s="17" t="e">
        <f ca="1"/>
        <v>#N/A</v>
      </c>
      <c r="R438" s="23" t="e">
        <f ca="1"/>
        <v>#N/A</v>
      </c>
      <c r="S438" s="23">
        <f t="shared" ca="1" si="105"/>
        <v>0</v>
      </c>
      <c r="T438" t="b">
        <f t="shared" ca="1" si="102"/>
        <v>1</v>
      </c>
      <c r="U438" s="22" t="e">
        <f t="shared" ca="1" si="98"/>
        <v>#N/A</v>
      </c>
      <c r="V438">
        <f t="shared" ca="1" si="99"/>
        <v>0</v>
      </c>
    </row>
    <row r="439" spans="2:22">
      <c r="B439">
        <f t="shared" si="103"/>
        <v>429</v>
      </c>
      <c r="C439" s="22" t="e">
        <f ca="1"/>
        <v>#N/A</v>
      </c>
      <c r="D439" s="17" t="e">
        <f ca="1"/>
        <v>#N/A</v>
      </c>
      <c r="E439" s="17" t="e">
        <f ca="1"/>
        <v>#N/A</v>
      </c>
      <c r="F439" s="23" t="e">
        <f ca="1"/>
        <v>#N/A</v>
      </c>
      <c r="G439" s="23">
        <f t="shared" ca="1" si="104"/>
        <v>0</v>
      </c>
      <c r="H439" t="b">
        <f t="shared" ca="1" si="100"/>
        <v>1</v>
      </c>
      <c r="I439" s="22" t="e">
        <f t="shared" ca="1" si="95"/>
        <v>#N/A</v>
      </c>
      <c r="J439">
        <f t="shared" ca="1" si="96"/>
        <v>0</v>
      </c>
      <c r="K439" t="e">
        <f t="shared" ca="1" si="101"/>
        <v>#N/A</v>
      </c>
      <c r="O439" s="22" t="e">
        <f t="shared" ca="1" si="97"/>
        <v>#N/A</v>
      </c>
      <c r="P439" s="17" t="e">
        <f ca="1"/>
        <v>#N/A</v>
      </c>
      <c r="Q439" s="17" t="e">
        <f ca="1"/>
        <v>#N/A</v>
      </c>
      <c r="R439" s="23" t="e">
        <f ca="1"/>
        <v>#N/A</v>
      </c>
      <c r="S439" s="23">
        <f t="shared" ca="1" si="105"/>
        <v>0</v>
      </c>
      <c r="T439" t="b">
        <f t="shared" ca="1" si="102"/>
        <v>1</v>
      </c>
      <c r="U439" s="22" t="e">
        <f t="shared" ca="1" si="98"/>
        <v>#N/A</v>
      </c>
      <c r="V439">
        <f t="shared" ca="1" si="99"/>
        <v>0</v>
      </c>
    </row>
    <row r="440" spans="2:22">
      <c r="B440">
        <f t="shared" si="103"/>
        <v>430</v>
      </c>
      <c r="C440" s="22" t="e">
        <f ca="1"/>
        <v>#N/A</v>
      </c>
      <c r="D440" s="17" t="e">
        <f ca="1"/>
        <v>#N/A</v>
      </c>
      <c r="E440" s="17" t="e">
        <f ca="1"/>
        <v>#N/A</v>
      </c>
      <c r="F440" s="23" t="e">
        <f ca="1"/>
        <v>#N/A</v>
      </c>
      <c r="G440" s="23">
        <f t="shared" ca="1" si="104"/>
        <v>0</v>
      </c>
      <c r="H440" t="b">
        <f t="shared" ca="1" si="100"/>
        <v>1</v>
      </c>
      <c r="I440" s="22" t="e">
        <f t="shared" ca="1" si="95"/>
        <v>#N/A</v>
      </c>
      <c r="J440">
        <f t="shared" ca="1" si="96"/>
        <v>0</v>
      </c>
      <c r="K440" t="e">
        <f t="shared" ca="1" si="101"/>
        <v>#N/A</v>
      </c>
      <c r="O440" s="22" t="e">
        <f t="shared" ca="1" si="97"/>
        <v>#N/A</v>
      </c>
      <c r="P440" s="17" t="e">
        <f ca="1"/>
        <v>#N/A</v>
      </c>
      <c r="Q440" s="17" t="e">
        <f ca="1"/>
        <v>#N/A</v>
      </c>
      <c r="R440" s="23" t="e">
        <f ca="1"/>
        <v>#N/A</v>
      </c>
      <c r="S440" s="23">
        <f t="shared" ca="1" si="105"/>
        <v>0</v>
      </c>
      <c r="T440" t="b">
        <f t="shared" ca="1" si="102"/>
        <v>1</v>
      </c>
      <c r="U440" s="22" t="e">
        <f t="shared" ca="1" si="98"/>
        <v>#N/A</v>
      </c>
      <c r="V440">
        <f t="shared" ca="1" si="99"/>
        <v>0</v>
      </c>
    </row>
    <row r="441" spans="2:22">
      <c r="B441">
        <f t="shared" si="103"/>
        <v>431</v>
      </c>
      <c r="C441" s="22" t="e">
        <f ca="1"/>
        <v>#N/A</v>
      </c>
      <c r="D441" s="17" t="e">
        <f ca="1"/>
        <v>#N/A</v>
      </c>
      <c r="E441" s="17" t="e">
        <f ca="1"/>
        <v>#N/A</v>
      </c>
      <c r="F441" s="23" t="e">
        <f ca="1"/>
        <v>#N/A</v>
      </c>
      <c r="G441" s="23">
        <f t="shared" ca="1" si="104"/>
        <v>0</v>
      </c>
      <c r="H441" t="b">
        <f t="shared" ca="1" si="100"/>
        <v>1</v>
      </c>
      <c r="I441" s="22" t="e">
        <f t="shared" ca="1" si="95"/>
        <v>#N/A</v>
      </c>
      <c r="J441">
        <f t="shared" ca="1" si="96"/>
        <v>0</v>
      </c>
      <c r="K441" t="e">
        <f t="shared" ca="1" si="101"/>
        <v>#N/A</v>
      </c>
      <c r="O441" s="22" t="e">
        <f t="shared" ca="1" si="97"/>
        <v>#N/A</v>
      </c>
      <c r="P441" s="17" t="e">
        <f ca="1"/>
        <v>#N/A</v>
      </c>
      <c r="Q441" s="17" t="e">
        <f ca="1"/>
        <v>#N/A</v>
      </c>
      <c r="R441" s="23" t="e">
        <f ca="1"/>
        <v>#N/A</v>
      </c>
      <c r="S441" s="23">
        <f t="shared" ca="1" si="105"/>
        <v>0</v>
      </c>
      <c r="T441" t="b">
        <f t="shared" ca="1" si="102"/>
        <v>1</v>
      </c>
      <c r="U441" s="22" t="e">
        <f t="shared" ca="1" si="98"/>
        <v>#N/A</v>
      </c>
      <c r="V441">
        <f t="shared" ca="1" si="99"/>
        <v>0</v>
      </c>
    </row>
    <row r="442" spans="2:22">
      <c r="B442">
        <f t="shared" si="103"/>
        <v>432</v>
      </c>
      <c r="C442" s="22" t="e">
        <f ca="1"/>
        <v>#N/A</v>
      </c>
      <c r="D442" s="17" t="e">
        <f ca="1"/>
        <v>#N/A</v>
      </c>
      <c r="E442" s="17" t="e">
        <f ca="1"/>
        <v>#N/A</v>
      </c>
      <c r="F442" s="23" t="e">
        <f ca="1"/>
        <v>#N/A</v>
      </c>
      <c r="G442" s="23">
        <f t="shared" ca="1" si="104"/>
        <v>0</v>
      </c>
      <c r="H442" t="b">
        <f t="shared" ca="1" si="100"/>
        <v>1</v>
      </c>
      <c r="I442" s="22" t="e">
        <f t="shared" ca="1" si="95"/>
        <v>#N/A</v>
      </c>
      <c r="J442">
        <f t="shared" ca="1" si="96"/>
        <v>0</v>
      </c>
      <c r="K442" t="e">
        <f t="shared" ca="1" si="101"/>
        <v>#N/A</v>
      </c>
      <c r="O442" s="22" t="e">
        <f t="shared" ca="1" si="97"/>
        <v>#N/A</v>
      </c>
      <c r="P442" s="17" t="e">
        <f ca="1"/>
        <v>#N/A</v>
      </c>
      <c r="Q442" s="17" t="e">
        <f ca="1"/>
        <v>#N/A</v>
      </c>
      <c r="R442" s="23" t="e">
        <f ca="1"/>
        <v>#N/A</v>
      </c>
      <c r="S442" s="23">
        <f t="shared" ca="1" si="105"/>
        <v>0</v>
      </c>
      <c r="T442" t="b">
        <f t="shared" ca="1" si="102"/>
        <v>1</v>
      </c>
      <c r="U442" s="22" t="e">
        <f t="shared" ca="1" si="98"/>
        <v>#N/A</v>
      </c>
      <c r="V442">
        <f t="shared" ca="1" si="99"/>
        <v>0</v>
      </c>
    </row>
    <row r="443" spans="2:22">
      <c r="B443">
        <f t="shared" si="103"/>
        <v>433</v>
      </c>
      <c r="C443" s="22" t="e">
        <f ca="1"/>
        <v>#N/A</v>
      </c>
      <c r="D443" s="17" t="e">
        <f ca="1"/>
        <v>#N/A</v>
      </c>
      <c r="E443" s="17" t="e">
        <f ca="1"/>
        <v>#N/A</v>
      </c>
      <c r="F443" s="23" t="e">
        <f ca="1"/>
        <v>#N/A</v>
      </c>
      <c r="G443" s="23">
        <f t="shared" ca="1" si="104"/>
        <v>0</v>
      </c>
      <c r="H443" t="b">
        <f t="shared" ca="1" si="100"/>
        <v>1</v>
      </c>
      <c r="I443" s="22" t="e">
        <f t="shared" ca="1" si="95"/>
        <v>#N/A</v>
      </c>
      <c r="J443">
        <f t="shared" ca="1" si="96"/>
        <v>0</v>
      </c>
      <c r="K443" t="e">
        <f t="shared" ca="1" si="101"/>
        <v>#N/A</v>
      </c>
      <c r="O443" s="22" t="e">
        <f t="shared" ca="1" si="97"/>
        <v>#N/A</v>
      </c>
      <c r="P443" s="17" t="e">
        <f ca="1"/>
        <v>#N/A</v>
      </c>
      <c r="Q443" s="17" t="e">
        <f ca="1"/>
        <v>#N/A</v>
      </c>
      <c r="R443" s="23" t="e">
        <f ca="1"/>
        <v>#N/A</v>
      </c>
      <c r="S443" s="23">
        <f t="shared" ca="1" si="105"/>
        <v>0</v>
      </c>
      <c r="T443" t="b">
        <f t="shared" ca="1" si="102"/>
        <v>1</v>
      </c>
      <c r="U443" s="22" t="e">
        <f t="shared" ca="1" si="98"/>
        <v>#N/A</v>
      </c>
      <c r="V443">
        <f t="shared" ca="1" si="99"/>
        <v>0</v>
      </c>
    </row>
    <row r="444" spans="2:22">
      <c r="B444">
        <f t="shared" si="103"/>
        <v>434</v>
      </c>
      <c r="C444" s="22" t="e">
        <f ca="1"/>
        <v>#N/A</v>
      </c>
      <c r="D444" s="17" t="e">
        <f ca="1"/>
        <v>#N/A</v>
      </c>
      <c r="E444" s="17" t="e">
        <f ca="1"/>
        <v>#N/A</v>
      </c>
      <c r="F444" s="23" t="e">
        <f ca="1"/>
        <v>#N/A</v>
      </c>
      <c r="G444" s="23">
        <f t="shared" ca="1" si="104"/>
        <v>0</v>
      </c>
      <c r="H444" t="b">
        <f t="shared" ca="1" si="100"/>
        <v>1</v>
      </c>
      <c r="I444" s="22" t="e">
        <f t="shared" ca="1" si="95"/>
        <v>#N/A</v>
      </c>
      <c r="J444">
        <f t="shared" ca="1" si="96"/>
        <v>0</v>
      </c>
      <c r="K444" t="e">
        <f t="shared" ca="1" si="101"/>
        <v>#N/A</v>
      </c>
      <c r="O444" s="22" t="e">
        <f t="shared" ca="1" si="97"/>
        <v>#N/A</v>
      </c>
      <c r="P444" s="17" t="e">
        <f ca="1"/>
        <v>#N/A</v>
      </c>
      <c r="Q444" s="17" t="e">
        <f ca="1"/>
        <v>#N/A</v>
      </c>
      <c r="R444" s="23" t="e">
        <f ca="1"/>
        <v>#N/A</v>
      </c>
      <c r="S444" s="23">
        <f t="shared" ca="1" si="105"/>
        <v>0</v>
      </c>
      <c r="T444" t="b">
        <f t="shared" ca="1" si="102"/>
        <v>1</v>
      </c>
      <c r="U444" s="22" t="e">
        <f t="shared" ca="1" si="98"/>
        <v>#N/A</v>
      </c>
      <c r="V444">
        <f t="shared" ca="1" si="99"/>
        <v>0</v>
      </c>
    </row>
    <row r="445" spans="2:22">
      <c r="B445">
        <f t="shared" si="103"/>
        <v>435</v>
      </c>
      <c r="C445" s="22" t="e">
        <f ca="1"/>
        <v>#N/A</v>
      </c>
      <c r="D445" s="17" t="e">
        <f ca="1"/>
        <v>#N/A</v>
      </c>
      <c r="E445" s="17" t="e">
        <f ca="1"/>
        <v>#N/A</v>
      </c>
      <c r="F445" s="23" t="e">
        <f ca="1"/>
        <v>#N/A</v>
      </c>
      <c r="G445" s="23">
        <f t="shared" ca="1" si="104"/>
        <v>0</v>
      </c>
      <c r="H445" t="b">
        <f t="shared" ca="1" si="100"/>
        <v>1</v>
      </c>
      <c r="I445" s="22" t="e">
        <f t="shared" ca="1" si="95"/>
        <v>#N/A</v>
      </c>
      <c r="J445">
        <f t="shared" ca="1" si="96"/>
        <v>0</v>
      </c>
      <c r="K445" t="e">
        <f t="shared" ca="1" si="101"/>
        <v>#N/A</v>
      </c>
      <c r="O445" s="22" t="e">
        <f t="shared" ca="1" si="97"/>
        <v>#N/A</v>
      </c>
      <c r="P445" s="17" t="e">
        <f ca="1"/>
        <v>#N/A</v>
      </c>
      <c r="Q445" s="17" t="e">
        <f ca="1"/>
        <v>#N/A</v>
      </c>
      <c r="R445" s="23" t="e">
        <f ca="1"/>
        <v>#N/A</v>
      </c>
      <c r="S445" s="23">
        <f t="shared" ca="1" si="105"/>
        <v>0</v>
      </c>
      <c r="T445" t="b">
        <f t="shared" ca="1" si="102"/>
        <v>1</v>
      </c>
      <c r="U445" s="22" t="e">
        <f t="shared" ca="1" si="98"/>
        <v>#N/A</v>
      </c>
      <c r="V445">
        <f t="shared" ca="1" si="99"/>
        <v>0</v>
      </c>
    </row>
    <row r="446" spans="2:22">
      <c r="B446">
        <f t="shared" si="103"/>
        <v>436</v>
      </c>
      <c r="C446" s="22" t="e">
        <f ca="1"/>
        <v>#N/A</v>
      </c>
      <c r="D446" s="17" t="e">
        <f ca="1"/>
        <v>#N/A</v>
      </c>
      <c r="E446" s="17" t="e">
        <f ca="1"/>
        <v>#N/A</v>
      </c>
      <c r="F446" s="23" t="e">
        <f ca="1"/>
        <v>#N/A</v>
      </c>
      <c r="G446" s="23">
        <f t="shared" ca="1" si="104"/>
        <v>0</v>
      </c>
      <c r="H446" t="b">
        <f t="shared" ca="1" si="100"/>
        <v>1</v>
      </c>
      <c r="I446" s="22" t="e">
        <f t="shared" ca="1" si="95"/>
        <v>#N/A</v>
      </c>
      <c r="J446">
        <f t="shared" ca="1" si="96"/>
        <v>0</v>
      </c>
      <c r="K446" t="e">
        <f t="shared" ca="1" si="101"/>
        <v>#N/A</v>
      </c>
      <c r="O446" s="22" t="e">
        <f t="shared" ca="1" si="97"/>
        <v>#N/A</v>
      </c>
      <c r="P446" s="17" t="e">
        <f ca="1"/>
        <v>#N/A</v>
      </c>
      <c r="Q446" s="17" t="e">
        <f ca="1"/>
        <v>#N/A</v>
      </c>
      <c r="R446" s="23" t="e">
        <f ca="1"/>
        <v>#N/A</v>
      </c>
      <c r="S446" s="23">
        <f t="shared" ca="1" si="105"/>
        <v>0</v>
      </c>
      <c r="T446" t="b">
        <f t="shared" ca="1" si="102"/>
        <v>1</v>
      </c>
      <c r="U446" s="22" t="e">
        <f t="shared" ca="1" si="98"/>
        <v>#N/A</v>
      </c>
      <c r="V446">
        <f t="shared" ca="1" si="99"/>
        <v>0</v>
      </c>
    </row>
    <row r="447" spans="2:22">
      <c r="B447">
        <f t="shared" si="103"/>
        <v>437</v>
      </c>
      <c r="C447" s="22" t="e">
        <f ca="1"/>
        <v>#N/A</v>
      </c>
      <c r="D447" s="17" t="e">
        <f ca="1"/>
        <v>#N/A</v>
      </c>
      <c r="E447" s="17" t="e">
        <f ca="1"/>
        <v>#N/A</v>
      </c>
      <c r="F447" s="23" t="e">
        <f ca="1"/>
        <v>#N/A</v>
      </c>
      <c r="G447" s="23">
        <f t="shared" ca="1" si="104"/>
        <v>0</v>
      </c>
      <c r="H447" t="b">
        <f t="shared" ca="1" si="100"/>
        <v>1</v>
      </c>
      <c r="I447" s="22" t="e">
        <f t="shared" ca="1" si="95"/>
        <v>#N/A</v>
      </c>
      <c r="J447">
        <f t="shared" ca="1" si="96"/>
        <v>0</v>
      </c>
      <c r="K447" t="e">
        <f t="shared" ca="1" si="101"/>
        <v>#N/A</v>
      </c>
      <c r="O447" s="22" t="e">
        <f t="shared" ca="1" si="97"/>
        <v>#N/A</v>
      </c>
      <c r="P447" s="17" t="e">
        <f ca="1"/>
        <v>#N/A</v>
      </c>
      <c r="Q447" s="17" t="e">
        <f ca="1"/>
        <v>#N/A</v>
      </c>
      <c r="R447" s="23" t="e">
        <f ca="1"/>
        <v>#N/A</v>
      </c>
      <c r="S447" s="23">
        <f t="shared" ca="1" si="105"/>
        <v>0</v>
      </c>
      <c r="T447" t="b">
        <f t="shared" ca="1" si="102"/>
        <v>1</v>
      </c>
      <c r="U447" s="22" t="e">
        <f t="shared" ca="1" si="98"/>
        <v>#N/A</v>
      </c>
      <c r="V447">
        <f t="shared" ca="1" si="99"/>
        <v>0</v>
      </c>
    </row>
    <row r="448" spans="2:22">
      <c r="B448">
        <f t="shared" si="103"/>
        <v>438</v>
      </c>
      <c r="C448" s="22" t="e">
        <f ca="1"/>
        <v>#N/A</v>
      </c>
      <c r="D448" s="17" t="e">
        <f ca="1"/>
        <v>#N/A</v>
      </c>
      <c r="E448" s="17" t="e">
        <f ca="1"/>
        <v>#N/A</v>
      </c>
      <c r="F448" s="23" t="e">
        <f ca="1"/>
        <v>#N/A</v>
      </c>
      <c r="G448" s="23">
        <f t="shared" ca="1" si="104"/>
        <v>0</v>
      </c>
      <c r="H448" t="b">
        <f t="shared" ca="1" si="100"/>
        <v>1</v>
      </c>
      <c r="I448" s="22" t="e">
        <f t="shared" ca="1" si="95"/>
        <v>#N/A</v>
      </c>
      <c r="J448">
        <f t="shared" ca="1" si="96"/>
        <v>0</v>
      </c>
      <c r="K448" t="e">
        <f t="shared" ca="1" si="101"/>
        <v>#N/A</v>
      </c>
      <c r="O448" s="22" t="e">
        <f t="shared" ca="1" si="97"/>
        <v>#N/A</v>
      </c>
      <c r="P448" s="17" t="e">
        <f ca="1"/>
        <v>#N/A</v>
      </c>
      <c r="Q448" s="17" t="e">
        <f ca="1"/>
        <v>#N/A</v>
      </c>
      <c r="R448" s="23" t="e">
        <f ca="1"/>
        <v>#N/A</v>
      </c>
      <c r="S448" s="23">
        <f t="shared" ca="1" si="105"/>
        <v>0</v>
      </c>
      <c r="T448" t="b">
        <f t="shared" ca="1" si="102"/>
        <v>1</v>
      </c>
      <c r="U448" s="22" t="e">
        <f t="shared" ca="1" si="98"/>
        <v>#N/A</v>
      </c>
      <c r="V448">
        <f t="shared" ca="1" si="99"/>
        <v>0</v>
      </c>
    </row>
    <row r="449" spans="2:22">
      <c r="B449">
        <f t="shared" si="103"/>
        <v>439</v>
      </c>
      <c r="C449" s="22" t="e">
        <f ca="1"/>
        <v>#N/A</v>
      </c>
      <c r="D449" s="17" t="e">
        <f ca="1"/>
        <v>#N/A</v>
      </c>
      <c r="E449" s="17" t="e">
        <f ca="1"/>
        <v>#N/A</v>
      </c>
      <c r="F449" s="23" t="e">
        <f ca="1"/>
        <v>#N/A</v>
      </c>
      <c r="G449" s="23">
        <f t="shared" ca="1" si="104"/>
        <v>0</v>
      </c>
      <c r="H449" t="b">
        <f t="shared" ca="1" si="100"/>
        <v>1</v>
      </c>
      <c r="I449" s="22" t="e">
        <f t="shared" ca="1" si="95"/>
        <v>#N/A</v>
      </c>
      <c r="J449">
        <f t="shared" ca="1" si="96"/>
        <v>0</v>
      </c>
      <c r="K449" t="e">
        <f t="shared" ca="1" si="101"/>
        <v>#N/A</v>
      </c>
      <c r="O449" s="22" t="e">
        <f t="shared" ca="1" si="97"/>
        <v>#N/A</v>
      </c>
      <c r="P449" s="17" t="e">
        <f ca="1"/>
        <v>#N/A</v>
      </c>
      <c r="Q449" s="17" t="e">
        <f ca="1"/>
        <v>#N/A</v>
      </c>
      <c r="R449" s="23" t="e">
        <f ca="1"/>
        <v>#N/A</v>
      </c>
      <c r="S449" s="23">
        <f t="shared" ca="1" si="105"/>
        <v>0</v>
      </c>
      <c r="T449" t="b">
        <f t="shared" ca="1" si="102"/>
        <v>1</v>
      </c>
      <c r="U449" s="22" t="e">
        <f t="shared" ca="1" si="98"/>
        <v>#N/A</v>
      </c>
      <c r="V449">
        <f t="shared" ca="1" si="99"/>
        <v>0</v>
      </c>
    </row>
    <row r="450" spans="2:22">
      <c r="B450">
        <f t="shared" si="103"/>
        <v>440</v>
      </c>
      <c r="C450" s="22" t="e">
        <f ca="1"/>
        <v>#N/A</v>
      </c>
      <c r="D450" s="17" t="e">
        <f ca="1"/>
        <v>#N/A</v>
      </c>
      <c r="E450" s="17" t="e">
        <f ca="1"/>
        <v>#N/A</v>
      </c>
      <c r="F450" s="23" t="e">
        <f ca="1"/>
        <v>#N/A</v>
      </c>
      <c r="G450" s="23">
        <f t="shared" ca="1" si="104"/>
        <v>0</v>
      </c>
      <c r="H450" t="b">
        <f t="shared" ca="1" si="100"/>
        <v>1</v>
      </c>
      <c r="I450" s="22" t="e">
        <f t="shared" ca="1" si="95"/>
        <v>#N/A</v>
      </c>
      <c r="J450">
        <f t="shared" ca="1" si="96"/>
        <v>0</v>
      </c>
      <c r="K450" t="e">
        <f t="shared" ca="1" si="101"/>
        <v>#N/A</v>
      </c>
      <c r="O450" s="22" t="e">
        <f t="shared" ca="1" si="97"/>
        <v>#N/A</v>
      </c>
      <c r="P450" s="17" t="e">
        <f ca="1"/>
        <v>#N/A</v>
      </c>
      <c r="Q450" s="17" t="e">
        <f ca="1"/>
        <v>#N/A</v>
      </c>
      <c r="R450" s="23" t="e">
        <f ca="1"/>
        <v>#N/A</v>
      </c>
      <c r="S450" s="23">
        <f t="shared" ca="1" si="105"/>
        <v>0</v>
      </c>
      <c r="T450" t="b">
        <f t="shared" ca="1" si="102"/>
        <v>1</v>
      </c>
      <c r="U450" s="22" t="e">
        <f t="shared" ca="1" si="98"/>
        <v>#N/A</v>
      </c>
      <c r="V450">
        <f t="shared" ca="1" si="99"/>
        <v>0</v>
      </c>
    </row>
    <row r="451" spans="2:22">
      <c r="B451">
        <f t="shared" si="103"/>
        <v>441</v>
      </c>
      <c r="C451" s="22" t="e">
        <f ca="1"/>
        <v>#N/A</v>
      </c>
      <c r="D451" s="17" t="e">
        <f ca="1"/>
        <v>#N/A</v>
      </c>
      <c r="E451" s="17" t="e">
        <f ca="1"/>
        <v>#N/A</v>
      </c>
      <c r="F451" s="23" t="e">
        <f ca="1"/>
        <v>#N/A</v>
      </c>
      <c r="G451" s="23">
        <f t="shared" ca="1" si="104"/>
        <v>0</v>
      </c>
      <c r="H451" t="b">
        <f t="shared" ca="1" si="100"/>
        <v>1</v>
      </c>
      <c r="I451" s="22" t="e">
        <f t="shared" ca="1" si="95"/>
        <v>#N/A</v>
      </c>
      <c r="J451">
        <f t="shared" ca="1" si="96"/>
        <v>0</v>
      </c>
      <c r="K451" t="e">
        <f t="shared" ca="1" si="101"/>
        <v>#N/A</v>
      </c>
      <c r="O451" s="22" t="e">
        <f t="shared" ca="1" si="97"/>
        <v>#N/A</v>
      </c>
      <c r="P451" s="17" t="e">
        <f ca="1"/>
        <v>#N/A</v>
      </c>
      <c r="Q451" s="17" t="e">
        <f ca="1"/>
        <v>#N/A</v>
      </c>
      <c r="R451" s="23" t="e">
        <f ca="1"/>
        <v>#N/A</v>
      </c>
      <c r="S451" s="23">
        <f t="shared" ca="1" si="105"/>
        <v>0</v>
      </c>
      <c r="T451" t="b">
        <f t="shared" ca="1" si="102"/>
        <v>1</v>
      </c>
      <c r="U451" s="22" t="e">
        <f t="shared" ca="1" si="98"/>
        <v>#N/A</v>
      </c>
      <c r="V451">
        <f t="shared" ca="1" si="99"/>
        <v>0</v>
      </c>
    </row>
    <row r="452" spans="2:22">
      <c r="B452">
        <f t="shared" si="103"/>
        <v>442</v>
      </c>
      <c r="C452" s="22" t="e">
        <f ca="1"/>
        <v>#N/A</v>
      </c>
      <c r="D452" s="17" t="e">
        <f ca="1"/>
        <v>#N/A</v>
      </c>
      <c r="E452" s="17" t="e">
        <f ca="1"/>
        <v>#N/A</v>
      </c>
      <c r="F452" s="23" t="e">
        <f ca="1"/>
        <v>#N/A</v>
      </c>
      <c r="G452" s="23">
        <f t="shared" ca="1" si="104"/>
        <v>0</v>
      </c>
      <c r="H452" t="b">
        <f t="shared" ca="1" si="100"/>
        <v>1</v>
      </c>
      <c r="I452" s="22" t="e">
        <f t="shared" ca="1" si="95"/>
        <v>#N/A</v>
      </c>
      <c r="J452">
        <f t="shared" ca="1" si="96"/>
        <v>0</v>
      </c>
      <c r="K452" t="e">
        <f t="shared" ca="1" si="101"/>
        <v>#N/A</v>
      </c>
      <c r="O452" s="22" t="e">
        <f t="shared" ca="1" si="97"/>
        <v>#N/A</v>
      </c>
      <c r="P452" s="17" t="e">
        <f ca="1"/>
        <v>#N/A</v>
      </c>
      <c r="Q452" s="17" t="e">
        <f ca="1"/>
        <v>#N/A</v>
      </c>
      <c r="R452" s="23" t="e">
        <f ca="1"/>
        <v>#N/A</v>
      </c>
      <c r="S452" s="23">
        <f t="shared" ca="1" si="105"/>
        <v>0</v>
      </c>
      <c r="T452" t="b">
        <f t="shared" ca="1" si="102"/>
        <v>1</v>
      </c>
      <c r="U452" s="22" t="e">
        <f t="shared" ca="1" si="98"/>
        <v>#N/A</v>
      </c>
      <c r="V452">
        <f t="shared" ca="1" si="99"/>
        <v>0</v>
      </c>
    </row>
    <row r="453" spans="2:22">
      <c r="B453">
        <f t="shared" si="103"/>
        <v>443</v>
      </c>
      <c r="C453" s="22" t="e">
        <f ca="1"/>
        <v>#N/A</v>
      </c>
      <c r="D453" s="17" t="e">
        <f ca="1"/>
        <v>#N/A</v>
      </c>
      <c r="E453" s="17" t="e">
        <f ca="1"/>
        <v>#N/A</v>
      </c>
      <c r="F453" s="23" t="e">
        <f ca="1"/>
        <v>#N/A</v>
      </c>
      <c r="G453" s="23">
        <f t="shared" ca="1" si="104"/>
        <v>0</v>
      </c>
      <c r="H453" t="b">
        <f t="shared" ca="1" si="100"/>
        <v>1</v>
      </c>
      <c r="I453" s="22" t="e">
        <f t="shared" ca="1" si="95"/>
        <v>#N/A</v>
      </c>
      <c r="J453">
        <f t="shared" ca="1" si="96"/>
        <v>0</v>
      </c>
      <c r="K453" t="e">
        <f t="shared" ca="1" si="101"/>
        <v>#N/A</v>
      </c>
      <c r="O453" s="22" t="e">
        <f t="shared" ca="1" si="97"/>
        <v>#N/A</v>
      </c>
      <c r="P453" s="17" t="e">
        <f ca="1"/>
        <v>#N/A</v>
      </c>
      <c r="Q453" s="17" t="e">
        <f ca="1"/>
        <v>#N/A</v>
      </c>
      <c r="R453" s="23" t="e">
        <f ca="1"/>
        <v>#N/A</v>
      </c>
      <c r="S453" s="23">
        <f t="shared" ca="1" si="105"/>
        <v>0</v>
      </c>
      <c r="T453" t="b">
        <f t="shared" ca="1" si="102"/>
        <v>1</v>
      </c>
      <c r="U453" s="22" t="e">
        <f t="shared" ca="1" si="98"/>
        <v>#N/A</v>
      </c>
      <c r="V453">
        <f t="shared" ca="1" si="99"/>
        <v>0</v>
      </c>
    </row>
    <row r="454" spans="2:22">
      <c r="B454">
        <f t="shared" si="103"/>
        <v>444</v>
      </c>
      <c r="C454" s="22" t="e">
        <f ca="1"/>
        <v>#N/A</v>
      </c>
      <c r="D454" s="17" t="e">
        <f ca="1"/>
        <v>#N/A</v>
      </c>
      <c r="E454" s="17" t="e">
        <f ca="1"/>
        <v>#N/A</v>
      </c>
      <c r="F454" s="23" t="e">
        <f ca="1"/>
        <v>#N/A</v>
      </c>
      <c r="G454" s="23">
        <f t="shared" ca="1" si="104"/>
        <v>0</v>
      </c>
      <c r="H454" t="b">
        <f t="shared" ca="1" si="100"/>
        <v>1</v>
      </c>
      <c r="I454" s="22" t="e">
        <f t="shared" ca="1" si="95"/>
        <v>#N/A</v>
      </c>
      <c r="J454">
        <f t="shared" ca="1" si="96"/>
        <v>0</v>
      </c>
      <c r="K454" t="e">
        <f t="shared" ca="1" si="101"/>
        <v>#N/A</v>
      </c>
      <c r="O454" s="22" t="e">
        <f t="shared" ca="1" si="97"/>
        <v>#N/A</v>
      </c>
      <c r="P454" s="17" t="e">
        <f ca="1"/>
        <v>#N/A</v>
      </c>
      <c r="Q454" s="17" t="e">
        <f ca="1"/>
        <v>#N/A</v>
      </c>
      <c r="R454" s="23" t="e">
        <f ca="1"/>
        <v>#N/A</v>
      </c>
      <c r="S454" s="23">
        <f t="shared" ca="1" si="105"/>
        <v>0</v>
      </c>
      <c r="T454" t="b">
        <f t="shared" ca="1" si="102"/>
        <v>1</v>
      </c>
      <c r="U454" s="22" t="e">
        <f t="shared" ca="1" si="98"/>
        <v>#N/A</v>
      </c>
      <c r="V454">
        <f t="shared" ca="1" si="99"/>
        <v>0</v>
      </c>
    </row>
    <row r="455" spans="2:22">
      <c r="B455">
        <f t="shared" si="103"/>
        <v>445</v>
      </c>
      <c r="C455" s="22" t="e">
        <f ca="1"/>
        <v>#N/A</v>
      </c>
      <c r="D455" s="17" t="e">
        <f ca="1"/>
        <v>#N/A</v>
      </c>
      <c r="E455" s="17" t="e">
        <f ca="1"/>
        <v>#N/A</v>
      </c>
      <c r="F455" s="23" t="e">
        <f ca="1"/>
        <v>#N/A</v>
      </c>
      <c r="G455" s="23">
        <f t="shared" ca="1" si="104"/>
        <v>0</v>
      </c>
      <c r="H455" t="b">
        <f t="shared" ca="1" si="100"/>
        <v>1</v>
      </c>
      <c r="I455" s="22" t="e">
        <f t="shared" ca="1" si="95"/>
        <v>#N/A</v>
      </c>
      <c r="J455">
        <f t="shared" ca="1" si="96"/>
        <v>0</v>
      </c>
      <c r="K455" t="e">
        <f t="shared" ca="1" si="101"/>
        <v>#N/A</v>
      </c>
      <c r="O455" s="22" t="e">
        <f t="shared" ca="1" si="97"/>
        <v>#N/A</v>
      </c>
      <c r="P455" s="17" t="e">
        <f ca="1"/>
        <v>#N/A</v>
      </c>
      <c r="Q455" s="17" t="e">
        <f ca="1"/>
        <v>#N/A</v>
      </c>
      <c r="R455" s="23" t="e">
        <f ca="1"/>
        <v>#N/A</v>
      </c>
      <c r="S455" s="23">
        <f t="shared" ca="1" si="105"/>
        <v>0</v>
      </c>
      <c r="T455" t="b">
        <f t="shared" ca="1" si="102"/>
        <v>1</v>
      </c>
      <c r="U455" s="22" t="e">
        <f t="shared" ca="1" si="98"/>
        <v>#N/A</v>
      </c>
      <c r="V455">
        <f t="shared" ca="1" si="99"/>
        <v>0</v>
      </c>
    </row>
    <row r="456" spans="2:22">
      <c r="B456">
        <f t="shared" si="103"/>
        <v>446</v>
      </c>
      <c r="C456" s="22" t="e">
        <f ca="1"/>
        <v>#N/A</v>
      </c>
      <c r="D456" s="17" t="e">
        <f ca="1"/>
        <v>#N/A</v>
      </c>
      <c r="E456" s="17" t="e">
        <f ca="1"/>
        <v>#N/A</v>
      </c>
      <c r="F456" s="23" t="e">
        <f ca="1"/>
        <v>#N/A</v>
      </c>
      <c r="G456" s="23">
        <f t="shared" ca="1" si="104"/>
        <v>0</v>
      </c>
      <c r="H456" t="b">
        <f t="shared" ca="1" si="100"/>
        <v>1</v>
      </c>
      <c r="I456" s="22" t="e">
        <f t="shared" ca="1" si="95"/>
        <v>#N/A</v>
      </c>
      <c r="J456">
        <f t="shared" ca="1" si="96"/>
        <v>0</v>
      </c>
      <c r="K456" t="e">
        <f t="shared" ca="1" si="101"/>
        <v>#N/A</v>
      </c>
      <c r="O456" s="22" t="e">
        <f t="shared" ca="1" si="97"/>
        <v>#N/A</v>
      </c>
      <c r="P456" s="17" t="e">
        <f ca="1"/>
        <v>#N/A</v>
      </c>
      <c r="Q456" s="17" t="e">
        <f ca="1"/>
        <v>#N/A</v>
      </c>
      <c r="R456" s="23" t="e">
        <f ca="1"/>
        <v>#N/A</v>
      </c>
      <c r="S456" s="23">
        <f t="shared" ca="1" si="105"/>
        <v>0</v>
      </c>
      <c r="T456" t="b">
        <f t="shared" ca="1" si="102"/>
        <v>1</v>
      </c>
      <c r="U456" s="22" t="e">
        <f t="shared" ca="1" si="98"/>
        <v>#N/A</v>
      </c>
      <c r="V456">
        <f t="shared" ca="1" si="99"/>
        <v>0</v>
      </c>
    </row>
    <row r="457" spans="2:22">
      <c r="B457">
        <f t="shared" si="103"/>
        <v>447</v>
      </c>
      <c r="C457" s="22" t="e">
        <f ca="1"/>
        <v>#N/A</v>
      </c>
      <c r="D457" s="17" t="e">
        <f ca="1"/>
        <v>#N/A</v>
      </c>
      <c r="E457" s="17" t="e">
        <f ca="1"/>
        <v>#N/A</v>
      </c>
      <c r="F457" s="23" t="e">
        <f ca="1"/>
        <v>#N/A</v>
      </c>
      <c r="G457" s="23">
        <f t="shared" ca="1" si="104"/>
        <v>0</v>
      </c>
      <c r="H457" t="b">
        <f t="shared" ca="1" si="100"/>
        <v>1</v>
      </c>
      <c r="I457" s="22" t="e">
        <f t="shared" ca="1" si="95"/>
        <v>#N/A</v>
      </c>
      <c r="J457">
        <f t="shared" ca="1" si="96"/>
        <v>0</v>
      </c>
      <c r="K457" t="e">
        <f t="shared" ca="1" si="101"/>
        <v>#N/A</v>
      </c>
      <c r="O457" s="22" t="e">
        <f t="shared" ca="1" si="97"/>
        <v>#N/A</v>
      </c>
      <c r="P457" s="17" t="e">
        <f ca="1"/>
        <v>#N/A</v>
      </c>
      <c r="Q457" s="17" t="e">
        <f ca="1"/>
        <v>#N/A</v>
      </c>
      <c r="R457" s="23" t="e">
        <f ca="1"/>
        <v>#N/A</v>
      </c>
      <c r="S457" s="23">
        <f t="shared" ca="1" si="105"/>
        <v>0</v>
      </c>
      <c r="T457" t="b">
        <f t="shared" ca="1" si="102"/>
        <v>1</v>
      </c>
      <c r="U457" s="22" t="e">
        <f t="shared" ca="1" si="98"/>
        <v>#N/A</v>
      </c>
      <c r="V457">
        <f t="shared" ca="1" si="99"/>
        <v>0</v>
      </c>
    </row>
    <row r="458" spans="2:22">
      <c r="B458">
        <f t="shared" si="103"/>
        <v>448</v>
      </c>
      <c r="C458" s="22" t="e">
        <f ca="1"/>
        <v>#N/A</v>
      </c>
      <c r="D458" s="17" t="e">
        <f ca="1"/>
        <v>#N/A</v>
      </c>
      <c r="E458" s="17" t="e">
        <f ca="1"/>
        <v>#N/A</v>
      </c>
      <c r="F458" s="23" t="e">
        <f ca="1"/>
        <v>#N/A</v>
      </c>
      <c r="G458" s="23">
        <f t="shared" ca="1" si="104"/>
        <v>0</v>
      </c>
      <c r="H458" t="b">
        <f t="shared" ca="1" si="100"/>
        <v>1</v>
      </c>
      <c r="I458" s="22" t="e">
        <f t="shared" ca="1" si="95"/>
        <v>#N/A</v>
      </c>
      <c r="J458">
        <f t="shared" ca="1" si="96"/>
        <v>0</v>
      </c>
      <c r="K458" t="e">
        <f t="shared" ca="1" si="101"/>
        <v>#N/A</v>
      </c>
      <c r="O458" s="22" t="e">
        <f t="shared" ca="1" si="97"/>
        <v>#N/A</v>
      </c>
      <c r="P458" s="17" t="e">
        <f ca="1"/>
        <v>#N/A</v>
      </c>
      <c r="Q458" s="17" t="e">
        <f ca="1"/>
        <v>#N/A</v>
      </c>
      <c r="R458" s="23" t="e">
        <f ca="1"/>
        <v>#N/A</v>
      </c>
      <c r="S458" s="23">
        <f t="shared" ca="1" si="105"/>
        <v>0</v>
      </c>
      <c r="T458" t="b">
        <f t="shared" ca="1" si="102"/>
        <v>1</v>
      </c>
      <c r="U458" s="22" t="e">
        <f t="shared" ca="1" si="98"/>
        <v>#N/A</v>
      </c>
      <c r="V458">
        <f t="shared" ca="1" si="99"/>
        <v>0</v>
      </c>
    </row>
    <row r="459" spans="2:22">
      <c r="B459">
        <f t="shared" si="103"/>
        <v>449</v>
      </c>
      <c r="C459" s="22" t="e">
        <f ca="1"/>
        <v>#N/A</v>
      </c>
      <c r="D459" s="17" t="e">
        <f ca="1"/>
        <v>#N/A</v>
      </c>
      <c r="E459" s="17" t="e">
        <f ca="1"/>
        <v>#N/A</v>
      </c>
      <c r="F459" s="23" t="e">
        <f ca="1"/>
        <v>#N/A</v>
      </c>
      <c r="G459" s="23">
        <f t="shared" ca="1" si="104"/>
        <v>0</v>
      </c>
      <c r="H459" t="b">
        <f t="shared" ca="1" si="100"/>
        <v>1</v>
      </c>
      <c r="I459" s="22" t="e">
        <f t="shared" ref="I459:I522" ca="1" si="106">IF(H459,C459,NA)</f>
        <v>#N/A</v>
      </c>
      <c r="J459">
        <f t="shared" ref="J459:J522" ca="1" si="107">IF(H459,G459,NA)</f>
        <v>0</v>
      </c>
      <c r="K459" t="e">
        <f t="shared" ca="1" si="101"/>
        <v>#N/A</v>
      </c>
      <c r="O459" s="22" t="e">
        <f t="shared" ref="O459:O522" ca="1" si="108">C459</f>
        <v>#N/A</v>
      </c>
      <c r="P459" s="17" t="e">
        <f ca="1"/>
        <v>#N/A</v>
      </c>
      <c r="Q459" s="17" t="e">
        <f ca="1"/>
        <v>#N/A</v>
      </c>
      <c r="R459" s="23" t="e">
        <f ca="1"/>
        <v>#N/A</v>
      </c>
      <c r="S459" s="23">
        <f t="shared" ca="1" si="105"/>
        <v>0</v>
      </c>
      <c r="T459" t="b">
        <f t="shared" ca="1" si="102"/>
        <v>1</v>
      </c>
      <c r="U459" s="22" t="e">
        <f t="shared" ref="U459:U522" ca="1" si="109">IF(T459,O459,NA)</f>
        <v>#N/A</v>
      </c>
      <c r="V459">
        <f t="shared" ref="V459:V522" ca="1" si="110">IF(T459,S459,NA)</f>
        <v>0</v>
      </c>
    </row>
    <row r="460" spans="2:22">
      <c r="B460">
        <f t="shared" si="103"/>
        <v>450</v>
      </c>
      <c r="C460" s="22" t="e">
        <f ca="1"/>
        <v>#N/A</v>
      </c>
      <c r="D460" s="17" t="e">
        <f ca="1"/>
        <v>#N/A</v>
      </c>
      <c r="E460" s="17" t="e">
        <f ca="1"/>
        <v>#N/A</v>
      </c>
      <c r="F460" s="23" t="e">
        <f ca="1"/>
        <v>#N/A</v>
      </c>
      <c r="G460" s="23">
        <f t="shared" ca="1" si="104"/>
        <v>0</v>
      </c>
      <c r="H460" t="b">
        <f t="shared" ref="H460:H523" ca="1" si="111">ISNUMBER(G460)</f>
        <v>1</v>
      </c>
      <c r="I460" s="22" t="e">
        <f t="shared" ca="1" si="106"/>
        <v>#N/A</v>
      </c>
      <c r="J460">
        <f t="shared" ca="1" si="107"/>
        <v>0</v>
      </c>
      <c r="K460" t="e">
        <f t="shared" ref="K460:K523" ca="1" si="112">YEAR(C460)</f>
        <v>#N/A</v>
      </c>
      <c r="O460" s="22" t="e">
        <f t="shared" ca="1" si="108"/>
        <v>#N/A</v>
      </c>
      <c r="P460" s="17" t="e">
        <f ca="1"/>
        <v>#N/A</v>
      </c>
      <c r="Q460" s="17" t="e">
        <f ca="1"/>
        <v>#N/A</v>
      </c>
      <c r="R460" s="23" t="e">
        <f ca="1"/>
        <v>#N/A</v>
      </c>
      <c r="S460" s="23">
        <f t="shared" ca="1" si="105"/>
        <v>0</v>
      </c>
      <c r="T460" t="b">
        <f t="shared" ref="T460:T523" ca="1" si="113">ISNUMBER(S460)</f>
        <v>1</v>
      </c>
      <c r="U460" s="22" t="e">
        <f t="shared" ca="1" si="109"/>
        <v>#N/A</v>
      </c>
      <c r="V460">
        <f t="shared" ca="1" si="110"/>
        <v>0</v>
      </c>
    </row>
    <row r="461" spans="2:22">
      <c r="B461">
        <f t="shared" ref="B461:B524" si="114">B460+1</f>
        <v>451</v>
      </c>
      <c r="C461" s="22" t="e">
        <f ca="1"/>
        <v>#N/A</v>
      </c>
      <c r="D461" s="17" t="e">
        <f ca="1"/>
        <v>#N/A</v>
      </c>
      <c r="E461" s="17" t="e">
        <f ca="1"/>
        <v>#N/A</v>
      </c>
      <c r="F461" s="23" t="e">
        <f ca="1"/>
        <v>#N/A</v>
      </c>
      <c r="G461" s="23">
        <f t="shared" ca="1" si="104"/>
        <v>0</v>
      </c>
      <c r="H461" t="b">
        <f t="shared" ca="1" si="111"/>
        <v>1</v>
      </c>
      <c r="I461" s="22" t="e">
        <f t="shared" ca="1" si="106"/>
        <v>#N/A</v>
      </c>
      <c r="J461">
        <f t="shared" ca="1" si="107"/>
        <v>0</v>
      </c>
      <c r="K461" t="e">
        <f t="shared" ca="1" si="112"/>
        <v>#N/A</v>
      </c>
      <c r="O461" s="22" t="e">
        <f t="shared" ca="1" si="108"/>
        <v>#N/A</v>
      </c>
      <c r="P461" s="17" t="e">
        <f ca="1"/>
        <v>#N/A</v>
      </c>
      <c r="Q461" s="17" t="e">
        <f ca="1"/>
        <v>#N/A</v>
      </c>
      <c r="R461" s="23" t="e">
        <f ca="1"/>
        <v>#N/A</v>
      </c>
      <c r="S461" s="23">
        <f t="shared" ca="1" si="105"/>
        <v>0</v>
      </c>
      <c r="T461" t="b">
        <f t="shared" ca="1" si="113"/>
        <v>1</v>
      </c>
      <c r="U461" s="22" t="e">
        <f t="shared" ca="1" si="109"/>
        <v>#N/A</v>
      </c>
      <c r="V461">
        <f t="shared" ca="1" si="110"/>
        <v>0</v>
      </c>
    </row>
    <row r="462" spans="2:22">
      <c r="B462">
        <f t="shared" si="114"/>
        <v>452</v>
      </c>
      <c r="C462" s="22" t="e">
        <f ca="1"/>
        <v>#N/A</v>
      </c>
      <c r="D462" s="17" t="e">
        <f ca="1"/>
        <v>#N/A</v>
      </c>
      <c r="E462" s="17" t="e">
        <f ca="1"/>
        <v>#N/A</v>
      </c>
      <c r="F462" s="23" t="e">
        <f ca="1"/>
        <v>#N/A</v>
      </c>
      <c r="G462" s="23">
        <f t="shared" ca="1" si="104"/>
        <v>0</v>
      </c>
      <c r="H462" t="b">
        <f t="shared" ca="1" si="111"/>
        <v>1</v>
      </c>
      <c r="I462" s="22" t="e">
        <f t="shared" ca="1" si="106"/>
        <v>#N/A</v>
      </c>
      <c r="J462">
        <f t="shared" ca="1" si="107"/>
        <v>0</v>
      </c>
      <c r="K462" t="e">
        <f t="shared" ca="1" si="112"/>
        <v>#N/A</v>
      </c>
      <c r="O462" s="22" t="e">
        <f t="shared" ca="1" si="108"/>
        <v>#N/A</v>
      </c>
      <c r="P462" s="17" t="e">
        <f ca="1"/>
        <v>#N/A</v>
      </c>
      <c r="Q462" s="17" t="e">
        <f ca="1"/>
        <v>#N/A</v>
      </c>
      <c r="R462" s="23" t="e">
        <f ca="1"/>
        <v>#N/A</v>
      </c>
      <c r="S462" s="23">
        <f t="shared" ca="1" si="105"/>
        <v>0</v>
      </c>
      <c r="T462" t="b">
        <f t="shared" ca="1" si="113"/>
        <v>1</v>
      </c>
      <c r="U462" s="22" t="e">
        <f t="shared" ca="1" si="109"/>
        <v>#N/A</v>
      </c>
      <c r="V462">
        <f t="shared" ca="1" si="110"/>
        <v>0</v>
      </c>
    </row>
    <row r="463" spans="2:22">
      <c r="B463">
        <f t="shared" si="114"/>
        <v>453</v>
      </c>
      <c r="C463" s="22" t="e">
        <f ca="1"/>
        <v>#N/A</v>
      </c>
      <c r="D463" s="17" t="e">
        <f ca="1"/>
        <v>#N/A</v>
      </c>
      <c r="E463" s="17" t="e">
        <f ca="1"/>
        <v>#N/A</v>
      </c>
      <c r="F463" s="23" t="e">
        <f ca="1"/>
        <v>#N/A</v>
      </c>
      <c r="G463" s="23">
        <f t="shared" ca="1" si="104"/>
        <v>0</v>
      </c>
      <c r="H463" t="b">
        <f t="shared" ca="1" si="111"/>
        <v>1</v>
      </c>
      <c r="I463" s="22" t="e">
        <f t="shared" ca="1" si="106"/>
        <v>#N/A</v>
      </c>
      <c r="J463">
        <f t="shared" ca="1" si="107"/>
        <v>0</v>
      </c>
      <c r="K463" t="e">
        <f t="shared" ca="1" si="112"/>
        <v>#N/A</v>
      </c>
      <c r="O463" s="22" t="e">
        <f t="shared" ca="1" si="108"/>
        <v>#N/A</v>
      </c>
      <c r="P463" s="17" t="e">
        <f ca="1"/>
        <v>#N/A</v>
      </c>
      <c r="Q463" s="17" t="e">
        <f ca="1"/>
        <v>#N/A</v>
      </c>
      <c r="R463" s="23" t="e">
        <f ca="1"/>
        <v>#N/A</v>
      </c>
      <c r="S463" s="23">
        <f t="shared" ca="1" si="105"/>
        <v>0</v>
      </c>
      <c r="T463" t="b">
        <f t="shared" ca="1" si="113"/>
        <v>1</v>
      </c>
      <c r="U463" s="22" t="e">
        <f t="shared" ca="1" si="109"/>
        <v>#N/A</v>
      </c>
      <c r="V463">
        <f t="shared" ca="1" si="110"/>
        <v>0</v>
      </c>
    </row>
    <row r="464" spans="2:22">
      <c r="B464">
        <f t="shared" si="114"/>
        <v>454</v>
      </c>
      <c r="C464" s="22" t="e">
        <f ca="1"/>
        <v>#N/A</v>
      </c>
      <c r="D464" s="17" t="e">
        <f ca="1"/>
        <v>#N/A</v>
      </c>
      <c r="E464" s="17" t="e">
        <f ca="1"/>
        <v>#N/A</v>
      </c>
      <c r="F464" s="23" t="e">
        <f ca="1"/>
        <v>#N/A</v>
      </c>
      <c r="G464" s="23">
        <f t="shared" ca="1" si="104"/>
        <v>0</v>
      </c>
      <c r="H464" t="b">
        <f t="shared" ca="1" si="111"/>
        <v>1</v>
      </c>
      <c r="I464" s="22" t="e">
        <f t="shared" ca="1" si="106"/>
        <v>#N/A</v>
      </c>
      <c r="J464">
        <f t="shared" ca="1" si="107"/>
        <v>0</v>
      </c>
      <c r="K464" t="e">
        <f t="shared" ca="1" si="112"/>
        <v>#N/A</v>
      </c>
      <c r="O464" s="22" t="e">
        <f t="shared" ca="1" si="108"/>
        <v>#N/A</v>
      </c>
      <c r="P464" s="17" t="e">
        <f ca="1"/>
        <v>#N/A</v>
      </c>
      <c r="Q464" s="17" t="e">
        <f ca="1"/>
        <v>#N/A</v>
      </c>
      <c r="R464" s="23" t="e">
        <f ca="1"/>
        <v>#N/A</v>
      </c>
      <c r="S464" s="23">
        <f t="shared" ca="1" si="105"/>
        <v>0</v>
      </c>
      <c r="T464" t="b">
        <f t="shared" ca="1" si="113"/>
        <v>1</v>
      </c>
      <c r="U464" s="22" t="e">
        <f t="shared" ca="1" si="109"/>
        <v>#N/A</v>
      </c>
      <c r="V464">
        <f t="shared" ca="1" si="110"/>
        <v>0</v>
      </c>
    </row>
    <row r="465" spans="2:22">
      <c r="B465">
        <f t="shared" si="114"/>
        <v>455</v>
      </c>
      <c r="C465" s="22" t="e">
        <f ca="1"/>
        <v>#N/A</v>
      </c>
      <c r="D465" s="17" t="e">
        <f ca="1"/>
        <v>#N/A</v>
      </c>
      <c r="E465" s="17" t="e">
        <f ca="1"/>
        <v>#N/A</v>
      </c>
      <c r="F465" s="23" t="e">
        <f ca="1"/>
        <v>#N/A</v>
      </c>
      <c r="G465" s="23">
        <f t="shared" ca="1" si="104"/>
        <v>0</v>
      </c>
      <c r="H465" t="b">
        <f t="shared" ca="1" si="111"/>
        <v>1</v>
      </c>
      <c r="I465" s="22" t="e">
        <f t="shared" ca="1" si="106"/>
        <v>#N/A</v>
      </c>
      <c r="J465">
        <f t="shared" ca="1" si="107"/>
        <v>0</v>
      </c>
      <c r="K465" t="e">
        <f t="shared" ca="1" si="112"/>
        <v>#N/A</v>
      </c>
      <c r="O465" s="22" t="e">
        <f t="shared" ca="1" si="108"/>
        <v>#N/A</v>
      </c>
      <c r="P465" s="17" t="e">
        <f ca="1"/>
        <v>#N/A</v>
      </c>
      <c r="Q465" s="17" t="e">
        <f ca="1"/>
        <v>#N/A</v>
      </c>
      <c r="R465" s="23" t="e">
        <f ca="1"/>
        <v>#N/A</v>
      </c>
      <c r="S465" s="23">
        <f t="shared" ca="1" si="105"/>
        <v>0</v>
      </c>
      <c r="T465" t="b">
        <f t="shared" ca="1" si="113"/>
        <v>1</v>
      </c>
      <c r="U465" s="22" t="e">
        <f t="shared" ca="1" si="109"/>
        <v>#N/A</v>
      </c>
      <c r="V465">
        <f t="shared" ca="1" si="110"/>
        <v>0</v>
      </c>
    </row>
    <row r="466" spans="2:22">
      <c r="B466">
        <f t="shared" si="114"/>
        <v>456</v>
      </c>
      <c r="C466" s="22" t="e">
        <f ca="1"/>
        <v>#N/A</v>
      </c>
      <c r="D466" s="17" t="e">
        <f ca="1"/>
        <v>#N/A</v>
      </c>
      <c r="E466" s="17" t="e">
        <f ca="1"/>
        <v>#N/A</v>
      </c>
      <c r="F466" s="23" t="e">
        <f ca="1"/>
        <v>#N/A</v>
      </c>
      <c r="G466" s="23">
        <f t="shared" ca="1" si="104"/>
        <v>0</v>
      </c>
      <c r="H466" t="b">
        <f t="shared" ca="1" si="111"/>
        <v>1</v>
      </c>
      <c r="I466" s="22" t="e">
        <f t="shared" ca="1" si="106"/>
        <v>#N/A</v>
      </c>
      <c r="J466">
        <f t="shared" ca="1" si="107"/>
        <v>0</v>
      </c>
      <c r="K466" t="e">
        <f t="shared" ca="1" si="112"/>
        <v>#N/A</v>
      </c>
      <c r="O466" s="22" t="e">
        <f t="shared" ca="1" si="108"/>
        <v>#N/A</v>
      </c>
      <c r="P466" s="17" t="e">
        <f ca="1"/>
        <v>#N/A</v>
      </c>
      <c r="Q466" s="17" t="e">
        <f ca="1"/>
        <v>#N/A</v>
      </c>
      <c r="R466" s="23" t="e">
        <f ca="1"/>
        <v>#N/A</v>
      </c>
      <c r="S466" s="23">
        <f t="shared" ca="1" si="105"/>
        <v>0</v>
      </c>
      <c r="T466" t="b">
        <f t="shared" ca="1" si="113"/>
        <v>1</v>
      </c>
      <c r="U466" s="22" t="e">
        <f t="shared" ca="1" si="109"/>
        <v>#N/A</v>
      </c>
      <c r="V466">
        <f t="shared" ca="1" si="110"/>
        <v>0</v>
      </c>
    </row>
    <row r="467" spans="2:22">
      <c r="B467">
        <f t="shared" si="114"/>
        <v>457</v>
      </c>
      <c r="C467" s="22" t="e">
        <f ca="1"/>
        <v>#N/A</v>
      </c>
      <c r="D467" s="17" t="e">
        <f ca="1"/>
        <v>#N/A</v>
      </c>
      <c r="E467" s="17" t="e">
        <f ca="1"/>
        <v>#N/A</v>
      </c>
      <c r="F467" s="23" t="e">
        <f ca="1"/>
        <v>#N/A</v>
      </c>
      <c r="G467" s="23">
        <f t="shared" ca="1" si="104"/>
        <v>0</v>
      </c>
      <c r="H467" t="b">
        <f t="shared" ca="1" si="111"/>
        <v>1</v>
      </c>
      <c r="I467" s="22" t="e">
        <f t="shared" ca="1" si="106"/>
        <v>#N/A</v>
      </c>
      <c r="J467">
        <f t="shared" ca="1" si="107"/>
        <v>0</v>
      </c>
      <c r="K467" t="e">
        <f t="shared" ca="1" si="112"/>
        <v>#N/A</v>
      </c>
      <c r="O467" s="22" t="e">
        <f t="shared" ca="1" si="108"/>
        <v>#N/A</v>
      </c>
      <c r="P467" s="17" t="e">
        <f ca="1"/>
        <v>#N/A</v>
      </c>
      <c r="Q467" s="17" t="e">
        <f ca="1"/>
        <v>#N/A</v>
      </c>
      <c r="R467" s="23" t="e">
        <f ca="1"/>
        <v>#N/A</v>
      </c>
      <c r="S467" s="23">
        <f t="shared" ca="1" si="105"/>
        <v>0</v>
      </c>
      <c r="T467" t="b">
        <f t="shared" ca="1" si="113"/>
        <v>1</v>
      </c>
      <c r="U467" s="22" t="e">
        <f t="shared" ca="1" si="109"/>
        <v>#N/A</v>
      </c>
      <c r="V467">
        <f t="shared" ca="1" si="110"/>
        <v>0</v>
      </c>
    </row>
    <row r="468" spans="2:22">
      <c r="B468">
        <f t="shared" si="114"/>
        <v>458</v>
      </c>
      <c r="C468" s="22" t="e">
        <f ca="1"/>
        <v>#N/A</v>
      </c>
      <c r="D468" s="17" t="e">
        <f ca="1"/>
        <v>#N/A</v>
      </c>
      <c r="E468" s="17" t="e">
        <f ca="1"/>
        <v>#N/A</v>
      </c>
      <c r="F468" s="23" t="e">
        <f ca="1"/>
        <v>#N/A</v>
      </c>
      <c r="G468" s="23">
        <f t="shared" ca="1" si="104"/>
        <v>0</v>
      </c>
      <c r="H468" t="b">
        <f t="shared" ca="1" si="111"/>
        <v>1</v>
      </c>
      <c r="I468" s="22" t="e">
        <f t="shared" ca="1" si="106"/>
        <v>#N/A</v>
      </c>
      <c r="J468">
        <f t="shared" ca="1" si="107"/>
        <v>0</v>
      </c>
      <c r="K468" t="e">
        <f t="shared" ca="1" si="112"/>
        <v>#N/A</v>
      </c>
      <c r="O468" s="22" t="e">
        <f t="shared" ca="1" si="108"/>
        <v>#N/A</v>
      </c>
      <c r="P468" s="17" t="e">
        <f ca="1"/>
        <v>#N/A</v>
      </c>
      <c r="Q468" s="17" t="e">
        <f ca="1"/>
        <v>#N/A</v>
      </c>
      <c r="R468" s="23" t="e">
        <f ca="1"/>
        <v>#N/A</v>
      </c>
      <c r="S468" s="23">
        <f t="shared" ca="1" si="105"/>
        <v>0</v>
      </c>
      <c r="T468" t="b">
        <f t="shared" ca="1" si="113"/>
        <v>1</v>
      </c>
      <c r="U468" s="22" t="e">
        <f t="shared" ca="1" si="109"/>
        <v>#N/A</v>
      </c>
      <c r="V468">
        <f t="shared" ca="1" si="110"/>
        <v>0</v>
      </c>
    </row>
    <row r="469" spans="2:22">
      <c r="B469">
        <f t="shared" si="114"/>
        <v>459</v>
      </c>
      <c r="C469" s="22" t="e">
        <f ca="1"/>
        <v>#N/A</v>
      </c>
      <c r="D469" s="17" t="e">
        <f ca="1"/>
        <v>#N/A</v>
      </c>
      <c r="E469" s="17" t="e">
        <f ca="1"/>
        <v>#N/A</v>
      </c>
      <c r="F469" s="23" t="e">
        <f ca="1"/>
        <v>#N/A</v>
      </c>
      <c r="G469" s="23">
        <f t="shared" ca="1" si="104"/>
        <v>0</v>
      </c>
      <c r="H469" t="b">
        <f t="shared" ca="1" si="111"/>
        <v>1</v>
      </c>
      <c r="I469" s="22" t="e">
        <f t="shared" ca="1" si="106"/>
        <v>#N/A</v>
      </c>
      <c r="J469">
        <f t="shared" ca="1" si="107"/>
        <v>0</v>
      </c>
      <c r="K469" t="e">
        <f t="shared" ca="1" si="112"/>
        <v>#N/A</v>
      </c>
      <c r="O469" s="22" t="e">
        <f t="shared" ca="1" si="108"/>
        <v>#N/A</v>
      </c>
      <c r="P469" s="17" t="e">
        <f ca="1"/>
        <v>#N/A</v>
      </c>
      <c r="Q469" s="17" t="e">
        <f ca="1"/>
        <v>#N/A</v>
      </c>
      <c r="R469" s="23" t="e">
        <f ca="1"/>
        <v>#N/A</v>
      </c>
      <c r="S469" s="23">
        <f t="shared" ca="1" si="105"/>
        <v>0</v>
      </c>
      <c r="T469" t="b">
        <f t="shared" ca="1" si="113"/>
        <v>1</v>
      </c>
      <c r="U469" s="22" t="e">
        <f t="shared" ca="1" si="109"/>
        <v>#N/A</v>
      </c>
      <c r="V469">
        <f t="shared" ca="1" si="110"/>
        <v>0</v>
      </c>
    </row>
    <row r="470" spans="2:22">
      <c r="B470">
        <f t="shared" si="114"/>
        <v>460</v>
      </c>
      <c r="C470" s="22" t="e">
        <f ca="1"/>
        <v>#N/A</v>
      </c>
      <c r="D470" s="17" t="e">
        <f ca="1"/>
        <v>#N/A</v>
      </c>
      <c r="E470" s="17" t="e">
        <f ca="1"/>
        <v>#N/A</v>
      </c>
      <c r="F470" s="23" t="e">
        <f ca="1"/>
        <v>#N/A</v>
      </c>
      <c r="G470" s="23">
        <f t="shared" ca="1" si="104"/>
        <v>0</v>
      </c>
      <c r="H470" t="b">
        <f t="shared" ca="1" si="111"/>
        <v>1</v>
      </c>
      <c r="I470" s="22" t="e">
        <f t="shared" ca="1" si="106"/>
        <v>#N/A</v>
      </c>
      <c r="J470">
        <f t="shared" ca="1" si="107"/>
        <v>0</v>
      </c>
      <c r="K470" t="e">
        <f t="shared" ca="1" si="112"/>
        <v>#N/A</v>
      </c>
      <c r="O470" s="22" t="e">
        <f t="shared" ca="1" si="108"/>
        <v>#N/A</v>
      </c>
      <c r="P470" s="17" t="e">
        <f ca="1"/>
        <v>#N/A</v>
      </c>
      <c r="Q470" s="17" t="e">
        <f ca="1"/>
        <v>#N/A</v>
      </c>
      <c r="R470" s="23" t="e">
        <f ca="1"/>
        <v>#N/A</v>
      </c>
      <c r="S470" s="23">
        <f t="shared" ca="1" si="105"/>
        <v>0</v>
      </c>
      <c r="T470" t="b">
        <f t="shared" ca="1" si="113"/>
        <v>1</v>
      </c>
      <c r="U470" s="22" t="e">
        <f t="shared" ca="1" si="109"/>
        <v>#N/A</v>
      </c>
      <c r="V470">
        <f t="shared" ca="1" si="110"/>
        <v>0</v>
      </c>
    </row>
    <row r="471" spans="2:22">
      <c r="B471">
        <f t="shared" si="114"/>
        <v>461</v>
      </c>
      <c r="C471" s="22" t="e">
        <f ca="1"/>
        <v>#N/A</v>
      </c>
      <c r="D471" s="17" t="e">
        <f ca="1"/>
        <v>#N/A</v>
      </c>
      <c r="E471" s="17" t="e">
        <f ca="1"/>
        <v>#N/A</v>
      </c>
      <c r="F471" s="23" t="e">
        <f ca="1"/>
        <v>#N/A</v>
      </c>
      <c r="G471" s="23">
        <f t="shared" ref="G471:G534" ca="1" si="115">IFERROR(Volatility(D460:D471,12),FALSE)</f>
        <v>0</v>
      </c>
      <c r="H471" t="b">
        <f t="shared" ca="1" si="111"/>
        <v>1</v>
      </c>
      <c r="I471" s="22" t="e">
        <f t="shared" ca="1" si="106"/>
        <v>#N/A</v>
      </c>
      <c r="J471">
        <f t="shared" ca="1" si="107"/>
        <v>0</v>
      </c>
      <c r="K471" t="e">
        <f t="shared" ca="1" si="112"/>
        <v>#N/A</v>
      </c>
      <c r="O471" s="22" t="e">
        <f t="shared" ca="1" si="108"/>
        <v>#N/A</v>
      </c>
      <c r="P471" s="17" t="e">
        <f ca="1"/>
        <v>#N/A</v>
      </c>
      <c r="Q471" s="17" t="e">
        <f ca="1"/>
        <v>#N/A</v>
      </c>
      <c r="R471" s="23" t="e">
        <f ca="1"/>
        <v>#N/A</v>
      </c>
      <c r="S471" s="23">
        <f t="shared" ref="S471:S534" ca="1" si="116">IFERROR(Volatility(P460:P471,12),FALSE)</f>
        <v>0</v>
      </c>
      <c r="T471" t="b">
        <f t="shared" ca="1" si="113"/>
        <v>1</v>
      </c>
      <c r="U471" s="22" t="e">
        <f t="shared" ca="1" si="109"/>
        <v>#N/A</v>
      </c>
      <c r="V471">
        <f t="shared" ca="1" si="110"/>
        <v>0</v>
      </c>
    </row>
    <row r="472" spans="2:22">
      <c r="B472">
        <f t="shared" si="114"/>
        <v>462</v>
      </c>
      <c r="C472" s="22" t="e">
        <f ca="1"/>
        <v>#N/A</v>
      </c>
      <c r="D472" s="17" t="e">
        <f ca="1"/>
        <v>#N/A</v>
      </c>
      <c r="E472" s="17" t="e">
        <f ca="1"/>
        <v>#N/A</v>
      </c>
      <c r="F472" s="23" t="e">
        <f ca="1"/>
        <v>#N/A</v>
      </c>
      <c r="G472" s="23">
        <f t="shared" ca="1" si="115"/>
        <v>0</v>
      </c>
      <c r="H472" t="b">
        <f t="shared" ca="1" si="111"/>
        <v>1</v>
      </c>
      <c r="I472" s="22" t="e">
        <f t="shared" ca="1" si="106"/>
        <v>#N/A</v>
      </c>
      <c r="J472">
        <f t="shared" ca="1" si="107"/>
        <v>0</v>
      </c>
      <c r="K472" t="e">
        <f t="shared" ca="1" si="112"/>
        <v>#N/A</v>
      </c>
      <c r="O472" s="22" t="e">
        <f t="shared" ca="1" si="108"/>
        <v>#N/A</v>
      </c>
      <c r="P472" s="17" t="e">
        <f ca="1"/>
        <v>#N/A</v>
      </c>
      <c r="Q472" s="17" t="e">
        <f ca="1"/>
        <v>#N/A</v>
      </c>
      <c r="R472" s="23" t="e">
        <f ca="1"/>
        <v>#N/A</v>
      </c>
      <c r="S472" s="23">
        <f t="shared" ca="1" si="116"/>
        <v>0</v>
      </c>
      <c r="T472" t="b">
        <f t="shared" ca="1" si="113"/>
        <v>1</v>
      </c>
      <c r="U472" s="22" t="e">
        <f t="shared" ca="1" si="109"/>
        <v>#N/A</v>
      </c>
      <c r="V472">
        <f t="shared" ca="1" si="110"/>
        <v>0</v>
      </c>
    </row>
    <row r="473" spans="2:22">
      <c r="B473">
        <f t="shared" si="114"/>
        <v>463</v>
      </c>
      <c r="C473" s="22" t="e">
        <f ca="1"/>
        <v>#N/A</v>
      </c>
      <c r="D473" s="17" t="e">
        <f ca="1"/>
        <v>#N/A</v>
      </c>
      <c r="E473" s="17" t="e">
        <f ca="1"/>
        <v>#N/A</v>
      </c>
      <c r="F473" s="23" t="e">
        <f ca="1"/>
        <v>#N/A</v>
      </c>
      <c r="G473" s="23">
        <f t="shared" ca="1" si="115"/>
        <v>0</v>
      </c>
      <c r="H473" t="b">
        <f t="shared" ca="1" si="111"/>
        <v>1</v>
      </c>
      <c r="I473" s="22" t="e">
        <f t="shared" ca="1" si="106"/>
        <v>#N/A</v>
      </c>
      <c r="J473">
        <f t="shared" ca="1" si="107"/>
        <v>0</v>
      </c>
      <c r="K473" t="e">
        <f t="shared" ca="1" si="112"/>
        <v>#N/A</v>
      </c>
      <c r="O473" s="22" t="e">
        <f t="shared" ca="1" si="108"/>
        <v>#N/A</v>
      </c>
      <c r="P473" s="17" t="e">
        <f ca="1"/>
        <v>#N/A</v>
      </c>
      <c r="Q473" s="17" t="e">
        <f ca="1"/>
        <v>#N/A</v>
      </c>
      <c r="R473" s="23" t="e">
        <f ca="1"/>
        <v>#N/A</v>
      </c>
      <c r="S473" s="23">
        <f t="shared" ca="1" si="116"/>
        <v>0</v>
      </c>
      <c r="T473" t="b">
        <f t="shared" ca="1" si="113"/>
        <v>1</v>
      </c>
      <c r="U473" s="22" t="e">
        <f t="shared" ca="1" si="109"/>
        <v>#N/A</v>
      </c>
      <c r="V473">
        <f t="shared" ca="1" si="110"/>
        <v>0</v>
      </c>
    </row>
    <row r="474" spans="2:22">
      <c r="B474">
        <f t="shared" si="114"/>
        <v>464</v>
      </c>
      <c r="C474" s="22" t="e">
        <f ca="1"/>
        <v>#N/A</v>
      </c>
      <c r="D474" s="17" t="e">
        <f ca="1"/>
        <v>#N/A</v>
      </c>
      <c r="E474" s="17" t="e">
        <f ca="1"/>
        <v>#N/A</v>
      </c>
      <c r="F474" s="23" t="e">
        <f ca="1"/>
        <v>#N/A</v>
      </c>
      <c r="G474" s="23">
        <f t="shared" ca="1" si="115"/>
        <v>0</v>
      </c>
      <c r="H474" t="b">
        <f t="shared" ca="1" si="111"/>
        <v>1</v>
      </c>
      <c r="I474" s="22" t="e">
        <f t="shared" ca="1" si="106"/>
        <v>#N/A</v>
      </c>
      <c r="J474">
        <f t="shared" ca="1" si="107"/>
        <v>0</v>
      </c>
      <c r="K474" t="e">
        <f t="shared" ca="1" si="112"/>
        <v>#N/A</v>
      </c>
      <c r="O474" s="22" t="e">
        <f t="shared" ca="1" si="108"/>
        <v>#N/A</v>
      </c>
      <c r="P474" s="17" t="e">
        <f ca="1"/>
        <v>#N/A</v>
      </c>
      <c r="Q474" s="17" t="e">
        <f ca="1"/>
        <v>#N/A</v>
      </c>
      <c r="R474" s="23" t="e">
        <f ca="1"/>
        <v>#N/A</v>
      </c>
      <c r="S474" s="23">
        <f t="shared" ca="1" si="116"/>
        <v>0</v>
      </c>
      <c r="T474" t="b">
        <f t="shared" ca="1" si="113"/>
        <v>1</v>
      </c>
      <c r="U474" s="22" t="e">
        <f t="shared" ca="1" si="109"/>
        <v>#N/A</v>
      </c>
      <c r="V474">
        <f t="shared" ca="1" si="110"/>
        <v>0</v>
      </c>
    </row>
    <row r="475" spans="2:22">
      <c r="B475">
        <f t="shared" si="114"/>
        <v>465</v>
      </c>
      <c r="C475" s="22" t="e">
        <f ca="1"/>
        <v>#N/A</v>
      </c>
      <c r="D475" s="17" t="e">
        <f ca="1"/>
        <v>#N/A</v>
      </c>
      <c r="E475" s="17" t="e">
        <f ca="1"/>
        <v>#N/A</v>
      </c>
      <c r="F475" s="23" t="e">
        <f ca="1"/>
        <v>#N/A</v>
      </c>
      <c r="G475" s="23">
        <f t="shared" ca="1" si="115"/>
        <v>0</v>
      </c>
      <c r="H475" t="b">
        <f t="shared" ca="1" si="111"/>
        <v>1</v>
      </c>
      <c r="I475" s="22" t="e">
        <f t="shared" ca="1" si="106"/>
        <v>#N/A</v>
      </c>
      <c r="J475">
        <f t="shared" ca="1" si="107"/>
        <v>0</v>
      </c>
      <c r="K475" t="e">
        <f t="shared" ca="1" si="112"/>
        <v>#N/A</v>
      </c>
      <c r="O475" s="22" t="e">
        <f t="shared" ca="1" si="108"/>
        <v>#N/A</v>
      </c>
      <c r="P475" s="17" t="e">
        <f ca="1"/>
        <v>#N/A</v>
      </c>
      <c r="Q475" s="17" t="e">
        <f ca="1"/>
        <v>#N/A</v>
      </c>
      <c r="R475" s="23" t="e">
        <f ca="1"/>
        <v>#N/A</v>
      </c>
      <c r="S475" s="23">
        <f t="shared" ca="1" si="116"/>
        <v>0</v>
      </c>
      <c r="T475" t="b">
        <f t="shared" ca="1" si="113"/>
        <v>1</v>
      </c>
      <c r="U475" s="22" t="e">
        <f t="shared" ca="1" si="109"/>
        <v>#N/A</v>
      </c>
      <c r="V475">
        <f t="shared" ca="1" si="110"/>
        <v>0</v>
      </c>
    </row>
    <row r="476" spans="2:22">
      <c r="B476">
        <f t="shared" si="114"/>
        <v>466</v>
      </c>
      <c r="C476" s="22" t="e">
        <f ca="1"/>
        <v>#N/A</v>
      </c>
      <c r="D476" s="17" t="e">
        <f ca="1"/>
        <v>#N/A</v>
      </c>
      <c r="E476" s="17" t="e">
        <f ca="1"/>
        <v>#N/A</v>
      </c>
      <c r="F476" s="23" t="e">
        <f ca="1"/>
        <v>#N/A</v>
      </c>
      <c r="G476" s="23">
        <f t="shared" ca="1" si="115"/>
        <v>0</v>
      </c>
      <c r="H476" t="b">
        <f t="shared" ca="1" si="111"/>
        <v>1</v>
      </c>
      <c r="I476" s="22" t="e">
        <f t="shared" ca="1" si="106"/>
        <v>#N/A</v>
      </c>
      <c r="J476">
        <f t="shared" ca="1" si="107"/>
        <v>0</v>
      </c>
      <c r="K476" t="e">
        <f t="shared" ca="1" si="112"/>
        <v>#N/A</v>
      </c>
      <c r="O476" s="22" t="e">
        <f t="shared" ca="1" si="108"/>
        <v>#N/A</v>
      </c>
      <c r="P476" s="17" t="e">
        <f ca="1"/>
        <v>#N/A</v>
      </c>
      <c r="Q476" s="17" t="e">
        <f ca="1"/>
        <v>#N/A</v>
      </c>
      <c r="R476" s="23" t="e">
        <f ca="1"/>
        <v>#N/A</v>
      </c>
      <c r="S476" s="23">
        <f t="shared" ca="1" si="116"/>
        <v>0</v>
      </c>
      <c r="T476" t="b">
        <f t="shared" ca="1" si="113"/>
        <v>1</v>
      </c>
      <c r="U476" s="22" t="e">
        <f t="shared" ca="1" si="109"/>
        <v>#N/A</v>
      </c>
      <c r="V476">
        <f t="shared" ca="1" si="110"/>
        <v>0</v>
      </c>
    </row>
    <row r="477" spans="2:22">
      <c r="B477">
        <f t="shared" si="114"/>
        <v>467</v>
      </c>
      <c r="C477" s="22" t="e">
        <f ca="1"/>
        <v>#N/A</v>
      </c>
      <c r="D477" s="17" t="e">
        <f ca="1"/>
        <v>#N/A</v>
      </c>
      <c r="E477" s="17" t="e">
        <f ca="1"/>
        <v>#N/A</v>
      </c>
      <c r="F477" s="23" t="e">
        <f ca="1"/>
        <v>#N/A</v>
      </c>
      <c r="G477" s="23">
        <f t="shared" ca="1" si="115"/>
        <v>0</v>
      </c>
      <c r="H477" t="b">
        <f t="shared" ca="1" si="111"/>
        <v>1</v>
      </c>
      <c r="I477" s="22" t="e">
        <f t="shared" ca="1" si="106"/>
        <v>#N/A</v>
      </c>
      <c r="J477">
        <f t="shared" ca="1" si="107"/>
        <v>0</v>
      </c>
      <c r="K477" t="e">
        <f t="shared" ca="1" si="112"/>
        <v>#N/A</v>
      </c>
      <c r="O477" s="22" t="e">
        <f t="shared" ca="1" si="108"/>
        <v>#N/A</v>
      </c>
      <c r="P477" s="17" t="e">
        <f ca="1"/>
        <v>#N/A</v>
      </c>
      <c r="Q477" s="17" t="e">
        <f ca="1"/>
        <v>#N/A</v>
      </c>
      <c r="R477" s="23" t="e">
        <f ca="1"/>
        <v>#N/A</v>
      </c>
      <c r="S477" s="23">
        <f t="shared" ca="1" si="116"/>
        <v>0</v>
      </c>
      <c r="T477" t="b">
        <f t="shared" ca="1" si="113"/>
        <v>1</v>
      </c>
      <c r="U477" s="22" t="e">
        <f t="shared" ca="1" si="109"/>
        <v>#N/A</v>
      </c>
      <c r="V477">
        <f t="shared" ca="1" si="110"/>
        <v>0</v>
      </c>
    </row>
    <row r="478" spans="2:22">
      <c r="B478">
        <f t="shared" si="114"/>
        <v>468</v>
      </c>
      <c r="C478" s="22" t="e">
        <f ca="1"/>
        <v>#N/A</v>
      </c>
      <c r="D478" s="17" t="e">
        <f ca="1"/>
        <v>#N/A</v>
      </c>
      <c r="E478" s="17" t="e">
        <f ca="1"/>
        <v>#N/A</v>
      </c>
      <c r="F478" s="23" t="e">
        <f ca="1"/>
        <v>#N/A</v>
      </c>
      <c r="G478" s="23">
        <f t="shared" ca="1" si="115"/>
        <v>0</v>
      </c>
      <c r="H478" t="b">
        <f t="shared" ca="1" si="111"/>
        <v>1</v>
      </c>
      <c r="I478" s="22" t="e">
        <f t="shared" ca="1" si="106"/>
        <v>#N/A</v>
      </c>
      <c r="J478">
        <f t="shared" ca="1" si="107"/>
        <v>0</v>
      </c>
      <c r="K478" t="e">
        <f t="shared" ca="1" si="112"/>
        <v>#N/A</v>
      </c>
      <c r="O478" s="22" t="e">
        <f t="shared" ca="1" si="108"/>
        <v>#N/A</v>
      </c>
      <c r="P478" s="17" t="e">
        <f ca="1"/>
        <v>#N/A</v>
      </c>
      <c r="Q478" s="17" t="e">
        <f ca="1"/>
        <v>#N/A</v>
      </c>
      <c r="R478" s="23" t="e">
        <f ca="1"/>
        <v>#N/A</v>
      </c>
      <c r="S478" s="23">
        <f t="shared" ca="1" si="116"/>
        <v>0</v>
      </c>
      <c r="T478" t="b">
        <f t="shared" ca="1" si="113"/>
        <v>1</v>
      </c>
      <c r="U478" s="22" t="e">
        <f t="shared" ca="1" si="109"/>
        <v>#N/A</v>
      </c>
      <c r="V478">
        <f t="shared" ca="1" si="110"/>
        <v>0</v>
      </c>
    </row>
    <row r="479" spans="2:22">
      <c r="B479">
        <f t="shared" si="114"/>
        <v>469</v>
      </c>
      <c r="C479" s="22" t="e">
        <f ca="1"/>
        <v>#N/A</v>
      </c>
      <c r="D479" s="17" t="e">
        <f ca="1"/>
        <v>#N/A</v>
      </c>
      <c r="E479" s="17" t="e">
        <f ca="1"/>
        <v>#N/A</v>
      </c>
      <c r="F479" s="23" t="e">
        <f ca="1"/>
        <v>#N/A</v>
      </c>
      <c r="G479" s="23">
        <f t="shared" ca="1" si="115"/>
        <v>0</v>
      </c>
      <c r="H479" t="b">
        <f t="shared" ca="1" si="111"/>
        <v>1</v>
      </c>
      <c r="I479" s="22" t="e">
        <f t="shared" ca="1" si="106"/>
        <v>#N/A</v>
      </c>
      <c r="J479">
        <f t="shared" ca="1" si="107"/>
        <v>0</v>
      </c>
      <c r="K479" t="e">
        <f t="shared" ca="1" si="112"/>
        <v>#N/A</v>
      </c>
      <c r="O479" s="22" t="e">
        <f t="shared" ca="1" si="108"/>
        <v>#N/A</v>
      </c>
      <c r="P479" s="17" t="e">
        <f ca="1"/>
        <v>#N/A</v>
      </c>
      <c r="Q479" s="17" t="e">
        <f ca="1"/>
        <v>#N/A</v>
      </c>
      <c r="R479" s="23" t="e">
        <f ca="1"/>
        <v>#N/A</v>
      </c>
      <c r="S479" s="23">
        <f t="shared" ca="1" si="116"/>
        <v>0</v>
      </c>
      <c r="T479" t="b">
        <f t="shared" ca="1" si="113"/>
        <v>1</v>
      </c>
      <c r="U479" s="22" t="e">
        <f t="shared" ca="1" si="109"/>
        <v>#N/A</v>
      </c>
      <c r="V479">
        <f t="shared" ca="1" si="110"/>
        <v>0</v>
      </c>
    </row>
    <row r="480" spans="2:22">
      <c r="B480">
        <f t="shared" si="114"/>
        <v>470</v>
      </c>
      <c r="C480" s="22" t="e">
        <f ca="1"/>
        <v>#N/A</v>
      </c>
      <c r="D480" s="17" t="e">
        <f ca="1"/>
        <v>#N/A</v>
      </c>
      <c r="E480" s="17" t="e">
        <f ca="1"/>
        <v>#N/A</v>
      </c>
      <c r="F480" s="23" t="e">
        <f ca="1"/>
        <v>#N/A</v>
      </c>
      <c r="G480" s="23">
        <f t="shared" ca="1" si="115"/>
        <v>0</v>
      </c>
      <c r="H480" t="b">
        <f t="shared" ca="1" si="111"/>
        <v>1</v>
      </c>
      <c r="I480" s="22" t="e">
        <f t="shared" ca="1" si="106"/>
        <v>#N/A</v>
      </c>
      <c r="J480">
        <f t="shared" ca="1" si="107"/>
        <v>0</v>
      </c>
      <c r="K480" t="e">
        <f t="shared" ca="1" si="112"/>
        <v>#N/A</v>
      </c>
      <c r="O480" s="22" t="e">
        <f t="shared" ca="1" si="108"/>
        <v>#N/A</v>
      </c>
      <c r="P480" s="17" t="e">
        <f ca="1"/>
        <v>#N/A</v>
      </c>
      <c r="Q480" s="17" t="e">
        <f ca="1"/>
        <v>#N/A</v>
      </c>
      <c r="R480" s="23" t="e">
        <f ca="1"/>
        <v>#N/A</v>
      </c>
      <c r="S480" s="23">
        <f t="shared" ca="1" si="116"/>
        <v>0</v>
      </c>
      <c r="T480" t="b">
        <f t="shared" ca="1" si="113"/>
        <v>1</v>
      </c>
      <c r="U480" s="22" t="e">
        <f t="shared" ca="1" si="109"/>
        <v>#N/A</v>
      </c>
      <c r="V480">
        <f t="shared" ca="1" si="110"/>
        <v>0</v>
      </c>
    </row>
    <row r="481" spans="2:22">
      <c r="B481">
        <f t="shared" si="114"/>
        <v>471</v>
      </c>
      <c r="C481" s="22" t="e">
        <f ca="1"/>
        <v>#N/A</v>
      </c>
      <c r="D481" s="17" t="e">
        <f ca="1"/>
        <v>#N/A</v>
      </c>
      <c r="E481" s="17" t="e">
        <f ca="1"/>
        <v>#N/A</v>
      </c>
      <c r="F481" s="23" t="e">
        <f ca="1"/>
        <v>#N/A</v>
      </c>
      <c r="G481" s="23">
        <f t="shared" ca="1" si="115"/>
        <v>0</v>
      </c>
      <c r="H481" t="b">
        <f t="shared" ca="1" si="111"/>
        <v>1</v>
      </c>
      <c r="I481" s="22" t="e">
        <f t="shared" ca="1" si="106"/>
        <v>#N/A</v>
      </c>
      <c r="J481">
        <f t="shared" ca="1" si="107"/>
        <v>0</v>
      </c>
      <c r="K481" t="e">
        <f t="shared" ca="1" si="112"/>
        <v>#N/A</v>
      </c>
      <c r="O481" s="22" t="e">
        <f t="shared" ca="1" si="108"/>
        <v>#N/A</v>
      </c>
      <c r="P481" s="17" t="e">
        <f ca="1"/>
        <v>#N/A</v>
      </c>
      <c r="Q481" s="17" t="e">
        <f ca="1"/>
        <v>#N/A</v>
      </c>
      <c r="R481" s="23" t="e">
        <f ca="1"/>
        <v>#N/A</v>
      </c>
      <c r="S481" s="23">
        <f t="shared" ca="1" si="116"/>
        <v>0</v>
      </c>
      <c r="T481" t="b">
        <f t="shared" ca="1" si="113"/>
        <v>1</v>
      </c>
      <c r="U481" s="22" t="e">
        <f t="shared" ca="1" si="109"/>
        <v>#N/A</v>
      </c>
      <c r="V481">
        <f t="shared" ca="1" si="110"/>
        <v>0</v>
      </c>
    </row>
    <row r="482" spans="2:22">
      <c r="B482">
        <f t="shared" si="114"/>
        <v>472</v>
      </c>
      <c r="C482" s="22" t="e">
        <f ca="1"/>
        <v>#N/A</v>
      </c>
      <c r="D482" s="17" t="e">
        <f ca="1"/>
        <v>#N/A</v>
      </c>
      <c r="E482" s="17" t="e">
        <f ca="1"/>
        <v>#N/A</v>
      </c>
      <c r="F482" s="23" t="e">
        <f ca="1"/>
        <v>#N/A</v>
      </c>
      <c r="G482" s="23">
        <f t="shared" ca="1" si="115"/>
        <v>0</v>
      </c>
      <c r="H482" t="b">
        <f t="shared" ca="1" si="111"/>
        <v>1</v>
      </c>
      <c r="I482" s="22" t="e">
        <f t="shared" ca="1" si="106"/>
        <v>#N/A</v>
      </c>
      <c r="J482">
        <f t="shared" ca="1" si="107"/>
        <v>0</v>
      </c>
      <c r="K482" t="e">
        <f t="shared" ca="1" si="112"/>
        <v>#N/A</v>
      </c>
      <c r="O482" s="22" t="e">
        <f t="shared" ca="1" si="108"/>
        <v>#N/A</v>
      </c>
      <c r="P482" s="17" t="e">
        <f ca="1"/>
        <v>#N/A</v>
      </c>
      <c r="Q482" s="17" t="e">
        <f ca="1"/>
        <v>#N/A</v>
      </c>
      <c r="R482" s="23" t="e">
        <f ca="1"/>
        <v>#N/A</v>
      </c>
      <c r="S482" s="23">
        <f t="shared" ca="1" si="116"/>
        <v>0</v>
      </c>
      <c r="T482" t="b">
        <f t="shared" ca="1" si="113"/>
        <v>1</v>
      </c>
      <c r="U482" s="22" t="e">
        <f t="shared" ca="1" si="109"/>
        <v>#N/A</v>
      </c>
      <c r="V482">
        <f t="shared" ca="1" si="110"/>
        <v>0</v>
      </c>
    </row>
    <row r="483" spans="2:22">
      <c r="B483">
        <f t="shared" si="114"/>
        <v>473</v>
      </c>
      <c r="C483" s="22" t="e">
        <f ca="1"/>
        <v>#N/A</v>
      </c>
      <c r="D483" s="17" t="e">
        <f ca="1"/>
        <v>#N/A</v>
      </c>
      <c r="E483" s="17" t="e">
        <f ca="1"/>
        <v>#N/A</v>
      </c>
      <c r="F483" s="23" t="e">
        <f ca="1"/>
        <v>#N/A</v>
      </c>
      <c r="G483" s="23">
        <f t="shared" ca="1" si="115"/>
        <v>0</v>
      </c>
      <c r="H483" t="b">
        <f t="shared" ca="1" si="111"/>
        <v>1</v>
      </c>
      <c r="I483" s="22" t="e">
        <f t="shared" ca="1" si="106"/>
        <v>#N/A</v>
      </c>
      <c r="J483">
        <f t="shared" ca="1" si="107"/>
        <v>0</v>
      </c>
      <c r="K483" t="e">
        <f t="shared" ca="1" si="112"/>
        <v>#N/A</v>
      </c>
      <c r="O483" s="22" t="e">
        <f t="shared" ca="1" si="108"/>
        <v>#N/A</v>
      </c>
      <c r="P483" s="17" t="e">
        <f ca="1"/>
        <v>#N/A</v>
      </c>
      <c r="Q483" s="17" t="e">
        <f ca="1"/>
        <v>#N/A</v>
      </c>
      <c r="R483" s="23" t="e">
        <f ca="1"/>
        <v>#N/A</v>
      </c>
      <c r="S483" s="23">
        <f t="shared" ca="1" si="116"/>
        <v>0</v>
      </c>
      <c r="T483" t="b">
        <f t="shared" ca="1" si="113"/>
        <v>1</v>
      </c>
      <c r="U483" s="22" t="e">
        <f t="shared" ca="1" si="109"/>
        <v>#N/A</v>
      </c>
      <c r="V483">
        <f t="shared" ca="1" si="110"/>
        <v>0</v>
      </c>
    </row>
    <row r="484" spans="2:22">
      <c r="B484">
        <f t="shared" si="114"/>
        <v>474</v>
      </c>
      <c r="C484" s="22" t="e">
        <f ca="1"/>
        <v>#N/A</v>
      </c>
      <c r="D484" s="17" t="e">
        <f ca="1"/>
        <v>#N/A</v>
      </c>
      <c r="E484" s="17" t="e">
        <f ca="1"/>
        <v>#N/A</v>
      </c>
      <c r="F484" s="23" t="e">
        <f ca="1"/>
        <v>#N/A</v>
      </c>
      <c r="G484" s="23">
        <f t="shared" ca="1" si="115"/>
        <v>0</v>
      </c>
      <c r="H484" t="b">
        <f t="shared" ca="1" si="111"/>
        <v>1</v>
      </c>
      <c r="I484" s="22" t="e">
        <f t="shared" ca="1" si="106"/>
        <v>#N/A</v>
      </c>
      <c r="J484">
        <f t="shared" ca="1" si="107"/>
        <v>0</v>
      </c>
      <c r="K484" t="e">
        <f t="shared" ca="1" si="112"/>
        <v>#N/A</v>
      </c>
      <c r="O484" s="22" t="e">
        <f t="shared" ca="1" si="108"/>
        <v>#N/A</v>
      </c>
      <c r="P484" s="17" t="e">
        <f ca="1"/>
        <v>#N/A</v>
      </c>
      <c r="Q484" s="17" t="e">
        <f ca="1"/>
        <v>#N/A</v>
      </c>
      <c r="R484" s="23" t="e">
        <f ca="1"/>
        <v>#N/A</v>
      </c>
      <c r="S484" s="23">
        <f t="shared" ca="1" si="116"/>
        <v>0</v>
      </c>
      <c r="T484" t="b">
        <f t="shared" ca="1" si="113"/>
        <v>1</v>
      </c>
      <c r="U484" s="22" t="e">
        <f t="shared" ca="1" si="109"/>
        <v>#N/A</v>
      </c>
      <c r="V484">
        <f t="shared" ca="1" si="110"/>
        <v>0</v>
      </c>
    </row>
    <row r="485" spans="2:22">
      <c r="B485">
        <f t="shared" si="114"/>
        <v>475</v>
      </c>
      <c r="C485" s="22" t="e">
        <f ca="1"/>
        <v>#N/A</v>
      </c>
      <c r="D485" s="17" t="e">
        <f ca="1"/>
        <v>#N/A</v>
      </c>
      <c r="E485" s="17" t="e">
        <f ca="1"/>
        <v>#N/A</v>
      </c>
      <c r="F485" s="23" t="e">
        <f ca="1"/>
        <v>#N/A</v>
      </c>
      <c r="G485" s="23">
        <f t="shared" ca="1" si="115"/>
        <v>0</v>
      </c>
      <c r="H485" t="b">
        <f t="shared" ca="1" si="111"/>
        <v>1</v>
      </c>
      <c r="I485" s="22" t="e">
        <f t="shared" ca="1" si="106"/>
        <v>#N/A</v>
      </c>
      <c r="J485">
        <f t="shared" ca="1" si="107"/>
        <v>0</v>
      </c>
      <c r="K485" t="e">
        <f t="shared" ca="1" si="112"/>
        <v>#N/A</v>
      </c>
      <c r="O485" s="22" t="e">
        <f t="shared" ca="1" si="108"/>
        <v>#N/A</v>
      </c>
      <c r="P485" s="17" t="e">
        <f ca="1"/>
        <v>#N/A</v>
      </c>
      <c r="Q485" s="17" t="e">
        <f ca="1"/>
        <v>#N/A</v>
      </c>
      <c r="R485" s="23" t="e">
        <f ca="1"/>
        <v>#N/A</v>
      </c>
      <c r="S485" s="23">
        <f t="shared" ca="1" si="116"/>
        <v>0</v>
      </c>
      <c r="T485" t="b">
        <f t="shared" ca="1" si="113"/>
        <v>1</v>
      </c>
      <c r="U485" s="22" t="e">
        <f t="shared" ca="1" si="109"/>
        <v>#N/A</v>
      </c>
      <c r="V485">
        <f t="shared" ca="1" si="110"/>
        <v>0</v>
      </c>
    </row>
    <row r="486" spans="2:22">
      <c r="B486">
        <f t="shared" si="114"/>
        <v>476</v>
      </c>
      <c r="C486" s="22" t="e">
        <f ca="1"/>
        <v>#N/A</v>
      </c>
      <c r="D486" s="17" t="e">
        <f ca="1"/>
        <v>#N/A</v>
      </c>
      <c r="E486" s="17" t="e">
        <f ca="1"/>
        <v>#N/A</v>
      </c>
      <c r="F486" s="23" t="e">
        <f ca="1"/>
        <v>#N/A</v>
      </c>
      <c r="G486" s="23">
        <f t="shared" ca="1" si="115"/>
        <v>0</v>
      </c>
      <c r="H486" t="b">
        <f t="shared" ca="1" si="111"/>
        <v>1</v>
      </c>
      <c r="I486" s="22" t="e">
        <f t="shared" ca="1" si="106"/>
        <v>#N/A</v>
      </c>
      <c r="J486">
        <f t="shared" ca="1" si="107"/>
        <v>0</v>
      </c>
      <c r="K486" t="e">
        <f t="shared" ca="1" si="112"/>
        <v>#N/A</v>
      </c>
      <c r="O486" s="22" t="e">
        <f t="shared" ca="1" si="108"/>
        <v>#N/A</v>
      </c>
      <c r="P486" s="17" t="e">
        <f ca="1"/>
        <v>#N/A</v>
      </c>
      <c r="Q486" s="17" t="e">
        <f ca="1"/>
        <v>#N/A</v>
      </c>
      <c r="R486" s="23" t="e">
        <f ca="1"/>
        <v>#N/A</v>
      </c>
      <c r="S486" s="23">
        <f t="shared" ca="1" si="116"/>
        <v>0</v>
      </c>
      <c r="T486" t="b">
        <f t="shared" ca="1" si="113"/>
        <v>1</v>
      </c>
      <c r="U486" s="22" t="e">
        <f t="shared" ca="1" si="109"/>
        <v>#N/A</v>
      </c>
      <c r="V486">
        <f t="shared" ca="1" si="110"/>
        <v>0</v>
      </c>
    </row>
    <row r="487" spans="2:22">
      <c r="B487">
        <f t="shared" si="114"/>
        <v>477</v>
      </c>
      <c r="C487" s="22" t="e">
        <f ca="1"/>
        <v>#N/A</v>
      </c>
      <c r="D487" s="17" t="e">
        <f ca="1"/>
        <v>#N/A</v>
      </c>
      <c r="E487" s="17" t="e">
        <f ca="1"/>
        <v>#N/A</v>
      </c>
      <c r="F487" s="23" t="e">
        <f ca="1"/>
        <v>#N/A</v>
      </c>
      <c r="G487" s="23">
        <f t="shared" ca="1" si="115"/>
        <v>0</v>
      </c>
      <c r="H487" t="b">
        <f t="shared" ca="1" si="111"/>
        <v>1</v>
      </c>
      <c r="I487" s="22" t="e">
        <f t="shared" ca="1" si="106"/>
        <v>#N/A</v>
      </c>
      <c r="J487">
        <f t="shared" ca="1" si="107"/>
        <v>0</v>
      </c>
      <c r="K487" t="e">
        <f t="shared" ca="1" si="112"/>
        <v>#N/A</v>
      </c>
      <c r="O487" s="22" t="e">
        <f t="shared" ca="1" si="108"/>
        <v>#N/A</v>
      </c>
      <c r="P487" s="17" t="e">
        <f ca="1"/>
        <v>#N/A</v>
      </c>
      <c r="Q487" s="17" t="e">
        <f ca="1"/>
        <v>#N/A</v>
      </c>
      <c r="R487" s="23" t="e">
        <f ca="1"/>
        <v>#N/A</v>
      </c>
      <c r="S487" s="23">
        <f t="shared" ca="1" si="116"/>
        <v>0</v>
      </c>
      <c r="T487" t="b">
        <f t="shared" ca="1" si="113"/>
        <v>1</v>
      </c>
      <c r="U487" s="22" t="e">
        <f t="shared" ca="1" si="109"/>
        <v>#N/A</v>
      </c>
      <c r="V487">
        <f t="shared" ca="1" si="110"/>
        <v>0</v>
      </c>
    </row>
    <row r="488" spans="2:22">
      <c r="B488">
        <f t="shared" si="114"/>
        <v>478</v>
      </c>
      <c r="C488" s="22" t="e">
        <f ca="1"/>
        <v>#N/A</v>
      </c>
      <c r="D488" s="17" t="e">
        <f ca="1"/>
        <v>#N/A</v>
      </c>
      <c r="E488" s="17" t="e">
        <f ca="1"/>
        <v>#N/A</v>
      </c>
      <c r="F488" s="23" t="e">
        <f ca="1"/>
        <v>#N/A</v>
      </c>
      <c r="G488" s="23">
        <f t="shared" ca="1" si="115"/>
        <v>0</v>
      </c>
      <c r="H488" t="b">
        <f t="shared" ca="1" si="111"/>
        <v>1</v>
      </c>
      <c r="I488" s="22" t="e">
        <f t="shared" ca="1" si="106"/>
        <v>#N/A</v>
      </c>
      <c r="J488">
        <f t="shared" ca="1" si="107"/>
        <v>0</v>
      </c>
      <c r="K488" t="e">
        <f t="shared" ca="1" si="112"/>
        <v>#N/A</v>
      </c>
      <c r="O488" s="22" t="e">
        <f t="shared" ca="1" si="108"/>
        <v>#N/A</v>
      </c>
      <c r="P488" s="17" t="e">
        <f ca="1"/>
        <v>#N/A</v>
      </c>
      <c r="Q488" s="17" t="e">
        <f ca="1"/>
        <v>#N/A</v>
      </c>
      <c r="R488" s="23" t="e">
        <f ca="1"/>
        <v>#N/A</v>
      </c>
      <c r="S488" s="23">
        <f t="shared" ca="1" si="116"/>
        <v>0</v>
      </c>
      <c r="T488" t="b">
        <f t="shared" ca="1" si="113"/>
        <v>1</v>
      </c>
      <c r="U488" s="22" t="e">
        <f t="shared" ca="1" si="109"/>
        <v>#N/A</v>
      </c>
      <c r="V488">
        <f t="shared" ca="1" si="110"/>
        <v>0</v>
      </c>
    </row>
    <row r="489" spans="2:22">
      <c r="B489">
        <f t="shared" si="114"/>
        <v>479</v>
      </c>
      <c r="C489" s="22" t="e">
        <f ca="1"/>
        <v>#N/A</v>
      </c>
      <c r="D489" s="17" t="e">
        <f ca="1"/>
        <v>#N/A</v>
      </c>
      <c r="E489" s="17" t="e">
        <f ca="1"/>
        <v>#N/A</v>
      </c>
      <c r="F489" s="23" t="e">
        <f ca="1"/>
        <v>#N/A</v>
      </c>
      <c r="G489" s="23">
        <f t="shared" ca="1" si="115"/>
        <v>0</v>
      </c>
      <c r="H489" t="b">
        <f t="shared" ca="1" si="111"/>
        <v>1</v>
      </c>
      <c r="I489" s="22" t="e">
        <f t="shared" ca="1" si="106"/>
        <v>#N/A</v>
      </c>
      <c r="J489">
        <f t="shared" ca="1" si="107"/>
        <v>0</v>
      </c>
      <c r="K489" t="e">
        <f t="shared" ca="1" si="112"/>
        <v>#N/A</v>
      </c>
      <c r="O489" s="22" t="e">
        <f t="shared" ca="1" si="108"/>
        <v>#N/A</v>
      </c>
      <c r="P489" s="17" t="e">
        <f ca="1"/>
        <v>#N/A</v>
      </c>
      <c r="Q489" s="17" t="e">
        <f ca="1"/>
        <v>#N/A</v>
      </c>
      <c r="R489" s="23" t="e">
        <f ca="1"/>
        <v>#N/A</v>
      </c>
      <c r="S489" s="23">
        <f t="shared" ca="1" si="116"/>
        <v>0</v>
      </c>
      <c r="T489" t="b">
        <f t="shared" ca="1" si="113"/>
        <v>1</v>
      </c>
      <c r="U489" s="22" t="e">
        <f t="shared" ca="1" si="109"/>
        <v>#N/A</v>
      </c>
      <c r="V489">
        <f t="shared" ca="1" si="110"/>
        <v>0</v>
      </c>
    </row>
    <row r="490" spans="2:22">
      <c r="B490">
        <f t="shared" si="114"/>
        <v>480</v>
      </c>
      <c r="C490" s="22" t="e">
        <f ca="1"/>
        <v>#N/A</v>
      </c>
      <c r="D490" s="17" t="e">
        <f ca="1"/>
        <v>#N/A</v>
      </c>
      <c r="E490" s="17" t="e">
        <f ca="1"/>
        <v>#N/A</v>
      </c>
      <c r="F490" s="23" t="e">
        <f ca="1"/>
        <v>#N/A</v>
      </c>
      <c r="G490" s="23">
        <f t="shared" ca="1" si="115"/>
        <v>0</v>
      </c>
      <c r="H490" t="b">
        <f t="shared" ca="1" si="111"/>
        <v>1</v>
      </c>
      <c r="I490" s="22" t="e">
        <f t="shared" ca="1" si="106"/>
        <v>#N/A</v>
      </c>
      <c r="J490">
        <f t="shared" ca="1" si="107"/>
        <v>0</v>
      </c>
      <c r="K490" t="e">
        <f t="shared" ca="1" si="112"/>
        <v>#N/A</v>
      </c>
      <c r="O490" s="22" t="e">
        <f t="shared" ca="1" si="108"/>
        <v>#N/A</v>
      </c>
      <c r="P490" s="17" t="e">
        <f ca="1"/>
        <v>#N/A</v>
      </c>
      <c r="Q490" s="17" t="e">
        <f ca="1"/>
        <v>#N/A</v>
      </c>
      <c r="R490" s="23" t="e">
        <f ca="1"/>
        <v>#N/A</v>
      </c>
      <c r="S490" s="23">
        <f t="shared" ca="1" si="116"/>
        <v>0</v>
      </c>
      <c r="T490" t="b">
        <f t="shared" ca="1" si="113"/>
        <v>1</v>
      </c>
      <c r="U490" s="22" t="e">
        <f t="shared" ca="1" si="109"/>
        <v>#N/A</v>
      </c>
      <c r="V490">
        <f t="shared" ca="1" si="110"/>
        <v>0</v>
      </c>
    </row>
    <row r="491" spans="2:22">
      <c r="B491">
        <f t="shared" si="114"/>
        <v>481</v>
      </c>
      <c r="C491" s="22" t="e">
        <f ca="1"/>
        <v>#N/A</v>
      </c>
      <c r="D491" s="17" t="e">
        <f ca="1"/>
        <v>#N/A</v>
      </c>
      <c r="E491" s="17" t="e">
        <f ca="1"/>
        <v>#N/A</v>
      </c>
      <c r="F491" s="23" t="e">
        <f ca="1"/>
        <v>#N/A</v>
      </c>
      <c r="G491" s="23">
        <f t="shared" ca="1" si="115"/>
        <v>0</v>
      </c>
      <c r="H491" t="b">
        <f t="shared" ca="1" si="111"/>
        <v>1</v>
      </c>
      <c r="I491" s="22" t="e">
        <f t="shared" ca="1" si="106"/>
        <v>#N/A</v>
      </c>
      <c r="J491">
        <f t="shared" ca="1" si="107"/>
        <v>0</v>
      </c>
      <c r="K491" t="e">
        <f t="shared" ca="1" si="112"/>
        <v>#N/A</v>
      </c>
      <c r="O491" s="22" t="e">
        <f t="shared" ca="1" si="108"/>
        <v>#N/A</v>
      </c>
      <c r="P491" s="17" t="e">
        <f ca="1"/>
        <v>#N/A</v>
      </c>
      <c r="Q491" s="17" t="e">
        <f ca="1"/>
        <v>#N/A</v>
      </c>
      <c r="R491" s="23" t="e">
        <f ca="1"/>
        <v>#N/A</v>
      </c>
      <c r="S491" s="23">
        <f t="shared" ca="1" si="116"/>
        <v>0</v>
      </c>
      <c r="T491" t="b">
        <f t="shared" ca="1" si="113"/>
        <v>1</v>
      </c>
      <c r="U491" s="22" t="e">
        <f t="shared" ca="1" si="109"/>
        <v>#N/A</v>
      </c>
      <c r="V491">
        <f t="shared" ca="1" si="110"/>
        <v>0</v>
      </c>
    </row>
    <row r="492" spans="2:22">
      <c r="B492">
        <f t="shared" si="114"/>
        <v>482</v>
      </c>
      <c r="C492" s="22" t="e">
        <f ca="1"/>
        <v>#N/A</v>
      </c>
      <c r="D492" s="17" t="e">
        <f ca="1"/>
        <v>#N/A</v>
      </c>
      <c r="E492" s="17" t="e">
        <f ca="1"/>
        <v>#N/A</v>
      </c>
      <c r="F492" s="23" t="e">
        <f ca="1"/>
        <v>#N/A</v>
      </c>
      <c r="G492" s="23">
        <f t="shared" ca="1" si="115"/>
        <v>0</v>
      </c>
      <c r="H492" t="b">
        <f t="shared" ca="1" si="111"/>
        <v>1</v>
      </c>
      <c r="I492" s="22" t="e">
        <f t="shared" ca="1" si="106"/>
        <v>#N/A</v>
      </c>
      <c r="J492">
        <f t="shared" ca="1" si="107"/>
        <v>0</v>
      </c>
      <c r="K492" t="e">
        <f t="shared" ca="1" si="112"/>
        <v>#N/A</v>
      </c>
      <c r="O492" s="22" t="e">
        <f t="shared" ca="1" si="108"/>
        <v>#N/A</v>
      </c>
      <c r="P492" s="17" t="e">
        <f ca="1"/>
        <v>#N/A</v>
      </c>
      <c r="Q492" s="17" t="e">
        <f ca="1"/>
        <v>#N/A</v>
      </c>
      <c r="R492" s="23" t="e">
        <f ca="1"/>
        <v>#N/A</v>
      </c>
      <c r="S492" s="23">
        <f t="shared" ca="1" si="116"/>
        <v>0</v>
      </c>
      <c r="T492" t="b">
        <f t="shared" ca="1" si="113"/>
        <v>1</v>
      </c>
      <c r="U492" s="22" t="e">
        <f t="shared" ca="1" si="109"/>
        <v>#N/A</v>
      </c>
      <c r="V492">
        <f t="shared" ca="1" si="110"/>
        <v>0</v>
      </c>
    </row>
    <row r="493" spans="2:22">
      <c r="B493">
        <f t="shared" si="114"/>
        <v>483</v>
      </c>
      <c r="C493" s="22" t="e">
        <f ca="1"/>
        <v>#N/A</v>
      </c>
      <c r="D493" s="17" t="e">
        <f ca="1"/>
        <v>#N/A</v>
      </c>
      <c r="E493" s="17" t="e">
        <f ca="1"/>
        <v>#N/A</v>
      </c>
      <c r="F493" s="23" t="e">
        <f ca="1"/>
        <v>#N/A</v>
      </c>
      <c r="G493" s="23">
        <f t="shared" ca="1" si="115"/>
        <v>0</v>
      </c>
      <c r="H493" t="b">
        <f t="shared" ca="1" si="111"/>
        <v>1</v>
      </c>
      <c r="I493" s="22" t="e">
        <f t="shared" ca="1" si="106"/>
        <v>#N/A</v>
      </c>
      <c r="J493">
        <f t="shared" ca="1" si="107"/>
        <v>0</v>
      </c>
      <c r="K493" t="e">
        <f t="shared" ca="1" si="112"/>
        <v>#N/A</v>
      </c>
      <c r="O493" s="22" t="e">
        <f t="shared" ca="1" si="108"/>
        <v>#N/A</v>
      </c>
      <c r="P493" s="17" t="e">
        <f ca="1"/>
        <v>#N/A</v>
      </c>
      <c r="Q493" s="17" t="e">
        <f ca="1"/>
        <v>#N/A</v>
      </c>
      <c r="R493" s="23" t="e">
        <f ca="1"/>
        <v>#N/A</v>
      </c>
      <c r="S493" s="23">
        <f t="shared" ca="1" si="116"/>
        <v>0</v>
      </c>
      <c r="T493" t="b">
        <f t="shared" ca="1" si="113"/>
        <v>1</v>
      </c>
      <c r="U493" s="22" t="e">
        <f t="shared" ca="1" si="109"/>
        <v>#N/A</v>
      </c>
      <c r="V493">
        <f t="shared" ca="1" si="110"/>
        <v>0</v>
      </c>
    </row>
    <row r="494" spans="2:22">
      <c r="B494">
        <f t="shared" si="114"/>
        <v>484</v>
      </c>
      <c r="C494" s="22" t="e">
        <f ca="1"/>
        <v>#N/A</v>
      </c>
      <c r="D494" s="17" t="e">
        <f ca="1"/>
        <v>#N/A</v>
      </c>
      <c r="E494" s="17" t="e">
        <f ca="1"/>
        <v>#N/A</v>
      </c>
      <c r="F494" s="23" t="e">
        <f ca="1"/>
        <v>#N/A</v>
      </c>
      <c r="G494" s="23">
        <f t="shared" ca="1" si="115"/>
        <v>0</v>
      </c>
      <c r="H494" t="b">
        <f t="shared" ca="1" si="111"/>
        <v>1</v>
      </c>
      <c r="I494" s="22" t="e">
        <f t="shared" ca="1" si="106"/>
        <v>#N/A</v>
      </c>
      <c r="J494">
        <f t="shared" ca="1" si="107"/>
        <v>0</v>
      </c>
      <c r="K494" t="e">
        <f t="shared" ca="1" si="112"/>
        <v>#N/A</v>
      </c>
      <c r="O494" s="22" t="e">
        <f t="shared" ca="1" si="108"/>
        <v>#N/A</v>
      </c>
      <c r="P494" s="17" t="e">
        <f ca="1"/>
        <v>#N/A</v>
      </c>
      <c r="Q494" s="17" t="e">
        <f ca="1"/>
        <v>#N/A</v>
      </c>
      <c r="R494" s="23" t="e">
        <f ca="1"/>
        <v>#N/A</v>
      </c>
      <c r="S494" s="23">
        <f t="shared" ca="1" si="116"/>
        <v>0</v>
      </c>
      <c r="T494" t="b">
        <f t="shared" ca="1" si="113"/>
        <v>1</v>
      </c>
      <c r="U494" s="22" t="e">
        <f t="shared" ca="1" si="109"/>
        <v>#N/A</v>
      </c>
      <c r="V494">
        <f t="shared" ca="1" si="110"/>
        <v>0</v>
      </c>
    </row>
    <row r="495" spans="2:22">
      <c r="B495">
        <f t="shared" si="114"/>
        <v>485</v>
      </c>
      <c r="C495" s="22" t="e">
        <f ca="1"/>
        <v>#N/A</v>
      </c>
      <c r="D495" s="17" t="e">
        <f ca="1"/>
        <v>#N/A</v>
      </c>
      <c r="E495" s="17" t="e">
        <f ca="1"/>
        <v>#N/A</v>
      </c>
      <c r="F495" s="23" t="e">
        <f ca="1"/>
        <v>#N/A</v>
      </c>
      <c r="G495" s="23">
        <f t="shared" ca="1" si="115"/>
        <v>0</v>
      </c>
      <c r="H495" t="b">
        <f t="shared" ca="1" si="111"/>
        <v>1</v>
      </c>
      <c r="I495" s="22" t="e">
        <f t="shared" ca="1" si="106"/>
        <v>#N/A</v>
      </c>
      <c r="J495">
        <f t="shared" ca="1" si="107"/>
        <v>0</v>
      </c>
      <c r="K495" t="e">
        <f t="shared" ca="1" si="112"/>
        <v>#N/A</v>
      </c>
      <c r="O495" s="22" t="e">
        <f t="shared" ca="1" si="108"/>
        <v>#N/A</v>
      </c>
      <c r="P495" s="17" t="e">
        <f ca="1"/>
        <v>#N/A</v>
      </c>
      <c r="Q495" s="17" t="e">
        <f ca="1"/>
        <v>#N/A</v>
      </c>
      <c r="R495" s="23" t="e">
        <f ca="1"/>
        <v>#N/A</v>
      </c>
      <c r="S495" s="23">
        <f t="shared" ca="1" si="116"/>
        <v>0</v>
      </c>
      <c r="T495" t="b">
        <f t="shared" ca="1" si="113"/>
        <v>1</v>
      </c>
      <c r="U495" s="22" t="e">
        <f t="shared" ca="1" si="109"/>
        <v>#N/A</v>
      </c>
      <c r="V495">
        <f t="shared" ca="1" si="110"/>
        <v>0</v>
      </c>
    </row>
    <row r="496" spans="2:22">
      <c r="B496">
        <f t="shared" si="114"/>
        <v>486</v>
      </c>
      <c r="C496" s="22" t="e">
        <f ca="1"/>
        <v>#N/A</v>
      </c>
      <c r="D496" s="17" t="e">
        <f ca="1"/>
        <v>#N/A</v>
      </c>
      <c r="E496" s="17" t="e">
        <f ca="1"/>
        <v>#N/A</v>
      </c>
      <c r="F496" s="23" t="e">
        <f ca="1"/>
        <v>#N/A</v>
      </c>
      <c r="G496" s="23">
        <f t="shared" ca="1" si="115"/>
        <v>0</v>
      </c>
      <c r="H496" t="b">
        <f t="shared" ca="1" si="111"/>
        <v>1</v>
      </c>
      <c r="I496" s="22" t="e">
        <f t="shared" ca="1" si="106"/>
        <v>#N/A</v>
      </c>
      <c r="J496">
        <f t="shared" ca="1" si="107"/>
        <v>0</v>
      </c>
      <c r="K496" t="e">
        <f t="shared" ca="1" si="112"/>
        <v>#N/A</v>
      </c>
      <c r="O496" s="22" t="e">
        <f t="shared" ca="1" si="108"/>
        <v>#N/A</v>
      </c>
      <c r="P496" s="17" t="e">
        <f ca="1"/>
        <v>#N/A</v>
      </c>
      <c r="Q496" s="17" t="e">
        <f ca="1"/>
        <v>#N/A</v>
      </c>
      <c r="R496" s="23" t="e">
        <f ca="1"/>
        <v>#N/A</v>
      </c>
      <c r="S496" s="23">
        <f t="shared" ca="1" si="116"/>
        <v>0</v>
      </c>
      <c r="T496" t="b">
        <f t="shared" ca="1" si="113"/>
        <v>1</v>
      </c>
      <c r="U496" s="22" t="e">
        <f t="shared" ca="1" si="109"/>
        <v>#N/A</v>
      </c>
      <c r="V496">
        <f t="shared" ca="1" si="110"/>
        <v>0</v>
      </c>
    </row>
    <row r="497" spans="2:22">
      <c r="B497">
        <f t="shared" si="114"/>
        <v>487</v>
      </c>
      <c r="C497" s="22" t="e">
        <f ca="1"/>
        <v>#N/A</v>
      </c>
      <c r="D497" s="17" t="e">
        <f ca="1"/>
        <v>#N/A</v>
      </c>
      <c r="E497" s="17" t="e">
        <f ca="1"/>
        <v>#N/A</v>
      </c>
      <c r="F497" s="23" t="e">
        <f ca="1"/>
        <v>#N/A</v>
      </c>
      <c r="G497" s="23">
        <f t="shared" ca="1" si="115"/>
        <v>0</v>
      </c>
      <c r="H497" t="b">
        <f t="shared" ca="1" si="111"/>
        <v>1</v>
      </c>
      <c r="I497" s="22" t="e">
        <f t="shared" ca="1" si="106"/>
        <v>#N/A</v>
      </c>
      <c r="J497">
        <f t="shared" ca="1" si="107"/>
        <v>0</v>
      </c>
      <c r="K497" t="e">
        <f t="shared" ca="1" si="112"/>
        <v>#N/A</v>
      </c>
      <c r="O497" s="22" t="e">
        <f t="shared" ca="1" si="108"/>
        <v>#N/A</v>
      </c>
      <c r="P497" s="17" t="e">
        <f ca="1"/>
        <v>#N/A</v>
      </c>
      <c r="Q497" s="17" t="e">
        <f ca="1"/>
        <v>#N/A</v>
      </c>
      <c r="R497" s="23" t="e">
        <f ca="1"/>
        <v>#N/A</v>
      </c>
      <c r="S497" s="23">
        <f t="shared" ca="1" si="116"/>
        <v>0</v>
      </c>
      <c r="T497" t="b">
        <f t="shared" ca="1" si="113"/>
        <v>1</v>
      </c>
      <c r="U497" s="22" t="e">
        <f t="shared" ca="1" si="109"/>
        <v>#N/A</v>
      </c>
      <c r="V497">
        <f t="shared" ca="1" si="110"/>
        <v>0</v>
      </c>
    </row>
    <row r="498" spans="2:22">
      <c r="B498">
        <f t="shared" si="114"/>
        <v>488</v>
      </c>
      <c r="C498" s="22" t="e">
        <f ca="1"/>
        <v>#N/A</v>
      </c>
      <c r="D498" s="17" t="e">
        <f ca="1"/>
        <v>#N/A</v>
      </c>
      <c r="E498" s="17" t="e">
        <f ca="1"/>
        <v>#N/A</v>
      </c>
      <c r="F498" s="23" t="e">
        <f ca="1"/>
        <v>#N/A</v>
      </c>
      <c r="G498" s="23">
        <f t="shared" ca="1" si="115"/>
        <v>0</v>
      </c>
      <c r="H498" t="b">
        <f t="shared" ca="1" si="111"/>
        <v>1</v>
      </c>
      <c r="I498" s="22" t="e">
        <f t="shared" ca="1" si="106"/>
        <v>#N/A</v>
      </c>
      <c r="J498">
        <f t="shared" ca="1" si="107"/>
        <v>0</v>
      </c>
      <c r="K498" t="e">
        <f t="shared" ca="1" si="112"/>
        <v>#N/A</v>
      </c>
      <c r="O498" s="22" t="e">
        <f t="shared" ca="1" si="108"/>
        <v>#N/A</v>
      </c>
      <c r="P498" s="17" t="e">
        <f ca="1"/>
        <v>#N/A</v>
      </c>
      <c r="Q498" s="17" t="e">
        <f ca="1"/>
        <v>#N/A</v>
      </c>
      <c r="R498" s="23" t="e">
        <f ca="1"/>
        <v>#N/A</v>
      </c>
      <c r="S498" s="23">
        <f t="shared" ca="1" si="116"/>
        <v>0</v>
      </c>
      <c r="T498" t="b">
        <f t="shared" ca="1" si="113"/>
        <v>1</v>
      </c>
      <c r="U498" s="22" t="e">
        <f t="shared" ca="1" si="109"/>
        <v>#N/A</v>
      </c>
      <c r="V498">
        <f t="shared" ca="1" si="110"/>
        <v>0</v>
      </c>
    </row>
    <row r="499" spans="2:22">
      <c r="B499">
        <f t="shared" si="114"/>
        <v>489</v>
      </c>
      <c r="C499" s="22" t="e">
        <f ca="1"/>
        <v>#N/A</v>
      </c>
      <c r="D499" s="17" t="e">
        <f ca="1"/>
        <v>#N/A</v>
      </c>
      <c r="E499" s="17" t="e">
        <f ca="1"/>
        <v>#N/A</v>
      </c>
      <c r="F499" s="23" t="e">
        <f ca="1"/>
        <v>#N/A</v>
      </c>
      <c r="G499" s="23">
        <f t="shared" ca="1" si="115"/>
        <v>0</v>
      </c>
      <c r="H499" t="b">
        <f t="shared" ca="1" si="111"/>
        <v>1</v>
      </c>
      <c r="I499" s="22" t="e">
        <f t="shared" ca="1" si="106"/>
        <v>#N/A</v>
      </c>
      <c r="J499">
        <f t="shared" ca="1" si="107"/>
        <v>0</v>
      </c>
      <c r="K499" t="e">
        <f t="shared" ca="1" si="112"/>
        <v>#N/A</v>
      </c>
      <c r="O499" s="22" t="e">
        <f t="shared" ca="1" si="108"/>
        <v>#N/A</v>
      </c>
      <c r="P499" s="17" t="e">
        <f ca="1"/>
        <v>#N/A</v>
      </c>
      <c r="Q499" s="17" t="e">
        <f ca="1"/>
        <v>#N/A</v>
      </c>
      <c r="R499" s="23" t="e">
        <f ca="1"/>
        <v>#N/A</v>
      </c>
      <c r="S499" s="23">
        <f t="shared" ca="1" si="116"/>
        <v>0</v>
      </c>
      <c r="T499" t="b">
        <f t="shared" ca="1" si="113"/>
        <v>1</v>
      </c>
      <c r="U499" s="22" t="e">
        <f t="shared" ca="1" si="109"/>
        <v>#N/A</v>
      </c>
      <c r="V499">
        <f t="shared" ca="1" si="110"/>
        <v>0</v>
      </c>
    </row>
    <row r="500" spans="2:22">
      <c r="B500">
        <f t="shared" si="114"/>
        <v>490</v>
      </c>
      <c r="C500" s="22" t="e">
        <f ca="1"/>
        <v>#N/A</v>
      </c>
      <c r="D500" s="17" t="e">
        <f ca="1"/>
        <v>#N/A</v>
      </c>
      <c r="E500" s="17" t="e">
        <f ca="1"/>
        <v>#N/A</v>
      </c>
      <c r="F500" s="23" t="e">
        <f ca="1"/>
        <v>#N/A</v>
      </c>
      <c r="G500" s="23">
        <f t="shared" ca="1" si="115"/>
        <v>0</v>
      </c>
      <c r="H500" t="b">
        <f t="shared" ca="1" si="111"/>
        <v>1</v>
      </c>
      <c r="I500" s="22" t="e">
        <f t="shared" ca="1" si="106"/>
        <v>#N/A</v>
      </c>
      <c r="J500">
        <f t="shared" ca="1" si="107"/>
        <v>0</v>
      </c>
      <c r="K500" t="e">
        <f t="shared" ca="1" si="112"/>
        <v>#N/A</v>
      </c>
      <c r="O500" s="22" t="e">
        <f t="shared" ca="1" si="108"/>
        <v>#N/A</v>
      </c>
      <c r="P500" s="17" t="e">
        <f ca="1"/>
        <v>#N/A</v>
      </c>
      <c r="Q500" s="17" t="e">
        <f ca="1"/>
        <v>#N/A</v>
      </c>
      <c r="R500" s="23" t="e">
        <f ca="1"/>
        <v>#N/A</v>
      </c>
      <c r="S500" s="23">
        <f t="shared" ca="1" si="116"/>
        <v>0</v>
      </c>
      <c r="T500" t="b">
        <f t="shared" ca="1" si="113"/>
        <v>1</v>
      </c>
      <c r="U500" s="22" t="e">
        <f t="shared" ca="1" si="109"/>
        <v>#N/A</v>
      </c>
      <c r="V500">
        <f t="shared" ca="1" si="110"/>
        <v>0</v>
      </c>
    </row>
    <row r="501" spans="2:22">
      <c r="B501">
        <f t="shared" si="114"/>
        <v>491</v>
      </c>
      <c r="C501" s="22" t="e">
        <f ca="1"/>
        <v>#N/A</v>
      </c>
      <c r="D501" s="17" t="e">
        <f ca="1"/>
        <v>#N/A</v>
      </c>
      <c r="E501" s="17" t="e">
        <f ca="1"/>
        <v>#N/A</v>
      </c>
      <c r="F501" s="23" t="e">
        <f ca="1"/>
        <v>#N/A</v>
      </c>
      <c r="G501" s="23">
        <f t="shared" ca="1" si="115"/>
        <v>0</v>
      </c>
      <c r="H501" t="b">
        <f t="shared" ca="1" si="111"/>
        <v>1</v>
      </c>
      <c r="I501" s="22" t="e">
        <f t="shared" ca="1" si="106"/>
        <v>#N/A</v>
      </c>
      <c r="J501">
        <f t="shared" ca="1" si="107"/>
        <v>0</v>
      </c>
      <c r="K501" t="e">
        <f t="shared" ca="1" si="112"/>
        <v>#N/A</v>
      </c>
      <c r="O501" s="22" t="e">
        <f t="shared" ca="1" si="108"/>
        <v>#N/A</v>
      </c>
      <c r="P501" s="17" t="e">
        <f ca="1"/>
        <v>#N/A</v>
      </c>
      <c r="Q501" s="17" t="e">
        <f ca="1"/>
        <v>#N/A</v>
      </c>
      <c r="R501" s="23" t="e">
        <f ca="1"/>
        <v>#N/A</v>
      </c>
      <c r="S501" s="23">
        <f t="shared" ca="1" si="116"/>
        <v>0</v>
      </c>
      <c r="T501" t="b">
        <f t="shared" ca="1" si="113"/>
        <v>1</v>
      </c>
      <c r="U501" s="22" t="e">
        <f t="shared" ca="1" si="109"/>
        <v>#N/A</v>
      </c>
      <c r="V501">
        <f t="shared" ca="1" si="110"/>
        <v>0</v>
      </c>
    </row>
    <row r="502" spans="2:22">
      <c r="B502">
        <f t="shared" si="114"/>
        <v>492</v>
      </c>
      <c r="C502" s="22" t="e">
        <f ca="1"/>
        <v>#N/A</v>
      </c>
      <c r="D502" s="17" t="e">
        <f ca="1"/>
        <v>#N/A</v>
      </c>
      <c r="E502" s="17" t="e">
        <f ca="1"/>
        <v>#N/A</v>
      </c>
      <c r="F502" s="23" t="e">
        <f ca="1"/>
        <v>#N/A</v>
      </c>
      <c r="G502" s="23">
        <f t="shared" ca="1" si="115"/>
        <v>0</v>
      </c>
      <c r="H502" t="b">
        <f t="shared" ca="1" si="111"/>
        <v>1</v>
      </c>
      <c r="I502" s="22" t="e">
        <f t="shared" ca="1" si="106"/>
        <v>#N/A</v>
      </c>
      <c r="J502">
        <f t="shared" ca="1" si="107"/>
        <v>0</v>
      </c>
      <c r="K502" t="e">
        <f t="shared" ca="1" si="112"/>
        <v>#N/A</v>
      </c>
      <c r="O502" s="22" t="e">
        <f t="shared" ca="1" si="108"/>
        <v>#N/A</v>
      </c>
      <c r="P502" s="17" t="e">
        <f ca="1"/>
        <v>#N/A</v>
      </c>
      <c r="Q502" s="17" t="e">
        <f ca="1"/>
        <v>#N/A</v>
      </c>
      <c r="R502" s="23" t="e">
        <f ca="1"/>
        <v>#N/A</v>
      </c>
      <c r="S502" s="23">
        <f t="shared" ca="1" si="116"/>
        <v>0</v>
      </c>
      <c r="T502" t="b">
        <f t="shared" ca="1" si="113"/>
        <v>1</v>
      </c>
      <c r="U502" s="22" t="e">
        <f t="shared" ca="1" si="109"/>
        <v>#N/A</v>
      </c>
      <c r="V502">
        <f t="shared" ca="1" si="110"/>
        <v>0</v>
      </c>
    </row>
    <row r="503" spans="2:22">
      <c r="B503">
        <f t="shared" si="114"/>
        <v>493</v>
      </c>
      <c r="C503" s="22" t="e">
        <f ca="1"/>
        <v>#N/A</v>
      </c>
      <c r="D503" s="17" t="e">
        <f ca="1"/>
        <v>#N/A</v>
      </c>
      <c r="E503" s="17" t="e">
        <f ca="1"/>
        <v>#N/A</v>
      </c>
      <c r="F503" s="23" t="e">
        <f ca="1"/>
        <v>#N/A</v>
      </c>
      <c r="G503" s="23">
        <f t="shared" ca="1" si="115"/>
        <v>0</v>
      </c>
      <c r="H503" t="b">
        <f t="shared" ca="1" si="111"/>
        <v>1</v>
      </c>
      <c r="I503" s="22" t="e">
        <f t="shared" ca="1" si="106"/>
        <v>#N/A</v>
      </c>
      <c r="J503">
        <f t="shared" ca="1" si="107"/>
        <v>0</v>
      </c>
      <c r="K503" t="e">
        <f t="shared" ca="1" si="112"/>
        <v>#N/A</v>
      </c>
      <c r="O503" s="22" t="e">
        <f t="shared" ca="1" si="108"/>
        <v>#N/A</v>
      </c>
      <c r="P503" s="17" t="e">
        <f ca="1"/>
        <v>#N/A</v>
      </c>
      <c r="Q503" s="17" t="e">
        <f ca="1"/>
        <v>#N/A</v>
      </c>
      <c r="R503" s="23" t="e">
        <f ca="1"/>
        <v>#N/A</v>
      </c>
      <c r="S503" s="23">
        <f t="shared" ca="1" si="116"/>
        <v>0</v>
      </c>
      <c r="T503" t="b">
        <f t="shared" ca="1" si="113"/>
        <v>1</v>
      </c>
      <c r="U503" s="22" t="e">
        <f t="shared" ca="1" si="109"/>
        <v>#N/A</v>
      </c>
      <c r="V503">
        <f t="shared" ca="1" si="110"/>
        <v>0</v>
      </c>
    </row>
    <row r="504" spans="2:22">
      <c r="B504">
        <f t="shared" si="114"/>
        <v>494</v>
      </c>
      <c r="C504" s="22" t="e">
        <f ca="1"/>
        <v>#N/A</v>
      </c>
      <c r="D504" s="17" t="e">
        <f ca="1"/>
        <v>#N/A</v>
      </c>
      <c r="E504" s="17" t="e">
        <f ca="1"/>
        <v>#N/A</v>
      </c>
      <c r="F504" s="23" t="e">
        <f ca="1"/>
        <v>#N/A</v>
      </c>
      <c r="G504" s="23">
        <f t="shared" ca="1" si="115"/>
        <v>0</v>
      </c>
      <c r="H504" t="b">
        <f t="shared" ca="1" si="111"/>
        <v>1</v>
      </c>
      <c r="I504" s="22" t="e">
        <f t="shared" ca="1" si="106"/>
        <v>#N/A</v>
      </c>
      <c r="J504">
        <f t="shared" ca="1" si="107"/>
        <v>0</v>
      </c>
      <c r="K504" t="e">
        <f t="shared" ca="1" si="112"/>
        <v>#N/A</v>
      </c>
      <c r="O504" s="22" t="e">
        <f t="shared" ca="1" si="108"/>
        <v>#N/A</v>
      </c>
      <c r="P504" s="17" t="e">
        <f ca="1"/>
        <v>#N/A</v>
      </c>
      <c r="Q504" s="17" t="e">
        <f ca="1"/>
        <v>#N/A</v>
      </c>
      <c r="R504" s="23" t="e">
        <f ca="1"/>
        <v>#N/A</v>
      </c>
      <c r="S504" s="23">
        <f t="shared" ca="1" si="116"/>
        <v>0</v>
      </c>
      <c r="T504" t="b">
        <f t="shared" ca="1" si="113"/>
        <v>1</v>
      </c>
      <c r="U504" s="22" t="e">
        <f t="shared" ca="1" si="109"/>
        <v>#N/A</v>
      </c>
      <c r="V504">
        <f t="shared" ca="1" si="110"/>
        <v>0</v>
      </c>
    </row>
    <row r="505" spans="2:22">
      <c r="B505">
        <f t="shared" si="114"/>
        <v>495</v>
      </c>
      <c r="C505" s="22" t="e">
        <f ca="1"/>
        <v>#N/A</v>
      </c>
      <c r="D505" s="17" t="e">
        <f ca="1"/>
        <v>#N/A</v>
      </c>
      <c r="E505" s="17" t="e">
        <f ca="1"/>
        <v>#N/A</v>
      </c>
      <c r="F505" s="23" t="e">
        <f ca="1"/>
        <v>#N/A</v>
      </c>
      <c r="G505" s="23">
        <f t="shared" ca="1" si="115"/>
        <v>0</v>
      </c>
      <c r="H505" t="b">
        <f t="shared" ca="1" si="111"/>
        <v>1</v>
      </c>
      <c r="I505" s="22" t="e">
        <f t="shared" ca="1" si="106"/>
        <v>#N/A</v>
      </c>
      <c r="J505">
        <f t="shared" ca="1" si="107"/>
        <v>0</v>
      </c>
      <c r="K505" t="e">
        <f t="shared" ca="1" si="112"/>
        <v>#N/A</v>
      </c>
      <c r="O505" s="22" t="e">
        <f t="shared" ca="1" si="108"/>
        <v>#N/A</v>
      </c>
      <c r="P505" s="17" t="e">
        <f ca="1"/>
        <v>#N/A</v>
      </c>
      <c r="Q505" s="17" t="e">
        <f ca="1"/>
        <v>#N/A</v>
      </c>
      <c r="R505" s="23" t="e">
        <f ca="1"/>
        <v>#N/A</v>
      </c>
      <c r="S505" s="23">
        <f t="shared" ca="1" si="116"/>
        <v>0</v>
      </c>
      <c r="T505" t="b">
        <f t="shared" ca="1" si="113"/>
        <v>1</v>
      </c>
      <c r="U505" s="22" t="e">
        <f t="shared" ca="1" si="109"/>
        <v>#N/A</v>
      </c>
      <c r="V505">
        <f t="shared" ca="1" si="110"/>
        <v>0</v>
      </c>
    </row>
    <row r="506" spans="2:22">
      <c r="B506">
        <f t="shared" si="114"/>
        <v>496</v>
      </c>
      <c r="C506" s="22" t="e">
        <f ca="1"/>
        <v>#N/A</v>
      </c>
      <c r="D506" s="17" t="e">
        <f ca="1"/>
        <v>#N/A</v>
      </c>
      <c r="E506" s="17" t="e">
        <f ca="1"/>
        <v>#N/A</v>
      </c>
      <c r="F506" s="23" t="e">
        <f ca="1"/>
        <v>#N/A</v>
      </c>
      <c r="G506" s="23">
        <f t="shared" ca="1" si="115"/>
        <v>0</v>
      </c>
      <c r="H506" t="b">
        <f t="shared" ca="1" si="111"/>
        <v>1</v>
      </c>
      <c r="I506" s="22" t="e">
        <f t="shared" ca="1" si="106"/>
        <v>#N/A</v>
      </c>
      <c r="J506">
        <f t="shared" ca="1" si="107"/>
        <v>0</v>
      </c>
      <c r="K506" t="e">
        <f t="shared" ca="1" si="112"/>
        <v>#N/A</v>
      </c>
      <c r="O506" s="22" t="e">
        <f t="shared" ca="1" si="108"/>
        <v>#N/A</v>
      </c>
      <c r="P506" s="17" t="e">
        <f ca="1"/>
        <v>#N/A</v>
      </c>
      <c r="Q506" s="17" t="e">
        <f ca="1"/>
        <v>#N/A</v>
      </c>
      <c r="R506" s="23" t="e">
        <f ca="1"/>
        <v>#N/A</v>
      </c>
      <c r="S506" s="23">
        <f t="shared" ca="1" si="116"/>
        <v>0</v>
      </c>
      <c r="T506" t="b">
        <f t="shared" ca="1" si="113"/>
        <v>1</v>
      </c>
      <c r="U506" s="22" t="e">
        <f t="shared" ca="1" si="109"/>
        <v>#N/A</v>
      </c>
      <c r="V506">
        <f t="shared" ca="1" si="110"/>
        <v>0</v>
      </c>
    </row>
    <row r="507" spans="2:22">
      <c r="B507">
        <f t="shared" si="114"/>
        <v>497</v>
      </c>
      <c r="C507" s="22" t="e">
        <f ca="1"/>
        <v>#N/A</v>
      </c>
      <c r="D507" s="17" t="e">
        <f ca="1"/>
        <v>#N/A</v>
      </c>
      <c r="E507" s="17" t="e">
        <f ca="1"/>
        <v>#N/A</v>
      </c>
      <c r="F507" s="23" t="e">
        <f ca="1"/>
        <v>#N/A</v>
      </c>
      <c r="G507" s="23">
        <f t="shared" ca="1" si="115"/>
        <v>0</v>
      </c>
      <c r="H507" t="b">
        <f t="shared" ca="1" si="111"/>
        <v>1</v>
      </c>
      <c r="I507" s="22" t="e">
        <f t="shared" ca="1" si="106"/>
        <v>#N/A</v>
      </c>
      <c r="J507">
        <f t="shared" ca="1" si="107"/>
        <v>0</v>
      </c>
      <c r="K507" t="e">
        <f t="shared" ca="1" si="112"/>
        <v>#N/A</v>
      </c>
      <c r="O507" s="22" t="e">
        <f t="shared" ca="1" si="108"/>
        <v>#N/A</v>
      </c>
      <c r="P507" s="17" t="e">
        <f ca="1"/>
        <v>#N/A</v>
      </c>
      <c r="Q507" s="17" t="e">
        <f ca="1"/>
        <v>#N/A</v>
      </c>
      <c r="R507" s="23" t="e">
        <f ca="1"/>
        <v>#N/A</v>
      </c>
      <c r="S507" s="23">
        <f t="shared" ca="1" si="116"/>
        <v>0</v>
      </c>
      <c r="T507" t="b">
        <f t="shared" ca="1" si="113"/>
        <v>1</v>
      </c>
      <c r="U507" s="22" t="e">
        <f t="shared" ca="1" si="109"/>
        <v>#N/A</v>
      </c>
      <c r="V507">
        <f t="shared" ca="1" si="110"/>
        <v>0</v>
      </c>
    </row>
    <row r="508" spans="2:22">
      <c r="B508">
        <f t="shared" si="114"/>
        <v>498</v>
      </c>
      <c r="C508" s="22" t="e">
        <f ca="1"/>
        <v>#N/A</v>
      </c>
      <c r="D508" s="17" t="e">
        <f ca="1"/>
        <v>#N/A</v>
      </c>
      <c r="E508" s="17" t="e">
        <f ca="1"/>
        <v>#N/A</v>
      </c>
      <c r="F508" s="23" t="e">
        <f ca="1"/>
        <v>#N/A</v>
      </c>
      <c r="G508" s="23">
        <f t="shared" ca="1" si="115"/>
        <v>0</v>
      </c>
      <c r="H508" t="b">
        <f t="shared" ca="1" si="111"/>
        <v>1</v>
      </c>
      <c r="I508" s="22" t="e">
        <f t="shared" ca="1" si="106"/>
        <v>#N/A</v>
      </c>
      <c r="J508">
        <f t="shared" ca="1" si="107"/>
        <v>0</v>
      </c>
      <c r="K508" t="e">
        <f t="shared" ca="1" si="112"/>
        <v>#N/A</v>
      </c>
      <c r="O508" s="22" t="e">
        <f t="shared" ca="1" si="108"/>
        <v>#N/A</v>
      </c>
      <c r="P508" s="17" t="e">
        <f ca="1"/>
        <v>#N/A</v>
      </c>
      <c r="Q508" s="17" t="e">
        <f ca="1"/>
        <v>#N/A</v>
      </c>
      <c r="R508" s="23" t="e">
        <f ca="1"/>
        <v>#N/A</v>
      </c>
      <c r="S508" s="23">
        <f t="shared" ca="1" si="116"/>
        <v>0</v>
      </c>
      <c r="T508" t="b">
        <f t="shared" ca="1" si="113"/>
        <v>1</v>
      </c>
      <c r="U508" s="22" t="e">
        <f t="shared" ca="1" si="109"/>
        <v>#N/A</v>
      </c>
      <c r="V508">
        <f t="shared" ca="1" si="110"/>
        <v>0</v>
      </c>
    </row>
    <row r="509" spans="2:22">
      <c r="B509">
        <f t="shared" si="114"/>
        <v>499</v>
      </c>
      <c r="C509" s="22" t="e">
        <f ca="1"/>
        <v>#N/A</v>
      </c>
      <c r="D509" s="17" t="e">
        <f ca="1"/>
        <v>#N/A</v>
      </c>
      <c r="E509" s="17" t="e">
        <f ca="1"/>
        <v>#N/A</v>
      </c>
      <c r="F509" s="23" t="e">
        <f ca="1"/>
        <v>#N/A</v>
      </c>
      <c r="G509" s="23">
        <f t="shared" ca="1" si="115"/>
        <v>0</v>
      </c>
      <c r="H509" t="b">
        <f t="shared" ca="1" si="111"/>
        <v>1</v>
      </c>
      <c r="I509" s="22" t="e">
        <f t="shared" ca="1" si="106"/>
        <v>#N/A</v>
      </c>
      <c r="J509">
        <f t="shared" ca="1" si="107"/>
        <v>0</v>
      </c>
      <c r="K509" t="e">
        <f t="shared" ca="1" si="112"/>
        <v>#N/A</v>
      </c>
      <c r="O509" s="22" t="e">
        <f t="shared" ca="1" si="108"/>
        <v>#N/A</v>
      </c>
      <c r="P509" s="17" t="e">
        <f ca="1"/>
        <v>#N/A</v>
      </c>
      <c r="Q509" s="17" t="e">
        <f ca="1"/>
        <v>#N/A</v>
      </c>
      <c r="R509" s="23" t="e">
        <f ca="1"/>
        <v>#N/A</v>
      </c>
      <c r="S509" s="23">
        <f t="shared" ca="1" si="116"/>
        <v>0</v>
      </c>
      <c r="T509" t="b">
        <f t="shared" ca="1" si="113"/>
        <v>1</v>
      </c>
      <c r="U509" s="22" t="e">
        <f t="shared" ca="1" si="109"/>
        <v>#N/A</v>
      </c>
      <c r="V509">
        <f t="shared" ca="1" si="110"/>
        <v>0</v>
      </c>
    </row>
    <row r="510" spans="2:22">
      <c r="B510">
        <f t="shared" si="114"/>
        <v>500</v>
      </c>
      <c r="C510" s="22" t="e">
        <f ca="1"/>
        <v>#N/A</v>
      </c>
      <c r="D510" s="17" t="e">
        <f ca="1"/>
        <v>#N/A</v>
      </c>
      <c r="E510" s="17" t="e">
        <f ca="1"/>
        <v>#N/A</v>
      </c>
      <c r="F510" s="23" t="e">
        <f ca="1"/>
        <v>#N/A</v>
      </c>
      <c r="G510" s="23">
        <f t="shared" ca="1" si="115"/>
        <v>0</v>
      </c>
      <c r="H510" t="b">
        <f t="shared" ca="1" si="111"/>
        <v>1</v>
      </c>
      <c r="I510" s="22" t="e">
        <f t="shared" ca="1" si="106"/>
        <v>#N/A</v>
      </c>
      <c r="J510">
        <f t="shared" ca="1" si="107"/>
        <v>0</v>
      </c>
      <c r="K510" t="e">
        <f t="shared" ca="1" si="112"/>
        <v>#N/A</v>
      </c>
      <c r="O510" s="22" t="e">
        <f t="shared" ca="1" si="108"/>
        <v>#N/A</v>
      </c>
      <c r="P510" s="17" t="e">
        <f ca="1"/>
        <v>#N/A</v>
      </c>
      <c r="Q510" s="17" t="e">
        <f ca="1"/>
        <v>#N/A</v>
      </c>
      <c r="R510" s="23" t="e">
        <f ca="1"/>
        <v>#N/A</v>
      </c>
      <c r="S510" s="23">
        <f t="shared" ca="1" si="116"/>
        <v>0</v>
      </c>
      <c r="T510" t="b">
        <f t="shared" ca="1" si="113"/>
        <v>1</v>
      </c>
      <c r="U510" s="22" t="e">
        <f t="shared" ca="1" si="109"/>
        <v>#N/A</v>
      </c>
      <c r="V510">
        <f t="shared" ca="1" si="110"/>
        <v>0</v>
      </c>
    </row>
    <row r="511" spans="2:22">
      <c r="B511">
        <f t="shared" si="114"/>
        <v>501</v>
      </c>
      <c r="C511" s="22" t="e">
        <f ca="1"/>
        <v>#N/A</v>
      </c>
      <c r="D511" s="17" t="e">
        <f ca="1"/>
        <v>#N/A</v>
      </c>
      <c r="E511" s="17" t="e">
        <f ca="1"/>
        <v>#N/A</v>
      </c>
      <c r="F511" s="23" t="e">
        <f ca="1"/>
        <v>#N/A</v>
      </c>
      <c r="G511" s="23">
        <f t="shared" ca="1" si="115"/>
        <v>0</v>
      </c>
      <c r="H511" t="b">
        <f t="shared" ca="1" si="111"/>
        <v>1</v>
      </c>
      <c r="I511" s="22" t="e">
        <f t="shared" ca="1" si="106"/>
        <v>#N/A</v>
      </c>
      <c r="J511">
        <f t="shared" ca="1" si="107"/>
        <v>0</v>
      </c>
      <c r="K511" t="e">
        <f t="shared" ca="1" si="112"/>
        <v>#N/A</v>
      </c>
      <c r="O511" s="22" t="e">
        <f t="shared" ca="1" si="108"/>
        <v>#N/A</v>
      </c>
      <c r="P511" s="17" t="e">
        <f ca="1"/>
        <v>#N/A</v>
      </c>
      <c r="Q511" s="17" t="e">
        <f ca="1"/>
        <v>#N/A</v>
      </c>
      <c r="R511" s="23" t="e">
        <f ca="1"/>
        <v>#N/A</v>
      </c>
      <c r="S511" s="23">
        <f t="shared" ca="1" si="116"/>
        <v>0</v>
      </c>
      <c r="T511" t="b">
        <f t="shared" ca="1" si="113"/>
        <v>1</v>
      </c>
      <c r="U511" s="22" t="e">
        <f t="shared" ca="1" si="109"/>
        <v>#N/A</v>
      </c>
      <c r="V511">
        <f t="shared" ca="1" si="110"/>
        <v>0</v>
      </c>
    </row>
    <row r="512" spans="2:22">
      <c r="B512">
        <f t="shared" si="114"/>
        <v>502</v>
      </c>
      <c r="C512" s="22" t="e">
        <f ca="1"/>
        <v>#N/A</v>
      </c>
      <c r="D512" s="17" t="e">
        <f ca="1"/>
        <v>#N/A</v>
      </c>
      <c r="E512" s="17" t="e">
        <f ca="1"/>
        <v>#N/A</v>
      </c>
      <c r="F512" s="23" t="e">
        <f ca="1"/>
        <v>#N/A</v>
      </c>
      <c r="G512" s="23">
        <f t="shared" ca="1" si="115"/>
        <v>0</v>
      </c>
      <c r="H512" t="b">
        <f t="shared" ca="1" si="111"/>
        <v>1</v>
      </c>
      <c r="I512" s="22" t="e">
        <f t="shared" ca="1" si="106"/>
        <v>#N/A</v>
      </c>
      <c r="J512">
        <f t="shared" ca="1" si="107"/>
        <v>0</v>
      </c>
      <c r="K512" t="e">
        <f t="shared" ca="1" si="112"/>
        <v>#N/A</v>
      </c>
      <c r="O512" s="22" t="e">
        <f t="shared" ca="1" si="108"/>
        <v>#N/A</v>
      </c>
      <c r="P512" s="17" t="e">
        <f ca="1"/>
        <v>#N/A</v>
      </c>
      <c r="Q512" s="17" t="e">
        <f ca="1"/>
        <v>#N/A</v>
      </c>
      <c r="R512" s="23" t="e">
        <f ca="1"/>
        <v>#N/A</v>
      </c>
      <c r="S512" s="23">
        <f t="shared" ca="1" si="116"/>
        <v>0</v>
      </c>
      <c r="T512" t="b">
        <f t="shared" ca="1" si="113"/>
        <v>1</v>
      </c>
      <c r="U512" s="22" t="e">
        <f t="shared" ca="1" si="109"/>
        <v>#N/A</v>
      </c>
      <c r="V512">
        <f t="shared" ca="1" si="110"/>
        <v>0</v>
      </c>
    </row>
    <row r="513" spans="2:22">
      <c r="B513">
        <f t="shared" si="114"/>
        <v>503</v>
      </c>
      <c r="C513" s="22" t="e">
        <f ca="1"/>
        <v>#N/A</v>
      </c>
      <c r="D513" s="17" t="e">
        <f ca="1"/>
        <v>#N/A</v>
      </c>
      <c r="E513" s="17" t="e">
        <f ca="1"/>
        <v>#N/A</v>
      </c>
      <c r="F513" s="23" t="e">
        <f ca="1"/>
        <v>#N/A</v>
      </c>
      <c r="G513" s="23">
        <f t="shared" ca="1" si="115"/>
        <v>0</v>
      </c>
      <c r="H513" t="b">
        <f t="shared" ca="1" si="111"/>
        <v>1</v>
      </c>
      <c r="I513" s="22" t="e">
        <f t="shared" ca="1" si="106"/>
        <v>#N/A</v>
      </c>
      <c r="J513">
        <f t="shared" ca="1" si="107"/>
        <v>0</v>
      </c>
      <c r="K513" t="e">
        <f t="shared" ca="1" si="112"/>
        <v>#N/A</v>
      </c>
      <c r="O513" s="22" t="e">
        <f t="shared" ca="1" si="108"/>
        <v>#N/A</v>
      </c>
      <c r="P513" s="17" t="e">
        <f ca="1"/>
        <v>#N/A</v>
      </c>
      <c r="Q513" s="17" t="e">
        <f ca="1"/>
        <v>#N/A</v>
      </c>
      <c r="R513" s="23" t="e">
        <f ca="1"/>
        <v>#N/A</v>
      </c>
      <c r="S513" s="23">
        <f t="shared" ca="1" si="116"/>
        <v>0</v>
      </c>
      <c r="T513" t="b">
        <f t="shared" ca="1" si="113"/>
        <v>1</v>
      </c>
      <c r="U513" s="22" t="e">
        <f t="shared" ca="1" si="109"/>
        <v>#N/A</v>
      </c>
      <c r="V513">
        <f t="shared" ca="1" si="110"/>
        <v>0</v>
      </c>
    </row>
    <row r="514" spans="2:22">
      <c r="B514">
        <f t="shared" si="114"/>
        <v>504</v>
      </c>
      <c r="C514" s="22" t="e">
        <f ca="1"/>
        <v>#N/A</v>
      </c>
      <c r="D514" s="17" t="e">
        <f ca="1"/>
        <v>#N/A</v>
      </c>
      <c r="E514" s="17" t="e">
        <f ca="1"/>
        <v>#N/A</v>
      </c>
      <c r="F514" s="23" t="e">
        <f ca="1"/>
        <v>#N/A</v>
      </c>
      <c r="G514" s="23">
        <f t="shared" ca="1" si="115"/>
        <v>0</v>
      </c>
      <c r="H514" t="b">
        <f t="shared" ca="1" si="111"/>
        <v>1</v>
      </c>
      <c r="I514" s="22" t="e">
        <f t="shared" ca="1" si="106"/>
        <v>#N/A</v>
      </c>
      <c r="J514">
        <f t="shared" ca="1" si="107"/>
        <v>0</v>
      </c>
      <c r="K514" t="e">
        <f t="shared" ca="1" si="112"/>
        <v>#N/A</v>
      </c>
      <c r="O514" s="22" t="e">
        <f t="shared" ca="1" si="108"/>
        <v>#N/A</v>
      </c>
      <c r="P514" s="17" t="e">
        <f ca="1"/>
        <v>#N/A</v>
      </c>
      <c r="Q514" s="17" t="e">
        <f ca="1"/>
        <v>#N/A</v>
      </c>
      <c r="R514" s="23" t="e">
        <f ca="1"/>
        <v>#N/A</v>
      </c>
      <c r="S514" s="23">
        <f t="shared" ca="1" si="116"/>
        <v>0</v>
      </c>
      <c r="T514" t="b">
        <f t="shared" ca="1" si="113"/>
        <v>1</v>
      </c>
      <c r="U514" s="22" t="e">
        <f t="shared" ca="1" si="109"/>
        <v>#N/A</v>
      </c>
      <c r="V514">
        <f t="shared" ca="1" si="110"/>
        <v>0</v>
      </c>
    </row>
    <row r="515" spans="2:22">
      <c r="B515">
        <f t="shared" si="114"/>
        <v>505</v>
      </c>
      <c r="C515" s="22" t="e">
        <f ca="1"/>
        <v>#N/A</v>
      </c>
      <c r="D515" s="17" t="e">
        <f ca="1"/>
        <v>#N/A</v>
      </c>
      <c r="E515" s="17" t="e">
        <f ca="1"/>
        <v>#N/A</v>
      </c>
      <c r="F515" s="23" t="e">
        <f ca="1"/>
        <v>#N/A</v>
      </c>
      <c r="G515" s="23">
        <f t="shared" ca="1" si="115"/>
        <v>0</v>
      </c>
      <c r="H515" t="b">
        <f t="shared" ca="1" si="111"/>
        <v>1</v>
      </c>
      <c r="I515" s="22" t="e">
        <f t="shared" ca="1" si="106"/>
        <v>#N/A</v>
      </c>
      <c r="J515">
        <f t="shared" ca="1" si="107"/>
        <v>0</v>
      </c>
      <c r="K515" t="e">
        <f t="shared" ca="1" si="112"/>
        <v>#N/A</v>
      </c>
      <c r="O515" s="22" t="e">
        <f t="shared" ca="1" si="108"/>
        <v>#N/A</v>
      </c>
      <c r="P515" s="17" t="e">
        <f ca="1"/>
        <v>#N/A</v>
      </c>
      <c r="Q515" s="17" t="e">
        <f ca="1"/>
        <v>#N/A</v>
      </c>
      <c r="R515" s="23" t="e">
        <f ca="1"/>
        <v>#N/A</v>
      </c>
      <c r="S515" s="23">
        <f t="shared" ca="1" si="116"/>
        <v>0</v>
      </c>
      <c r="T515" t="b">
        <f t="shared" ca="1" si="113"/>
        <v>1</v>
      </c>
      <c r="U515" s="22" t="e">
        <f t="shared" ca="1" si="109"/>
        <v>#N/A</v>
      </c>
      <c r="V515">
        <f t="shared" ca="1" si="110"/>
        <v>0</v>
      </c>
    </row>
    <row r="516" spans="2:22">
      <c r="B516">
        <f t="shared" si="114"/>
        <v>506</v>
      </c>
      <c r="C516" s="22" t="e">
        <f ca="1"/>
        <v>#N/A</v>
      </c>
      <c r="D516" s="17" t="e">
        <f ca="1"/>
        <v>#N/A</v>
      </c>
      <c r="E516" s="17" t="e">
        <f ca="1"/>
        <v>#N/A</v>
      </c>
      <c r="F516" s="23" t="e">
        <f ca="1"/>
        <v>#N/A</v>
      </c>
      <c r="G516" s="23">
        <f t="shared" ca="1" si="115"/>
        <v>0</v>
      </c>
      <c r="H516" t="b">
        <f t="shared" ca="1" si="111"/>
        <v>1</v>
      </c>
      <c r="I516" s="22" t="e">
        <f t="shared" ca="1" si="106"/>
        <v>#N/A</v>
      </c>
      <c r="J516">
        <f t="shared" ca="1" si="107"/>
        <v>0</v>
      </c>
      <c r="K516" t="e">
        <f t="shared" ca="1" si="112"/>
        <v>#N/A</v>
      </c>
      <c r="O516" s="22" t="e">
        <f t="shared" ca="1" si="108"/>
        <v>#N/A</v>
      </c>
      <c r="P516" s="17" t="e">
        <f ca="1"/>
        <v>#N/A</v>
      </c>
      <c r="Q516" s="17" t="e">
        <f ca="1"/>
        <v>#N/A</v>
      </c>
      <c r="R516" s="23" t="e">
        <f ca="1"/>
        <v>#N/A</v>
      </c>
      <c r="S516" s="23">
        <f t="shared" ca="1" si="116"/>
        <v>0</v>
      </c>
      <c r="T516" t="b">
        <f t="shared" ca="1" si="113"/>
        <v>1</v>
      </c>
      <c r="U516" s="22" t="e">
        <f t="shared" ca="1" si="109"/>
        <v>#N/A</v>
      </c>
      <c r="V516">
        <f t="shared" ca="1" si="110"/>
        <v>0</v>
      </c>
    </row>
    <row r="517" spans="2:22">
      <c r="B517">
        <f t="shared" si="114"/>
        <v>507</v>
      </c>
      <c r="C517" s="22" t="e">
        <f ca="1"/>
        <v>#N/A</v>
      </c>
      <c r="D517" s="17" t="e">
        <f ca="1"/>
        <v>#N/A</v>
      </c>
      <c r="E517" s="17" t="e">
        <f ca="1"/>
        <v>#N/A</v>
      </c>
      <c r="F517" s="23" t="e">
        <f ca="1"/>
        <v>#N/A</v>
      </c>
      <c r="G517" s="23">
        <f t="shared" ca="1" si="115"/>
        <v>0</v>
      </c>
      <c r="H517" t="b">
        <f t="shared" ca="1" si="111"/>
        <v>1</v>
      </c>
      <c r="I517" s="22" t="e">
        <f t="shared" ca="1" si="106"/>
        <v>#N/A</v>
      </c>
      <c r="J517">
        <f t="shared" ca="1" si="107"/>
        <v>0</v>
      </c>
      <c r="K517" t="e">
        <f t="shared" ca="1" si="112"/>
        <v>#N/A</v>
      </c>
      <c r="O517" s="22" t="e">
        <f t="shared" ca="1" si="108"/>
        <v>#N/A</v>
      </c>
      <c r="P517" s="17" t="e">
        <f ca="1"/>
        <v>#N/A</v>
      </c>
      <c r="Q517" s="17" t="e">
        <f ca="1"/>
        <v>#N/A</v>
      </c>
      <c r="R517" s="23" t="e">
        <f ca="1"/>
        <v>#N/A</v>
      </c>
      <c r="S517" s="23">
        <f t="shared" ca="1" si="116"/>
        <v>0</v>
      </c>
      <c r="T517" t="b">
        <f t="shared" ca="1" si="113"/>
        <v>1</v>
      </c>
      <c r="U517" s="22" t="e">
        <f t="shared" ca="1" si="109"/>
        <v>#N/A</v>
      </c>
      <c r="V517">
        <f t="shared" ca="1" si="110"/>
        <v>0</v>
      </c>
    </row>
    <row r="518" spans="2:22">
      <c r="B518">
        <f t="shared" si="114"/>
        <v>508</v>
      </c>
      <c r="C518" s="22" t="e">
        <f ca="1"/>
        <v>#N/A</v>
      </c>
      <c r="D518" s="17" t="e">
        <f ca="1"/>
        <v>#N/A</v>
      </c>
      <c r="E518" s="17" t="e">
        <f ca="1"/>
        <v>#N/A</v>
      </c>
      <c r="F518" s="23" t="e">
        <f ca="1"/>
        <v>#N/A</v>
      </c>
      <c r="G518" s="23">
        <f t="shared" ca="1" si="115"/>
        <v>0</v>
      </c>
      <c r="H518" t="b">
        <f t="shared" ca="1" si="111"/>
        <v>1</v>
      </c>
      <c r="I518" s="22" t="e">
        <f t="shared" ca="1" si="106"/>
        <v>#N/A</v>
      </c>
      <c r="J518">
        <f t="shared" ca="1" si="107"/>
        <v>0</v>
      </c>
      <c r="K518" t="e">
        <f t="shared" ca="1" si="112"/>
        <v>#N/A</v>
      </c>
      <c r="O518" s="22" t="e">
        <f t="shared" ca="1" si="108"/>
        <v>#N/A</v>
      </c>
      <c r="P518" s="17" t="e">
        <f ca="1"/>
        <v>#N/A</v>
      </c>
      <c r="Q518" s="17" t="e">
        <f ca="1"/>
        <v>#N/A</v>
      </c>
      <c r="R518" s="23" t="e">
        <f ca="1"/>
        <v>#N/A</v>
      </c>
      <c r="S518" s="23">
        <f t="shared" ca="1" si="116"/>
        <v>0</v>
      </c>
      <c r="T518" t="b">
        <f t="shared" ca="1" si="113"/>
        <v>1</v>
      </c>
      <c r="U518" s="22" t="e">
        <f t="shared" ca="1" si="109"/>
        <v>#N/A</v>
      </c>
      <c r="V518">
        <f t="shared" ca="1" si="110"/>
        <v>0</v>
      </c>
    </row>
    <row r="519" spans="2:22">
      <c r="B519">
        <f t="shared" si="114"/>
        <v>509</v>
      </c>
      <c r="C519" s="22" t="e">
        <f ca="1"/>
        <v>#N/A</v>
      </c>
      <c r="D519" s="17" t="e">
        <f ca="1"/>
        <v>#N/A</v>
      </c>
      <c r="E519" s="17" t="e">
        <f ca="1"/>
        <v>#N/A</v>
      </c>
      <c r="F519" s="23" t="e">
        <f ca="1"/>
        <v>#N/A</v>
      </c>
      <c r="G519" s="23">
        <f t="shared" ca="1" si="115"/>
        <v>0</v>
      </c>
      <c r="H519" t="b">
        <f t="shared" ca="1" si="111"/>
        <v>1</v>
      </c>
      <c r="I519" s="22" t="e">
        <f t="shared" ca="1" si="106"/>
        <v>#N/A</v>
      </c>
      <c r="J519">
        <f t="shared" ca="1" si="107"/>
        <v>0</v>
      </c>
      <c r="K519" t="e">
        <f t="shared" ca="1" si="112"/>
        <v>#N/A</v>
      </c>
      <c r="O519" s="22" t="e">
        <f t="shared" ca="1" si="108"/>
        <v>#N/A</v>
      </c>
      <c r="P519" s="17" t="e">
        <f ca="1"/>
        <v>#N/A</v>
      </c>
      <c r="Q519" s="17" t="e">
        <f ca="1"/>
        <v>#N/A</v>
      </c>
      <c r="R519" s="23" t="e">
        <f ca="1"/>
        <v>#N/A</v>
      </c>
      <c r="S519" s="23">
        <f t="shared" ca="1" si="116"/>
        <v>0</v>
      </c>
      <c r="T519" t="b">
        <f t="shared" ca="1" si="113"/>
        <v>1</v>
      </c>
      <c r="U519" s="22" t="e">
        <f t="shared" ca="1" si="109"/>
        <v>#N/A</v>
      </c>
      <c r="V519">
        <f t="shared" ca="1" si="110"/>
        <v>0</v>
      </c>
    </row>
    <row r="520" spans="2:22">
      <c r="B520">
        <f t="shared" si="114"/>
        <v>510</v>
      </c>
      <c r="C520" s="22" t="e">
        <f ca="1"/>
        <v>#N/A</v>
      </c>
      <c r="D520" s="17" t="e">
        <f ca="1"/>
        <v>#N/A</v>
      </c>
      <c r="E520" s="17" t="e">
        <f ca="1"/>
        <v>#N/A</v>
      </c>
      <c r="F520" s="23" t="e">
        <f ca="1"/>
        <v>#N/A</v>
      </c>
      <c r="G520" s="23">
        <f t="shared" ca="1" si="115"/>
        <v>0</v>
      </c>
      <c r="H520" t="b">
        <f t="shared" ca="1" si="111"/>
        <v>1</v>
      </c>
      <c r="I520" s="22" t="e">
        <f t="shared" ca="1" si="106"/>
        <v>#N/A</v>
      </c>
      <c r="J520">
        <f t="shared" ca="1" si="107"/>
        <v>0</v>
      </c>
      <c r="K520" t="e">
        <f t="shared" ca="1" si="112"/>
        <v>#N/A</v>
      </c>
      <c r="O520" s="22" t="e">
        <f t="shared" ca="1" si="108"/>
        <v>#N/A</v>
      </c>
      <c r="P520" s="17" t="e">
        <f ca="1"/>
        <v>#N/A</v>
      </c>
      <c r="Q520" s="17" t="e">
        <f ca="1"/>
        <v>#N/A</v>
      </c>
      <c r="R520" s="23" t="e">
        <f ca="1"/>
        <v>#N/A</v>
      </c>
      <c r="S520" s="23">
        <f t="shared" ca="1" si="116"/>
        <v>0</v>
      </c>
      <c r="T520" t="b">
        <f t="shared" ca="1" si="113"/>
        <v>1</v>
      </c>
      <c r="U520" s="22" t="e">
        <f t="shared" ca="1" si="109"/>
        <v>#N/A</v>
      </c>
      <c r="V520">
        <f t="shared" ca="1" si="110"/>
        <v>0</v>
      </c>
    </row>
    <row r="521" spans="2:22">
      <c r="B521">
        <f t="shared" si="114"/>
        <v>511</v>
      </c>
      <c r="C521" s="22" t="e">
        <f ca="1"/>
        <v>#N/A</v>
      </c>
      <c r="D521" s="17" t="e">
        <f ca="1"/>
        <v>#N/A</v>
      </c>
      <c r="E521" s="17" t="e">
        <f ca="1"/>
        <v>#N/A</v>
      </c>
      <c r="F521" s="23" t="e">
        <f ca="1"/>
        <v>#N/A</v>
      </c>
      <c r="G521" s="23">
        <f t="shared" ca="1" si="115"/>
        <v>0</v>
      </c>
      <c r="H521" t="b">
        <f t="shared" ca="1" si="111"/>
        <v>1</v>
      </c>
      <c r="I521" s="22" t="e">
        <f t="shared" ca="1" si="106"/>
        <v>#N/A</v>
      </c>
      <c r="J521">
        <f t="shared" ca="1" si="107"/>
        <v>0</v>
      </c>
      <c r="K521" t="e">
        <f t="shared" ca="1" si="112"/>
        <v>#N/A</v>
      </c>
      <c r="O521" s="22" t="e">
        <f t="shared" ca="1" si="108"/>
        <v>#N/A</v>
      </c>
      <c r="P521" s="17" t="e">
        <f ca="1"/>
        <v>#N/A</v>
      </c>
      <c r="Q521" s="17" t="e">
        <f ca="1"/>
        <v>#N/A</v>
      </c>
      <c r="R521" s="23" t="e">
        <f ca="1"/>
        <v>#N/A</v>
      </c>
      <c r="S521" s="23">
        <f t="shared" ca="1" si="116"/>
        <v>0</v>
      </c>
      <c r="T521" t="b">
        <f t="shared" ca="1" si="113"/>
        <v>1</v>
      </c>
      <c r="U521" s="22" t="e">
        <f t="shared" ca="1" si="109"/>
        <v>#N/A</v>
      </c>
      <c r="V521">
        <f t="shared" ca="1" si="110"/>
        <v>0</v>
      </c>
    </row>
    <row r="522" spans="2:22">
      <c r="B522">
        <f t="shared" si="114"/>
        <v>512</v>
      </c>
      <c r="C522" s="22" t="e">
        <f ca="1"/>
        <v>#N/A</v>
      </c>
      <c r="D522" s="17" t="e">
        <f ca="1"/>
        <v>#N/A</v>
      </c>
      <c r="E522" s="17" t="e">
        <f ca="1"/>
        <v>#N/A</v>
      </c>
      <c r="F522" s="23" t="e">
        <f ca="1"/>
        <v>#N/A</v>
      </c>
      <c r="G522" s="23">
        <f t="shared" ca="1" si="115"/>
        <v>0</v>
      </c>
      <c r="H522" t="b">
        <f t="shared" ca="1" si="111"/>
        <v>1</v>
      </c>
      <c r="I522" s="22" t="e">
        <f t="shared" ca="1" si="106"/>
        <v>#N/A</v>
      </c>
      <c r="J522">
        <f t="shared" ca="1" si="107"/>
        <v>0</v>
      </c>
      <c r="K522" t="e">
        <f t="shared" ca="1" si="112"/>
        <v>#N/A</v>
      </c>
      <c r="O522" s="22" t="e">
        <f t="shared" ca="1" si="108"/>
        <v>#N/A</v>
      </c>
      <c r="P522" s="17" t="e">
        <f ca="1"/>
        <v>#N/A</v>
      </c>
      <c r="Q522" s="17" t="e">
        <f ca="1"/>
        <v>#N/A</v>
      </c>
      <c r="R522" s="23" t="e">
        <f ca="1"/>
        <v>#N/A</v>
      </c>
      <c r="S522" s="23">
        <f t="shared" ca="1" si="116"/>
        <v>0</v>
      </c>
      <c r="T522" t="b">
        <f t="shared" ca="1" si="113"/>
        <v>1</v>
      </c>
      <c r="U522" s="22" t="e">
        <f t="shared" ca="1" si="109"/>
        <v>#N/A</v>
      </c>
      <c r="V522">
        <f t="shared" ca="1" si="110"/>
        <v>0</v>
      </c>
    </row>
    <row r="523" spans="2:22">
      <c r="B523">
        <f t="shared" si="114"/>
        <v>513</v>
      </c>
      <c r="C523" s="22" t="e">
        <f ca="1"/>
        <v>#N/A</v>
      </c>
      <c r="D523" s="17" t="e">
        <f ca="1"/>
        <v>#N/A</v>
      </c>
      <c r="E523" s="17" t="e">
        <f ca="1"/>
        <v>#N/A</v>
      </c>
      <c r="F523" s="23" t="e">
        <f ca="1"/>
        <v>#N/A</v>
      </c>
      <c r="G523" s="23">
        <f t="shared" ca="1" si="115"/>
        <v>0</v>
      </c>
      <c r="H523" t="b">
        <f t="shared" ca="1" si="111"/>
        <v>1</v>
      </c>
      <c r="I523" s="22" t="e">
        <f t="shared" ref="I523:I586" ca="1" si="117">IF(H523,C523,NA)</f>
        <v>#N/A</v>
      </c>
      <c r="J523">
        <f t="shared" ref="J523:J586" ca="1" si="118">IF(H523,G523,NA)</f>
        <v>0</v>
      </c>
      <c r="K523" t="e">
        <f t="shared" ca="1" si="112"/>
        <v>#N/A</v>
      </c>
      <c r="O523" s="22" t="e">
        <f t="shared" ref="O523:O586" ca="1" si="119">C523</f>
        <v>#N/A</v>
      </c>
      <c r="P523" s="17" t="e">
        <f ca="1"/>
        <v>#N/A</v>
      </c>
      <c r="Q523" s="17" t="e">
        <f ca="1"/>
        <v>#N/A</v>
      </c>
      <c r="R523" s="23" t="e">
        <f ca="1"/>
        <v>#N/A</v>
      </c>
      <c r="S523" s="23">
        <f t="shared" ca="1" si="116"/>
        <v>0</v>
      </c>
      <c r="T523" t="b">
        <f t="shared" ca="1" si="113"/>
        <v>1</v>
      </c>
      <c r="U523" s="22" t="e">
        <f t="shared" ref="U523:U586" ca="1" si="120">IF(T523,O523,NA)</f>
        <v>#N/A</v>
      </c>
      <c r="V523">
        <f t="shared" ref="V523:V586" ca="1" si="121">IF(T523,S523,NA)</f>
        <v>0</v>
      </c>
    </row>
    <row r="524" spans="2:22">
      <c r="B524">
        <f t="shared" si="114"/>
        <v>514</v>
      </c>
      <c r="C524" s="22" t="e">
        <f ca="1"/>
        <v>#N/A</v>
      </c>
      <c r="D524" s="17" t="e">
        <f ca="1"/>
        <v>#N/A</v>
      </c>
      <c r="E524" s="17" t="e">
        <f ca="1"/>
        <v>#N/A</v>
      </c>
      <c r="F524" s="23" t="e">
        <f ca="1"/>
        <v>#N/A</v>
      </c>
      <c r="G524" s="23">
        <f t="shared" ca="1" si="115"/>
        <v>0</v>
      </c>
      <c r="H524" t="b">
        <f t="shared" ref="H524:H587" ca="1" si="122">ISNUMBER(G524)</f>
        <v>1</v>
      </c>
      <c r="I524" s="22" t="e">
        <f t="shared" ca="1" si="117"/>
        <v>#N/A</v>
      </c>
      <c r="J524">
        <f t="shared" ca="1" si="118"/>
        <v>0</v>
      </c>
      <c r="K524" t="e">
        <f t="shared" ref="K524:K587" ca="1" si="123">YEAR(C524)</f>
        <v>#N/A</v>
      </c>
      <c r="O524" s="22" t="e">
        <f t="shared" ca="1" si="119"/>
        <v>#N/A</v>
      </c>
      <c r="P524" s="17" t="e">
        <f ca="1"/>
        <v>#N/A</v>
      </c>
      <c r="Q524" s="17" t="e">
        <f ca="1"/>
        <v>#N/A</v>
      </c>
      <c r="R524" s="23" t="e">
        <f ca="1"/>
        <v>#N/A</v>
      </c>
      <c r="S524" s="23">
        <f t="shared" ca="1" si="116"/>
        <v>0</v>
      </c>
      <c r="T524" t="b">
        <f t="shared" ref="T524:T587" ca="1" si="124">ISNUMBER(S524)</f>
        <v>1</v>
      </c>
      <c r="U524" s="22" t="e">
        <f t="shared" ca="1" si="120"/>
        <v>#N/A</v>
      </c>
      <c r="V524">
        <f t="shared" ca="1" si="121"/>
        <v>0</v>
      </c>
    </row>
    <row r="525" spans="2:22">
      <c r="B525">
        <f t="shared" ref="B525:B588" si="125">B524+1</f>
        <v>515</v>
      </c>
      <c r="C525" s="22" t="e">
        <f ca="1"/>
        <v>#N/A</v>
      </c>
      <c r="D525" s="17" t="e">
        <f ca="1"/>
        <v>#N/A</v>
      </c>
      <c r="E525" s="17" t="e">
        <f ca="1"/>
        <v>#N/A</v>
      </c>
      <c r="F525" s="23" t="e">
        <f ca="1"/>
        <v>#N/A</v>
      </c>
      <c r="G525" s="23">
        <f t="shared" ca="1" si="115"/>
        <v>0</v>
      </c>
      <c r="H525" t="b">
        <f t="shared" ca="1" si="122"/>
        <v>1</v>
      </c>
      <c r="I525" s="22" t="e">
        <f t="shared" ca="1" si="117"/>
        <v>#N/A</v>
      </c>
      <c r="J525">
        <f t="shared" ca="1" si="118"/>
        <v>0</v>
      </c>
      <c r="K525" t="e">
        <f t="shared" ca="1" si="123"/>
        <v>#N/A</v>
      </c>
      <c r="O525" s="22" t="e">
        <f t="shared" ca="1" si="119"/>
        <v>#N/A</v>
      </c>
      <c r="P525" s="17" t="e">
        <f ca="1"/>
        <v>#N/A</v>
      </c>
      <c r="Q525" s="17" t="e">
        <f ca="1"/>
        <v>#N/A</v>
      </c>
      <c r="R525" s="23" t="e">
        <f ca="1"/>
        <v>#N/A</v>
      </c>
      <c r="S525" s="23">
        <f t="shared" ca="1" si="116"/>
        <v>0</v>
      </c>
      <c r="T525" t="b">
        <f t="shared" ca="1" si="124"/>
        <v>1</v>
      </c>
      <c r="U525" s="22" t="e">
        <f t="shared" ca="1" si="120"/>
        <v>#N/A</v>
      </c>
      <c r="V525">
        <f t="shared" ca="1" si="121"/>
        <v>0</v>
      </c>
    </row>
    <row r="526" spans="2:22">
      <c r="B526">
        <f t="shared" si="125"/>
        <v>516</v>
      </c>
      <c r="C526" s="22" t="e">
        <f ca="1"/>
        <v>#N/A</v>
      </c>
      <c r="D526" s="17" t="e">
        <f ca="1"/>
        <v>#N/A</v>
      </c>
      <c r="E526" s="17" t="e">
        <f ca="1"/>
        <v>#N/A</v>
      </c>
      <c r="F526" s="23" t="e">
        <f ca="1"/>
        <v>#N/A</v>
      </c>
      <c r="G526" s="23">
        <f t="shared" ca="1" si="115"/>
        <v>0</v>
      </c>
      <c r="H526" t="b">
        <f t="shared" ca="1" si="122"/>
        <v>1</v>
      </c>
      <c r="I526" s="22" t="e">
        <f t="shared" ca="1" si="117"/>
        <v>#N/A</v>
      </c>
      <c r="J526">
        <f t="shared" ca="1" si="118"/>
        <v>0</v>
      </c>
      <c r="K526" t="e">
        <f t="shared" ca="1" si="123"/>
        <v>#N/A</v>
      </c>
      <c r="O526" s="22" t="e">
        <f t="shared" ca="1" si="119"/>
        <v>#N/A</v>
      </c>
      <c r="P526" s="17" t="e">
        <f ca="1"/>
        <v>#N/A</v>
      </c>
      <c r="Q526" s="17" t="e">
        <f ca="1"/>
        <v>#N/A</v>
      </c>
      <c r="R526" s="23" t="e">
        <f ca="1"/>
        <v>#N/A</v>
      </c>
      <c r="S526" s="23">
        <f t="shared" ca="1" si="116"/>
        <v>0</v>
      </c>
      <c r="T526" t="b">
        <f t="shared" ca="1" si="124"/>
        <v>1</v>
      </c>
      <c r="U526" s="22" t="e">
        <f t="shared" ca="1" si="120"/>
        <v>#N/A</v>
      </c>
      <c r="V526">
        <f t="shared" ca="1" si="121"/>
        <v>0</v>
      </c>
    </row>
    <row r="527" spans="2:22">
      <c r="B527">
        <f t="shared" si="125"/>
        <v>517</v>
      </c>
      <c r="C527" s="22" t="e">
        <f ca="1"/>
        <v>#N/A</v>
      </c>
      <c r="D527" s="17" t="e">
        <f ca="1"/>
        <v>#N/A</v>
      </c>
      <c r="E527" s="17" t="e">
        <f ca="1"/>
        <v>#N/A</v>
      </c>
      <c r="F527" s="23" t="e">
        <f ca="1"/>
        <v>#N/A</v>
      </c>
      <c r="G527" s="23">
        <f t="shared" ca="1" si="115"/>
        <v>0</v>
      </c>
      <c r="H527" t="b">
        <f t="shared" ca="1" si="122"/>
        <v>1</v>
      </c>
      <c r="I527" s="22" t="e">
        <f t="shared" ca="1" si="117"/>
        <v>#N/A</v>
      </c>
      <c r="J527">
        <f t="shared" ca="1" si="118"/>
        <v>0</v>
      </c>
      <c r="K527" t="e">
        <f t="shared" ca="1" si="123"/>
        <v>#N/A</v>
      </c>
      <c r="O527" s="22" t="e">
        <f t="shared" ca="1" si="119"/>
        <v>#N/A</v>
      </c>
      <c r="P527" s="17" t="e">
        <f ca="1"/>
        <v>#N/A</v>
      </c>
      <c r="Q527" s="17" t="e">
        <f ca="1"/>
        <v>#N/A</v>
      </c>
      <c r="R527" s="23" t="e">
        <f ca="1"/>
        <v>#N/A</v>
      </c>
      <c r="S527" s="23">
        <f t="shared" ca="1" si="116"/>
        <v>0</v>
      </c>
      <c r="T527" t="b">
        <f t="shared" ca="1" si="124"/>
        <v>1</v>
      </c>
      <c r="U527" s="22" t="e">
        <f t="shared" ca="1" si="120"/>
        <v>#N/A</v>
      </c>
      <c r="V527">
        <f t="shared" ca="1" si="121"/>
        <v>0</v>
      </c>
    </row>
    <row r="528" spans="2:22">
      <c r="B528">
        <f t="shared" si="125"/>
        <v>518</v>
      </c>
      <c r="C528" s="22" t="e">
        <f ca="1"/>
        <v>#N/A</v>
      </c>
      <c r="D528" s="17" t="e">
        <f ca="1"/>
        <v>#N/A</v>
      </c>
      <c r="E528" s="17" t="e">
        <f ca="1"/>
        <v>#N/A</v>
      </c>
      <c r="F528" s="23" t="e">
        <f ca="1"/>
        <v>#N/A</v>
      </c>
      <c r="G528" s="23">
        <f t="shared" ca="1" si="115"/>
        <v>0</v>
      </c>
      <c r="H528" t="b">
        <f t="shared" ca="1" si="122"/>
        <v>1</v>
      </c>
      <c r="I528" s="22" t="e">
        <f t="shared" ca="1" si="117"/>
        <v>#N/A</v>
      </c>
      <c r="J528">
        <f t="shared" ca="1" si="118"/>
        <v>0</v>
      </c>
      <c r="K528" t="e">
        <f t="shared" ca="1" si="123"/>
        <v>#N/A</v>
      </c>
      <c r="O528" s="22" t="e">
        <f t="shared" ca="1" si="119"/>
        <v>#N/A</v>
      </c>
      <c r="P528" s="17" t="e">
        <f ca="1"/>
        <v>#N/A</v>
      </c>
      <c r="Q528" s="17" t="e">
        <f ca="1"/>
        <v>#N/A</v>
      </c>
      <c r="R528" s="23" t="e">
        <f ca="1"/>
        <v>#N/A</v>
      </c>
      <c r="S528" s="23">
        <f t="shared" ca="1" si="116"/>
        <v>0</v>
      </c>
      <c r="T528" t="b">
        <f t="shared" ca="1" si="124"/>
        <v>1</v>
      </c>
      <c r="U528" s="22" t="e">
        <f t="shared" ca="1" si="120"/>
        <v>#N/A</v>
      </c>
      <c r="V528">
        <f t="shared" ca="1" si="121"/>
        <v>0</v>
      </c>
    </row>
    <row r="529" spans="2:22">
      <c r="B529">
        <f t="shared" si="125"/>
        <v>519</v>
      </c>
      <c r="C529" s="22" t="e">
        <f ca="1"/>
        <v>#N/A</v>
      </c>
      <c r="D529" s="17" t="e">
        <f ca="1"/>
        <v>#N/A</v>
      </c>
      <c r="E529" s="17" t="e">
        <f ca="1"/>
        <v>#N/A</v>
      </c>
      <c r="F529" s="23" t="e">
        <f ca="1"/>
        <v>#N/A</v>
      </c>
      <c r="G529" s="23">
        <f t="shared" ca="1" si="115"/>
        <v>0</v>
      </c>
      <c r="H529" t="b">
        <f t="shared" ca="1" si="122"/>
        <v>1</v>
      </c>
      <c r="I529" s="22" t="e">
        <f t="shared" ca="1" si="117"/>
        <v>#N/A</v>
      </c>
      <c r="J529">
        <f t="shared" ca="1" si="118"/>
        <v>0</v>
      </c>
      <c r="K529" t="e">
        <f t="shared" ca="1" si="123"/>
        <v>#N/A</v>
      </c>
      <c r="O529" s="22" t="e">
        <f t="shared" ca="1" si="119"/>
        <v>#N/A</v>
      </c>
      <c r="P529" s="17" t="e">
        <f ca="1"/>
        <v>#N/A</v>
      </c>
      <c r="Q529" s="17" t="e">
        <f ca="1"/>
        <v>#N/A</v>
      </c>
      <c r="R529" s="23" t="e">
        <f ca="1"/>
        <v>#N/A</v>
      </c>
      <c r="S529" s="23">
        <f t="shared" ca="1" si="116"/>
        <v>0</v>
      </c>
      <c r="T529" t="b">
        <f t="shared" ca="1" si="124"/>
        <v>1</v>
      </c>
      <c r="U529" s="22" t="e">
        <f t="shared" ca="1" si="120"/>
        <v>#N/A</v>
      </c>
      <c r="V529">
        <f t="shared" ca="1" si="121"/>
        <v>0</v>
      </c>
    </row>
    <row r="530" spans="2:22">
      <c r="B530">
        <f t="shared" si="125"/>
        <v>520</v>
      </c>
      <c r="C530" s="22" t="e">
        <f ca="1"/>
        <v>#N/A</v>
      </c>
      <c r="D530" s="17" t="e">
        <f ca="1"/>
        <v>#N/A</v>
      </c>
      <c r="E530" s="17" t="e">
        <f ca="1"/>
        <v>#N/A</v>
      </c>
      <c r="F530" s="23" t="e">
        <f ca="1"/>
        <v>#N/A</v>
      </c>
      <c r="G530" s="23">
        <f t="shared" ca="1" si="115"/>
        <v>0</v>
      </c>
      <c r="H530" t="b">
        <f t="shared" ca="1" si="122"/>
        <v>1</v>
      </c>
      <c r="I530" s="22" t="e">
        <f t="shared" ca="1" si="117"/>
        <v>#N/A</v>
      </c>
      <c r="J530">
        <f t="shared" ca="1" si="118"/>
        <v>0</v>
      </c>
      <c r="K530" t="e">
        <f t="shared" ca="1" si="123"/>
        <v>#N/A</v>
      </c>
      <c r="O530" s="22" t="e">
        <f t="shared" ca="1" si="119"/>
        <v>#N/A</v>
      </c>
      <c r="P530" s="17" t="e">
        <f ca="1"/>
        <v>#N/A</v>
      </c>
      <c r="Q530" s="17" t="e">
        <f ca="1"/>
        <v>#N/A</v>
      </c>
      <c r="R530" s="23" t="e">
        <f ca="1"/>
        <v>#N/A</v>
      </c>
      <c r="S530" s="23">
        <f t="shared" ca="1" si="116"/>
        <v>0</v>
      </c>
      <c r="T530" t="b">
        <f t="shared" ca="1" si="124"/>
        <v>1</v>
      </c>
      <c r="U530" s="22" t="e">
        <f t="shared" ca="1" si="120"/>
        <v>#N/A</v>
      </c>
      <c r="V530">
        <f t="shared" ca="1" si="121"/>
        <v>0</v>
      </c>
    </row>
    <row r="531" spans="2:22">
      <c r="B531">
        <f t="shared" si="125"/>
        <v>521</v>
      </c>
      <c r="C531" s="22" t="e">
        <f ca="1"/>
        <v>#N/A</v>
      </c>
      <c r="D531" s="17" t="e">
        <f ca="1"/>
        <v>#N/A</v>
      </c>
      <c r="E531" s="17" t="e">
        <f ca="1"/>
        <v>#N/A</v>
      </c>
      <c r="F531" s="23" t="e">
        <f ca="1"/>
        <v>#N/A</v>
      </c>
      <c r="G531" s="23">
        <f t="shared" ca="1" si="115"/>
        <v>0</v>
      </c>
      <c r="H531" t="b">
        <f t="shared" ca="1" si="122"/>
        <v>1</v>
      </c>
      <c r="I531" s="22" t="e">
        <f t="shared" ca="1" si="117"/>
        <v>#N/A</v>
      </c>
      <c r="J531">
        <f t="shared" ca="1" si="118"/>
        <v>0</v>
      </c>
      <c r="K531" t="e">
        <f t="shared" ca="1" si="123"/>
        <v>#N/A</v>
      </c>
      <c r="O531" s="22" t="e">
        <f t="shared" ca="1" si="119"/>
        <v>#N/A</v>
      </c>
      <c r="P531" s="17" t="e">
        <f ca="1"/>
        <v>#N/A</v>
      </c>
      <c r="Q531" s="17" t="e">
        <f ca="1"/>
        <v>#N/A</v>
      </c>
      <c r="R531" s="23" t="e">
        <f ca="1"/>
        <v>#N/A</v>
      </c>
      <c r="S531" s="23">
        <f t="shared" ca="1" si="116"/>
        <v>0</v>
      </c>
      <c r="T531" t="b">
        <f t="shared" ca="1" si="124"/>
        <v>1</v>
      </c>
      <c r="U531" s="22" t="e">
        <f t="shared" ca="1" si="120"/>
        <v>#N/A</v>
      </c>
      <c r="V531">
        <f t="shared" ca="1" si="121"/>
        <v>0</v>
      </c>
    </row>
    <row r="532" spans="2:22">
      <c r="B532">
        <f t="shared" si="125"/>
        <v>522</v>
      </c>
      <c r="C532" s="22" t="e">
        <f ca="1"/>
        <v>#N/A</v>
      </c>
      <c r="D532" s="17" t="e">
        <f ca="1"/>
        <v>#N/A</v>
      </c>
      <c r="E532" s="17" t="e">
        <f ca="1"/>
        <v>#N/A</v>
      </c>
      <c r="F532" s="23" t="e">
        <f ca="1"/>
        <v>#N/A</v>
      </c>
      <c r="G532" s="23">
        <f t="shared" ca="1" si="115"/>
        <v>0</v>
      </c>
      <c r="H532" t="b">
        <f t="shared" ca="1" si="122"/>
        <v>1</v>
      </c>
      <c r="I532" s="22" t="e">
        <f t="shared" ca="1" si="117"/>
        <v>#N/A</v>
      </c>
      <c r="J532">
        <f t="shared" ca="1" si="118"/>
        <v>0</v>
      </c>
      <c r="K532" t="e">
        <f t="shared" ca="1" si="123"/>
        <v>#N/A</v>
      </c>
      <c r="O532" s="22" t="e">
        <f t="shared" ca="1" si="119"/>
        <v>#N/A</v>
      </c>
      <c r="P532" s="17" t="e">
        <f ca="1"/>
        <v>#N/A</v>
      </c>
      <c r="Q532" s="17" t="e">
        <f ca="1"/>
        <v>#N/A</v>
      </c>
      <c r="R532" s="23" t="e">
        <f ca="1"/>
        <v>#N/A</v>
      </c>
      <c r="S532" s="23">
        <f t="shared" ca="1" si="116"/>
        <v>0</v>
      </c>
      <c r="T532" t="b">
        <f t="shared" ca="1" si="124"/>
        <v>1</v>
      </c>
      <c r="U532" s="22" t="e">
        <f t="shared" ca="1" si="120"/>
        <v>#N/A</v>
      </c>
      <c r="V532">
        <f t="shared" ca="1" si="121"/>
        <v>0</v>
      </c>
    </row>
    <row r="533" spans="2:22">
      <c r="B533">
        <f t="shared" si="125"/>
        <v>523</v>
      </c>
      <c r="C533" s="22" t="e">
        <f ca="1"/>
        <v>#N/A</v>
      </c>
      <c r="D533" s="17" t="e">
        <f ca="1"/>
        <v>#N/A</v>
      </c>
      <c r="E533" s="17" t="e">
        <f ca="1"/>
        <v>#N/A</v>
      </c>
      <c r="F533" s="23" t="e">
        <f ca="1"/>
        <v>#N/A</v>
      </c>
      <c r="G533" s="23">
        <f t="shared" ca="1" si="115"/>
        <v>0</v>
      </c>
      <c r="H533" t="b">
        <f t="shared" ca="1" si="122"/>
        <v>1</v>
      </c>
      <c r="I533" s="22" t="e">
        <f t="shared" ca="1" si="117"/>
        <v>#N/A</v>
      </c>
      <c r="J533">
        <f t="shared" ca="1" si="118"/>
        <v>0</v>
      </c>
      <c r="K533" t="e">
        <f t="shared" ca="1" si="123"/>
        <v>#N/A</v>
      </c>
      <c r="O533" s="22" t="e">
        <f t="shared" ca="1" si="119"/>
        <v>#N/A</v>
      </c>
      <c r="P533" s="17" t="e">
        <f ca="1"/>
        <v>#N/A</v>
      </c>
      <c r="Q533" s="17" t="e">
        <f ca="1"/>
        <v>#N/A</v>
      </c>
      <c r="R533" s="23" t="e">
        <f ca="1"/>
        <v>#N/A</v>
      </c>
      <c r="S533" s="23">
        <f t="shared" ca="1" si="116"/>
        <v>0</v>
      </c>
      <c r="T533" t="b">
        <f t="shared" ca="1" si="124"/>
        <v>1</v>
      </c>
      <c r="U533" s="22" t="e">
        <f t="shared" ca="1" si="120"/>
        <v>#N/A</v>
      </c>
      <c r="V533">
        <f t="shared" ca="1" si="121"/>
        <v>0</v>
      </c>
    </row>
    <row r="534" spans="2:22">
      <c r="B534">
        <f t="shared" si="125"/>
        <v>524</v>
      </c>
      <c r="C534" s="22" t="e">
        <f ca="1"/>
        <v>#N/A</v>
      </c>
      <c r="D534" s="17" t="e">
        <f ca="1"/>
        <v>#N/A</v>
      </c>
      <c r="E534" s="17" t="e">
        <f ca="1"/>
        <v>#N/A</v>
      </c>
      <c r="F534" s="23" t="e">
        <f ca="1"/>
        <v>#N/A</v>
      </c>
      <c r="G534" s="23">
        <f t="shared" ca="1" si="115"/>
        <v>0</v>
      </c>
      <c r="H534" t="b">
        <f t="shared" ca="1" si="122"/>
        <v>1</v>
      </c>
      <c r="I534" s="22" t="e">
        <f t="shared" ca="1" si="117"/>
        <v>#N/A</v>
      </c>
      <c r="J534">
        <f t="shared" ca="1" si="118"/>
        <v>0</v>
      </c>
      <c r="K534" t="e">
        <f t="shared" ca="1" si="123"/>
        <v>#N/A</v>
      </c>
      <c r="O534" s="22" t="e">
        <f t="shared" ca="1" si="119"/>
        <v>#N/A</v>
      </c>
      <c r="P534" s="17" t="e">
        <f ca="1"/>
        <v>#N/A</v>
      </c>
      <c r="Q534" s="17" t="e">
        <f ca="1"/>
        <v>#N/A</v>
      </c>
      <c r="R534" s="23" t="e">
        <f ca="1"/>
        <v>#N/A</v>
      </c>
      <c r="S534" s="23">
        <f t="shared" ca="1" si="116"/>
        <v>0</v>
      </c>
      <c r="T534" t="b">
        <f t="shared" ca="1" si="124"/>
        <v>1</v>
      </c>
      <c r="U534" s="22" t="e">
        <f t="shared" ca="1" si="120"/>
        <v>#N/A</v>
      </c>
      <c r="V534">
        <f t="shared" ca="1" si="121"/>
        <v>0</v>
      </c>
    </row>
    <row r="535" spans="2:22">
      <c r="B535">
        <f t="shared" si="125"/>
        <v>525</v>
      </c>
      <c r="C535" s="22" t="e">
        <f ca="1"/>
        <v>#N/A</v>
      </c>
      <c r="D535" s="17" t="e">
        <f ca="1"/>
        <v>#N/A</v>
      </c>
      <c r="E535" s="17" t="e">
        <f ca="1"/>
        <v>#N/A</v>
      </c>
      <c r="F535" s="23" t="e">
        <f ca="1"/>
        <v>#N/A</v>
      </c>
      <c r="G535" s="23">
        <f t="shared" ref="G535:G598" ca="1" si="126">IFERROR(Volatility(D524:D535,12),FALSE)</f>
        <v>0</v>
      </c>
      <c r="H535" t="b">
        <f t="shared" ca="1" si="122"/>
        <v>1</v>
      </c>
      <c r="I535" s="22" t="e">
        <f t="shared" ca="1" si="117"/>
        <v>#N/A</v>
      </c>
      <c r="J535">
        <f t="shared" ca="1" si="118"/>
        <v>0</v>
      </c>
      <c r="K535" t="e">
        <f t="shared" ca="1" si="123"/>
        <v>#N/A</v>
      </c>
      <c r="O535" s="22" t="e">
        <f t="shared" ca="1" si="119"/>
        <v>#N/A</v>
      </c>
      <c r="P535" s="17" t="e">
        <f ca="1"/>
        <v>#N/A</v>
      </c>
      <c r="Q535" s="17" t="e">
        <f ca="1"/>
        <v>#N/A</v>
      </c>
      <c r="R535" s="23" t="e">
        <f ca="1"/>
        <v>#N/A</v>
      </c>
      <c r="S535" s="23">
        <f t="shared" ref="S535:S598" ca="1" si="127">IFERROR(Volatility(P524:P535,12),FALSE)</f>
        <v>0</v>
      </c>
      <c r="T535" t="b">
        <f t="shared" ca="1" si="124"/>
        <v>1</v>
      </c>
      <c r="U535" s="22" t="e">
        <f t="shared" ca="1" si="120"/>
        <v>#N/A</v>
      </c>
      <c r="V535">
        <f t="shared" ca="1" si="121"/>
        <v>0</v>
      </c>
    </row>
    <row r="536" spans="2:22">
      <c r="B536">
        <f t="shared" si="125"/>
        <v>526</v>
      </c>
      <c r="C536" s="22" t="e">
        <f ca="1"/>
        <v>#N/A</v>
      </c>
      <c r="D536" s="17" t="e">
        <f ca="1"/>
        <v>#N/A</v>
      </c>
      <c r="E536" s="17" t="e">
        <f ca="1"/>
        <v>#N/A</v>
      </c>
      <c r="F536" s="23" t="e">
        <f ca="1"/>
        <v>#N/A</v>
      </c>
      <c r="G536" s="23">
        <f t="shared" ca="1" si="126"/>
        <v>0</v>
      </c>
      <c r="H536" t="b">
        <f t="shared" ca="1" si="122"/>
        <v>1</v>
      </c>
      <c r="I536" s="22" t="e">
        <f t="shared" ca="1" si="117"/>
        <v>#N/A</v>
      </c>
      <c r="J536">
        <f t="shared" ca="1" si="118"/>
        <v>0</v>
      </c>
      <c r="K536" t="e">
        <f t="shared" ca="1" si="123"/>
        <v>#N/A</v>
      </c>
      <c r="O536" s="22" t="e">
        <f t="shared" ca="1" si="119"/>
        <v>#N/A</v>
      </c>
      <c r="P536" s="17" t="e">
        <f ca="1"/>
        <v>#N/A</v>
      </c>
      <c r="Q536" s="17" t="e">
        <f ca="1"/>
        <v>#N/A</v>
      </c>
      <c r="R536" s="23" t="e">
        <f ca="1"/>
        <v>#N/A</v>
      </c>
      <c r="S536" s="23">
        <f t="shared" ca="1" si="127"/>
        <v>0</v>
      </c>
      <c r="T536" t="b">
        <f t="shared" ca="1" si="124"/>
        <v>1</v>
      </c>
      <c r="U536" s="22" t="e">
        <f t="shared" ca="1" si="120"/>
        <v>#N/A</v>
      </c>
      <c r="V536">
        <f t="shared" ca="1" si="121"/>
        <v>0</v>
      </c>
    </row>
    <row r="537" spans="2:22">
      <c r="B537">
        <f t="shared" si="125"/>
        <v>527</v>
      </c>
      <c r="C537" s="22" t="e">
        <f ca="1"/>
        <v>#N/A</v>
      </c>
      <c r="D537" s="17" t="e">
        <f ca="1"/>
        <v>#N/A</v>
      </c>
      <c r="E537" s="17" t="e">
        <f ca="1"/>
        <v>#N/A</v>
      </c>
      <c r="F537" s="23" t="e">
        <f ca="1"/>
        <v>#N/A</v>
      </c>
      <c r="G537" s="23">
        <f t="shared" ca="1" si="126"/>
        <v>0</v>
      </c>
      <c r="H537" t="b">
        <f t="shared" ca="1" si="122"/>
        <v>1</v>
      </c>
      <c r="I537" s="22" t="e">
        <f t="shared" ca="1" si="117"/>
        <v>#N/A</v>
      </c>
      <c r="J537">
        <f t="shared" ca="1" si="118"/>
        <v>0</v>
      </c>
      <c r="K537" t="e">
        <f t="shared" ca="1" si="123"/>
        <v>#N/A</v>
      </c>
      <c r="O537" s="22" t="e">
        <f t="shared" ca="1" si="119"/>
        <v>#N/A</v>
      </c>
      <c r="P537" s="17" t="e">
        <f ca="1"/>
        <v>#N/A</v>
      </c>
      <c r="Q537" s="17" t="e">
        <f ca="1"/>
        <v>#N/A</v>
      </c>
      <c r="R537" s="23" t="e">
        <f ca="1"/>
        <v>#N/A</v>
      </c>
      <c r="S537" s="23">
        <f t="shared" ca="1" si="127"/>
        <v>0</v>
      </c>
      <c r="T537" t="b">
        <f t="shared" ca="1" si="124"/>
        <v>1</v>
      </c>
      <c r="U537" s="22" t="e">
        <f t="shared" ca="1" si="120"/>
        <v>#N/A</v>
      </c>
      <c r="V537">
        <f t="shared" ca="1" si="121"/>
        <v>0</v>
      </c>
    </row>
    <row r="538" spans="2:22">
      <c r="B538">
        <f t="shared" si="125"/>
        <v>528</v>
      </c>
      <c r="C538" s="22" t="e">
        <f ca="1"/>
        <v>#N/A</v>
      </c>
      <c r="D538" s="17" t="e">
        <f ca="1"/>
        <v>#N/A</v>
      </c>
      <c r="E538" s="17" t="e">
        <f ca="1"/>
        <v>#N/A</v>
      </c>
      <c r="F538" s="23" t="e">
        <f ca="1"/>
        <v>#N/A</v>
      </c>
      <c r="G538" s="23">
        <f t="shared" ca="1" si="126"/>
        <v>0</v>
      </c>
      <c r="H538" t="b">
        <f t="shared" ca="1" si="122"/>
        <v>1</v>
      </c>
      <c r="I538" s="22" t="e">
        <f t="shared" ca="1" si="117"/>
        <v>#N/A</v>
      </c>
      <c r="J538">
        <f t="shared" ca="1" si="118"/>
        <v>0</v>
      </c>
      <c r="K538" t="e">
        <f t="shared" ca="1" si="123"/>
        <v>#N/A</v>
      </c>
      <c r="O538" s="22" t="e">
        <f t="shared" ca="1" si="119"/>
        <v>#N/A</v>
      </c>
      <c r="P538" s="17" t="e">
        <f ca="1"/>
        <v>#N/A</v>
      </c>
      <c r="Q538" s="17" t="e">
        <f ca="1"/>
        <v>#N/A</v>
      </c>
      <c r="R538" s="23" t="e">
        <f ca="1"/>
        <v>#N/A</v>
      </c>
      <c r="S538" s="23">
        <f t="shared" ca="1" si="127"/>
        <v>0</v>
      </c>
      <c r="T538" t="b">
        <f t="shared" ca="1" si="124"/>
        <v>1</v>
      </c>
      <c r="U538" s="22" t="e">
        <f t="shared" ca="1" si="120"/>
        <v>#N/A</v>
      </c>
      <c r="V538">
        <f t="shared" ca="1" si="121"/>
        <v>0</v>
      </c>
    </row>
    <row r="539" spans="2:22">
      <c r="B539">
        <f t="shared" si="125"/>
        <v>529</v>
      </c>
      <c r="C539" s="22" t="e">
        <f ca="1"/>
        <v>#N/A</v>
      </c>
      <c r="D539" s="17" t="e">
        <f ca="1"/>
        <v>#N/A</v>
      </c>
      <c r="E539" s="17" t="e">
        <f ca="1"/>
        <v>#N/A</v>
      </c>
      <c r="F539" s="23" t="e">
        <f ca="1"/>
        <v>#N/A</v>
      </c>
      <c r="G539" s="23">
        <f t="shared" ca="1" si="126"/>
        <v>0</v>
      </c>
      <c r="H539" t="b">
        <f t="shared" ca="1" si="122"/>
        <v>1</v>
      </c>
      <c r="I539" s="22" t="e">
        <f t="shared" ca="1" si="117"/>
        <v>#N/A</v>
      </c>
      <c r="J539">
        <f t="shared" ca="1" si="118"/>
        <v>0</v>
      </c>
      <c r="K539" t="e">
        <f t="shared" ca="1" si="123"/>
        <v>#N/A</v>
      </c>
      <c r="O539" s="22" t="e">
        <f t="shared" ca="1" si="119"/>
        <v>#N/A</v>
      </c>
      <c r="P539" s="17" t="e">
        <f ca="1"/>
        <v>#N/A</v>
      </c>
      <c r="Q539" s="17" t="e">
        <f ca="1"/>
        <v>#N/A</v>
      </c>
      <c r="R539" s="23" t="e">
        <f ca="1"/>
        <v>#N/A</v>
      </c>
      <c r="S539" s="23">
        <f t="shared" ca="1" si="127"/>
        <v>0</v>
      </c>
      <c r="T539" t="b">
        <f t="shared" ca="1" si="124"/>
        <v>1</v>
      </c>
      <c r="U539" s="22" t="e">
        <f t="shared" ca="1" si="120"/>
        <v>#N/A</v>
      </c>
      <c r="V539">
        <f t="shared" ca="1" si="121"/>
        <v>0</v>
      </c>
    </row>
    <row r="540" spans="2:22">
      <c r="B540">
        <f t="shared" si="125"/>
        <v>530</v>
      </c>
      <c r="C540" s="22" t="e">
        <f ca="1"/>
        <v>#N/A</v>
      </c>
      <c r="D540" s="17" t="e">
        <f ca="1"/>
        <v>#N/A</v>
      </c>
      <c r="E540" s="17" t="e">
        <f ca="1"/>
        <v>#N/A</v>
      </c>
      <c r="F540" s="23" t="e">
        <f ca="1"/>
        <v>#N/A</v>
      </c>
      <c r="G540" s="23">
        <f t="shared" ca="1" si="126"/>
        <v>0</v>
      </c>
      <c r="H540" t="b">
        <f t="shared" ca="1" si="122"/>
        <v>1</v>
      </c>
      <c r="I540" s="22" t="e">
        <f t="shared" ca="1" si="117"/>
        <v>#N/A</v>
      </c>
      <c r="J540">
        <f t="shared" ca="1" si="118"/>
        <v>0</v>
      </c>
      <c r="K540" t="e">
        <f t="shared" ca="1" si="123"/>
        <v>#N/A</v>
      </c>
      <c r="O540" s="22" t="e">
        <f t="shared" ca="1" si="119"/>
        <v>#N/A</v>
      </c>
      <c r="P540" s="17" t="e">
        <f ca="1"/>
        <v>#N/A</v>
      </c>
      <c r="Q540" s="17" t="e">
        <f ca="1"/>
        <v>#N/A</v>
      </c>
      <c r="R540" s="23" t="e">
        <f ca="1"/>
        <v>#N/A</v>
      </c>
      <c r="S540" s="23">
        <f t="shared" ca="1" si="127"/>
        <v>0</v>
      </c>
      <c r="T540" t="b">
        <f t="shared" ca="1" si="124"/>
        <v>1</v>
      </c>
      <c r="U540" s="22" t="e">
        <f t="shared" ca="1" si="120"/>
        <v>#N/A</v>
      </c>
      <c r="V540">
        <f t="shared" ca="1" si="121"/>
        <v>0</v>
      </c>
    </row>
    <row r="541" spans="2:22">
      <c r="B541">
        <f t="shared" si="125"/>
        <v>531</v>
      </c>
      <c r="C541" s="22" t="e">
        <f ca="1"/>
        <v>#N/A</v>
      </c>
      <c r="D541" s="17" t="e">
        <f ca="1"/>
        <v>#N/A</v>
      </c>
      <c r="E541" s="17" t="e">
        <f ca="1"/>
        <v>#N/A</v>
      </c>
      <c r="F541" s="23" t="e">
        <f ca="1"/>
        <v>#N/A</v>
      </c>
      <c r="G541" s="23">
        <f t="shared" ca="1" si="126"/>
        <v>0</v>
      </c>
      <c r="H541" t="b">
        <f t="shared" ca="1" si="122"/>
        <v>1</v>
      </c>
      <c r="I541" s="22" t="e">
        <f t="shared" ca="1" si="117"/>
        <v>#N/A</v>
      </c>
      <c r="J541">
        <f t="shared" ca="1" si="118"/>
        <v>0</v>
      </c>
      <c r="K541" t="e">
        <f t="shared" ca="1" si="123"/>
        <v>#N/A</v>
      </c>
      <c r="O541" s="22" t="e">
        <f t="shared" ca="1" si="119"/>
        <v>#N/A</v>
      </c>
      <c r="P541" s="17" t="e">
        <f ca="1"/>
        <v>#N/A</v>
      </c>
      <c r="Q541" s="17" t="e">
        <f ca="1"/>
        <v>#N/A</v>
      </c>
      <c r="R541" s="23" t="e">
        <f ca="1"/>
        <v>#N/A</v>
      </c>
      <c r="S541" s="23">
        <f t="shared" ca="1" si="127"/>
        <v>0</v>
      </c>
      <c r="T541" t="b">
        <f t="shared" ca="1" si="124"/>
        <v>1</v>
      </c>
      <c r="U541" s="22" t="e">
        <f t="shared" ca="1" si="120"/>
        <v>#N/A</v>
      </c>
      <c r="V541">
        <f t="shared" ca="1" si="121"/>
        <v>0</v>
      </c>
    </row>
    <row r="542" spans="2:22">
      <c r="B542">
        <f t="shared" si="125"/>
        <v>532</v>
      </c>
      <c r="C542" s="22" t="e">
        <f ca="1"/>
        <v>#N/A</v>
      </c>
      <c r="D542" s="17" t="e">
        <f ca="1"/>
        <v>#N/A</v>
      </c>
      <c r="E542" s="17" t="e">
        <f ca="1"/>
        <v>#N/A</v>
      </c>
      <c r="F542" s="23" t="e">
        <f ca="1"/>
        <v>#N/A</v>
      </c>
      <c r="G542" s="23">
        <f t="shared" ca="1" si="126"/>
        <v>0</v>
      </c>
      <c r="H542" t="b">
        <f t="shared" ca="1" si="122"/>
        <v>1</v>
      </c>
      <c r="I542" s="22" t="e">
        <f t="shared" ca="1" si="117"/>
        <v>#N/A</v>
      </c>
      <c r="J542">
        <f t="shared" ca="1" si="118"/>
        <v>0</v>
      </c>
      <c r="K542" t="e">
        <f t="shared" ca="1" si="123"/>
        <v>#N/A</v>
      </c>
      <c r="O542" s="22" t="e">
        <f t="shared" ca="1" si="119"/>
        <v>#N/A</v>
      </c>
      <c r="P542" s="17" t="e">
        <f ca="1"/>
        <v>#N/A</v>
      </c>
      <c r="Q542" s="17" t="e">
        <f ca="1"/>
        <v>#N/A</v>
      </c>
      <c r="R542" s="23" t="e">
        <f ca="1"/>
        <v>#N/A</v>
      </c>
      <c r="S542" s="23">
        <f t="shared" ca="1" si="127"/>
        <v>0</v>
      </c>
      <c r="T542" t="b">
        <f t="shared" ca="1" si="124"/>
        <v>1</v>
      </c>
      <c r="U542" s="22" t="e">
        <f t="shared" ca="1" si="120"/>
        <v>#N/A</v>
      </c>
      <c r="V542">
        <f t="shared" ca="1" si="121"/>
        <v>0</v>
      </c>
    </row>
    <row r="543" spans="2:22">
      <c r="B543">
        <f t="shared" si="125"/>
        <v>533</v>
      </c>
      <c r="C543" s="22" t="e">
        <f ca="1"/>
        <v>#N/A</v>
      </c>
      <c r="D543" s="17" t="e">
        <f ca="1"/>
        <v>#N/A</v>
      </c>
      <c r="E543" s="17" t="e">
        <f ca="1"/>
        <v>#N/A</v>
      </c>
      <c r="F543" s="23" t="e">
        <f ca="1"/>
        <v>#N/A</v>
      </c>
      <c r="G543" s="23">
        <f t="shared" ca="1" si="126"/>
        <v>0</v>
      </c>
      <c r="H543" t="b">
        <f t="shared" ca="1" si="122"/>
        <v>1</v>
      </c>
      <c r="I543" s="22" t="e">
        <f t="shared" ca="1" si="117"/>
        <v>#N/A</v>
      </c>
      <c r="J543">
        <f t="shared" ca="1" si="118"/>
        <v>0</v>
      </c>
      <c r="K543" t="e">
        <f t="shared" ca="1" si="123"/>
        <v>#N/A</v>
      </c>
      <c r="O543" s="22" t="e">
        <f t="shared" ca="1" si="119"/>
        <v>#N/A</v>
      </c>
      <c r="P543" s="17" t="e">
        <f ca="1"/>
        <v>#N/A</v>
      </c>
      <c r="Q543" s="17" t="e">
        <f ca="1"/>
        <v>#N/A</v>
      </c>
      <c r="R543" s="23" t="e">
        <f ca="1"/>
        <v>#N/A</v>
      </c>
      <c r="S543" s="23">
        <f t="shared" ca="1" si="127"/>
        <v>0</v>
      </c>
      <c r="T543" t="b">
        <f t="shared" ca="1" si="124"/>
        <v>1</v>
      </c>
      <c r="U543" s="22" t="e">
        <f t="shared" ca="1" si="120"/>
        <v>#N/A</v>
      </c>
      <c r="V543">
        <f t="shared" ca="1" si="121"/>
        <v>0</v>
      </c>
    </row>
    <row r="544" spans="2:22">
      <c r="B544">
        <f t="shared" si="125"/>
        <v>534</v>
      </c>
      <c r="C544" s="22" t="e">
        <f ca="1"/>
        <v>#N/A</v>
      </c>
      <c r="D544" s="17" t="e">
        <f ca="1"/>
        <v>#N/A</v>
      </c>
      <c r="E544" s="17" t="e">
        <f ca="1"/>
        <v>#N/A</v>
      </c>
      <c r="F544" s="23" t="e">
        <f ca="1"/>
        <v>#N/A</v>
      </c>
      <c r="G544" s="23">
        <f t="shared" ca="1" si="126"/>
        <v>0</v>
      </c>
      <c r="H544" t="b">
        <f t="shared" ca="1" si="122"/>
        <v>1</v>
      </c>
      <c r="I544" s="22" t="e">
        <f t="shared" ca="1" si="117"/>
        <v>#N/A</v>
      </c>
      <c r="J544">
        <f t="shared" ca="1" si="118"/>
        <v>0</v>
      </c>
      <c r="K544" t="e">
        <f t="shared" ca="1" si="123"/>
        <v>#N/A</v>
      </c>
      <c r="O544" s="22" t="e">
        <f t="shared" ca="1" si="119"/>
        <v>#N/A</v>
      </c>
      <c r="P544" s="17" t="e">
        <f ca="1"/>
        <v>#N/A</v>
      </c>
      <c r="Q544" s="17" t="e">
        <f ca="1"/>
        <v>#N/A</v>
      </c>
      <c r="R544" s="23" t="e">
        <f ca="1"/>
        <v>#N/A</v>
      </c>
      <c r="S544" s="23">
        <f t="shared" ca="1" si="127"/>
        <v>0</v>
      </c>
      <c r="T544" t="b">
        <f t="shared" ca="1" si="124"/>
        <v>1</v>
      </c>
      <c r="U544" s="22" t="e">
        <f t="shared" ca="1" si="120"/>
        <v>#N/A</v>
      </c>
      <c r="V544">
        <f t="shared" ca="1" si="121"/>
        <v>0</v>
      </c>
    </row>
    <row r="545" spans="2:22">
      <c r="B545">
        <f t="shared" si="125"/>
        <v>535</v>
      </c>
      <c r="C545" s="22" t="e">
        <f ca="1"/>
        <v>#N/A</v>
      </c>
      <c r="D545" s="17" t="e">
        <f ca="1"/>
        <v>#N/A</v>
      </c>
      <c r="E545" s="17" t="e">
        <f ca="1"/>
        <v>#N/A</v>
      </c>
      <c r="F545" s="23" t="e">
        <f ca="1"/>
        <v>#N/A</v>
      </c>
      <c r="G545" s="23">
        <f t="shared" ca="1" si="126"/>
        <v>0</v>
      </c>
      <c r="H545" t="b">
        <f t="shared" ca="1" si="122"/>
        <v>1</v>
      </c>
      <c r="I545" s="22" t="e">
        <f t="shared" ca="1" si="117"/>
        <v>#N/A</v>
      </c>
      <c r="J545">
        <f t="shared" ca="1" si="118"/>
        <v>0</v>
      </c>
      <c r="K545" t="e">
        <f t="shared" ca="1" si="123"/>
        <v>#N/A</v>
      </c>
      <c r="O545" s="22" t="e">
        <f t="shared" ca="1" si="119"/>
        <v>#N/A</v>
      </c>
      <c r="P545" s="17" t="e">
        <f ca="1"/>
        <v>#N/A</v>
      </c>
      <c r="Q545" s="17" t="e">
        <f ca="1"/>
        <v>#N/A</v>
      </c>
      <c r="R545" s="23" t="e">
        <f ca="1"/>
        <v>#N/A</v>
      </c>
      <c r="S545" s="23">
        <f t="shared" ca="1" si="127"/>
        <v>0</v>
      </c>
      <c r="T545" t="b">
        <f t="shared" ca="1" si="124"/>
        <v>1</v>
      </c>
      <c r="U545" s="22" t="e">
        <f t="shared" ca="1" si="120"/>
        <v>#N/A</v>
      </c>
      <c r="V545">
        <f t="shared" ca="1" si="121"/>
        <v>0</v>
      </c>
    </row>
    <row r="546" spans="2:22">
      <c r="B546">
        <f t="shared" si="125"/>
        <v>536</v>
      </c>
      <c r="C546" s="22" t="e">
        <f ca="1"/>
        <v>#N/A</v>
      </c>
      <c r="D546" s="17" t="e">
        <f ca="1"/>
        <v>#N/A</v>
      </c>
      <c r="E546" s="17" t="e">
        <f ca="1"/>
        <v>#N/A</v>
      </c>
      <c r="F546" s="23" t="e">
        <f ca="1"/>
        <v>#N/A</v>
      </c>
      <c r="G546" s="23">
        <f t="shared" ca="1" si="126"/>
        <v>0</v>
      </c>
      <c r="H546" t="b">
        <f t="shared" ca="1" si="122"/>
        <v>1</v>
      </c>
      <c r="I546" s="22" t="e">
        <f t="shared" ca="1" si="117"/>
        <v>#N/A</v>
      </c>
      <c r="J546">
        <f t="shared" ca="1" si="118"/>
        <v>0</v>
      </c>
      <c r="K546" t="e">
        <f t="shared" ca="1" si="123"/>
        <v>#N/A</v>
      </c>
      <c r="O546" s="22" t="e">
        <f t="shared" ca="1" si="119"/>
        <v>#N/A</v>
      </c>
      <c r="P546" s="17" t="e">
        <f ca="1"/>
        <v>#N/A</v>
      </c>
      <c r="Q546" s="17" t="e">
        <f ca="1"/>
        <v>#N/A</v>
      </c>
      <c r="R546" s="23" t="e">
        <f ca="1"/>
        <v>#N/A</v>
      </c>
      <c r="S546" s="23">
        <f t="shared" ca="1" si="127"/>
        <v>0</v>
      </c>
      <c r="T546" t="b">
        <f t="shared" ca="1" si="124"/>
        <v>1</v>
      </c>
      <c r="U546" s="22" t="e">
        <f t="shared" ca="1" si="120"/>
        <v>#N/A</v>
      </c>
      <c r="V546">
        <f t="shared" ca="1" si="121"/>
        <v>0</v>
      </c>
    </row>
    <row r="547" spans="2:22">
      <c r="B547">
        <f t="shared" si="125"/>
        <v>537</v>
      </c>
      <c r="C547" s="22" t="e">
        <f ca="1"/>
        <v>#N/A</v>
      </c>
      <c r="D547" s="17" t="e">
        <f ca="1"/>
        <v>#N/A</v>
      </c>
      <c r="E547" s="17" t="e">
        <f ca="1"/>
        <v>#N/A</v>
      </c>
      <c r="F547" s="23" t="e">
        <f ca="1"/>
        <v>#N/A</v>
      </c>
      <c r="G547" s="23">
        <f t="shared" ca="1" si="126"/>
        <v>0</v>
      </c>
      <c r="H547" t="b">
        <f t="shared" ca="1" si="122"/>
        <v>1</v>
      </c>
      <c r="I547" s="22" t="e">
        <f t="shared" ca="1" si="117"/>
        <v>#N/A</v>
      </c>
      <c r="J547">
        <f t="shared" ca="1" si="118"/>
        <v>0</v>
      </c>
      <c r="K547" t="e">
        <f t="shared" ca="1" si="123"/>
        <v>#N/A</v>
      </c>
      <c r="O547" s="22" t="e">
        <f t="shared" ca="1" si="119"/>
        <v>#N/A</v>
      </c>
      <c r="P547" s="17" t="e">
        <f ca="1"/>
        <v>#N/A</v>
      </c>
      <c r="Q547" s="17" t="e">
        <f ca="1"/>
        <v>#N/A</v>
      </c>
      <c r="R547" s="23" t="e">
        <f ca="1"/>
        <v>#N/A</v>
      </c>
      <c r="S547" s="23">
        <f t="shared" ca="1" si="127"/>
        <v>0</v>
      </c>
      <c r="T547" t="b">
        <f t="shared" ca="1" si="124"/>
        <v>1</v>
      </c>
      <c r="U547" s="22" t="e">
        <f t="shared" ca="1" si="120"/>
        <v>#N/A</v>
      </c>
      <c r="V547">
        <f t="shared" ca="1" si="121"/>
        <v>0</v>
      </c>
    </row>
    <row r="548" spans="2:22">
      <c r="B548">
        <f t="shared" si="125"/>
        <v>538</v>
      </c>
      <c r="C548" s="22" t="e">
        <f ca="1"/>
        <v>#N/A</v>
      </c>
      <c r="D548" s="17" t="e">
        <f ca="1"/>
        <v>#N/A</v>
      </c>
      <c r="E548" s="17" t="e">
        <f ca="1"/>
        <v>#N/A</v>
      </c>
      <c r="F548" s="23" t="e">
        <f ca="1"/>
        <v>#N/A</v>
      </c>
      <c r="G548" s="23">
        <f t="shared" ca="1" si="126"/>
        <v>0</v>
      </c>
      <c r="H548" t="b">
        <f t="shared" ca="1" si="122"/>
        <v>1</v>
      </c>
      <c r="I548" s="22" t="e">
        <f t="shared" ca="1" si="117"/>
        <v>#N/A</v>
      </c>
      <c r="J548">
        <f t="shared" ca="1" si="118"/>
        <v>0</v>
      </c>
      <c r="K548" t="e">
        <f t="shared" ca="1" si="123"/>
        <v>#N/A</v>
      </c>
      <c r="O548" s="22" t="e">
        <f t="shared" ca="1" si="119"/>
        <v>#N/A</v>
      </c>
      <c r="P548" s="17" t="e">
        <f ca="1"/>
        <v>#N/A</v>
      </c>
      <c r="Q548" s="17" t="e">
        <f ca="1"/>
        <v>#N/A</v>
      </c>
      <c r="R548" s="23" t="e">
        <f ca="1"/>
        <v>#N/A</v>
      </c>
      <c r="S548" s="23">
        <f t="shared" ca="1" si="127"/>
        <v>0</v>
      </c>
      <c r="T548" t="b">
        <f t="shared" ca="1" si="124"/>
        <v>1</v>
      </c>
      <c r="U548" s="22" t="e">
        <f t="shared" ca="1" si="120"/>
        <v>#N/A</v>
      </c>
      <c r="V548">
        <f t="shared" ca="1" si="121"/>
        <v>0</v>
      </c>
    </row>
    <row r="549" spans="2:22">
      <c r="B549">
        <f t="shared" si="125"/>
        <v>539</v>
      </c>
      <c r="C549" s="22" t="e">
        <f ca="1"/>
        <v>#N/A</v>
      </c>
      <c r="D549" s="17" t="e">
        <f ca="1"/>
        <v>#N/A</v>
      </c>
      <c r="E549" s="17" t="e">
        <f ca="1"/>
        <v>#N/A</v>
      </c>
      <c r="F549" s="23" t="e">
        <f ca="1"/>
        <v>#N/A</v>
      </c>
      <c r="G549" s="23">
        <f t="shared" ca="1" si="126"/>
        <v>0</v>
      </c>
      <c r="H549" t="b">
        <f t="shared" ca="1" si="122"/>
        <v>1</v>
      </c>
      <c r="I549" s="22" t="e">
        <f t="shared" ca="1" si="117"/>
        <v>#N/A</v>
      </c>
      <c r="J549">
        <f t="shared" ca="1" si="118"/>
        <v>0</v>
      </c>
      <c r="K549" t="e">
        <f t="shared" ca="1" si="123"/>
        <v>#N/A</v>
      </c>
      <c r="O549" s="22" t="e">
        <f t="shared" ca="1" si="119"/>
        <v>#N/A</v>
      </c>
      <c r="P549" s="17" t="e">
        <f ca="1"/>
        <v>#N/A</v>
      </c>
      <c r="Q549" s="17" t="e">
        <f ca="1"/>
        <v>#N/A</v>
      </c>
      <c r="R549" s="23" t="e">
        <f ca="1"/>
        <v>#N/A</v>
      </c>
      <c r="S549" s="23">
        <f t="shared" ca="1" si="127"/>
        <v>0</v>
      </c>
      <c r="T549" t="b">
        <f t="shared" ca="1" si="124"/>
        <v>1</v>
      </c>
      <c r="U549" s="22" t="e">
        <f t="shared" ca="1" si="120"/>
        <v>#N/A</v>
      </c>
      <c r="V549">
        <f t="shared" ca="1" si="121"/>
        <v>0</v>
      </c>
    </row>
    <row r="550" spans="2:22">
      <c r="B550">
        <f t="shared" si="125"/>
        <v>540</v>
      </c>
      <c r="C550" s="22" t="e">
        <f ca="1"/>
        <v>#N/A</v>
      </c>
      <c r="D550" s="17" t="e">
        <f ca="1"/>
        <v>#N/A</v>
      </c>
      <c r="E550" s="17" t="e">
        <f ca="1"/>
        <v>#N/A</v>
      </c>
      <c r="F550" s="23" t="e">
        <f ca="1"/>
        <v>#N/A</v>
      </c>
      <c r="G550" s="23">
        <f t="shared" ca="1" si="126"/>
        <v>0</v>
      </c>
      <c r="H550" t="b">
        <f t="shared" ca="1" si="122"/>
        <v>1</v>
      </c>
      <c r="I550" s="22" t="e">
        <f t="shared" ca="1" si="117"/>
        <v>#N/A</v>
      </c>
      <c r="J550">
        <f t="shared" ca="1" si="118"/>
        <v>0</v>
      </c>
      <c r="K550" t="e">
        <f t="shared" ca="1" si="123"/>
        <v>#N/A</v>
      </c>
      <c r="O550" s="22" t="e">
        <f t="shared" ca="1" si="119"/>
        <v>#N/A</v>
      </c>
      <c r="P550" s="17" t="e">
        <f ca="1"/>
        <v>#N/A</v>
      </c>
      <c r="Q550" s="17" t="e">
        <f ca="1"/>
        <v>#N/A</v>
      </c>
      <c r="R550" s="23" t="e">
        <f ca="1"/>
        <v>#N/A</v>
      </c>
      <c r="S550" s="23">
        <f t="shared" ca="1" si="127"/>
        <v>0</v>
      </c>
      <c r="T550" t="b">
        <f t="shared" ca="1" si="124"/>
        <v>1</v>
      </c>
      <c r="U550" s="22" t="e">
        <f t="shared" ca="1" si="120"/>
        <v>#N/A</v>
      </c>
      <c r="V550">
        <f t="shared" ca="1" si="121"/>
        <v>0</v>
      </c>
    </row>
    <row r="551" spans="2:22">
      <c r="B551">
        <f t="shared" si="125"/>
        <v>541</v>
      </c>
      <c r="C551" s="22" t="e">
        <f ca="1"/>
        <v>#N/A</v>
      </c>
      <c r="D551" s="17" t="e">
        <f ca="1"/>
        <v>#N/A</v>
      </c>
      <c r="E551" s="17" t="e">
        <f ca="1"/>
        <v>#N/A</v>
      </c>
      <c r="F551" s="23" t="e">
        <f ca="1"/>
        <v>#N/A</v>
      </c>
      <c r="G551" s="23">
        <f t="shared" ca="1" si="126"/>
        <v>0</v>
      </c>
      <c r="H551" t="b">
        <f t="shared" ca="1" si="122"/>
        <v>1</v>
      </c>
      <c r="I551" s="22" t="e">
        <f t="shared" ca="1" si="117"/>
        <v>#N/A</v>
      </c>
      <c r="J551">
        <f t="shared" ca="1" si="118"/>
        <v>0</v>
      </c>
      <c r="K551" t="e">
        <f t="shared" ca="1" si="123"/>
        <v>#N/A</v>
      </c>
      <c r="O551" s="22" t="e">
        <f t="shared" ca="1" si="119"/>
        <v>#N/A</v>
      </c>
      <c r="P551" s="17" t="e">
        <f ca="1"/>
        <v>#N/A</v>
      </c>
      <c r="Q551" s="17" t="e">
        <f ca="1"/>
        <v>#N/A</v>
      </c>
      <c r="R551" s="23" t="e">
        <f ca="1"/>
        <v>#N/A</v>
      </c>
      <c r="S551" s="23">
        <f t="shared" ca="1" si="127"/>
        <v>0</v>
      </c>
      <c r="T551" t="b">
        <f t="shared" ca="1" si="124"/>
        <v>1</v>
      </c>
      <c r="U551" s="22" t="e">
        <f t="shared" ca="1" si="120"/>
        <v>#N/A</v>
      </c>
      <c r="V551">
        <f t="shared" ca="1" si="121"/>
        <v>0</v>
      </c>
    </row>
    <row r="552" spans="2:22">
      <c r="B552">
        <f t="shared" si="125"/>
        <v>542</v>
      </c>
      <c r="C552" s="22" t="e">
        <f ca="1"/>
        <v>#N/A</v>
      </c>
      <c r="D552" s="17" t="e">
        <f ca="1"/>
        <v>#N/A</v>
      </c>
      <c r="E552" s="17" t="e">
        <f ca="1"/>
        <v>#N/A</v>
      </c>
      <c r="F552" s="23" t="e">
        <f ca="1"/>
        <v>#N/A</v>
      </c>
      <c r="G552" s="23">
        <f t="shared" ca="1" si="126"/>
        <v>0</v>
      </c>
      <c r="H552" t="b">
        <f t="shared" ca="1" si="122"/>
        <v>1</v>
      </c>
      <c r="I552" s="22" t="e">
        <f t="shared" ca="1" si="117"/>
        <v>#N/A</v>
      </c>
      <c r="J552">
        <f t="shared" ca="1" si="118"/>
        <v>0</v>
      </c>
      <c r="K552" t="e">
        <f t="shared" ca="1" si="123"/>
        <v>#N/A</v>
      </c>
      <c r="O552" s="22" t="e">
        <f t="shared" ca="1" si="119"/>
        <v>#N/A</v>
      </c>
      <c r="P552" s="17" t="e">
        <f ca="1"/>
        <v>#N/A</v>
      </c>
      <c r="Q552" s="17" t="e">
        <f ca="1"/>
        <v>#N/A</v>
      </c>
      <c r="R552" s="23" t="e">
        <f ca="1"/>
        <v>#N/A</v>
      </c>
      <c r="S552" s="23">
        <f t="shared" ca="1" si="127"/>
        <v>0</v>
      </c>
      <c r="T552" t="b">
        <f t="shared" ca="1" si="124"/>
        <v>1</v>
      </c>
      <c r="U552" s="22" t="e">
        <f t="shared" ca="1" si="120"/>
        <v>#N/A</v>
      </c>
      <c r="V552">
        <f t="shared" ca="1" si="121"/>
        <v>0</v>
      </c>
    </row>
    <row r="553" spans="2:22">
      <c r="B553">
        <f t="shared" si="125"/>
        <v>543</v>
      </c>
      <c r="C553" s="22" t="e">
        <f ca="1"/>
        <v>#N/A</v>
      </c>
      <c r="D553" s="17" t="e">
        <f ca="1"/>
        <v>#N/A</v>
      </c>
      <c r="E553" s="17" t="e">
        <f ca="1"/>
        <v>#N/A</v>
      </c>
      <c r="F553" s="23" t="e">
        <f ca="1"/>
        <v>#N/A</v>
      </c>
      <c r="G553" s="23">
        <f t="shared" ca="1" si="126"/>
        <v>0</v>
      </c>
      <c r="H553" t="b">
        <f t="shared" ca="1" si="122"/>
        <v>1</v>
      </c>
      <c r="I553" s="22" t="e">
        <f t="shared" ca="1" si="117"/>
        <v>#N/A</v>
      </c>
      <c r="J553">
        <f t="shared" ca="1" si="118"/>
        <v>0</v>
      </c>
      <c r="K553" t="e">
        <f t="shared" ca="1" si="123"/>
        <v>#N/A</v>
      </c>
      <c r="O553" s="22" t="e">
        <f t="shared" ca="1" si="119"/>
        <v>#N/A</v>
      </c>
      <c r="P553" s="17" t="e">
        <f ca="1"/>
        <v>#N/A</v>
      </c>
      <c r="Q553" s="17" t="e">
        <f ca="1"/>
        <v>#N/A</v>
      </c>
      <c r="R553" s="23" t="e">
        <f ca="1"/>
        <v>#N/A</v>
      </c>
      <c r="S553" s="23">
        <f t="shared" ca="1" si="127"/>
        <v>0</v>
      </c>
      <c r="T553" t="b">
        <f t="shared" ca="1" si="124"/>
        <v>1</v>
      </c>
      <c r="U553" s="22" t="e">
        <f t="shared" ca="1" si="120"/>
        <v>#N/A</v>
      </c>
      <c r="V553">
        <f t="shared" ca="1" si="121"/>
        <v>0</v>
      </c>
    </row>
    <row r="554" spans="2:22">
      <c r="B554">
        <f t="shared" si="125"/>
        <v>544</v>
      </c>
      <c r="C554" s="22" t="e">
        <f ca="1"/>
        <v>#N/A</v>
      </c>
      <c r="D554" s="17" t="e">
        <f ca="1"/>
        <v>#N/A</v>
      </c>
      <c r="E554" s="17" t="e">
        <f ca="1"/>
        <v>#N/A</v>
      </c>
      <c r="F554" s="23" t="e">
        <f ca="1"/>
        <v>#N/A</v>
      </c>
      <c r="G554" s="23">
        <f t="shared" ca="1" si="126"/>
        <v>0</v>
      </c>
      <c r="H554" t="b">
        <f t="shared" ca="1" si="122"/>
        <v>1</v>
      </c>
      <c r="I554" s="22" t="e">
        <f t="shared" ca="1" si="117"/>
        <v>#N/A</v>
      </c>
      <c r="J554">
        <f t="shared" ca="1" si="118"/>
        <v>0</v>
      </c>
      <c r="K554" t="e">
        <f t="shared" ca="1" si="123"/>
        <v>#N/A</v>
      </c>
      <c r="O554" s="22" t="e">
        <f t="shared" ca="1" si="119"/>
        <v>#N/A</v>
      </c>
      <c r="P554" s="17" t="e">
        <f ca="1"/>
        <v>#N/A</v>
      </c>
      <c r="Q554" s="17" t="e">
        <f ca="1"/>
        <v>#N/A</v>
      </c>
      <c r="R554" s="23" t="e">
        <f ca="1"/>
        <v>#N/A</v>
      </c>
      <c r="S554" s="23">
        <f t="shared" ca="1" si="127"/>
        <v>0</v>
      </c>
      <c r="T554" t="b">
        <f t="shared" ca="1" si="124"/>
        <v>1</v>
      </c>
      <c r="U554" s="22" t="e">
        <f t="shared" ca="1" si="120"/>
        <v>#N/A</v>
      </c>
      <c r="V554">
        <f t="shared" ca="1" si="121"/>
        <v>0</v>
      </c>
    </row>
    <row r="555" spans="2:22">
      <c r="B555">
        <f t="shared" si="125"/>
        <v>545</v>
      </c>
      <c r="C555" s="22" t="e">
        <f ca="1"/>
        <v>#N/A</v>
      </c>
      <c r="D555" s="17" t="e">
        <f ca="1"/>
        <v>#N/A</v>
      </c>
      <c r="E555" s="17" t="e">
        <f ca="1"/>
        <v>#N/A</v>
      </c>
      <c r="F555" s="23" t="e">
        <f ca="1"/>
        <v>#N/A</v>
      </c>
      <c r="G555" s="23">
        <f t="shared" ca="1" si="126"/>
        <v>0</v>
      </c>
      <c r="H555" t="b">
        <f t="shared" ca="1" si="122"/>
        <v>1</v>
      </c>
      <c r="I555" s="22" t="e">
        <f t="shared" ca="1" si="117"/>
        <v>#N/A</v>
      </c>
      <c r="J555">
        <f t="shared" ca="1" si="118"/>
        <v>0</v>
      </c>
      <c r="K555" t="e">
        <f t="shared" ca="1" si="123"/>
        <v>#N/A</v>
      </c>
      <c r="O555" s="22" t="e">
        <f t="shared" ca="1" si="119"/>
        <v>#N/A</v>
      </c>
      <c r="P555" s="17" t="e">
        <f ca="1"/>
        <v>#N/A</v>
      </c>
      <c r="Q555" s="17" t="e">
        <f ca="1"/>
        <v>#N/A</v>
      </c>
      <c r="R555" s="23" t="e">
        <f ca="1"/>
        <v>#N/A</v>
      </c>
      <c r="S555" s="23">
        <f t="shared" ca="1" si="127"/>
        <v>0</v>
      </c>
      <c r="T555" t="b">
        <f t="shared" ca="1" si="124"/>
        <v>1</v>
      </c>
      <c r="U555" s="22" t="e">
        <f t="shared" ca="1" si="120"/>
        <v>#N/A</v>
      </c>
      <c r="V555">
        <f t="shared" ca="1" si="121"/>
        <v>0</v>
      </c>
    </row>
    <row r="556" spans="2:22">
      <c r="B556">
        <f t="shared" si="125"/>
        <v>546</v>
      </c>
      <c r="C556" s="22" t="e">
        <f ca="1"/>
        <v>#N/A</v>
      </c>
      <c r="D556" s="17" t="e">
        <f ca="1"/>
        <v>#N/A</v>
      </c>
      <c r="E556" s="17" t="e">
        <f ca="1"/>
        <v>#N/A</v>
      </c>
      <c r="F556" s="23" t="e">
        <f ca="1"/>
        <v>#N/A</v>
      </c>
      <c r="G556" s="23">
        <f t="shared" ca="1" si="126"/>
        <v>0</v>
      </c>
      <c r="H556" t="b">
        <f t="shared" ca="1" si="122"/>
        <v>1</v>
      </c>
      <c r="I556" s="22" t="e">
        <f t="shared" ca="1" si="117"/>
        <v>#N/A</v>
      </c>
      <c r="J556">
        <f t="shared" ca="1" si="118"/>
        <v>0</v>
      </c>
      <c r="K556" t="e">
        <f t="shared" ca="1" si="123"/>
        <v>#N/A</v>
      </c>
      <c r="O556" s="22" t="e">
        <f t="shared" ca="1" si="119"/>
        <v>#N/A</v>
      </c>
      <c r="P556" s="17" t="e">
        <f ca="1"/>
        <v>#N/A</v>
      </c>
      <c r="Q556" s="17" t="e">
        <f ca="1"/>
        <v>#N/A</v>
      </c>
      <c r="R556" s="23" t="e">
        <f ca="1"/>
        <v>#N/A</v>
      </c>
      <c r="S556" s="23">
        <f t="shared" ca="1" si="127"/>
        <v>0</v>
      </c>
      <c r="T556" t="b">
        <f t="shared" ca="1" si="124"/>
        <v>1</v>
      </c>
      <c r="U556" s="22" t="e">
        <f t="shared" ca="1" si="120"/>
        <v>#N/A</v>
      </c>
      <c r="V556">
        <f t="shared" ca="1" si="121"/>
        <v>0</v>
      </c>
    </row>
    <row r="557" spans="2:22">
      <c r="B557">
        <f t="shared" si="125"/>
        <v>547</v>
      </c>
      <c r="C557" s="22" t="e">
        <f ca="1"/>
        <v>#N/A</v>
      </c>
      <c r="D557" s="17" t="e">
        <f ca="1"/>
        <v>#N/A</v>
      </c>
      <c r="E557" s="17" t="e">
        <f ca="1"/>
        <v>#N/A</v>
      </c>
      <c r="F557" s="23" t="e">
        <f ca="1"/>
        <v>#N/A</v>
      </c>
      <c r="G557" s="23">
        <f t="shared" ca="1" si="126"/>
        <v>0</v>
      </c>
      <c r="H557" t="b">
        <f t="shared" ca="1" si="122"/>
        <v>1</v>
      </c>
      <c r="I557" s="22" t="e">
        <f t="shared" ca="1" si="117"/>
        <v>#N/A</v>
      </c>
      <c r="J557">
        <f t="shared" ca="1" si="118"/>
        <v>0</v>
      </c>
      <c r="K557" t="e">
        <f t="shared" ca="1" si="123"/>
        <v>#N/A</v>
      </c>
      <c r="O557" s="22" t="e">
        <f t="shared" ca="1" si="119"/>
        <v>#N/A</v>
      </c>
      <c r="P557" s="17" t="e">
        <f ca="1"/>
        <v>#N/A</v>
      </c>
      <c r="Q557" s="17" t="e">
        <f ca="1"/>
        <v>#N/A</v>
      </c>
      <c r="R557" s="23" t="e">
        <f ca="1"/>
        <v>#N/A</v>
      </c>
      <c r="S557" s="23">
        <f t="shared" ca="1" si="127"/>
        <v>0</v>
      </c>
      <c r="T557" t="b">
        <f t="shared" ca="1" si="124"/>
        <v>1</v>
      </c>
      <c r="U557" s="22" t="e">
        <f t="shared" ca="1" si="120"/>
        <v>#N/A</v>
      </c>
      <c r="V557">
        <f t="shared" ca="1" si="121"/>
        <v>0</v>
      </c>
    </row>
    <row r="558" spans="2:22">
      <c r="B558">
        <f t="shared" si="125"/>
        <v>548</v>
      </c>
      <c r="C558" s="22" t="e">
        <f ca="1"/>
        <v>#N/A</v>
      </c>
      <c r="D558" s="17" t="e">
        <f ca="1"/>
        <v>#N/A</v>
      </c>
      <c r="E558" s="17" t="e">
        <f ca="1"/>
        <v>#N/A</v>
      </c>
      <c r="F558" s="23" t="e">
        <f ca="1"/>
        <v>#N/A</v>
      </c>
      <c r="G558" s="23">
        <f t="shared" ca="1" si="126"/>
        <v>0</v>
      </c>
      <c r="H558" t="b">
        <f t="shared" ca="1" si="122"/>
        <v>1</v>
      </c>
      <c r="I558" s="22" t="e">
        <f t="shared" ca="1" si="117"/>
        <v>#N/A</v>
      </c>
      <c r="J558">
        <f t="shared" ca="1" si="118"/>
        <v>0</v>
      </c>
      <c r="K558" t="e">
        <f t="shared" ca="1" si="123"/>
        <v>#N/A</v>
      </c>
      <c r="O558" s="22" t="e">
        <f t="shared" ca="1" si="119"/>
        <v>#N/A</v>
      </c>
      <c r="P558" s="17" t="e">
        <f ca="1"/>
        <v>#N/A</v>
      </c>
      <c r="Q558" s="17" t="e">
        <f ca="1"/>
        <v>#N/A</v>
      </c>
      <c r="R558" s="23" t="e">
        <f ca="1"/>
        <v>#N/A</v>
      </c>
      <c r="S558" s="23">
        <f t="shared" ca="1" si="127"/>
        <v>0</v>
      </c>
      <c r="T558" t="b">
        <f t="shared" ca="1" si="124"/>
        <v>1</v>
      </c>
      <c r="U558" s="22" t="e">
        <f t="shared" ca="1" si="120"/>
        <v>#N/A</v>
      </c>
      <c r="V558">
        <f t="shared" ca="1" si="121"/>
        <v>0</v>
      </c>
    </row>
    <row r="559" spans="2:22">
      <c r="B559">
        <f t="shared" si="125"/>
        <v>549</v>
      </c>
      <c r="C559" s="22" t="e">
        <f ca="1"/>
        <v>#N/A</v>
      </c>
      <c r="D559" s="17" t="e">
        <f ca="1"/>
        <v>#N/A</v>
      </c>
      <c r="E559" s="17" t="e">
        <f ca="1"/>
        <v>#N/A</v>
      </c>
      <c r="F559" s="23" t="e">
        <f ca="1"/>
        <v>#N/A</v>
      </c>
      <c r="G559" s="23">
        <f t="shared" ca="1" si="126"/>
        <v>0</v>
      </c>
      <c r="H559" t="b">
        <f t="shared" ca="1" si="122"/>
        <v>1</v>
      </c>
      <c r="I559" s="22" t="e">
        <f t="shared" ca="1" si="117"/>
        <v>#N/A</v>
      </c>
      <c r="J559">
        <f t="shared" ca="1" si="118"/>
        <v>0</v>
      </c>
      <c r="K559" t="e">
        <f t="shared" ca="1" si="123"/>
        <v>#N/A</v>
      </c>
      <c r="O559" s="22" t="e">
        <f t="shared" ca="1" si="119"/>
        <v>#N/A</v>
      </c>
      <c r="P559" s="17" t="e">
        <f ca="1"/>
        <v>#N/A</v>
      </c>
      <c r="Q559" s="17" t="e">
        <f ca="1"/>
        <v>#N/A</v>
      </c>
      <c r="R559" s="23" t="e">
        <f ca="1"/>
        <v>#N/A</v>
      </c>
      <c r="S559" s="23">
        <f t="shared" ca="1" si="127"/>
        <v>0</v>
      </c>
      <c r="T559" t="b">
        <f t="shared" ca="1" si="124"/>
        <v>1</v>
      </c>
      <c r="U559" s="22" t="e">
        <f t="shared" ca="1" si="120"/>
        <v>#N/A</v>
      </c>
      <c r="V559">
        <f t="shared" ca="1" si="121"/>
        <v>0</v>
      </c>
    </row>
    <row r="560" spans="2:22">
      <c r="B560">
        <f t="shared" si="125"/>
        <v>550</v>
      </c>
      <c r="C560" s="22" t="e">
        <f ca="1"/>
        <v>#N/A</v>
      </c>
      <c r="D560" s="17" t="e">
        <f ca="1"/>
        <v>#N/A</v>
      </c>
      <c r="E560" s="17" t="e">
        <f ca="1"/>
        <v>#N/A</v>
      </c>
      <c r="F560" s="23" t="e">
        <f ca="1"/>
        <v>#N/A</v>
      </c>
      <c r="G560" s="23">
        <f t="shared" ca="1" si="126"/>
        <v>0</v>
      </c>
      <c r="H560" t="b">
        <f t="shared" ca="1" si="122"/>
        <v>1</v>
      </c>
      <c r="I560" s="22" t="e">
        <f t="shared" ca="1" si="117"/>
        <v>#N/A</v>
      </c>
      <c r="J560">
        <f t="shared" ca="1" si="118"/>
        <v>0</v>
      </c>
      <c r="K560" t="e">
        <f t="shared" ca="1" si="123"/>
        <v>#N/A</v>
      </c>
      <c r="O560" s="22" t="e">
        <f t="shared" ca="1" si="119"/>
        <v>#N/A</v>
      </c>
      <c r="P560" s="17" t="e">
        <f ca="1"/>
        <v>#N/A</v>
      </c>
      <c r="Q560" s="17" t="e">
        <f ca="1"/>
        <v>#N/A</v>
      </c>
      <c r="R560" s="23" t="e">
        <f ca="1"/>
        <v>#N/A</v>
      </c>
      <c r="S560" s="23">
        <f t="shared" ca="1" si="127"/>
        <v>0</v>
      </c>
      <c r="T560" t="b">
        <f t="shared" ca="1" si="124"/>
        <v>1</v>
      </c>
      <c r="U560" s="22" t="e">
        <f t="shared" ca="1" si="120"/>
        <v>#N/A</v>
      </c>
      <c r="V560">
        <f t="shared" ca="1" si="121"/>
        <v>0</v>
      </c>
    </row>
    <row r="561" spans="2:22">
      <c r="B561">
        <f t="shared" si="125"/>
        <v>551</v>
      </c>
      <c r="C561" s="22" t="e">
        <f ca="1"/>
        <v>#N/A</v>
      </c>
      <c r="D561" s="17" t="e">
        <f ca="1"/>
        <v>#N/A</v>
      </c>
      <c r="E561" s="17" t="e">
        <f ca="1"/>
        <v>#N/A</v>
      </c>
      <c r="F561" s="23" t="e">
        <f ca="1"/>
        <v>#N/A</v>
      </c>
      <c r="G561" s="23">
        <f t="shared" ca="1" si="126"/>
        <v>0</v>
      </c>
      <c r="H561" t="b">
        <f t="shared" ca="1" si="122"/>
        <v>1</v>
      </c>
      <c r="I561" s="22" t="e">
        <f t="shared" ca="1" si="117"/>
        <v>#N/A</v>
      </c>
      <c r="J561">
        <f t="shared" ca="1" si="118"/>
        <v>0</v>
      </c>
      <c r="K561" t="e">
        <f t="shared" ca="1" si="123"/>
        <v>#N/A</v>
      </c>
      <c r="O561" s="22" t="e">
        <f t="shared" ca="1" si="119"/>
        <v>#N/A</v>
      </c>
      <c r="P561" s="17" t="e">
        <f ca="1"/>
        <v>#N/A</v>
      </c>
      <c r="Q561" s="17" t="e">
        <f ca="1"/>
        <v>#N/A</v>
      </c>
      <c r="R561" s="23" t="e">
        <f ca="1"/>
        <v>#N/A</v>
      </c>
      <c r="S561" s="23">
        <f t="shared" ca="1" si="127"/>
        <v>0</v>
      </c>
      <c r="T561" t="b">
        <f t="shared" ca="1" si="124"/>
        <v>1</v>
      </c>
      <c r="U561" s="22" t="e">
        <f t="shared" ca="1" si="120"/>
        <v>#N/A</v>
      </c>
      <c r="V561">
        <f t="shared" ca="1" si="121"/>
        <v>0</v>
      </c>
    </row>
    <row r="562" spans="2:22">
      <c r="B562">
        <f t="shared" si="125"/>
        <v>552</v>
      </c>
      <c r="C562" s="22" t="e">
        <f ca="1"/>
        <v>#N/A</v>
      </c>
      <c r="D562" s="17" t="e">
        <f ca="1"/>
        <v>#N/A</v>
      </c>
      <c r="E562" s="17" t="e">
        <f ca="1"/>
        <v>#N/A</v>
      </c>
      <c r="F562" s="23" t="e">
        <f ca="1"/>
        <v>#N/A</v>
      </c>
      <c r="G562" s="23">
        <f t="shared" ca="1" si="126"/>
        <v>0</v>
      </c>
      <c r="H562" t="b">
        <f t="shared" ca="1" si="122"/>
        <v>1</v>
      </c>
      <c r="I562" s="22" t="e">
        <f t="shared" ca="1" si="117"/>
        <v>#N/A</v>
      </c>
      <c r="J562">
        <f t="shared" ca="1" si="118"/>
        <v>0</v>
      </c>
      <c r="K562" t="e">
        <f t="shared" ca="1" si="123"/>
        <v>#N/A</v>
      </c>
      <c r="O562" s="22" t="e">
        <f t="shared" ca="1" si="119"/>
        <v>#N/A</v>
      </c>
      <c r="P562" s="17" t="e">
        <f ca="1"/>
        <v>#N/A</v>
      </c>
      <c r="Q562" s="17" t="e">
        <f ca="1"/>
        <v>#N/A</v>
      </c>
      <c r="R562" s="23" t="e">
        <f ca="1"/>
        <v>#N/A</v>
      </c>
      <c r="S562" s="23">
        <f t="shared" ca="1" si="127"/>
        <v>0</v>
      </c>
      <c r="T562" t="b">
        <f t="shared" ca="1" si="124"/>
        <v>1</v>
      </c>
      <c r="U562" s="22" t="e">
        <f t="shared" ca="1" si="120"/>
        <v>#N/A</v>
      </c>
      <c r="V562">
        <f t="shared" ca="1" si="121"/>
        <v>0</v>
      </c>
    </row>
    <row r="563" spans="2:22">
      <c r="B563">
        <f t="shared" si="125"/>
        <v>553</v>
      </c>
      <c r="C563" s="22" t="e">
        <f ca="1"/>
        <v>#N/A</v>
      </c>
      <c r="D563" s="17" t="e">
        <f ca="1"/>
        <v>#N/A</v>
      </c>
      <c r="E563" s="17" t="e">
        <f ca="1"/>
        <v>#N/A</v>
      </c>
      <c r="F563" s="23" t="e">
        <f ca="1"/>
        <v>#N/A</v>
      </c>
      <c r="G563" s="23">
        <f t="shared" ca="1" si="126"/>
        <v>0</v>
      </c>
      <c r="H563" t="b">
        <f t="shared" ca="1" si="122"/>
        <v>1</v>
      </c>
      <c r="I563" s="22" t="e">
        <f t="shared" ca="1" si="117"/>
        <v>#N/A</v>
      </c>
      <c r="J563">
        <f t="shared" ca="1" si="118"/>
        <v>0</v>
      </c>
      <c r="K563" t="e">
        <f t="shared" ca="1" si="123"/>
        <v>#N/A</v>
      </c>
      <c r="O563" s="22" t="e">
        <f t="shared" ca="1" si="119"/>
        <v>#N/A</v>
      </c>
      <c r="P563" s="17" t="e">
        <f ca="1"/>
        <v>#N/A</v>
      </c>
      <c r="Q563" s="17" t="e">
        <f ca="1"/>
        <v>#N/A</v>
      </c>
      <c r="R563" s="23" t="e">
        <f ca="1"/>
        <v>#N/A</v>
      </c>
      <c r="S563" s="23">
        <f t="shared" ca="1" si="127"/>
        <v>0</v>
      </c>
      <c r="T563" t="b">
        <f t="shared" ca="1" si="124"/>
        <v>1</v>
      </c>
      <c r="U563" s="22" t="e">
        <f t="shared" ca="1" si="120"/>
        <v>#N/A</v>
      </c>
      <c r="V563">
        <f t="shared" ca="1" si="121"/>
        <v>0</v>
      </c>
    </row>
    <row r="564" spans="2:22">
      <c r="B564">
        <f t="shared" si="125"/>
        <v>554</v>
      </c>
      <c r="C564" s="22" t="e">
        <f ca="1"/>
        <v>#N/A</v>
      </c>
      <c r="D564" s="17" t="e">
        <f ca="1"/>
        <v>#N/A</v>
      </c>
      <c r="E564" s="17" t="e">
        <f ca="1"/>
        <v>#N/A</v>
      </c>
      <c r="F564" s="23" t="e">
        <f ca="1"/>
        <v>#N/A</v>
      </c>
      <c r="G564" s="23">
        <f t="shared" ca="1" si="126"/>
        <v>0</v>
      </c>
      <c r="H564" t="b">
        <f t="shared" ca="1" si="122"/>
        <v>1</v>
      </c>
      <c r="I564" s="22" t="e">
        <f t="shared" ca="1" si="117"/>
        <v>#N/A</v>
      </c>
      <c r="J564">
        <f t="shared" ca="1" si="118"/>
        <v>0</v>
      </c>
      <c r="K564" t="e">
        <f t="shared" ca="1" si="123"/>
        <v>#N/A</v>
      </c>
      <c r="O564" s="22" t="e">
        <f t="shared" ca="1" si="119"/>
        <v>#N/A</v>
      </c>
      <c r="P564" s="17" t="e">
        <f ca="1"/>
        <v>#N/A</v>
      </c>
      <c r="Q564" s="17" t="e">
        <f ca="1"/>
        <v>#N/A</v>
      </c>
      <c r="R564" s="23" t="e">
        <f ca="1"/>
        <v>#N/A</v>
      </c>
      <c r="S564" s="23">
        <f t="shared" ca="1" si="127"/>
        <v>0</v>
      </c>
      <c r="T564" t="b">
        <f t="shared" ca="1" si="124"/>
        <v>1</v>
      </c>
      <c r="U564" s="22" t="e">
        <f t="shared" ca="1" si="120"/>
        <v>#N/A</v>
      </c>
      <c r="V564">
        <f t="shared" ca="1" si="121"/>
        <v>0</v>
      </c>
    </row>
    <row r="565" spans="2:22">
      <c r="B565">
        <f t="shared" si="125"/>
        <v>555</v>
      </c>
      <c r="C565" s="22" t="e">
        <f ca="1"/>
        <v>#N/A</v>
      </c>
      <c r="D565" s="17" t="e">
        <f ca="1"/>
        <v>#N/A</v>
      </c>
      <c r="E565" s="17" t="e">
        <f ca="1"/>
        <v>#N/A</v>
      </c>
      <c r="F565" s="23" t="e">
        <f ca="1"/>
        <v>#N/A</v>
      </c>
      <c r="G565" s="23">
        <f t="shared" ca="1" si="126"/>
        <v>0</v>
      </c>
      <c r="H565" t="b">
        <f t="shared" ca="1" si="122"/>
        <v>1</v>
      </c>
      <c r="I565" s="22" t="e">
        <f t="shared" ca="1" si="117"/>
        <v>#N/A</v>
      </c>
      <c r="J565">
        <f t="shared" ca="1" si="118"/>
        <v>0</v>
      </c>
      <c r="K565" t="e">
        <f t="shared" ca="1" si="123"/>
        <v>#N/A</v>
      </c>
      <c r="O565" s="22" t="e">
        <f t="shared" ca="1" si="119"/>
        <v>#N/A</v>
      </c>
      <c r="P565" s="17" t="e">
        <f ca="1"/>
        <v>#N/A</v>
      </c>
      <c r="Q565" s="17" t="e">
        <f ca="1"/>
        <v>#N/A</v>
      </c>
      <c r="R565" s="23" t="e">
        <f ca="1"/>
        <v>#N/A</v>
      </c>
      <c r="S565" s="23">
        <f t="shared" ca="1" si="127"/>
        <v>0</v>
      </c>
      <c r="T565" t="b">
        <f t="shared" ca="1" si="124"/>
        <v>1</v>
      </c>
      <c r="U565" s="22" t="e">
        <f t="shared" ca="1" si="120"/>
        <v>#N/A</v>
      </c>
      <c r="V565">
        <f t="shared" ca="1" si="121"/>
        <v>0</v>
      </c>
    </row>
    <row r="566" spans="2:22">
      <c r="B566">
        <f t="shared" si="125"/>
        <v>556</v>
      </c>
      <c r="C566" s="22" t="e">
        <f ca="1"/>
        <v>#N/A</v>
      </c>
      <c r="D566" s="17" t="e">
        <f ca="1"/>
        <v>#N/A</v>
      </c>
      <c r="E566" s="17" t="e">
        <f ca="1"/>
        <v>#N/A</v>
      </c>
      <c r="F566" s="23" t="e">
        <f ca="1"/>
        <v>#N/A</v>
      </c>
      <c r="G566" s="23">
        <f t="shared" ca="1" si="126"/>
        <v>0</v>
      </c>
      <c r="H566" t="b">
        <f t="shared" ca="1" si="122"/>
        <v>1</v>
      </c>
      <c r="I566" s="22" t="e">
        <f t="shared" ca="1" si="117"/>
        <v>#N/A</v>
      </c>
      <c r="J566">
        <f t="shared" ca="1" si="118"/>
        <v>0</v>
      </c>
      <c r="K566" t="e">
        <f t="shared" ca="1" si="123"/>
        <v>#N/A</v>
      </c>
      <c r="O566" s="22" t="e">
        <f t="shared" ca="1" si="119"/>
        <v>#N/A</v>
      </c>
      <c r="P566" s="17" t="e">
        <f ca="1"/>
        <v>#N/A</v>
      </c>
      <c r="Q566" s="17" t="e">
        <f ca="1"/>
        <v>#N/A</v>
      </c>
      <c r="R566" s="23" t="e">
        <f ca="1"/>
        <v>#N/A</v>
      </c>
      <c r="S566" s="23">
        <f t="shared" ca="1" si="127"/>
        <v>0</v>
      </c>
      <c r="T566" t="b">
        <f t="shared" ca="1" si="124"/>
        <v>1</v>
      </c>
      <c r="U566" s="22" t="e">
        <f t="shared" ca="1" si="120"/>
        <v>#N/A</v>
      </c>
      <c r="V566">
        <f t="shared" ca="1" si="121"/>
        <v>0</v>
      </c>
    </row>
    <row r="567" spans="2:22">
      <c r="B567">
        <f t="shared" si="125"/>
        <v>557</v>
      </c>
      <c r="C567" s="22" t="e">
        <f ca="1"/>
        <v>#N/A</v>
      </c>
      <c r="D567" s="17" t="e">
        <f ca="1"/>
        <v>#N/A</v>
      </c>
      <c r="E567" s="17" t="e">
        <f ca="1"/>
        <v>#N/A</v>
      </c>
      <c r="F567" s="23" t="e">
        <f ca="1"/>
        <v>#N/A</v>
      </c>
      <c r="G567" s="23">
        <f t="shared" ca="1" si="126"/>
        <v>0</v>
      </c>
      <c r="H567" t="b">
        <f t="shared" ca="1" si="122"/>
        <v>1</v>
      </c>
      <c r="I567" s="22" t="e">
        <f t="shared" ca="1" si="117"/>
        <v>#N/A</v>
      </c>
      <c r="J567">
        <f t="shared" ca="1" si="118"/>
        <v>0</v>
      </c>
      <c r="K567" t="e">
        <f t="shared" ca="1" si="123"/>
        <v>#N/A</v>
      </c>
      <c r="O567" s="22" t="e">
        <f t="shared" ca="1" si="119"/>
        <v>#N/A</v>
      </c>
      <c r="P567" s="17" t="e">
        <f ca="1"/>
        <v>#N/A</v>
      </c>
      <c r="Q567" s="17" t="e">
        <f ca="1"/>
        <v>#N/A</v>
      </c>
      <c r="R567" s="23" t="e">
        <f ca="1"/>
        <v>#N/A</v>
      </c>
      <c r="S567" s="23">
        <f t="shared" ca="1" si="127"/>
        <v>0</v>
      </c>
      <c r="T567" t="b">
        <f t="shared" ca="1" si="124"/>
        <v>1</v>
      </c>
      <c r="U567" s="22" t="e">
        <f t="shared" ca="1" si="120"/>
        <v>#N/A</v>
      </c>
      <c r="V567">
        <f t="shared" ca="1" si="121"/>
        <v>0</v>
      </c>
    </row>
    <row r="568" spans="2:22">
      <c r="B568">
        <f t="shared" si="125"/>
        <v>558</v>
      </c>
      <c r="C568" s="22" t="e">
        <f ca="1"/>
        <v>#N/A</v>
      </c>
      <c r="D568" s="17" t="e">
        <f ca="1"/>
        <v>#N/A</v>
      </c>
      <c r="E568" s="17" t="e">
        <f ca="1"/>
        <v>#N/A</v>
      </c>
      <c r="F568" s="23" t="e">
        <f ca="1"/>
        <v>#N/A</v>
      </c>
      <c r="G568" s="23">
        <f t="shared" ca="1" si="126"/>
        <v>0</v>
      </c>
      <c r="H568" t="b">
        <f t="shared" ca="1" si="122"/>
        <v>1</v>
      </c>
      <c r="I568" s="22" t="e">
        <f t="shared" ca="1" si="117"/>
        <v>#N/A</v>
      </c>
      <c r="J568">
        <f t="shared" ca="1" si="118"/>
        <v>0</v>
      </c>
      <c r="K568" t="e">
        <f t="shared" ca="1" si="123"/>
        <v>#N/A</v>
      </c>
      <c r="O568" s="22" t="e">
        <f t="shared" ca="1" si="119"/>
        <v>#N/A</v>
      </c>
      <c r="P568" s="17" t="e">
        <f ca="1"/>
        <v>#N/A</v>
      </c>
      <c r="Q568" s="17" t="e">
        <f ca="1"/>
        <v>#N/A</v>
      </c>
      <c r="R568" s="23" t="e">
        <f ca="1"/>
        <v>#N/A</v>
      </c>
      <c r="S568" s="23">
        <f t="shared" ca="1" si="127"/>
        <v>0</v>
      </c>
      <c r="T568" t="b">
        <f t="shared" ca="1" si="124"/>
        <v>1</v>
      </c>
      <c r="U568" s="22" t="e">
        <f t="shared" ca="1" si="120"/>
        <v>#N/A</v>
      </c>
      <c r="V568">
        <f t="shared" ca="1" si="121"/>
        <v>0</v>
      </c>
    </row>
    <row r="569" spans="2:22">
      <c r="B569">
        <f t="shared" si="125"/>
        <v>559</v>
      </c>
      <c r="C569" s="22" t="e">
        <f ca="1"/>
        <v>#N/A</v>
      </c>
      <c r="D569" s="17" t="e">
        <f ca="1"/>
        <v>#N/A</v>
      </c>
      <c r="E569" s="17" t="e">
        <f ca="1"/>
        <v>#N/A</v>
      </c>
      <c r="F569" s="23" t="e">
        <f ca="1"/>
        <v>#N/A</v>
      </c>
      <c r="G569" s="23">
        <f t="shared" ca="1" si="126"/>
        <v>0</v>
      </c>
      <c r="H569" t="b">
        <f t="shared" ca="1" si="122"/>
        <v>1</v>
      </c>
      <c r="I569" s="22" t="e">
        <f t="shared" ca="1" si="117"/>
        <v>#N/A</v>
      </c>
      <c r="J569">
        <f t="shared" ca="1" si="118"/>
        <v>0</v>
      </c>
      <c r="K569" t="e">
        <f t="shared" ca="1" si="123"/>
        <v>#N/A</v>
      </c>
      <c r="O569" s="22" t="e">
        <f t="shared" ca="1" si="119"/>
        <v>#N/A</v>
      </c>
      <c r="P569" s="17" t="e">
        <f ca="1"/>
        <v>#N/A</v>
      </c>
      <c r="Q569" s="17" t="e">
        <f ca="1"/>
        <v>#N/A</v>
      </c>
      <c r="R569" s="23" t="e">
        <f ca="1"/>
        <v>#N/A</v>
      </c>
      <c r="S569" s="23">
        <f t="shared" ca="1" si="127"/>
        <v>0</v>
      </c>
      <c r="T569" t="b">
        <f t="shared" ca="1" si="124"/>
        <v>1</v>
      </c>
      <c r="U569" s="22" t="e">
        <f t="shared" ca="1" si="120"/>
        <v>#N/A</v>
      </c>
      <c r="V569">
        <f t="shared" ca="1" si="121"/>
        <v>0</v>
      </c>
    </row>
    <row r="570" spans="2:22">
      <c r="B570">
        <f t="shared" si="125"/>
        <v>560</v>
      </c>
      <c r="C570" s="22" t="e">
        <f ca="1"/>
        <v>#N/A</v>
      </c>
      <c r="D570" s="17" t="e">
        <f ca="1"/>
        <v>#N/A</v>
      </c>
      <c r="E570" s="17" t="e">
        <f ca="1"/>
        <v>#N/A</v>
      </c>
      <c r="F570" s="23" t="e">
        <f ca="1"/>
        <v>#N/A</v>
      </c>
      <c r="G570" s="23">
        <f t="shared" ca="1" si="126"/>
        <v>0</v>
      </c>
      <c r="H570" t="b">
        <f t="shared" ca="1" si="122"/>
        <v>1</v>
      </c>
      <c r="I570" s="22" t="e">
        <f t="shared" ca="1" si="117"/>
        <v>#N/A</v>
      </c>
      <c r="J570">
        <f t="shared" ca="1" si="118"/>
        <v>0</v>
      </c>
      <c r="K570" t="e">
        <f t="shared" ca="1" si="123"/>
        <v>#N/A</v>
      </c>
      <c r="O570" s="22" t="e">
        <f t="shared" ca="1" si="119"/>
        <v>#N/A</v>
      </c>
      <c r="P570" s="17" t="e">
        <f ca="1"/>
        <v>#N/A</v>
      </c>
      <c r="Q570" s="17" t="e">
        <f ca="1"/>
        <v>#N/A</v>
      </c>
      <c r="R570" s="23" t="e">
        <f ca="1"/>
        <v>#N/A</v>
      </c>
      <c r="S570" s="23">
        <f t="shared" ca="1" si="127"/>
        <v>0</v>
      </c>
      <c r="T570" t="b">
        <f t="shared" ca="1" si="124"/>
        <v>1</v>
      </c>
      <c r="U570" s="22" t="e">
        <f t="shared" ca="1" si="120"/>
        <v>#N/A</v>
      </c>
      <c r="V570">
        <f t="shared" ca="1" si="121"/>
        <v>0</v>
      </c>
    </row>
    <row r="571" spans="2:22">
      <c r="B571">
        <f t="shared" si="125"/>
        <v>561</v>
      </c>
      <c r="C571" s="22" t="e">
        <f ca="1"/>
        <v>#N/A</v>
      </c>
      <c r="D571" s="17" t="e">
        <f ca="1"/>
        <v>#N/A</v>
      </c>
      <c r="E571" s="17" t="e">
        <f ca="1"/>
        <v>#N/A</v>
      </c>
      <c r="F571" s="23" t="e">
        <f ca="1"/>
        <v>#N/A</v>
      </c>
      <c r="G571" s="23">
        <f t="shared" ca="1" si="126"/>
        <v>0</v>
      </c>
      <c r="H571" t="b">
        <f t="shared" ca="1" si="122"/>
        <v>1</v>
      </c>
      <c r="I571" s="22" t="e">
        <f t="shared" ca="1" si="117"/>
        <v>#N/A</v>
      </c>
      <c r="J571">
        <f t="shared" ca="1" si="118"/>
        <v>0</v>
      </c>
      <c r="K571" t="e">
        <f t="shared" ca="1" si="123"/>
        <v>#N/A</v>
      </c>
      <c r="O571" s="22" t="e">
        <f t="shared" ca="1" si="119"/>
        <v>#N/A</v>
      </c>
      <c r="P571" s="17" t="e">
        <f ca="1"/>
        <v>#N/A</v>
      </c>
      <c r="Q571" s="17" t="e">
        <f ca="1"/>
        <v>#N/A</v>
      </c>
      <c r="R571" s="23" t="e">
        <f ca="1"/>
        <v>#N/A</v>
      </c>
      <c r="S571" s="23">
        <f t="shared" ca="1" si="127"/>
        <v>0</v>
      </c>
      <c r="T571" t="b">
        <f t="shared" ca="1" si="124"/>
        <v>1</v>
      </c>
      <c r="U571" s="22" t="e">
        <f t="shared" ca="1" si="120"/>
        <v>#N/A</v>
      </c>
      <c r="V571">
        <f t="shared" ca="1" si="121"/>
        <v>0</v>
      </c>
    </row>
    <row r="572" spans="2:22">
      <c r="B572">
        <f t="shared" si="125"/>
        <v>562</v>
      </c>
      <c r="C572" s="22" t="e">
        <f ca="1"/>
        <v>#N/A</v>
      </c>
      <c r="D572" s="17" t="e">
        <f ca="1"/>
        <v>#N/A</v>
      </c>
      <c r="E572" s="17" t="e">
        <f ca="1"/>
        <v>#N/A</v>
      </c>
      <c r="F572" s="23" t="e">
        <f ca="1"/>
        <v>#N/A</v>
      </c>
      <c r="G572" s="23">
        <f t="shared" ca="1" si="126"/>
        <v>0</v>
      </c>
      <c r="H572" t="b">
        <f t="shared" ca="1" si="122"/>
        <v>1</v>
      </c>
      <c r="I572" s="22" t="e">
        <f t="shared" ca="1" si="117"/>
        <v>#N/A</v>
      </c>
      <c r="J572">
        <f t="shared" ca="1" si="118"/>
        <v>0</v>
      </c>
      <c r="K572" t="e">
        <f t="shared" ca="1" si="123"/>
        <v>#N/A</v>
      </c>
      <c r="O572" s="22" t="e">
        <f t="shared" ca="1" si="119"/>
        <v>#N/A</v>
      </c>
      <c r="P572" s="17" t="e">
        <f ca="1"/>
        <v>#N/A</v>
      </c>
      <c r="Q572" s="17" t="e">
        <f ca="1"/>
        <v>#N/A</v>
      </c>
      <c r="R572" s="23" t="e">
        <f ca="1"/>
        <v>#N/A</v>
      </c>
      <c r="S572" s="23">
        <f t="shared" ca="1" si="127"/>
        <v>0</v>
      </c>
      <c r="T572" t="b">
        <f t="shared" ca="1" si="124"/>
        <v>1</v>
      </c>
      <c r="U572" s="22" t="e">
        <f t="shared" ca="1" si="120"/>
        <v>#N/A</v>
      </c>
      <c r="V572">
        <f t="shared" ca="1" si="121"/>
        <v>0</v>
      </c>
    </row>
    <row r="573" spans="2:22">
      <c r="B573">
        <f t="shared" si="125"/>
        <v>563</v>
      </c>
      <c r="C573" s="22" t="e">
        <f ca="1"/>
        <v>#N/A</v>
      </c>
      <c r="D573" s="17" t="e">
        <f ca="1"/>
        <v>#N/A</v>
      </c>
      <c r="E573" s="17" t="e">
        <f ca="1"/>
        <v>#N/A</v>
      </c>
      <c r="F573" s="23" t="e">
        <f ca="1"/>
        <v>#N/A</v>
      </c>
      <c r="G573" s="23">
        <f t="shared" ca="1" si="126"/>
        <v>0</v>
      </c>
      <c r="H573" t="b">
        <f t="shared" ca="1" si="122"/>
        <v>1</v>
      </c>
      <c r="I573" s="22" t="e">
        <f t="shared" ca="1" si="117"/>
        <v>#N/A</v>
      </c>
      <c r="J573">
        <f t="shared" ca="1" si="118"/>
        <v>0</v>
      </c>
      <c r="K573" t="e">
        <f t="shared" ca="1" si="123"/>
        <v>#N/A</v>
      </c>
      <c r="O573" s="22" t="e">
        <f t="shared" ca="1" si="119"/>
        <v>#N/A</v>
      </c>
      <c r="P573" s="17" t="e">
        <f ca="1"/>
        <v>#N/A</v>
      </c>
      <c r="Q573" s="17" t="e">
        <f ca="1"/>
        <v>#N/A</v>
      </c>
      <c r="R573" s="23" t="e">
        <f ca="1"/>
        <v>#N/A</v>
      </c>
      <c r="S573" s="23">
        <f t="shared" ca="1" si="127"/>
        <v>0</v>
      </c>
      <c r="T573" t="b">
        <f t="shared" ca="1" si="124"/>
        <v>1</v>
      </c>
      <c r="U573" s="22" t="e">
        <f t="shared" ca="1" si="120"/>
        <v>#N/A</v>
      </c>
      <c r="V573">
        <f t="shared" ca="1" si="121"/>
        <v>0</v>
      </c>
    </row>
    <row r="574" spans="2:22">
      <c r="B574">
        <f t="shared" si="125"/>
        <v>564</v>
      </c>
      <c r="C574" s="22" t="e">
        <f ca="1"/>
        <v>#N/A</v>
      </c>
      <c r="D574" s="17" t="e">
        <f ca="1"/>
        <v>#N/A</v>
      </c>
      <c r="E574" s="17" t="e">
        <f ca="1"/>
        <v>#N/A</v>
      </c>
      <c r="F574" s="23" t="e">
        <f ca="1"/>
        <v>#N/A</v>
      </c>
      <c r="G574" s="23">
        <f t="shared" ca="1" si="126"/>
        <v>0</v>
      </c>
      <c r="H574" t="b">
        <f t="shared" ca="1" si="122"/>
        <v>1</v>
      </c>
      <c r="I574" s="22" t="e">
        <f t="shared" ca="1" si="117"/>
        <v>#N/A</v>
      </c>
      <c r="J574">
        <f t="shared" ca="1" si="118"/>
        <v>0</v>
      </c>
      <c r="K574" t="e">
        <f t="shared" ca="1" si="123"/>
        <v>#N/A</v>
      </c>
      <c r="O574" s="22" t="e">
        <f t="shared" ca="1" si="119"/>
        <v>#N/A</v>
      </c>
      <c r="P574" s="17" t="e">
        <f ca="1"/>
        <v>#N/A</v>
      </c>
      <c r="Q574" s="17" t="e">
        <f ca="1"/>
        <v>#N/A</v>
      </c>
      <c r="R574" s="23" t="e">
        <f ca="1"/>
        <v>#N/A</v>
      </c>
      <c r="S574" s="23">
        <f t="shared" ca="1" si="127"/>
        <v>0</v>
      </c>
      <c r="T574" t="b">
        <f t="shared" ca="1" si="124"/>
        <v>1</v>
      </c>
      <c r="U574" s="22" t="e">
        <f t="shared" ca="1" si="120"/>
        <v>#N/A</v>
      </c>
      <c r="V574">
        <f t="shared" ca="1" si="121"/>
        <v>0</v>
      </c>
    </row>
    <row r="575" spans="2:22">
      <c r="B575">
        <f t="shared" si="125"/>
        <v>565</v>
      </c>
      <c r="C575" s="22" t="e">
        <f ca="1"/>
        <v>#N/A</v>
      </c>
      <c r="D575" s="17" t="e">
        <f ca="1"/>
        <v>#N/A</v>
      </c>
      <c r="E575" s="17" t="e">
        <f ca="1"/>
        <v>#N/A</v>
      </c>
      <c r="F575" s="23" t="e">
        <f ca="1"/>
        <v>#N/A</v>
      </c>
      <c r="G575" s="23">
        <f t="shared" ca="1" si="126"/>
        <v>0</v>
      </c>
      <c r="H575" t="b">
        <f t="shared" ca="1" si="122"/>
        <v>1</v>
      </c>
      <c r="I575" s="22" t="e">
        <f t="shared" ca="1" si="117"/>
        <v>#N/A</v>
      </c>
      <c r="J575">
        <f t="shared" ca="1" si="118"/>
        <v>0</v>
      </c>
      <c r="K575" t="e">
        <f t="shared" ca="1" si="123"/>
        <v>#N/A</v>
      </c>
      <c r="O575" s="22" t="e">
        <f t="shared" ca="1" si="119"/>
        <v>#N/A</v>
      </c>
      <c r="P575" s="17" t="e">
        <f ca="1"/>
        <v>#N/A</v>
      </c>
      <c r="Q575" s="17" t="e">
        <f ca="1"/>
        <v>#N/A</v>
      </c>
      <c r="R575" s="23" t="e">
        <f ca="1"/>
        <v>#N/A</v>
      </c>
      <c r="S575" s="23">
        <f t="shared" ca="1" si="127"/>
        <v>0</v>
      </c>
      <c r="T575" t="b">
        <f t="shared" ca="1" si="124"/>
        <v>1</v>
      </c>
      <c r="U575" s="22" t="e">
        <f t="shared" ca="1" si="120"/>
        <v>#N/A</v>
      </c>
      <c r="V575">
        <f t="shared" ca="1" si="121"/>
        <v>0</v>
      </c>
    </row>
    <row r="576" spans="2:22">
      <c r="B576">
        <f t="shared" si="125"/>
        <v>566</v>
      </c>
      <c r="C576" s="22" t="e">
        <f ca="1"/>
        <v>#N/A</v>
      </c>
      <c r="D576" s="17" t="e">
        <f ca="1"/>
        <v>#N/A</v>
      </c>
      <c r="E576" s="17" t="e">
        <f ca="1"/>
        <v>#N/A</v>
      </c>
      <c r="F576" s="23" t="e">
        <f ca="1"/>
        <v>#N/A</v>
      </c>
      <c r="G576" s="23">
        <f t="shared" ca="1" si="126"/>
        <v>0</v>
      </c>
      <c r="H576" t="b">
        <f t="shared" ca="1" si="122"/>
        <v>1</v>
      </c>
      <c r="I576" s="22" t="e">
        <f t="shared" ca="1" si="117"/>
        <v>#N/A</v>
      </c>
      <c r="J576">
        <f t="shared" ca="1" si="118"/>
        <v>0</v>
      </c>
      <c r="K576" t="e">
        <f t="shared" ca="1" si="123"/>
        <v>#N/A</v>
      </c>
      <c r="O576" s="22" t="e">
        <f t="shared" ca="1" si="119"/>
        <v>#N/A</v>
      </c>
      <c r="P576" s="17" t="e">
        <f ca="1"/>
        <v>#N/A</v>
      </c>
      <c r="Q576" s="17" t="e">
        <f ca="1"/>
        <v>#N/A</v>
      </c>
      <c r="R576" s="23" t="e">
        <f ca="1"/>
        <v>#N/A</v>
      </c>
      <c r="S576" s="23">
        <f t="shared" ca="1" si="127"/>
        <v>0</v>
      </c>
      <c r="T576" t="b">
        <f t="shared" ca="1" si="124"/>
        <v>1</v>
      </c>
      <c r="U576" s="22" t="e">
        <f t="shared" ca="1" si="120"/>
        <v>#N/A</v>
      </c>
      <c r="V576">
        <f t="shared" ca="1" si="121"/>
        <v>0</v>
      </c>
    </row>
    <row r="577" spans="2:22">
      <c r="B577">
        <f t="shared" si="125"/>
        <v>567</v>
      </c>
      <c r="C577" s="22" t="e">
        <f ca="1"/>
        <v>#N/A</v>
      </c>
      <c r="D577" s="17" t="e">
        <f ca="1"/>
        <v>#N/A</v>
      </c>
      <c r="E577" s="17" t="e">
        <f ca="1"/>
        <v>#N/A</v>
      </c>
      <c r="F577" s="23" t="e">
        <f ca="1"/>
        <v>#N/A</v>
      </c>
      <c r="G577" s="23">
        <f t="shared" ca="1" si="126"/>
        <v>0</v>
      </c>
      <c r="H577" t="b">
        <f t="shared" ca="1" si="122"/>
        <v>1</v>
      </c>
      <c r="I577" s="22" t="e">
        <f t="shared" ca="1" si="117"/>
        <v>#N/A</v>
      </c>
      <c r="J577">
        <f t="shared" ca="1" si="118"/>
        <v>0</v>
      </c>
      <c r="K577" t="e">
        <f t="shared" ca="1" si="123"/>
        <v>#N/A</v>
      </c>
      <c r="O577" s="22" t="e">
        <f t="shared" ca="1" si="119"/>
        <v>#N/A</v>
      </c>
      <c r="P577" s="17" t="e">
        <f ca="1"/>
        <v>#N/A</v>
      </c>
      <c r="Q577" s="17" t="e">
        <f ca="1"/>
        <v>#N/A</v>
      </c>
      <c r="R577" s="23" t="e">
        <f ca="1"/>
        <v>#N/A</v>
      </c>
      <c r="S577" s="23">
        <f t="shared" ca="1" si="127"/>
        <v>0</v>
      </c>
      <c r="T577" t="b">
        <f t="shared" ca="1" si="124"/>
        <v>1</v>
      </c>
      <c r="U577" s="22" t="e">
        <f t="shared" ca="1" si="120"/>
        <v>#N/A</v>
      </c>
      <c r="V577">
        <f t="shared" ca="1" si="121"/>
        <v>0</v>
      </c>
    </row>
    <row r="578" spans="2:22">
      <c r="B578">
        <f t="shared" si="125"/>
        <v>568</v>
      </c>
      <c r="C578" s="22" t="e">
        <f ca="1"/>
        <v>#N/A</v>
      </c>
      <c r="D578" s="17" t="e">
        <f ca="1"/>
        <v>#N/A</v>
      </c>
      <c r="E578" s="17" t="e">
        <f ca="1"/>
        <v>#N/A</v>
      </c>
      <c r="F578" s="23" t="e">
        <f ca="1"/>
        <v>#N/A</v>
      </c>
      <c r="G578" s="23">
        <f t="shared" ca="1" si="126"/>
        <v>0</v>
      </c>
      <c r="H578" t="b">
        <f t="shared" ca="1" si="122"/>
        <v>1</v>
      </c>
      <c r="I578" s="22" t="e">
        <f t="shared" ca="1" si="117"/>
        <v>#N/A</v>
      </c>
      <c r="J578">
        <f t="shared" ca="1" si="118"/>
        <v>0</v>
      </c>
      <c r="K578" t="e">
        <f t="shared" ca="1" si="123"/>
        <v>#N/A</v>
      </c>
      <c r="O578" s="22" t="e">
        <f t="shared" ca="1" si="119"/>
        <v>#N/A</v>
      </c>
      <c r="P578" s="17" t="e">
        <f ca="1"/>
        <v>#N/A</v>
      </c>
      <c r="Q578" s="17" t="e">
        <f ca="1"/>
        <v>#N/A</v>
      </c>
      <c r="R578" s="23" t="e">
        <f ca="1"/>
        <v>#N/A</v>
      </c>
      <c r="S578" s="23">
        <f t="shared" ca="1" si="127"/>
        <v>0</v>
      </c>
      <c r="T578" t="b">
        <f t="shared" ca="1" si="124"/>
        <v>1</v>
      </c>
      <c r="U578" s="22" t="e">
        <f t="shared" ca="1" si="120"/>
        <v>#N/A</v>
      </c>
      <c r="V578">
        <f t="shared" ca="1" si="121"/>
        <v>0</v>
      </c>
    </row>
    <row r="579" spans="2:22">
      <c r="B579">
        <f t="shared" si="125"/>
        <v>569</v>
      </c>
      <c r="C579" s="22" t="e">
        <f ca="1"/>
        <v>#N/A</v>
      </c>
      <c r="D579" s="17" t="e">
        <f ca="1"/>
        <v>#N/A</v>
      </c>
      <c r="E579" s="17" t="e">
        <f ca="1"/>
        <v>#N/A</v>
      </c>
      <c r="F579" s="23" t="e">
        <f ca="1"/>
        <v>#N/A</v>
      </c>
      <c r="G579" s="23">
        <f t="shared" ca="1" si="126"/>
        <v>0</v>
      </c>
      <c r="H579" t="b">
        <f t="shared" ca="1" si="122"/>
        <v>1</v>
      </c>
      <c r="I579" s="22" t="e">
        <f t="shared" ca="1" si="117"/>
        <v>#N/A</v>
      </c>
      <c r="J579">
        <f t="shared" ca="1" si="118"/>
        <v>0</v>
      </c>
      <c r="K579" t="e">
        <f t="shared" ca="1" si="123"/>
        <v>#N/A</v>
      </c>
      <c r="O579" s="22" t="e">
        <f t="shared" ca="1" si="119"/>
        <v>#N/A</v>
      </c>
      <c r="P579" s="17" t="e">
        <f ca="1"/>
        <v>#N/A</v>
      </c>
      <c r="Q579" s="17" t="e">
        <f ca="1"/>
        <v>#N/A</v>
      </c>
      <c r="R579" s="23" t="e">
        <f ca="1"/>
        <v>#N/A</v>
      </c>
      <c r="S579" s="23">
        <f t="shared" ca="1" si="127"/>
        <v>0</v>
      </c>
      <c r="T579" t="b">
        <f t="shared" ca="1" si="124"/>
        <v>1</v>
      </c>
      <c r="U579" s="22" t="e">
        <f t="shared" ca="1" si="120"/>
        <v>#N/A</v>
      </c>
      <c r="V579">
        <f t="shared" ca="1" si="121"/>
        <v>0</v>
      </c>
    </row>
    <row r="580" spans="2:22">
      <c r="B580">
        <f t="shared" si="125"/>
        <v>570</v>
      </c>
      <c r="C580" s="22" t="e">
        <f ca="1"/>
        <v>#N/A</v>
      </c>
      <c r="D580" s="17" t="e">
        <f ca="1"/>
        <v>#N/A</v>
      </c>
      <c r="E580" s="17" t="e">
        <f ca="1"/>
        <v>#N/A</v>
      </c>
      <c r="F580" s="23" t="e">
        <f ca="1"/>
        <v>#N/A</v>
      </c>
      <c r="G580" s="23">
        <f t="shared" ca="1" si="126"/>
        <v>0</v>
      </c>
      <c r="H580" t="b">
        <f t="shared" ca="1" si="122"/>
        <v>1</v>
      </c>
      <c r="I580" s="22" t="e">
        <f t="shared" ca="1" si="117"/>
        <v>#N/A</v>
      </c>
      <c r="J580">
        <f t="shared" ca="1" si="118"/>
        <v>0</v>
      </c>
      <c r="K580" t="e">
        <f t="shared" ca="1" si="123"/>
        <v>#N/A</v>
      </c>
      <c r="O580" s="22" t="e">
        <f t="shared" ca="1" si="119"/>
        <v>#N/A</v>
      </c>
      <c r="P580" s="17" t="e">
        <f ca="1"/>
        <v>#N/A</v>
      </c>
      <c r="Q580" s="17" t="e">
        <f ca="1"/>
        <v>#N/A</v>
      </c>
      <c r="R580" s="23" t="e">
        <f ca="1"/>
        <v>#N/A</v>
      </c>
      <c r="S580" s="23">
        <f t="shared" ca="1" si="127"/>
        <v>0</v>
      </c>
      <c r="T580" t="b">
        <f t="shared" ca="1" si="124"/>
        <v>1</v>
      </c>
      <c r="U580" s="22" t="e">
        <f t="shared" ca="1" si="120"/>
        <v>#N/A</v>
      </c>
      <c r="V580">
        <f t="shared" ca="1" si="121"/>
        <v>0</v>
      </c>
    </row>
    <row r="581" spans="2:22">
      <c r="B581">
        <f t="shared" si="125"/>
        <v>571</v>
      </c>
      <c r="C581" s="22" t="e">
        <f ca="1"/>
        <v>#N/A</v>
      </c>
      <c r="D581" s="17" t="e">
        <f ca="1"/>
        <v>#N/A</v>
      </c>
      <c r="E581" s="17" t="e">
        <f ca="1"/>
        <v>#N/A</v>
      </c>
      <c r="F581" s="23" t="e">
        <f ca="1"/>
        <v>#N/A</v>
      </c>
      <c r="G581" s="23">
        <f t="shared" ca="1" si="126"/>
        <v>0</v>
      </c>
      <c r="H581" t="b">
        <f t="shared" ca="1" si="122"/>
        <v>1</v>
      </c>
      <c r="I581" s="22" t="e">
        <f t="shared" ca="1" si="117"/>
        <v>#N/A</v>
      </c>
      <c r="J581">
        <f t="shared" ca="1" si="118"/>
        <v>0</v>
      </c>
      <c r="K581" t="e">
        <f t="shared" ca="1" si="123"/>
        <v>#N/A</v>
      </c>
      <c r="O581" s="22" t="e">
        <f t="shared" ca="1" si="119"/>
        <v>#N/A</v>
      </c>
      <c r="P581" s="17" t="e">
        <f ca="1"/>
        <v>#N/A</v>
      </c>
      <c r="Q581" s="17" t="e">
        <f ca="1"/>
        <v>#N/A</v>
      </c>
      <c r="R581" s="23" t="e">
        <f ca="1"/>
        <v>#N/A</v>
      </c>
      <c r="S581" s="23">
        <f t="shared" ca="1" si="127"/>
        <v>0</v>
      </c>
      <c r="T581" t="b">
        <f t="shared" ca="1" si="124"/>
        <v>1</v>
      </c>
      <c r="U581" s="22" t="e">
        <f t="shared" ca="1" si="120"/>
        <v>#N/A</v>
      </c>
      <c r="V581">
        <f t="shared" ca="1" si="121"/>
        <v>0</v>
      </c>
    </row>
    <row r="582" spans="2:22">
      <c r="B582">
        <f t="shared" si="125"/>
        <v>572</v>
      </c>
      <c r="C582" s="22" t="e">
        <f ca="1"/>
        <v>#N/A</v>
      </c>
      <c r="D582" s="17" t="e">
        <f ca="1"/>
        <v>#N/A</v>
      </c>
      <c r="E582" s="17" t="e">
        <f ca="1"/>
        <v>#N/A</v>
      </c>
      <c r="F582" s="23" t="e">
        <f ca="1"/>
        <v>#N/A</v>
      </c>
      <c r="G582" s="23">
        <f t="shared" ca="1" si="126"/>
        <v>0</v>
      </c>
      <c r="H582" t="b">
        <f t="shared" ca="1" si="122"/>
        <v>1</v>
      </c>
      <c r="I582" s="22" t="e">
        <f t="shared" ca="1" si="117"/>
        <v>#N/A</v>
      </c>
      <c r="J582">
        <f t="shared" ca="1" si="118"/>
        <v>0</v>
      </c>
      <c r="K582" t="e">
        <f t="shared" ca="1" si="123"/>
        <v>#N/A</v>
      </c>
      <c r="O582" s="22" t="e">
        <f t="shared" ca="1" si="119"/>
        <v>#N/A</v>
      </c>
      <c r="P582" s="17" t="e">
        <f ca="1"/>
        <v>#N/A</v>
      </c>
      <c r="Q582" s="17" t="e">
        <f ca="1"/>
        <v>#N/A</v>
      </c>
      <c r="R582" s="23" t="e">
        <f ca="1"/>
        <v>#N/A</v>
      </c>
      <c r="S582" s="23">
        <f t="shared" ca="1" si="127"/>
        <v>0</v>
      </c>
      <c r="T582" t="b">
        <f t="shared" ca="1" si="124"/>
        <v>1</v>
      </c>
      <c r="U582" s="22" t="e">
        <f t="shared" ca="1" si="120"/>
        <v>#N/A</v>
      </c>
      <c r="V582">
        <f t="shared" ca="1" si="121"/>
        <v>0</v>
      </c>
    </row>
    <row r="583" spans="2:22">
      <c r="B583">
        <f t="shared" si="125"/>
        <v>573</v>
      </c>
      <c r="C583" s="22" t="e">
        <f ca="1"/>
        <v>#N/A</v>
      </c>
      <c r="D583" s="17" t="e">
        <f ca="1"/>
        <v>#N/A</v>
      </c>
      <c r="E583" s="17" t="e">
        <f ca="1"/>
        <v>#N/A</v>
      </c>
      <c r="F583" s="23" t="e">
        <f ca="1"/>
        <v>#N/A</v>
      </c>
      <c r="G583" s="23">
        <f t="shared" ca="1" si="126"/>
        <v>0</v>
      </c>
      <c r="H583" t="b">
        <f t="shared" ca="1" si="122"/>
        <v>1</v>
      </c>
      <c r="I583" s="22" t="e">
        <f t="shared" ca="1" si="117"/>
        <v>#N/A</v>
      </c>
      <c r="J583">
        <f t="shared" ca="1" si="118"/>
        <v>0</v>
      </c>
      <c r="K583" t="e">
        <f t="shared" ca="1" si="123"/>
        <v>#N/A</v>
      </c>
      <c r="O583" s="22" t="e">
        <f t="shared" ca="1" si="119"/>
        <v>#N/A</v>
      </c>
      <c r="P583" s="17" t="e">
        <f ca="1"/>
        <v>#N/A</v>
      </c>
      <c r="Q583" s="17" t="e">
        <f ca="1"/>
        <v>#N/A</v>
      </c>
      <c r="R583" s="23" t="e">
        <f ca="1"/>
        <v>#N/A</v>
      </c>
      <c r="S583" s="23">
        <f t="shared" ca="1" si="127"/>
        <v>0</v>
      </c>
      <c r="T583" t="b">
        <f t="shared" ca="1" si="124"/>
        <v>1</v>
      </c>
      <c r="U583" s="22" t="e">
        <f t="shared" ca="1" si="120"/>
        <v>#N/A</v>
      </c>
      <c r="V583">
        <f t="shared" ca="1" si="121"/>
        <v>0</v>
      </c>
    </row>
    <row r="584" spans="2:22">
      <c r="B584">
        <f t="shared" si="125"/>
        <v>574</v>
      </c>
      <c r="C584" s="22" t="e">
        <f ca="1"/>
        <v>#N/A</v>
      </c>
      <c r="D584" s="17" t="e">
        <f ca="1"/>
        <v>#N/A</v>
      </c>
      <c r="E584" s="17" t="e">
        <f ca="1"/>
        <v>#N/A</v>
      </c>
      <c r="F584" s="23" t="e">
        <f ca="1"/>
        <v>#N/A</v>
      </c>
      <c r="G584" s="23">
        <f t="shared" ca="1" si="126"/>
        <v>0</v>
      </c>
      <c r="H584" t="b">
        <f t="shared" ca="1" si="122"/>
        <v>1</v>
      </c>
      <c r="I584" s="22" t="e">
        <f t="shared" ca="1" si="117"/>
        <v>#N/A</v>
      </c>
      <c r="J584">
        <f t="shared" ca="1" si="118"/>
        <v>0</v>
      </c>
      <c r="K584" t="e">
        <f t="shared" ca="1" si="123"/>
        <v>#N/A</v>
      </c>
      <c r="O584" s="22" t="e">
        <f t="shared" ca="1" si="119"/>
        <v>#N/A</v>
      </c>
      <c r="P584" s="17" t="e">
        <f ca="1"/>
        <v>#N/A</v>
      </c>
      <c r="Q584" s="17" t="e">
        <f ca="1"/>
        <v>#N/A</v>
      </c>
      <c r="R584" s="23" t="e">
        <f ca="1"/>
        <v>#N/A</v>
      </c>
      <c r="S584" s="23">
        <f t="shared" ca="1" si="127"/>
        <v>0</v>
      </c>
      <c r="T584" t="b">
        <f t="shared" ca="1" si="124"/>
        <v>1</v>
      </c>
      <c r="U584" s="22" t="e">
        <f t="shared" ca="1" si="120"/>
        <v>#N/A</v>
      </c>
      <c r="V584">
        <f t="shared" ca="1" si="121"/>
        <v>0</v>
      </c>
    </row>
    <row r="585" spans="2:22">
      <c r="B585">
        <f t="shared" si="125"/>
        <v>575</v>
      </c>
      <c r="C585" s="22" t="e">
        <f ca="1"/>
        <v>#N/A</v>
      </c>
      <c r="D585" s="17" t="e">
        <f ca="1"/>
        <v>#N/A</v>
      </c>
      <c r="E585" s="17" t="e">
        <f ca="1"/>
        <v>#N/A</v>
      </c>
      <c r="F585" s="23" t="e">
        <f ca="1"/>
        <v>#N/A</v>
      </c>
      <c r="G585" s="23">
        <f t="shared" ca="1" si="126"/>
        <v>0</v>
      </c>
      <c r="H585" t="b">
        <f t="shared" ca="1" si="122"/>
        <v>1</v>
      </c>
      <c r="I585" s="22" t="e">
        <f t="shared" ca="1" si="117"/>
        <v>#N/A</v>
      </c>
      <c r="J585">
        <f t="shared" ca="1" si="118"/>
        <v>0</v>
      </c>
      <c r="K585" t="e">
        <f t="shared" ca="1" si="123"/>
        <v>#N/A</v>
      </c>
      <c r="O585" s="22" t="e">
        <f t="shared" ca="1" si="119"/>
        <v>#N/A</v>
      </c>
      <c r="P585" s="17" t="e">
        <f ca="1"/>
        <v>#N/A</v>
      </c>
      <c r="Q585" s="17" t="e">
        <f ca="1"/>
        <v>#N/A</v>
      </c>
      <c r="R585" s="23" t="e">
        <f ca="1"/>
        <v>#N/A</v>
      </c>
      <c r="S585" s="23">
        <f t="shared" ca="1" si="127"/>
        <v>0</v>
      </c>
      <c r="T585" t="b">
        <f t="shared" ca="1" si="124"/>
        <v>1</v>
      </c>
      <c r="U585" s="22" t="e">
        <f t="shared" ca="1" si="120"/>
        <v>#N/A</v>
      </c>
      <c r="V585">
        <f t="shared" ca="1" si="121"/>
        <v>0</v>
      </c>
    </row>
    <row r="586" spans="2:22">
      <c r="B586">
        <f t="shared" si="125"/>
        <v>576</v>
      </c>
      <c r="C586" s="22" t="e">
        <f ca="1"/>
        <v>#N/A</v>
      </c>
      <c r="D586" s="17" t="e">
        <f ca="1"/>
        <v>#N/A</v>
      </c>
      <c r="E586" s="17" t="e">
        <f ca="1"/>
        <v>#N/A</v>
      </c>
      <c r="F586" s="23" t="e">
        <f ca="1"/>
        <v>#N/A</v>
      </c>
      <c r="G586" s="23">
        <f t="shared" ca="1" si="126"/>
        <v>0</v>
      </c>
      <c r="H586" t="b">
        <f t="shared" ca="1" si="122"/>
        <v>1</v>
      </c>
      <c r="I586" s="22" t="e">
        <f t="shared" ca="1" si="117"/>
        <v>#N/A</v>
      </c>
      <c r="J586">
        <f t="shared" ca="1" si="118"/>
        <v>0</v>
      </c>
      <c r="K586" t="e">
        <f t="shared" ca="1" si="123"/>
        <v>#N/A</v>
      </c>
      <c r="O586" s="22" t="e">
        <f t="shared" ca="1" si="119"/>
        <v>#N/A</v>
      </c>
      <c r="P586" s="17" t="e">
        <f ca="1"/>
        <v>#N/A</v>
      </c>
      <c r="Q586" s="17" t="e">
        <f ca="1"/>
        <v>#N/A</v>
      </c>
      <c r="R586" s="23" t="e">
        <f ca="1"/>
        <v>#N/A</v>
      </c>
      <c r="S586" s="23">
        <f t="shared" ca="1" si="127"/>
        <v>0</v>
      </c>
      <c r="T586" t="b">
        <f t="shared" ca="1" si="124"/>
        <v>1</v>
      </c>
      <c r="U586" s="22" t="e">
        <f t="shared" ca="1" si="120"/>
        <v>#N/A</v>
      </c>
      <c r="V586">
        <f t="shared" ca="1" si="121"/>
        <v>0</v>
      </c>
    </row>
    <row r="587" spans="2:22">
      <c r="B587">
        <f t="shared" si="125"/>
        <v>577</v>
      </c>
      <c r="C587" s="22" t="e">
        <f ca="1"/>
        <v>#N/A</v>
      </c>
      <c r="D587" s="17" t="e">
        <f ca="1"/>
        <v>#N/A</v>
      </c>
      <c r="E587" s="17" t="e">
        <f ca="1"/>
        <v>#N/A</v>
      </c>
      <c r="F587" s="23" t="e">
        <f ca="1"/>
        <v>#N/A</v>
      </c>
      <c r="G587" s="23">
        <f t="shared" ca="1" si="126"/>
        <v>0</v>
      </c>
      <c r="H587" t="b">
        <f t="shared" ca="1" si="122"/>
        <v>1</v>
      </c>
      <c r="I587" s="22" t="e">
        <f t="shared" ref="I587:I650" ca="1" si="128">IF(H587,C587,NA)</f>
        <v>#N/A</v>
      </c>
      <c r="J587">
        <f t="shared" ref="J587:J650" ca="1" si="129">IF(H587,G587,NA)</f>
        <v>0</v>
      </c>
      <c r="K587" t="e">
        <f t="shared" ca="1" si="123"/>
        <v>#N/A</v>
      </c>
      <c r="O587" s="22" t="e">
        <f t="shared" ref="O587:O650" ca="1" si="130">C587</f>
        <v>#N/A</v>
      </c>
      <c r="P587" s="17" t="e">
        <f ca="1"/>
        <v>#N/A</v>
      </c>
      <c r="Q587" s="17" t="e">
        <f ca="1"/>
        <v>#N/A</v>
      </c>
      <c r="R587" s="23" t="e">
        <f ca="1"/>
        <v>#N/A</v>
      </c>
      <c r="S587" s="23">
        <f t="shared" ca="1" si="127"/>
        <v>0</v>
      </c>
      <c r="T587" t="b">
        <f t="shared" ca="1" si="124"/>
        <v>1</v>
      </c>
      <c r="U587" s="22" t="e">
        <f t="shared" ref="U587:U650" ca="1" si="131">IF(T587,O587,NA)</f>
        <v>#N/A</v>
      </c>
      <c r="V587">
        <f t="shared" ref="V587:V650" ca="1" si="132">IF(T587,S587,NA)</f>
        <v>0</v>
      </c>
    </row>
    <row r="588" spans="2:22">
      <c r="B588">
        <f t="shared" si="125"/>
        <v>578</v>
      </c>
      <c r="C588" s="22" t="e">
        <f ca="1"/>
        <v>#N/A</v>
      </c>
      <c r="D588" s="17" t="e">
        <f ca="1"/>
        <v>#N/A</v>
      </c>
      <c r="E588" s="17" t="e">
        <f ca="1"/>
        <v>#N/A</v>
      </c>
      <c r="F588" s="23" t="e">
        <f ca="1"/>
        <v>#N/A</v>
      </c>
      <c r="G588" s="23">
        <f t="shared" ca="1" si="126"/>
        <v>0</v>
      </c>
      <c r="H588" t="b">
        <f t="shared" ref="H588:H651" ca="1" si="133">ISNUMBER(G588)</f>
        <v>1</v>
      </c>
      <c r="I588" s="22" t="e">
        <f t="shared" ca="1" si="128"/>
        <v>#N/A</v>
      </c>
      <c r="J588">
        <f t="shared" ca="1" si="129"/>
        <v>0</v>
      </c>
      <c r="K588" t="e">
        <f t="shared" ref="K588:K651" ca="1" si="134">YEAR(C588)</f>
        <v>#N/A</v>
      </c>
      <c r="O588" s="22" t="e">
        <f t="shared" ca="1" si="130"/>
        <v>#N/A</v>
      </c>
      <c r="P588" s="17" t="e">
        <f ca="1"/>
        <v>#N/A</v>
      </c>
      <c r="Q588" s="17" t="e">
        <f ca="1"/>
        <v>#N/A</v>
      </c>
      <c r="R588" s="23" t="e">
        <f ca="1"/>
        <v>#N/A</v>
      </c>
      <c r="S588" s="23">
        <f t="shared" ca="1" si="127"/>
        <v>0</v>
      </c>
      <c r="T588" t="b">
        <f t="shared" ref="T588:T651" ca="1" si="135">ISNUMBER(S588)</f>
        <v>1</v>
      </c>
      <c r="U588" s="22" t="e">
        <f t="shared" ca="1" si="131"/>
        <v>#N/A</v>
      </c>
      <c r="V588">
        <f t="shared" ca="1" si="132"/>
        <v>0</v>
      </c>
    </row>
    <row r="589" spans="2:22">
      <c r="B589">
        <f t="shared" ref="B589:B652" si="136">B588+1</f>
        <v>579</v>
      </c>
      <c r="C589" s="22" t="e">
        <f ca="1"/>
        <v>#N/A</v>
      </c>
      <c r="D589" s="17" t="e">
        <f ca="1"/>
        <v>#N/A</v>
      </c>
      <c r="E589" s="17" t="e">
        <f ca="1"/>
        <v>#N/A</v>
      </c>
      <c r="F589" s="23" t="e">
        <f ca="1"/>
        <v>#N/A</v>
      </c>
      <c r="G589" s="23">
        <f t="shared" ca="1" si="126"/>
        <v>0</v>
      </c>
      <c r="H589" t="b">
        <f t="shared" ca="1" si="133"/>
        <v>1</v>
      </c>
      <c r="I589" s="22" t="e">
        <f t="shared" ca="1" si="128"/>
        <v>#N/A</v>
      </c>
      <c r="J589">
        <f t="shared" ca="1" si="129"/>
        <v>0</v>
      </c>
      <c r="K589" t="e">
        <f t="shared" ca="1" si="134"/>
        <v>#N/A</v>
      </c>
      <c r="O589" s="22" t="e">
        <f t="shared" ca="1" si="130"/>
        <v>#N/A</v>
      </c>
      <c r="P589" s="17" t="e">
        <f ca="1"/>
        <v>#N/A</v>
      </c>
      <c r="Q589" s="17" t="e">
        <f ca="1"/>
        <v>#N/A</v>
      </c>
      <c r="R589" s="23" t="e">
        <f ca="1"/>
        <v>#N/A</v>
      </c>
      <c r="S589" s="23">
        <f t="shared" ca="1" si="127"/>
        <v>0</v>
      </c>
      <c r="T589" t="b">
        <f t="shared" ca="1" si="135"/>
        <v>1</v>
      </c>
      <c r="U589" s="22" t="e">
        <f t="shared" ca="1" si="131"/>
        <v>#N/A</v>
      </c>
      <c r="V589">
        <f t="shared" ca="1" si="132"/>
        <v>0</v>
      </c>
    </row>
    <row r="590" spans="2:22">
      <c r="B590">
        <f t="shared" si="136"/>
        <v>580</v>
      </c>
      <c r="C590" s="22" t="e">
        <f ca="1"/>
        <v>#N/A</v>
      </c>
      <c r="D590" s="17" t="e">
        <f ca="1"/>
        <v>#N/A</v>
      </c>
      <c r="E590" s="17" t="e">
        <f ca="1"/>
        <v>#N/A</v>
      </c>
      <c r="F590" s="23" t="e">
        <f ca="1"/>
        <v>#N/A</v>
      </c>
      <c r="G590" s="23">
        <f t="shared" ca="1" si="126"/>
        <v>0</v>
      </c>
      <c r="H590" t="b">
        <f t="shared" ca="1" si="133"/>
        <v>1</v>
      </c>
      <c r="I590" s="22" t="e">
        <f t="shared" ca="1" si="128"/>
        <v>#N/A</v>
      </c>
      <c r="J590">
        <f t="shared" ca="1" si="129"/>
        <v>0</v>
      </c>
      <c r="K590" t="e">
        <f t="shared" ca="1" si="134"/>
        <v>#N/A</v>
      </c>
      <c r="O590" s="22" t="e">
        <f t="shared" ca="1" si="130"/>
        <v>#N/A</v>
      </c>
      <c r="P590" s="17" t="e">
        <f ca="1"/>
        <v>#N/A</v>
      </c>
      <c r="Q590" s="17" t="e">
        <f ca="1"/>
        <v>#N/A</v>
      </c>
      <c r="R590" s="23" t="e">
        <f ca="1"/>
        <v>#N/A</v>
      </c>
      <c r="S590" s="23">
        <f t="shared" ca="1" si="127"/>
        <v>0</v>
      </c>
      <c r="T590" t="b">
        <f t="shared" ca="1" si="135"/>
        <v>1</v>
      </c>
      <c r="U590" s="22" t="e">
        <f t="shared" ca="1" si="131"/>
        <v>#N/A</v>
      </c>
      <c r="V590">
        <f t="shared" ca="1" si="132"/>
        <v>0</v>
      </c>
    </row>
    <row r="591" spans="2:22">
      <c r="B591">
        <f t="shared" si="136"/>
        <v>581</v>
      </c>
      <c r="C591" s="22" t="e">
        <f ca="1"/>
        <v>#N/A</v>
      </c>
      <c r="D591" s="17" t="e">
        <f ca="1"/>
        <v>#N/A</v>
      </c>
      <c r="E591" s="17" t="e">
        <f ca="1"/>
        <v>#N/A</v>
      </c>
      <c r="F591" s="23" t="e">
        <f ca="1"/>
        <v>#N/A</v>
      </c>
      <c r="G591" s="23">
        <f t="shared" ca="1" si="126"/>
        <v>0</v>
      </c>
      <c r="H591" t="b">
        <f t="shared" ca="1" si="133"/>
        <v>1</v>
      </c>
      <c r="I591" s="22" t="e">
        <f t="shared" ca="1" si="128"/>
        <v>#N/A</v>
      </c>
      <c r="J591">
        <f t="shared" ca="1" si="129"/>
        <v>0</v>
      </c>
      <c r="K591" t="e">
        <f t="shared" ca="1" si="134"/>
        <v>#N/A</v>
      </c>
      <c r="O591" s="22" t="e">
        <f t="shared" ca="1" si="130"/>
        <v>#N/A</v>
      </c>
      <c r="P591" s="17" t="e">
        <f ca="1"/>
        <v>#N/A</v>
      </c>
      <c r="Q591" s="17" t="e">
        <f ca="1"/>
        <v>#N/A</v>
      </c>
      <c r="R591" s="23" t="e">
        <f ca="1"/>
        <v>#N/A</v>
      </c>
      <c r="S591" s="23">
        <f t="shared" ca="1" si="127"/>
        <v>0</v>
      </c>
      <c r="T591" t="b">
        <f t="shared" ca="1" si="135"/>
        <v>1</v>
      </c>
      <c r="U591" s="22" t="e">
        <f t="shared" ca="1" si="131"/>
        <v>#N/A</v>
      </c>
      <c r="V591">
        <f t="shared" ca="1" si="132"/>
        <v>0</v>
      </c>
    </row>
    <row r="592" spans="2:22">
      <c r="B592">
        <f t="shared" si="136"/>
        <v>582</v>
      </c>
      <c r="C592" s="22" t="e">
        <f ca="1"/>
        <v>#N/A</v>
      </c>
      <c r="D592" s="17" t="e">
        <f ca="1"/>
        <v>#N/A</v>
      </c>
      <c r="E592" s="17" t="e">
        <f ca="1"/>
        <v>#N/A</v>
      </c>
      <c r="F592" s="23" t="e">
        <f ca="1"/>
        <v>#N/A</v>
      </c>
      <c r="G592" s="23">
        <f t="shared" ca="1" si="126"/>
        <v>0</v>
      </c>
      <c r="H592" t="b">
        <f t="shared" ca="1" si="133"/>
        <v>1</v>
      </c>
      <c r="I592" s="22" t="e">
        <f t="shared" ca="1" si="128"/>
        <v>#N/A</v>
      </c>
      <c r="J592">
        <f t="shared" ca="1" si="129"/>
        <v>0</v>
      </c>
      <c r="K592" t="e">
        <f t="shared" ca="1" si="134"/>
        <v>#N/A</v>
      </c>
      <c r="O592" s="22" t="e">
        <f t="shared" ca="1" si="130"/>
        <v>#N/A</v>
      </c>
      <c r="P592" s="17" t="e">
        <f ca="1"/>
        <v>#N/A</v>
      </c>
      <c r="Q592" s="17" t="e">
        <f ca="1"/>
        <v>#N/A</v>
      </c>
      <c r="R592" s="23" t="e">
        <f ca="1"/>
        <v>#N/A</v>
      </c>
      <c r="S592" s="23">
        <f t="shared" ca="1" si="127"/>
        <v>0</v>
      </c>
      <c r="T592" t="b">
        <f t="shared" ca="1" si="135"/>
        <v>1</v>
      </c>
      <c r="U592" s="22" t="e">
        <f t="shared" ca="1" si="131"/>
        <v>#N/A</v>
      </c>
      <c r="V592">
        <f t="shared" ca="1" si="132"/>
        <v>0</v>
      </c>
    </row>
    <row r="593" spans="2:22">
      <c r="B593">
        <f t="shared" si="136"/>
        <v>583</v>
      </c>
      <c r="C593" s="22" t="e">
        <f ca="1"/>
        <v>#N/A</v>
      </c>
      <c r="D593" s="17" t="e">
        <f ca="1"/>
        <v>#N/A</v>
      </c>
      <c r="E593" s="17" t="e">
        <f ca="1"/>
        <v>#N/A</v>
      </c>
      <c r="F593" s="23" t="e">
        <f ca="1"/>
        <v>#N/A</v>
      </c>
      <c r="G593" s="23">
        <f t="shared" ca="1" si="126"/>
        <v>0</v>
      </c>
      <c r="H593" t="b">
        <f t="shared" ca="1" si="133"/>
        <v>1</v>
      </c>
      <c r="I593" s="22" t="e">
        <f t="shared" ca="1" si="128"/>
        <v>#N/A</v>
      </c>
      <c r="J593">
        <f t="shared" ca="1" si="129"/>
        <v>0</v>
      </c>
      <c r="K593" t="e">
        <f t="shared" ca="1" si="134"/>
        <v>#N/A</v>
      </c>
      <c r="O593" s="22" t="e">
        <f t="shared" ca="1" si="130"/>
        <v>#N/A</v>
      </c>
      <c r="P593" s="17" t="e">
        <f ca="1"/>
        <v>#N/A</v>
      </c>
      <c r="Q593" s="17" t="e">
        <f ca="1"/>
        <v>#N/A</v>
      </c>
      <c r="R593" s="23" t="e">
        <f ca="1"/>
        <v>#N/A</v>
      </c>
      <c r="S593" s="23">
        <f t="shared" ca="1" si="127"/>
        <v>0</v>
      </c>
      <c r="T593" t="b">
        <f t="shared" ca="1" si="135"/>
        <v>1</v>
      </c>
      <c r="U593" s="22" t="e">
        <f t="shared" ca="1" si="131"/>
        <v>#N/A</v>
      </c>
      <c r="V593">
        <f t="shared" ca="1" si="132"/>
        <v>0</v>
      </c>
    </row>
    <row r="594" spans="2:22">
      <c r="B594">
        <f t="shared" si="136"/>
        <v>584</v>
      </c>
      <c r="C594" s="22" t="e">
        <f ca="1"/>
        <v>#N/A</v>
      </c>
      <c r="D594" s="17" t="e">
        <f ca="1"/>
        <v>#N/A</v>
      </c>
      <c r="E594" s="17" t="e">
        <f ca="1"/>
        <v>#N/A</v>
      </c>
      <c r="F594" s="23" t="e">
        <f ca="1"/>
        <v>#N/A</v>
      </c>
      <c r="G594" s="23">
        <f t="shared" ca="1" si="126"/>
        <v>0</v>
      </c>
      <c r="H594" t="b">
        <f t="shared" ca="1" si="133"/>
        <v>1</v>
      </c>
      <c r="I594" s="22" t="e">
        <f t="shared" ca="1" si="128"/>
        <v>#N/A</v>
      </c>
      <c r="J594">
        <f t="shared" ca="1" si="129"/>
        <v>0</v>
      </c>
      <c r="K594" t="e">
        <f t="shared" ca="1" si="134"/>
        <v>#N/A</v>
      </c>
      <c r="O594" s="22" t="e">
        <f t="shared" ca="1" si="130"/>
        <v>#N/A</v>
      </c>
      <c r="P594" s="17" t="e">
        <f ca="1"/>
        <v>#N/A</v>
      </c>
      <c r="Q594" s="17" t="e">
        <f ca="1"/>
        <v>#N/A</v>
      </c>
      <c r="R594" s="23" t="e">
        <f ca="1"/>
        <v>#N/A</v>
      </c>
      <c r="S594" s="23">
        <f t="shared" ca="1" si="127"/>
        <v>0</v>
      </c>
      <c r="T594" t="b">
        <f t="shared" ca="1" si="135"/>
        <v>1</v>
      </c>
      <c r="U594" s="22" t="e">
        <f t="shared" ca="1" si="131"/>
        <v>#N/A</v>
      </c>
      <c r="V594">
        <f t="shared" ca="1" si="132"/>
        <v>0</v>
      </c>
    </row>
    <row r="595" spans="2:22">
      <c r="B595">
        <f t="shared" si="136"/>
        <v>585</v>
      </c>
      <c r="C595" s="22" t="e">
        <f ca="1"/>
        <v>#N/A</v>
      </c>
      <c r="D595" s="17" t="e">
        <f ca="1"/>
        <v>#N/A</v>
      </c>
      <c r="E595" s="17" t="e">
        <f ca="1"/>
        <v>#N/A</v>
      </c>
      <c r="F595" s="23" t="e">
        <f ca="1"/>
        <v>#N/A</v>
      </c>
      <c r="G595" s="23">
        <f t="shared" ca="1" si="126"/>
        <v>0</v>
      </c>
      <c r="H595" t="b">
        <f t="shared" ca="1" si="133"/>
        <v>1</v>
      </c>
      <c r="I595" s="22" t="e">
        <f t="shared" ca="1" si="128"/>
        <v>#N/A</v>
      </c>
      <c r="J595">
        <f t="shared" ca="1" si="129"/>
        <v>0</v>
      </c>
      <c r="K595" t="e">
        <f t="shared" ca="1" si="134"/>
        <v>#N/A</v>
      </c>
      <c r="O595" s="22" t="e">
        <f t="shared" ca="1" si="130"/>
        <v>#N/A</v>
      </c>
      <c r="P595" s="17" t="e">
        <f ca="1"/>
        <v>#N/A</v>
      </c>
      <c r="Q595" s="17" t="e">
        <f ca="1"/>
        <v>#N/A</v>
      </c>
      <c r="R595" s="23" t="e">
        <f ca="1"/>
        <v>#N/A</v>
      </c>
      <c r="S595" s="23">
        <f t="shared" ca="1" si="127"/>
        <v>0</v>
      </c>
      <c r="T595" t="b">
        <f t="shared" ca="1" si="135"/>
        <v>1</v>
      </c>
      <c r="U595" s="22" t="e">
        <f t="shared" ca="1" si="131"/>
        <v>#N/A</v>
      </c>
      <c r="V595">
        <f t="shared" ca="1" si="132"/>
        <v>0</v>
      </c>
    </row>
    <row r="596" spans="2:22">
      <c r="B596">
        <f t="shared" si="136"/>
        <v>586</v>
      </c>
      <c r="C596" s="22" t="e">
        <f ca="1"/>
        <v>#N/A</v>
      </c>
      <c r="D596" s="17" t="e">
        <f ca="1"/>
        <v>#N/A</v>
      </c>
      <c r="E596" s="17" t="e">
        <f ca="1"/>
        <v>#N/A</v>
      </c>
      <c r="F596" s="23" t="e">
        <f ca="1"/>
        <v>#N/A</v>
      </c>
      <c r="G596" s="23">
        <f t="shared" ca="1" si="126"/>
        <v>0</v>
      </c>
      <c r="H596" t="b">
        <f t="shared" ca="1" si="133"/>
        <v>1</v>
      </c>
      <c r="I596" s="22" t="e">
        <f t="shared" ca="1" si="128"/>
        <v>#N/A</v>
      </c>
      <c r="J596">
        <f t="shared" ca="1" si="129"/>
        <v>0</v>
      </c>
      <c r="K596" t="e">
        <f t="shared" ca="1" si="134"/>
        <v>#N/A</v>
      </c>
      <c r="O596" s="22" t="e">
        <f t="shared" ca="1" si="130"/>
        <v>#N/A</v>
      </c>
      <c r="P596" s="17" t="e">
        <f ca="1"/>
        <v>#N/A</v>
      </c>
      <c r="Q596" s="17" t="e">
        <f ca="1"/>
        <v>#N/A</v>
      </c>
      <c r="R596" s="23" t="e">
        <f ca="1"/>
        <v>#N/A</v>
      </c>
      <c r="S596" s="23">
        <f t="shared" ca="1" si="127"/>
        <v>0</v>
      </c>
      <c r="T596" t="b">
        <f t="shared" ca="1" si="135"/>
        <v>1</v>
      </c>
      <c r="U596" s="22" t="e">
        <f t="shared" ca="1" si="131"/>
        <v>#N/A</v>
      </c>
      <c r="V596">
        <f t="shared" ca="1" si="132"/>
        <v>0</v>
      </c>
    </row>
    <row r="597" spans="2:22">
      <c r="B597">
        <f t="shared" si="136"/>
        <v>587</v>
      </c>
      <c r="C597" s="22" t="e">
        <f ca="1"/>
        <v>#N/A</v>
      </c>
      <c r="D597" s="17" t="e">
        <f ca="1"/>
        <v>#N/A</v>
      </c>
      <c r="E597" s="17" t="e">
        <f ca="1"/>
        <v>#N/A</v>
      </c>
      <c r="F597" s="23" t="e">
        <f ca="1"/>
        <v>#N/A</v>
      </c>
      <c r="G597" s="23">
        <f t="shared" ca="1" si="126"/>
        <v>0</v>
      </c>
      <c r="H597" t="b">
        <f t="shared" ca="1" si="133"/>
        <v>1</v>
      </c>
      <c r="I597" s="22" t="e">
        <f t="shared" ca="1" si="128"/>
        <v>#N/A</v>
      </c>
      <c r="J597">
        <f t="shared" ca="1" si="129"/>
        <v>0</v>
      </c>
      <c r="K597" t="e">
        <f t="shared" ca="1" si="134"/>
        <v>#N/A</v>
      </c>
      <c r="O597" s="22" t="e">
        <f t="shared" ca="1" si="130"/>
        <v>#N/A</v>
      </c>
      <c r="P597" s="17" t="e">
        <f ca="1"/>
        <v>#N/A</v>
      </c>
      <c r="Q597" s="17" t="e">
        <f ca="1"/>
        <v>#N/A</v>
      </c>
      <c r="R597" s="23" t="e">
        <f ca="1"/>
        <v>#N/A</v>
      </c>
      <c r="S597" s="23">
        <f t="shared" ca="1" si="127"/>
        <v>0</v>
      </c>
      <c r="T597" t="b">
        <f t="shared" ca="1" si="135"/>
        <v>1</v>
      </c>
      <c r="U597" s="22" t="e">
        <f t="shared" ca="1" si="131"/>
        <v>#N/A</v>
      </c>
      <c r="V597">
        <f t="shared" ca="1" si="132"/>
        <v>0</v>
      </c>
    </row>
    <row r="598" spans="2:22">
      <c r="B598">
        <f t="shared" si="136"/>
        <v>588</v>
      </c>
      <c r="C598" s="22" t="e">
        <f ca="1"/>
        <v>#N/A</v>
      </c>
      <c r="D598" s="17" t="e">
        <f ca="1"/>
        <v>#N/A</v>
      </c>
      <c r="E598" s="17" t="e">
        <f ca="1"/>
        <v>#N/A</v>
      </c>
      <c r="F598" s="23" t="e">
        <f ca="1"/>
        <v>#N/A</v>
      </c>
      <c r="G598" s="23">
        <f t="shared" ca="1" si="126"/>
        <v>0</v>
      </c>
      <c r="H598" t="b">
        <f t="shared" ca="1" si="133"/>
        <v>1</v>
      </c>
      <c r="I598" s="22" t="e">
        <f t="shared" ca="1" si="128"/>
        <v>#N/A</v>
      </c>
      <c r="J598">
        <f t="shared" ca="1" si="129"/>
        <v>0</v>
      </c>
      <c r="K598" t="e">
        <f t="shared" ca="1" si="134"/>
        <v>#N/A</v>
      </c>
      <c r="O598" s="22" t="e">
        <f t="shared" ca="1" si="130"/>
        <v>#N/A</v>
      </c>
      <c r="P598" s="17" t="e">
        <f ca="1"/>
        <v>#N/A</v>
      </c>
      <c r="Q598" s="17" t="e">
        <f ca="1"/>
        <v>#N/A</v>
      </c>
      <c r="R598" s="23" t="e">
        <f ca="1"/>
        <v>#N/A</v>
      </c>
      <c r="S598" s="23">
        <f t="shared" ca="1" si="127"/>
        <v>0</v>
      </c>
      <c r="T598" t="b">
        <f t="shared" ca="1" si="135"/>
        <v>1</v>
      </c>
      <c r="U598" s="22" t="e">
        <f t="shared" ca="1" si="131"/>
        <v>#N/A</v>
      </c>
      <c r="V598">
        <f t="shared" ca="1" si="132"/>
        <v>0</v>
      </c>
    </row>
    <row r="599" spans="2:22">
      <c r="B599">
        <f t="shared" si="136"/>
        <v>589</v>
      </c>
      <c r="C599" s="22" t="e">
        <f ca="1"/>
        <v>#N/A</v>
      </c>
      <c r="D599" s="17" t="e">
        <f ca="1"/>
        <v>#N/A</v>
      </c>
      <c r="E599" s="17" t="e">
        <f ca="1"/>
        <v>#N/A</v>
      </c>
      <c r="F599" s="23" t="e">
        <f ca="1"/>
        <v>#N/A</v>
      </c>
      <c r="G599" s="23">
        <f t="shared" ref="G599:G662" ca="1" si="137">IFERROR(Volatility(D588:D599,12),FALSE)</f>
        <v>0</v>
      </c>
      <c r="H599" t="b">
        <f t="shared" ca="1" si="133"/>
        <v>1</v>
      </c>
      <c r="I599" s="22" t="e">
        <f t="shared" ca="1" si="128"/>
        <v>#N/A</v>
      </c>
      <c r="J599">
        <f t="shared" ca="1" si="129"/>
        <v>0</v>
      </c>
      <c r="K599" t="e">
        <f t="shared" ca="1" si="134"/>
        <v>#N/A</v>
      </c>
      <c r="O599" s="22" t="e">
        <f t="shared" ca="1" si="130"/>
        <v>#N/A</v>
      </c>
      <c r="P599" s="17" t="e">
        <f ca="1"/>
        <v>#N/A</v>
      </c>
      <c r="Q599" s="17" t="e">
        <f ca="1"/>
        <v>#N/A</v>
      </c>
      <c r="R599" s="23" t="e">
        <f ca="1"/>
        <v>#N/A</v>
      </c>
      <c r="S599" s="23">
        <f t="shared" ref="S599:S662" ca="1" si="138">IFERROR(Volatility(P588:P599,12),FALSE)</f>
        <v>0</v>
      </c>
      <c r="T599" t="b">
        <f t="shared" ca="1" si="135"/>
        <v>1</v>
      </c>
      <c r="U599" s="22" t="e">
        <f t="shared" ca="1" si="131"/>
        <v>#N/A</v>
      </c>
      <c r="V599">
        <f t="shared" ca="1" si="132"/>
        <v>0</v>
      </c>
    </row>
    <row r="600" spans="2:22">
      <c r="B600">
        <f t="shared" si="136"/>
        <v>590</v>
      </c>
      <c r="C600" s="22" t="e">
        <f ca="1"/>
        <v>#N/A</v>
      </c>
      <c r="D600" s="17" t="e">
        <f ca="1"/>
        <v>#N/A</v>
      </c>
      <c r="E600" s="17" t="e">
        <f ca="1"/>
        <v>#N/A</v>
      </c>
      <c r="F600" s="23" t="e">
        <f ca="1"/>
        <v>#N/A</v>
      </c>
      <c r="G600" s="23">
        <f t="shared" ca="1" si="137"/>
        <v>0</v>
      </c>
      <c r="H600" t="b">
        <f t="shared" ca="1" si="133"/>
        <v>1</v>
      </c>
      <c r="I600" s="22" t="e">
        <f t="shared" ca="1" si="128"/>
        <v>#N/A</v>
      </c>
      <c r="J600">
        <f t="shared" ca="1" si="129"/>
        <v>0</v>
      </c>
      <c r="K600" t="e">
        <f t="shared" ca="1" si="134"/>
        <v>#N/A</v>
      </c>
      <c r="O600" s="22" t="e">
        <f t="shared" ca="1" si="130"/>
        <v>#N/A</v>
      </c>
      <c r="P600" s="17" t="e">
        <f ca="1"/>
        <v>#N/A</v>
      </c>
      <c r="Q600" s="17" t="e">
        <f ca="1"/>
        <v>#N/A</v>
      </c>
      <c r="R600" s="23" t="e">
        <f ca="1"/>
        <v>#N/A</v>
      </c>
      <c r="S600" s="23">
        <f t="shared" ca="1" si="138"/>
        <v>0</v>
      </c>
      <c r="T600" t="b">
        <f t="shared" ca="1" si="135"/>
        <v>1</v>
      </c>
      <c r="U600" s="22" t="e">
        <f t="shared" ca="1" si="131"/>
        <v>#N/A</v>
      </c>
      <c r="V600">
        <f t="shared" ca="1" si="132"/>
        <v>0</v>
      </c>
    </row>
    <row r="601" spans="2:22">
      <c r="B601">
        <f t="shared" si="136"/>
        <v>591</v>
      </c>
      <c r="C601" s="22" t="e">
        <f ca="1"/>
        <v>#N/A</v>
      </c>
      <c r="D601" s="17" t="e">
        <f ca="1"/>
        <v>#N/A</v>
      </c>
      <c r="E601" s="17" t="e">
        <f ca="1"/>
        <v>#N/A</v>
      </c>
      <c r="F601" s="23" t="e">
        <f ca="1"/>
        <v>#N/A</v>
      </c>
      <c r="G601" s="23">
        <f t="shared" ca="1" si="137"/>
        <v>0</v>
      </c>
      <c r="H601" t="b">
        <f t="shared" ca="1" si="133"/>
        <v>1</v>
      </c>
      <c r="I601" s="22" t="e">
        <f t="shared" ca="1" si="128"/>
        <v>#N/A</v>
      </c>
      <c r="J601">
        <f t="shared" ca="1" si="129"/>
        <v>0</v>
      </c>
      <c r="K601" t="e">
        <f t="shared" ca="1" si="134"/>
        <v>#N/A</v>
      </c>
      <c r="O601" s="22" t="e">
        <f t="shared" ca="1" si="130"/>
        <v>#N/A</v>
      </c>
      <c r="P601" s="17" t="e">
        <f ca="1"/>
        <v>#N/A</v>
      </c>
      <c r="Q601" s="17" t="e">
        <f ca="1"/>
        <v>#N/A</v>
      </c>
      <c r="R601" s="23" t="e">
        <f ca="1"/>
        <v>#N/A</v>
      </c>
      <c r="S601" s="23">
        <f t="shared" ca="1" si="138"/>
        <v>0</v>
      </c>
      <c r="T601" t="b">
        <f t="shared" ca="1" si="135"/>
        <v>1</v>
      </c>
      <c r="U601" s="22" t="e">
        <f t="shared" ca="1" si="131"/>
        <v>#N/A</v>
      </c>
      <c r="V601">
        <f t="shared" ca="1" si="132"/>
        <v>0</v>
      </c>
    </row>
    <row r="602" spans="2:22">
      <c r="B602">
        <f t="shared" si="136"/>
        <v>592</v>
      </c>
      <c r="C602" s="22" t="e">
        <f ca="1"/>
        <v>#N/A</v>
      </c>
      <c r="D602" s="17" t="e">
        <f ca="1"/>
        <v>#N/A</v>
      </c>
      <c r="E602" s="17" t="e">
        <f ca="1"/>
        <v>#N/A</v>
      </c>
      <c r="F602" s="23" t="e">
        <f ca="1"/>
        <v>#N/A</v>
      </c>
      <c r="G602" s="23">
        <f t="shared" ca="1" si="137"/>
        <v>0</v>
      </c>
      <c r="H602" t="b">
        <f t="shared" ca="1" si="133"/>
        <v>1</v>
      </c>
      <c r="I602" s="22" t="e">
        <f t="shared" ca="1" si="128"/>
        <v>#N/A</v>
      </c>
      <c r="J602">
        <f t="shared" ca="1" si="129"/>
        <v>0</v>
      </c>
      <c r="K602" t="e">
        <f t="shared" ca="1" si="134"/>
        <v>#N/A</v>
      </c>
      <c r="O602" s="22" t="e">
        <f t="shared" ca="1" si="130"/>
        <v>#N/A</v>
      </c>
      <c r="P602" s="17" t="e">
        <f ca="1"/>
        <v>#N/A</v>
      </c>
      <c r="Q602" s="17" t="e">
        <f ca="1"/>
        <v>#N/A</v>
      </c>
      <c r="R602" s="23" t="e">
        <f ca="1"/>
        <v>#N/A</v>
      </c>
      <c r="S602" s="23">
        <f t="shared" ca="1" si="138"/>
        <v>0</v>
      </c>
      <c r="T602" t="b">
        <f t="shared" ca="1" si="135"/>
        <v>1</v>
      </c>
      <c r="U602" s="22" t="e">
        <f t="shared" ca="1" si="131"/>
        <v>#N/A</v>
      </c>
      <c r="V602">
        <f t="shared" ca="1" si="132"/>
        <v>0</v>
      </c>
    </row>
    <row r="603" spans="2:22">
      <c r="B603">
        <f t="shared" si="136"/>
        <v>593</v>
      </c>
      <c r="C603" s="22" t="e">
        <f ca="1"/>
        <v>#N/A</v>
      </c>
      <c r="D603" s="17" t="e">
        <f ca="1"/>
        <v>#N/A</v>
      </c>
      <c r="E603" s="17" t="e">
        <f ca="1"/>
        <v>#N/A</v>
      </c>
      <c r="F603" s="23" t="e">
        <f ca="1"/>
        <v>#N/A</v>
      </c>
      <c r="G603" s="23">
        <f t="shared" ca="1" si="137"/>
        <v>0</v>
      </c>
      <c r="H603" t="b">
        <f t="shared" ca="1" si="133"/>
        <v>1</v>
      </c>
      <c r="I603" s="22" t="e">
        <f t="shared" ca="1" si="128"/>
        <v>#N/A</v>
      </c>
      <c r="J603">
        <f t="shared" ca="1" si="129"/>
        <v>0</v>
      </c>
      <c r="K603" t="e">
        <f t="shared" ca="1" si="134"/>
        <v>#N/A</v>
      </c>
      <c r="O603" s="22" t="e">
        <f t="shared" ca="1" si="130"/>
        <v>#N/A</v>
      </c>
      <c r="P603" s="17" t="e">
        <f ca="1"/>
        <v>#N/A</v>
      </c>
      <c r="Q603" s="17" t="e">
        <f ca="1"/>
        <v>#N/A</v>
      </c>
      <c r="R603" s="23" t="e">
        <f ca="1"/>
        <v>#N/A</v>
      </c>
      <c r="S603" s="23">
        <f t="shared" ca="1" si="138"/>
        <v>0</v>
      </c>
      <c r="T603" t="b">
        <f t="shared" ca="1" si="135"/>
        <v>1</v>
      </c>
      <c r="U603" s="22" t="e">
        <f t="shared" ca="1" si="131"/>
        <v>#N/A</v>
      </c>
      <c r="V603">
        <f t="shared" ca="1" si="132"/>
        <v>0</v>
      </c>
    </row>
    <row r="604" spans="2:22">
      <c r="B604">
        <f t="shared" si="136"/>
        <v>594</v>
      </c>
      <c r="C604" s="22" t="e">
        <f ca="1"/>
        <v>#N/A</v>
      </c>
      <c r="D604" s="17" t="e">
        <f ca="1"/>
        <v>#N/A</v>
      </c>
      <c r="E604" s="17" t="e">
        <f ca="1"/>
        <v>#N/A</v>
      </c>
      <c r="F604" s="23" t="e">
        <f ca="1"/>
        <v>#N/A</v>
      </c>
      <c r="G604" s="23">
        <f t="shared" ca="1" si="137"/>
        <v>0</v>
      </c>
      <c r="H604" t="b">
        <f t="shared" ca="1" si="133"/>
        <v>1</v>
      </c>
      <c r="I604" s="22" t="e">
        <f t="shared" ca="1" si="128"/>
        <v>#N/A</v>
      </c>
      <c r="J604">
        <f t="shared" ca="1" si="129"/>
        <v>0</v>
      </c>
      <c r="K604" t="e">
        <f t="shared" ca="1" si="134"/>
        <v>#N/A</v>
      </c>
      <c r="O604" s="22" t="e">
        <f t="shared" ca="1" si="130"/>
        <v>#N/A</v>
      </c>
      <c r="P604" s="17" t="e">
        <f ca="1"/>
        <v>#N/A</v>
      </c>
      <c r="Q604" s="17" t="e">
        <f ca="1"/>
        <v>#N/A</v>
      </c>
      <c r="R604" s="23" t="e">
        <f ca="1"/>
        <v>#N/A</v>
      </c>
      <c r="S604" s="23">
        <f t="shared" ca="1" si="138"/>
        <v>0</v>
      </c>
      <c r="T604" t="b">
        <f t="shared" ca="1" si="135"/>
        <v>1</v>
      </c>
      <c r="U604" s="22" t="e">
        <f t="shared" ca="1" si="131"/>
        <v>#N/A</v>
      </c>
      <c r="V604">
        <f t="shared" ca="1" si="132"/>
        <v>0</v>
      </c>
    </row>
    <row r="605" spans="2:22">
      <c r="B605">
        <f t="shared" si="136"/>
        <v>595</v>
      </c>
      <c r="C605" s="22" t="e">
        <f ca="1"/>
        <v>#N/A</v>
      </c>
      <c r="D605" s="17" t="e">
        <f ca="1"/>
        <v>#N/A</v>
      </c>
      <c r="E605" s="17" t="e">
        <f ca="1"/>
        <v>#N/A</v>
      </c>
      <c r="F605" s="23" t="e">
        <f ca="1"/>
        <v>#N/A</v>
      </c>
      <c r="G605" s="23">
        <f t="shared" ca="1" si="137"/>
        <v>0</v>
      </c>
      <c r="H605" t="b">
        <f t="shared" ca="1" si="133"/>
        <v>1</v>
      </c>
      <c r="I605" s="22" t="e">
        <f t="shared" ca="1" si="128"/>
        <v>#N/A</v>
      </c>
      <c r="J605">
        <f t="shared" ca="1" si="129"/>
        <v>0</v>
      </c>
      <c r="K605" t="e">
        <f t="shared" ca="1" si="134"/>
        <v>#N/A</v>
      </c>
      <c r="O605" s="22" t="e">
        <f t="shared" ca="1" si="130"/>
        <v>#N/A</v>
      </c>
      <c r="P605" s="17" t="e">
        <f ca="1"/>
        <v>#N/A</v>
      </c>
      <c r="Q605" s="17" t="e">
        <f ca="1"/>
        <v>#N/A</v>
      </c>
      <c r="R605" s="23" t="e">
        <f ca="1"/>
        <v>#N/A</v>
      </c>
      <c r="S605" s="23">
        <f t="shared" ca="1" si="138"/>
        <v>0</v>
      </c>
      <c r="T605" t="b">
        <f t="shared" ca="1" si="135"/>
        <v>1</v>
      </c>
      <c r="U605" s="22" t="e">
        <f t="shared" ca="1" si="131"/>
        <v>#N/A</v>
      </c>
      <c r="V605">
        <f t="shared" ca="1" si="132"/>
        <v>0</v>
      </c>
    </row>
    <row r="606" spans="2:22">
      <c r="B606">
        <f t="shared" si="136"/>
        <v>596</v>
      </c>
      <c r="C606" s="22" t="e">
        <f ca="1"/>
        <v>#N/A</v>
      </c>
      <c r="D606" s="17" t="e">
        <f ca="1"/>
        <v>#N/A</v>
      </c>
      <c r="E606" s="17" t="e">
        <f ca="1"/>
        <v>#N/A</v>
      </c>
      <c r="F606" s="23" t="e">
        <f ca="1"/>
        <v>#N/A</v>
      </c>
      <c r="G606" s="23">
        <f t="shared" ca="1" si="137"/>
        <v>0</v>
      </c>
      <c r="H606" t="b">
        <f t="shared" ca="1" si="133"/>
        <v>1</v>
      </c>
      <c r="I606" s="22" t="e">
        <f t="shared" ca="1" si="128"/>
        <v>#N/A</v>
      </c>
      <c r="J606">
        <f t="shared" ca="1" si="129"/>
        <v>0</v>
      </c>
      <c r="K606" t="e">
        <f t="shared" ca="1" si="134"/>
        <v>#N/A</v>
      </c>
      <c r="O606" s="22" t="e">
        <f t="shared" ca="1" si="130"/>
        <v>#N/A</v>
      </c>
      <c r="P606" s="17" t="e">
        <f ca="1"/>
        <v>#N/A</v>
      </c>
      <c r="Q606" s="17" t="e">
        <f ca="1"/>
        <v>#N/A</v>
      </c>
      <c r="R606" s="23" t="e">
        <f ca="1"/>
        <v>#N/A</v>
      </c>
      <c r="S606" s="23">
        <f t="shared" ca="1" si="138"/>
        <v>0</v>
      </c>
      <c r="T606" t="b">
        <f t="shared" ca="1" si="135"/>
        <v>1</v>
      </c>
      <c r="U606" s="22" t="e">
        <f t="shared" ca="1" si="131"/>
        <v>#N/A</v>
      </c>
      <c r="V606">
        <f t="shared" ca="1" si="132"/>
        <v>0</v>
      </c>
    </row>
    <row r="607" spans="2:22">
      <c r="B607">
        <f t="shared" si="136"/>
        <v>597</v>
      </c>
      <c r="C607" s="22" t="e">
        <f ca="1"/>
        <v>#N/A</v>
      </c>
      <c r="D607" s="17" t="e">
        <f ca="1"/>
        <v>#N/A</v>
      </c>
      <c r="E607" s="17" t="e">
        <f ca="1"/>
        <v>#N/A</v>
      </c>
      <c r="F607" s="23" t="e">
        <f ca="1"/>
        <v>#N/A</v>
      </c>
      <c r="G607" s="23">
        <f t="shared" ca="1" si="137"/>
        <v>0</v>
      </c>
      <c r="H607" t="b">
        <f t="shared" ca="1" si="133"/>
        <v>1</v>
      </c>
      <c r="I607" s="22" t="e">
        <f t="shared" ca="1" si="128"/>
        <v>#N/A</v>
      </c>
      <c r="J607">
        <f t="shared" ca="1" si="129"/>
        <v>0</v>
      </c>
      <c r="K607" t="e">
        <f t="shared" ca="1" si="134"/>
        <v>#N/A</v>
      </c>
      <c r="O607" s="22" t="e">
        <f t="shared" ca="1" si="130"/>
        <v>#N/A</v>
      </c>
      <c r="P607" s="17" t="e">
        <f ca="1"/>
        <v>#N/A</v>
      </c>
      <c r="Q607" s="17" t="e">
        <f ca="1"/>
        <v>#N/A</v>
      </c>
      <c r="R607" s="23" t="e">
        <f ca="1"/>
        <v>#N/A</v>
      </c>
      <c r="S607" s="23">
        <f t="shared" ca="1" si="138"/>
        <v>0</v>
      </c>
      <c r="T607" t="b">
        <f t="shared" ca="1" si="135"/>
        <v>1</v>
      </c>
      <c r="U607" s="22" t="e">
        <f t="shared" ca="1" si="131"/>
        <v>#N/A</v>
      </c>
      <c r="V607">
        <f t="shared" ca="1" si="132"/>
        <v>0</v>
      </c>
    </row>
    <row r="608" spans="2:22">
      <c r="B608">
        <f t="shared" si="136"/>
        <v>598</v>
      </c>
      <c r="C608" s="22" t="e">
        <f ca="1"/>
        <v>#N/A</v>
      </c>
      <c r="D608" s="17" t="e">
        <f ca="1"/>
        <v>#N/A</v>
      </c>
      <c r="E608" s="17" t="e">
        <f ca="1"/>
        <v>#N/A</v>
      </c>
      <c r="F608" s="23" t="e">
        <f ca="1"/>
        <v>#N/A</v>
      </c>
      <c r="G608" s="23">
        <f t="shared" ca="1" si="137"/>
        <v>0</v>
      </c>
      <c r="H608" t="b">
        <f t="shared" ca="1" si="133"/>
        <v>1</v>
      </c>
      <c r="I608" s="22" t="e">
        <f t="shared" ca="1" si="128"/>
        <v>#N/A</v>
      </c>
      <c r="J608">
        <f t="shared" ca="1" si="129"/>
        <v>0</v>
      </c>
      <c r="K608" t="e">
        <f t="shared" ca="1" si="134"/>
        <v>#N/A</v>
      </c>
      <c r="O608" s="22" t="e">
        <f t="shared" ca="1" si="130"/>
        <v>#N/A</v>
      </c>
      <c r="P608" s="17" t="e">
        <f ca="1"/>
        <v>#N/A</v>
      </c>
      <c r="Q608" s="17" t="e">
        <f ca="1"/>
        <v>#N/A</v>
      </c>
      <c r="R608" s="23" t="e">
        <f ca="1"/>
        <v>#N/A</v>
      </c>
      <c r="S608" s="23">
        <f t="shared" ca="1" si="138"/>
        <v>0</v>
      </c>
      <c r="T608" t="b">
        <f t="shared" ca="1" si="135"/>
        <v>1</v>
      </c>
      <c r="U608" s="22" t="e">
        <f t="shared" ca="1" si="131"/>
        <v>#N/A</v>
      </c>
      <c r="V608">
        <f t="shared" ca="1" si="132"/>
        <v>0</v>
      </c>
    </row>
    <row r="609" spans="2:22">
      <c r="B609">
        <f t="shared" si="136"/>
        <v>599</v>
      </c>
      <c r="C609" s="22" t="e">
        <f ca="1"/>
        <v>#N/A</v>
      </c>
      <c r="D609" s="17" t="e">
        <f ca="1"/>
        <v>#N/A</v>
      </c>
      <c r="E609" s="17" t="e">
        <f ca="1"/>
        <v>#N/A</v>
      </c>
      <c r="F609" s="23" t="e">
        <f ca="1"/>
        <v>#N/A</v>
      </c>
      <c r="G609" s="23">
        <f t="shared" ca="1" si="137"/>
        <v>0</v>
      </c>
      <c r="H609" t="b">
        <f t="shared" ca="1" si="133"/>
        <v>1</v>
      </c>
      <c r="I609" s="22" t="e">
        <f t="shared" ca="1" si="128"/>
        <v>#N/A</v>
      </c>
      <c r="J609">
        <f t="shared" ca="1" si="129"/>
        <v>0</v>
      </c>
      <c r="K609" t="e">
        <f t="shared" ca="1" si="134"/>
        <v>#N/A</v>
      </c>
      <c r="O609" s="22" t="e">
        <f t="shared" ca="1" si="130"/>
        <v>#N/A</v>
      </c>
      <c r="P609" s="17" t="e">
        <f ca="1"/>
        <v>#N/A</v>
      </c>
      <c r="Q609" s="17" t="e">
        <f ca="1"/>
        <v>#N/A</v>
      </c>
      <c r="R609" s="23" t="e">
        <f ca="1"/>
        <v>#N/A</v>
      </c>
      <c r="S609" s="23">
        <f t="shared" ca="1" si="138"/>
        <v>0</v>
      </c>
      <c r="T609" t="b">
        <f t="shared" ca="1" si="135"/>
        <v>1</v>
      </c>
      <c r="U609" s="22" t="e">
        <f t="shared" ca="1" si="131"/>
        <v>#N/A</v>
      </c>
      <c r="V609">
        <f t="shared" ca="1" si="132"/>
        <v>0</v>
      </c>
    </row>
    <row r="610" spans="2:22">
      <c r="B610">
        <f t="shared" si="136"/>
        <v>600</v>
      </c>
      <c r="C610" s="22" t="e">
        <f ca="1"/>
        <v>#N/A</v>
      </c>
      <c r="D610" s="17" t="e">
        <f ca="1"/>
        <v>#N/A</v>
      </c>
      <c r="E610" s="17" t="e">
        <f ca="1"/>
        <v>#N/A</v>
      </c>
      <c r="F610" s="23" t="e">
        <f ca="1"/>
        <v>#N/A</v>
      </c>
      <c r="G610" s="23">
        <f t="shared" ca="1" si="137"/>
        <v>0</v>
      </c>
      <c r="H610" t="b">
        <f t="shared" ca="1" si="133"/>
        <v>1</v>
      </c>
      <c r="I610" s="22" t="e">
        <f t="shared" ca="1" si="128"/>
        <v>#N/A</v>
      </c>
      <c r="J610">
        <f t="shared" ca="1" si="129"/>
        <v>0</v>
      </c>
      <c r="K610" t="e">
        <f t="shared" ca="1" si="134"/>
        <v>#N/A</v>
      </c>
      <c r="O610" s="22" t="e">
        <f t="shared" ca="1" si="130"/>
        <v>#N/A</v>
      </c>
      <c r="P610" s="17" t="e">
        <f ca="1"/>
        <v>#N/A</v>
      </c>
      <c r="Q610" s="17" t="e">
        <f ca="1"/>
        <v>#N/A</v>
      </c>
      <c r="R610" s="23" t="e">
        <f ca="1"/>
        <v>#N/A</v>
      </c>
      <c r="S610" s="23">
        <f t="shared" ca="1" si="138"/>
        <v>0</v>
      </c>
      <c r="T610" t="b">
        <f t="shared" ca="1" si="135"/>
        <v>1</v>
      </c>
      <c r="U610" s="22" t="e">
        <f t="shared" ca="1" si="131"/>
        <v>#N/A</v>
      </c>
      <c r="V610">
        <f t="shared" ca="1" si="132"/>
        <v>0</v>
      </c>
    </row>
    <row r="611" spans="2:22">
      <c r="B611">
        <f t="shared" si="136"/>
        <v>601</v>
      </c>
      <c r="C611" s="22" t="e">
        <f ca="1"/>
        <v>#N/A</v>
      </c>
      <c r="D611" s="17" t="e">
        <f ca="1"/>
        <v>#N/A</v>
      </c>
      <c r="E611" s="17" t="e">
        <f ca="1"/>
        <v>#N/A</v>
      </c>
      <c r="F611" s="23" t="e">
        <f ca="1"/>
        <v>#N/A</v>
      </c>
      <c r="G611" s="23">
        <f t="shared" ca="1" si="137"/>
        <v>0</v>
      </c>
      <c r="H611" t="b">
        <f t="shared" ca="1" si="133"/>
        <v>1</v>
      </c>
      <c r="I611" s="22" t="e">
        <f t="shared" ca="1" si="128"/>
        <v>#N/A</v>
      </c>
      <c r="J611">
        <f t="shared" ca="1" si="129"/>
        <v>0</v>
      </c>
      <c r="K611" t="e">
        <f t="shared" ca="1" si="134"/>
        <v>#N/A</v>
      </c>
      <c r="O611" s="22" t="e">
        <f t="shared" ca="1" si="130"/>
        <v>#N/A</v>
      </c>
      <c r="P611" s="17" t="e">
        <f ca="1"/>
        <v>#N/A</v>
      </c>
      <c r="Q611" s="17" t="e">
        <f ca="1"/>
        <v>#N/A</v>
      </c>
      <c r="R611" s="23" t="e">
        <f ca="1"/>
        <v>#N/A</v>
      </c>
      <c r="S611" s="23">
        <f t="shared" ca="1" si="138"/>
        <v>0</v>
      </c>
      <c r="T611" t="b">
        <f t="shared" ca="1" si="135"/>
        <v>1</v>
      </c>
      <c r="U611" s="22" t="e">
        <f t="shared" ca="1" si="131"/>
        <v>#N/A</v>
      </c>
      <c r="V611">
        <f t="shared" ca="1" si="132"/>
        <v>0</v>
      </c>
    </row>
    <row r="612" spans="2:22">
      <c r="B612">
        <f t="shared" si="136"/>
        <v>602</v>
      </c>
      <c r="C612" s="22" t="e">
        <f ca="1"/>
        <v>#N/A</v>
      </c>
      <c r="D612" s="17" t="e">
        <f ca="1"/>
        <v>#N/A</v>
      </c>
      <c r="E612" s="17" t="e">
        <f ca="1"/>
        <v>#N/A</v>
      </c>
      <c r="F612" s="23" t="e">
        <f ca="1"/>
        <v>#N/A</v>
      </c>
      <c r="G612" s="23">
        <f t="shared" ca="1" si="137"/>
        <v>0</v>
      </c>
      <c r="H612" t="b">
        <f t="shared" ca="1" si="133"/>
        <v>1</v>
      </c>
      <c r="I612" s="22" t="e">
        <f t="shared" ca="1" si="128"/>
        <v>#N/A</v>
      </c>
      <c r="J612">
        <f t="shared" ca="1" si="129"/>
        <v>0</v>
      </c>
      <c r="K612" t="e">
        <f t="shared" ca="1" si="134"/>
        <v>#N/A</v>
      </c>
      <c r="O612" s="22" t="e">
        <f t="shared" ca="1" si="130"/>
        <v>#N/A</v>
      </c>
      <c r="P612" s="17" t="e">
        <f ca="1"/>
        <v>#N/A</v>
      </c>
      <c r="Q612" s="17" t="e">
        <f ca="1"/>
        <v>#N/A</v>
      </c>
      <c r="R612" s="23" t="e">
        <f ca="1"/>
        <v>#N/A</v>
      </c>
      <c r="S612" s="23">
        <f t="shared" ca="1" si="138"/>
        <v>0</v>
      </c>
      <c r="T612" t="b">
        <f t="shared" ca="1" si="135"/>
        <v>1</v>
      </c>
      <c r="U612" s="22" t="e">
        <f t="shared" ca="1" si="131"/>
        <v>#N/A</v>
      </c>
      <c r="V612">
        <f t="shared" ca="1" si="132"/>
        <v>0</v>
      </c>
    </row>
    <row r="613" spans="2:22">
      <c r="B613">
        <f t="shared" si="136"/>
        <v>603</v>
      </c>
      <c r="C613" s="22" t="e">
        <f ca="1"/>
        <v>#N/A</v>
      </c>
      <c r="D613" s="17" t="e">
        <f ca="1"/>
        <v>#N/A</v>
      </c>
      <c r="E613" s="17" t="e">
        <f ca="1"/>
        <v>#N/A</v>
      </c>
      <c r="F613" s="23" t="e">
        <f ca="1"/>
        <v>#N/A</v>
      </c>
      <c r="G613" s="23">
        <f t="shared" ca="1" si="137"/>
        <v>0</v>
      </c>
      <c r="H613" t="b">
        <f t="shared" ca="1" si="133"/>
        <v>1</v>
      </c>
      <c r="I613" s="22" t="e">
        <f t="shared" ca="1" si="128"/>
        <v>#N/A</v>
      </c>
      <c r="J613">
        <f t="shared" ca="1" si="129"/>
        <v>0</v>
      </c>
      <c r="K613" t="e">
        <f t="shared" ca="1" si="134"/>
        <v>#N/A</v>
      </c>
      <c r="O613" s="22" t="e">
        <f t="shared" ca="1" si="130"/>
        <v>#N/A</v>
      </c>
      <c r="P613" s="17" t="e">
        <f ca="1"/>
        <v>#N/A</v>
      </c>
      <c r="Q613" s="17" t="e">
        <f ca="1"/>
        <v>#N/A</v>
      </c>
      <c r="R613" s="23" t="e">
        <f ca="1"/>
        <v>#N/A</v>
      </c>
      <c r="S613" s="23">
        <f t="shared" ca="1" si="138"/>
        <v>0</v>
      </c>
      <c r="T613" t="b">
        <f t="shared" ca="1" si="135"/>
        <v>1</v>
      </c>
      <c r="U613" s="22" t="e">
        <f t="shared" ca="1" si="131"/>
        <v>#N/A</v>
      </c>
      <c r="V613">
        <f t="shared" ca="1" si="132"/>
        <v>0</v>
      </c>
    </row>
    <row r="614" spans="2:22">
      <c r="B614">
        <f t="shared" si="136"/>
        <v>604</v>
      </c>
      <c r="C614" s="22" t="e">
        <f ca="1"/>
        <v>#N/A</v>
      </c>
      <c r="D614" s="17" t="e">
        <f ca="1"/>
        <v>#N/A</v>
      </c>
      <c r="E614" s="17" t="e">
        <f ca="1"/>
        <v>#N/A</v>
      </c>
      <c r="F614" s="23" t="e">
        <f ca="1"/>
        <v>#N/A</v>
      </c>
      <c r="G614" s="23">
        <f t="shared" ca="1" si="137"/>
        <v>0</v>
      </c>
      <c r="H614" t="b">
        <f t="shared" ca="1" si="133"/>
        <v>1</v>
      </c>
      <c r="I614" s="22" t="e">
        <f t="shared" ca="1" si="128"/>
        <v>#N/A</v>
      </c>
      <c r="J614">
        <f t="shared" ca="1" si="129"/>
        <v>0</v>
      </c>
      <c r="K614" t="e">
        <f t="shared" ca="1" si="134"/>
        <v>#N/A</v>
      </c>
      <c r="O614" s="22" t="e">
        <f t="shared" ca="1" si="130"/>
        <v>#N/A</v>
      </c>
      <c r="P614" s="17" t="e">
        <f ca="1"/>
        <v>#N/A</v>
      </c>
      <c r="Q614" s="17" t="e">
        <f ca="1"/>
        <v>#N/A</v>
      </c>
      <c r="R614" s="23" t="e">
        <f ca="1"/>
        <v>#N/A</v>
      </c>
      <c r="S614" s="23">
        <f t="shared" ca="1" si="138"/>
        <v>0</v>
      </c>
      <c r="T614" t="b">
        <f t="shared" ca="1" si="135"/>
        <v>1</v>
      </c>
      <c r="U614" s="22" t="e">
        <f t="shared" ca="1" si="131"/>
        <v>#N/A</v>
      </c>
      <c r="V614">
        <f t="shared" ca="1" si="132"/>
        <v>0</v>
      </c>
    </row>
    <row r="615" spans="2:22">
      <c r="B615">
        <f t="shared" si="136"/>
        <v>605</v>
      </c>
      <c r="C615" s="22" t="e">
        <f ca="1"/>
        <v>#N/A</v>
      </c>
      <c r="D615" s="17" t="e">
        <f ca="1"/>
        <v>#N/A</v>
      </c>
      <c r="E615" s="17" t="e">
        <f ca="1"/>
        <v>#N/A</v>
      </c>
      <c r="F615" s="23" t="e">
        <f ca="1"/>
        <v>#N/A</v>
      </c>
      <c r="G615" s="23">
        <f t="shared" ca="1" si="137"/>
        <v>0</v>
      </c>
      <c r="H615" t="b">
        <f t="shared" ca="1" si="133"/>
        <v>1</v>
      </c>
      <c r="I615" s="22" t="e">
        <f t="shared" ca="1" si="128"/>
        <v>#N/A</v>
      </c>
      <c r="J615">
        <f t="shared" ca="1" si="129"/>
        <v>0</v>
      </c>
      <c r="K615" t="e">
        <f t="shared" ca="1" si="134"/>
        <v>#N/A</v>
      </c>
      <c r="O615" s="22" t="e">
        <f t="shared" ca="1" si="130"/>
        <v>#N/A</v>
      </c>
      <c r="P615" s="17" t="e">
        <f ca="1"/>
        <v>#N/A</v>
      </c>
      <c r="Q615" s="17" t="e">
        <f ca="1"/>
        <v>#N/A</v>
      </c>
      <c r="R615" s="23" t="e">
        <f ca="1"/>
        <v>#N/A</v>
      </c>
      <c r="S615" s="23">
        <f t="shared" ca="1" si="138"/>
        <v>0</v>
      </c>
      <c r="T615" t="b">
        <f t="shared" ca="1" si="135"/>
        <v>1</v>
      </c>
      <c r="U615" s="22" t="e">
        <f t="shared" ca="1" si="131"/>
        <v>#N/A</v>
      </c>
      <c r="V615">
        <f t="shared" ca="1" si="132"/>
        <v>0</v>
      </c>
    </row>
    <row r="616" spans="2:22">
      <c r="B616">
        <f t="shared" si="136"/>
        <v>606</v>
      </c>
      <c r="C616" s="22" t="e">
        <f ca="1"/>
        <v>#N/A</v>
      </c>
      <c r="D616" s="17" t="e">
        <f ca="1"/>
        <v>#N/A</v>
      </c>
      <c r="E616" s="17" t="e">
        <f ca="1"/>
        <v>#N/A</v>
      </c>
      <c r="F616" s="23" t="e">
        <f ca="1"/>
        <v>#N/A</v>
      </c>
      <c r="G616" s="23">
        <f t="shared" ca="1" si="137"/>
        <v>0</v>
      </c>
      <c r="H616" t="b">
        <f t="shared" ca="1" si="133"/>
        <v>1</v>
      </c>
      <c r="I616" s="22" t="e">
        <f t="shared" ca="1" si="128"/>
        <v>#N/A</v>
      </c>
      <c r="J616">
        <f t="shared" ca="1" si="129"/>
        <v>0</v>
      </c>
      <c r="K616" t="e">
        <f t="shared" ca="1" si="134"/>
        <v>#N/A</v>
      </c>
      <c r="O616" s="22" t="e">
        <f t="shared" ca="1" si="130"/>
        <v>#N/A</v>
      </c>
      <c r="P616" s="17" t="e">
        <f ca="1"/>
        <v>#N/A</v>
      </c>
      <c r="Q616" s="17" t="e">
        <f ca="1"/>
        <v>#N/A</v>
      </c>
      <c r="R616" s="23" t="e">
        <f ca="1"/>
        <v>#N/A</v>
      </c>
      <c r="S616" s="23">
        <f t="shared" ca="1" si="138"/>
        <v>0</v>
      </c>
      <c r="T616" t="b">
        <f t="shared" ca="1" si="135"/>
        <v>1</v>
      </c>
      <c r="U616" s="22" t="e">
        <f t="shared" ca="1" si="131"/>
        <v>#N/A</v>
      </c>
      <c r="V616">
        <f t="shared" ca="1" si="132"/>
        <v>0</v>
      </c>
    </row>
    <row r="617" spans="2:22">
      <c r="B617">
        <f t="shared" si="136"/>
        <v>607</v>
      </c>
      <c r="C617" s="22" t="e">
        <f ca="1"/>
        <v>#N/A</v>
      </c>
      <c r="D617" s="17" t="e">
        <f ca="1"/>
        <v>#N/A</v>
      </c>
      <c r="E617" s="17" t="e">
        <f ca="1"/>
        <v>#N/A</v>
      </c>
      <c r="F617" s="23" t="e">
        <f ca="1"/>
        <v>#N/A</v>
      </c>
      <c r="G617" s="23">
        <f t="shared" ca="1" si="137"/>
        <v>0</v>
      </c>
      <c r="H617" t="b">
        <f t="shared" ca="1" si="133"/>
        <v>1</v>
      </c>
      <c r="I617" s="22" t="e">
        <f t="shared" ca="1" si="128"/>
        <v>#N/A</v>
      </c>
      <c r="J617">
        <f t="shared" ca="1" si="129"/>
        <v>0</v>
      </c>
      <c r="K617" t="e">
        <f t="shared" ca="1" si="134"/>
        <v>#N/A</v>
      </c>
      <c r="O617" s="22" t="e">
        <f t="shared" ca="1" si="130"/>
        <v>#N/A</v>
      </c>
      <c r="P617" s="17" t="e">
        <f ca="1"/>
        <v>#N/A</v>
      </c>
      <c r="Q617" s="17" t="e">
        <f ca="1"/>
        <v>#N/A</v>
      </c>
      <c r="R617" s="23" t="e">
        <f ca="1"/>
        <v>#N/A</v>
      </c>
      <c r="S617" s="23">
        <f t="shared" ca="1" si="138"/>
        <v>0</v>
      </c>
      <c r="T617" t="b">
        <f t="shared" ca="1" si="135"/>
        <v>1</v>
      </c>
      <c r="U617" s="22" t="e">
        <f t="shared" ca="1" si="131"/>
        <v>#N/A</v>
      </c>
      <c r="V617">
        <f t="shared" ca="1" si="132"/>
        <v>0</v>
      </c>
    </row>
    <row r="618" spans="2:22">
      <c r="B618">
        <f t="shared" si="136"/>
        <v>608</v>
      </c>
      <c r="C618" s="22" t="e">
        <f ca="1"/>
        <v>#N/A</v>
      </c>
      <c r="D618" s="17" t="e">
        <f ca="1"/>
        <v>#N/A</v>
      </c>
      <c r="E618" s="17" t="e">
        <f ca="1"/>
        <v>#N/A</v>
      </c>
      <c r="F618" s="23" t="e">
        <f ca="1"/>
        <v>#N/A</v>
      </c>
      <c r="G618" s="23">
        <f t="shared" ca="1" si="137"/>
        <v>0</v>
      </c>
      <c r="H618" t="b">
        <f t="shared" ca="1" si="133"/>
        <v>1</v>
      </c>
      <c r="I618" s="22" t="e">
        <f t="shared" ca="1" si="128"/>
        <v>#N/A</v>
      </c>
      <c r="J618">
        <f t="shared" ca="1" si="129"/>
        <v>0</v>
      </c>
      <c r="K618" t="e">
        <f t="shared" ca="1" si="134"/>
        <v>#N/A</v>
      </c>
      <c r="O618" s="22" t="e">
        <f t="shared" ca="1" si="130"/>
        <v>#N/A</v>
      </c>
      <c r="P618" s="17" t="e">
        <f ca="1"/>
        <v>#N/A</v>
      </c>
      <c r="Q618" s="17" t="e">
        <f ca="1"/>
        <v>#N/A</v>
      </c>
      <c r="R618" s="23" t="e">
        <f ca="1"/>
        <v>#N/A</v>
      </c>
      <c r="S618" s="23">
        <f t="shared" ca="1" si="138"/>
        <v>0</v>
      </c>
      <c r="T618" t="b">
        <f t="shared" ca="1" si="135"/>
        <v>1</v>
      </c>
      <c r="U618" s="22" t="e">
        <f t="shared" ca="1" si="131"/>
        <v>#N/A</v>
      </c>
      <c r="V618">
        <f t="shared" ca="1" si="132"/>
        <v>0</v>
      </c>
    </row>
    <row r="619" spans="2:22">
      <c r="B619">
        <f t="shared" si="136"/>
        <v>609</v>
      </c>
      <c r="C619" s="22" t="e">
        <f ca="1"/>
        <v>#N/A</v>
      </c>
      <c r="D619" s="17" t="e">
        <f ca="1"/>
        <v>#N/A</v>
      </c>
      <c r="E619" s="17" t="e">
        <f ca="1"/>
        <v>#N/A</v>
      </c>
      <c r="F619" s="23" t="e">
        <f ca="1"/>
        <v>#N/A</v>
      </c>
      <c r="G619" s="23">
        <f t="shared" ca="1" si="137"/>
        <v>0</v>
      </c>
      <c r="H619" t="b">
        <f t="shared" ca="1" si="133"/>
        <v>1</v>
      </c>
      <c r="I619" s="22" t="e">
        <f t="shared" ca="1" si="128"/>
        <v>#N/A</v>
      </c>
      <c r="J619">
        <f t="shared" ca="1" si="129"/>
        <v>0</v>
      </c>
      <c r="K619" t="e">
        <f t="shared" ca="1" si="134"/>
        <v>#N/A</v>
      </c>
      <c r="O619" s="22" t="e">
        <f t="shared" ca="1" si="130"/>
        <v>#N/A</v>
      </c>
      <c r="P619" s="17" t="e">
        <f ca="1"/>
        <v>#N/A</v>
      </c>
      <c r="Q619" s="17" t="e">
        <f ca="1"/>
        <v>#N/A</v>
      </c>
      <c r="R619" s="23" t="e">
        <f ca="1"/>
        <v>#N/A</v>
      </c>
      <c r="S619" s="23">
        <f t="shared" ca="1" si="138"/>
        <v>0</v>
      </c>
      <c r="T619" t="b">
        <f t="shared" ca="1" si="135"/>
        <v>1</v>
      </c>
      <c r="U619" s="22" t="e">
        <f t="shared" ca="1" si="131"/>
        <v>#N/A</v>
      </c>
      <c r="V619">
        <f t="shared" ca="1" si="132"/>
        <v>0</v>
      </c>
    </row>
    <row r="620" spans="2:22">
      <c r="B620">
        <f t="shared" si="136"/>
        <v>610</v>
      </c>
      <c r="C620" s="22" t="e">
        <f ca="1"/>
        <v>#N/A</v>
      </c>
      <c r="D620" s="17" t="e">
        <f ca="1"/>
        <v>#N/A</v>
      </c>
      <c r="E620" s="17" t="e">
        <f ca="1"/>
        <v>#N/A</v>
      </c>
      <c r="F620" s="23" t="e">
        <f ca="1"/>
        <v>#N/A</v>
      </c>
      <c r="G620" s="23">
        <f t="shared" ca="1" si="137"/>
        <v>0</v>
      </c>
      <c r="H620" t="b">
        <f t="shared" ca="1" si="133"/>
        <v>1</v>
      </c>
      <c r="I620" s="22" t="e">
        <f t="shared" ca="1" si="128"/>
        <v>#N/A</v>
      </c>
      <c r="J620">
        <f t="shared" ca="1" si="129"/>
        <v>0</v>
      </c>
      <c r="K620" t="e">
        <f t="shared" ca="1" si="134"/>
        <v>#N/A</v>
      </c>
      <c r="O620" s="22" t="e">
        <f t="shared" ca="1" si="130"/>
        <v>#N/A</v>
      </c>
      <c r="P620" s="17" t="e">
        <f ca="1"/>
        <v>#N/A</v>
      </c>
      <c r="Q620" s="17" t="e">
        <f ca="1"/>
        <v>#N/A</v>
      </c>
      <c r="R620" s="23" t="e">
        <f ca="1"/>
        <v>#N/A</v>
      </c>
      <c r="S620" s="23">
        <f t="shared" ca="1" si="138"/>
        <v>0</v>
      </c>
      <c r="T620" t="b">
        <f t="shared" ca="1" si="135"/>
        <v>1</v>
      </c>
      <c r="U620" s="22" t="e">
        <f t="shared" ca="1" si="131"/>
        <v>#N/A</v>
      </c>
      <c r="V620">
        <f t="shared" ca="1" si="132"/>
        <v>0</v>
      </c>
    </row>
    <row r="621" spans="2:22">
      <c r="B621">
        <f t="shared" si="136"/>
        <v>611</v>
      </c>
      <c r="C621" s="22" t="e">
        <f ca="1"/>
        <v>#N/A</v>
      </c>
      <c r="D621" s="17" t="e">
        <f ca="1"/>
        <v>#N/A</v>
      </c>
      <c r="E621" s="17" t="e">
        <f ca="1"/>
        <v>#N/A</v>
      </c>
      <c r="F621" s="23" t="e">
        <f ca="1"/>
        <v>#N/A</v>
      </c>
      <c r="G621" s="23">
        <f t="shared" ca="1" si="137"/>
        <v>0</v>
      </c>
      <c r="H621" t="b">
        <f t="shared" ca="1" si="133"/>
        <v>1</v>
      </c>
      <c r="I621" s="22" t="e">
        <f t="shared" ca="1" si="128"/>
        <v>#N/A</v>
      </c>
      <c r="J621">
        <f t="shared" ca="1" si="129"/>
        <v>0</v>
      </c>
      <c r="K621" t="e">
        <f t="shared" ca="1" si="134"/>
        <v>#N/A</v>
      </c>
      <c r="O621" s="22" t="e">
        <f t="shared" ca="1" si="130"/>
        <v>#N/A</v>
      </c>
      <c r="P621" s="17" t="e">
        <f ca="1"/>
        <v>#N/A</v>
      </c>
      <c r="Q621" s="17" t="e">
        <f ca="1"/>
        <v>#N/A</v>
      </c>
      <c r="R621" s="23" t="e">
        <f ca="1"/>
        <v>#N/A</v>
      </c>
      <c r="S621" s="23">
        <f t="shared" ca="1" si="138"/>
        <v>0</v>
      </c>
      <c r="T621" t="b">
        <f t="shared" ca="1" si="135"/>
        <v>1</v>
      </c>
      <c r="U621" s="22" t="e">
        <f t="shared" ca="1" si="131"/>
        <v>#N/A</v>
      </c>
      <c r="V621">
        <f t="shared" ca="1" si="132"/>
        <v>0</v>
      </c>
    </row>
    <row r="622" spans="2:22">
      <c r="B622">
        <f t="shared" si="136"/>
        <v>612</v>
      </c>
      <c r="C622" s="22" t="e">
        <f ca="1"/>
        <v>#N/A</v>
      </c>
      <c r="D622" s="17" t="e">
        <f ca="1"/>
        <v>#N/A</v>
      </c>
      <c r="E622" s="17" t="e">
        <f ca="1"/>
        <v>#N/A</v>
      </c>
      <c r="F622" s="23" t="e">
        <f ca="1"/>
        <v>#N/A</v>
      </c>
      <c r="G622" s="23">
        <f t="shared" ca="1" si="137"/>
        <v>0</v>
      </c>
      <c r="H622" t="b">
        <f t="shared" ca="1" si="133"/>
        <v>1</v>
      </c>
      <c r="I622" s="22" t="e">
        <f t="shared" ca="1" si="128"/>
        <v>#N/A</v>
      </c>
      <c r="J622">
        <f t="shared" ca="1" si="129"/>
        <v>0</v>
      </c>
      <c r="K622" t="e">
        <f t="shared" ca="1" si="134"/>
        <v>#N/A</v>
      </c>
      <c r="O622" s="22" t="e">
        <f t="shared" ca="1" si="130"/>
        <v>#N/A</v>
      </c>
      <c r="P622" s="17" t="e">
        <f ca="1"/>
        <v>#N/A</v>
      </c>
      <c r="Q622" s="17" t="e">
        <f ca="1"/>
        <v>#N/A</v>
      </c>
      <c r="R622" s="23" t="e">
        <f ca="1"/>
        <v>#N/A</v>
      </c>
      <c r="S622" s="23">
        <f t="shared" ca="1" si="138"/>
        <v>0</v>
      </c>
      <c r="T622" t="b">
        <f t="shared" ca="1" si="135"/>
        <v>1</v>
      </c>
      <c r="U622" s="22" t="e">
        <f t="shared" ca="1" si="131"/>
        <v>#N/A</v>
      </c>
      <c r="V622">
        <f t="shared" ca="1" si="132"/>
        <v>0</v>
      </c>
    </row>
    <row r="623" spans="2:22">
      <c r="B623">
        <f t="shared" si="136"/>
        <v>613</v>
      </c>
      <c r="C623" s="22" t="e">
        <f ca="1"/>
        <v>#N/A</v>
      </c>
      <c r="D623" s="17" t="e">
        <f ca="1"/>
        <v>#N/A</v>
      </c>
      <c r="E623" s="17" t="e">
        <f ca="1"/>
        <v>#N/A</v>
      </c>
      <c r="F623" s="23" t="e">
        <f ca="1"/>
        <v>#N/A</v>
      </c>
      <c r="G623" s="23">
        <f t="shared" ca="1" si="137"/>
        <v>0</v>
      </c>
      <c r="H623" t="b">
        <f t="shared" ca="1" si="133"/>
        <v>1</v>
      </c>
      <c r="I623" s="22" t="e">
        <f t="shared" ca="1" si="128"/>
        <v>#N/A</v>
      </c>
      <c r="J623">
        <f t="shared" ca="1" si="129"/>
        <v>0</v>
      </c>
      <c r="K623" t="e">
        <f t="shared" ca="1" si="134"/>
        <v>#N/A</v>
      </c>
      <c r="O623" s="22" t="e">
        <f t="shared" ca="1" si="130"/>
        <v>#N/A</v>
      </c>
      <c r="P623" s="17" t="e">
        <f ca="1"/>
        <v>#N/A</v>
      </c>
      <c r="Q623" s="17" t="e">
        <f ca="1"/>
        <v>#N/A</v>
      </c>
      <c r="R623" s="23" t="e">
        <f ca="1"/>
        <v>#N/A</v>
      </c>
      <c r="S623" s="23">
        <f t="shared" ca="1" si="138"/>
        <v>0</v>
      </c>
      <c r="T623" t="b">
        <f t="shared" ca="1" si="135"/>
        <v>1</v>
      </c>
      <c r="U623" s="22" t="e">
        <f t="shared" ca="1" si="131"/>
        <v>#N/A</v>
      </c>
      <c r="V623">
        <f t="shared" ca="1" si="132"/>
        <v>0</v>
      </c>
    </row>
    <row r="624" spans="2:22">
      <c r="B624">
        <f t="shared" si="136"/>
        <v>614</v>
      </c>
      <c r="C624" s="22" t="e">
        <f ca="1"/>
        <v>#N/A</v>
      </c>
      <c r="D624" s="17" t="e">
        <f ca="1"/>
        <v>#N/A</v>
      </c>
      <c r="E624" s="17" t="e">
        <f ca="1"/>
        <v>#N/A</v>
      </c>
      <c r="F624" s="23" t="e">
        <f ca="1"/>
        <v>#N/A</v>
      </c>
      <c r="G624" s="23">
        <f t="shared" ca="1" si="137"/>
        <v>0</v>
      </c>
      <c r="H624" t="b">
        <f t="shared" ca="1" si="133"/>
        <v>1</v>
      </c>
      <c r="I624" s="22" t="e">
        <f t="shared" ca="1" si="128"/>
        <v>#N/A</v>
      </c>
      <c r="J624">
        <f t="shared" ca="1" si="129"/>
        <v>0</v>
      </c>
      <c r="K624" t="e">
        <f t="shared" ca="1" si="134"/>
        <v>#N/A</v>
      </c>
      <c r="O624" s="22" t="e">
        <f t="shared" ca="1" si="130"/>
        <v>#N/A</v>
      </c>
      <c r="P624" s="17" t="e">
        <f ca="1"/>
        <v>#N/A</v>
      </c>
      <c r="Q624" s="17" t="e">
        <f ca="1"/>
        <v>#N/A</v>
      </c>
      <c r="R624" s="23" t="e">
        <f ca="1"/>
        <v>#N/A</v>
      </c>
      <c r="S624" s="23">
        <f t="shared" ca="1" si="138"/>
        <v>0</v>
      </c>
      <c r="T624" t="b">
        <f t="shared" ca="1" si="135"/>
        <v>1</v>
      </c>
      <c r="U624" s="22" t="e">
        <f t="shared" ca="1" si="131"/>
        <v>#N/A</v>
      </c>
      <c r="V624">
        <f t="shared" ca="1" si="132"/>
        <v>0</v>
      </c>
    </row>
    <row r="625" spans="2:22">
      <c r="B625">
        <f t="shared" si="136"/>
        <v>615</v>
      </c>
      <c r="C625" s="22" t="e">
        <f ca="1"/>
        <v>#N/A</v>
      </c>
      <c r="D625" s="17" t="e">
        <f ca="1"/>
        <v>#N/A</v>
      </c>
      <c r="E625" s="17" t="e">
        <f ca="1"/>
        <v>#N/A</v>
      </c>
      <c r="F625" s="23" t="e">
        <f ca="1"/>
        <v>#N/A</v>
      </c>
      <c r="G625" s="23">
        <f t="shared" ca="1" si="137"/>
        <v>0</v>
      </c>
      <c r="H625" t="b">
        <f t="shared" ca="1" si="133"/>
        <v>1</v>
      </c>
      <c r="I625" s="22" t="e">
        <f t="shared" ca="1" si="128"/>
        <v>#N/A</v>
      </c>
      <c r="J625">
        <f t="shared" ca="1" si="129"/>
        <v>0</v>
      </c>
      <c r="K625" t="e">
        <f t="shared" ca="1" si="134"/>
        <v>#N/A</v>
      </c>
      <c r="O625" s="22" t="e">
        <f t="shared" ca="1" si="130"/>
        <v>#N/A</v>
      </c>
      <c r="P625" s="17" t="e">
        <f ca="1"/>
        <v>#N/A</v>
      </c>
      <c r="Q625" s="17" t="e">
        <f ca="1"/>
        <v>#N/A</v>
      </c>
      <c r="R625" s="23" t="e">
        <f ca="1"/>
        <v>#N/A</v>
      </c>
      <c r="S625" s="23">
        <f t="shared" ca="1" si="138"/>
        <v>0</v>
      </c>
      <c r="T625" t="b">
        <f t="shared" ca="1" si="135"/>
        <v>1</v>
      </c>
      <c r="U625" s="22" t="e">
        <f t="shared" ca="1" si="131"/>
        <v>#N/A</v>
      </c>
      <c r="V625">
        <f t="shared" ca="1" si="132"/>
        <v>0</v>
      </c>
    </row>
    <row r="626" spans="2:22">
      <c r="B626">
        <f t="shared" si="136"/>
        <v>616</v>
      </c>
      <c r="C626" s="22" t="e">
        <f ca="1"/>
        <v>#N/A</v>
      </c>
      <c r="D626" s="17" t="e">
        <f ca="1"/>
        <v>#N/A</v>
      </c>
      <c r="E626" s="17" t="e">
        <f ca="1"/>
        <v>#N/A</v>
      </c>
      <c r="F626" s="23" t="e">
        <f ca="1"/>
        <v>#N/A</v>
      </c>
      <c r="G626" s="23">
        <f t="shared" ca="1" si="137"/>
        <v>0</v>
      </c>
      <c r="H626" t="b">
        <f t="shared" ca="1" si="133"/>
        <v>1</v>
      </c>
      <c r="I626" s="22" t="e">
        <f t="shared" ca="1" si="128"/>
        <v>#N/A</v>
      </c>
      <c r="J626">
        <f t="shared" ca="1" si="129"/>
        <v>0</v>
      </c>
      <c r="K626" t="e">
        <f t="shared" ca="1" si="134"/>
        <v>#N/A</v>
      </c>
      <c r="O626" s="22" t="e">
        <f t="shared" ca="1" si="130"/>
        <v>#N/A</v>
      </c>
      <c r="P626" s="17" t="e">
        <f ca="1"/>
        <v>#N/A</v>
      </c>
      <c r="Q626" s="17" t="e">
        <f ca="1"/>
        <v>#N/A</v>
      </c>
      <c r="R626" s="23" t="e">
        <f ca="1"/>
        <v>#N/A</v>
      </c>
      <c r="S626" s="23">
        <f t="shared" ca="1" si="138"/>
        <v>0</v>
      </c>
      <c r="T626" t="b">
        <f t="shared" ca="1" si="135"/>
        <v>1</v>
      </c>
      <c r="U626" s="22" t="e">
        <f t="shared" ca="1" si="131"/>
        <v>#N/A</v>
      </c>
      <c r="V626">
        <f t="shared" ca="1" si="132"/>
        <v>0</v>
      </c>
    </row>
    <row r="627" spans="2:22">
      <c r="B627">
        <f t="shared" si="136"/>
        <v>617</v>
      </c>
      <c r="C627" s="22" t="e">
        <f ca="1"/>
        <v>#N/A</v>
      </c>
      <c r="D627" s="17" t="e">
        <f ca="1"/>
        <v>#N/A</v>
      </c>
      <c r="E627" s="17" t="e">
        <f ca="1"/>
        <v>#N/A</v>
      </c>
      <c r="F627" s="23" t="e">
        <f ca="1"/>
        <v>#N/A</v>
      </c>
      <c r="G627" s="23">
        <f t="shared" ca="1" si="137"/>
        <v>0</v>
      </c>
      <c r="H627" t="b">
        <f t="shared" ca="1" si="133"/>
        <v>1</v>
      </c>
      <c r="I627" s="22" t="e">
        <f t="shared" ca="1" si="128"/>
        <v>#N/A</v>
      </c>
      <c r="J627">
        <f t="shared" ca="1" si="129"/>
        <v>0</v>
      </c>
      <c r="K627" t="e">
        <f t="shared" ca="1" si="134"/>
        <v>#N/A</v>
      </c>
      <c r="O627" s="22" t="e">
        <f t="shared" ca="1" si="130"/>
        <v>#N/A</v>
      </c>
      <c r="P627" s="17" t="e">
        <f ca="1"/>
        <v>#N/A</v>
      </c>
      <c r="Q627" s="17" t="e">
        <f ca="1"/>
        <v>#N/A</v>
      </c>
      <c r="R627" s="23" t="e">
        <f ca="1"/>
        <v>#N/A</v>
      </c>
      <c r="S627" s="23">
        <f t="shared" ca="1" si="138"/>
        <v>0</v>
      </c>
      <c r="T627" t="b">
        <f t="shared" ca="1" si="135"/>
        <v>1</v>
      </c>
      <c r="U627" s="22" t="e">
        <f t="shared" ca="1" si="131"/>
        <v>#N/A</v>
      </c>
      <c r="V627">
        <f t="shared" ca="1" si="132"/>
        <v>0</v>
      </c>
    </row>
    <row r="628" spans="2:22">
      <c r="B628">
        <f t="shared" si="136"/>
        <v>618</v>
      </c>
      <c r="C628" s="22" t="e">
        <f ca="1"/>
        <v>#N/A</v>
      </c>
      <c r="D628" s="17" t="e">
        <f ca="1"/>
        <v>#N/A</v>
      </c>
      <c r="E628" s="17" t="e">
        <f ca="1"/>
        <v>#N/A</v>
      </c>
      <c r="F628" s="23" t="e">
        <f ca="1"/>
        <v>#N/A</v>
      </c>
      <c r="G628" s="23">
        <f t="shared" ca="1" si="137"/>
        <v>0</v>
      </c>
      <c r="H628" t="b">
        <f t="shared" ca="1" si="133"/>
        <v>1</v>
      </c>
      <c r="I628" s="22" t="e">
        <f t="shared" ca="1" si="128"/>
        <v>#N/A</v>
      </c>
      <c r="J628">
        <f t="shared" ca="1" si="129"/>
        <v>0</v>
      </c>
      <c r="K628" t="e">
        <f t="shared" ca="1" si="134"/>
        <v>#N/A</v>
      </c>
      <c r="O628" s="22" t="e">
        <f t="shared" ca="1" si="130"/>
        <v>#N/A</v>
      </c>
      <c r="P628" s="17" t="e">
        <f ca="1"/>
        <v>#N/A</v>
      </c>
      <c r="Q628" s="17" t="e">
        <f ca="1"/>
        <v>#N/A</v>
      </c>
      <c r="R628" s="23" t="e">
        <f ca="1"/>
        <v>#N/A</v>
      </c>
      <c r="S628" s="23">
        <f t="shared" ca="1" si="138"/>
        <v>0</v>
      </c>
      <c r="T628" t="b">
        <f t="shared" ca="1" si="135"/>
        <v>1</v>
      </c>
      <c r="U628" s="22" t="e">
        <f t="shared" ca="1" si="131"/>
        <v>#N/A</v>
      </c>
      <c r="V628">
        <f t="shared" ca="1" si="132"/>
        <v>0</v>
      </c>
    </row>
    <row r="629" spans="2:22">
      <c r="B629">
        <f t="shared" si="136"/>
        <v>619</v>
      </c>
      <c r="C629" s="22" t="e">
        <f ca="1"/>
        <v>#N/A</v>
      </c>
      <c r="D629" s="17" t="e">
        <f ca="1"/>
        <v>#N/A</v>
      </c>
      <c r="E629" s="17" t="e">
        <f ca="1"/>
        <v>#N/A</v>
      </c>
      <c r="F629" s="23" t="e">
        <f ca="1"/>
        <v>#N/A</v>
      </c>
      <c r="G629" s="23">
        <f t="shared" ca="1" si="137"/>
        <v>0</v>
      </c>
      <c r="H629" t="b">
        <f t="shared" ca="1" si="133"/>
        <v>1</v>
      </c>
      <c r="I629" s="22" t="e">
        <f t="shared" ca="1" si="128"/>
        <v>#N/A</v>
      </c>
      <c r="J629">
        <f t="shared" ca="1" si="129"/>
        <v>0</v>
      </c>
      <c r="K629" t="e">
        <f t="shared" ca="1" si="134"/>
        <v>#N/A</v>
      </c>
      <c r="O629" s="22" t="e">
        <f t="shared" ca="1" si="130"/>
        <v>#N/A</v>
      </c>
      <c r="P629" s="17" t="e">
        <f ca="1"/>
        <v>#N/A</v>
      </c>
      <c r="Q629" s="17" t="e">
        <f ca="1"/>
        <v>#N/A</v>
      </c>
      <c r="R629" s="23" t="e">
        <f ca="1"/>
        <v>#N/A</v>
      </c>
      <c r="S629" s="23">
        <f t="shared" ca="1" si="138"/>
        <v>0</v>
      </c>
      <c r="T629" t="b">
        <f t="shared" ca="1" si="135"/>
        <v>1</v>
      </c>
      <c r="U629" s="22" t="e">
        <f t="shared" ca="1" si="131"/>
        <v>#N/A</v>
      </c>
      <c r="V629">
        <f t="shared" ca="1" si="132"/>
        <v>0</v>
      </c>
    </row>
    <row r="630" spans="2:22">
      <c r="B630">
        <f t="shared" si="136"/>
        <v>620</v>
      </c>
      <c r="C630" s="22" t="e">
        <f ca="1"/>
        <v>#N/A</v>
      </c>
      <c r="D630" s="17" t="e">
        <f ca="1"/>
        <v>#N/A</v>
      </c>
      <c r="E630" s="17" t="e">
        <f ca="1"/>
        <v>#N/A</v>
      </c>
      <c r="F630" s="23" t="e">
        <f ca="1"/>
        <v>#N/A</v>
      </c>
      <c r="G630" s="23">
        <f t="shared" ca="1" si="137"/>
        <v>0</v>
      </c>
      <c r="H630" t="b">
        <f t="shared" ca="1" si="133"/>
        <v>1</v>
      </c>
      <c r="I630" s="22" t="e">
        <f t="shared" ca="1" si="128"/>
        <v>#N/A</v>
      </c>
      <c r="J630">
        <f t="shared" ca="1" si="129"/>
        <v>0</v>
      </c>
      <c r="K630" t="e">
        <f t="shared" ca="1" si="134"/>
        <v>#N/A</v>
      </c>
      <c r="O630" s="22" t="e">
        <f t="shared" ca="1" si="130"/>
        <v>#N/A</v>
      </c>
      <c r="P630" s="17" t="e">
        <f ca="1"/>
        <v>#N/A</v>
      </c>
      <c r="Q630" s="17" t="e">
        <f ca="1"/>
        <v>#N/A</v>
      </c>
      <c r="R630" s="23" t="e">
        <f ca="1"/>
        <v>#N/A</v>
      </c>
      <c r="S630" s="23">
        <f t="shared" ca="1" si="138"/>
        <v>0</v>
      </c>
      <c r="T630" t="b">
        <f t="shared" ca="1" si="135"/>
        <v>1</v>
      </c>
      <c r="U630" s="22" t="e">
        <f t="shared" ca="1" si="131"/>
        <v>#N/A</v>
      </c>
      <c r="V630">
        <f t="shared" ca="1" si="132"/>
        <v>0</v>
      </c>
    </row>
    <row r="631" spans="2:22">
      <c r="B631">
        <f t="shared" si="136"/>
        <v>621</v>
      </c>
      <c r="C631" s="22" t="e">
        <f ca="1"/>
        <v>#N/A</v>
      </c>
      <c r="D631" s="17" t="e">
        <f ca="1"/>
        <v>#N/A</v>
      </c>
      <c r="E631" s="17" t="e">
        <f ca="1"/>
        <v>#N/A</v>
      </c>
      <c r="F631" s="23" t="e">
        <f ca="1"/>
        <v>#N/A</v>
      </c>
      <c r="G631" s="23">
        <f t="shared" ca="1" si="137"/>
        <v>0</v>
      </c>
      <c r="H631" t="b">
        <f t="shared" ca="1" si="133"/>
        <v>1</v>
      </c>
      <c r="I631" s="22" t="e">
        <f t="shared" ca="1" si="128"/>
        <v>#N/A</v>
      </c>
      <c r="J631">
        <f t="shared" ca="1" si="129"/>
        <v>0</v>
      </c>
      <c r="K631" t="e">
        <f t="shared" ca="1" si="134"/>
        <v>#N/A</v>
      </c>
      <c r="O631" s="22" t="e">
        <f t="shared" ca="1" si="130"/>
        <v>#N/A</v>
      </c>
      <c r="P631" s="17" t="e">
        <f ca="1"/>
        <v>#N/A</v>
      </c>
      <c r="Q631" s="17" t="e">
        <f ca="1"/>
        <v>#N/A</v>
      </c>
      <c r="R631" s="23" t="e">
        <f ca="1"/>
        <v>#N/A</v>
      </c>
      <c r="S631" s="23">
        <f t="shared" ca="1" si="138"/>
        <v>0</v>
      </c>
      <c r="T631" t="b">
        <f t="shared" ca="1" si="135"/>
        <v>1</v>
      </c>
      <c r="U631" s="22" t="e">
        <f t="shared" ca="1" si="131"/>
        <v>#N/A</v>
      </c>
      <c r="V631">
        <f t="shared" ca="1" si="132"/>
        <v>0</v>
      </c>
    </row>
    <row r="632" spans="2:22">
      <c r="B632">
        <f t="shared" si="136"/>
        <v>622</v>
      </c>
      <c r="C632" s="22" t="e">
        <f ca="1"/>
        <v>#N/A</v>
      </c>
      <c r="D632" s="17" t="e">
        <f ca="1"/>
        <v>#N/A</v>
      </c>
      <c r="E632" s="17" t="e">
        <f ca="1"/>
        <v>#N/A</v>
      </c>
      <c r="F632" s="23" t="e">
        <f ca="1"/>
        <v>#N/A</v>
      </c>
      <c r="G632" s="23">
        <f t="shared" ca="1" si="137"/>
        <v>0</v>
      </c>
      <c r="H632" t="b">
        <f t="shared" ca="1" si="133"/>
        <v>1</v>
      </c>
      <c r="I632" s="22" t="e">
        <f t="shared" ca="1" si="128"/>
        <v>#N/A</v>
      </c>
      <c r="J632">
        <f t="shared" ca="1" si="129"/>
        <v>0</v>
      </c>
      <c r="K632" t="e">
        <f t="shared" ca="1" si="134"/>
        <v>#N/A</v>
      </c>
      <c r="O632" s="22" t="e">
        <f t="shared" ca="1" si="130"/>
        <v>#N/A</v>
      </c>
      <c r="P632" s="17" t="e">
        <f ca="1"/>
        <v>#N/A</v>
      </c>
      <c r="Q632" s="17" t="e">
        <f ca="1"/>
        <v>#N/A</v>
      </c>
      <c r="R632" s="23" t="e">
        <f ca="1"/>
        <v>#N/A</v>
      </c>
      <c r="S632" s="23">
        <f t="shared" ca="1" si="138"/>
        <v>0</v>
      </c>
      <c r="T632" t="b">
        <f t="shared" ca="1" si="135"/>
        <v>1</v>
      </c>
      <c r="U632" s="22" t="e">
        <f t="shared" ca="1" si="131"/>
        <v>#N/A</v>
      </c>
      <c r="V632">
        <f t="shared" ca="1" si="132"/>
        <v>0</v>
      </c>
    </row>
    <row r="633" spans="2:22">
      <c r="B633">
        <f t="shared" si="136"/>
        <v>623</v>
      </c>
      <c r="C633" s="22" t="e">
        <f ca="1"/>
        <v>#N/A</v>
      </c>
      <c r="D633" s="17" t="e">
        <f ca="1"/>
        <v>#N/A</v>
      </c>
      <c r="E633" s="17" t="e">
        <f ca="1"/>
        <v>#N/A</v>
      </c>
      <c r="F633" s="23" t="e">
        <f ca="1"/>
        <v>#N/A</v>
      </c>
      <c r="G633" s="23">
        <f t="shared" ca="1" si="137"/>
        <v>0</v>
      </c>
      <c r="H633" t="b">
        <f t="shared" ca="1" si="133"/>
        <v>1</v>
      </c>
      <c r="I633" s="22" t="e">
        <f t="shared" ca="1" si="128"/>
        <v>#N/A</v>
      </c>
      <c r="J633">
        <f t="shared" ca="1" si="129"/>
        <v>0</v>
      </c>
      <c r="K633" t="e">
        <f t="shared" ca="1" si="134"/>
        <v>#N/A</v>
      </c>
      <c r="O633" s="22" t="e">
        <f t="shared" ca="1" si="130"/>
        <v>#N/A</v>
      </c>
      <c r="P633" s="17" t="e">
        <f ca="1"/>
        <v>#N/A</v>
      </c>
      <c r="Q633" s="17" t="e">
        <f ca="1"/>
        <v>#N/A</v>
      </c>
      <c r="R633" s="23" t="e">
        <f ca="1"/>
        <v>#N/A</v>
      </c>
      <c r="S633" s="23">
        <f t="shared" ca="1" si="138"/>
        <v>0</v>
      </c>
      <c r="T633" t="b">
        <f t="shared" ca="1" si="135"/>
        <v>1</v>
      </c>
      <c r="U633" s="22" t="e">
        <f t="shared" ca="1" si="131"/>
        <v>#N/A</v>
      </c>
      <c r="V633">
        <f t="shared" ca="1" si="132"/>
        <v>0</v>
      </c>
    </row>
    <row r="634" spans="2:22">
      <c r="B634">
        <f t="shared" si="136"/>
        <v>624</v>
      </c>
      <c r="C634" s="22" t="e">
        <f ca="1"/>
        <v>#N/A</v>
      </c>
      <c r="D634" s="17" t="e">
        <f ca="1"/>
        <v>#N/A</v>
      </c>
      <c r="E634" s="17" t="e">
        <f ca="1"/>
        <v>#N/A</v>
      </c>
      <c r="F634" s="23" t="e">
        <f ca="1"/>
        <v>#N/A</v>
      </c>
      <c r="G634" s="23">
        <f t="shared" ca="1" si="137"/>
        <v>0</v>
      </c>
      <c r="H634" t="b">
        <f t="shared" ca="1" si="133"/>
        <v>1</v>
      </c>
      <c r="I634" s="22" t="e">
        <f t="shared" ca="1" si="128"/>
        <v>#N/A</v>
      </c>
      <c r="J634">
        <f t="shared" ca="1" si="129"/>
        <v>0</v>
      </c>
      <c r="K634" t="e">
        <f t="shared" ca="1" si="134"/>
        <v>#N/A</v>
      </c>
      <c r="O634" s="22" t="e">
        <f t="shared" ca="1" si="130"/>
        <v>#N/A</v>
      </c>
      <c r="P634" s="17" t="e">
        <f ca="1"/>
        <v>#N/A</v>
      </c>
      <c r="Q634" s="17" t="e">
        <f ca="1"/>
        <v>#N/A</v>
      </c>
      <c r="R634" s="23" t="e">
        <f ca="1"/>
        <v>#N/A</v>
      </c>
      <c r="S634" s="23">
        <f t="shared" ca="1" si="138"/>
        <v>0</v>
      </c>
      <c r="T634" t="b">
        <f t="shared" ca="1" si="135"/>
        <v>1</v>
      </c>
      <c r="U634" s="22" t="e">
        <f t="shared" ca="1" si="131"/>
        <v>#N/A</v>
      </c>
      <c r="V634">
        <f t="shared" ca="1" si="132"/>
        <v>0</v>
      </c>
    </row>
    <row r="635" spans="2:22">
      <c r="B635">
        <f t="shared" si="136"/>
        <v>625</v>
      </c>
      <c r="C635" s="22" t="e">
        <f ca="1"/>
        <v>#N/A</v>
      </c>
      <c r="D635" s="17" t="e">
        <f ca="1"/>
        <v>#N/A</v>
      </c>
      <c r="E635" s="17" t="e">
        <f ca="1"/>
        <v>#N/A</v>
      </c>
      <c r="F635" s="23" t="e">
        <f ca="1"/>
        <v>#N/A</v>
      </c>
      <c r="G635" s="23">
        <f t="shared" ca="1" si="137"/>
        <v>0</v>
      </c>
      <c r="H635" t="b">
        <f t="shared" ca="1" si="133"/>
        <v>1</v>
      </c>
      <c r="I635" s="22" t="e">
        <f t="shared" ca="1" si="128"/>
        <v>#N/A</v>
      </c>
      <c r="J635">
        <f t="shared" ca="1" si="129"/>
        <v>0</v>
      </c>
      <c r="K635" t="e">
        <f t="shared" ca="1" si="134"/>
        <v>#N/A</v>
      </c>
      <c r="O635" s="22" t="e">
        <f t="shared" ca="1" si="130"/>
        <v>#N/A</v>
      </c>
      <c r="P635" s="17" t="e">
        <f ca="1"/>
        <v>#N/A</v>
      </c>
      <c r="Q635" s="17" t="e">
        <f ca="1"/>
        <v>#N/A</v>
      </c>
      <c r="R635" s="23" t="e">
        <f ca="1"/>
        <v>#N/A</v>
      </c>
      <c r="S635" s="23">
        <f t="shared" ca="1" si="138"/>
        <v>0</v>
      </c>
      <c r="T635" t="b">
        <f t="shared" ca="1" si="135"/>
        <v>1</v>
      </c>
      <c r="U635" s="22" t="e">
        <f t="shared" ca="1" si="131"/>
        <v>#N/A</v>
      </c>
      <c r="V635">
        <f t="shared" ca="1" si="132"/>
        <v>0</v>
      </c>
    </row>
    <row r="636" spans="2:22">
      <c r="B636">
        <f t="shared" si="136"/>
        <v>626</v>
      </c>
      <c r="C636" s="22" t="e">
        <f ca="1"/>
        <v>#N/A</v>
      </c>
      <c r="D636" s="17" t="e">
        <f ca="1"/>
        <v>#N/A</v>
      </c>
      <c r="E636" s="17" t="e">
        <f ca="1"/>
        <v>#N/A</v>
      </c>
      <c r="F636" s="23" t="e">
        <f ca="1"/>
        <v>#N/A</v>
      </c>
      <c r="G636" s="23">
        <f t="shared" ca="1" si="137"/>
        <v>0</v>
      </c>
      <c r="H636" t="b">
        <f t="shared" ca="1" si="133"/>
        <v>1</v>
      </c>
      <c r="I636" s="22" t="e">
        <f t="shared" ca="1" si="128"/>
        <v>#N/A</v>
      </c>
      <c r="J636">
        <f t="shared" ca="1" si="129"/>
        <v>0</v>
      </c>
      <c r="K636" t="e">
        <f t="shared" ca="1" si="134"/>
        <v>#N/A</v>
      </c>
      <c r="O636" s="22" t="e">
        <f t="shared" ca="1" si="130"/>
        <v>#N/A</v>
      </c>
      <c r="P636" s="17" t="e">
        <f ca="1"/>
        <v>#N/A</v>
      </c>
      <c r="Q636" s="17" t="e">
        <f ca="1"/>
        <v>#N/A</v>
      </c>
      <c r="R636" s="23" t="e">
        <f ca="1"/>
        <v>#N/A</v>
      </c>
      <c r="S636" s="23">
        <f t="shared" ca="1" si="138"/>
        <v>0</v>
      </c>
      <c r="T636" t="b">
        <f t="shared" ca="1" si="135"/>
        <v>1</v>
      </c>
      <c r="U636" s="22" t="e">
        <f t="shared" ca="1" si="131"/>
        <v>#N/A</v>
      </c>
      <c r="V636">
        <f t="shared" ca="1" si="132"/>
        <v>0</v>
      </c>
    </row>
    <row r="637" spans="2:22">
      <c r="B637">
        <f t="shared" si="136"/>
        <v>627</v>
      </c>
      <c r="C637" s="22" t="e">
        <f ca="1"/>
        <v>#N/A</v>
      </c>
      <c r="D637" s="17" t="e">
        <f ca="1"/>
        <v>#N/A</v>
      </c>
      <c r="E637" s="17" t="e">
        <f ca="1"/>
        <v>#N/A</v>
      </c>
      <c r="F637" s="23" t="e">
        <f ca="1"/>
        <v>#N/A</v>
      </c>
      <c r="G637" s="23">
        <f t="shared" ca="1" si="137"/>
        <v>0</v>
      </c>
      <c r="H637" t="b">
        <f t="shared" ca="1" si="133"/>
        <v>1</v>
      </c>
      <c r="I637" s="22" t="e">
        <f t="shared" ca="1" si="128"/>
        <v>#N/A</v>
      </c>
      <c r="J637">
        <f t="shared" ca="1" si="129"/>
        <v>0</v>
      </c>
      <c r="K637" t="e">
        <f t="shared" ca="1" si="134"/>
        <v>#N/A</v>
      </c>
      <c r="O637" s="22" t="e">
        <f t="shared" ca="1" si="130"/>
        <v>#N/A</v>
      </c>
      <c r="P637" s="17" t="e">
        <f ca="1"/>
        <v>#N/A</v>
      </c>
      <c r="Q637" s="17" t="e">
        <f ca="1"/>
        <v>#N/A</v>
      </c>
      <c r="R637" s="23" t="e">
        <f ca="1"/>
        <v>#N/A</v>
      </c>
      <c r="S637" s="23">
        <f t="shared" ca="1" si="138"/>
        <v>0</v>
      </c>
      <c r="T637" t="b">
        <f t="shared" ca="1" si="135"/>
        <v>1</v>
      </c>
      <c r="U637" s="22" t="e">
        <f t="shared" ca="1" si="131"/>
        <v>#N/A</v>
      </c>
      <c r="V637">
        <f t="shared" ca="1" si="132"/>
        <v>0</v>
      </c>
    </row>
    <row r="638" spans="2:22">
      <c r="B638">
        <f t="shared" si="136"/>
        <v>628</v>
      </c>
      <c r="C638" s="22" t="e">
        <f ca="1"/>
        <v>#N/A</v>
      </c>
      <c r="D638" s="17" t="e">
        <f ca="1"/>
        <v>#N/A</v>
      </c>
      <c r="E638" s="17" t="e">
        <f ca="1"/>
        <v>#N/A</v>
      </c>
      <c r="F638" s="23" t="e">
        <f ca="1"/>
        <v>#N/A</v>
      </c>
      <c r="G638" s="23">
        <f t="shared" ca="1" si="137"/>
        <v>0</v>
      </c>
      <c r="H638" t="b">
        <f t="shared" ca="1" si="133"/>
        <v>1</v>
      </c>
      <c r="I638" s="22" t="e">
        <f t="shared" ca="1" si="128"/>
        <v>#N/A</v>
      </c>
      <c r="J638">
        <f t="shared" ca="1" si="129"/>
        <v>0</v>
      </c>
      <c r="K638" t="e">
        <f t="shared" ca="1" si="134"/>
        <v>#N/A</v>
      </c>
      <c r="O638" s="22" t="e">
        <f t="shared" ca="1" si="130"/>
        <v>#N/A</v>
      </c>
      <c r="P638" s="17" t="e">
        <f ca="1"/>
        <v>#N/A</v>
      </c>
      <c r="Q638" s="17" t="e">
        <f ca="1"/>
        <v>#N/A</v>
      </c>
      <c r="R638" s="23" t="e">
        <f ca="1"/>
        <v>#N/A</v>
      </c>
      <c r="S638" s="23">
        <f t="shared" ca="1" si="138"/>
        <v>0</v>
      </c>
      <c r="T638" t="b">
        <f t="shared" ca="1" si="135"/>
        <v>1</v>
      </c>
      <c r="U638" s="22" t="e">
        <f t="shared" ca="1" si="131"/>
        <v>#N/A</v>
      </c>
      <c r="V638">
        <f t="shared" ca="1" si="132"/>
        <v>0</v>
      </c>
    </row>
    <row r="639" spans="2:22">
      <c r="B639">
        <f t="shared" si="136"/>
        <v>629</v>
      </c>
      <c r="C639" s="22" t="e">
        <f ca="1"/>
        <v>#N/A</v>
      </c>
      <c r="D639" s="17" t="e">
        <f ca="1"/>
        <v>#N/A</v>
      </c>
      <c r="E639" s="17" t="e">
        <f ca="1"/>
        <v>#N/A</v>
      </c>
      <c r="F639" s="23" t="e">
        <f ca="1"/>
        <v>#N/A</v>
      </c>
      <c r="G639" s="23">
        <f t="shared" ca="1" si="137"/>
        <v>0</v>
      </c>
      <c r="H639" t="b">
        <f t="shared" ca="1" si="133"/>
        <v>1</v>
      </c>
      <c r="I639" s="22" t="e">
        <f t="shared" ca="1" si="128"/>
        <v>#N/A</v>
      </c>
      <c r="J639">
        <f t="shared" ca="1" si="129"/>
        <v>0</v>
      </c>
      <c r="K639" t="e">
        <f t="shared" ca="1" si="134"/>
        <v>#N/A</v>
      </c>
      <c r="O639" s="22" t="e">
        <f t="shared" ca="1" si="130"/>
        <v>#N/A</v>
      </c>
      <c r="P639" s="17" t="e">
        <f ca="1"/>
        <v>#N/A</v>
      </c>
      <c r="Q639" s="17" t="e">
        <f ca="1"/>
        <v>#N/A</v>
      </c>
      <c r="R639" s="23" t="e">
        <f ca="1"/>
        <v>#N/A</v>
      </c>
      <c r="S639" s="23">
        <f t="shared" ca="1" si="138"/>
        <v>0</v>
      </c>
      <c r="T639" t="b">
        <f t="shared" ca="1" si="135"/>
        <v>1</v>
      </c>
      <c r="U639" s="22" t="e">
        <f t="shared" ca="1" si="131"/>
        <v>#N/A</v>
      </c>
      <c r="V639">
        <f t="shared" ca="1" si="132"/>
        <v>0</v>
      </c>
    </row>
    <row r="640" spans="2:22">
      <c r="B640">
        <f t="shared" si="136"/>
        <v>630</v>
      </c>
      <c r="C640" s="22" t="e">
        <f ca="1"/>
        <v>#N/A</v>
      </c>
      <c r="D640" s="17" t="e">
        <f ca="1"/>
        <v>#N/A</v>
      </c>
      <c r="E640" s="17" t="e">
        <f ca="1"/>
        <v>#N/A</v>
      </c>
      <c r="F640" s="23" t="e">
        <f ca="1"/>
        <v>#N/A</v>
      </c>
      <c r="G640" s="23">
        <f t="shared" ca="1" si="137"/>
        <v>0</v>
      </c>
      <c r="H640" t="b">
        <f t="shared" ca="1" si="133"/>
        <v>1</v>
      </c>
      <c r="I640" s="22" t="e">
        <f t="shared" ca="1" si="128"/>
        <v>#N/A</v>
      </c>
      <c r="J640">
        <f t="shared" ca="1" si="129"/>
        <v>0</v>
      </c>
      <c r="K640" t="e">
        <f t="shared" ca="1" si="134"/>
        <v>#N/A</v>
      </c>
      <c r="O640" s="22" t="e">
        <f t="shared" ca="1" si="130"/>
        <v>#N/A</v>
      </c>
      <c r="P640" s="17" t="e">
        <f ca="1"/>
        <v>#N/A</v>
      </c>
      <c r="Q640" s="17" t="e">
        <f ca="1"/>
        <v>#N/A</v>
      </c>
      <c r="R640" s="23" t="e">
        <f ca="1"/>
        <v>#N/A</v>
      </c>
      <c r="S640" s="23">
        <f t="shared" ca="1" si="138"/>
        <v>0</v>
      </c>
      <c r="T640" t="b">
        <f t="shared" ca="1" si="135"/>
        <v>1</v>
      </c>
      <c r="U640" s="22" t="e">
        <f t="shared" ca="1" si="131"/>
        <v>#N/A</v>
      </c>
      <c r="V640">
        <f t="shared" ca="1" si="132"/>
        <v>0</v>
      </c>
    </row>
    <row r="641" spans="2:22">
      <c r="B641">
        <f t="shared" si="136"/>
        <v>631</v>
      </c>
      <c r="C641" s="22" t="e">
        <f ca="1"/>
        <v>#N/A</v>
      </c>
      <c r="D641" s="17" t="e">
        <f ca="1"/>
        <v>#N/A</v>
      </c>
      <c r="E641" s="17" t="e">
        <f ca="1"/>
        <v>#N/A</v>
      </c>
      <c r="F641" s="23" t="e">
        <f ca="1"/>
        <v>#N/A</v>
      </c>
      <c r="G641" s="23">
        <f t="shared" ca="1" si="137"/>
        <v>0</v>
      </c>
      <c r="H641" t="b">
        <f t="shared" ca="1" si="133"/>
        <v>1</v>
      </c>
      <c r="I641" s="22" t="e">
        <f t="shared" ca="1" si="128"/>
        <v>#N/A</v>
      </c>
      <c r="J641">
        <f t="shared" ca="1" si="129"/>
        <v>0</v>
      </c>
      <c r="K641" t="e">
        <f t="shared" ca="1" si="134"/>
        <v>#N/A</v>
      </c>
      <c r="O641" s="22" t="e">
        <f t="shared" ca="1" si="130"/>
        <v>#N/A</v>
      </c>
      <c r="P641" s="17" t="e">
        <f ca="1"/>
        <v>#N/A</v>
      </c>
      <c r="Q641" s="17" t="e">
        <f ca="1"/>
        <v>#N/A</v>
      </c>
      <c r="R641" s="23" t="e">
        <f ca="1"/>
        <v>#N/A</v>
      </c>
      <c r="S641" s="23">
        <f t="shared" ca="1" si="138"/>
        <v>0</v>
      </c>
      <c r="T641" t="b">
        <f t="shared" ca="1" si="135"/>
        <v>1</v>
      </c>
      <c r="U641" s="22" t="e">
        <f t="shared" ca="1" si="131"/>
        <v>#N/A</v>
      </c>
      <c r="V641">
        <f t="shared" ca="1" si="132"/>
        <v>0</v>
      </c>
    </row>
    <row r="642" spans="2:22">
      <c r="B642">
        <f t="shared" si="136"/>
        <v>632</v>
      </c>
      <c r="C642" s="22" t="e">
        <f ca="1"/>
        <v>#N/A</v>
      </c>
      <c r="D642" s="17" t="e">
        <f ca="1"/>
        <v>#N/A</v>
      </c>
      <c r="E642" s="17" t="e">
        <f ca="1"/>
        <v>#N/A</v>
      </c>
      <c r="F642" s="23" t="e">
        <f ca="1"/>
        <v>#N/A</v>
      </c>
      <c r="G642" s="23">
        <f t="shared" ca="1" si="137"/>
        <v>0</v>
      </c>
      <c r="H642" t="b">
        <f t="shared" ca="1" si="133"/>
        <v>1</v>
      </c>
      <c r="I642" s="22" t="e">
        <f t="shared" ca="1" si="128"/>
        <v>#N/A</v>
      </c>
      <c r="J642">
        <f t="shared" ca="1" si="129"/>
        <v>0</v>
      </c>
      <c r="K642" t="e">
        <f t="shared" ca="1" si="134"/>
        <v>#N/A</v>
      </c>
      <c r="O642" s="22" t="e">
        <f t="shared" ca="1" si="130"/>
        <v>#N/A</v>
      </c>
      <c r="P642" s="17" t="e">
        <f ca="1"/>
        <v>#N/A</v>
      </c>
      <c r="Q642" s="17" t="e">
        <f ca="1"/>
        <v>#N/A</v>
      </c>
      <c r="R642" s="23" t="e">
        <f ca="1"/>
        <v>#N/A</v>
      </c>
      <c r="S642" s="23">
        <f t="shared" ca="1" si="138"/>
        <v>0</v>
      </c>
      <c r="T642" t="b">
        <f t="shared" ca="1" si="135"/>
        <v>1</v>
      </c>
      <c r="U642" s="22" t="e">
        <f t="shared" ca="1" si="131"/>
        <v>#N/A</v>
      </c>
      <c r="V642">
        <f t="shared" ca="1" si="132"/>
        <v>0</v>
      </c>
    </row>
    <row r="643" spans="2:22">
      <c r="B643">
        <f t="shared" si="136"/>
        <v>633</v>
      </c>
      <c r="C643" s="22" t="e">
        <f ca="1"/>
        <v>#N/A</v>
      </c>
      <c r="D643" s="17" t="e">
        <f ca="1"/>
        <v>#N/A</v>
      </c>
      <c r="E643" s="17" t="e">
        <f ca="1"/>
        <v>#N/A</v>
      </c>
      <c r="F643" s="23" t="e">
        <f ca="1"/>
        <v>#N/A</v>
      </c>
      <c r="G643" s="23">
        <f t="shared" ca="1" si="137"/>
        <v>0</v>
      </c>
      <c r="H643" t="b">
        <f t="shared" ca="1" si="133"/>
        <v>1</v>
      </c>
      <c r="I643" s="22" t="e">
        <f t="shared" ca="1" si="128"/>
        <v>#N/A</v>
      </c>
      <c r="J643">
        <f t="shared" ca="1" si="129"/>
        <v>0</v>
      </c>
      <c r="K643" t="e">
        <f t="shared" ca="1" si="134"/>
        <v>#N/A</v>
      </c>
      <c r="O643" s="22" t="e">
        <f t="shared" ca="1" si="130"/>
        <v>#N/A</v>
      </c>
      <c r="P643" s="17" t="e">
        <f ca="1"/>
        <v>#N/A</v>
      </c>
      <c r="Q643" s="17" t="e">
        <f ca="1"/>
        <v>#N/A</v>
      </c>
      <c r="R643" s="23" t="e">
        <f ca="1"/>
        <v>#N/A</v>
      </c>
      <c r="S643" s="23">
        <f t="shared" ca="1" si="138"/>
        <v>0</v>
      </c>
      <c r="T643" t="b">
        <f t="shared" ca="1" si="135"/>
        <v>1</v>
      </c>
      <c r="U643" s="22" t="e">
        <f t="shared" ca="1" si="131"/>
        <v>#N/A</v>
      </c>
      <c r="V643">
        <f t="shared" ca="1" si="132"/>
        <v>0</v>
      </c>
    </row>
    <row r="644" spans="2:22">
      <c r="B644">
        <f t="shared" si="136"/>
        <v>634</v>
      </c>
      <c r="C644" s="22" t="e">
        <f ca="1"/>
        <v>#N/A</v>
      </c>
      <c r="D644" s="17" t="e">
        <f ca="1"/>
        <v>#N/A</v>
      </c>
      <c r="E644" s="17" t="e">
        <f ca="1"/>
        <v>#N/A</v>
      </c>
      <c r="F644" s="23" t="e">
        <f ca="1"/>
        <v>#N/A</v>
      </c>
      <c r="G644" s="23">
        <f t="shared" ca="1" si="137"/>
        <v>0</v>
      </c>
      <c r="H644" t="b">
        <f t="shared" ca="1" si="133"/>
        <v>1</v>
      </c>
      <c r="I644" s="22" t="e">
        <f t="shared" ca="1" si="128"/>
        <v>#N/A</v>
      </c>
      <c r="J644">
        <f t="shared" ca="1" si="129"/>
        <v>0</v>
      </c>
      <c r="K644" t="e">
        <f t="shared" ca="1" si="134"/>
        <v>#N/A</v>
      </c>
      <c r="O644" s="22" t="e">
        <f t="shared" ca="1" si="130"/>
        <v>#N/A</v>
      </c>
      <c r="P644" s="17" t="e">
        <f ca="1"/>
        <v>#N/A</v>
      </c>
      <c r="Q644" s="17" t="e">
        <f ca="1"/>
        <v>#N/A</v>
      </c>
      <c r="R644" s="23" t="e">
        <f ca="1"/>
        <v>#N/A</v>
      </c>
      <c r="S644" s="23">
        <f t="shared" ca="1" si="138"/>
        <v>0</v>
      </c>
      <c r="T644" t="b">
        <f t="shared" ca="1" si="135"/>
        <v>1</v>
      </c>
      <c r="U644" s="22" t="e">
        <f t="shared" ca="1" si="131"/>
        <v>#N/A</v>
      </c>
      <c r="V644">
        <f t="shared" ca="1" si="132"/>
        <v>0</v>
      </c>
    </row>
    <row r="645" spans="2:22">
      <c r="B645">
        <f t="shared" si="136"/>
        <v>635</v>
      </c>
      <c r="C645" s="22" t="e">
        <f ca="1"/>
        <v>#N/A</v>
      </c>
      <c r="D645" s="17" t="e">
        <f ca="1"/>
        <v>#N/A</v>
      </c>
      <c r="E645" s="17" t="e">
        <f ca="1"/>
        <v>#N/A</v>
      </c>
      <c r="F645" s="23" t="e">
        <f ca="1"/>
        <v>#N/A</v>
      </c>
      <c r="G645" s="23">
        <f t="shared" ca="1" si="137"/>
        <v>0</v>
      </c>
      <c r="H645" t="b">
        <f t="shared" ca="1" si="133"/>
        <v>1</v>
      </c>
      <c r="I645" s="22" t="e">
        <f t="shared" ca="1" si="128"/>
        <v>#N/A</v>
      </c>
      <c r="J645">
        <f t="shared" ca="1" si="129"/>
        <v>0</v>
      </c>
      <c r="K645" t="e">
        <f t="shared" ca="1" si="134"/>
        <v>#N/A</v>
      </c>
      <c r="O645" s="22" t="e">
        <f t="shared" ca="1" si="130"/>
        <v>#N/A</v>
      </c>
      <c r="P645" s="17" t="e">
        <f ca="1"/>
        <v>#N/A</v>
      </c>
      <c r="Q645" s="17" t="e">
        <f ca="1"/>
        <v>#N/A</v>
      </c>
      <c r="R645" s="23" t="e">
        <f ca="1"/>
        <v>#N/A</v>
      </c>
      <c r="S645" s="23">
        <f t="shared" ca="1" si="138"/>
        <v>0</v>
      </c>
      <c r="T645" t="b">
        <f t="shared" ca="1" si="135"/>
        <v>1</v>
      </c>
      <c r="U645" s="22" t="e">
        <f t="shared" ca="1" si="131"/>
        <v>#N/A</v>
      </c>
      <c r="V645">
        <f t="shared" ca="1" si="132"/>
        <v>0</v>
      </c>
    </row>
    <row r="646" spans="2:22">
      <c r="B646">
        <f t="shared" si="136"/>
        <v>636</v>
      </c>
      <c r="C646" s="22" t="e">
        <f ca="1"/>
        <v>#N/A</v>
      </c>
      <c r="D646" s="17" t="e">
        <f ca="1"/>
        <v>#N/A</v>
      </c>
      <c r="E646" s="17" t="e">
        <f ca="1"/>
        <v>#N/A</v>
      </c>
      <c r="F646" s="23" t="e">
        <f ca="1"/>
        <v>#N/A</v>
      </c>
      <c r="G646" s="23">
        <f t="shared" ca="1" si="137"/>
        <v>0</v>
      </c>
      <c r="H646" t="b">
        <f t="shared" ca="1" si="133"/>
        <v>1</v>
      </c>
      <c r="I646" s="22" t="e">
        <f t="shared" ca="1" si="128"/>
        <v>#N/A</v>
      </c>
      <c r="J646">
        <f t="shared" ca="1" si="129"/>
        <v>0</v>
      </c>
      <c r="K646" t="e">
        <f t="shared" ca="1" si="134"/>
        <v>#N/A</v>
      </c>
      <c r="O646" s="22" t="e">
        <f t="shared" ca="1" si="130"/>
        <v>#N/A</v>
      </c>
      <c r="P646" s="17" t="e">
        <f ca="1"/>
        <v>#N/A</v>
      </c>
      <c r="Q646" s="17" t="e">
        <f ca="1"/>
        <v>#N/A</v>
      </c>
      <c r="R646" s="23" t="e">
        <f ca="1"/>
        <v>#N/A</v>
      </c>
      <c r="S646" s="23">
        <f t="shared" ca="1" si="138"/>
        <v>0</v>
      </c>
      <c r="T646" t="b">
        <f t="shared" ca="1" si="135"/>
        <v>1</v>
      </c>
      <c r="U646" s="22" t="e">
        <f t="shared" ca="1" si="131"/>
        <v>#N/A</v>
      </c>
      <c r="V646">
        <f t="shared" ca="1" si="132"/>
        <v>0</v>
      </c>
    </row>
    <row r="647" spans="2:22">
      <c r="B647">
        <f t="shared" si="136"/>
        <v>637</v>
      </c>
      <c r="C647" s="22" t="e">
        <f ca="1"/>
        <v>#N/A</v>
      </c>
      <c r="D647" s="17" t="e">
        <f ca="1"/>
        <v>#N/A</v>
      </c>
      <c r="E647" s="17" t="e">
        <f ca="1"/>
        <v>#N/A</v>
      </c>
      <c r="F647" s="23" t="e">
        <f ca="1"/>
        <v>#N/A</v>
      </c>
      <c r="G647" s="23">
        <f t="shared" ca="1" si="137"/>
        <v>0</v>
      </c>
      <c r="H647" t="b">
        <f t="shared" ca="1" si="133"/>
        <v>1</v>
      </c>
      <c r="I647" s="22" t="e">
        <f t="shared" ca="1" si="128"/>
        <v>#N/A</v>
      </c>
      <c r="J647">
        <f t="shared" ca="1" si="129"/>
        <v>0</v>
      </c>
      <c r="K647" t="e">
        <f t="shared" ca="1" si="134"/>
        <v>#N/A</v>
      </c>
      <c r="O647" s="22" t="e">
        <f t="shared" ca="1" si="130"/>
        <v>#N/A</v>
      </c>
      <c r="P647" s="17" t="e">
        <f ca="1"/>
        <v>#N/A</v>
      </c>
      <c r="Q647" s="17" t="e">
        <f ca="1"/>
        <v>#N/A</v>
      </c>
      <c r="R647" s="23" t="e">
        <f ca="1"/>
        <v>#N/A</v>
      </c>
      <c r="S647" s="23">
        <f t="shared" ca="1" si="138"/>
        <v>0</v>
      </c>
      <c r="T647" t="b">
        <f t="shared" ca="1" si="135"/>
        <v>1</v>
      </c>
      <c r="U647" s="22" t="e">
        <f t="shared" ca="1" si="131"/>
        <v>#N/A</v>
      </c>
      <c r="V647">
        <f t="shared" ca="1" si="132"/>
        <v>0</v>
      </c>
    </row>
    <row r="648" spans="2:22">
      <c r="B648">
        <f t="shared" si="136"/>
        <v>638</v>
      </c>
      <c r="C648" s="22" t="e">
        <f ca="1"/>
        <v>#N/A</v>
      </c>
      <c r="D648" s="17" t="e">
        <f ca="1"/>
        <v>#N/A</v>
      </c>
      <c r="E648" s="17" t="e">
        <f ca="1"/>
        <v>#N/A</v>
      </c>
      <c r="F648" s="23" t="e">
        <f ca="1"/>
        <v>#N/A</v>
      </c>
      <c r="G648" s="23">
        <f t="shared" ca="1" si="137"/>
        <v>0</v>
      </c>
      <c r="H648" t="b">
        <f t="shared" ca="1" si="133"/>
        <v>1</v>
      </c>
      <c r="I648" s="22" t="e">
        <f t="shared" ca="1" si="128"/>
        <v>#N/A</v>
      </c>
      <c r="J648">
        <f t="shared" ca="1" si="129"/>
        <v>0</v>
      </c>
      <c r="K648" t="e">
        <f t="shared" ca="1" si="134"/>
        <v>#N/A</v>
      </c>
      <c r="O648" s="22" t="e">
        <f t="shared" ca="1" si="130"/>
        <v>#N/A</v>
      </c>
      <c r="P648" s="17" t="e">
        <f ca="1"/>
        <v>#N/A</v>
      </c>
      <c r="Q648" s="17" t="e">
        <f ca="1"/>
        <v>#N/A</v>
      </c>
      <c r="R648" s="23" t="e">
        <f ca="1"/>
        <v>#N/A</v>
      </c>
      <c r="S648" s="23">
        <f t="shared" ca="1" si="138"/>
        <v>0</v>
      </c>
      <c r="T648" t="b">
        <f t="shared" ca="1" si="135"/>
        <v>1</v>
      </c>
      <c r="U648" s="22" t="e">
        <f t="shared" ca="1" si="131"/>
        <v>#N/A</v>
      </c>
      <c r="V648">
        <f t="shared" ca="1" si="132"/>
        <v>0</v>
      </c>
    </row>
    <row r="649" spans="2:22">
      <c r="B649">
        <f t="shared" si="136"/>
        <v>639</v>
      </c>
      <c r="C649" s="22" t="e">
        <f ca="1"/>
        <v>#N/A</v>
      </c>
      <c r="D649" s="17" t="e">
        <f ca="1"/>
        <v>#N/A</v>
      </c>
      <c r="E649" s="17" t="e">
        <f ca="1"/>
        <v>#N/A</v>
      </c>
      <c r="F649" s="23" t="e">
        <f ca="1"/>
        <v>#N/A</v>
      </c>
      <c r="G649" s="23">
        <f t="shared" ca="1" si="137"/>
        <v>0</v>
      </c>
      <c r="H649" t="b">
        <f t="shared" ca="1" si="133"/>
        <v>1</v>
      </c>
      <c r="I649" s="22" t="e">
        <f t="shared" ca="1" si="128"/>
        <v>#N/A</v>
      </c>
      <c r="J649">
        <f t="shared" ca="1" si="129"/>
        <v>0</v>
      </c>
      <c r="K649" t="e">
        <f t="shared" ca="1" si="134"/>
        <v>#N/A</v>
      </c>
      <c r="O649" s="22" t="e">
        <f t="shared" ca="1" si="130"/>
        <v>#N/A</v>
      </c>
      <c r="P649" s="17" t="e">
        <f ca="1"/>
        <v>#N/A</v>
      </c>
      <c r="Q649" s="17" t="e">
        <f ca="1"/>
        <v>#N/A</v>
      </c>
      <c r="R649" s="23" t="e">
        <f ca="1"/>
        <v>#N/A</v>
      </c>
      <c r="S649" s="23">
        <f t="shared" ca="1" si="138"/>
        <v>0</v>
      </c>
      <c r="T649" t="b">
        <f t="shared" ca="1" si="135"/>
        <v>1</v>
      </c>
      <c r="U649" s="22" t="e">
        <f t="shared" ca="1" si="131"/>
        <v>#N/A</v>
      </c>
      <c r="V649">
        <f t="shared" ca="1" si="132"/>
        <v>0</v>
      </c>
    </row>
    <row r="650" spans="2:22">
      <c r="B650">
        <f t="shared" si="136"/>
        <v>640</v>
      </c>
      <c r="C650" s="22" t="e">
        <f ca="1"/>
        <v>#N/A</v>
      </c>
      <c r="D650" s="17" t="e">
        <f ca="1"/>
        <v>#N/A</v>
      </c>
      <c r="E650" s="17" t="e">
        <f ca="1"/>
        <v>#N/A</v>
      </c>
      <c r="F650" s="23" t="e">
        <f ca="1"/>
        <v>#N/A</v>
      </c>
      <c r="G650" s="23">
        <f t="shared" ca="1" si="137"/>
        <v>0</v>
      </c>
      <c r="H650" t="b">
        <f t="shared" ca="1" si="133"/>
        <v>1</v>
      </c>
      <c r="I650" s="22" t="e">
        <f t="shared" ca="1" si="128"/>
        <v>#N/A</v>
      </c>
      <c r="J650">
        <f t="shared" ca="1" si="129"/>
        <v>0</v>
      </c>
      <c r="K650" t="e">
        <f t="shared" ca="1" si="134"/>
        <v>#N/A</v>
      </c>
      <c r="O650" s="22" t="e">
        <f t="shared" ca="1" si="130"/>
        <v>#N/A</v>
      </c>
      <c r="P650" s="17" t="e">
        <f ca="1"/>
        <v>#N/A</v>
      </c>
      <c r="Q650" s="17" t="e">
        <f ca="1"/>
        <v>#N/A</v>
      </c>
      <c r="R650" s="23" t="e">
        <f ca="1"/>
        <v>#N/A</v>
      </c>
      <c r="S650" s="23">
        <f t="shared" ca="1" si="138"/>
        <v>0</v>
      </c>
      <c r="T650" t="b">
        <f t="shared" ca="1" si="135"/>
        <v>1</v>
      </c>
      <c r="U650" s="22" t="e">
        <f t="shared" ca="1" si="131"/>
        <v>#N/A</v>
      </c>
      <c r="V650">
        <f t="shared" ca="1" si="132"/>
        <v>0</v>
      </c>
    </row>
    <row r="651" spans="2:22">
      <c r="B651">
        <f t="shared" si="136"/>
        <v>641</v>
      </c>
      <c r="C651" s="22" t="e">
        <f ca="1"/>
        <v>#N/A</v>
      </c>
      <c r="D651" s="17" t="e">
        <f ca="1"/>
        <v>#N/A</v>
      </c>
      <c r="E651" s="17" t="e">
        <f ca="1"/>
        <v>#N/A</v>
      </c>
      <c r="F651" s="23" t="e">
        <f ca="1"/>
        <v>#N/A</v>
      </c>
      <c r="G651" s="23">
        <f t="shared" ca="1" si="137"/>
        <v>0</v>
      </c>
      <c r="H651" t="b">
        <f t="shared" ca="1" si="133"/>
        <v>1</v>
      </c>
      <c r="I651" s="22" t="e">
        <f t="shared" ref="I651:I714" ca="1" si="139">IF(H651,C651,NA)</f>
        <v>#N/A</v>
      </c>
      <c r="J651">
        <f t="shared" ref="J651:J714" ca="1" si="140">IF(H651,G651,NA)</f>
        <v>0</v>
      </c>
      <c r="K651" t="e">
        <f t="shared" ca="1" si="134"/>
        <v>#N/A</v>
      </c>
      <c r="O651" s="22" t="e">
        <f t="shared" ref="O651:O714" ca="1" si="141">C651</f>
        <v>#N/A</v>
      </c>
      <c r="P651" s="17" t="e">
        <f ca="1"/>
        <v>#N/A</v>
      </c>
      <c r="Q651" s="17" t="e">
        <f ca="1"/>
        <v>#N/A</v>
      </c>
      <c r="R651" s="23" t="e">
        <f ca="1"/>
        <v>#N/A</v>
      </c>
      <c r="S651" s="23">
        <f t="shared" ca="1" si="138"/>
        <v>0</v>
      </c>
      <c r="T651" t="b">
        <f t="shared" ca="1" si="135"/>
        <v>1</v>
      </c>
      <c r="U651" s="22" t="e">
        <f t="shared" ref="U651:U714" ca="1" si="142">IF(T651,O651,NA)</f>
        <v>#N/A</v>
      </c>
      <c r="V651">
        <f t="shared" ref="V651:V714" ca="1" si="143">IF(T651,S651,NA)</f>
        <v>0</v>
      </c>
    </row>
    <row r="652" spans="2:22">
      <c r="B652">
        <f t="shared" si="136"/>
        <v>642</v>
      </c>
      <c r="C652" s="22" t="e">
        <f ca="1"/>
        <v>#N/A</v>
      </c>
      <c r="D652" s="17" t="e">
        <f ca="1"/>
        <v>#N/A</v>
      </c>
      <c r="E652" s="17" t="e">
        <f ca="1"/>
        <v>#N/A</v>
      </c>
      <c r="F652" s="23" t="e">
        <f ca="1"/>
        <v>#N/A</v>
      </c>
      <c r="G652" s="23">
        <f t="shared" ca="1" si="137"/>
        <v>0</v>
      </c>
      <c r="H652" t="b">
        <f t="shared" ref="H652:H715" ca="1" si="144">ISNUMBER(G652)</f>
        <v>1</v>
      </c>
      <c r="I652" s="22" t="e">
        <f t="shared" ca="1" si="139"/>
        <v>#N/A</v>
      </c>
      <c r="J652">
        <f t="shared" ca="1" si="140"/>
        <v>0</v>
      </c>
      <c r="K652" t="e">
        <f t="shared" ref="K652:K715" ca="1" si="145">YEAR(C652)</f>
        <v>#N/A</v>
      </c>
      <c r="O652" s="22" t="e">
        <f t="shared" ca="1" si="141"/>
        <v>#N/A</v>
      </c>
      <c r="P652" s="17" t="e">
        <f ca="1"/>
        <v>#N/A</v>
      </c>
      <c r="Q652" s="17" t="e">
        <f ca="1"/>
        <v>#N/A</v>
      </c>
      <c r="R652" s="23" t="e">
        <f ca="1"/>
        <v>#N/A</v>
      </c>
      <c r="S652" s="23">
        <f t="shared" ca="1" si="138"/>
        <v>0</v>
      </c>
      <c r="T652" t="b">
        <f t="shared" ref="T652:T715" ca="1" si="146">ISNUMBER(S652)</f>
        <v>1</v>
      </c>
      <c r="U652" s="22" t="e">
        <f t="shared" ca="1" si="142"/>
        <v>#N/A</v>
      </c>
      <c r="V652">
        <f t="shared" ca="1" si="143"/>
        <v>0</v>
      </c>
    </row>
    <row r="653" spans="2:22">
      <c r="B653">
        <f t="shared" ref="B653:B716" si="147">B652+1</f>
        <v>643</v>
      </c>
      <c r="C653" s="22" t="e">
        <f ca="1"/>
        <v>#N/A</v>
      </c>
      <c r="D653" s="17" t="e">
        <f ca="1"/>
        <v>#N/A</v>
      </c>
      <c r="E653" s="17" t="e">
        <f ca="1"/>
        <v>#N/A</v>
      </c>
      <c r="F653" s="23" t="e">
        <f ca="1"/>
        <v>#N/A</v>
      </c>
      <c r="G653" s="23">
        <f t="shared" ca="1" si="137"/>
        <v>0</v>
      </c>
      <c r="H653" t="b">
        <f t="shared" ca="1" si="144"/>
        <v>1</v>
      </c>
      <c r="I653" s="22" t="e">
        <f t="shared" ca="1" si="139"/>
        <v>#N/A</v>
      </c>
      <c r="J653">
        <f t="shared" ca="1" si="140"/>
        <v>0</v>
      </c>
      <c r="K653" t="e">
        <f t="shared" ca="1" si="145"/>
        <v>#N/A</v>
      </c>
      <c r="O653" s="22" t="e">
        <f t="shared" ca="1" si="141"/>
        <v>#N/A</v>
      </c>
      <c r="P653" s="17" t="e">
        <f ca="1"/>
        <v>#N/A</v>
      </c>
      <c r="Q653" s="17" t="e">
        <f ca="1"/>
        <v>#N/A</v>
      </c>
      <c r="R653" s="23" t="e">
        <f ca="1"/>
        <v>#N/A</v>
      </c>
      <c r="S653" s="23">
        <f t="shared" ca="1" si="138"/>
        <v>0</v>
      </c>
      <c r="T653" t="b">
        <f t="shared" ca="1" si="146"/>
        <v>1</v>
      </c>
      <c r="U653" s="22" t="e">
        <f t="shared" ca="1" si="142"/>
        <v>#N/A</v>
      </c>
      <c r="V653">
        <f t="shared" ca="1" si="143"/>
        <v>0</v>
      </c>
    </row>
    <row r="654" spans="2:22">
      <c r="B654">
        <f t="shared" si="147"/>
        <v>644</v>
      </c>
      <c r="C654" s="22" t="e">
        <f ca="1"/>
        <v>#N/A</v>
      </c>
      <c r="D654" s="17" t="e">
        <f ca="1"/>
        <v>#N/A</v>
      </c>
      <c r="E654" s="17" t="e">
        <f ca="1"/>
        <v>#N/A</v>
      </c>
      <c r="F654" s="23" t="e">
        <f ca="1"/>
        <v>#N/A</v>
      </c>
      <c r="G654" s="23">
        <f t="shared" ca="1" si="137"/>
        <v>0</v>
      </c>
      <c r="H654" t="b">
        <f t="shared" ca="1" si="144"/>
        <v>1</v>
      </c>
      <c r="I654" s="22" t="e">
        <f t="shared" ca="1" si="139"/>
        <v>#N/A</v>
      </c>
      <c r="J654">
        <f t="shared" ca="1" si="140"/>
        <v>0</v>
      </c>
      <c r="K654" t="e">
        <f t="shared" ca="1" si="145"/>
        <v>#N/A</v>
      </c>
      <c r="O654" s="22" t="e">
        <f t="shared" ca="1" si="141"/>
        <v>#N/A</v>
      </c>
      <c r="P654" s="17" t="e">
        <f ca="1"/>
        <v>#N/A</v>
      </c>
      <c r="Q654" s="17" t="e">
        <f ca="1"/>
        <v>#N/A</v>
      </c>
      <c r="R654" s="23" t="e">
        <f ca="1"/>
        <v>#N/A</v>
      </c>
      <c r="S654" s="23">
        <f t="shared" ca="1" si="138"/>
        <v>0</v>
      </c>
      <c r="T654" t="b">
        <f t="shared" ca="1" si="146"/>
        <v>1</v>
      </c>
      <c r="U654" s="22" t="e">
        <f t="shared" ca="1" si="142"/>
        <v>#N/A</v>
      </c>
      <c r="V654">
        <f t="shared" ca="1" si="143"/>
        <v>0</v>
      </c>
    </row>
    <row r="655" spans="2:22">
      <c r="B655">
        <f t="shared" si="147"/>
        <v>645</v>
      </c>
      <c r="C655" s="22" t="e">
        <f ca="1"/>
        <v>#N/A</v>
      </c>
      <c r="D655" s="17" t="e">
        <f ca="1"/>
        <v>#N/A</v>
      </c>
      <c r="E655" s="17" t="e">
        <f ca="1"/>
        <v>#N/A</v>
      </c>
      <c r="F655" s="23" t="e">
        <f ca="1"/>
        <v>#N/A</v>
      </c>
      <c r="G655" s="23">
        <f t="shared" ca="1" si="137"/>
        <v>0</v>
      </c>
      <c r="H655" t="b">
        <f t="shared" ca="1" si="144"/>
        <v>1</v>
      </c>
      <c r="I655" s="22" t="e">
        <f t="shared" ca="1" si="139"/>
        <v>#N/A</v>
      </c>
      <c r="J655">
        <f t="shared" ca="1" si="140"/>
        <v>0</v>
      </c>
      <c r="K655" t="e">
        <f t="shared" ca="1" si="145"/>
        <v>#N/A</v>
      </c>
      <c r="O655" s="22" t="e">
        <f t="shared" ca="1" si="141"/>
        <v>#N/A</v>
      </c>
      <c r="P655" s="17" t="e">
        <f ca="1"/>
        <v>#N/A</v>
      </c>
      <c r="Q655" s="17" t="e">
        <f ca="1"/>
        <v>#N/A</v>
      </c>
      <c r="R655" s="23" t="e">
        <f ca="1"/>
        <v>#N/A</v>
      </c>
      <c r="S655" s="23">
        <f t="shared" ca="1" si="138"/>
        <v>0</v>
      </c>
      <c r="T655" t="b">
        <f t="shared" ca="1" si="146"/>
        <v>1</v>
      </c>
      <c r="U655" s="22" t="e">
        <f t="shared" ca="1" si="142"/>
        <v>#N/A</v>
      </c>
      <c r="V655">
        <f t="shared" ca="1" si="143"/>
        <v>0</v>
      </c>
    </row>
    <row r="656" spans="2:22">
      <c r="B656">
        <f t="shared" si="147"/>
        <v>646</v>
      </c>
      <c r="C656" s="22" t="e">
        <f ca="1"/>
        <v>#N/A</v>
      </c>
      <c r="D656" s="17" t="e">
        <f ca="1"/>
        <v>#N/A</v>
      </c>
      <c r="E656" s="17" t="e">
        <f ca="1"/>
        <v>#N/A</v>
      </c>
      <c r="F656" s="23" t="e">
        <f ca="1"/>
        <v>#N/A</v>
      </c>
      <c r="G656" s="23">
        <f t="shared" ca="1" si="137"/>
        <v>0</v>
      </c>
      <c r="H656" t="b">
        <f t="shared" ca="1" si="144"/>
        <v>1</v>
      </c>
      <c r="I656" s="22" t="e">
        <f t="shared" ca="1" si="139"/>
        <v>#N/A</v>
      </c>
      <c r="J656">
        <f t="shared" ca="1" si="140"/>
        <v>0</v>
      </c>
      <c r="K656" t="e">
        <f t="shared" ca="1" si="145"/>
        <v>#N/A</v>
      </c>
      <c r="O656" s="22" t="e">
        <f t="shared" ca="1" si="141"/>
        <v>#N/A</v>
      </c>
      <c r="P656" s="17" t="e">
        <f ca="1"/>
        <v>#N/A</v>
      </c>
      <c r="Q656" s="17" t="e">
        <f ca="1"/>
        <v>#N/A</v>
      </c>
      <c r="R656" s="23" t="e">
        <f ca="1"/>
        <v>#N/A</v>
      </c>
      <c r="S656" s="23">
        <f t="shared" ca="1" si="138"/>
        <v>0</v>
      </c>
      <c r="T656" t="b">
        <f t="shared" ca="1" si="146"/>
        <v>1</v>
      </c>
      <c r="U656" s="22" t="e">
        <f t="shared" ca="1" si="142"/>
        <v>#N/A</v>
      </c>
      <c r="V656">
        <f t="shared" ca="1" si="143"/>
        <v>0</v>
      </c>
    </row>
    <row r="657" spans="2:22">
      <c r="B657">
        <f t="shared" si="147"/>
        <v>647</v>
      </c>
      <c r="C657" s="22" t="e">
        <f ca="1"/>
        <v>#N/A</v>
      </c>
      <c r="D657" s="17" t="e">
        <f ca="1"/>
        <v>#N/A</v>
      </c>
      <c r="E657" s="17" t="e">
        <f ca="1"/>
        <v>#N/A</v>
      </c>
      <c r="F657" s="23" t="e">
        <f ca="1"/>
        <v>#N/A</v>
      </c>
      <c r="G657" s="23">
        <f t="shared" ca="1" si="137"/>
        <v>0</v>
      </c>
      <c r="H657" t="b">
        <f t="shared" ca="1" si="144"/>
        <v>1</v>
      </c>
      <c r="I657" s="22" t="e">
        <f t="shared" ca="1" si="139"/>
        <v>#N/A</v>
      </c>
      <c r="J657">
        <f t="shared" ca="1" si="140"/>
        <v>0</v>
      </c>
      <c r="K657" t="e">
        <f t="shared" ca="1" si="145"/>
        <v>#N/A</v>
      </c>
      <c r="O657" s="22" t="e">
        <f t="shared" ca="1" si="141"/>
        <v>#N/A</v>
      </c>
      <c r="P657" s="17" t="e">
        <f ca="1"/>
        <v>#N/A</v>
      </c>
      <c r="Q657" s="17" t="e">
        <f ca="1"/>
        <v>#N/A</v>
      </c>
      <c r="R657" s="23" t="e">
        <f ca="1"/>
        <v>#N/A</v>
      </c>
      <c r="S657" s="23">
        <f t="shared" ca="1" si="138"/>
        <v>0</v>
      </c>
      <c r="T657" t="b">
        <f t="shared" ca="1" si="146"/>
        <v>1</v>
      </c>
      <c r="U657" s="22" t="e">
        <f t="shared" ca="1" si="142"/>
        <v>#N/A</v>
      </c>
      <c r="V657">
        <f t="shared" ca="1" si="143"/>
        <v>0</v>
      </c>
    </row>
    <row r="658" spans="2:22">
      <c r="B658">
        <f t="shared" si="147"/>
        <v>648</v>
      </c>
      <c r="C658" s="22" t="e">
        <f ca="1"/>
        <v>#N/A</v>
      </c>
      <c r="D658" s="17" t="e">
        <f ca="1"/>
        <v>#N/A</v>
      </c>
      <c r="E658" s="17" t="e">
        <f ca="1"/>
        <v>#N/A</v>
      </c>
      <c r="F658" s="23" t="e">
        <f ca="1"/>
        <v>#N/A</v>
      </c>
      <c r="G658" s="23">
        <f t="shared" ca="1" si="137"/>
        <v>0</v>
      </c>
      <c r="H658" t="b">
        <f t="shared" ca="1" si="144"/>
        <v>1</v>
      </c>
      <c r="I658" s="22" t="e">
        <f t="shared" ca="1" si="139"/>
        <v>#N/A</v>
      </c>
      <c r="J658">
        <f t="shared" ca="1" si="140"/>
        <v>0</v>
      </c>
      <c r="K658" t="e">
        <f t="shared" ca="1" si="145"/>
        <v>#N/A</v>
      </c>
      <c r="O658" s="22" t="e">
        <f t="shared" ca="1" si="141"/>
        <v>#N/A</v>
      </c>
      <c r="P658" s="17" t="e">
        <f ca="1"/>
        <v>#N/A</v>
      </c>
      <c r="Q658" s="17" t="e">
        <f ca="1"/>
        <v>#N/A</v>
      </c>
      <c r="R658" s="23" t="e">
        <f ca="1"/>
        <v>#N/A</v>
      </c>
      <c r="S658" s="23">
        <f t="shared" ca="1" si="138"/>
        <v>0</v>
      </c>
      <c r="T658" t="b">
        <f t="shared" ca="1" si="146"/>
        <v>1</v>
      </c>
      <c r="U658" s="22" t="e">
        <f t="shared" ca="1" si="142"/>
        <v>#N/A</v>
      </c>
      <c r="V658">
        <f t="shared" ca="1" si="143"/>
        <v>0</v>
      </c>
    </row>
    <row r="659" spans="2:22">
      <c r="B659">
        <f t="shared" si="147"/>
        <v>649</v>
      </c>
      <c r="C659" s="22" t="e">
        <f ca="1"/>
        <v>#N/A</v>
      </c>
      <c r="D659" s="17" t="e">
        <f ca="1"/>
        <v>#N/A</v>
      </c>
      <c r="E659" s="17" t="e">
        <f ca="1"/>
        <v>#N/A</v>
      </c>
      <c r="F659" s="23" t="e">
        <f ca="1"/>
        <v>#N/A</v>
      </c>
      <c r="G659" s="23">
        <f t="shared" ca="1" si="137"/>
        <v>0</v>
      </c>
      <c r="H659" t="b">
        <f t="shared" ca="1" si="144"/>
        <v>1</v>
      </c>
      <c r="I659" s="22" t="e">
        <f t="shared" ca="1" si="139"/>
        <v>#N/A</v>
      </c>
      <c r="J659">
        <f t="shared" ca="1" si="140"/>
        <v>0</v>
      </c>
      <c r="K659" t="e">
        <f t="shared" ca="1" si="145"/>
        <v>#N/A</v>
      </c>
      <c r="O659" s="22" t="e">
        <f t="shared" ca="1" si="141"/>
        <v>#N/A</v>
      </c>
      <c r="P659" s="17" t="e">
        <f ca="1"/>
        <v>#N/A</v>
      </c>
      <c r="Q659" s="17" t="e">
        <f ca="1"/>
        <v>#N/A</v>
      </c>
      <c r="R659" s="23" t="e">
        <f ca="1"/>
        <v>#N/A</v>
      </c>
      <c r="S659" s="23">
        <f t="shared" ca="1" si="138"/>
        <v>0</v>
      </c>
      <c r="T659" t="b">
        <f t="shared" ca="1" si="146"/>
        <v>1</v>
      </c>
      <c r="U659" s="22" t="e">
        <f t="shared" ca="1" si="142"/>
        <v>#N/A</v>
      </c>
      <c r="V659">
        <f t="shared" ca="1" si="143"/>
        <v>0</v>
      </c>
    </row>
    <row r="660" spans="2:22">
      <c r="B660">
        <f t="shared" si="147"/>
        <v>650</v>
      </c>
      <c r="C660" s="22" t="e">
        <f ca="1"/>
        <v>#N/A</v>
      </c>
      <c r="D660" s="17" t="e">
        <f ca="1"/>
        <v>#N/A</v>
      </c>
      <c r="E660" s="17" t="e">
        <f ca="1"/>
        <v>#N/A</v>
      </c>
      <c r="F660" s="23" t="e">
        <f ca="1"/>
        <v>#N/A</v>
      </c>
      <c r="G660" s="23">
        <f t="shared" ca="1" si="137"/>
        <v>0</v>
      </c>
      <c r="H660" t="b">
        <f t="shared" ca="1" si="144"/>
        <v>1</v>
      </c>
      <c r="I660" s="22" t="e">
        <f t="shared" ca="1" si="139"/>
        <v>#N/A</v>
      </c>
      <c r="J660">
        <f t="shared" ca="1" si="140"/>
        <v>0</v>
      </c>
      <c r="K660" t="e">
        <f t="shared" ca="1" si="145"/>
        <v>#N/A</v>
      </c>
      <c r="O660" s="22" t="e">
        <f t="shared" ca="1" si="141"/>
        <v>#N/A</v>
      </c>
      <c r="P660" s="17" t="e">
        <f ca="1"/>
        <v>#N/A</v>
      </c>
      <c r="Q660" s="17" t="e">
        <f ca="1"/>
        <v>#N/A</v>
      </c>
      <c r="R660" s="23" t="e">
        <f ca="1"/>
        <v>#N/A</v>
      </c>
      <c r="S660" s="23">
        <f t="shared" ca="1" si="138"/>
        <v>0</v>
      </c>
      <c r="T660" t="b">
        <f t="shared" ca="1" si="146"/>
        <v>1</v>
      </c>
      <c r="U660" s="22" t="e">
        <f t="shared" ca="1" si="142"/>
        <v>#N/A</v>
      </c>
      <c r="V660">
        <f t="shared" ca="1" si="143"/>
        <v>0</v>
      </c>
    </row>
    <row r="661" spans="2:22">
      <c r="B661">
        <f t="shared" si="147"/>
        <v>651</v>
      </c>
      <c r="C661" s="22" t="e">
        <f ca="1"/>
        <v>#N/A</v>
      </c>
      <c r="D661" s="17" t="e">
        <f ca="1"/>
        <v>#N/A</v>
      </c>
      <c r="E661" s="17" t="e">
        <f ca="1"/>
        <v>#N/A</v>
      </c>
      <c r="F661" s="23" t="e">
        <f ca="1"/>
        <v>#N/A</v>
      </c>
      <c r="G661" s="23">
        <f t="shared" ca="1" si="137"/>
        <v>0</v>
      </c>
      <c r="H661" t="b">
        <f t="shared" ca="1" si="144"/>
        <v>1</v>
      </c>
      <c r="I661" s="22" t="e">
        <f t="shared" ca="1" si="139"/>
        <v>#N/A</v>
      </c>
      <c r="J661">
        <f t="shared" ca="1" si="140"/>
        <v>0</v>
      </c>
      <c r="K661" t="e">
        <f t="shared" ca="1" si="145"/>
        <v>#N/A</v>
      </c>
      <c r="O661" s="22" t="e">
        <f t="shared" ca="1" si="141"/>
        <v>#N/A</v>
      </c>
      <c r="P661" s="17" t="e">
        <f ca="1"/>
        <v>#N/A</v>
      </c>
      <c r="Q661" s="17" t="e">
        <f ca="1"/>
        <v>#N/A</v>
      </c>
      <c r="R661" s="23" t="e">
        <f ca="1"/>
        <v>#N/A</v>
      </c>
      <c r="S661" s="23">
        <f t="shared" ca="1" si="138"/>
        <v>0</v>
      </c>
      <c r="T661" t="b">
        <f t="shared" ca="1" si="146"/>
        <v>1</v>
      </c>
      <c r="U661" s="22" t="e">
        <f t="shared" ca="1" si="142"/>
        <v>#N/A</v>
      </c>
      <c r="V661">
        <f t="shared" ca="1" si="143"/>
        <v>0</v>
      </c>
    </row>
    <row r="662" spans="2:22">
      <c r="B662">
        <f t="shared" si="147"/>
        <v>652</v>
      </c>
      <c r="C662" s="22" t="e">
        <f ca="1"/>
        <v>#N/A</v>
      </c>
      <c r="D662" s="17" t="e">
        <f ca="1"/>
        <v>#N/A</v>
      </c>
      <c r="E662" s="17" t="e">
        <f ca="1"/>
        <v>#N/A</v>
      </c>
      <c r="F662" s="23" t="e">
        <f ca="1"/>
        <v>#N/A</v>
      </c>
      <c r="G662" s="23">
        <f t="shared" ca="1" si="137"/>
        <v>0</v>
      </c>
      <c r="H662" t="b">
        <f t="shared" ca="1" si="144"/>
        <v>1</v>
      </c>
      <c r="I662" s="22" t="e">
        <f t="shared" ca="1" si="139"/>
        <v>#N/A</v>
      </c>
      <c r="J662">
        <f t="shared" ca="1" si="140"/>
        <v>0</v>
      </c>
      <c r="K662" t="e">
        <f t="shared" ca="1" si="145"/>
        <v>#N/A</v>
      </c>
      <c r="O662" s="22" t="e">
        <f t="shared" ca="1" si="141"/>
        <v>#N/A</v>
      </c>
      <c r="P662" s="17" t="e">
        <f ca="1"/>
        <v>#N/A</v>
      </c>
      <c r="Q662" s="17" t="e">
        <f ca="1"/>
        <v>#N/A</v>
      </c>
      <c r="R662" s="23" t="e">
        <f ca="1"/>
        <v>#N/A</v>
      </c>
      <c r="S662" s="23">
        <f t="shared" ca="1" si="138"/>
        <v>0</v>
      </c>
      <c r="T662" t="b">
        <f t="shared" ca="1" si="146"/>
        <v>1</v>
      </c>
      <c r="U662" s="22" t="e">
        <f t="shared" ca="1" si="142"/>
        <v>#N/A</v>
      </c>
      <c r="V662">
        <f t="shared" ca="1" si="143"/>
        <v>0</v>
      </c>
    </row>
    <row r="663" spans="2:22">
      <c r="B663">
        <f t="shared" si="147"/>
        <v>653</v>
      </c>
      <c r="C663" s="22" t="e">
        <f ca="1"/>
        <v>#N/A</v>
      </c>
      <c r="D663" s="17" t="e">
        <f ca="1"/>
        <v>#N/A</v>
      </c>
      <c r="E663" s="17" t="e">
        <f ca="1"/>
        <v>#N/A</v>
      </c>
      <c r="F663" s="23" t="e">
        <f ca="1"/>
        <v>#N/A</v>
      </c>
      <c r="G663" s="23">
        <f t="shared" ref="G663:G726" ca="1" si="148">IFERROR(Volatility(D652:D663,12),FALSE)</f>
        <v>0</v>
      </c>
      <c r="H663" t="b">
        <f t="shared" ca="1" si="144"/>
        <v>1</v>
      </c>
      <c r="I663" s="22" t="e">
        <f t="shared" ca="1" si="139"/>
        <v>#N/A</v>
      </c>
      <c r="J663">
        <f t="shared" ca="1" si="140"/>
        <v>0</v>
      </c>
      <c r="K663" t="e">
        <f t="shared" ca="1" si="145"/>
        <v>#N/A</v>
      </c>
      <c r="O663" s="22" t="e">
        <f t="shared" ca="1" si="141"/>
        <v>#N/A</v>
      </c>
      <c r="P663" s="17" t="e">
        <f ca="1"/>
        <v>#N/A</v>
      </c>
      <c r="Q663" s="17" t="e">
        <f ca="1"/>
        <v>#N/A</v>
      </c>
      <c r="R663" s="23" t="e">
        <f ca="1"/>
        <v>#N/A</v>
      </c>
      <c r="S663" s="23">
        <f t="shared" ref="S663:S726" ca="1" si="149">IFERROR(Volatility(P652:P663,12),FALSE)</f>
        <v>0</v>
      </c>
      <c r="T663" t="b">
        <f t="shared" ca="1" si="146"/>
        <v>1</v>
      </c>
      <c r="U663" s="22" t="e">
        <f t="shared" ca="1" si="142"/>
        <v>#N/A</v>
      </c>
      <c r="V663">
        <f t="shared" ca="1" si="143"/>
        <v>0</v>
      </c>
    </row>
    <row r="664" spans="2:22">
      <c r="B664">
        <f t="shared" si="147"/>
        <v>654</v>
      </c>
      <c r="C664" s="22" t="e">
        <f ca="1"/>
        <v>#N/A</v>
      </c>
      <c r="D664" s="17" t="e">
        <f ca="1"/>
        <v>#N/A</v>
      </c>
      <c r="E664" s="17" t="e">
        <f ca="1"/>
        <v>#N/A</v>
      </c>
      <c r="F664" s="23" t="e">
        <f ca="1"/>
        <v>#N/A</v>
      </c>
      <c r="G664" s="23">
        <f t="shared" ca="1" si="148"/>
        <v>0</v>
      </c>
      <c r="H664" t="b">
        <f t="shared" ca="1" si="144"/>
        <v>1</v>
      </c>
      <c r="I664" s="22" t="e">
        <f t="shared" ca="1" si="139"/>
        <v>#N/A</v>
      </c>
      <c r="J664">
        <f t="shared" ca="1" si="140"/>
        <v>0</v>
      </c>
      <c r="K664" t="e">
        <f t="shared" ca="1" si="145"/>
        <v>#N/A</v>
      </c>
      <c r="O664" s="22" t="e">
        <f t="shared" ca="1" si="141"/>
        <v>#N/A</v>
      </c>
      <c r="P664" s="17" t="e">
        <f ca="1"/>
        <v>#N/A</v>
      </c>
      <c r="Q664" s="17" t="e">
        <f ca="1"/>
        <v>#N/A</v>
      </c>
      <c r="R664" s="23" t="e">
        <f ca="1"/>
        <v>#N/A</v>
      </c>
      <c r="S664" s="23">
        <f t="shared" ca="1" si="149"/>
        <v>0</v>
      </c>
      <c r="T664" t="b">
        <f t="shared" ca="1" si="146"/>
        <v>1</v>
      </c>
      <c r="U664" s="22" t="e">
        <f t="shared" ca="1" si="142"/>
        <v>#N/A</v>
      </c>
      <c r="V664">
        <f t="shared" ca="1" si="143"/>
        <v>0</v>
      </c>
    </row>
    <row r="665" spans="2:22">
      <c r="B665">
        <f t="shared" si="147"/>
        <v>655</v>
      </c>
      <c r="C665" s="22" t="e">
        <f ca="1"/>
        <v>#N/A</v>
      </c>
      <c r="D665" s="17" t="e">
        <f ca="1"/>
        <v>#N/A</v>
      </c>
      <c r="E665" s="17" t="e">
        <f ca="1"/>
        <v>#N/A</v>
      </c>
      <c r="F665" s="23" t="e">
        <f ca="1"/>
        <v>#N/A</v>
      </c>
      <c r="G665" s="23">
        <f t="shared" ca="1" si="148"/>
        <v>0</v>
      </c>
      <c r="H665" t="b">
        <f t="shared" ca="1" si="144"/>
        <v>1</v>
      </c>
      <c r="I665" s="22" t="e">
        <f t="shared" ca="1" si="139"/>
        <v>#N/A</v>
      </c>
      <c r="J665">
        <f t="shared" ca="1" si="140"/>
        <v>0</v>
      </c>
      <c r="K665" t="e">
        <f t="shared" ca="1" si="145"/>
        <v>#N/A</v>
      </c>
      <c r="O665" s="22" t="e">
        <f t="shared" ca="1" si="141"/>
        <v>#N/A</v>
      </c>
      <c r="P665" s="17" t="e">
        <f ca="1"/>
        <v>#N/A</v>
      </c>
      <c r="Q665" s="17" t="e">
        <f ca="1"/>
        <v>#N/A</v>
      </c>
      <c r="R665" s="23" t="e">
        <f ca="1"/>
        <v>#N/A</v>
      </c>
      <c r="S665" s="23">
        <f t="shared" ca="1" si="149"/>
        <v>0</v>
      </c>
      <c r="T665" t="b">
        <f t="shared" ca="1" si="146"/>
        <v>1</v>
      </c>
      <c r="U665" s="22" t="e">
        <f t="shared" ca="1" si="142"/>
        <v>#N/A</v>
      </c>
      <c r="V665">
        <f t="shared" ca="1" si="143"/>
        <v>0</v>
      </c>
    </row>
    <row r="666" spans="2:22">
      <c r="B666">
        <f t="shared" si="147"/>
        <v>656</v>
      </c>
      <c r="C666" s="22" t="e">
        <f ca="1"/>
        <v>#N/A</v>
      </c>
      <c r="D666" s="17" t="e">
        <f ca="1"/>
        <v>#N/A</v>
      </c>
      <c r="E666" s="17" t="e">
        <f ca="1"/>
        <v>#N/A</v>
      </c>
      <c r="F666" s="23" t="e">
        <f ca="1"/>
        <v>#N/A</v>
      </c>
      <c r="G666" s="23">
        <f t="shared" ca="1" si="148"/>
        <v>0</v>
      </c>
      <c r="H666" t="b">
        <f t="shared" ca="1" si="144"/>
        <v>1</v>
      </c>
      <c r="I666" s="22" t="e">
        <f t="shared" ca="1" si="139"/>
        <v>#N/A</v>
      </c>
      <c r="J666">
        <f t="shared" ca="1" si="140"/>
        <v>0</v>
      </c>
      <c r="K666" t="e">
        <f t="shared" ca="1" si="145"/>
        <v>#N/A</v>
      </c>
      <c r="O666" s="22" t="e">
        <f t="shared" ca="1" si="141"/>
        <v>#N/A</v>
      </c>
      <c r="P666" s="17" t="e">
        <f ca="1"/>
        <v>#N/A</v>
      </c>
      <c r="Q666" s="17" t="e">
        <f ca="1"/>
        <v>#N/A</v>
      </c>
      <c r="R666" s="23" t="e">
        <f ca="1"/>
        <v>#N/A</v>
      </c>
      <c r="S666" s="23">
        <f t="shared" ca="1" si="149"/>
        <v>0</v>
      </c>
      <c r="T666" t="b">
        <f t="shared" ca="1" si="146"/>
        <v>1</v>
      </c>
      <c r="U666" s="22" t="e">
        <f t="shared" ca="1" si="142"/>
        <v>#N/A</v>
      </c>
      <c r="V666">
        <f t="shared" ca="1" si="143"/>
        <v>0</v>
      </c>
    </row>
    <row r="667" spans="2:22">
      <c r="B667">
        <f t="shared" si="147"/>
        <v>657</v>
      </c>
      <c r="C667" s="22" t="e">
        <f ca="1"/>
        <v>#N/A</v>
      </c>
      <c r="D667" s="17" t="e">
        <f ca="1"/>
        <v>#N/A</v>
      </c>
      <c r="E667" s="17" t="e">
        <f ca="1"/>
        <v>#N/A</v>
      </c>
      <c r="F667" s="23" t="e">
        <f ca="1"/>
        <v>#N/A</v>
      </c>
      <c r="G667" s="23">
        <f t="shared" ca="1" si="148"/>
        <v>0</v>
      </c>
      <c r="H667" t="b">
        <f t="shared" ca="1" si="144"/>
        <v>1</v>
      </c>
      <c r="I667" s="22" t="e">
        <f t="shared" ca="1" si="139"/>
        <v>#N/A</v>
      </c>
      <c r="J667">
        <f t="shared" ca="1" si="140"/>
        <v>0</v>
      </c>
      <c r="K667" t="e">
        <f t="shared" ca="1" si="145"/>
        <v>#N/A</v>
      </c>
      <c r="O667" s="22" t="e">
        <f t="shared" ca="1" si="141"/>
        <v>#N/A</v>
      </c>
      <c r="P667" s="17" t="e">
        <f ca="1"/>
        <v>#N/A</v>
      </c>
      <c r="Q667" s="17" t="e">
        <f ca="1"/>
        <v>#N/A</v>
      </c>
      <c r="R667" s="23" t="e">
        <f ca="1"/>
        <v>#N/A</v>
      </c>
      <c r="S667" s="23">
        <f t="shared" ca="1" si="149"/>
        <v>0</v>
      </c>
      <c r="T667" t="b">
        <f t="shared" ca="1" si="146"/>
        <v>1</v>
      </c>
      <c r="U667" s="22" t="e">
        <f t="shared" ca="1" si="142"/>
        <v>#N/A</v>
      </c>
      <c r="V667">
        <f t="shared" ca="1" si="143"/>
        <v>0</v>
      </c>
    </row>
    <row r="668" spans="2:22">
      <c r="B668">
        <f t="shared" si="147"/>
        <v>658</v>
      </c>
      <c r="C668" s="22" t="e">
        <f ca="1"/>
        <v>#N/A</v>
      </c>
      <c r="D668" s="17" t="e">
        <f ca="1"/>
        <v>#N/A</v>
      </c>
      <c r="E668" s="17" t="e">
        <f ca="1"/>
        <v>#N/A</v>
      </c>
      <c r="F668" s="23" t="e">
        <f ca="1"/>
        <v>#N/A</v>
      </c>
      <c r="G668" s="23">
        <f t="shared" ca="1" si="148"/>
        <v>0</v>
      </c>
      <c r="H668" t="b">
        <f t="shared" ca="1" si="144"/>
        <v>1</v>
      </c>
      <c r="I668" s="22" t="e">
        <f t="shared" ca="1" si="139"/>
        <v>#N/A</v>
      </c>
      <c r="J668">
        <f t="shared" ca="1" si="140"/>
        <v>0</v>
      </c>
      <c r="K668" t="e">
        <f t="shared" ca="1" si="145"/>
        <v>#N/A</v>
      </c>
      <c r="O668" s="22" t="e">
        <f t="shared" ca="1" si="141"/>
        <v>#N/A</v>
      </c>
      <c r="P668" s="17" t="e">
        <f ca="1"/>
        <v>#N/A</v>
      </c>
      <c r="Q668" s="17" t="e">
        <f ca="1"/>
        <v>#N/A</v>
      </c>
      <c r="R668" s="23" t="e">
        <f ca="1"/>
        <v>#N/A</v>
      </c>
      <c r="S668" s="23">
        <f t="shared" ca="1" si="149"/>
        <v>0</v>
      </c>
      <c r="T668" t="b">
        <f t="shared" ca="1" si="146"/>
        <v>1</v>
      </c>
      <c r="U668" s="22" t="e">
        <f t="shared" ca="1" si="142"/>
        <v>#N/A</v>
      </c>
      <c r="V668">
        <f t="shared" ca="1" si="143"/>
        <v>0</v>
      </c>
    </row>
    <row r="669" spans="2:22">
      <c r="B669">
        <f t="shared" si="147"/>
        <v>659</v>
      </c>
      <c r="C669" s="22" t="e">
        <f ca="1"/>
        <v>#N/A</v>
      </c>
      <c r="D669" s="17" t="e">
        <f ca="1"/>
        <v>#N/A</v>
      </c>
      <c r="E669" s="17" t="e">
        <f ca="1"/>
        <v>#N/A</v>
      </c>
      <c r="F669" s="23" t="e">
        <f ca="1"/>
        <v>#N/A</v>
      </c>
      <c r="G669" s="23">
        <f t="shared" ca="1" si="148"/>
        <v>0</v>
      </c>
      <c r="H669" t="b">
        <f t="shared" ca="1" si="144"/>
        <v>1</v>
      </c>
      <c r="I669" s="22" t="e">
        <f t="shared" ca="1" si="139"/>
        <v>#N/A</v>
      </c>
      <c r="J669">
        <f t="shared" ca="1" si="140"/>
        <v>0</v>
      </c>
      <c r="K669" t="e">
        <f t="shared" ca="1" si="145"/>
        <v>#N/A</v>
      </c>
      <c r="O669" s="22" t="e">
        <f t="shared" ca="1" si="141"/>
        <v>#N/A</v>
      </c>
      <c r="P669" s="17" t="e">
        <f ca="1"/>
        <v>#N/A</v>
      </c>
      <c r="Q669" s="17" t="e">
        <f ca="1"/>
        <v>#N/A</v>
      </c>
      <c r="R669" s="23" t="e">
        <f ca="1"/>
        <v>#N/A</v>
      </c>
      <c r="S669" s="23">
        <f t="shared" ca="1" si="149"/>
        <v>0</v>
      </c>
      <c r="T669" t="b">
        <f t="shared" ca="1" si="146"/>
        <v>1</v>
      </c>
      <c r="U669" s="22" t="e">
        <f t="shared" ca="1" si="142"/>
        <v>#N/A</v>
      </c>
      <c r="V669">
        <f t="shared" ca="1" si="143"/>
        <v>0</v>
      </c>
    </row>
    <row r="670" spans="2:22">
      <c r="B670">
        <f t="shared" si="147"/>
        <v>660</v>
      </c>
      <c r="C670" s="22" t="e">
        <f ca="1"/>
        <v>#N/A</v>
      </c>
      <c r="D670" s="17" t="e">
        <f ca="1"/>
        <v>#N/A</v>
      </c>
      <c r="E670" s="17" t="e">
        <f ca="1"/>
        <v>#N/A</v>
      </c>
      <c r="F670" s="23" t="e">
        <f ca="1"/>
        <v>#N/A</v>
      </c>
      <c r="G670" s="23">
        <f t="shared" ca="1" si="148"/>
        <v>0</v>
      </c>
      <c r="H670" t="b">
        <f t="shared" ca="1" si="144"/>
        <v>1</v>
      </c>
      <c r="I670" s="22" t="e">
        <f t="shared" ca="1" si="139"/>
        <v>#N/A</v>
      </c>
      <c r="J670">
        <f t="shared" ca="1" si="140"/>
        <v>0</v>
      </c>
      <c r="K670" t="e">
        <f t="shared" ca="1" si="145"/>
        <v>#N/A</v>
      </c>
      <c r="O670" s="22" t="e">
        <f t="shared" ca="1" si="141"/>
        <v>#N/A</v>
      </c>
      <c r="P670" s="17" t="e">
        <f ca="1"/>
        <v>#N/A</v>
      </c>
      <c r="Q670" s="17" t="e">
        <f ca="1"/>
        <v>#N/A</v>
      </c>
      <c r="R670" s="23" t="e">
        <f ca="1"/>
        <v>#N/A</v>
      </c>
      <c r="S670" s="23">
        <f t="shared" ca="1" si="149"/>
        <v>0</v>
      </c>
      <c r="T670" t="b">
        <f t="shared" ca="1" si="146"/>
        <v>1</v>
      </c>
      <c r="U670" s="22" t="e">
        <f t="shared" ca="1" si="142"/>
        <v>#N/A</v>
      </c>
      <c r="V670">
        <f t="shared" ca="1" si="143"/>
        <v>0</v>
      </c>
    </row>
    <row r="671" spans="2:22">
      <c r="B671">
        <f t="shared" si="147"/>
        <v>661</v>
      </c>
      <c r="C671" s="22" t="e">
        <f ca="1"/>
        <v>#N/A</v>
      </c>
      <c r="D671" s="17" t="e">
        <f ca="1"/>
        <v>#N/A</v>
      </c>
      <c r="E671" s="17" t="e">
        <f ca="1"/>
        <v>#N/A</v>
      </c>
      <c r="F671" s="23" t="e">
        <f ca="1"/>
        <v>#N/A</v>
      </c>
      <c r="G671" s="23">
        <f t="shared" ca="1" si="148"/>
        <v>0</v>
      </c>
      <c r="H671" t="b">
        <f t="shared" ca="1" si="144"/>
        <v>1</v>
      </c>
      <c r="I671" s="22" t="e">
        <f t="shared" ca="1" si="139"/>
        <v>#N/A</v>
      </c>
      <c r="J671">
        <f t="shared" ca="1" si="140"/>
        <v>0</v>
      </c>
      <c r="K671" t="e">
        <f t="shared" ca="1" si="145"/>
        <v>#N/A</v>
      </c>
      <c r="O671" s="22" t="e">
        <f t="shared" ca="1" si="141"/>
        <v>#N/A</v>
      </c>
      <c r="P671" s="17" t="e">
        <f ca="1"/>
        <v>#N/A</v>
      </c>
      <c r="Q671" s="17" t="e">
        <f ca="1"/>
        <v>#N/A</v>
      </c>
      <c r="R671" s="23" t="e">
        <f ca="1"/>
        <v>#N/A</v>
      </c>
      <c r="S671" s="23">
        <f t="shared" ca="1" si="149"/>
        <v>0</v>
      </c>
      <c r="T671" t="b">
        <f t="shared" ca="1" si="146"/>
        <v>1</v>
      </c>
      <c r="U671" s="22" t="e">
        <f t="shared" ca="1" si="142"/>
        <v>#N/A</v>
      </c>
      <c r="V671">
        <f t="shared" ca="1" si="143"/>
        <v>0</v>
      </c>
    </row>
    <row r="672" spans="2:22">
      <c r="B672">
        <f t="shared" si="147"/>
        <v>662</v>
      </c>
      <c r="C672" s="22" t="e">
        <f ca="1"/>
        <v>#N/A</v>
      </c>
      <c r="D672" s="17" t="e">
        <f ca="1"/>
        <v>#N/A</v>
      </c>
      <c r="E672" s="17" t="e">
        <f ca="1"/>
        <v>#N/A</v>
      </c>
      <c r="F672" s="23" t="e">
        <f ca="1"/>
        <v>#N/A</v>
      </c>
      <c r="G672" s="23">
        <f t="shared" ca="1" si="148"/>
        <v>0</v>
      </c>
      <c r="H672" t="b">
        <f t="shared" ca="1" si="144"/>
        <v>1</v>
      </c>
      <c r="I672" s="22" t="e">
        <f t="shared" ca="1" si="139"/>
        <v>#N/A</v>
      </c>
      <c r="J672">
        <f t="shared" ca="1" si="140"/>
        <v>0</v>
      </c>
      <c r="K672" t="e">
        <f t="shared" ca="1" si="145"/>
        <v>#N/A</v>
      </c>
      <c r="O672" s="22" t="e">
        <f t="shared" ca="1" si="141"/>
        <v>#N/A</v>
      </c>
      <c r="P672" s="17" t="e">
        <f ca="1"/>
        <v>#N/A</v>
      </c>
      <c r="Q672" s="17" t="e">
        <f ca="1"/>
        <v>#N/A</v>
      </c>
      <c r="R672" s="23" t="e">
        <f ca="1"/>
        <v>#N/A</v>
      </c>
      <c r="S672" s="23">
        <f t="shared" ca="1" si="149"/>
        <v>0</v>
      </c>
      <c r="T672" t="b">
        <f t="shared" ca="1" si="146"/>
        <v>1</v>
      </c>
      <c r="U672" s="22" t="e">
        <f t="shared" ca="1" si="142"/>
        <v>#N/A</v>
      </c>
      <c r="V672">
        <f t="shared" ca="1" si="143"/>
        <v>0</v>
      </c>
    </row>
    <row r="673" spans="2:22">
      <c r="B673">
        <f t="shared" si="147"/>
        <v>663</v>
      </c>
      <c r="C673" s="22" t="e">
        <f ca="1"/>
        <v>#N/A</v>
      </c>
      <c r="D673" s="17" t="e">
        <f ca="1"/>
        <v>#N/A</v>
      </c>
      <c r="E673" s="17" t="e">
        <f ca="1"/>
        <v>#N/A</v>
      </c>
      <c r="F673" s="23" t="e">
        <f ca="1"/>
        <v>#N/A</v>
      </c>
      <c r="G673" s="23">
        <f t="shared" ca="1" si="148"/>
        <v>0</v>
      </c>
      <c r="H673" t="b">
        <f t="shared" ca="1" si="144"/>
        <v>1</v>
      </c>
      <c r="I673" s="22" t="e">
        <f t="shared" ca="1" si="139"/>
        <v>#N/A</v>
      </c>
      <c r="J673">
        <f t="shared" ca="1" si="140"/>
        <v>0</v>
      </c>
      <c r="K673" t="e">
        <f t="shared" ca="1" si="145"/>
        <v>#N/A</v>
      </c>
      <c r="O673" s="22" t="e">
        <f t="shared" ca="1" si="141"/>
        <v>#N/A</v>
      </c>
      <c r="P673" s="17" t="e">
        <f ca="1"/>
        <v>#N/A</v>
      </c>
      <c r="Q673" s="17" t="e">
        <f ca="1"/>
        <v>#N/A</v>
      </c>
      <c r="R673" s="23" t="e">
        <f ca="1"/>
        <v>#N/A</v>
      </c>
      <c r="S673" s="23">
        <f t="shared" ca="1" si="149"/>
        <v>0</v>
      </c>
      <c r="T673" t="b">
        <f t="shared" ca="1" si="146"/>
        <v>1</v>
      </c>
      <c r="U673" s="22" t="e">
        <f t="shared" ca="1" si="142"/>
        <v>#N/A</v>
      </c>
      <c r="V673">
        <f t="shared" ca="1" si="143"/>
        <v>0</v>
      </c>
    </row>
    <row r="674" spans="2:22">
      <c r="B674">
        <f t="shared" si="147"/>
        <v>664</v>
      </c>
      <c r="C674" s="22" t="e">
        <f ca="1"/>
        <v>#N/A</v>
      </c>
      <c r="D674" s="17" t="e">
        <f ca="1"/>
        <v>#N/A</v>
      </c>
      <c r="E674" s="17" t="e">
        <f ca="1"/>
        <v>#N/A</v>
      </c>
      <c r="F674" s="23" t="e">
        <f ca="1"/>
        <v>#N/A</v>
      </c>
      <c r="G674" s="23">
        <f t="shared" ca="1" si="148"/>
        <v>0</v>
      </c>
      <c r="H674" t="b">
        <f t="shared" ca="1" si="144"/>
        <v>1</v>
      </c>
      <c r="I674" s="22" t="e">
        <f t="shared" ca="1" si="139"/>
        <v>#N/A</v>
      </c>
      <c r="J674">
        <f t="shared" ca="1" si="140"/>
        <v>0</v>
      </c>
      <c r="K674" t="e">
        <f t="shared" ca="1" si="145"/>
        <v>#N/A</v>
      </c>
      <c r="O674" s="22" t="e">
        <f t="shared" ca="1" si="141"/>
        <v>#N/A</v>
      </c>
      <c r="P674" s="17" t="e">
        <f ca="1"/>
        <v>#N/A</v>
      </c>
      <c r="Q674" s="17" t="e">
        <f ca="1"/>
        <v>#N/A</v>
      </c>
      <c r="R674" s="23" t="e">
        <f ca="1"/>
        <v>#N/A</v>
      </c>
      <c r="S674" s="23">
        <f t="shared" ca="1" si="149"/>
        <v>0</v>
      </c>
      <c r="T674" t="b">
        <f t="shared" ca="1" si="146"/>
        <v>1</v>
      </c>
      <c r="U674" s="22" t="e">
        <f t="shared" ca="1" si="142"/>
        <v>#N/A</v>
      </c>
      <c r="V674">
        <f t="shared" ca="1" si="143"/>
        <v>0</v>
      </c>
    </row>
    <row r="675" spans="2:22">
      <c r="B675">
        <f t="shared" si="147"/>
        <v>665</v>
      </c>
      <c r="C675" s="22" t="e">
        <f ca="1"/>
        <v>#N/A</v>
      </c>
      <c r="D675" s="17" t="e">
        <f ca="1"/>
        <v>#N/A</v>
      </c>
      <c r="E675" s="17" t="e">
        <f ca="1"/>
        <v>#N/A</v>
      </c>
      <c r="F675" s="23" t="e">
        <f ca="1"/>
        <v>#N/A</v>
      </c>
      <c r="G675" s="23">
        <f t="shared" ca="1" si="148"/>
        <v>0</v>
      </c>
      <c r="H675" t="b">
        <f t="shared" ca="1" si="144"/>
        <v>1</v>
      </c>
      <c r="I675" s="22" t="e">
        <f t="shared" ca="1" si="139"/>
        <v>#N/A</v>
      </c>
      <c r="J675">
        <f t="shared" ca="1" si="140"/>
        <v>0</v>
      </c>
      <c r="K675" t="e">
        <f t="shared" ca="1" si="145"/>
        <v>#N/A</v>
      </c>
      <c r="O675" s="22" t="e">
        <f t="shared" ca="1" si="141"/>
        <v>#N/A</v>
      </c>
      <c r="P675" s="17" t="e">
        <f ca="1"/>
        <v>#N/A</v>
      </c>
      <c r="Q675" s="17" t="e">
        <f ca="1"/>
        <v>#N/A</v>
      </c>
      <c r="R675" s="23" t="e">
        <f ca="1"/>
        <v>#N/A</v>
      </c>
      <c r="S675" s="23">
        <f t="shared" ca="1" si="149"/>
        <v>0</v>
      </c>
      <c r="T675" t="b">
        <f t="shared" ca="1" si="146"/>
        <v>1</v>
      </c>
      <c r="U675" s="22" t="e">
        <f t="shared" ca="1" si="142"/>
        <v>#N/A</v>
      </c>
      <c r="V675">
        <f t="shared" ca="1" si="143"/>
        <v>0</v>
      </c>
    </row>
    <row r="676" spans="2:22">
      <c r="B676">
        <f t="shared" si="147"/>
        <v>666</v>
      </c>
      <c r="C676" s="22" t="e">
        <f ca="1"/>
        <v>#N/A</v>
      </c>
      <c r="D676" s="17" t="e">
        <f ca="1"/>
        <v>#N/A</v>
      </c>
      <c r="E676" s="17" t="e">
        <f ca="1"/>
        <v>#N/A</v>
      </c>
      <c r="F676" s="23" t="e">
        <f ca="1"/>
        <v>#N/A</v>
      </c>
      <c r="G676" s="23">
        <f t="shared" ca="1" si="148"/>
        <v>0</v>
      </c>
      <c r="H676" t="b">
        <f t="shared" ca="1" si="144"/>
        <v>1</v>
      </c>
      <c r="I676" s="22" t="e">
        <f t="shared" ca="1" si="139"/>
        <v>#N/A</v>
      </c>
      <c r="J676">
        <f t="shared" ca="1" si="140"/>
        <v>0</v>
      </c>
      <c r="K676" t="e">
        <f t="shared" ca="1" si="145"/>
        <v>#N/A</v>
      </c>
      <c r="O676" s="22" t="e">
        <f t="shared" ca="1" si="141"/>
        <v>#N/A</v>
      </c>
      <c r="P676" s="17" t="e">
        <f ca="1"/>
        <v>#N/A</v>
      </c>
      <c r="Q676" s="17" t="e">
        <f ca="1"/>
        <v>#N/A</v>
      </c>
      <c r="R676" s="23" t="e">
        <f ca="1"/>
        <v>#N/A</v>
      </c>
      <c r="S676" s="23">
        <f t="shared" ca="1" si="149"/>
        <v>0</v>
      </c>
      <c r="T676" t="b">
        <f t="shared" ca="1" si="146"/>
        <v>1</v>
      </c>
      <c r="U676" s="22" t="e">
        <f t="shared" ca="1" si="142"/>
        <v>#N/A</v>
      </c>
      <c r="V676">
        <f t="shared" ca="1" si="143"/>
        <v>0</v>
      </c>
    </row>
    <row r="677" spans="2:22">
      <c r="B677">
        <f t="shared" si="147"/>
        <v>667</v>
      </c>
      <c r="C677" s="22" t="e">
        <f ca="1"/>
        <v>#N/A</v>
      </c>
      <c r="D677" s="17" t="e">
        <f ca="1"/>
        <v>#N/A</v>
      </c>
      <c r="E677" s="17" t="e">
        <f ca="1"/>
        <v>#N/A</v>
      </c>
      <c r="F677" s="23" t="e">
        <f ca="1"/>
        <v>#N/A</v>
      </c>
      <c r="G677" s="23">
        <f t="shared" ca="1" si="148"/>
        <v>0</v>
      </c>
      <c r="H677" t="b">
        <f t="shared" ca="1" si="144"/>
        <v>1</v>
      </c>
      <c r="I677" s="22" t="e">
        <f t="shared" ca="1" si="139"/>
        <v>#N/A</v>
      </c>
      <c r="J677">
        <f t="shared" ca="1" si="140"/>
        <v>0</v>
      </c>
      <c r="K677" t="e">
        <f t="shared" ca="1" si="145"/>
        <v>#N/A</v>
      </c>
      <c r="O677" s="22" t="e">
        <f t="shared" ca="1" si="141"/>
        <v>#N/A</v>
      </c>
      <c r="P677" s="17" t="e">
        <f ca="1"/>
        <v>#N/A</v>
      </c>
      <c r="Q677" s="17" t="e">
        <f ca="1"/>
        <v>#N/A</v>
      </c>
      <c r="R677" s="23" t="e">
        <f ca="1"/>
        <v>#N/A</v>
      </c>
      <c r="S677" s="23">
        <f t="shared" ca="1" si="149"/>
        <v>0</v>
      </c>
      <c r="T677" t="b">
        <f t="shared" ca="1" si="146"/>
        <v>1</v>
      </c>
      <c r="U677" s="22" t="e">
        <f t="shared" ca="1" si="142"/>
        <v>#N/A</v>
      </c>
      <c r="V677">
        <f t="shared" ca="1" si="143"/>
        <v>0</v>
      </c>
    </row>
    <row r="678" spans="2:22">
      <c r="B678">
        <f t="shared" si="147"/>
        <v>668</v>
      </c>
      <c r="C678" s="22" t="e">
        <f ca="1"/>
        <v>#N/A</v>
      </c>
      <c r="D678" s="17" t="e">
        <f ca="1"/>
        <v>#N/A</v>
      </c>
      <c r="E678" s="17" t="e">
        <f ca="1"/>
        <v>#N/A</v>
      </c>
      <c r="F678" s="23" t="e">
        <f ca="1"/>
        <v>#N/A</v>
      </c>
      <c r="G678" s="23">
        <f t="shared" ca="1" si="148"/>
        <v>0</v>
      </c>
      <c r="H678" t="b">
        <f t="shared" ca="1" si="144"/>
        <v>1</v>
      </c>
      <c r="I678" s="22" t="e">
        <f t="shared" ca="1" si="139"/>
        <v>#N/A</v>
      </c>
      <c r="J678">
        <f t="shared" ca="1" si="140"/>
        <v>0</v>
      </c>
      <c r="K678" t="e">
        <f t="shared" ca="1" si="145"/>
        <v>#N/A</v>
      </c>
      <c r="O678" s="22" t="e">
        <f t="shared" ca="1" si="141"/>
        <v>#N/A</v>
      </c>
      <c r="P678" s="17" t="e">
        <f ca="1"/>
        <v>#N/A</v>
      </c>
      <c r="Q678" s="17" t="e">
        <f ca="1"/>
        <v>#N/A</v>
      </c>
      <c r="R678" s="23" t="e">
        <f ca="1"/>
        <v>#N/A</v>
      </c>
      <c r="S678" s="23">
        <f t="shared" ca="1" si="149"/>
        <v>0</v>
      </c>
      <c r="T678" t="b">
        <f t="shared" ca="1" si="146"/>
        <v>1</v>
      </c>
      <c r="U678" s="22" t="e">
        <f t="shared" ca="1" si="142"/>
        <v>#N/A</v>
      </c>
      <c r="V678">
        <f t="shared" ca="1" si="143"/>
        <v>0</v>
      </c>
    </row>
    <row r="679" spans="2:22">
      <c r="B679">
        <f t="shared" si="147"/>
        <v>669</v>
      </c>
      <c r="C679" s="22" t="e">
        <f ca="1"/>
        <v>#N/A</v>
      </c>
      <c r="D679" s="17" t="e">
        <f ca="1"/>
        <v>#N/A</v>
      </c>
      <c r="E679" s="17" t="e">
        <f ca="1"/>
        <v>#N/A</v>
      </c>
      <c r="F679" s="23" t="e">
        <f ca="1"/>
        <v>#N/A</v>
      </c>
      <c r="G679" s="23">
        <f t="shared" ca="1" si="148"/>
        <v>0</v>
      </c>
      <c r="H679" t="b">
        <f t="shared" ca="1" si="144"/>
        <v>1</v>
      </c>
      <c r="I679" s="22" t="e">
        <f t="shared" ca="1" si="139"/>
        <v>#N/A</v>
      </c>
      <c r="J679">
        <f t="shared" ca="1" si="140"/>
        <v>0</v>
      </c>
      <c r="K679" t="e">
        <f t="shared" ca="1" si="145"/>
        <v>#N/A</v>
      </c>
      <c r="O679" s="22" t="e">
        <f t="shared" ca="1" si="141"/>
        <v>#N/A</v>
      </c>
      <c r="P679" s="17" t="e">
        <f ca="1"/>
        <v>#N/A</v>
      </c>
      <c r="Q679" s="17" t="e">
        <f ca="1"/>
        <v>#N/A</v>
      </c>
      <c r="R679" s="23" t="e">
        <f ca="1"/>
        <v>#N/A</v>
      </c>
      <c r="S679" s="23">
        <f t="shared" ca="1" si="149"/>
        <v>0</v>
      </c>
      <c r="T679" t="b">
        <f t="shared" ca="1" si="146"/>
        <v>1</v>
      </c>
      <c r="U679" s="22" t="e">
        <f t="shared" ca="1" si="142"/>
        <v>#N/A</v>
      </c>
      <c r="V679">
        <f t="shared" ca="1" si="143"/>
        <v>0</v>
      </c>
    </row>
    <row r="680" spans="2:22">
      <c r="B680">
        <f t="shared" si="147"/>
        <v>670</v>
      </c>
      <c r="C680" s="22" t="e">
        <f ca="1"/>
        <v>#N/A</v>
      </c>
      <c r="D680" s="17" t="e">
        <f ca="1"/>
        <v>#N/A</v>
      </c>
      <c r="E680" s="17" t="e">
        <f ca="1"/>
        <v>#N/A</v>
      </c>
      <c r="F680" s="23" t="e">
        <f ca="1"/>
        <v>#N/A</v>
      </c>
      <c r="G680" s="23">
        <f t="shared" ca="1" si="148"/>
        <v>0</v>
      </c>
      <c r="H680" t="b">
        <f t="shared" ca="1" si="144"/>
        <v>1</v>
      </c>
      <c r="I680" s="22" t="e">
        <f t="shared" ca="1" si="139"/>
        <v>#N/A</v>
      </c>
      <c r="J680">
        <f t="shared" ca="1" si="140"/>
        <v>0</v>
      </c>
      <c r="K680" t="e">
        <f t="shared" ca="1" si="145"/>
        <v>#N/A</v>
      </c>
      <c r="O680" s="22" t="e">
        <f t="shared" ca="1" si="141"/>
        <v>#N/A</v>
      </c>
      <c r="P680" s="17" t="e">
        <f ca="1"/>
        <v>#N/A</v>
      </c>
      <c r="Q680" s="17" t="e">
        <f ca="1"/>
        <v>#N/A</v>
      </c>
      <c r="R680" s="23" t="e">
        <f ca="1"/>
        <v>#N/A</v>
      </c>
      <c r="S680" s="23">
        <f t="shared" ca="1" si="149"/>
        <v>0</v>
      </c>
      <c r="T680" t="b">
        <f t="shared" ca="1" si="146"/>
        <v>1</v>
      </c>
      <c r="U680" s="22" t="e">
        <f t="shared" ca="1" si="142"/>
        <v>#N/A</v>
      </c>
      <c r="V680">
        <f t="shared" ca="1" si="143"/>
        <v>0</v>
      </c>
    </row>
    <row r="681" spans="2:22">
      <c r="B681">
        <f t="shared" si="147"/>
        <v>671</v>
      </c>
      <c r="C681" s="22" t="e">
        <f ca="1"/>
        <v>#N/A</v>
      </c>
      <c r="D681" s="17" t="e">
        <f ca="1"/>
        <v>#N/A</v>
      </c>
      <c r="E681" s="17" t="e">
        <f ca="1"/>
        <v>#N/A</v>
      </c>
      <c r="F681" s="23" t="e">
        <f ca="1"/>
        <v>#N/A</v>
      </c>
      <c r="G681" s="23">
        <f t="shared" ca="1" si="148"/>
        <v>0</v>
      </c>
      <c r="H681" t="b">
        <f t="shared" ca="1" si="144"/>
        <v>1</v>
      </c>
      <c r="I681" s="22" t="e">
        <f t="shared" ca="1" si="139"/>
        <v>#N/A</v>
      </c>
      <c r="J681">
        <f t="shared" ca="1" si="140"/>
        <v>0</v>
      </c>
      <c r="K681" t="e">
        <f t="shared" ca="1" si="145"/>
        <v>#N/A</v>
      </c>
      <c r="O681" s="22" t="e">
        <f t="shared" ca="1" si="141"/>
        <v>#N/A</v>
      </c>
      <c r="P681" s="17" t="e">
        <f ca="1"/>
        <v>#N/A</v>
      </c>
      <c r="Q681" s="17" t="e">
        <f ca="1"/>
        <v>#N/A</v>
      </c>
      <c r="R681" s="23" t="e">
        <f ca="1"/>
        <v>#N/A</v>
      </c>
      <c r="S681" s="23">
        <f t="shared" ca="1" si="149"/>
        <v>0</v>
      </c>
      <c r="T681" t="b">
        <f t="shared" ca="1" si="146"/>
        <v>1</v>
      </c>
      <c r="U681" s="22" t="e">
        <f t="shared" ca="1" si="142"/>
        <v>#N/A</v>
      </c>
      <c r="V681">
        <f t="shared" ca="1" si="143"/>
        <v>0</v>
      </c>
    </row>
    <row r="682" spans="2:22">
      <c r="B682">
        <f t="shared" si="147"/>
        <v>672</v>
      </c>
      <c r="C682" s="22" t="e">
        <f ca="1"/>
        <v>#N/A</v>
      </c>
      <c r="D682" s="17" t="e">
        <f ca="1"/>
        <v>#N/A</v>
      </c>
      <c r="E682" s="17" t="e">
        <f ca="1"/>
        <v>#N/A</v>
      </c>
      <c r="F682" s="23" t="e">
        <f ca="1"/>
        <v>#N/A</v>
      </c>
      <c r="G682" s="23">
        <f t="shared" ca="1" si="148"/>
        <v>0</v>
      </c>
      <c r="H682" t="b">
        <f t="shared" ca="1" si="144"/>
        <v>1</v>
      </c>
      <c r="I682" s="22" t="e">
        <f t="shared" ca="1" si="139"/>
        <v>#N/A</v>
      </c>
      <c r="J682">
        <f t="shared" ca="1" si="140"/>
        <v>0</v>
      </c>
      <c r="K682" t="e">
        <f t="shared" ca="1" si="145"/>
        <v>#N/A</v>
      </c>
      <c r="O682" s="22" t="e">
        <f t="shared" ca="1" si="141"/>
        <v>#N/A</v>
      </c>
      <c r="P682" s="17" t="e">
        <f ca="1"/>
        <v>#N/A</v>
      </c>
      <c r="Q682" s="17" t="e">
        <f ca="1"/>
        <v>#N/A</v>
      </c>
      <c r="R682" s="23" t="e">
        <f ca="1"/>
        <v>#N/A</v>
      </c>
      <c r="S682" s="23">
        <f t="shared" ca="1" si="149"/>
        <v>0</v>
      </c>
      <c r="T682" t="b">
        <f t="shared" ca="1" si="146"/>
        <v>1</v>
      </c>
      <c r="U682" s="22" t="e">
        <f t="shared" ca="1" si="142"/>
        <v>#N/A</v>
      </c>
      <c r="V682">
        <f t="shared" ca="1" si="143"/>
        <v>0</v>
      </c>
    </row>
    <row r="683" spans="2:22">
      <c r="B683">
        <f t="shared" si="147"/>
        <v>673</v>
      </c>
      <c r="C683" s="22" t="e">
        <f ca="1"/>
        <v>#N/A</v>
      </c>
      <c r="D683" s="17" t="e">
        <f ca="1"/>
        <v>#N/A</v>
      </c>
      <c r="E683" s="17" t="e">
        <f ca="1"/>
        <v>#N/A</v>
      </c>
      <c r="F683" s="23" t="e">
        <f ca="1"/>
        <v>#N/A</v>
      </c>
      <c r="G683" s="23">
        <f t="shared" ca="1" si="148"/>
        <v>0</v>
      </c>
      <c r="H683" t="b">
        <f t="shared" ca="1" si="144"/>
        <v>1</v>
      </c>
      <c r="I683" s="22" t="e">
        <f t="shared" ca="1" si="139"/>
        <v>#N/A</v>
      </c>
      <c r="J683">
        <f t="shared" ca="1" si="140"/>
        <v>0</v>
      </c>
      <c r="K683" t="e">
        <f t="shared" ca="1" si="145"/>
        <v>#N/A</v>
      </c>
      <c r="O683" s="22" t="e">
        <f t="shared" ca="1" si="141"/>
        <v>#N/A</v>
      </c>
      <c r="P683" s="17" t="e">
        <f ca="1"/>
        <v>#N/A</v>
      </c>
      <c r="Q683" s="17" t="e">
        <f ca="1"/>
        <v>#N/A</v>
      </c>
      <c r="R683" s="23" t="e">
        <f ca="1"/>
        <v>#N/A</v>
      </c>
      <c r="S683" s="23">
        <f t="shared" ca="1" si="149"/>
        <v>0</v>
      </c>
      <c r="T683" t="b">
        <f t="shared" ca="1" si="146"/>
        <v>1</v>
      </c>
      <c r="U683" s="22" t="e">
        <f t="shared" ca="1" si="142"/>
        <v>#N/A</v>
      </c>
      <c r="V683">
        <f t="shared" ca="1" si="143"/>
        <v>0</v>
      </c>
    </row>
    <row r="684" spans="2:22">
      <c r="B684">
        <f t="shared" si="147"/>
        <v>674</v>
      </c>
      <c r="C684" s="22" t="e">
        <f ca="1"/>
        <v>#N/A</v>
      </c>
      <c r="D684" s="17" t="e">
        <f ca="1"/>
        <v>#N/A</v>
      </c>
      <c r="E684" s="17" t="e">
        <f ca="1"/>
        <v>#N/A</v>
      </c>
      <c r="F684" s="23" t="e">
        <f ca="1"/>
        <v>#N/A</v>
      </c>
      <c r="G684" s="23">
        <f t="shared" ca="1" si="148"/>
        <v>0</v>
      </c>
      <c r="H684" t="b">
        <f t="shared" ca="1" si="144"/>
        <v>1</v>
      </c>
      <c r="I684" s="22" t="e">
        <f t="shared" ca="1" si="139"/>
        <v>#N/A</v>
      </c>
      <c r="J684">
        <f t="shared" ca="1" si="140"/>
        <v>0</v>
      </c>
      <c r="K684" t="e">
        <f t="shared" ca="1" si="145"/>
        <v>#N/A</v>
      </c>
      <c r="O684" s="22" t="e">
        <f t="shared" ca="1" si="141"/>
        <v>#N/A</v>
      </c>
      <c r="P684" s="17" t="e">
        <f ca="1"/>
        <v>#N/A</v>
      </c>
      <c r="Q684" s="17" t="e">
        <f ca="1"/>
        <v>#N/A</v>
      </c>
      <c r="R684" s="23" t="e">
        <f ca="1"/>
        <v>#N/A</v>
      </c>
      <c r="S684" s="23">
        <f t="shared" ca="1" si="149"/>
        <v>0</v>
      </c>
      <c r="T684" t="b">
        <f t="shared" ca="1" si="146"/>
        <v>1</v>
      </c>
      <c r="U684" s="22" t="e">
        <f t="shared" ca="1" si="142"/>
        <v>#N/A</v>
      </c>
      <c r="V684">
        <f t="shared" ca="1" si="143"/>
        <v>0</v>
      </c>
    </row>
    <row r="685" spans="2:22">
      <c r="B685">
        <f t="shared" si="147"/>
        <v>675</v>
      </c>
      <c r="C685" s="22" t="e">
        <f ca="1"/>
        <v>#N/A</v>
      </c>
      <c r="D685" s="17" t="e">
        <f ca="1"/>
        <v>#N/A</v>
      </c>
      <c r="E685" s="17" t="e">
        <f ca="1"/>
        <v>#N/A</v>
      </c>
      <c r="F685" s="23" t="e">
        <f ca="1"/>
        <v>#N/A</v>
      </c>
      <c r="G685" s="23">
        <f t="shared" ca="1" si="148"/>
        <v>0</v>
      </c>
      <c r="H685" t="b">
        <f t="shared" ca="1" si="144"/>
        <v>1</v>
      </c>
      <c r="I685" s="22" t="e">
        <f t="shared" ca="1" si="139"/>
        <v>#N/A</v>
      </c>
      <c r="J685">
        <f t="shared" ca="1" si="140"/>
        <v>0</v>
      </c>
      <c r="K685" t="e">
        <f t="shared" ca="1" si="145"/>
        <v>#N/A</v>
      </c>
      <c r="O685" s="22" t="e">
        <f t="shared" ca="1" si="141"/>
        <v>#N/A</v>
      </c>
      <c r="P685" s="17" t="e">
        <f ca="1"/>
        <v>#N/A</v>
      </c>
      <c r="Q685" s="17" t="e">
        <f ca="1"/>
        <v>#N/A</v>
      </c>
      <c r="R685" s="23" t="e">
        <f ca="1"/>
        <v>#N/A</v>
      </c>
      <c r="S685" s="23">
        <f t="shared" ca="1" si="149"/>
        <v>0</v>
      </c>
      <c r="T685" t="b">
        <f t="shared" ca="1" si="146"/>
        <v>1</v>
      </c>
      <c r="U685" s="22" t="e">
        <f t="shared" ca="1" si="142"/>
        <v>#N/A</v>
      </c>
      <c r="V685">
        <f t="shared" ca="1" si="143"/>
        <v>0</v>
      </c>
    </row>
    <row r="686" spans="2:22">
      <c r="B686">
        <f t="shared" si="147"/>
        <v>676</v>
      </c>
      <c r="C686" s="22" t="e">
        <f ca="1"/>
        <v>#N/A</v>
      </c>
      <c r="D686" s="17" t="e">
        <f ca="1"/>
        <v>#N/A</v>
      </c>
      <c r="E686" s="17" t="e">
        <f ca="1"/>
        <v>#N/A</v>
      </c>
      <c r="F686" s="23" t="e">
        <f ca="1"/>
        <v>#N/A</v>
      </c>
      <c r="G686" s="23">
        <f t="shared" ca="1" si="148"/>
        <v>0</v>
      </c>
      <c r="H686" t="b">
        <f t="shared" ca="1" si="144"/>
        <v>1</v>
      </c>
      <c r="I686" s="22" t="e">
        <f t="shared" ca="1" si="139"/>
        <v>#N/A</v>
      </c>
      <c r="J686">
        <f t="shared" ca="1" si="140"/>
        <v>0</v>
      </c>
      <c r="K686" t="e">
        <f t="shared" ca="1" si="145"/>
        <v>#N/A</v>
      </c>
      <c r="O686" s="22" t="e">
        <f t="shared" ca="1" si="141"/>
        <v>#N/A</v>
      </c>
      <c r="P686" s="17" t="e">
        <f ca="1"/>
        <v>#N/A</v>
      </c>
      <c r="Q686" s="17" t="e">
        <f ca="1"/>
        <v>#N/A</v>
      </c>
      <c r="R686" s="23" t="e">
        <f ca="1"/>
        <v>#N/A</v>
      </c>
      <c r="S686" s="23">
        <f t="shared" ca="1" si="149"/>
        <v>0</v>
      </c>
      <c r="T686" t="b">
        <f t="shared" ca="1" si="146"/>
        <v>1</v>
      </c>
      <c r="U686" s="22" t="e">
        <f t="shared" ca="1" si="142"/>
        <v>#N/A</v>
      </c>
      <c r="V686">
        <f t="shared" ca="1" si="143"/>
        <v>0</v>
      </c>
    </row>
    <row r="687" spans="2:22">
      <c r="B687">
        <f t="shared" si="147"/>
        <v>677</v>
      </c>
      <c r="C687" s="22" t="e">
        <f ca="1"/>
        <v>#N/A</v>
      </c>
      <c r="D687" s="17" t="e">
        <f ca="1"/>
        <v>#N/A</v>
      </c>
      <c r="E687" s="17" t="e">
        <f ca="1"/>
        <v>#N/A</v>
      </c>
      <c r="F687" s="23" t="e">
        <f ca="1"/>
        <v>#N/A</v>
      </c>
      <c r="G687" s="23">
        <f t="shared" ca="1" si="148"/>
        <v>0</v>
      </c>
      <c r="H687" t="b">
        <f t="shared" ca="1" si="144"/>
        <v>1</v>
      </c>
      <c r="I687" s="22" t="e">
        <f t="shared" ca="1" si="139"/>
        <v>#N/A</v>
      </c>
      <c r="J687">
        <f t="shared" ca="1" si="140"/>
        <v>0</v>
      </c>
      <c r="K687" t="e">
        <f t="shared" ca="1" si="145"/>
        <v>#N/A</v>
      </c>
      <c r="O687" s="22" t="e">
        <f t="shared" ca="1" si="141"/>
        <v>#N/A</v>
      </c>
      <c r="P687" s="17" t="e">
        <f ca="1"/>
        <v>#N/A</v>
      </c>
      <c r="Q687" s="17" t="e">
        <f ca="1"/>
        <v>#N/A</v>
      </c>
      <c r="R687" s="23" t="e">
        <f ca="1"/>
        <v>#N/A</v>
      </c>
      <c r="S687" s="23">
        <f t="shared" ca="1" si="149"/>
        <v>0</v>
      </c>
      <c r="T687" t="b">
        <f t="shared" ca="1" si="146"/>
        <v>1</v>
      </c>
      <c r="U687" s="22" t="e">
        <f t="shared" ca="1" si="142"/>
        <v>#N/A</v>
      </c>
      <c r="V687">
        <f t="shared" ca="1" si="143"/>
        <v>0</v>
      </c>
    </row>
    <row r="688" spans="2:22">
      <c r="B688">
        <f t="shared" si="147"/>
        <v>678</v>
      </c>
      <c r="C688" s="22" t="e">
        <f ca="1"/>
        <v>#N/A</v>
      </c>
      <c r="D688" s="17" t="e">
        <f ca="1"/>
        <v>#N/A</v>
      </c>
      <c r="E688" s="17" t="e">
        <f ca="1"/>
        <v>#N/A</v>
      </c>
      <c r="F688" s="23" t="e">
        <f ca="1"/>
        <v>#N/A</v>
      </c>
      <c r="G688" s="23">
        <f t="shared" ca="1" si="148"/>
        <v>0</v>
      </c>
      <c r="H688" t="b">
        <f t="shared" ca="1" si="144"/>
        <v>1</v>
      </c>
      <c r="I688" s="22" t="e">
        <f t="shared" ca="1" si="139"/>
        <v>#N/A</v>
      </c>
      <c r="J688">
        <f t="shared" ca="1" si="140"/>
        <v>0</v>
      </c>
      <c r="K688" t="e">
        <f t="shared" ca="1" si="145"/>
        <v>#N/A</v>
      </c>
      <c r="O688" s="22" t="e">
        <f t="shared" ca="1" si="141"/>
        <v>#N/A</v>
      </c>
      <c r="P688" s="17" t="e">
        <f ca="1"/>
        <v>#N/A</v>
      </c>
      <c r="Q688" s="17" t="e">
        <f ca="1"/>
        <v>#N/A</v>
      </c>
      <c r="R688" s="23" t="e">
        <f ca="1"/>
        <v>#N/A</v>
      </c>
      <c r="S688" s="23">
        <f t="shared" ca="1" si="149"/>
        <v>0</v>
      </c>
      <c r="T688" t="b">
        <f t="shared" ca="1" si="146"/>
        <v>1</v>
      </c>
      <c r="U688" s="22" t="e">
        <f t="shared" ca="1" si="142"/>
        <v>#N/A</v>
      </c>
      <c r="V688">
        <f t="shared" ca="1" si="143"/>
        <v>0</v>
      </c>
    </row>
    <row r="689" spans="2:22">
      <c r="B689">
        <f t="shared" si="147"/>
        <v>679</v>
      </c>
      <c r="C689" s="22" t="e">
        <f ca="1"/>
        <v>#N/A</v>
      </c>
      <c r="D689" s="17" t="e">
        <f ca="1"/>
        <v>#N/A</v>
      </c>
      <c r="E689" s="17" t="e">
        <f ca="1"/>
        <v>#N/A</v>
      </c>
      <c r="F689" s="23" t="e">
        <f ca="1"/>
        <v>#N/A</v>
      </c>
      <c r="G689" s="23">
        <f t="shared" ca="1" si="148"/>
        <v>0</v>
      </c>
      <c r="H689" t="b">
        <f t="shared" ca="1" si="144"/>
        <v>1</v>
      </c>
      <c r="I689" s="22" t="e">
        <f t="shared" ca="1" si="139"/>
        <v>#N/A</v>
      </c>
      <c r="J689">
        <f t="shared" ca="1" si="140"/>
        <v>0</v>
      </c>
      <c r="K689" t="e">
        <f t="shared" ca="1" si="145"/>
        <v>#N/A</v>
      </c>
      <c r="O689" s="22" t="e">
        <f t="shared" ca="1" si="141"/>
        <v>#N/A</v>
      </c>
      <c r="P689" s="17" t="e">
        <f ca="1"/>
        <v>#N/A</v>
      </c>
      <c r="Q689" s="17" t="e">
        <f ca="1"/>
        <v>#N/A</v>
      </c>
      <c r="R689" s="23" t="e">
        <f ca="1"/>
        <v>#N/A</v>
      </c>
      <c r="S689" s="23">
        <f t="shared" ca="1" si="149"/>
        <v>0</v>
      </c>
      <c r="T689" t="b">
        <f t="shared" ca="1" si="146"/>
        <v>1</v>
      </c>
      <c r="U689" s="22" t="e">
        <f t="shared" ca="1" si="142"/>
        <v>#N/A</v>
      </c>
      <c r="V689">
        <f t="shared" ca="1" si="143"/>
        <v>0</v>
      </c>
    </row>
    <row r="690" spans="2:22">
      <c r="B690">
        <f t="shared" si="147"/>
        <v>680</v>
      </c>
      <c r="C690" s="22" t="e">
        <f ca="1"/>
        <v>#N/A</v>
      </c>
      <c r="D690" s="17" t="e">
        <f ca="1"/>
        <v>#N/A</v>
      </c>
      <c r="E690" s="17" t="e">
        <f ca="1"/>
        <v>#N/A</v>
      </c>
      <c r="F690" s="23" t="e">
        <f ca="1"/>
        <v>#N/A</v>
      </c>
      <c r="G690" s="23">
        <f t="shared" ca="1" si="148"/>
        <v>0</v>
      </c>
      <c r="H690" t="b">
        <f t="shared" ca="1" si="144"/>
        <v>1</v>
      </c>
      <c r="I690" s="22" t="e">
        <f t="shared" ca="1" si="139"/>
        <v>#N/A</v>
      </c>
      <c r="J690">
        <f t="shared" ca="1" si="140"/>
        <v>0</v>
      </c>
      <c r="K690" t="e">
        <f t="shared" ca="1" si="145"/>
        <v>#N/A</v>
      </c>
      <c r="O690" s="22" t="e">
        <f t="shared" ca="1" si="141"/>
        <v>#N/A</v>
      </c>
      <c r="P690" s="17" t="e">
        <f ca="1"/>
        <v>#N/A</v>
      </c>
      <c r="Q690" s="17" t="e">
        <f ca="1"/>
        <v>#N/A</v>
      </c>
      <c r="R690" s="23" t="e">
        <f ca="1"/>
        <v>#N/A</v>
      </c>
      <c r="S690" s="23">
        <f t="shared" ca="1" si="149"/>
        <v>0</v>
      </c>
      <c r="T690" t="b">
        <f t="shared" ca="1" si="146"/>
        <v>1</v>
      </c>
      <c r="U690" s="22" t="e">
        <f t="shared" ca="1" si="142"/>
        <v>#N/A</v>
      </c>
      <c r="V690">
        <f t="shared" ca="1" si="143"/>
        <v>0</v>
      </c>
    </row>
    <row r="691" spans="2:22">
      <c r="B691">
        <f t="shared" si="147"/>
        <v>681</v>
      </c>
      <c r="C691" s="22" t="e">
        <f ca="1"/>
        <v>#N/A</v>
      </c>
      <c r="D691" s="17" t="e">
        <f ca="1"/>
        <v>#N/A</v>
      </c>
      <c r="E691" s="17" t="e">
        <f ca="1"/>
        <v>#N/A</v>
      </c>
      <c r="F691" s="23" t="e">
        <f ca="1"/>
        <v>#N/A</v>
      </c>
      <c r="G691" s="23">
        <f t="shared" ca="1" si="148"/>
        <v>0</v>
      </c>
      <c r="H691" t="b">
        <f t="shared" ca="1" si="144"/>
        <v>1</v>
      </c>
      <c r="I691" s="22" t="e">
        <f t="shared" ca="1" si="139"/>
        <v>#N/A</v>
      </c>
      <c r="J691">
        <f t="shared" ca="1" si="140"/>
        <v>0</v>
      </c>
      <c r="K691" t="e">
        <f t="shared" ca="1" si="145"/>
        <v>#N/A</v>
      </c>
      <c r="O691" s="22" t="e">
        <f t="shared" ca="1" si="141"/>
        <v>#N/A</v>
      </c>
      <c r="P691" s="17" t="e">
        <f ca="1"/>
        <v>#N/A</v>
      </c>
      <c r="Q691" s="17" t="e">
        <f ca="1"/>
        <v>#N/A</v>
      </c>
      <c r="R691" s="23" t="e">
        <f ca="1"/>
        <v>#N/A</v>
      </c>
      <c r="S691" s="23">
        <f t="shared" ca="1" si="149"/>
        <v>0</v>
      </c>
      <c r="T691" t="b">
        <f t="shared" ca="1" si="146"/>
        <v>1</v>
      </c>
      <c r="U691" s="22" t="e">
        <f t="shared" ca="1" si="142"/>
        <v>#N/A</v>
      </c>
      <c r="V691">
        <f t="shared" ca="1" si="143"/>
        <v>0</v>
      </c>
    </row>
    <row r="692" spans="2:22">
      <c r="B692">
        <f t="shared" si="147"/>
        <v>682</v>
      </c>
      <c r="C692" s="22" t="e">
        <f ca="1"/>
        <v>#N/A</v>
      </c>
      <c r="D692" s="17" t="e">
        <f ca="1"/>
        <v>#N/A</v>
      </c>
      <c r="E692" s="17" t="e">
        <f ca="1"/>
        <v>#N/A</v>
      </c>
      <c r="F692" s="23" t="e">
        <f ca="1"/>
        <v>#N/A</v>
      </c>
      <c r="G692" s="23">
        <f t="shared" ca="1" si="148"/>
        <v>0</v>
      </c>
      <c r="H692" t="b">
        <f t="shared" ca="1" si="144"/>
        <v>1</v>
      </c>
      <c r="I692" s="22" t="e">
        <f t="shared" ca="1" si="139"/>
        <v>#N/A</v>
      </c>
      <c r="J692">
        <f t="shared" ca="1" si="140"/>
        <v>0</v>
      </c>
      <c r="K692" t="e">
        <f t="shared" ca="1" si="145"/>
        <v>#N/A</v>
      </c>
      <c r="O692" s="22" t="e">
        <f t="shared" ca="1" si="141"/>
        <v>#N/A</v>
      </c>
      <c r="P692" s="17" t="e">
        <f ca="1"/>
        <v>#N/A</v>
      </c>
      <c r="Q692" s="17" t="e">
        <f ca="1"/>
        <v>#N/A</v>
      </c>
      <c r="R692" s="23" t="e">
        <f ca="1"/>
        <v>#N/A</v>
      </c>
      <c r="S692" s="23">
        <f t="shared" ca="1" si="149"/>
        <v>0</v>
      </c>
      <c r="T692" t="b">
        <f t="shared" ca="1" si="146"/>
        <v>1</v>
      </c>
      <c r="U692" s="22" t="e">
        <f t="shared" ca="1" si="142"/>
        <v>#N/A</v>
      </c>
      <c r="V692">
        <f t="shared" ca="1" si="143"/>
        <v>0</v>
      </c>
    </row>
    <row r="693" spans="2:22">
      <c r="B693">
        <f t="shared" si="147"/>
        <v>683</v>
      </c>
      <c r="C693" s="22" t="e">
        <f ca="1"/>
        <v>#N/A</v>
      </c>
      <c r="D693" s="17" t="e">
        <f ca="1"/>
        <v>#N/A</v>
      </c>
      <c r="E693" s="17" t="e">
        <f ca="1"/>
        <v>#N/A</v>
      </c>
      <c r="F693" s="23" t="e">
        <f ca="1"/>
        <v>#N/A</v>
      </c>
      <c r="G693" s="23">
        <f t="shared" ca="1" si="148"/>
        <v>0</v>
      </c>
      <c r="H693" t="b">
        <f t="shared" ca="1" si="144"/>
        <v>1</v>
      </c>
      <c r="I693" s="22" t="e">
        <f t="shared" ca="1" si="139"/>
        <v>#N/A</v>
      </c>
      <c r="J693">
        <f t="shared" ca="1" si="140"/>
        <v>0</v>
      </c>
      <c r="K693" t="e">
        <f t="shared" ca="1" si="145"/>
        <v>#N/A</v>
      </c>
      <c r="O693" s="22" t="e">
        <f t="shared" ca="1" si="141"/>
        <v>#N/A</v>
      </c>
      <c r="P693" s="17" t="e">
        <f ca="1"/>
        <v>#N/A</v>
      </c>
      <c r="Q693" s="17" t="e">
        <f ca="1"/>
        <v>#N/A</v>
      </c>
      <c r="R693" s="23" t="e">
        <f ca="1"/>
        <v>#N/A</v>
      </c>
      <c r="S693" s="23">
        <f t="shared" ca="1" si="149"/>
        <v>0</v>
      </c>
      <c r="T693" t="b">
        <f t="shared" ca="1" si="146"/>
        <v>1</v>
      </c>
      <c r="U693" s="22" t="e">
        <f t="shared" ca="1" si="142"/>
        <v>#N/A</v>
      </c>
      <c r="V693">
        <f t="shared" ca="1" si="143"/>
        <v>0</v>
      </c>
    </row>
    <row r="694" spans="2:22">
      <c r="B694">
        <f t="shared" si="147"/>
        <v>684</v>
      </c>
      <c r="C694" s="22" t="e">
        <f ca="1"/>
        <v>#N/A</v>
      </c>
      <c r="D694" s="17" t="e">
        <f ca="1"/>
        <v>#N/A</v>
      </c>
      <c r="E694" s="17" t="e">
        <f ca="1"/>
        <v>#N/A</v>
      </c>
      <c r="F694" s="23" t="e">
        <f ca="1"/>
        <v>#N/A</v>
      </c>
      <c r="G694" s="23">
        <f t="shared" ca="1" si="148"/>
        <v>0</v>
      </c>
      <c r="H694" t="b">
        <f t="shared" ca="1" si="144"/>
        <v>1</v>
      </c>
      <c r="I694" s="22" t="e">
        <f t="shared" ca="1" si="139"/>
        <v>#N/A</v>
      </c>
      <c r="J694">
        <f t="shared" ca="1" si="140"/>
        <v>0</v>
      </c>
      <c r="K694" t="e">
        <f t="shared" ca="1" si="145"/>
        <v>#N/A</v>
      </c>
      <c r="O694" s="22" t="e">
        <f t="shared" ca="1" si="141"/>
        <v>#N/A</v>
      </c>
      <c r="P694" s="17" t="e">
        <f ca="1"/>
        <v>#N/A</v>
      </c>
      <c r="Q694" s="17" t="e">
        <f ca="1"/>
        <v>#N/A</v>
      </c>
      <c r="R694" s="23" t="e">
        <f ca="1"/>
        <v>#N/A</v>
      </c>
      <c r="S694" s="23">
        <f t="shared" ca="1" si="149"/>
        <v>0</v>
      </c>
      <c r="T694" t="b">
        <f t="shared" ca="1" si="146"/>
        <v>1</v>
      </c>
      <c r="U694" s="22" t="e">
        <f t="shared" ca="1" si="142"/>
        <v>#N/A</v>
      </c>
      <c r="V694">
        <f t="shared" ca="1" si="143"/>
        <v>0</v>
      </c>
    </row>
    <row r="695" spans="2:22">
      <c r="B695">
        <f t="shared" si="147"/>
        <v>685</v>
      </c>
      <c r="C695" s="22" t="e">
        <f ca="1"/>
        <v>#N/A</v>
      </c>
      <c r="D695" s="17" t="e">
        <f ca="1"/>
        <v>#N/A</v>
      </c>
      <c r="E695" s="17" t="e">
        <f ca="1"/>
        <v>#N/A</v>
      </c>
      <c r="F695" s="23" t="e">
        <f ca="1"/>
        <v>#N/A</v>
      </c>
      <c r="G695" s="23">
        <f t="shared" ca="1" si="148"/>
        <v>0</v>
      </c>
      <c r="H695" t="b">
        <f t="shared" ca="1" si="144"/>
        <v>1</v>
      </c>
      <c r="I695" s="22" t="e">
        <f t="shared" ca="1" si="139"/>
        <v>#N/A</v>
      </c>
      <c r="J695">
        <f t="shared" ca="1" si="140"/>
        <v>0</v>
      </c>
      <c r="K695" t="e">
        <f t="shared" ca="1" si="145"/>
        <v>#N/A</v>
      </c>
      <c r="O695" s="22" t="e">
        <f t="shared" ca="1" si="141"/>
        <v>#N/A</v>
      </c>
      <c r="P695" s="17" t="e">
        <f ca="1"/>
        <v>#N/A</v>
      </c>
      <c r="Q695" s="17" t="e">
        <f ca="1"/>
        <v>#N/A</v>
      </c>
      <c r="R695" s="23" t="e">
        <f ca="1"/>
        <v>#N/A</v>
      </c>
      <c r="S695" s="23">
        <f t="shared" ca="1" si="149"/>
        <v>0</v>
      </c>
      <c r="T695" t="b">
        <f t="shared" ca="1" si="146"/>
        <v>1</v>
      </c>
      <c r="U695" s="22" t="e">
        <f t="shared" ca="1" si="142"/>
        <v>#N/A</v>
      </c>
      <c r="V695">
        <f t="shared" ca="1" si="143"/>
        <v>0</v>
      </c>
    </row>
    <row r="696" spans="2:22">
      <c r="B696">
        <f t="shared" si="147"/>
        <v>686</v>
      </c>
      <c r="C696" s="22" t="e">
        <f ca="1"/>
        <v>#N/A</v>
      </c>
      <c r="D696" s="17" t="e">
        <f ca="1"/>
        <v>#N/A</v>
      </c>
      <c r="E696" s="17" t="e">
        <f ca="1"/>
        <v>#N/A</v>
      </c>
      <c r="F696" s="23" t="e">
        <f ca="1"/>
        <v>#N/A</v>
      </c>
      <c r="G696" s="23">
        <f t="shared" ca="1" si="148"/>
        <v>0</v>
      </c>
      <c r="H696" t="b">
        <f t="shared" ca="1" si="144"/>
        <v>1</v>
      </c>
      <c r="I696" s="22" t="e">
        <f t="shared" ca="1" si="139"/>
        <v>#N/A</v>
      </c>
      <c r="J696">
        <f t="shared" ca="1" si="140"/>
        <v>0</v>
      </c>
      <c r="K696" t="e">
        <f t="shared" ca="1" si="145"/>
        <v>#N/A</v>
      </c>
      <c r="O696" s="22" t="e">
        <f t="shared" ca="1" si="141"/>
        <v>#N/A</v>
      </c>
      <c r="P696" s="17" t="e">
        <f ca="1"/>
        <v>#N/A</v>
      </c>
      <c r="Q696" s="17" t="e">
        <f ca="1"/>
        <v>#N/A</v>
      </c>
      <c r="R696" s="23" t="e">
        <f ca="1"/>
        <v>#N/A</v>
      </c>
      <c r="S696" s="23">
        <f t="shared" ca="1" si="149"/>
        <v>0</v>
      </c>
      <c r="T696" t="b">
        <f t="shared" ca="1" si="146"/>
        <v>1</v>
      </c>
      <c r="U696" s="22" t="e">
        <f t="shared" ca="1" si="142"/>
        <v>#N/A</v>
      </c>
      <c r="V696">
        <f t="shared" ca="1" si="143"/>
        <v>0</v>
      </c>
    </row>
    <row r="697" spans="2:22">
      <c r="B697">
        <f t="shared" si="147"/>
        <v>687</v>
      </c>
      <c r="C697" s="22" t="e">
        <f ca="1"/>
        <v>#N/A</v>
      </c>
      <c r="D697" s="17" t="e">
        <f ca="1"/>
        <v>#N/A</v>
      </c>
      <c r="E697" s="17" t="e">
        <f ca="1"/>
        <v>#N/A</v>
      </c>
      <c r="F697" s="23" t="e">
        <f ca="1"/>
        <v>#N/A</v>
      </c>
      <c r="G697" s="23">
        <f t="shared" ca="1" si="148"/>
        <v>0</v>
      </c>
      <c r="H697" t="b">
        <f t="shared" ca="1" si="144"/>
        <v>1</v>
      </c>
      <c r="I697" s="22" t="e">
        <f t="shared" ca="1" si="139"/>
        <v>#N/A</v>
      </c>
      <c r="J697">
        <f t="shared" ca="1" si="140"/>
        <v>0</v>
      </c>
      <c r="K697" t="e">
        <f t="shared" ca="1" si="145"/>
        <v>#N/A</v>
      </c>
      <c r="O697" s="22" t="e">
        <f t="shared" ca="1" si="141"/>
        <v>#N/A</v>
      </c>
      <c r="P697" s="17" t="e">
        <f ca="1"/>
        <v>#N/A</v>
      </c>
      <c r="Q697" s="17" t="e">
        <f ca="1"/>
        <v>#N/A</v>
      </c>
      <c r="R697" s="23" t="e">
        <f ca="1"/>
        <v>#N/A</v>
      </c>
      <c r="S697" s="23">
        <f t="shared" ca="1" si="149"/>
        <v>0</v>
      </c>
      <c r="T697" t="b">
        <f t="shared" ca="1" si="146"/>
        <v>1</v>
      </c>
      <c r="U697" s="22" t="e">
        <f t="shared" ca="1" si="142"/>
        <v>#N/A</v>
      </c>
      <c r="V697">
        <f t="shared" ca="1" si="143"/>
        <v>0</v>
      </c>
    </row>
    <row r="698" spans="2:22">
      <c r="B698">
        <f t="shared" si="147"/>
        <v>688</v>
      </c>
      <c r="C698" s="22" t="e">
        <f ca="1"/>
        <v>#N/A</v>
      </c>
      <c r="D698" s="17" t="e">
        <f ca="1"/>
        <v>#N/A</v>
      </c>
      <c r="E698" s="17" t="e">
        <f ca="1"/>
        <v>#N/A</v>
      </c>
      <c r="F698" s="23" t="e">
        <f ca="1"/>
        <v>#N/A</v>
      </c>
      <c r="G698" s="23">
        <f t="shared" ca="1" si="148"/>
        <v>0</v>
      </c>
      <c r="H698" t="b">
        <f t="shared" ca="1" si="144"/>
        <v>1</v>
      </c>
      <c r="I698" s="22" t="e">
        <f t="shared" ca="1" si="139"/>
        <v>#N/A</v>
      </c>
      <c r="J698">
        <f t="shared" ca="1" si="140"/>
        <v>0</v>
      </c>
      <c r="K698" t="e">
        <f t="shared" ca="1" si="145"/>
        <v>#N/A</v>
      </c>
      <c r="O698" s="22" t="e">
        <f t="shared" ca="1" si="141"/>
        <v>#N/A</v>
      </c>
      <c r="P698" s="17" t="e">
        <f ca="1"/>
        <v>#N/A</v>
      </c>
      <c r="Q698" s="17" t="e">
        <f ca="1"/>
        <v>#N/A</v>
      </c>
      <c r="R698" s="23" t="e">
        <f ca="1"/>
        <v>#N/A</v>
      </c>
      <c r="S698" s="23">
        <f t="shared" ca="1" si="149"/>
        <v>0</v>
      </c>
      <c r="T698" t="b">
        <f t="shared" ca="1" si="146"/>
        <v>1</v>
      </c>
      <c r="U698" s="22" t="e">
        <f t="shared" ca="1" si="142"/>
        <v>#N/A</v>
      </c>
      <c r="V698">
        <f t="shared" ca="1" si="143"/>
        <v>0</v>
      </c>
    </row>
    <row r="699" spans="2:22">
      <c r="B699">
        <f t="shared" si="147"/>
        <v>689</v>
      </c>
      <c r="C699" s="22" t="e">
        <f ca="1"/>
        <v>#N/A</v>
      </c>
      <c r="D699" s="17" t="e">
        <f ca="1"/>
        <v>#N/A</v>
      </c>
      <c r="E699" s="17" t="e">
        <f ca="1"/>
        <v>#N/A</v>
      </c>
      <c r="F699" s="23" t="e">
        <f ca="1"/>
        <v>#N/A</v>
      </c>
      <c r="G699" s="23">
        <f t="shared" ca="1" si="148"/>
        <v>0</v>
      </c>
      <c r="H699" t="b">
        <f t="shared" ca="1" si="144"/>
        <v>1</v>
      </c>
      <c r="I699" s="22" t="e">
        <f t="shared" ca="1" si="139"/>
        <v>#N/A</v>
      </c>
      <c r="J699">
        <f t="shared" ca="1" si="140"/>
        <v>0</v>
      </c>
      <c r="K699" t="e">
        <f t="shared" ca="1" si="145"/>
        <v>#N/A</v>
      </c>
      <c r="O699" s="22" t="e">
        <f t="shared" ca="1" si="141"/>
        <v>#N/A</v>
      </c>
      <c r="P699" s="17" t="e">
        <f ca="1"/>
        <v>#N/A</v>
      </c>
      <c r="Q699" s="17" t="e">
        <f ca="1"/>
        <v>#N/A</v>
      </c>
      <c r="R699" s="23" t="e">
        <f ca="1"/>
        <v>#N/A</v>
      </c>
      <c r="S699" s="23">
        <f t="shared" ca="1" si="149"/>
        <v>0</v>
      </c>
      <c r="T699" t="b">
        <f t="shared" ca="1" si="146"/>
        <v>1</v>
      </c>
      <c r="U699" s="22" t="e">
        <f t="shared" ca="1" si="142"/>
        <v>#N/A</v>
      </c>
      <c r="V699">
        <f t="shared" ca="1" si="143"/>
        <v>0</v>
      </c>
    </row>
    <row r="700" spans="2:22">
      <c r="B700">
        <f t="shared" si="147"/>
        <v>690</v>
      </c>
      <c r="C700" s="22" t="e">
        <f ca="1"/>
        <v>#N/A</v>
      </c>
      <c r="D700" s="17" t="e">
        <f ca="1"/>
        <v>#N/A</v>
      </c>
      <c r="E700" s="17" t="e">
        <f ca="1"/>
        <v>#N/A</v>
      </c>
      <c r="F700" s="23" t="e">
        <f ca="1"/>
        <v>#N/A</v>
      </c>
      <c r="G700" s="23">
        <f t="shared" ca="1" si="148"/>
        <v>0</v>
      </c>
      <c r="H700" t="b">
        <f t="shared" ca="1" si="144"/>
        <v>1</v>
      </c>
      <c r="I700" s="22" t="e">
        <f t="shared" ca="1" si="139"/>
        <v>#N/A</v>
      </c>
      <c r="J700">
        <f t="shared" ca="1" si="140"/>
        <v>0</v>
      </c>
      <c r="K700" t="e">
        <f t="shared" ca="1" si="145"/>
        <v>#N/A</v>
      </c>
      <c r="O700" s="22" t="e">
        <f t="shared" ca="1" si="141"/>
        <v>#N/A</v>
      </c>
      <c r="P700" s="17" t="e">
        <f ca="1"/>
        <v>#N/A</v>
      </c>
      <c r="Q700" s="17" t="e">
        <f ca="1"/>
        <v>#N/A</v>
      </c>
      <c r="R700" s="23" t="e">
        <f ca="1"/>
        <v>#N/A</v>
      </c>
      <c r="S700" s="23">
        <f t="shared" ca="1" si="149"/>
        <v>0</v>
      </c>
      <c r="T700" t="b">
        <f t="shared" ca="1" si="146"/>
        <v>1</v>
      </c>
      <c r="U700" s="22" t="e">
        <f t="shared" ca="1" si="142"/>
        <v>#N/A</v>
      </c>
      <c r="V700">
        <f t="shared" ca="1" si="143"/>
        <v>0</v>
      </c>
    </row>
    <row r="701" spans="2:22">
      <c r="B701">
        <f t="shared" si="147"/>
        <v>691</v>
      </c>
      <c r="C701" s="22" t="e">
        <f ca="1"/>
        <v>#N/A</v>
      </c>
      <c r="D701" s="17" t="e">
        <f ca="1"/>
        <v>#N/A</v>
      </c>
      <c r="E701" s="17" t="e">
        <f ca="1"/>
        <v>#N/A</v>
      </c>
      <c r="F701" s="23" t="e">
        <f ca="1"/>
        <v>#N/A</v>
      </c>
      <c r="G701" s="23">
        <f t="shared" ca="1" si="148"/>
        <v>0</v>
      </c>
      <c r="H701" t="b">
        <f t="shared" ca="1" si="144"/>
        <v>1</v>
      </c>
      <c r="I701" s="22" t="e">
        <f t="shared" ca="1" si="139"/>
        <v>#N/A</v>
      </c>
      <c r="J701">
        <f t="shared" ca="1" si="140"/>
        <v>0</v>
      </c>
      <c r="K701" t="e">
        <f t="shared" ca="1" si="145"/>
        <v>#N/A</v>
      </c>
      <c r="O701" s="22" t="e">
        <f t="shared" ca="1" si="141"/>
        <v>#N/A</v>
      </c>
      <c r="P701" s="17" t="e">
        <f ca="1"/>
        <v>#N/A</v>
      </c>
      <c r="Q701" s="17" t="e">
        <f ca="1"/>
        <v>#N/A</v>
      </c>
      <c r="R701" s="23" t="e">
        <f ca="1"/>
        <v>#N/A</v>
      </c>
      <c r="S701" s="23">
        <f t="shared" ca="1" si="149"/>
        <v>0</v>
      </c>
      <c r="T701" t="b">
        <f t="shared" ca="1" si="146"/>
        <v>1</v>
      </c>
      <c r="U701" s="22" t="e">
        <f t="shared" ca="1" si="142"/>
        <v>#N/A</v>
      </c>
      <c r="V701">
        <f t="shared" ca="1" si="143"/>
        <v>0</v>
      </c>
    </row>
    <row r="702" spans="2:22">
      <c r="B702">
        <f t="shared" si="147"/>
        <v>692</v>
      </c>
      <c r="C702" s="22" t="e">
        <f ca="1"/>
        <v>#N/A</v>
      </c>
      <c r="D702" s="17" t="e">
        <f ca="1"/>
        <v>#N/A</v>
      </c>
      <c r="E702" s="17" t="e">
        <f ca="1"/>
        <v>#N/A</v>
      </c>
      <c r="F702" s="23" t="e">
        <f ca="1"/>
        <v>#N/A</v>
      </c>
      <c r="G702" s="23">
        <f t="shared" ca="1" si="148"/>
        <v>0</v>
      </c>
      <c r="H702" t="b">
        <f t="shared" ca="1" si="144"/>
        <v>1</v>
      </c>
      <c r="I702" s="22" t="e">
        <f t="shared" ca="1" si="139"/>
        <v>#N/A</v>
      </c>
      <c r="J702">
        <f t="shared" ca="1" si="140"/>
        <v>0</v>
      </c>
      <c r="K702" t="e">
        <f t="shared" ca="1" si="145"/>
        <v>#N/A</v>
      </c>
      <c r="O702" s="22" t="e">
        <f t="shared" ca="1" si="141"/>
        <v>#N/A</v>
      </c>
      <c r="P702" s="17" t="e">
        <f ca="1"/>
        <v>#N/A</v>
      </c>
      <c r="Q702" s="17" t="e">
        <f ca="1"/>
        <v>#N/A</v>
      </c>
      <c r="R702" s="23" t="e">
        <f ca="1"/>
        <v>#N/A</v>
      </c>
      <c r="S702" s="23">
        <f t="shared" ca="1" si="149"/>
        <v>0</v>
      </c>
      <c r="T702" t="b">
        <f t="shared" ca="1" si="146"/>
        <v>1</v>
      </c>
      <c r="U702" s="22" t="e">
        <f t="shared" ca="1" si="142"/>
        <v>#N/A</v>
      </c>
      <c r="V702">
        <f t="shared" ca="1" si="143"/>
        <v>0</v>
      </c>
    </row>
    <row r="703" spans="2:22">
      <c r="B703">
        <f t="shared" si="147"/>
        <v>693</v>
      </c>
      <c r="C703" s="22" t="e">
        <f ca="1"/>
        <v>#N/A</v>
      </c>
      <c r="D703" s="17" t="e">
        <f ca="1"/>
        <v>#N/A</v>
      </c>
      <c r="E703" s="17" t="e">
        <f ca="1"/>
        <v>#N/A</v>
      </c>
      <c r="F703" s="23" t="e">
        <f ca="1"/>
        <v>#N/A</v>
      </c>
      <c r="G703" s="23">
        <f t="shared" ca="1" si="148"/>
        <v>0</v>
      </c>
      <c r="H703" t="b">
        <f t="shared" ca="1" si="144"/>
        <v>1</v>
      </c>
      <c r="I703" s="22" t="e">
        <f t="shared" ca="1" si="139"/>
        <v>#N/A</v>
      </c>
      <c r="J703">
        <f t="shared" ca="1" si="140"/>
        <v>0</v>
      </c>
      <c r="K703" t="e">
        <f t="shared" ca="1" si="145"/>
        <v>#N/A</v>
      </c>
      <c r="O703" s="22" t="e">
        <f t="shared" ca="1" si="141"/>
        <v>#N/A</v>
      </c>
      <c r="P703" s="17" t="e">
        <f ca="1"/>
        <v>#N/A</v>
      </c>
      <c r="Q703" s="17" t="e">
        <f ca="1"/>
        <v>#N/A</v>
      </c>
      <c r="R703" s="23" t="e">
        <f ca="1"/>
        <v>#N/A</v>
      </c>
      <c r="S703" s="23">
        <f t="shared" ca="1" si="149"/>
        <v>0</v>
      </c>
      <c r="T703" t="b">
        <f t="shared" ca="1" si="146"/>
        <v>1</v>
      </c>
      <c r="U703" s="22" t="e">
        <f t="shared" ca="1" si="142"/>
        <v>#N/A</v>
      </c>
      <c r="V703">
        <f t="shared" ca="1" si="143"/>
        <v>0</v>
      </c>
    </row>
    <row r="704" spans="2:22">
      <c r="B704">
        <f t="shared" si="147"/>
        <v>694</v>
      </c>
      <c r="C704" s="22" t="e">
        <f ca="1"/>
        <v>#N/A</v>
      </c>
      <c r="D704" s="17" t="e">
        <f ca="1"/>
        <v>#N/A</v>
      </c>
      <c r="E704" s="17" t="e">
        <f ca="1"/>
        <v>#N/A</v>
      </c>
      <c r="F704" s="23" t="e">
        <f ca="1"/>
        <v>#N/A</v>
      </c>
      <c r="G704" s="23">
        <f t="shared" ca="1" si="148"/>
        <v>0</v>
      </c>
      <c r="H704" t="b">
        <f t="shared" ca="1" si="144"/>
        <v>1</v>
      </c>
      <c r="I704" s="22" t="e">
        <f t="shared" ca="1" si="139"/>
        <v>#N/A</v>
      </c>
      <c r="J704">
        <f t="shared" ca="1" si="140"/>
        <v>0</v>
      </c>
      <c r="K704" t="e">
        <f t="shared" ca="1" si="145"/>
        <v>#N/A</v>
      </c>
      <c r="O704" s="22" t="e">
        <f t="shared" ca="1" si="141"/>
        <v>#N/A</v>
      </c>
      <c r="P704" s="17" t="e">
        <f ca="1"/>
        <v>#N/A</v>
      </c>
      <c r="Q704" s="17" t="e">
        <f ca="1"/>
        <v>#N/A</v>
      </c>
      <c r="R704" s="23" t="e">
        <f ca="1"/>
        <v>#N/A</v>
      </c>
      <c r="S704" s="23">
        <f t="shared" ca="1" si="149"/>
        <v>0</v>
      </c>
      <c r="T704" t="b">
        <f t="shared" ca="1" si="146"/>
        <v>1</v>
      </c>
      <c r="U704" s="22" t="e">
        <f t="shared" ca="1" si="142"/>
        <v>#N/A</v>
      </c>
      <c r="V704">
        <f t="shared" ca="1" si="143"/>
        <v>0</v>
      </c>
    </row>
    <row r="705" spans="2:22">
      <c r="B705">
        <f t="shared" si="147"/>
        <v>695</v>
      </c>
      <c r="C705" s="22" t="e">
        <f ca="1"/>
        <v>#N/A</v>
      </c>
      <c r="D705" s="17" t="e">
        <f ca="1"/>
        <v>#N/A</v>
      </c>
      <c r="E705" s="17" t="e">
        <f ca="1"/>
        <v>#N/A</v>
      </c>
      <c r="F705" s="23" t="e">
        <f ca="1"/>
        <v>#N/A</v>
      </c>
      <c r="G705" s="23">
        <f t="shared" ca="1" si="148"/>
        <v>0</v>
      </c>
      <c r="H705" t="b">
        <f t="shared" ca="1" si="144"/>
        <v>1</v>
      </c>
      <c r="I705" s="22" t="e">
        <f t="shared" ca="1" si="139"/>
        <v>#N/A</v>
      </c>
      <c r="J705">
        <f t="shared" ca="1" si="140"/>
        <v>0</v>
      </c>
      <c r="K705" t="e">
        <f t="shared" ca="1" si="145"/>
        <v>#N/A</v>
      </c>
      <c r="O705" s="22" t="e">
        <f t="shared" ca="1" si="141"/>
        <v>#N/A</v>
      </c>
      <c r="P705" s="17" t="e">
        <f ca="1"/>
        <v>#N/A</v>
      </c>
      <c r="Q705" s="17" t="e">
        <f ca="1"/>
        <v>#N/A</v>
      </c>
      <c r="R705" s="23" t="e">
        <f ca="1"/>
        <v>#N/A</v>
      </c>
      <c r="S705" s="23">
        <f t="shared" ca="1" si="149"/>
        <v>0</v>
      </c>
      <c r="T705" t="b">
        <f t="shared" ca="1" si="146"/>
        <v>1</v>
      </c>
      <c r="U705" s="22" t="e">
        <f t="shared" ca="1" si="142"/>
        <v>#N/A</v>
      </c>
      <c r="V705">
        <f t="shared" ca="1" si="143"/>
        <v>0</v>
      </c>
    </row>
    <row r="706" spans="2:22">
      <c r="B706">
        <f t="shared" si="147"/>
        <v>696</v>
      </c>
      <c r="C706" s="22" t="e">
        <f ca="1"/>
        <v>#N/A</v>
      </c>
      <c r="D706" s="17" t="e">
        <f ca="1"/>
        <v>#N/A</v>
      </c>
      <c r="E706" s="17" t="e">
        <f ca="1"/>
        <v>#N/A</v>
      </c>
      <c r="F706" s="23" t="e">
        <f ca="1"/>
        <v>#N/A</v>
      </c>
      <c r="G706" s="23">
        <f t="shared" ca="1" si="148"/>
        <v>0</v>
      </c>
      <c r="H706" t="b">
        <f t="shared" ca="1" si="144"/>
        <v>1</v>
      </c>
      <c r="I706" s="22" t="e">
        <f t="shared" ca="1" si="139"/>
        <v>#N/A</v>
      </c>
      <c r="J706">
        <f t="shared" ca="1" si="140"/>
        <v>0</v>
      </c>
      <c r="K706" t="e">
        <f t="shared" ca="1" si="145"/>
        <v>#N/A</v>
      </c>
      <c r="O706" s="22" t="e">
        <f t="shared" ca="1" si="141"/>
        <v>#N/A</v>
      </c>
      <c r="P706" s="17" t="e">
        <f ca="1"/>
        <v>#N/A</v>
      </c>
      <c r="Q706" s="17" t="e">
        <f ca="1"/>
        <v>#N/A</v>
      </c>
      <c r="R706" s="23" t="e">
        <f ca="1"/>
        <v>#N/A</v>
      </c>
      <c r="S706" s="23">
        <f t="shared" ca="1" si="149"/>
        <v>0</v>
      </c>
      <c r="T706" t="b">
        <f t="shared" ca="1" si="146"/>
        <v>1</v>
      </c>
      <c r="U706" s="22" t="e">
        <f t="shared" ca="1" si="142"/>
        <v>#N/A</v>
      </c>
      <c r="V706">
        <f t="shared" ca="1" si="143"/>
        <v>0</v>
      </c>
    </row>
    <row r="707" spans="2:22">
      <c r="B707">
        <f t="shared" si="147"/>
        <v>697</v>
      </c>
      <c r="C707" s="22" t="e">
        <f ca="1"/>
        <v>#N/A</v>
      </c>
      <c r="D707" s="17" t="e">
        <f ca="1"/>
        <v>#N/A</v>
      </c>
      <c r="E707" s="17" t="e">
        <f ca="1"/>
        <v>#N/A</v>
      </c>
      <c r="F707" s="23" t="e">
        <f ca="1"/>
        <v>#N/A</v>
      </c>
      <c r="G707" s="23">
        <f t="shared" ca="1" si="148"/>
        <v>0</v>
      </c>
      <c r="H707" t="b">
        <f t="shared" ca="1" si="144"/>
        <v>1</v>
      </c>
      <c r="I707" s="22" t="e">
        <f t="shared" ca="1" si="139"/>
        <v>#N/A</v>
      </c>
      <c r="J707">
        <f t="shared" ca="1" si="140"/>
        <v>0</v>
      </c>
      <c r="K707" t="e">
        <f t="shared" ca="1" si="145"/>
        <v>#N/A</v>
      </c>
      <c r="O707" s="22" t="e">
        <f t="shared" ca="1" si="141"/>
        <v>#N/A</v>
      </c>
      <c r="P707" s="17" t="e">
        <f ca="1"/>
        <v>#N/A</v>
      </c>
      <c r="Q707" s="17" t="e">
        <f ca="1"/>
        <v>#N/A</v>
      </c>
      <c r="R707" s="23" t="e">
        <f ca="1"/>
        <v>#N/A</v>
      </c>
      <c r="S707" s="23">
        <f t="shared" ca="1" si="149"/>
        <v>0</v>
      </c>
      <c r="T707" t="b">
        <f t="shared" ca="1" si="146"/>
        <v>1</v>
      </c>
      <c r="U707" s="22" t="e">
        <f t="shared" ca="1" si="142"/>
        <v>#N/A</v>
      </c>
      <c r="V707">
        <f t="shared" ca="1" si="143"/>
        <v>0</v>
      </c>
    </row>
    <row r="708" spans="2:22">
      <c r="B708">
        <f t="shared" si="147"/>
        <v>698</v>
      </c>
      <c r="C708" s="22" t="e">
        <f ca="1"/>
        <v>#N/A</v>
      </c>
      <c r="D708" s="17" t="e">
        <f ca="1"/>
        <v>#N/A</v>
      </c>
      <c r="E708" s="17" t="e">
        <f ca="1"/>
        <v>#N/A</v>
      </c>
      <c r="F708" s="23" t="e">
        <f ca="1"/>
        <v>#N/A</v>
      </c>
      <c r="G708" s="23">
        <f t="shared" ca="1" si="148"/>
        <v>0</v>
      </c>
      <c r="H708" t="b">
        <f t="shared" ca="1" si="144"/>
        <v>1</v>
      </c>
      <c r="I708" s="22" t="e">
        <f t="shared" ca="1" si="139"/>
        <v>#N/A</v>
      </c>
      <c r="J708">
        <f t="shared" ca="1" si="140"/>
        <v>0</v>
      </c>
      <c r="K708" t="e">
        <f t="shared" ca="1" si="145"/>
        <v>#N/A</v>
      </c>
      <c r="O708" s="22" t="e">
        <f t="shared" ca="1" si="141"/>
        <v>#N/A</v>
      </c>
      <c r="P708" s="17" t="e">
        <f ca="1"/>
        <v>#N/A</v>
      </c>
      <c r="Q708" s="17" t="e">
        <f ca="1"/>
        <v>#N/A</v>
      </c>
      <c r="R708" s="23" t="e">
        <f ca="1"/>
        <v>#N/A</v>
      </c>
      <c r="S708" s="23">
        <f t="shared" ca="1" si="149"/>
        <v>0</v>
      </c>
      <c r="T708" t="b">
        <f t="shared" ca="1" si="146"/>
        <v>1</v>
      </c>
      <c r="U708" s="22" t="e">
        <f t="shared" ca="1" si="142"/>
        <v>#N/A</v>
      </c>
      <c r="V708">
        <f t="shared" ca="1" si="143"/>
        <v>0</v>
      </c>
    </row>
    <row r="709" spans="2:22">
      <c r="B709">
        <f t="shared" si="147"/>
        <v>699</v>
      </c>
      <c r="C709" s="22" t="e">
        <f ca="1"/>
        <v>#N/A</v>
      </c>
      <c r="D709" s="17" t="e">
        <f ca="1"/>
        <v>#N/A</v>
      </c>
      <c r="E709" s="17" t="e">
        <f ca="1"/>
        <v>#N/A</v>
      </c>
      <c r="F709" s="23" t="e">
        <f ca="1"/>
        <v>#N/A</v>
      </c>
      <c r="G709" s="23">
        <f t="shared" ca="1" si="148"/>
        <v>0</v>
      </c>
      <c r="H709" t="b">
        <f t="shared" ca="1" si="144"/>
        <v>1</v>
      </c>
      <c r="I709" s="22" t="e">
        <f t="shared" ca="1" si="139"/>
        <v>#N/A</v>
      </c>
      <c r="J709">
        <f t="shared" ca="1" si="140"/>
        <v>0</v>
      </c>
      <c r="K709" t="e">
        <f t="shared" ca="1" si="145"/>
        <v>#N/A</v>
      </c>
      <c r="O709" s="22" t="e">
        <f t="shared" ca="1" si="141"/>
        <v>#N/A</v>
      </c>
      <c r="P709" s="17" t="e">
        <f ca="1"/>
        <v>#N/A</v>
      </c>
      <c r="Q709" s="17" t="e">
        <f ca="1"/>
        <v>#N/A</v>
      </c>
      <c r="R709" s="23" t="e">
        <f ca="1"/>
        <v>#N/A</v>
      </c>
      <c r="S709" s="23">
        <f t="shared" ca="1" si="149"/>
        <v>0</v>
      </c>
      <c r="T709" t="b">
        <f t="shared" ca="1" si="146"/>
        <v>1</v>
      </c>
      <c r="U709" s="22" t="e">
        <f t="shared" ca="1" si="142"/>
        <v>#N/A</v>
      </c>
      <c r="V709">
        <f t="shared" ca="1" si="143"/>
        <v>0</v>
      </c>
    </row>
    <row r="710" spans="2:22">
      <c r="B710">
        <f t="shared" si="147"/>
        <v>700</v>
      </c>
      <c r="C710" s="22" t="e">
        <f ca="1"/>
        <v>#N/A</v>
      </c>
      <c r="D710" s="17" t="e">
        <f ca="1"/>
        <v>#N/A</v>
      </c>
      <c r="E710" s="17" t="e">
        <f ca="1"/>
        <v>#N/A</v>
      </c>
      <c r="F710" s="23" t="e">
        <f ca="1"/>
        <v>#N/A</v>
      </c>
      <c r="G710" s="23">
        <f t="shared" ca="1" si="148"/>
        <v>0</v>
      </c>
      <c r="H710" t="b">
        <f t="shared" ca="1" si="144"/>
        <v>1</v>
      </c>
      <c r="I710" s="22" t="e">
        <f t="shared" ca="1" si="139"/>
        <v>#N/A</v>
      </c>
      <c r="J710">
        <f t="shared" ca="1" si="140"/>
        <v>0</v>
      </c>
      <c r="K710" t="e">
        <f t="shared" ca="1" si="145"/>
        <v>#N/A</v>
      </c>
      <c r="O710" s="22" t="e">
        <f t="shared" ca="1" si="141"/>
        <v>#N/A</v>
      </c>
      <c r="P710" s="17" t="e">
        <f ca="1"/>
        <v>#N/A</v>
      </c>
      <c r="Q710" s="17" t="e">
        <f ca="1"/>
        <v>#N/A</v>
      </c>
      <c r="R710" s="23" t="e">
        <f ca="1"/>
        <v>#N/A</v>
      </c>
      <c r="S710" s="23">
        <f t="shared" ca="1" si="149"/>
        <v>0</v>
      </c>
      <c r="T710" t="b">
        <f t="shared" ca="1" si="146"/>
        <v>1</v>
      </c>
      <c r="U710" s="22" t="e">
        <f t="shared" ca="1" si="142"/>
        <v>#N/A</v>
      </c>
      <c r="V710">
        <f t="shared" ca="1" si="143"/>
        <v>0</v>
      </c>
    </row>
    <row r="711" spans="2:22">
      <c r="B711">
        <f t="shared" si="147"/>
        <v>701</v>
      </c>
      <c r="C711" s="22" t="e">
        <f ca="1"/>
        <v>#N/A</v>
      </c>
      <c r="D711" s="17" t="e">
        <f ca="1"/>
        <v>#N/A</v>
      </c>
      <c r="E711" s="17" t="e">
        <f ca="1"/>
        <v>#N/A</v>
      </c>
      <c r="F711" s="23" t="e">
        <f ca="1"/>
        <v>#N/A</v>
      </c>
      <c r="G711" s="23">
        <f t="shared" ca="1" si="148"/>
        <v>0</v>
      </c>
      <c r="H711" t="b">
        <f t="shared" ca="1" si="144"/>
        <v>1</v>
      </c>
      <c r="I711" s="22" t="e">
        <f t="shared" ca="1" si="139"/>
        <v>#N/A</v>
      </c>
      <c r="J711">
        <f t="shared" ca="1" si="140"/>
        <v>0</v>
      </c>
      <c r="K711" t="e">
        <f t="shared" ca="1" si="145"/>
        <v>#N/A</v>
      </c>
      <c r="O711" s="22" t="e">
        <f t="shared" ca="1" si="141"/>
        <v>#N/A</v>
      </c>
      <c r="P711" s="17" t="e">
        <f ca="1"/>
        <v>#N/A</v>
      </c>
      <c r="Q711" s="17" t="e">
        <f ca="1"/>
        <v>#N/A</v>
      </c>
      <c r="R711" s="23" t="e">
        <f ca="1"/>
        <v>#N/A</v>
      </c>
      <c r="S711" s="23">
        <f t="shared" ca="1" si="149"/>
        <v>0</v>
      </c>
      <c r="T711" t="b">
        <f t="shared" ca="1" si="146"/>
        <v>1</v>
      </c>
      <c r="U711" s="22" t="e">
        <f t="shared" ca="1" si="142"/>
        <v>#N/A</v>
      </c>
      <c r="V711">
        <f t="shared" ca="1" si="143"/>
        <v>0</v>
      </c>
    </row>
    <row r="712" spans="2:22">
      <c r="B712">
        <f t="shared" si="147"/>
        <v>702</v>
      </c>
      <c r="C712" s="22" t="e">
        <f ca="1"/>
        <v>#N/A</v>
      </c>
      <c r="D712" s="17" t="e">
        <f ca="1"/>
        <v>#N/A</v>
      </c>
      <c r="E712" s="17" t="e">
        <f ca="1"/>
        <v>#N/A</v>
      </c>
      <c r="F712" s="23" t="e">
        <f ca="1"/>
        <v>#N/A</v>
      </c>
      <c r="G712" s="23">
        <f t="shared" ca="1" si="148"/>
        <v>0</v>
      </c>
      <c r="H712" t="b">
        <f t="shared" ca="1" si="144"/>
        <v>1</v>
      </c>
      <c r="I712" s="22" t="e">
        <f t="shared" ca="1" si="139"/>
        <v>#N/A</v>
      </c>
      <c r="J712">
        <f t="shared" ca="1" si="140"/>
        <v>0</v>
      </c>
      <c r="K712" t="e">
        <f t="shared" ca="1" si="145"/>
        <v>#N/A</v>
      </c>
      <c r="O712" s="22" t="e">
        <f t="shared" ca="1" si="141"/>
        <v>#N/A</v>
      </c>
      <c r="P712" s="17" t="e">
        <f ca="1"/>
        <v>#N/A</v>
      </c>
      <c r="Q712" s="17" t="e">
        <f ca="1"/>
        <v>#N/A</v>
      </c>
      <c r="R712" s="23" t="e">
        <f ca="1"/>
        <v>#N/A</v>
      </c>
      <c r="S712" s="23">
        <f t="shared" ca="1" si="149"/>
        <v>0</v>
      </c>
      <c r="T712" t="b">
        <f t="shared" ca="1" si="146"/>
        <v>1</v>
      </c>
      <c r="U712" s="22" t="e">
        <f t="shared" ca="1" si="142"/>
        <v>#N/A</v>
      </c>
      <c r="V712">
        <f t="shared" ca="1" si="143"/>
        <v>0</v>
      </c>
    </row>
    <row r="713" spans="2:22">
      <c r="B713">
        <f t="shared" si="147"/>
        <v>703</v>
      </c>
      <c r="C713" s="22" t="e">
        <f ca="1"/>
        <v>#N/A</v>
      </c>
      <c r="D713" s="17" t="e">
        <f ca="1"/>
        <v>#N/A</v>
      </c>
      <c r="E713" s="17" t="e">
        <f ca="1"/>
        <v>#N/A</v>
      </c>
      <c r="F713" s="23" t="e">
        <f ca="1"/>
        <v>#N/A</v>
      </c>
      <c r="G713" s="23">
        <f t="shared" ca="1" si="148"/>
        <v>0</v>
      </c>
      <c r="H713" t="b">
        <f t="shared" ca="1" si="144"/>
        <v>1</v>
      </c>
      <c r="I713" s="22" t="e">
        <f t="shared" ca="1" si="139"/>
        <v>#N/A</v>
      </c>
      <c r="J713">
        <f t="shared" ca="1" si="140"/>
        <v>0</v>
      </c>
      <c r="K713" t="e">
        <f t="shared" ca="1" si="145"/>
        <v>#N/A</v>
      </c>
      <c r="O713" s="22" t="e">
        <f t="shared" ca="1" si="141"/>
        <v>#N/A</v>
      </c>
      <c r="P713" s="17" t="e">
        <f ca="1"/>
        <v>#N/A</v>
      </c>
      <c r="Q713" s="17" t="e">
        <f ca="1"/>
        <v>#N/A</v>
      </c>
      <c r="R713" s="23" t="e">
        <f ca="1"/>
        <v>#N/A</v>
      </c>
      <c r="S713" s="23">
        <f t="shared" ca="1" si="149"/>
        <v>0</v>
      </c>
      <c r="T713" t="b">
        <f t="shared" ca="1" si="146"/>
        <v>1</v>
      </c>
      <c r="U713" s="22" t="e">
        <f t="shared" ca="1" si="142"/>
        <v>#N/A</v>
      </c>
      <c r="V713">
        <f t="shared" ca="1" si="143"/>
        <v>0</v>
      </c>
    </row>
    <row r="714" spans="2:22">
      <c r="B714">
        <f t="shared" si="147"/>
        <v>704</v>
      </c>
      <c r="C714" s="22" t="e">
        <f ca="1"/>
        <v>#N/A</v>
      </c>
      <c r="D714" s="17" t="e">
        <f ca="1"/>
        <v>#N/A</v>
      </c>
      <c r="E714" s="17" t="e">
        <f ca="1"/>
        <v>#N/A</v>
      </c>
      <c r="F714" s="23" t="e">
        <f ca="1"/>
        <v>#N/A</v>
      </c>
      <c r="G714" s="23">
        <f t="shared" ca="1" si="148"/>
        <v>0</v>
      </c>
      <c r="H714" t="b">
        <f t="shared" ca="1" si="144"/>
        <v>1</v>
      </c>
      <c r="I714" s="22" t="e">
        <f t="shared" ca="1" si="139"/>
        <v>#N/A</v>
      </c>
      <c r="J714">
        <f t="shared" ca="1" si="140"/>
        <v>0</v>
      </c>
      <c r="K714" t="e">
        <f t="shared" ca="1" si="145"/>
        <v>#N/A</v>
      </c>
      <c r="O714" s="22" t="e">
        <f t="shared" ca="1" si="141"/>
        <v>#N/A</v>
      </c>
      <c r="P714" s="17" t="e">
        <f ca="1"/>
        <v>#N/A</v>
      </c>
      <c r="Q714" s="17" t="e">
        <f ca="1"/>
        <v>#N/A</v>
      </c>
      <c r="R714" s="23" t="e">
        <f ca="1"/>
        <v>#N/A</v>
      </c>
      <c r="S714" s="23">
        <f t="shared" ca="1" si="149"/>
        <v>0</v>
      </c>
      <c r="T714" t="b">
        <f t="shared" ca="1" si="146"/>
        <v>1</v>
      </c>
      <c r="U714" s="22" t="e">
        <f t="shared" ca="1" si="142"/>
        <v>#N/A</v>
      </c>
      <c r="V714">
        <f t="shared" ca="1" si="143"/>
        <v>0</v>
      </c>
    </row>
    <row r="715" spans="2:22">
      <c r="B715">
        <f t="shared" si="147"/>
        <v>705</v>
      </c>
      <c r="C715" s="22" t="e">
        <f ca="1"/>
        <v>#N/A</v>
      </c>
      <c r="D715" s="17" t="e">
        <f ca="1"/>
        <v>#N/A</v>
      </c>
      <c r="E715" s="17" t="e">
        <f ca="1"/>
        <v>#N/A</v>
      </c>
      <c r="F715" s="23" t="e">
        <f ca="1"/>
        <v>#N/A</v>
      </c>
      <c r="G715" s="23">
        <f t="shared" ca="1" si="148"/>
        <v>0</v>
      </c>
      <c r="H715" t="b">
        <f t="shared" ca="1" si="144"/>
        <v>1</v>
      </c>
      <c r="I715" s="22" t="e">
        <f t="shared" ref="I715:I778" ca="1" si="150">IF(H715,C715,NA)</f>
        <v>#N/A</v>
      </c>
      <c r="J715">
        <f t="shared" ref="J715:J778" ca="1" si="151">IF(H715,G715,NA)</f>
        <v>0</v>
      </c>
      <c r="K715" t="e">
        <f t="shared" ca="1" si="145"/>
        <v>#N/A</v>
      </c>
      <c r="O715" s="22" t="e">
        <f t="shared" ref="O715:O778" ca="1" si="152">C715</f>
        <v>#N/A</v>
      </c>
      <c r="P715" s="17" t="e">
        <f ca="1"/>
        <v>#N/A</v>
      </c>
      <c r="Q715" s="17" t="e">
        <f ca="1"/>
        <v>#N/A</v>
      </c>
      <c r="R715" s="23" t="e">
        <f ca="1"/>
        <v>#N/A</v>
      </c>
      <c r="S715" s="23">
        <f t="shared" ca="1" si="149"/>
        <v>0</v>
      </c>
      <c r="T715" t="b">
        <f t="shared" ca="1" si="146"/>
        <v>1</v>
      </c>
      <c r="U715" s="22" t="e">
        <f t="shared" ref="U715:U778" ca="1" si="153">IF(T715,O715,NA)</f>
        <v>#N/A</v>
      </c>
      <c r="V715">
        <f t="shared" ref="V715:V778" ca="1" si="154">IF(T715,S715,NA)</f>
        <v>0</v>
      </c>
    </row>
    <row r="716" spans="2:22">
      <c r="B716">
        <f t="shared" si="147"/>
        <v>706</v>
      </c>
      <c r="C716" s="22" t="e">
        <f ca="1"/>
        <v>#N/A</v>
      </c>
      <c r="D716" s="17" t="e">
        <f ca="1"/>
        <v>#N/A</v>
      </c>
      <c r="E716" s="17" t="e">
        <f ca="1"/>
        <v>#N/A</v>
      </c>
      <c r="F716" s="23" t="e">
        <f ca="1"/>
        <v>#N/A</v>
      </c>
      <c r="G716" s="23">
        <f t="shared" ca="1" si="148"/>
        <v>0</v>
      </c>
      <c r="H716" t="b">
        <f t="shared" ref="H716:H779" ca="1" si="155">ISNUMBER(G716)</f>
        <v>1</v>
      </c>
      <c r="I716" s="22" t="e">
        <f t="shared" ca="1" si="150"/>
        <v>#N/A</v>
      </c>
      <c r="J716">
        <f t="shared" ca="1" si="151"/>
        <v>0</v>
      </c>
      <c r="K716" t="e">
        <f t="shared" ref="K716:K779" ca="1" si="156">YEAR(C716)</f>
        <v>#N/A</v>
      </c>
      <c r="O716" s="22" t="e">
        <f t="shared" ca="1" si="152"/>
        <v>#N/A</v>
      </c>
      <c r="P716" s="17" t="e">
        <f ca="1"/>
        <v>#N/A</v>
      </c>
      <c r="Q716" s="17" t="e">
        <f ca="1"/>
        <v>#N/A</v>
      </c>
      <c r="R716" s="23" t="e">
        <f ca="1"/>
        <v>#N/A</v>
      </c>
      <c r="S716" s="23">
        <f t="shared" ca="1" si="149"/>
        <v>0</v>
      </c>
      <c r="T716" t="b">
        <f t="shared" ref="T716:T779" ca="1" si="157">ISNUMBER(S716)</f>
        <v>1</v>
      </c>
      <c r="U716" s="22" t="e">
        <f t="shared" ca="1" si="153"/>
        <v>#N/A</v>
      </c>
      <c r="V716">
        <f t="shared" ca="1" si="154"/>
        <v>0</v>
      </c>
    </row>
    <row r="717" spans="2:22">
      <c r="B717">
        <f t="shared" ref="B717:B780" si="158">B716+1</f>
        <v>707</v>
      </c>
      <c r="C717" s="22" t="e">
        <f ca="1"/>
        <v>#N/A</v>
      </c>
      <c r="D717" s="17" t="e">
        <f ca="1"/>
        <v>#N/A</v>
      </c>
      <c r="E717" s="17" t="e">
        <f ca="1"/>
        <v>#N/A</v>
      </c>
      <c r="F717" s="23" t="e">
        <f ca="1"/>
        <v>#N/A</v>
      </c>
      <c r="G717" s="23">
        <f t="shared" ca="1" si="148"/>
        <v>0</v>
      </c>
      <c r="H717" t="b">
        <f t="shared" ca="1" si="155"/>
        <v>1</v>
      </c>
      <c r="I717" s="22" t="e">
        <f t="shared" ca="1" si="150"/>
        <v>#N/A</v>
      </c>
      <c r="J717">
        <f t="shared" ca="1" si="151"/>
        <v>0</v>
      </c>
      <c r="K717" t="e">
        <f t="shared" ca="1" si="156"/>
        <v>#N/A</v>
      </c>
      <c r="O717" s="22" t="e">
        <f t="shared" ca="1" si="152"/>
        <v>#N/A</v>
      </c>
      <c r="P717" s="17" t="e">
        <f ca="1"/>
        <v>#N/A</v>
      </c>
      <c r="Q717" s="17" t="e">
        <f ca="1"/>
        <v>#N/A</v>
      </c>
      <c r="R717" s="23" t="e">
        <f ca="1"/>
        <v>#N/A</v>
      </c>
      <c r="S717" s="23">
        <f t="shared" ca="1" si="149"/>
        <v>0</v>
      </c>
      <c r="T717" t="b">
        <f t="shared" ca="1" si="157"/>
        <v>1</v>
      </c>
      <c r="U717" s="22" t="e">
        <f t="shared" ca="1" si="153"/>
        <v>#N/A</v>
      </c>
      <c r="V717">
        <f t="shared" ca="1" si="154"/>
        <v>0</v>
      </c>
    </row>
    <row r="718" spans="2:22">
      <c r="B718">
        <f t="shared" si="158"/>
        <v>708</v>
      </c>
      <c r="C718" s="22" t="e">
        <f ca="1"/>
        <v>#N/A</v>
      </c>
      <c r="D718" s="17" t="e">
        <f ca="1"/>
        <v>#N/A</v>
      </c>
      <c r="E718" s="17" t="e">
        <f ca="1"/>
        <v>#N/A</v>
      </c>
      <c r="F718" s="23" t="e">
        <f ca="1"/>
        <v>#N/A</v>
      </c>
      <c r="G718" s="23">
        <f t="shared" ca="1" si="148"/>
        <v>0</v>
      </c>
      <c r="H718" t="b">
        <f t="shared" ca="1" si="155"/>
        <v>1</v>
      </c>
      <c r="I718" s="22" t="e">
        <f t="shared" ca="1" si="150"/>
        <v>#N/A</v>
      </c>
      <c r="J718">
        <f t="shared" ca="1" si="151"/>
        <v>0</v>
      </c>
      <c r="K718" t="e">
        <f t="shared" ca="1" si="156"/>
        <v>#N/A</v>
      </c>
      <c r="O718" s="22" t="e">
        <f t="shared" ca="1" si="152"/>
        <v>#N/A</v>
      </c>
      <c r="P718" s="17" t="e">
        <f ca="1"/>
        <v>#N/A</v>
      </c>
      <c r="Q718" s="17" t="e">
        <f ca="1"/>
        <v>#N/A</v>
      </c>
      <c r="R718" s="23" t="e">
        <f ca="1"/>
        <v>#N/A</v>
      </c>
      <c r="S718" s="23">
        <f t="shared" ca="1" si="149"/>
        <v>0</v>
      </c>
      <c r="T718" t="b">
        <f t="shared" ca="1" si="157"/>
        <v>1</v>
      </c>
      <c r="U718" s="22" t="e">
        <f t="shared" ca="1" si="153"/>
        <v>#N/A</v>
      </c>
      <c r="V718">
        <f t="shared" ca="1" si="154"/>
        <v>0</v>
      </c>
    </row>
    <row r="719" spans="2:22">
      <c r="B719">
        <f t="shared" si="158"/>
        <v>709</v>
      </c>
      <c r="C719" s="22" t="e">
        <f ca="1"/>
        <v>#N/A</v>
      </c>
      <c r="D719" s="17" t="e">
        <f ca="1"/>
        <v>#N/A</v>
      </c>
      <c r="E719" s="17" t="e">
        <f ca="1"/>
        <v>#N/A</v>
      </c>
      <c r="F719" s="23" t="e">
        <f ca="1"/>
        <v>#N/A</v>
      </c>
      <c r="G719" s="23">
        <f t="shared" ca="1" si="148"/>
        <v>0</v>
      </c>
      <c r="H719" t="b">
        <f t="shared" ca="1" si="155"/>
        <v>1</v>
      </c>
      <c r="I719" s="22" t="e">
        <f t="shared" ca="1" si="150"/>
        <v>#N/A</v>
      </c>
      <c r="J719">
        <f t="shared" ca="1" si="151"/>
        <v>0</v>
      </c>
      <c r="K719" t="e">
        <f t="shared" ca="1" si="156"/>
        <v>#N/A</v>
      </c>
      <c r="O719" s="22" t="e">
        <f t="shared" ca="1" si="152"/>
        <v>#N/A</v>
      </c>
      <c r="P719" s="17" t="e">
        <f ca="1"/>
        <v>#N/A</v>
      </c>
      <c r="Q719" s="17" t="e">
        <f ca="1"/>
        <v>#N/A</v>
      </c>
      <c r="R719" s="23" t="e">
        <f ca="1"/>
        <v>#N/A</v>
      </c>
      <c r="S719" s="23">
        <f t="shared" ca="1" si="149"/>
        <v>0</v>
      </c>
      <c r="T719" t="b">
        <f t="shared" ca="1" si="157"/>
        <v>1</v>
      </c>
      <c r="U719" s="22" t="e">
        <f t="shared" ca="1" si="153"/>
        <v>#N/A</v>
      </c>
      <c r="V719">
        <f t="shared" ca="1" si="154"/>
        <v>0</v>
      </c>
    </row>
    <row r="720" spans="2:22">
      <c r="B720">
        <f t="shared" si="158"/>
        <v>710</v>
      </c>
      <c r="C720" s="22" t="e">
        <f ca="1"/>
        <v>#N/A</v>
      </c>
      <c r="D720" s="17" t="e">
        <f ca="1"/>
        <v>#N/A</v>
      </c>
      <c r="E720" s="17" t="e">
        <f ca="1"/>
        <v>#N/A</v>
      </c>
      <c r="F720" s="23" t="e">
        <f ca="1"/>
        <v>#N/A</v>
      </c>
      <c r="G720" s="23">
        <f t="shared" ca="1" si="148"/>
        <v>0</v>
      </c>
      <c r="H720" t="b">
        <f t="shared" ca="1" si="155"/>
        <v>1</v>
      </c>
      <c r="I720" s="22" t="e">
        <f t="shared" ca="1" si="150"/>
        <v>#N/A</v>
      </c>
      <c r="J720">
        <f t="shared" ca="1" si="151"/>
        <v>0</v>
      </c>
      <c r="K720" t="e">
        <f t="shared" ca="1" si="156"/>
        <v>#N/A</v>
      </c>
      <c r="O720" s="22" t="e">
        <f t="shared" ca="1" si="152"/>
        <v>#N/A</v>
      </c>
      <c r="P720" s="17" t="e">
        <f ca="1"/>
        <v>#N/A</v>
      </c>
      <c r="Q720" s="17" t="e">
        <f ca="1"/>
        <v>#N/A</v>
      </c>
      <c r="R720" s="23" t="e">
        <f ca="1"/>
        <v>#N/A</v>
      </c>
      <c r="S720" s="23">
        <f t="shared" ca="1" si="149"/>
        <v>0</v>
      </c>
      <c r="T720" t="b">
        <f t="shared" ca="1" si="157"/>
        <v>1</v>
      </c>
      <c r="U720" s="22" t="e">
        <f t="shared" ca="1" si="153"/>
        <v>#N/A</v>
      </c>
      <c r="V720">
        <f t="shared" ca="1" si="154"/>
        <v>0</v>
      </c>
    </row>
    <row r="721" spans="2:22">
      <c r="B721">
        <f t="shared" si="158"/>
        <v>711</v>
      </c>
      <c r="C721" s="22" t="e">
        <f ca="1"/>
        <v>#N/A</v>
      </c>
      <c r="D721" s="17" t="e">
        <f ca="1"/>
        <v>#N/A</v>
      </c>
      <c r="E721" s="17" t="e">
        <f ca="1"/>
        <v>#N/A</v>
      </c>
      <c r="F721" s="23" t="e">
        <f ca="1"/>
        <v>#N/A</v>
      </c>
      <c r="G721" s="23">
        <f t="shared" ca="1" si="148"/>
        <v>0</v>
      </c>
      <c r="H721" t="b">
        <f t="shared" ca="1" si="155"/>
        <v>1</v>
      </c>
      <c r="I721" s="22" t="e">
        <f t="shared" ca="1" si="150"/>
        <v>#N/A</v>
      </c>
      <c r="J721">
        <f t="shared" ca="1" si="151"/>
        <v>0</v>
      </c>
      <c r="K721" t="e">
        <f t="shared" ca="1" si="156"/>
        <v>#N/A</v>
      </c>
      <c r="O721" s="22" t="e">
        <f t="shared" ca="1" si="152"/>
        <v>#N/A</v>
      </c>
      <c r="P721" s="17" t="e">
        <f ca="1"/>
        <v>#N/A</v>
      </c>
      <c r="Q721" s="17" t="e">
        <f ca="1"/>
        <v>#N/A</v>
      </c>
      <c r="R721" s="23" t="e">
        <f ca="1"/>
        <v>#N/A</v>
      </c>
      <c r="S721" s="23">
        <f t="shared" ca="1" si="149"/>
        <v>0</v>
      </c>
      <c r="T721" t="b">
        <f t="shared" ca="1" si="157"/>
        <v>1</v>
      </c>
      <c r="U721" s="22" t="e">
        <f t="shared" ca="1" si="153"/>
        <v>#N/A</v>
      </c>
      <c r="V721">
        <f t="shared" ca="1" si="154"/>
        <v>0</v>
      </c>
    </row>
    <row r="722" spans="2:22">
      <c r="B722">
        <f t="shared" si="158"/>
        <v>712</v>
      </c>
      <c r="C722" s="22" t="e">
        <f ca="1"/>
        <v>#N/A</v>
      </c>
      <c r="D722" s="17" t="e">
        <f ca="1"/>
        <v>#N/A</v>
      </c>
      <c r="E722" s="17" t="e">
        <f ca="1"/>
        <v>#N/A</v>
      </c>
      <c r="F722" s="23" t="e">
        <f ca="1"/>
        <v>#N/A</v>
      </c>
      <c r="G722" s="23">
        <f t="shared" ca="1" si="148"/>
        <v>0</v>
      </c>
      <c r="H722" t="b">
        <f t="shared" ca="1" si="155"/>
        <v>1</v>
      </c>
      <c r="I722" s="22" t="e">
        <f t="shared" ca="1" si="150"/>
        <v>#N/A</v>
      </c>
      <c r="J722">
        <f t="shared" ca="1" si="151"/>
        <v>0</v>
      </c>
      <c r="K722" t="e">
        <f t="shared" ca="1" si="156"/>
        <v>#N/A</v>
      </c>
      <c r="O722" s="22" t="e">
        <f t="shared" ca="1" si="152"/>
        <v>#N/A</v>
      </c>
      <c r="P722" s="17" t="e">
        <f ca="1"/>
        <v>#N/A</v>
      </c>
      <c r="Q722" s="17" t="e">
        <f ca="1"/>
        <v>#N/A</v>
      </c>
      <c r="R722" s="23" t="e">
        <f ca="1"/>
        <v>#N/A</v>
      </c>
      <c r="S722" s="23">
        <f t="shared" ca="1" si="149"/>
        <v>0</v>
      </c>
      <c r="T722" t="b">
        <f t="shared" ca="1" si="157"/>
        <v>1</v>
      </c>
      <c r="U722" s="22" t="e">
        <f t="shared" ca="1" si="153"/>
        <v>#N/A</v>
      </c>
      <c r="V722">
        <f t="shared" ca="1" si="154"/>
        <v>0</v>
      </c>
    </row>
    <row r="723" spans="2:22">
      <c r="B723">
        <f t="shared" si="158"/>
        <v>713</v>
      </c>
      <c r="C723" s="22" t="e">
        <f ca="1"/>
        <v>#N/A</v>
      </c>
      <c r="D723" s="17" t="e">
        <f ca="1"/>
        <v>#N/A</v>
      </c>
      <c r="E723" s="17" t="e">
        <f ca="1"/>
        <v>#N/A</v>
      </c>
      <c r="F723" s="23" t="e">
        <f ca="1"/>
        <v>#N/A</v>
      </c>
      <c r="G723" s="23">
        <f t="shared" ca="1" si="148"/>
        <v>0</v>
      </c>
      <c r="H723" t="b">
        <f t="shared" ca="1" si="155"/>
        <v>1</v>
      </c>
      <c r="I723" s="22" t="e">
        <f t="shared" ca="1" si="150"/>
        <v>#N/A</v>
      </c>
      <c r="J723">
        <f t="shared" ca="1" si="151"/>
        <v>0</v>
      </c>
      <c r="K723" t="e">
        <f t="shared" ca="1" si="156"/>
        <v>#N/A</v>
      </c>
      <c r="O723" s="22" t="e">
        <f t="shared" ca="1" si="152"/>
        <v>#N/A</v>
      </c>
      <c r="P723" s="17" t="e">
        <f ca="1"/>
        <v>#N/A</v>
      </c>
      <c r="Q723" s="17" t="e">
        <f ca="1"/>
        <v>#N/A</v>
      </c>
      <c r="R723" s="23" t="e">
        <f ca="1"/>
        <v>#N/A</v>
      </c>
      <c r="S723" s="23">
        <f t="shared" ca="1" si="149"/>
        <v>0</v>
      </c>
      <c r="T723" t="b">
        <f t="shared" ca="1" si="157"/>
        <v>1</v>
      </c>
      <c r="U723" s="22" t="e">
        <f t="shared" ca="1" si="153"/>
        <v>#N/A</v>
      </c>
      <c r="V723">
        <f t="shared" ca="1" si="154"/>
        <v>0</v>
      </c>
    </row>
    <row r="724" spans="2:22">
      <c r="B724">
        <f t="shared" si="158"/>
        <v>714</v>
      </c>
      <c r="C724" s="22" t="e">
        <f ca="1"/>
        <v>#N/A</v>
      </c>
      <c r="D724" s="17" t="e">
        <f ca="1"/>
        <v>#N/A</v>
      </c>
      <c r="E724" s="17" t="e">
        <f ca="1"/>
        <v>#N/A</v>
      </c>
      <c r="F724" s="23" t="e">
        <f ca="1"/>
        <v>#N/A</v>
      </c>
      <c r="G724" s="23">
        <f t="shared" ca="1" si="148"/>
        <v>0</v>
      </c>
      <c r="H724" t="b">
        <f t="shared" ca="1" si="155"/>
        <v>1</v>
      </c>
      <c r="I724" s="22" t="e">
        <f t="shared" ca="1" si="150"/>
        <v>#N/A</v>
      </c>
      <c r="J724">
        <f t="shared" ca="1" si="151"/>
        <v>0</v>
      </c>
      <c r="K724" t="e">
        <f t="shared" ca="1" si="156"/>
        <v>#N/A</v>
      </c>
      <c r="O724" s="22" t="e">
        <f t="shared" ca="1" si="152"/>
        <v>#N/A</v>
      </c>
      <c r="P724" s="17" t="e">
        <f ca="1"/>
        <v>#N/A</v>
      </c>
      <c r="Q724" s="17" t="e">
        <f ca="1"/>
        <v>#N/A</v>
      </c>
      <c r="R724" s="23" t="e">
        <f ca="1"/>
        <v>#N/A</v>
      </c>
      <c r="S724" s="23">
        <f t="shared" ca="1" si="149"/>
        <v>0</v>
      </c>
      <c r="T724" t="b">
        <f t="shared" ca="1" si="157"/>
        <v>1</v>
      </c>
      <c r="U724" s="22" t="e">
        <f t="shared" ca="1" si="153"/>
        <v>#N/A</v>
      </c>
      <c r="V724">
        <f t="shared" ca="1" si="154"/>
        <v>0</v>
      </c>
    </row>
    <row r="725" spans="2:22">
      <c r="B725">
        <f t="shared" si="158"/>
        <v>715</v>
      </c>
      <c r="C725" s="22" t="e">
        <f ca="1"/>
        <v>#N/A</v>
      </c>
      <c r="D725" s="17" t="e">
        <f ca="1"/>
        <v>#N/A</v>
      </c>
      <c r="E725" s="17" t="e">
        <f ca="1"/>
        <v>#N/A</v>
      </c>
      <c r="F725" s="23" t="e">
        <f ca="1"/>
        <v>#N/A</v>
      </c>
      <c r="G725" s="23">
        <f t="shared" ca="1" si="148"/>
        <v>0</v>
      </c>
      <c r="H725" t="b">
        <f t="shared" ca="1" si="155"/>
        <v>1</v>
      </c>
      <c r="I725" s="22" t="e">
        <f t="shared" ca="1" si="150"/>
        <v>#N/A</v>
      </c>
      <c r="J725">
        <f t="shared" ca="1" si="151"/>
        <v>0</v>
      </c>
      <c r="K725" t="e">
        <f t="shared" ca="1" si="156"/>
        <v>#N/A</v>
      </c>
      <c r="O725" s="22" t="e">
        <f t="shared" ca="1" si="152"/>
        <v>#N/A</v>
      </c>
      <c r="P725" s="17" t="e">
        <f ca="1"/>
        <v>#N/A</v>
      </c>
      <c r="Q725" s="17" t="e">
        <f ca="1"/>
        <v>#N/A</v>
      </c>
      <c r="R725" s="23" t="e">
        <f ca="1"/>
        <v>#N/A</v>
      </c>
      <c r="S725" s="23">
        <f t="shared" ca="1" si="149"/>
        <v>0</v>
      </c>
      <c r="T725" t="b">
        <f t="shared" ca="1" si="157"/>
        <v>1</v>
      </c>
      <c r="U725" s="22" t="e">
        <f t="shared" ca="1" si="153"/>
        <v>#N/A</v>
      </c>
      <c r="V725">
        <f t="shared" ca="1" si="154"/>
        <v>0</v>
      </c>
    </row>
    <row r="726" spans="2:22">
      <c r="B726">
        <f t="shared" si="158"/>
        <v>716</v>
      </c>
      <c r="C726" s="22" t="e">
        <f ca="1"/>
        <v>#N/A</v>
      </c>
      <c r="D726" s="17" t="e">
        <f ca="1"/>
        <v>#N/A</v>
      </c>
      <c r="E726" s="17" t="e">
        <f ca="1"/>
        <v>#N/A</v>
      </c>
      <c r="F726" s="23" t="e">
        <f ca="1"/>
        <v>#N/A</v>
      </c>
      <c r="G726" s="23">
        <f t="shared" ca="1" si="148"/>
        <v>0</v>
      </c>
      <c r="H726" t="b">
        <f t="shared" ca="1" si="155"/>
        <v>1</v>
      </c>
      <c r="I726" s="22" t="e">
        <f t="shared" ca="1" si="150"/>
        <v>#N/A</v>
      </c>
      <c r="J726">
        <f t="shared" ca="1" si="151"/>
        <v>0</v>
      </c>
      <c r="K726" t="e">
        <f t="shared" ca="1" si="156"/>
        <v>#N/A</v>
      </c>
      <c r="O726" s="22" t="e">
        <f t="shared" ca="1" si="152"/>
        <v>#N/A</v>
      </c>
      <c r="P726" s="17" t="e">
        <f ca="1"/>
        <v>#N/A</v>
      </c>
      <c r="Q726" s="17" t="e">
        <f ca="1"/>
        <v>#N/A</v>
      </c>
      <c r="R726" s="23" t="e">
        <f ca="1"/>
        <v>#N/A</v>
      </c>
      <c r="S726" s="23">
        <f t="shared" ca="1" si="149"/>
        <v>0</v>
      </c>
      <c r="T726" t="b">
        <f t="shared" ca="1" si="157"/>
        <v>1</v>
      </c>
      <c r="U726" s="22" t="e">
        <f t="shared" ca="1" si="153"/>
        <v>#N/A</v>
      </c>
      <c r="V726">
        <f t="shared" ca="1" si="154"/>
        <v>0</v>
      </c>
    </row>
    <row r="727" spans="2:22">
      <c r="B727">
        <f t="shared" si="158"/>
        <v>717</v>
      </c>
      <c r="C727" s="22" t="e">
        <f ca="1"/>
        <v>#N/A</v>
      </c>
      <c r="D727" s="17" t="e">
        <f ca="1"/>
        <v>#N/A</v>
      </c>
      <c r="E727" s="17" t="e">
        <f ca="1"/>
        <v>#N/A</v>
      </c>
      <c r="F727" s="23" t="e">
        <f ca="1"/>
        <v>#N/A</v>
      </c>
      <c r="G727" s="23">
        <f t="shared" ref="G727:G790" ca="1" si="159">IFERROR(Volatility(D716:D727,12),FALSE)</f>
        <v>0</v>
      </c>
      <c r="H727" t="b">
        <f t="shared" ca="1" si="155"/>
        <v>1</v>
      </c>
      <c r="I727" s="22" t="e">
        <f t="shared" ca="1" si="150"/>
        <v>#N/A</v>
      </c>
      <c r="J727">
        <f t="shared" ca="1" si="151"/>
        <v>0</v>
      </c>
      <c r="K727" t="e">
        <f t="shared" ca="1" si="156"/>
        <v>#N/A</v>
      </c>
      <c r="O727" s="22" t="e">
        <f t="shared" ca="1" si="152"/>
        <v>#N/A</v>
      </c>
      <c r="P727" s="17" t="e">
        <f ca="1"/>
        <v>#N/A</v>
      </c>
      <c r="Q727" s="17" t="e">
        <f ca="1"/>
        <v>#N/A</v>
      </c>
      <c r="R727" s="23" t="e">
        <f ca="1"/>
        <v>#N/A</v>
      </c>
      <c r="S727" s="23">
        <f t="shared" ref="S727:S790" ca="1" si="160">IFERROR(Volatility(P716:P727,12),FALSE)</f>
        <v>0</v>
      </c>
      <c r="T727" t="b">
        <f t="shared" ca="1" si="157"/>
        <v>1</v>
      </c>
      <c r="U727" s="22" t="e">
        <f t="shared" ca="1" si="153"/>
        <v>#N/A</v>
      </c>
      <c r="V727">
        <f t="shared" ca="1" si="154"/>
        <v>0</v>
      </c>
    </row>
    <row r="728" spans="2:22">
      <c r="B728">
        <f t="shared" si="158"/>
        <v>718</v>
      </c>
      <c r="C728" s="22" t="e">
        <f ca="1"/>
        <v>#N/A</v>
      </c>
      <c r="D728" s="17" t="e">
        <f ca="1"/>
        <v>#N/A</v>
      </c>
      <c r="E728" s="17" t="e">
        <f ca="1"/>
        <v>#N/A</v>
      </c>
      <c r="F728" s="23" t="e">
        <f ca="1"/>
        <v>#N/A</v>
      </c>
      <c r="G728" s="23">
        <f t="shared" ca="1" si="159"/>
        <v>0</v>
      </c>
      <c r="H728" t="b">
        <f t="shared" ca="1" si="155"/>
        <v>1</v>
      </c>
      <c r="I728" s="22" t="e">
        <f t="shared" ca="1" si="150"/>
        <v>#N/A</v>
      </c>
      <c r="J728">
        <f t="shared" ca="1" si="151"/>
        <v>0</v>
      </c>
      <c r="K728" t="e">
        <f t="shared" ca="1" si="156"/>
        <v>#N/A</v>
      </c>
      <c r="O728" s="22" t="e">
        <f t="shared" ca="1" si="152"/>
        <v>#N/A</v>
      </c>
      <c r="P728" s="17" t="e">
        <f ca="1"/>
        <v>#N/A</v>
      </c>
      <c r="Q728" s="17" t="e">
        <f ca="1"/>
        <v>#N/A</v>
      </c>
      <c r="R728" s="23" t="e">
        <f ca="1"/>
        <v>#N/A</v>
      </c>
      <c r="S728" s="23">
        <f t="shared" ca="1" si="160"/>
        <v>0</v>
      </c>
      <c r="T728" t="b">
        <f t="shared" ca="1" si="157"/>
        <v>1</v>
      </c>
      <c r="U728" s="22" t="e">
        <f t="shared" ca="1" si="153"/>
        <v>#N/A</v>
      </c>
      <c r="V728">
        <f t="shared" ca="1" si="154"/>
        <v>0</v>
      </c>
    </row>
    <row r="729" spans="2:22">
      <c r="B729">
        <f t="shared" si="158"/>
        <v>719</v>
      </c>
      <c r="C729" s="22" t="e">
        <f ca="1"/>
        <v>#N/A</v>
      </c>
      <c r="D729" s="17" t="e">
        <f ca="1"/>
        <v>#N/A</v>
      </c>
      <c r="E729" s="17" t="e">
        <f ca="1"/>
        <v>#N/A</v>
      </c>
      <c r="F729" s="23" t="e">
        <f ca="1"/>
        <v>#N/A</v>
      </c>
      <c r="G729" s="23">
        <f t="shared" ca="1" si="159"/>
        <v>0</v>
      </c>
      <c r="H729" t="b">
        <f t="shared" ca="1" si="155"/>
        <v>1</v>
      </c>
      <c r="I729" s="22" t="e">
        <f t="shared" ca="1" si="150"/>
        <v>#N/A</v>
      </c>
      <c r="J729">
        <f t="shared" ca="1" si="151"/>
        <v>0</v>
      </c>
      <c r="K729" t="e">
        <f t="shared" ca="1" si="156"/>
        <v>#N/A</v>
      </c>
      <c r="O729" s="22" t="e">
        <f t="shared" ca="1" si="152"/>
        <v>#N/A</v>
      </c>
      <c r="P729" s="17" t="e">
        <f ca="1"/>
        <v>#N/A</v>
      </c>
      <c r="Q729" s="17" t="e">
        <f ca="1"/>
        <v>#N/A</v>
      </c>
      <c r="R729" s="23" t="e">
        <f ca="1"/>
        <v>#N/A</v>
      </c>
      <c r="S729" s="23">
        <f t="shared" ca="1" si="160"/>
        <v>0</v>
      </c>
      <c r="T729" t="b">
        <f t="shared" ca="1" si="157"/>
        <v>1</v>
      </c>
      <c r="U729" s="22" t="e">
        <f t="shared" ca="1" si="153"/>
        <v>#N/A</v>
      </c>
      <c r="V729">
        <f t="shared" ca="1" si="154"/>
        <v>0</v>
      </c>
    </row>
    <row r="730" spans="2:22">
      <c r="B730">
        <f t="shared" si="158"/>
        <v>720</v>
      </c>
      <c r="C730" s="22" t="e">
        <f ca="1"/>
        <v>#N/A</v>
      </c>
      <c r="D730" s="17" t="e">
        <f ca="1"/>
        <v>#N/A</v>
      </c>
      <c r="E730" s="17" t="e">
        <f ca="1"/>
        <v>#N/A</v>
      </c>
      <c r="F730" s="23" t="e">
        <f ca="1"/>
        <v>#N/A</v>
      </c>
      <c r="G730" s="23">
        <f t="shared" ca="1" si="159"/>
        <v>0</v>
      </c>
      <c r="H730" t="b">
        <f t="shared" ca="1" si="155"/>
        <v>1</v>
      </c>
      <c r="I730" s="22" t="e">
        <f t="shared" ca="1" si="150"/>
        <v>#N/A</v>
      </c>
      <c r="J730">
        <f t="shared" ca="1" si="151"/>
        <v>0</v>
      </c>
      <c r="K730" t="e">
        <f t="shared" ca="1" si="156"/>
        <v>#N/A</v>
      </c>
      <c r="O730" s="22" t="e">
        <f t="shared" ca="1" si="152"/>
        <v>#N/A</v>
      </c>
      <c r="P730" s="17" t="e">
        <f ca="1"/>
        <v>#N/A</v>
      </c>
      <c r="Q730" s="17" t="e">
        <f ca="1"/>
        <v>#N/A</v>
      </c>
      <c r="R730" s="23" t="e">
        <f ca="1"/>
        <v>#N/A</v>
      </c>
      <c r="S730" s="23">
        <f t="shared" ca="1" si="160"/>
        <v>0</v>
      </c>
      <c r="T730" t="b">
        <f t="shared" ca="1" si="157"/>
        <v>1</v>
      </c>
      <c r="U730" s="22" t="e">
        <f t="shared" ca="1" si="153"/>
        <v>#N/A</v>
      </c>
      <c r="V730">
        <f t="shared" ca="1" si="154"/>
        <v>0</v>
      </c>
    </row>
    <row r="731" spans="2:22">
      <c r="B731">
        <f t="shared" si="158"/>
        <v>721</v>
      </c>
      <c r="C731" s="22" t="e">
        <f ca="1"/>
        <v>#N/A</v>
      </c>
      <c r="D731" s="17" t="e">
        <f ca="1"/>
        <v>#N/A</v>
      </c>
      <c r="E731" s="17" t="e">
        <f ca="1"/>
        <v>#N/A</v>
      </c>
      <c r="F731" s="23" t="e">
        <f ca="1"/>
        <v>#N/A</v>
      </c>
      <c r="G731" s="23">
        <f t="shared" ca="1" si="159"/>
        <v>0</v>
      </c>
      <c r="H731" t="b">
        <f t="shared" ca="1" si="155"/>
        <v>1</v>
      </c>
      <c r="I731" s="22" t="e">
        <f t="shared" ca="1" si="150"/>
        <v>#N/A</v>
      </c>
      <c r="J731">
        <f t="shared" ca="1" si="151"/>
        <v>0</v>
      </c>
      <c r="K731" t="e">
        <f t="shared" ca="1" si="156"/>
        <v>#N/A</v>
      </c>
      <c r="O731" s="22" t="e">
        <f t="shared" ca="1" si="152"/>
        <v>#N/A</v>
      </c>
      <c r="P731" s="17" t="e">
        <f ca="1"/>
        <v>#N/A</v>
      </c>
      <c r="Q731" s="17" t="e">
        <f ca="1"/>
        <v>#N/A</v>
      </c>
      <c r="R731" s="23" t="e">
        <f ca="1"/>
        <v>#N/A</v>
      </c>
      <c r="S731" s="23">
        <f t="shared" ca="1" si="160"/>
        <v>0</v>
      </c>
      <c r="T731" t="b">
        <f t="shared" ca="1" si="157"/>
        <v>1</v>
      </c>
      <c r="U731" s="22" t="e">
        <f t="shared" ca="1" si="153"/>
        <v>#N/A</v>
      </c>
      <c r="V731">
        <f t="shared" ca="1" si="154"/>
        <v>0</v>
      </c>
    </row>
    <row r="732" spans="2:22">
      <c r="B732">
        <f t="shared" si="158"/>
        <v>722</v>
      </c>
      <c r="C732" s="22" t="e">
        <f ca="1"/>
        <v>#N/A</v>
      </c>
      <c r="D732" s="17" t="e">
        <f ca="1"/>
        <v>#N/A</v>
      </c>
      <c r="E732" s="17" t="e">
        <f ca="1"/>
        <v>#N/A</v>
      </c>
      <c r="F732" s="23" t="e">
        <f ca="1"/>
        <v>#N/A</v>
      </c>
      <c r="G732" s="23">
        <f t="shared" ca="1" si="159"/>
        <v>0</v>
      </c>
      <c r="H732" t="b">
        <f t="shared" ca="1" si="155"/>
        <v>1</v>
      </c>
      <c r="I732" s="22" t="e">
        <f t="shared" ca="1" si="150"/>
        <v>#N/A</v>
      </c>
      <c r="J732">
        <f t="shared" ca="1" si="151"/>
        <v>0</v>
      </c>
      <c r="K732" t="e">
        <f t="shared" ca="1" si="156"/>
        <v>#N/A</v>
      </c>
      <c r="O732" s="22" t="e">
        <f t="shared" ca="1" si="152"/>
        <v>#N/A</v>
      </c>
      <c r="P732" s="17" t="e">
        <f ca="1"/>
        <v>#N/A</v>
      </c>
      <c r="Q732" s="17" t="e">
        <f ca="1"/>
        <v>#N/A</v>
      </c>
      <c r="R732" s="23" t="e">
        <f ca="1"/>
        <v>#N/A</v>
      </c>
      <c r="S732" s="23">
        <f t="shared" ca="1" si="160"/>
        <v>0</v>
      </c>
      <c r="T732" t="b">
        <f t="shared" ca="1" si="157"/>
        <v>1</v>
      </c>
      <c r="U732" s="22" t="e">
        <f t="shared" ca="1" si="153"/>
        <v>#N/A</v>
      </c>
      <c r="V732">
        <f t="shared" ca="1" si="154"/>
        <v>0</v>
      </c>
    </row>
    <row r="733" spans="2:22">
      <c r="B733">
        <f t="shared" si="158"/>
        <v>723</v>
      </c>
      <c r="C733" s="22" t="e">
        <f ca="1"/>
        <v>#N/A</v>
      </c>
      <c r="D733" s="17" t="e">
        <f ca="1"/>
        <v>#N/A</v>
      </c>
      <c r="E733" s="17" t="e">
        <f ca="1"/>
        <v>#N/A</v>
      </c>
      <c r="F733" s="23" t="e">
        <f ca="1"/>
        <v>#N/A</v>
      </c>
      <c r="G733" s="23">
        <f t="shared" ca="1" si="159"/>
        <v>0</v>
      </c>
      <c r="H733" t="b">
        <f t="shared" ca="1" si="155"/>
        <v>1</v>
      </c>
      <c r="I733" s="22" t="e">
        <f t="shared" ca="1" si="150"/>
        <v>#N/A</v>
      </c>
      <c r="J733">
        <f t="shared" ca="1" si="151"/>
        <v>0</v>
      </c>
      <c r="K733" t="e">
        <f t="shared" ca="1" si="156"/>
        <v>#N/A</v>
      </c>
      <c r="O733" s="22" t="e">
        <f t="shared" ca="1" si="152"/>
        <v>#N/A</v>
      </c>
      <c r="P733" s="17" t="e">
        <f ca="1"/>
        <v>#N/A</v>
      </c>
      <c r="Q733" s="17" t="e">
        <f ca="1"/>
        <v>#N/A</v>
      </c>
      <c r="R733" s="23" t="e">
        <f ca="1"/>
        <v>#N/A</v>
      </c>
      <c r="S733" s="23">
        <f t="shared" ca="1" si="160"/>
        <v>0</v>
      </c>
      <c r="T733" t="b">
        <f t="shared" ca="1" si="157"/>
        <v>1</v>
      </c>
      <c r="U733" s="22" t="e">
        <f t="shared" ca="1" si="153"/>
        <v>#N/A</v>
      </c>
      <c r="V733">
        <f t="shared" ca="1" si="154"/>
        <v>0</v>
      </c>
    </row>
    <row r="734" spans="2:22">
      <c r="B734">
        <f t="shared" si="158"/>
        <v>724</v>
      </c>
      <c r="C734" s="22" t="e">
        <f ca="1"/>
        <v>#N/A</v>
      </c>
      <c r="D734" s="17" t="e">
        <f ca="1"/>
        <v>#N/A</v>
      </c>
      <c r="E734" s="17" t="e">
        <f ca="1"/>
        <v>#N/A</v>
      </c>
      <c r="F734" s="23" t="e">
        <f ca="1"/>
        <v>#N/A</v>
      </c>
      <c r="G734" s="23">
        <f t="shared" ca="1" si="159"/>
        <v>0</v>
      </c>
      <c r="H734" t="b">
        <f t="shared" ca="1" si="155"/>
        <v>1</v>
      </c>
      <c r="I734" s="22" t="e">
        <f t="shared" ca="1" si="150"/>
        <v>#N/A</v>
      </c>
      <c r="J734">
        <f t="shared" ca="1" si="151"/>
        <v>0</v>
      </c>
      <c r="K734" t="e">
        <f t="shared" ca="1" si="156"/>
        <v>#N/A</v>
      </c>
      <c r="O734" s="22" t="e">
        <f t="shared" ca="1" si="152"/>
        <v>#N/A</v>
      </c>
      <c r="P734" s="17" t="e">
        <f ca="1"/>
        <v>#N/A</v>
      </c>
      <c r="Q734" s="17" t="e">
        <f ca="1"/>
        <v>#N/A</v>
      </c>
      <c r="R734" s="23" t="e">
        <f ca="1"/>
        <v>#N/A</v>
      </c>
      <c r="S734" s="23">
        <f t="shared" ca="1" si="160"/>
        <v>0</v>
      </c>
      <c r="T734" t="b">
        <f t="shared" ca="1" si="157"/>
        <v>1</v>
      </c>
      <c r="U734" s="22" t="e">
        <f t="shared" ca="1" si="153"/>
        <v>#N/A</v>
      </c>
      <c r="V734">
        <f t="shared" ca="1" si="154"/>
        <v>0</v>
      </c>
    </row>
    <row r="735" spans="2:22">
      <c r="B735">
        <f t="shared" si="158"/>
        <v>725</v>
      </c>
      <c r="C735" s="22" t="e">
        <f ca="1"/>
        <v>#N/A</v>
      </c>
      <c r="D735" s="17" t="e">
        <f ca="1"/>
        <v>#N/A</v>
      </c>
      <c r="E735" s="17" t="e">
        <f ca="1"/>
        <v>#N/A</v>
      </c>
      <c r="F735" s="23" t="e">
        <f ca="1"/>
        <v>#N/A</v>
      </c>
      <c r="G735" s="23">
        <f t="shared" ca="1" si="159"/>
        <v>0</v>
      </c>
      <c r="H735" t="b">
        <f t="shared" ca="1" si="155"/>
        <v>1</v>
      </c>
      <c r="I735" s="22" t="e">
        <f t="shared" ca="1" si="150"/>
        <v>#N/A</v>
      </c>
      <c r="J735">
        <f t="shared" ca="1" si="151"/>
        <v>0</v>
      </c>
      <c r="K735" t="e">
        <f t="shared" ca="1" si="156"/>
        <v>#N/A</v>
      </c>
      <c r="O735" s="22" t="e">
        <f t="shared" ca="1" si="152"/>
        <v>#N/A</v>
      </c>
      <c r="P735" s="17" t="e">
        <f ca="1"/>
        <v>#N/A</v>
      </c>
      <c r="Q735" s="17" t="e">
        <f ca="1"/>
        <v>#N/A</v>
      </c>
      <c r="R735" s="23" t="e">
        <f ca="1"/>
        <v>#N/A</v>
      </c>
      <c r="S735" s="23">
        <f t="shared" ca="1" si="160"/>
        <v>0</v>
      </c>
      <c r="T735" t="b">
        <f t="shared" ca="1" si="157"/>
        <v>1</v>
      </c>
      <c r="U735" s="22" t="e">
        <f t="shared" ca="1" si="153"/>
        <v>#N/A</v>
      </c>
      <c r="V735">
        <f t="shared" ca="1" si="154"/>
        <v>0</v>
      </c>
    </row>
    <row r="736" spans="2:22">
      <c r="B736">
        <f t="shared" si="158"/>
        <v>726</v>
      </c>
      <c r="C736" s="22" t="e">
        <f ca="1"/>
        <v>#N/A</v>
      </c>
      <c r="D736" s="17" t="e">
        <f ca="1"/>
        <v>#N/A</v>
      </c>
      <c r="E736" s="17" t="e">
        <f ca="1"/>
        <v>#N/A</v>
      </c>
      <c r="F736" s="23" t="e">
        <f ca="1"/>
        <v>#N/A</v>
      </c>
      <c r="G736" s="23">
        <f t="shared" ca="1" si="159"/>
        <v>0</v>
      </c>
      <c r="H736" t="b">
        <f t="shared" ca="1" si="155"/>
        <v>1</v>
      </c>
      <c r="I736" s="22" t="e">
        <f t="shared" ca="1" si="150"/>
        <v>#N/A</v>
      </c>
      <c r="J736">
        <f t="shared" ca="1" si="151"/>
        <v>0</v>
      </c>
      <c r="K736" t="e">
        <f t="shared" ca="1" si="156"/>
        <v>#N/A</v>
      </c>
      <c r="O736" s="22" t="e">
        <f t="shared" ca="1" si="152"/>
        <v>#N/A</v>
      </c>
      <c r="P736" s="17" t="e">
        <f ca="1"/>
        <v>#N/A</v>
      </c>
      <c r="Q736" s="17" t="e">
        <f ca="1"/>
        <v>#N/A</v>
      </c>
      <c r="R736" s="23" t="e">
        <f ca="1"/>
        <v>#N/A</v>
      </c>
      <c r="S736" s="23">
        <f t="shared" ca="1" si="160"/>
        <v>0</v>
      </c>
      <c r="T736" t="b">
        <f t="shared" ca="1" si="157"/>
        <v>1</v>
      </c>
      <c r="U736" s="22" t="e">
        <f t="shared" ca="1" si="153"/>
        <v>#N/A</v>
      </c>
      <c r="V736">
        <f t="shared" ca="1" si="154"/>
        <v>0</v>
      </c>
    </row>
    <row r="737" spans="2:22">
      <c r="B737">
        <f t="shared" si="158"/>
        <v>727</v>
      </c>
      <c r="C737" s="22" t="e">
        <f ca="1"/>
        <v>#N/A</v>
      </c>
      <c r="D737" s="17" t="e">
        <f ca="1"/>
        <v>#N/A</v>
      </c>
      <c r="E737" s="17" t="e">
        <f ca="1"/>
        <v>#N/A</v>
      </c>
      <c r="F737" s="23" t="e">
        <f ca="1"/>
        <v>#N/A</v>
      </c>
      <c r="G737" s="23">
        <f t="shared" ca="1" si="159"/>
        <v>0</v>
      </c>
      <c r="H737" t="b">
        <f t="shared" ca="1" si="155"/>
        <v>1</v>
      </c>
      <c r="I737" s="22" t="e">
        <f t="shared" ca="1" si="150"/>
        <v>#N/A</v>
      </c>
      <c r="J737">
        <f t="shared" ca="1" si="151"/>
        <v>0</v>
      </c>
      <c r="K737" t="e">
        <f t="shared" ca="1" si="156"/>
        <v>#N/A</v>
      </c>
      <c r="O737" s="22" t="e">
        <f t="shared" ca="1" si="152"/>
        <v>#N/A</v>
      </c>
      <c r="P737" s="17" t="e">
        <f ca="1"/>
        <v>#N/A</v>
      </c>
      <c r="Q737" s="17" t="e">
        <f ca="1"/>
        <v>#N/A</v>
      </c>
      <c r="R737" s="23" t="e">
        <f ca="1"/>
        <v>#N/A</v>
      </c>
      <c r="S737" s="23">
        <f t="shared" ca="1" si="160"/>
        <v>0</v>
      </c>
      <c r="T737" t="b">
        <f t="shared" ca="1" si="157"/>
        <v>1</v>
      </c>
      <c r="U737" s="22" t="e">
        <f t="shared" ca="1" si="153"/>
        <v>#N/A</v>
      </c>
      <c r="V737">
        <f t="shared" ca="1" si="154"/>
        <v>0</v>
      </c>
    </row>
    <row r="738" spans="2:22">
      <c r="B738">
        <f t="shared" si="158"/>
        <v>728</v>
      </c>
      <c r="C738" s="22" t="e">
        <f ca="1"/>
        <v>#N/A</v>
      </c>
      <c r="D738" s="17" t="e">
        <f ca="1"/>
        <v>#N/A</v>
      </c>
      <c r="E738" s="17" t="e">
        <f ca="1"/>
        <v>#N/A</v>
      </c>
      <c r="F738" s="23" t="e">
        <f ca="1"/>
        <v>#N/A</v>
      </c>
      <c r="G738" s="23">
        <f t="shared" ca="1" si="159"/>
        <v>0</v>
      </c>
      <c r="H738" t="b">
        <f t="shared" ca="1" si="155"/>
        <v>1</v>
      </c>
      <c r="I738" s="22" t="e">
        <f t="shared" ca="1" si="150"/>
        <v>#N/A</v>
      </c>
      <c r="J738">
        <f t="shared" ca="1" si="151"/>
        <v>0</v>
      </c>
      <c r="K738" t="e">
        <f t="shared" ca="1" si="156"/>
        <v>#N/A</v>
      </c>
      <c r="O738" s="22" t="e">
        <f t="shared" ca="1" si="152"/>
        <v>#N/A</v>
      </c>
      <c r="P738" s="17" t="e">
        <f ca="1"/>
        <v>#N/A</v>
      </c>
      <c r="Q738" s="17" t="e">
        <f ca="1"/>
        <v>#N/A</v>
      </c>
      <c r="R738" s="23" t="e">
        <f ca="1"/>
        <v>#N/A</v>
      </c>
      <c r="S738" s="23">
        <f t="shared" ca="1" si="160"/>
        <v>0</v>
      </c>
      <c r="T738" t="b">
        <f t="shared" ca="1" si="157"/>
        <v>1</v>
      </c>
      <c r="U738" s="22" t="e">
        <f t="shared" ca="1" si="153"/>
        <v>#N/A</v>
      </c>
      <c r="V738">
        <f t="shared" ca="1" si="154"/>
        <v>0</v>
      </c>
    </row>
    <row r="739" spans="2:22">
      <c r="B739">
        <f t="shared" si="158"/>
        <v>729</v>
      </c>
      <c r="C739" s="22" t="e">
        <f ca="1"/>
        <v>#N/A</v>
      </c>
      <c r="D739" s="17" t="e">
        <f ca="1"/>
        <v>#N/A</v>
      </c>
      <c r="E739" s="17" t="e">
        <f ca="1"/>
        <v>#N/A</v>
      </c>
      <c r="F739" s="23" t="e">
        <f ca="1"/>
        <v>#N/A</v>
      </c>
      <c r="G739" s="23">
        <f t="shared" ca="1" si="159"/>
        <v>0</v>
      </c>
      <c r="H739" t="b">
        <f t="shared" ca="1" si="155"/>
        <v>1</v>
      </c>
      <c r="I739" s="22" t="e">
        <f t="shared" ca="1" si="150"/>
        <v>#N/A</v>
      </c>
      <c r="J739">
        <f t="shared" ca="1" si="151"/>
        <v>0</v>
      </c>
      <c r="K739" t="e">
        <f t="shared" ca="1" si="156"/>
        <v>#N/A</v>
      </c>
      <c r="O739" s="22" t="e">
        <f t="shared" ca="1" si="152"/>
        <v>#N/A</v>
      </c>
      <c r="P739" s="17" t="e">
        <f ca="1"/>
        <v>#N/A</v>
      </c>
      <c r="Q739" s="17" t="e">
        <f ca="1"/>
        <v>#N/A</v>
      </c>
      <c r="R739" s="23" t="e">
        <f ca="1"/>
        <v>#N/A</v>
      </c>
      <c r="S739" s="23">
        <f t="shared" ca="1" si="160"/>
        <v>0</v>
      </c>
      <c r="T739" t="b">
        <f t="shared" ca="1" si="157"/>
        <v>1</v>
      </c>
      <c r="U739" s="22" t="e">
        <f t="shared" ca="1" si="153"/>
        <v>#N/A</v>
      </c>
      <c r="V739">
        <f t="shared" ca="1" si="154"/>
        <v>0</v>
      </c>
    </row>
    <row r="740" spans="2:22">
      <c r="B740">
        <f t="shared" si="158"/>
        <v>730</v>
      </c>
      <c r="C740" s="22" t="e">
        <f ca="1"/>
        <v>#N/A</v>
      </c>
      <c r="D740" s="17" t="e">
        <f ca="1"/>
        <v>#N/A</v>
      </c>
      <c r="E740" s="17" t="e">
        <f ca="1"/>
        <v>#N/A</v>
      </c>
      <c r="F740" s="23" t="e">
        <f ca="1"/>
        <v>#N/A</v>
      </c>
      <c r="G740" s="23">
        <f t="shared" ca="1" si="159"/>
        <v>0</v>
      </c>
      <c r="H740" t="b">
        <f t="shared" ca="1" si="155"/>
        <v>1</v>
      </c>
      <c r="I740" s="22" t="e">
        <f t="shared" ca="1" si="150"/>
        <v>#N/A</v>
      </c>
      <c r="J740">
        <f t="shared" ca="1" si="151"/>
        <v>0</v>
      </c>
      <c r="K740" t="e">
        <f t="shared" ca="1" si="156"/>
        <v>#N/A</v>
      </c>
      <c r="O740" s="22" t="e">
        <f t="shared" ca="1" si="152"/>
        <v>#N/A</v>
      </c>
      <c r="P740" s="17" t="e">
        <f ca="1"/>
        <v>#N/A</v>
      </c>
      <c r="Q740" s="17" t="e">
        <f ca="1"/>
        <v>#N/A</v>
      </c>
      <c r="R740" s="23" t="e">
        <f ca="1"/>
        <v>#N/A</v>
      </c>
      <c r="S740" s="23">
        <f t="shared" ca="1" si="160"/>
        <v>0</v>
      </c>
      <c r="T740" t="b">
        <f t="shared" ca="1" si="157"/>
        <v>1</v>
      </c>
      <c r="U740" s="22" t="e">
        <f t="shared" ca="1" si="153"/>
        <v>#N/A</v>
      </c>
      <c r="V740">
        <f t="shared" ca="1" si="154"/>
        <v>0</v>
      </c>
    </row>
    <row r="741" spans="2:22">
      <c r="B741">
        <f t="shared" si="158"/>
        <v>731</v>
      </c>
      <c r="C741" s="22" t="e">
        <f ca="1"/>
        <v>#N/A</v>
      </c>
      <c r="D741" s="17" t="e">
        <f ca="1"/>
        <v>#N/A</v>
      </c>
      <c r="E741" s="17" t="e">
        <f ca="1"/>
        <v>#N/A</v>
      </c>
      <c r="F741" s="23" t="e">
        <f ca="1"/>
        <v>#N/A</v>
      </c>
      <c r="G741" s="23">
        <f t="shared" ca="1" si="159"/>
        <v>0</v>
      </c>
      <c r="H741" t="b">
        <f t="shared" ca="1" si="155"/>
        <v>1</v>
      </c>
      <c r="I741" s="22" t="e">
        <f t="shared" ca="1" si="150"/>
        <v>#N/A</v>
      </c>
      <c r="J741">
        <f t="shared" ca="1" si="151"/>
        <v>0</v>
      </c>
      <c r="K741" t="e">
        <f t="shared" ca="1" si="156"/>
        <v>#N/A</v>
      </c>
      <c r="O741" s="22" t="e">
        <f t="shared" ca="1" si="152"/>
        <v>#N/A</v>
      </c>
      <c r="P741" s="17" t="e">
        <f ca="1"/>
        <v>#N/A</v>
      </c>
      <c r="Q741" s="17" t="e">
        <f ca="1"/>
        <v>#N/A</v>
      </c>
      <c r="R741" s="23" t="e">
        <f ca="1"/>
        <v>#N/A</v>
      </c>
      <c r="S741" s="23">
        <f t="shared" ca="1" si="160"/>
        <v>0</v>
      </c>
      <c r="T741" t="b">
        <f t="shared" ca="1" si="157"/>
        <v>1</v>
      </c>
      <c r="U741" s="22" t="e">
        <f t="shared" ca="1" si="153"/>
        <v>#N/A</v>
      </c>
      <c r="V741">
        <f t="shared" ca="1" si="154"/>
        <v>0</v>
      </c>
    </row>
    <row r="742" spans="2:22">
      <c r="B742">
        <f t="shared" si="158"/>
        <v>732</v>
      </c>
      <c r="C742" s="22" t="e">
        <f ca="1"/>
        <v>#N/A</v>
      </c>
      <c r="D742" s="17" t="e">
        <f ca="1"/>
        <v>#N/A</v>
      </c>
      <c r="E742" s="17" t="e">
        <f ca="1"/>
        <v>#N/A</v>
      </c>
      <c r="F742" s="23" t="e">
        <f ca="1"/>
        <v>#N/A</v>
      </c>
      <c r="G742" s="23">
        <f t="shared" ca="1" si="159"/>
        <v>0</v>
      </c>
      <c r="H742" t="b">
        <f t="shared" ca="1" si="155"/>
        <v>1</v>
      </c>
      <c r="I742" s="22" t="e">
        <f t="shared" ca="1" si="150"/>
        <v>#N/A</v>
      </c>
      <c r="J742">
        <f t="shared" ca="1" si="151"/>
        <v>0</v>
      </c>
      <c r="K742" t="e">
        <f t="shared" ca="1" si="156"/>
        <v>#N/A</v>
      </c>
      <c r="O742" s="22" t="e">
        <f t="shared" ca="1" si="152"/>
        <v>#N/A</v>
      </c>
      <c r="P742" s="17" t="e">
        <f ca="1"/>
        <v>#N/A</v>
      </c>
      <c r="Q742" s="17" t="e">
        <f ca="1"/>
        <v>#N/A</v>
      </c>
      <c r="R742" s="23" t="e">
        <f ca="1"/>
        <v>#N/A</v>
      </c>
      <c r="S742" s="23">
        <f t="shared" ca="1" si="160"/>
        <v>0</v>
      </c>
      <c r="T742" t="b">
        <f t="shared" ca="1" si="157"/>
        <v>1</v>
      </c>
      <c r="U742" s="22" t="e">
        <f t="shared" ca="1" si="153"/>
        <v>#N/A</v>
      </c>
      <c r="V742">
        <f t="shared" ca="1" si="154"/>
        <v>0</v>
      </c>
    </row>
    <row r="743" spans="2:22">
      <c r="B743">
        <f t="shared" si="158"/>
        <v>733</v>
      </c>
      <c r="C743" s="22" t="e">
        <f ca="1"/>
        <v>#N/A</v>
      </c>
      <c r="D743" s="17" t="e">
        <f ca="1"/>
        <v>#N/A</v>
      </c>
      <c r="E743" s="17" t="e">
        <f ca="1"/>
        <v>#N/A</v>
      </c>
      <c r="F743" s="23" t="e">
        <f ca="1"/>
        <v>#N/A</v>
      </c>
      <c r="G743" s="23">
        <f t="shared" ca="1" si="159"/>
        <v>0</v>
      </c>
      <c r="H743" t="b">
        <f t="shared" ca="1" si="155"/>
        <v>1</v>
      </c>
      <c r="I743" s="22" t="e">
        <f t="shared" ca="1" si="150"/>
        <v>#N/A</v>
      </c>
      <c r="J743">
        <f t="shared" ca="1" si="151"/>
        <v>0</v>
      </c>
      <c r="K743" t="e">
        <f t="shared" ca="1" si="156"/>
        <v>#N/A</v>
      </c>
      <c r="O743" s="22" t="e">
        <f t="shared" ca="1" si="152"/>
        <v>#N/A</v>
      </c>
      <c r="P743" s="17" t="e">
        <f ca="1"/>
        <v>#N/A</v>
      </c>
      <c r="Q743" s="17" t="e">
        <f ca="1"/>
        <v>#N/A</v>
      </c>
      <c r="R743" s="23" t="e">
        <f ca="1"/>
        <v>#N/A</v>
      </c>
      <c r="S743" s="23">
        <f t="shared" ca="1" si="160"/>
        <v>0</v>
      </c>
      <c r="T743" t="b">
        <f t="shared" ca="1" si="157"/>
        <v>1</v>
      </c>
      <c r="U743" s="22" t="e">
        <f t="shared" ca="1" si="153"/>
        <v>#N/A</v>
      </c>
      <c r="V743">
        <f t="shared" ca="1" si="154"/>
        <v>0</v>
      </c>
    </row>
    <row r="744" spans="2:22">
      <c r="B744">
        <f t="shared" si="158"/>
        <v>734</v>
      </c>
      <c r="C744" s="22" t="e">
        <f ca="1"/>
        <v>#N/A</v>
      </c>
      <c r="D744" s="17" t="e">
        <f ca="1"/>
        <v>#N/A</v>
      </c>
      <c r="E744" s="17" t="e">
        <f ca="1"/>
        <v>#N/A</v>
      </c>
      <c r="F744" s="23" t="e">
        <f ca="1"/>
        <v>#N/A</v>
      </c>
      <c r="G744" s="23">
        <f t="shared" ca="1" si="159"/>
        <v>0</v>
      </c>
      <c r="H744" t="b">
        <f t="shared" ca="1" si="155"/>
        <v>1</v>
      </c>
      <c r="I744" s="22" t="e">
        <f t="shared" ca="1" si="150"/>
        <v>#N/A</v>
      </c>
      <c r="J744">
        <f t="shared" ca="1" si="151"/>
        <v>0</v>
      </c>
      <c r="K744" t="e">
        <f t="shared" ca="1" si="156"/>
        <v>#N/A</v>
      </c>
      <c r="O744" s="22" t="e">
        <f t="shared" ca="1" si="152"/>
        <v>#N/A</v>
      </c>
      <c r="P744" s="17" t="e">
        <f ca="1"/>
        <v>#N/A</v>
      </c>
      <c r="Q744" s="17" t="e">
        <f ca="1"/>
        <v>#N/A</v>
      </c>
      <c r="R744" s="23" t="e">
        <f ca="1"/>
        <v>#N/A</v>
      </c>
      <c r="S744" s="23">
        <f t="shared" ca="1" si="160"/>
        <v>0</v>
      </c>
      <c r="T744" t="b">
        <f t="shared" ca="1" si="157"/>
        <v>1</v>
      </c>
      <c r="U744" s="22" t="e">
        <f t="shared" ca="1" si="153"/>
        <v>#N/A</v>
      </c>
      <c r="V744">
        <f t="shared" ca="1" si="154"/>
        <v>0</v>
      </c>
    </row>
    <row r="745" spans="2:22">
      <c r="B745">
        <f t="shared" si="158"/>
        <v>735</v>
      </c>
      <c r="C745" s="22" t="e">
        <f ca="1"/>
        <v>#N/A</v>
      </c>
      <c r="D745" s="17" t="e">
        <f ca="1"/>
        <v>#N/A</v>
      </c>
      <c r="E745" s="17" t="e">
        <f ca="1"/>
        <v>#N/A</v>
      </c>
      <c r="F745" s="23" t="e">
        <f ca="1"/>
        <v>#N/A</v>
      </c>
      <c r="G745" s="23">
        <f t="shared" ca="1" si="159"/>
        <v>0</v>
      </c>
      <c r="H745" t="b">
        <f t="shared" ca="1" si="155"/>
        <v>1</v>
      </c>
      <c r="I745" s="22" t="e">
        <f t="shared" ca="1" si="150"/>
        <v>#N/A</v>
      </c>
      <c r="J745">
        <f t="shared" ca="1" si="151"/>
        <v>0</v>
      </c>
      <c r="K745" t="e">
        <f t="shared" ca="1" si="156"/>
        <v>#N/A</v>
      </c>
      <c r="O745" s="22" t="e">
        <f t="shared" ca="1" si="152"/>
        <v>#N/A</v>
      </c>
      <c r="P745" s="17" t="e">
        <f ca="1"/>
        <v>#N/A</v>
      </c>
      <c r="Q745" s="17" t="e">
        <f ca="1"/>
        <v>#N/A</v>
      </c>
      <c r="R745" s="23" t="e">
        <f ca="1"/>
        <v>#N/A</v>
      </c>
      <c r="S745" s="23">
        <f t="shared" ca="1" si="160"/>
        <v>0</v>
      </c>
      <c r="T745" t="b">
        <f t="shared" ca="1" si="157"/>
        <v>1</v>
      </c>
      <c r="U745" s="22" t="e">
        <f t="shared" ca="1" si="153"/>
        <v>#N/A</v>
      </c>
      <c r="V745">
        <f t="shared" ca="1" si="154"/>
        <v>0</v>
      </c>
    </row>
    <row r="746" spans="2:22">
      <c r="B746">
        <f t="shared" si="158"/>
        <v>736</v>
      </c>
      <c r="C746" s="22" t="e">
        <f ca="1"/>
        <v>#N/A</v>
      </c>
      <c r="D746" s="17" t="e">
        <f ca="1"/>
        <v>#N/A</v>
      </c>
      <c r="E746" s="17" t="e">
        <f ca="1"/>
        <v>#N/A</v>
      </c>
      <c r="F746" s="23" t="e">
        <f ca="1"/>
        <v>#N/A</v>
      </c>
      <c r="G746" s="23">
        <f t="shared" ca="1" si="159"/>
        <v>0</v>
      </c>
      <c r="H746" t="b">
        <f t="shared" ca="1" si="155"/>
        <v>1</v>
      </c>
      <c r="I746" s="22" t="e">
        <f t="shared" ca="1" si="150"/>
        <v>#N/A</v>
      </c>
      <c r="J746">
        <f t="shared" ca="1" si="151"/>
        <v>0</v>
      </c>
      <c r="K746" t="e">
        <f t="shared" ca="1" si="156"/>
        <v>#N/A</v>
      </c>
      <c r="O746" s="22" t="e">
        <f t="shared" ca="1" si="152"/>
        <v>#N/A</v>
      </c>
      <c r="P746" s="17" t="e">
        <f ca="1"/>
        <v>#N/A</v>
      </c>
      <c r="Q746" s="17" t="e">
        <f ca="1"/>
        <v>#N/A</v>
      </c>
      <c r="R746" s="23" t="e">
        <f ca="1"/>
        <v>#N/A</v>
      </c>
      <c r="S746" s="23">
        <f t="shared" ca="1" si="160"/>
        <v>0</v>
      </c>
      <c r="T746" t="b">
        <f t="shared" ca="1" si="157"/>
        <v>1</v>
      </c>
      <c r="U746" s="22" t="e">
        <f t="shared" ca="1" si="153"/>
        <v>#N/A</v>
      </c>
      <c r="V746">
        <f t="shared" ca="1" si="154"/>
        <v>0</v>
      </c>
    </row>
    <row r="747" spans="2:22">
      <c r="B747">
        <f t="shared" si="158"/>
        <v>737</v>
      </c>
      <c r="C747" s="22" t="e">
        <f ca="1"/>
        <v>#N/A</v>
      </c>
      <c r="D747" s="17" t="e">
        <f ca="1"/>
        <v>#N/A</v>
      </c>
      <c r="E747" s="17" t="e">
        <f ca="1"/>
        <v>#N/A</v>
      </c>
      <c r="F747" s="23" t="e">
        <f ca="1"/>
        <v>#N/A</v>
      </c>
      <c r="G747" s="23">
        <f t="shared" ca="1" si="159"/>
        <v>0</v>
      </c>
      <c r="H747" t="b">
        <f t="shared" ca="1" si="155"/>
        <v>1</v>
      </c>
      <c r="I747" s="22" t="e">
        <f t="shared" ca="1" si="150"/>
        <v>#N/A</v>
      </c>
      <c r="J747">
        <f t="shared" ca="1" si="151"/>
        <v>0</v>
      </c>
      <c r="K747" t="e">
        <f t="shared" ca="1" si="156"/>
        <v>#N/A</v>
      </c>
      <c r="O747" s="22" t="e">
        <f t="shared" ca="1" si="152"/>
        <v>#N/A</v>
      </c>
      <c r="P747" s="17" t="e">
        <f ca="1"/>
        <v>#N/A</v>
      </c>
      <c r="Q747" s="17" t="e">
        <f ca="1"/>
        <v>#N/A</v>
      </c>
      <c r="R747" s="23" t="e">
        <f ca="1"/>
        <v>#N/A</v>
      </c>
      <c r="S747" s="23">
        <f t="shared" ca="1" si="160"/>
        <v>0</v>
      </c>
      <c r="T747" t="b">
        <f t="shared" ca="1" si="157"/>
        <v>1</v>
      </c>
      <c r="U747" s="22" t="e">
        <f t="shared" ca="1" si="153"/>
        <v>#N/A</v>
      </c>
      <c r="V747">
        <f t="shared" ca="1" si="154"/>
        <v>0</v>
      </c>
    </row>
    <row r="748" spans="2:22">
      <c r="B748">
        <f t="shared" si="158"/>
        <v>738</v>
      </c>
      <c r="C748" s="22" t="e">
        <f ca="1"/>
        <v>#N/A</v>
      </c>
      <c r="D748" s="17" t="e">
        <f ca="1"/>
        <v>#N/A</v>
      </c>
      <c r="E748" s="17" t="e">
        <f ca="1"/>
        <v>#N/A</v>
      </c>
      <c r="F748" s="23" t="e">
        <f ca="1"/>
        <v>#N/A</v>
      </c>
      <c r="G748" s="23">
        <f t="shared" ca="1" si="159"/>
        <v>0</v>
      </c>
      <c r="H748" t="b">
        <f t="shared" ca="1" si="155"/>
        <v>1</v>
      </c>
      <c r="I748" s="22" t="e">
        <f t="shared" ca="1" si="150"/>
        <v>#N/A</v>
      </c>
      <c r="J748">
        <f t="shared" ca="1" si="151"/>
        <v>0</v>
      </c>
      <c r="K748" t="e">
        <f t="shared" ca="1" si="156"/>
        <v>#N/A</v>
      </c>
      <c r="O748" s="22" t="e">
        <f t="shared" ca="1" si="152"/>
        <v>#N/A</v>
      </c>
      <c r="P748" s="17" t="e">
        <f ca="1"/>
        <v>#N/A</v>
      </c>
      <c r="Q748" s="17" t="e">
        <f ca="1"/>
        <v>#N/A</v>
      </c>
      <c r="R748" s="23" t="e">
        <f ca="1"/>
        <v>#N/A</v>
      </c>
      <c r="S748" s="23">
        <f t="shared" ca="1" si="160"/>
        <v>0</v>
      </c>
      <c r="T748" t="b">
        <f t="shared" ca="1" si="157"/>
        <v>1</v>
      </c>
      <c r="U748" s="22" t="e">
        <f t="shared" ca="1" si="153"/>
        <v>#N/A</v>
      </c>
      <c r="V748">
        <f t="shared" ca="1" si="154"/>
        <v>0</v>
      </c>
    </row>
    <row r="749" spans="2:22">
      <c r="B749">
        <f t="shared" si="158"/>
        <v>739</v>
      </c>
      <c r="C749" s="22" t="e">
        <f ca="1"/>
        <v>#N/A</v>
      </c>
      <c r="D749" s="17" t="e">
        <f ca="1"/>
        <v>#N/A</v>
      </c>
      <c r="E749" s="17" t="e">
        <f ca="1"/>
        <v>#N/A</v>
      </c>
      <c r="F749" s="23" t="e">
        <f ca="1"/>
        <v>#N/A</v>
      </c>
      <c r="G749" s="23">
        <f t="shared" ca="1" si="159"/>
        <v>0</v>
      </c>
      <c r="H749" t="b">
        <f t="shared" ca="1" si="155"/>
        <v>1</v>
      </c>
      <c r="I749" s="22" t="e">
        <f t="shared" ca="1" si="150"/>
        <v>#N/A</v>
      </c>
      <c r="J749">
        <f t="shared" ca="1" si="151"/>
        <v>0</v>
      </c>
      <c r="K749" t="e">
        <f t="shared" ca="1" si="156"/>
        <v>#N/A</v>
      </c>
      <c r="O749" s="22" t="e">
        <f t="shared" ca="1" si="152"/>
        <v>#N/A</v>
      </c>
      <c r="P749" s="17" t="e">
        <f ca="1"/>
        <v>#N/A</v>
      </c>
      <c r="Q749" s="17" t="e">
        <f ca="1"/>
        <v>#N/A</v>
      </c>
      <c r="R749" s="23" t="e">
        <f ca="1"/>
        <v>#N/A</v>
      </c>
      <c r="S749" s="23">
        <f t="shared" ca="1" si="160"/>
        <v>0</v>
      </c>
      <c r="T749" t="b">
        <f t="shared" ca="1" si="157"/>
        <v>1</v>
      </c>
      <c r="U749" s="22" t="e">
        <f t="shared" ca="1" si="153"/>
        <v>#N/A</v>
      </c>
      <c r="V749">
        <f t="shared" ca="1" si="154"/>
        <v>0</v>
      </c>
    </row>
    <row r="750" spans="2:22">
      <c r="B750">
        <f t="shared" si="158"/>
        <v>740</v>
      </c>
      <c r="C750" s="22" t="e">
        <f ca="1"/>
        <v>#N/A</v>
      </c>
      <c r="D750" s="17" t="e">
        <f ca="1"/>
        <v>#N/A</v>
      </c>
      <c r="E750" s="17" t="e">
        <f ca="1"/>
        <v>#N/A</v>
      </c>
      <c r="F750" s="23" t="e">
        <f ca="1"/>
        <v>#N/A</v>
      </c>
      <c r="G750" s="23">
        <f t="shared" ca="1" si="159"/>
        <v>0</v>
      </c>
      <c r="H750" t="b">
        <f t="shared" ca="1" si="155"/>
        <v>1</v>
      </c>
      <c r="I750" s="22" t="e">
        <f t="shared" ca="1" si="150"/>
        <v>#N/A</v>
      </c>
      <c r="J750">
        <f t="shared" ca="1" si="151"/>
        <v>0</v>
      </c>
      <c r="K750" t="e">
        <f t="shared" ca="1" si="156"/>
        <v>#N/A</v>
      </c>
      <c r="O750" s="22" t="e">
        <f t="shared" ca="1" si="152"/>
        <v>#N/A</v>
      </c>
      <c r="P750" s="17" t="e">
        <f ca="1"/>
        <v>#N/A</v>
      </c>
      <c r="Q750" s="17" t="e">
        <f ca="1"/>
        <v>#N/A</v>
      </c>
      <c r="R750" s="23" t="e">
        <f ca="1"/>
        <v>#N/A</v>
      </c>
      <c r="S750" s="23">
        <f t="shared" ca="1" si="160"/>
        <v>0</v>
      </c>
      <c r="T750" t="b">
        <f t="shared" ca="1" si="157"/>
        <v>1</v>
      </c>
      <c r="U750" s="22" t="e">
        <f t="shared" ca="1" si="153"/>
        <v>#N/A</v>
      </c>
      <c r="V750">
        <f t="shared" ca="1" si="154"/>
        <v>0</v>
      </c>
    </row>
    <row r="751" spans="2:22">
      <c r="B751">
        <f t="shared" si="158"/>
        <v>741</v>
      </c>
      <c r="C751" s="22" t="e">
        <f ca="1"/>
        <v>#N/A</v>
      </c>
      <c r="D751" s="17" t="e">
        <f ca="1"/>
        <v>#N/A</v>
      </c>
      <c r="E751" s="17" t="e">
        <f ca="1"/>
        <v>#N/A</v>
      </c>
      <c r="F751" s="23" t="e">
        <f ca="1"/>
        <v>#N/A</v>
      </c>
      <c r="G751" s="23">
        <f t="shared" ca="1" si="159"/>
        <v>0</v>
      </c>
      <c r="H751" t="b">
        <f t="shared" ca="1" si="155"/>
        <v>1</v>
      </c>
      <c r="I751" s="22" t="e">
        <f t="shared" ca="1" si="150"/>
        <v>#N/A</v>
      </c>
      <c r="J751">
        <f t="shared" ca="1" si="151"/>
        <v>0</v>
      </c>
      <c r="K751" t="e">
        <f t="shared" ca="1" si="156"/>
        <v>#N/A</v>
      </c>
      <c r="O751" s="22" t="e">
        <f t="shared" ca="1" si="152"/>
        <v>#N/A</v>
      </c>
      <c r="P751" s="17" t="e">
        <f ca="1"/>
        <v>#N/A</v>
      </c>
      <c r="Q751" s="17" t="e">
        <f ca="1"/>
        <v>#N/A</v>
      </c>
      <c r="R751" s="23" t="e">
        <f ca="1"/>
        <v>#N/A</v>
      </c>
      <c r="S751" s="23">
        <f t="shared" ca="1" si="160"/>
        <v>0</v>
      </c>
      <c r="T751" t="b">
        <f t="shared" ca="1" si="157"/>
        <v>1</v>
      </c>
      <c r="U751" s="22" t="e">
        <f t="shared" ca="1" si="153"/>
        <v>#N/A</v>
      </c>
      <c r="V751">
        <f t="shared" ca="1" si="154"/>
        <v>0</v>
      </c>
    </row>
    <row r="752" spans="2:22">
      <c r="B752">
        <f t="shared" si="158"/>
        <v>742</v>
      </c>
      <c r="C752" s="22" t="e">
        <f ca="1"/>
        <v>#N/A</v>
      </c>
      <c r="D752" s="17" t="e">
        <f ca="1"/>
        <v>#N/A</v>
      </c>
      <c r="E752" s="17" t="e">
        <f ca="1"/>
        <v>#N/A</v>
      </c>
      <c r="F752" s="23" t="e">
        <f ca="1"/>
        <v>#N/A</v>
      </c>
      <c r="G752" s="23">
        <f t="shared" ca="1" si="159"/>
        <v>0</v>
      </c>
      <c r="H752" t="b">
        <f t="shared" ca="1" si="155"/>
        <v>1</v>
      </c>
      <c r="I752" s="22" t="e">
        <f t="shared" ca="1" si="150"/>
        <v>#N/A</v>
      </c>
      <c r="J752">
        <f t="shared" ca="1" si="151"/>
        <v>0</v>
      </c>
      <c r="K752" t="e">
        <f t="shared" ca="1" si="156"/>
        <v>#N/A</v>
      </c>
      <c r="O752" s="22" t="e">
        <f t="shared" ca="1" si="152"/>
        <v>#N/A</v>
      </c>
      <c r="P752" s="17" t="e">
        <f ca="1"/>
        <v>#N/A</v>
      </c>
      <c r="Q752" s="17" t="e">
        <f ca="1"/>
        <v>#N/A</v>
      </c>
      <c r="R752" s="23" t="e">
        <f ca="1"/>
        <v>#N/A</v>
      </c>
      <c r="S752" s="23">
        <f t="shared" ca="1" si="160"/>
        <v>0</v>
      </c>
      <c r="T752" t="b">
        <f t="shared" ca="1" si="157"/>
        <v>1</v>
      </c>
      <c r="U752" s="22" t="e">
        <f t="shared" ca="1" si="153"/>
        <v>#N/A</v>
      </c>
      <c r="V752">
        <f t="shared" ca="1" si="154"/>
        <v>0</v>
      </c>
    </row>
    <row r="753" spans="2:22">
      <c r="B753">
        <f t="shared" si="158"/>
        <v>743</v>
      </c>
      <c r="C753" s="22" t="e">
        <f ca="1"/>
        <v>#N/A</v>
      </c>
      <c r="D753" s="17" t="e">
        <f ca="1"/>
        <v>#N/A</v>
      </c>
      <c r="E753" s="17" t="e">
        <f ca="1"/>
        <v>#N/A</v>
      </c>
      <c r="F753" s="23" t="e">
        <f ca="1"/>
        <v>#N/A</v>
      </c>
      <c r="G753" s="23">
        <f t="shared" ca="1" si="159"/>
        <v>0</v>
      </c>
      <c r="H753" t="b">
        <f t="shared" ca="1" si="155"/>
        <v>1</v>
      </c>
      <c r="I753" s="22" t="e">
        <f t="shared" ca="1" si="150"/>
        <v>#N/A</v>
      </c>
      <c r="J753">
        <f t="shared" ca="1" si="151"/>
        <v>0</v>
      </c>
      <c r="K753" t="e">
        <f t="shared" ca="1" si="156"/>
        <v>#N/A</v>
      </c>
      <c r="O753" s="22" t="e">
        <f t="shared" ca="1" si="152"/>
        <v>#N/A</v>
      </c>
      <c r="P753" s="17" t="e">
        <f ca="1"/>
        <v>#N/A</v>
      </c>
      <c r="Q753" s="17" t="e">
        <f ca="1"/>
        <v>#N/A</v>
      </c>
      <c r="R753" s="23" t="e">
        <f ca="1"/>
        <v>#N/A</v>
      </c>
      <c r="S753" s="23">
        <f t="shared" ca="1" si="160"/>
        <v>0</v>
      </c>
      <c r="T753" t="b">
        <f t="shared" ca="1" si="157"/>
        <v>1</v>
      </c>
      <c r="U753" s="22" t="e">
        <f t="shared" ca="1" si="153"/>
        <v>#N/A</v>
      </c>
      <c r="V753">
        <f t="shared" ca="1" si="154"/>
        <v>0</v>
      </c>
    </row>
    <row r="754" spans="2:22">
      <c r="B754">
        <f t="shared" si="158"/>
        <v>744</v>
      </c>
      <c r="C754" s="22" t="e">
        <f ca="1"/>
        <v>#N/A</v>
      </c>
      <c r="D754" s="17" t="e">
        <f ca="1"/>
        <v>#N/A</v>
      </c>
      <c r="E754" s="17" t="e">
        <f ca="1"/>
        <v>#N/A</v>
      </c>
      <c r="F754" s="23" t="e">
        <f ca="1"/>
        <v>#N/A</v>
      </c>
      <c r="G754" s="23">
        <f t="shared" ca="1" si="159"/>
        <v>0</v>
      </c>
      <c r="H754" t="b">
        <f t="shared" ca="1" si="155"/>
        <v>1</v>
      </c>
      <c r="I754" s="22" t="e">
        <f t="shared" ca="1" si="150"/>
        <v>#N/A</v>
      </c>
      <c r="J754">
        <f t="shared" ca="1" si="151"/>
        <v>0</v>
      </c>
      <c r="K754" t="e">
        <f t="shared" ca="1" si="156"/>
        <v>#N/A</v>
      </c>
      <c r="O754" s="22" t="e">
        <f t="shared" ca="1" si="152"/>
        <v>#N/A</v>
      </c>
      <c r="P754" s="17" t="e">
        <f ca="1"/>
        <v>#N/A</v>
      </c>
      <c r="Q754" s="17" t="e">
        <f ca="1"/>
        <v>#N/A</v>
      </c>
      <c r="R754" s="23" t="e">
        <f ca="1"/>
        <v>#N/A</v>
      </c>
      <c r="S754" s="23">
        <f t="shared" ca="1" si="160"/>
        <v>0</v>
      </c>
      <c r="T754" t="b">
        <f t="shared" ca="1" si="157"/>
        <v>1</v>
      </c>
      <c r="U754" s="22" t="e">
        <f t="shared" ca="1" si="153"/>
        <v>#N/A</v>
      </c>
      <c r="V754">
        <f t="shared" ca="1" si="154"/>
        <v>0</v>
      </c>
    </row>
    <row r="755" spans="2:22">
      <c r="B755">
        <f t="shared" si="158"/>
        <v>745</v>
      </c>
      <c r="C755" s="22" t="e">
        <f ca="1"/>
        <v>#N/A</v>
      </c>
      <c r="D755" s="17" t="e">
        <f ca="1"/>
        <v>#N/A</v>
      </c>
      <c r="E755" s="17" t="e">
        <f ca="1"/>
        <v>#N/A</v>
      </c>
      <c r="F755" s="23" t="e">
        <f ca="1"/>
        <v>#N/A</v>
      </c>
      <c r="G755" s="23">
        <f t="shared" ca="1" si="159"/>
        <v>0</v>
      </c>
      <c r="H755" t="b">
        <f t="shared" ca="1" si="155"/>
        <v>1</v>
      </c>
      <c r="I755" s="22" t="e">
        <f t="shared" ca="1" si="150"/>
        <v>#N/A</v>
      </c>
      <c r="J755">
        <f t="shared" ca="1" si="151"/>
        <v>0</v>
      </c>
      <c r="K755" t="e">
        <f t="shared" ca="1" si="156"/>
        <v>#N/A</v>
      </c>
      <c r="O755" s="22" t="e">
        <f t="shared" ca="1" si="152"/>
        <v>#N/A</v>
      </c>
      <c r="P755" s="17" t="e">
        <f ca="1"/>
        <v>#N/A</v>
      </c>
      <c r="Q755" s="17" t="e">
        <f ca="1"/>
        <v>#N/A</v>
      </c>
      <c r="R755" s="23" t="e">
        <f ca="1"/>
        <v>#N/A</v>
      </c>
      <c r="S755" s="23">
        <f t="shared" ca="1" si="160"/>
        <v>0</v>
      </c>
      <c r="T755" t="b">
        <f t="shared" ca="1" si="157"/>
        <v>1</v>
      </c>
      <c r="U755" s="22" t="e">
        <f t="shared" ca="1" si="153"/>
        <v>#N/A</v>
      </c>
      <c r="V755">
        <f t="shared" ca="1" si="154"/>
        <v>0</v>
      </c>
    </row>
    <row r="756" spans="2:22">
      <c r="B756">
        <f t="shared" si="158"/>
        <v>746</v>
      </c>
      <c r="C756" s="22" t="e">
        <f ca="1"/>
        <v>#N/A</v>
      </c>
      <c r="D756" s="17" t="e">
        <f ca="1"/>
        <v>#N/A</v>
      </c>
      <c r="E756" s="17" t="e">
        <f ca="1"/>
        <v>#N/A</v>
      </c>
      <c r="F756" s="23" t="e">
        <f ca="1"/>
        <v>#N/A</v>
      </c>
      <c r="G756" s="23">
        <f t="shared" ca="1" si="159"/>
        <v>0</v>
      </c>
      <c r="H756" t="b">
        <f t="shared" ca="1" si="155"/>
        <v>1</v>
      </c>
      <c r="I756" s="22" t="e">
        <f t="shared" ca="1" si="150"/>
        <v>#N/A</v>
      </c>
      <c r="J756">
        <f t="shared" ca="1" si="151"/>
        <v>0</v>
      </c>
      <c r="K756" t="e">
        <f t="shared" ca="1" si="156"/>
        <v>#N/A</v>
      </c>
      <c r="O756" s="22" t="e">
        <f t="shared" ca="1" si="152"/>
        <v>#N/A</v>
      </c>
      <c r="P756" s="17" t="e">
        <f ca="1"/>
        <v>#N/A</v>
      </c>
      <c r="Q756" s="17" t="e">
        <f ca="1"/>
        <v>#N/A</v>
      </c>
      <c r="R756" s="23" t="e">
        <f ca="1"/>
        <v>#N/A</v>
      </c>
      <c r="S756" s="23">
        <f t="shared" ca="1" si="160"/>
        <v>0</v>
      </c>
      <c r="T756" t="b">
        <f t="shared" ca="1" si="157"/>
        <v>1</v>
      </c>
      <c r="U756" s="22" t="e">
        <f t="shared" ca="1" si="153"/>
        <v>#N/A</v>
      </c>
      <c r="V756">
        <f t="shared" ca="1" si="154"/>
        <v>0</v>
      </c>
    </row>
    <row r="757" spans="2:22">
      <c r="B757">
        <f t="shared" si="158"/>
        <v>747</v>
      </c>
      <c r="C757" s="22" t="e">
        <f ca="1"/>
        <v>#N/A</v>
      </c>
      <c r="D757" s="17" t="e">
        <f ca="1"/>
        <v>#N/A</v>
      </c>
      <c r="E757" s="17" t="e">
        <f ca="1"/>
        <v>#N/A</v>
      </c>
      <c r="F757" s="23" t="e">
        <f ca="1"/>
        <v>#N/A</v>
      </c>
      <c r="G757" s="23">
        <f t="shared" ca="1" si="159"/>
        <v>0</v>
      </c>
      <c r="H757" t="b">
        <f t="shared" ca="1" si="155"/>
        <v>1</v>
      </c>
      <c r="I757" s="22" t="e">
        <f t="shared" ca="1" si="150"/>
        <v>#N/A</v>
      </c>
      <c r="J757">
        <f t="shared" ca="1" si="151"/>
        <v>0</v>
      </c>
      <c r="K757" t="e">
        <f t="shared" ca="1" si="156"/>
        <v>#N/A</v>
      </c>
      <c r="O757" s="22" t="e">
        <f t="shared" ca="1" si="152"/>
        <v>#N/A</v>
      </c>
      <c r="P757" s="17" t="e">
        <f ca="1"/>
        <v>#N/A</v>
      </c>
      <c r="Q757" s="17" t="e">
        <f ca="1"/>
        <v>#N/A</v>
      </c>
      <c r="R757" s="23" t="e">
        <f ca="1"/>
        <v>#N/A</v>
      </c>
      <c r="S757" s="23">
        <f t="shared" ca="1" si="160"/>
        <v>0</v>
      </c>
      <c r="T757" t="b">
        <f t="shared" ca="1" si="157"/>
        <v>1</v>
      </c>
      <c r="U757" s="22" t="e">
        <f t="shared" ca="1" si="153"/>
        <v>#N/A</v>
      </c>
      <c r="V757">
        <f t="shared" ca="1" si="154"/>
        <v>0</v>
      </c>
    </row>
    <row r="758" spans="2:22">
      <c r="B758">
        <f t="shared" si="158"/>
        <v>748</v>
      </c>
      <c r="C758" s="22" t="e">
        <f ca="1"/>
        <v>#N/A</v>
      </c>
      <c r="D758" s="17" t="e">
        <f ca="1"/>
        <v>#N/A</v>
      </c>
      <c r="E758" s="17" t="e">
        <f ca="1"/>
        <v>#N/A</v>
      </c>
      <c r="F758" s="23" t="e">
        <f ca="1"/>
        <v>#N/A</v>
      </c>
      <c r="G758" s="23">
        <f t="shared" ca="1" si="159"/>
        <v>0</v>
      </c>
      <c r="H758" t="b">
        <f t="shared" ca="1" si="155"/>
        <v>1</v>
      </c>
      <c r="I758" s="22" t="e">
        <f t="shared" ca="1" si="150"/>
        <v>#N/A</v>
      </c>
      <c r="J758">
        <f t="shared" ca="1" si="151"/>
        <v>0</v>
      </c>
      <c r="K758" t="e">
        <f t="shared" ca="1" si="156"/>
        <v>#N/A</v>
      </c>
      <c r="O758" s="22" t="e">
        <f t="shared" ca="1" si="152"/>
        <v>#N/A</v>
      </c>
      <c r="P758" s="17" t="e">
        <f ca="1"/>
        <v>#N/A</v>
      </c>
      <c r="Q758" s="17" t="e">
        <f ca="1"/>
        <v>#N/A</v>
      </c>
      <c r="R758" s="23" t="e">
        <f ca="1"/>
        <v>#N/A</v>
      </c>
      <c r="S758" s="23">
        <f t="shared" ca="1" si="160"/>
        <v>0</v>
      </c>
      <c r="T758" t="b">
        <f t="shared" ca="1" si="157"/>
        <v>1</v>
      </c>
      <c r="U758" s="22" t="e">
        <f t="shared" ca="1" si="153"/>
        <v>#N/A</v>
      </c>
      <c r="V758">
        <f t="shared" ca="1" si="154"/>
        <v>0</v>
      </c>
    </row>
    <row r="759" spans="2:22">
      <c r="B759">
        <f t="shared" si="158"/>
        <v>749</v>
      </c>
      <c r="C759" s="22" t="e">
        <f ca="1"/>
        <v>#N/A</v>
      </c>
      <c r="D759" s="17" t="e">
        <f ca="1"/>
        <v>#N/A</v>
      </c>
      <c r="E759" s="17" t="e">
        <f ca="1"/>
        <v>#N/A</v>
      </c>
      <c r="F759" s="23" t="e">
        <f ca="1"/>
        <v>#N/A</v>
      </c>
      <c r="G759" s="23">
        <f t="shared" ca="1" si="159"/>
        <v>0</v>
      </c>
      <c r="H759" t="b">
        <f t="shared" ca="1" si="155"/>
        <v>1</v>
      </c>
      <c r="I759" s="22" t="e">
        <f t="shared" ca="1" si="150"/>
        <v>#N/A</v>
      </c>
      <c r="J759">
        <f t="shared" ca="1" si="151"/>
        <v>0</v>
      </c>
      <c r="K759" t="e">
        <f t="shared" ca="1" si="156"/>
        <v>#N/A</v>
      </c>
      <c r="O759" s="22" t="e">
        <f t="shared" ca="1" si="152"/>
        <v>#N/A</v>
      </c>
      <c r="P759" s="17" t="e">
        <f ca="1"/>
        <v>#N/A</v>
      </c>
      <c r="Q759" s="17" t="e">
        <f ca="1"/>
        <v>#N/A</v>
      </c>
      <c r="R759" s="23" t="e">
        <f ca="1"/>
        <v>#N/A</v>
      </c>
      <c r="S759" s="23">
        <f t="shared" ca="1" si="160"/>
        <v>0</v>
      </c>
      <c r="T759" t="b">
        <f t="shared" ca="1" si="157"/>
        <v>1</v>
      </c>
      <c r="U759" s="22" t="e">
        <f t="shared" ca="1" si="153"/>
        <v>#N/A</v>
      </c>
      <c r="V759">
        <f t="shared" ca="1" si="154"/>
        <v>0</v>
      </c>
    </row>
    <row r="760" spans="2:22">
      <c r="B760">
        <f t="shared" si="158"/>
        <v>750</v>
      </c>
      <c r="C760" s="22" t="e">
        <f ca="1"/>
        <v>#N/A</v>
      </c>
      <c r="D760" s="17" t="e">
        <f ca="1"/>
        <v>#N/A</v>
      </c>
      <c r="E760" s="17" t="e">
        <f ca="1"/>
        <v>#N/A</v>
      </c>
      <c r="F760" s="23" t="e">
        <f ca="1"/>
        <v>#N/A</v>
      </c>
      <c r="G760" s="23">
        <f t="shared" ca="1" si="159"/>
        <v>0</v>
      </c>
      <c r="H760" t="b">
        <f t="shared" ca="1" si="155"/>
        <v>1</v>
      </c>
      <c r="I760" s="22" t="e">
        <f t="shared" ca="1" si="150"/>
        <v>#N/A</v>
      </c>
      <c r="J760">
        <f t="shared" ca="1" si="151"/>
        <v>0</v>
      </c>
      <c r="K760" t="e">
        <f t="shared" ca="1" si="156"/>
        <v>#N/A</v>
      </c>
      <c r="O760" s="22" t="e">
        <f t="shared" ca="1" si="152"/>
        <v>#N/A</v>
      </c>
      <c r="P760" s="17" t="e">
        <f ca="1"/>
        <v>#N/A</v>
      </c>
      <c r="Q760" s="17" t="e">
        <f ca="1"/>
        <v>#N/A</v>
      </c>
      <c r="R760" s="23" t="e">
        <f ca="1"/>
        <v>#N/A</v>
      </c>
      <c r="S760" s="23">
        <f t="shared" ca="1" si="160"/>
        <v>0</v>
      </c>
      <c r="T760" t="b">
        <f t="shared" ca="1" si="157"/>
        <v>1</v>
      </c>
      <c r="U760" s="22" t="e">
        <f t="shared" ca="1" si="153"/>
        <v>#N/A</v>
      </c>
      <c r="V760">
        <f t="shared" ca="1" si="154"/>
        <v>0</v>
      </c>
    </row>
    <row r="761" spans="2:22">
      <c r="B761">
        <f t="shared" si="158"/>
        <v>751</v>
      </c>
      <c r="C761" s="22" t="e">
        <f ca="1"/>
        <v>#N/A</v>
      </c>
      <c r="D761" s="17" t="e">
        <f ca="1"/>
        <v>#N/A</v>
      </c>
      <c r="E761" s="17" t="e">
        <f ca="1"/>
        <v>#N/A</v>
      </c>
      <c r="F761" s="23" t="e">
        <f ca="1"/>
        <v>#N/A</v>
      </c>
      <c r="G761" s="23">
        <f t="shared" ca="1" si="159"/>
        <v>0</v>
      </c>
      <c r="H761" t="b">
        <f t="shared" ca="1" si="155"/>
        <v>1</v>
      </c>
      <c r="I761" s="22" t="e">
        <f t="shared" ca="1" si="150"/>
        <v>#N/A</v>
      </c>
      <c r="J761">
        <f t="shared" ca="1" si="151"/>
        <v>0</v>
      </c>
      <c r="K761" t="e">
        <f t="shared" ca="1" si="156"/>
        <v>#N/A</v>
      </c>
      <c r="O761" s="22" t="e">
        <f t="shared" ca="1" si="152"/>
        <v>#N/A</v>
      </c>
      <c r="P761" s="17" t="e">
        <f ca="1"/>
        <v>#N/A</v>
      </c>
      <c r="Q761" s="17" t="e">
        <f ca="1"/>
        <v>#N/A</v>
      </c>
      <c r="R761" s="23" t="e">
        <f ca="1"/>
        <v>#N/A</v>
      </c>
      <c r="S761" s="23">
        <f t="shared" ca="1" si="160"/>
        <v>0</v>
      </c>
      <c r="T761" t="b">
        <f t="shared" ca="1" si="157"/>
        <v>1</v>
      </c>
      <c r="U761" s="22" t="e">
        <f t="shared" ca="1" si="153"/>
        <v>#N/A</v>
      </c>
      <c r="V761">
        <f t="shared" ca="1" si="154"/>
        <v>0</v>
      </c>
    </row>
    <row r="762" spans="2:22">
      <c r="B762">
        <f t="shared" si="158"/>
        <v>752</v>
      </c>
      <c r="C762" s="22" t="e">
        <f ca="1"/>
        <v>#N/A</v>
      </c>
      <c r="D762" s="17" t="e">
        <f ca="1"/>
        <v>#N/A</v>
      </c>
      <c r="E762" s="17" t="e">
        <f ca="1"/>
        <v>#N/A</v>
      </c>
      <c r="F762" s="23" t="e">
        <f ca="1"/>
        <v>#N/A</v>
      </c>
      <c r="G762" s="23">
        <f t="shared" ca="1" si="159"/>
        <v>0</v>
      </c>
      <c r="H762" t="b">
        <f t="shared" ca="1" si="155"/>
        <v>1</v>
      </c>
      <c r="I762" s="22" t="e">
        <f t="shared" ca="1" si="150"/>
        <v>#N/A</v>
      </c>
      <c r="J762">
        <f t="shared" ca="1" si="151"/>
        <v>0</v>
      </c>
      <c r="K762" t="e">
        <f t="shared" ca="1" si="156"/>
        <v>#N/A</v>
      </c>
      <c r="O762" s="22" t="e">
        <f t="shared" ca="1" si="152"/>
        <v>#N/A</v>
      </c>
      <c r="P762" s="17" t="e">
        <f ca="1"/>
        <v>#N/A</v>
      </c>
      <c r="Q762" s="17" t="e">
        <f ca="1"/>
        <v>#N/A</v>
      </c>
      <c r="R762" s="23" t="e">
        <f ca="1"/>
        <v>#N/A</v>
      </c>
      <c r="S762" s="23">
        <f t="shared" ca="1" si="160"/>
        <v>0</v>
      </c>
      <c r="T762" t="b">
        <f t="shared" ca="1" si="157"/>
        <v>1</v>
      </c>
      <c r="U762" s="22" t="e">
        <f t="shared" ca="1" si="153"/>
        <v>#N/A</v>
      </c>
      <c r="V762">
        <f t="shared" ca="1" si="154"/>
        <v>0</v>
      </c>
    </row>
    <row r="763" spans="2:22">
      <c r="B763">
        <f t="shared" si="158"/>
        <v>753</v>
      </c>
      <c r="C763" s="22" t="e">
        <f ca="1"/>
        <v>#N/A</v>
      </c>
      <c r="D763" s="17" t="e">
        <f ca="1"/>
        <v>#N/A</v>
      </c>
      <c r="E763" s="17" t="e">
        <f ca="1"/>
        <v>#N/A</v>
      </c>
      <c r="F763" s="23" t="e">
        <f ca="1"/>
        <v>#N/A</v>
      </c>
      <c r="G763" s="23">
        <f t="shared" ca="1" si="159"/>
        <v>0</v>
      </c>
      <c r="H763" t="b">
        <f t="shared" ca="1" si="155"/>
        <v>1</v>
      </c>
      <c r="I763" s="22" t="e">
        <f t="shared" ca="1" si="150"/>
        <v>#N/A</v>
      </c>
      <c r="J763">
        <f t="shared" ca="1" si="151"/>
        <v>0</v>
      </c>
      <c r="K763" t="e">
        <f t="shared" ca="1" si="156"/>
        <v>#N/A</v>
      </c>
      <c r="O763" s="22" t="e">
        <f t="shared" ca="1" si="152"/>
        <v>#N/A</v>
      </c>
      <c r="P763" s="17" t="e">
        <f ca="1"/>
        <v>#N/A</v>
      </c>
      <c r="Q763" s="17" t="e">
        <f ca="1"/>
        <v>#N/A</v>
      </c>
      <c r="R763" s="23" t="e">
        <f ca="1"/>
        <v>#N/A</v>
      </c>
      <c r="S763" s="23">
        <f t="shared" ca="1" si="160"/>
        <v>0</v>
      </c>
      <c r="T763" t="b">
        <f t="shared" ca="1" si="157"/>
        <v>1</v>
      </c>
      <c r="U763" s="22" t="e">
        <f t="shared" ca="1" si="153"/>
        <v>#N/A</v>
      </c>
      <c r="V763">
        <f t="shared" ca="1" si="154"/>
        <v>0</v>
      </c>
    </row>
    <row r="764" spans="2:22">
      <c r="B764">
        <f t="shared" si="158"/>
        <v>754</v>
      </c>
      <c r="C764" s="22" t="e">
        <f ca="1"/>
        <v>#N/A</v>
      </c>
      <c r="D764" s="17" t="e">
        <f ca="1"/>
        <v>#N/A</v>
      </c>
      <c r="E764" s="17" t="e">
        <f ca="1"/>
        <v>#N/A</v>
      </c>
      <c r="F764" s="23" t="e">
        <f ca="1"/>
        <v>#N/A</v>
      </c>
      <c r="G764" s="23">
        <f t="shared" ca="1" si="159"/>
        <v>0</v>
      </c>
      <c r="H764" t="b">
        <f t="shared" ca="1" si="155"/>
        <v>1</v>
      </c>
      <c r="I764" s="22" t="e">
        <f t="shared" ca="1" si="150"/>
        <v>#N/A</v>
      </c>
      <c r="J764">
        <f t="shared" ca="1" si="151"/>
        <v>0</v>
      </c>
      <c r="K764" t="e">
        <f t="shared" ca="1" si="156"/>
        <v>#N/A</v>
      </c>
      <c r="O764" s="22" t="e">
        <f t="shared" ca="1" si="152"/>
        <v>#N/A</v>
      </c>
      <c r="P764" s="17" t="e">
        <f ca="1"/>
        <v>#N/A</v>
      </c>
      <c r="Q764" s="17" t="e">
        <f ca="1"/>
        <v>#N/A</v>
      </c>
      <c r="R764" s="23" t="e">
        <f ca="1"/>
        <v>#N/A</v>
      </c>
      <c r="S764" s="23">
        <f t="shared" ca="1" si="160"/>
        <v>0</v>
      </c>
      <c r="T764" t="b">
        <f t="shared" ca="1" si="157"/>
        <v>1</v>
      </c>
      <c r="U764" s="22" t="e">
        <f t="shared" ca="1" si="153"/>
        <v>#N/A</v>
      </c>
      <c r="V764">
        <f t="shared" ca="1" si="154"/>
        <v>0</v>
      </c>
    </row>
    <row r="765" spans="2:22">
      <c r="B765">
        <f t="shared" si="158"/>
        <v>755</v>
      </c>
      <c r="C765" s="22" t="e">
        <f ca="1"/>
        <v>#N/A</v>
      </c>
      <c r="D765" s="17" t="e">
        <f ca="1"/>
        <v>#N/A</v>
      </c>
      <c r="E765" s="17" t="e">
        <f ca="1"/>
        <v>#N/A</v>
      </c>
      <c r="F765" s="23" t="e">
        <f ca="1"/>
        <v>#N/A</v>
      </c>
      <c r="G765" s="23">
        <f t="shared" ca="1" si="159"/>
        <v>0</v>
      </c>
      <c r="H765" t="b">
        <f t="shared" ca="1" si="155"/>
        <v>1</v>
      </c>
      <c r="I765" s="22" t="e">
        <f t="shared" ca="1" si="150"/>
        <v>#N/A</v>
      </c>
      <c r="J765">
        <f t="shared" ca="1" si="151"/>
        <v>0</v>
      </c>
      <c r="K765" t="e">
        <f t="shared" ca="1" si="156"/>
        <v>#N/A</v>
      </c>
      <c r="O765" s="22" t="e">
        <f t="shared" ca="1" si="152"/>
        <v>#N/A</v>
      </c>
      <c r="P765" s="17" t="e">
        <f ca="1"/>
        <v>#N/A</v>
      </c>
      <c r="Q765" s="17" t="e">
        <f ca="1"/>
        <v>#N/A</v>
      </c>
      <c r="R765" s="23" t="e">
        <f ca="1"/>
        <v>#N/A</v>
      </c>
      <c r="S765" s="23">
        <f t="shared" ca="1" si="160"/>
        <v>0</v>
      </c>
      <c r="T765" t="b">
        <f t="shared" ca="1" si="157"/>
        <v>1</v>
      </c>
      <c r="U765" s="22" t="e">
        <f t="shared" ca="1" si="153"/>
        <v>#N/A</v>
      </c>
      <c r="V765">
        <f t="shared" ca="1" si="154"/>
        <v>0</v>
      </c>
    </row>
    <row r="766" spans="2:22">
      <c r="B766">
        <f t="shared" si="158"/>
        <v>756</v>
      </c>
      <c r="C766" s="22" t="e">
        <f ca="1"/>
        <v>#N/A</v>
      </c>
      <c r="D766" s="17" t="e">
        <f ca="1"/>
        <v>#N/A</v>
      </c>
      <c r="E766" s="17" t="e">
        <f ca="1"/>
        <v>#N/A</v>
      </c>
      <c r="F766" s="23" t="e">
        <f ca="1"/>
        <v>#N/A</v>
      </c>
      <c r="G766" s="23">
        <f t="shared" ca="1" si="159"/>
        <v>0</v>
      </c>
      <c r="H766" t="b">
        <f t="shared" ca="1" si="155"/>
        <v>1</v>
      </c>
      <c r="I766" s="22" t="e">
        <f t="shared" ca="1" si="150"/>
        <v>#N/A</v>
      </c>
      <c r="J766">
        <f t="shared" ca="1" si="151"/>
        <v>0</v>
      </c>
      <c r="K766" t="e">
        <f t="shared" ca="1" si="156"/>
        <v>#N/A</v>
      </c>
      <c r="O766" s="22" t="e">
        <f t="shared" ca="1" si="152"/>
        <v>#N/A</v>
      </c>
      <c r="P766" s="17" t="e">
        <f ca="1"/>
        <v>#N/A</v>
      </c>
      <c r="Q766" s="17" t="e">
        <f ca="1"/>
        <v>#N/A</v>
      </c>
      <c r="R766" s="23" t="e">
        <f ca="1"/>
        <v>#N/A</v>
      </c>
      <c r="S766" s="23">
        <f t="shared" ca="1" si="160"/>
        <v>0</v>
      </c>
      <c r="T766" t="b">
        <f t="shared" ca="1" si="157"/>
        <v>1</v>
      </c>
      <c r="U766" s="22" t="e">
        <f t="shared" ca="1" si="153"/>
        <v>#N/A</v>
      </c>
      <c r="V766">
        <f t="shared" ca="1" si="154"/>
        <v>0</v>
      </c>
    </row>
    <row r="767" spans="2:22">
      <c r="B767">
        <f t="shared" si="158"/>
        <v>757</v>
      </c>
      <c r="C767" s="22" t="e">
        <f ca="1"/>
        <v>#N/A</v>
      </c>
      <c r="D767" s="17" t="e">
        <f ca="1"/>
        <v>#N/A</v>
      </c>
      <c r="E767" s="17" t="e">
        <f ca="1"/>
        <v>#N/A</v>
      </c>
      <c r="F767" s="23" t="e">
        <f ca="1"/>
        <v>#N/A</v>
      </c>
      <c r="G767" s="23">
        <f t="shared" ca="1" si="159"/>
        <v>0</v>
      </c>
      <c r="H767" t="b">
        <f t="shared" ca="1" si="155"/>
        <v>1</v>
      </c>
      <c r="I767" s="22" t="e">
        <f t="shared" ca="1" si="150"/>
        <v>#N/A</v>
      </c>
      <c r="J767">
        <f t="shared" ca="1" si="151"/>
        <v>0</v>
      </c>
      <c r="K767" t="e">
        <f t="shared" ca="1" si="156"/>
        <v>#N/A</v>
      </c>
      <c r="O767" s="22" t="e">
        <f t="shared" ca="1" si="152"/>
        <v>#N/A</v>
      </c>
      <c r="P767" s="17" t="e">
        <f ca="1"/>
        <v>#N/A</v>
      </c>
      <c r="Q767" s="17" t="e">
        <f ca="1"/>
        <v>#N/A</v>
      </c>
      <c r="R767" s="23" t="e">
        <f ca="1"/>
        <v>#N/A</v>
      </c>
      <c r="S767" s="23">
        <f t="shared" ca="1" si="160"/>
        <v>0</v>
      </c>
      <c r="T767" t="b">
        <f t="shared" ca="1" si="157"/>
        <v>1</v>
      </c>
      <c r="U767" s="22" t="e">
        <f t="shared" ca="1" si="153"/>
        <v>#N/A</v>
      </c>
      <c r="V767">
        <f t="shared" ca="1" si="154"/>
        <v>0</v>
      </c>
    </row>
    <row r="768" spans="2:22">
      <c r="B768">
        <f t="shared" si="158"/>
        <v>758</v>
      </c>
      <c r="C768" s="22" t="e">
        <f ca="1"/>
        <v>#N/A</v>
      </c>
      <c r="D768" s="17" t="e">
        <f ca="1"/>
        <v>#N/A</v>
      </c>
      <c r="E768" s="17" t="e">
        <f ca="1"/>
        <v>#N/A</v>
      </c>
      <c r="F768" s="23" t="e">
        <f ca="1"/>
        <v>#N/A</v>
      </c>
      <c r="G768" s="23">
        <f t="shared" ca="1" si="159"/>
        <v>0</v>
      </c>
      <c r="H768" t="b">
        <f t="shared" ca="1" si="155"/>
        <v>1</v>
      </c>
      <c r="I768" s="22" t="e">
        <f t="shared" ca="1" si="150"/>
        <v>#N/A</v>
      </c>
      <c r="J768">
        <f t="shared" ca="1" si="151"/>
        <v>0</v>
      </c>
      <c r="K768" t="e">
        <f t="shared" ca="1" si="156"/>
        <v>#N/A</v>
      </c>
      <c r="O768" s="22" t="e">
        <f t="shared" ca="1" si="152"/>
        <v>#N/A</v>
      </c>
      <c r="P768" s="17" t="e">
        <f ca="1"/>
        <v>#N/A</v>
      </c>
      <c r="Q768" s="17" t="e">
        <f ca="1"/>
        <v>#N/A</v>
      </c>
      <c r="R768" s="23" t="e">
        <f ca="1"/>
        <v>#N/A</v>
      </c>
      <c r="S768" s="23">
        <f t="shared" ca="1" si="160"/>
        <v>0</v>
      </c>
      <c r="T768" t="b">
        <f t="shared" ca="1" si="157"/>
        <v>1</v>
      </c>
      <c r="U768" s="22" t="e">
        <f t="shared" ca="1" si="153"/>
        <v>#N/A</v>
      </c>
      <c r="V768">
        <f t="shared" ca="1" si="154"/>
        <v>0</v>
      </c>
    </row>
    <row r="769" spans="2:22">
      <c r="B769">
        <f t="shared" si="158"/>
        <v>759</v>
      </c>
      <c r="C769" s="22" t="e">
        <f ca="1"/>
        <v>#N/A</v>
      </c>
      <c r="D769" s="17" t="e">
        <f ca="1"/>
        <v>#N/A</v>
      </c>
      <c r="E769" s="17" t="e">
        <f ca="1"/>
        <v>#N/A</v>
      </c>
      <c r="F769" s="23" t="e">
        <f ca="1"/>
        <v>#N/A</v>
      </c>
      <c r="G769" s="23">
        <f t="shared" ca="1" si="159"/>
        <v>0</v>
      </c>
      <c r="H769" t="b">
        <f t="shared" ca="1" si="155"/>
        <v>1</v>
      </c>
      <c r="I769" s="22" t="e">
        <f t="shared" ca="1" si="150"/>
        <v>#N/A</v>
      </c>
      <c r="J769">
        <f t="shared" ca="1" si="151"/>
        <v>0</v>
      </c>
      <c r="K769" t="e">
        <f t="shared" ca="1" si="156"/>
        <v>#N/A</v>
      </c>
      <c r="O769" s="22" t="e">
        <f t="shared" ca="1" si="152"/>
        <v>#N/A</v>
      </c>
      <c r="P769" s="17" t="e">
        <f ca="1"/>
        <v>#N/A</v>
      </c>
      <c r="Q769" s="17" t="e">
        <f ca="1"/>
        <v>#N/A</v>
      </c>
      <c r="R769" s="23" t="e">
        <f ca="1"/>
        <v>#N/A</v>
      </c>
      <c r="S769" s="23">
        <f t="shared" ca="1" si="160"/>
        <v>0</v>
      </c>
      <c r="T769" t="b">
        <f t="shared" ca="1" si="157"/>
        <v>1</v>
      </c>
      <c r="U769" s="22" t="e">
        <f t="shared" ca="1" si="153"/>
        <v>#N/A</v>
      </c>
      <c r="V769">
        <f t="shared" ca="1" si="154"/>
        <v>0</v>
      </c>
    </row>
    <row r="770" spans="2:22">
      <c r="B770">
        <f t="shared" si="158"/>
        <v>760</v>
      </c>
      <c r="C770" s="22" t="e">
        <f ca="1"/>
        <v>#N/A</v>
      </c>
      <c r="D770" s="17" t="e">
        <f ca="1"/>
        <v>#N/A</v>
      </c>
      <c r="E770" s="17" t="e">
        <f ca="1"/>
        <v>#N/A</v>
      </c>
      <c r="F770" s="23" t="e">
        <f ca="1"/>
        <v>#N/A</v>
      </c>
      <c r="G770" s="23">
        <f t="shared" ca="1" si="159"/>
        <v>0</v>
      </c>
      <c r="H770" t="b">
        <f t="shared" ca="1" si="155"/>
        <v>1</v>
      </c>
      <c r="I770" s="22" t="e">
        <f t="shared" ca="1" si="150"/>
        <v>#N/A</v>
      </c>
      <c r="J770">
        <f t="shared" ca="1" si="151"/>
        <v>0</v>
      </c>
      <c r="K770" t="e">
        <f t="shared" ca="1" si="156"/>
        <v>#N/A</v>
      </c>
      <c r="O770" s="22" t="e">
        <f t="shared" ca="1" si="152"/>
        <v>#N/A</v>
      </c>
      <c r="P770" s="17" t="e">
        <f ca="1"/>
        <v>#N/A</v>
      </c>
      <c r="Q770" s="17" t="e">
        <f ca="1"/>
        <v>#N/A</v>
      </c>
      <c r="R770" s="23" t="e">
        <f ca="1"/>
        <v>#N/A</v>
      </c>
      <c r="S770" s="23">
        <f t="shared" ca="1" si="160"/>
        <v>0</v>
      </c>
      <c r="T770" t="b">
        <f t="shared" ca="1" si="157"/>
        <v>1</v>
      </c>
      <c r="U770" s="22" t="e">
        <f t="shared" ca="1" si="153"/>
        <v>#N/A</v>
      </c>
      <c r="V770">
        <f t="shared" ca="1" si="154"/>
        <v>0</v>
      </c>
    </row>
    <row r="771" spans="2:22">
      <c r="B771">
        <f t="shared" si="158"/>
        <v>761</v>
      </c>
      <c r="C771" s="22" t="e">
        <f ca="1"/>
        <v>#N/A</v>
      </c>
      <c r="D771" s="17" t="e">
        <f ca="1"/>
        <v>#N/A</v>
      </c>
      <c r="E771" s="17" t="e">
        <f ca="1"/>
        <v>#N/A</v>
      </c>
      <c r="F771" s="23" t="e">
        <f ca="1"/>
        <v>#N/A</v>
      </c>
      <c r="G771" s="23">
        <f t="shared" ca="1" si="159"/>
        <v>0</v>
      </c>
      <c r="H771" t="b">
        <f t="shared" ca="1" si="155"/>
        <v>1</v>
      </c>
      <c r="I771" s="22" t="e">
        <f t="shared" ca="1" si="150"/>
        <v>#N/A</v>
      </c>
      <c r="J771">
        <f t="shared" ca="1" si="151"/>
        <v>0</v>
      </c>
      <c r="K771" t="e">
        <f t="shared" ca="1" si="156"/>
        <v>#N/A</v>
      </c>
      <c r="O771" s="22" t="e">
        <f t="shared" ca="1" si="152"/>
        <v>#N/A</v>
      </c>
      <c r="P771" s="17" t="e">
        <f ca="1"/>
        <v>#N/A</v>
      </c>
      <c r="Q771" s="17" t="e">
        <f ca="1"/>
        <v>#N/A</v>
      </c>
      <c r="R771" s="23" t="e">
        <f ca="1"/>
        <v>#N/A</v>
      </c>
      <c r="S771" s="23">
        <f t="shared" ca="1" si="160"/>
        <v>0</v>
      </c>
      <c r="T771" t="b">
        <f t="shared" ca="1" si="157"/>
        <v>1</v>
      </c>
      <c r="U771" s="22" t="e">
        <f t="shared" ca="1" si="153"/>
        <v>#N/A</v>
      </c>
      <c r="V771">
        <f t="shared" ca="1" si="154"/>
        <v>0</v>
      </c>
    </row>
    <row r="772" spans="2:22">
      <c r="B772">
        <f t="shared" si="158"/>
        <v>762</v>
      </c>
      <c r="C772" s="22" t="e">
        <f ca="1"/>
        <v>#N/A</v>
      </c>
      <c r="D772" s="17" t="e">
        <f ca="1"/>
        <v>#N/A</v>
      </c>
      <c r="E772" s="17" t="e">
        <f ca="1"/>
        <v>#N/A</v>
      </c>
      <c r="F772" s="23" t="e">
        <f ca="1"/>
        <v>#N/A</v>
      </c>
      <c r="G772" s="23">
        <f t="shared" ca="1" si="159"/>
        <v>0</v>
      </c>
      <c r="H772" t="b">
        <f t="shared" ca="1" si="155"/>
        <v>1</v>
      </c>
      <c r="I772" s="22" t="e">
        <f t="shared" ca="1" si="150"/>
        <v>#N/A</v>
      </c>
      <c r="J772">
        <f t="shared" ca="1" si="151"/>
        <v>0</v>
      </c>
      <c r="K772" t="e">
        <f t="shared" ca="1" si="156"/>
        <v>#N/A</v>
      </c>
      <c r="O772" s="22" t="e">
        <f t="shared" ca="1" si="152"/>
        <v>#N/A</v>
      </c>
      <c r="P772" s="17" t="e">
        <f ca="1"/>
        <v>#N/A</v>
      </c>
      <c r="Q772" s="17" t="e">
        <f ca="1"/>
        <v>#N/A</v>
      </c>
      <c r="R772" s="23" t="e">
        <f ca="1"/>
        <v>#N/A</v>
      </c>
      <c r="S772" s="23">
        <f t="shared" ca="1" si="160"/>
        <v>0</v>
      </c>
      <c r="T772" t="b">
        <f t="shared" ca="1" si="157"/>
        <v>1</v>
      </c>
      <c r="U772" s="22" t="e">
        <f t="shared" ca="1" si="153"/>
        <v>#N/A</v>
      </c>
      <c r="V772">
        <f t="shared" ca="1" si="154"/>
        <v>0</v>
      </c>
    </row>
    <row r="773" spans="2:22">
      <c r="B773">
        <f t="shared" si="158"/>
        <v>763</v>
      </c>
      <c r="C773" s="22" t="e">
        <f ca="1"/>
        <v>#N/A</v>
      </c>
      <c r="D773" s="17" t="e">
        <f ca="1"/>
        <v>#N/A</v>
      </c>
      <c r="E773" s="17" t="e">
        <f ca="1"/>
        <v>#N/A</v>
      </c>
      <c r="F773" s="23" t="e">
        <f ca="1"/>
        <v>#N/A</v>
      </c>
      <c r="G773" s="23">
        <f t="shared" ca="1" si="159"/>
        <v>0</v>
      </c>
      <c r="H773" t="b">
        <f t="shared" ca="1" si="155"/>
        <v>1</v>
      </c>
      <c r="I773" s="22" t="e">
        <f t="shared" ca="1" si="150"/>
        <v>#N/A</v>
      </c>
      <c r="J773">
        <f t="shared" ca="1" si="151"/>
        <v>0</v>
      </c>
      <c r="K773" t="e">
        <f t="shared" ca="1" si="156"/>
        <v>#N/A</v>
      </c>
      <c r="O773" s="22" t="e">
        <f t="shared" ca="1" si="152"/>
        <v>#N/A</v>
      </c>
      <c r="P773" s="17" t="e">
        <f ca="1"/>
        <v>#N/A</v>
      </c>
      <c r="Q773" s="17" t="e">
        <f ca="1"/>
        <v>#N/A</v>
      </c>
      <c r="R773" s="23" t="e">
        <f ca="1"/>
        <v>#N/A</v>
      </c>
      <c r="S773" s="23">
        <f t="shared" ca="1" si="160"/>
        <v>0</v>
      </c>
      <c r="T773" t="b">
        <f t="shared" ca="1" si="157"/>
        <v>1</v>
      </c>
      <c r="U773" s="22" t="e">
        <f t="shared" ca="1" si="153"/>
        <v>#N/A</v>
      </c>
      <c r="V773">
        <f t="shared" ca="1" si="154"/>
        <v>0</v>
      </c>
    </row>
    <row r="774" spans="2:22">
      <c r="B774">
        <f t="shared" si="158"/>
        <v>764</v>
      </c>
      <c r="C774" s="22" t="e">
        <f ca="1"/>
        <v>#N/A</v>
      </c>
      <c r="D774" s="17" t="e">
        <f ca="1"/>
        <v>#N/A</v>
      </c>
      <c r="E774" s="17" t="e">
        <f ca="1"/>
        <v>#N/A</v>
      </c>
      <c r="F774" s="23" t="e">
        <f ca="1"/>
        <v>#N/A</v>
      </c>
      <c r="G774" s="23">
        <f t="shared" ca="1" si="159"/>
        <v>0</v>
      </c>
      <c r="H774" t="b">
        <f t="shared" ca="1" si="155"/>
        <v>1</v>
      </c>
      <c r="I774" s="22" t="e">
        <f t="shared" ca="1" si="150"/>
        <v>#N/A</v>
      </c>
      <c r="J774">
        <f t="shared" ca="1" si="151"/>
        <v>0</v>
      </c>
      <c r="K774" t="e">
        <f t="shared" ca="1" si="156"/>
        <v>#N/A</v>
      </c>
      <c r="O774" s="22" t="e">
        <f t="shared" ca="1" si="152"/>
        <v>#N/A</v>
      </c>
      <c r="P774" s="17" t="e">
        <f ca="1"/>
        <v>#N/A</v>
      </c>
      <c r="Q774" s="17" t="e">
        <f ca="1"/>
        <v>#N/A</v>
      </c>
      <c r="R774" s="23" t="e">
        <f ca="1"/>
        <v>#N/A</v>
      </c>
      <c r="S774" s="23">
        <f t="shared" ca="1" si="160"/>
        <v>0</v>
      </c>
      <c r="T774" t="b">
        <f t="shared" ca="1" si="157"/>
        <v>1</v>
      </c>
      <c r="U774" s="22" t="e">
        <f t="shared" ca="1" si="153"/>
        <v>#N/A</v>
      </c>
      <c r="V774">
        <f t="shared" ca="1" si="154"/>
        <v>0</v>
      </c>
    </row>
    <row r="775" spans="2:22">
      <c r="B775">
        <f t="shared" si="158"/>
        <v>765</v>
      </c>
      <c r="C775" s="22" t="e">
        <f ca="1"/>
        <v>#N/A</v>
      </c>
      <c r="D775" s="17" t="e">
        <f ca="1"/>
        <v>#N/A</v>
      </c>
      <c r="E775" s="17" t="e">
        <f ca="1"/>
        <v>#N/A</v>
      </c>
      <c r="F775" s="23" t="e">
        <f ca="1"/>
        <v>#N/A</v>
      </c>
      <c r="G775" s="23">
        <f t="shared" ca="1" si="159"/>
        <v>0</v>
      </c>
      <c r="H775" t="b">
        <f t="shared" ca="1" si="155"/>
        <v>1</v>
      </c>
      <c r="I775" s="22" t="e">
        <f t="shared" ca="1" si="150"/>
        <v>#N/A</v>
      </c>
      <c r="J775">
        <f t="shared" ca="1" si="151"/>
        <v>0</v>
      </c>
      <c r="K775" t="e">
        <f t="shared" ca="1" si="156"/>
        <v>#N/A</v>
      </c>
      <c r="O775" s="22" t="e">
        <f t="shared" ca="1" si="152"/>
        <v>#N/A</v>
      </c>
      <c r="P775" s="17" t="e">
        <f ca="1"/>
        <v>#N/A</v>
      </c>
      <c r="Q775" s="17" t="e">
        <f ca="1"/>
        <v>#N/A</v>
      </c>
      <c r="R775" s="23" t="e">
        <f ca="1"/>
        <v>#N/A</v>
      </c>
      <c r="S775" s="23">
        <f t="shared" ca="1" si="160"/>
        <v>0</v>
      </c>
      <c r="T775" t="b">
        <f t="shared" ca="1" si="157"/>
        <v>1</v>
      </c>
      <c r="U775" s="22" t="e">
        <f t="shared" ca="1" si="153"/>
        <v>#N/A</v>
      </c>
      <c r="V775">
        <f t="shared" ca="1" si="154"/>
        <v>0</v>
      </c>
    </row>
    <row r="776" spans="2:22">
      <c r="B776">
        <f t="shared" si="158"/>
        <v>766</v>
      </c>
      <c r="C776" s="22" t="e">
        <f ca="1"/>
        <v>#N/A</v>
      </c>
      <c r="D776" s="17" t="e">
        <f ca="1"/>
        <v>#N/A</v>
      </c>
      <c r="E776" s="17" t="e">
        <f ca="1"/>
        <v>#N/A</v>
      </c>
      <c r="F776" s="23" t="e">
        <f ca="1"/>
        <v>#N/A</v>
      </c>
      <c r="G776" s="23">
        <f t="shared" ca="1" si="159"/>
        <v>0</v>
      </c>
      <c r="H776" t="b">
        <f t="shared" ca="1" si="155"/>
        <v>1</v>
      </c>
      <c r="I776" s="22" t="e">
        <f t="shared" ca="1" si="150"/>
        <v>#N/A</v>
      </c>
      <c r="J776">
        <f t="shared" ca="1" si="151"/>
        <v>0</v>
      </c>
      <c r="K776" t="e">
        <f t="shared" ca="1" si="156"/>
        <v>#N/A</v>
      </c>
      <c r="O776" s="22" t="e">
        <f t="shared" ca="1" si="152"/>
        <v>#N/A</v>
      </c>
      <c r="P776" s="17" t="e">
        <f ca="1"/>
        <v>#N/A</v>
      </c>
      <c r="Q776" s="17" t="e">
        <f ca="1"/>
        <v>#N/A</v>
      </c>
      <c r="R776" s="23" t="e">
        <f ca="1"/>
        <v>#N/A</v>
      </c>
      <c r="S776" s="23">
        <f t="shared" ca="1" si="160"/>
        <v>0</v>
      </c>
      <c r="T776" t="b">
        <f t="shared" ca="1" si="157"/>
        <v>1</v>
      </c>
      <c r="U776" s="22" t="e">
        <f t="shared" ca="1" si="153"/>
        <v>#N/A</v>
      </c>
      <c r="V776">
        <f t="shared" ca="1" si="154"/>
        <v>0</v>
      </c>
    </row>
    <row r="777" spans="2:22">
      <c r="B777">
        <f t="shared" si="158"/>
        <v>767</v>
      </c>
      <c r="C777" s="22" t="e">
        <f ca="1"/>
        <v>#N/A</v>
      </c>
      <c r="D777" s="17" t="e">
        <f ca="1"/>
        <v>#N/A</v>
      </c>
      <c r="E777" s="17" t="e">
        <f ca="1"/>
        <v>#N/A</v>
      </c>
      <c r="F777" s="23" t="e">
        <f ca="1"/>
        <v>#N/A</v>
      </c>
      <c r="G777" s="23">
        <f t="shared" ca="1" si="159"/>
        <v>0</v>
      </c>
      <c r="H777" t="b">
        <f t="shared" ca="1" si="155"/>
        <v>1</v>
      </c>
      <c r="I777" s="22" t="e">
        <f t="shared" ca="1" si="150"/>
        <v>#N/A</v>
      </c>
      <c r="J777">
        <f t="shared" ca="1" si="151"/>
        <v>0</v>
      </c>
      <c r="K777" t="e">
        <f t="shared" ca="1" si="156"/>
        <v>#N/A</v>
      </c>
      <c r="O777" s="22" t="e">
        <f t="shared" ca="1" si="152"/>
        <v>#N/A</v>
      </c>
      <c r="P777" s="17" t="e">
        <f ca="1"/>
        <v>#N/A</v>
      </c>
      <c r="Q777" s="17" t="e">
        <f ca="1"/>
        <v>#N/A</v>
      </c>
      <c r="R777" s="23" t="e">
        <f ca="1"/>
        <v>#N/A</v>
      </c>
      <c r="S777" s="23">
        <f t="shared" ca="1" si="160"/>
        <v>0</v>
      </c>
      <c r="T777" t="b">
        <f t="shared" ca="1" si="157"/>
        <v>1</v>
      </c>
      <c r="U777" s="22" t="e">
        <f t="shared" ca="1" si="153"/>
        <v>#N/A</v>
      </c>
      <c r="V777">
        <f t="shared" ca="1" si="154"/>
        <v>0</v>
      </c>
    </row>
    <row r="778" spans="2:22">
      <c r="B778">
        <f t="shared" si="158"/>
        <v>768</v>
      </c>
      <c r="C778" s="22" t="e">
        <f ca="1"/>
        <v>#N/A</v>
      </c>
      <c r="D778" s="17" t="e">
        <f ca="1"/>
        <v>#N/A</v>
      </c>
      <c r="E778" s="17" t="e">
        <f ca="1"/>
        <v>#N/A</v>
      </c>
      <c r="F778" s="23" t="e">
        <f ca="1"/>
        <v>#N/A</v>
      </c>
      <c r="G778" s="23">
        <f t="shared" ca="1" si="159"/>
        <v>0</v>
      </c>
      <c r="H778" t="b">
        <f t="shared" ca="1" si="155"/>
        <v>1</v>
      </c>
      <c r="I778" s="22" t="e">
        <f t="shared" ca="1" si="150"/>
        <v>#N/A</v>
      </c>
      <c r="J778">
        <f t="shared" ca="1" si="151"/>
        <v>0</v>
      </c>
      <c r="K778" t="e">
        <f t="shared" ca="1" si="156"/>
        <v>#N/A</v>
      </c>
      <c r="O778" s="22" t="e">
        <f t="shared" ca="1" si="152"/>
        <v>#N/A</v>
      </c>
      <c r="P778" s="17" t="e">
        <f ca="1"/>
        <v>#N/A</v>
      </c>
      <c r="Q778" s="17" t="e">
        <f ca="1"/>
        <v>#N/A</v>
      </c>
      <c r="R778" s="23" t="e">
        <f ca="1"/>
        <v>#N/A</v>
      </c>
      <c r="S778" s="23">
        <f t="shared" ca="1" si="160"/>
        <v>0</v>
      </c>
      <c r="T778" t="b">
        <f t="shared" ca="1" si="157"/>
        <v>1</v>
      </c>
      <c r="U778" s="22" t="e">
        <f t="shared" ca="1" si="153"/>
        <v>#N/A</v>
      </c>
      <c r="V778">
        <f t="shared" ca="1" si="154"/>
        <v>0</v>
      </c>
    </row>
    <row r="779" spans="2:22">
      <c r="B779">
        <f t="shared" si="158"/>
        <v>769</v>
      </c>
      <c r="C779" s="22" t="e">
        <f ca="1"/>
        <v>#N/A</v>
      </c>
      <c r="D779" s="17" t="e">
        <f ca="1"/>
        <v>#N/A</v>
      </c>
      <c r="E779" s="17" t="e">
        <f ca="1"/>
        <v>#N/A</v>
      </c>
      <c r="F779" s="23" t="e">
        <f ca="1"/>
        <v>#N/A</v>
      </c>
      <c r="G779" s="23">
        <f t="shared" ca="1" si="159"/>
        <v>0</v>
      </c>
      <c r="H779" t="b">
        <f t="shared" ca="1" si="155"/>
        <v>1</v>
      </c>
      <c r="I779" s="22" t="e">
        <f t="shared" ref="I779:I842" ca="1" si="161">IF(H779,C779,NA)</f>
        <v>#N/A</v>
      </c>
      <c r="J779">
        <f t="shared" ref="J779:J842" ca="1" si="162">IF(H779,G779,NA)</f>
        <v>0</v>
      </c>
      <c r="K779" t="e">
        <f t="shared" ca="1" si="156"/>
        <v>#N/A</v>
      </c>
      <c r="O779" s="22" t="e">
        <f t="shared" ref="O779:O842" ca="1" si="163">C779</f>
        <v>#N/A</v>
      </c>
      <c r="P779" s="17" t="e">
        <f ca="1"/>
        <v>#N/A</v>
      </c>
      <c r="Q779" s="17" t="e">
        <f ca="1"/>
        <v>#N/A</v>
      </c>
      <c r="R779" s="23" t="e">
        <f ca="1"/>
        <v>#N/A</v>
      </c>
      <c r="S779" s="23">
        <f t="shared" ca="1" si="160"/>
        <v>0</v>
      </c>
      <c r="T779" t="b">
        <f t="shared" ca="1" si="157"/>
        <v>1</v>
      </c>
      <c r="U779" s="22" t="e">
        <f t="shared" ref="U779:U842" ca="1" si="164">IF(T779,O779,NA)</f>
        <v>#N/A</v>
      </c>
      <c r="V779">
        <f t="shared" ref="V779:V842" ca="1" si="165">IF(T779,S779,NA)</f>
        <v>0</v>
      </c>
    </row>
    <row r="780" spans="2:22">
      <c r="B780">
        <f t="shared" si="158"/>
        <v>770</v>
      </c>
      <c r="C780" s="22" t="e">
        <f ca="1"/>
        <v>#N/A</v>
      </c>
      <c r="D780" s="17" t="e">
        <f ca="1"/>
        <v>#N/A</v>
      </c>
      <c r="E780" s="17" t="e">
        <f ca="1"/>
        <v>#N/A</v>
      </c>
      <c r="F780" s="23" t="e">
        <f ca="1"/>
        <v>#N/A</v>
      </c>
      <c r="G780" s="23">
        <f t="shared" ca="1" si="159"/>
        <v>0</v>
      </c>
      <c r="H780" t="b">
        <f t="shared" ref="H780:H843" ca="1" si="166">ISNUMBER(G780)</f>
        <v>1</v>
      </c>
      <c r="I780" s="22" t="e">
        <f t="shared" ca="1" si="161"/>
        <v>#N/A</v>
      </c>
      <c r="J780">
        <f t="shared" ca="1" si="162"/>
        <v>0</v>
      </c>
      <c r="K780" t="e">
        <f t="shared" ref="K780:K843" ca="1" si="167">YEAR(C780)</f>
        <v>#N/A</v>
      </c>
      <c r="O780" s="22" t="e">
        <f t="shared" ca="1" si="163"/>
        <v>#N/A</v>
      </c>
      <c r="P780" s="17" t="e">
        <f ca="1"/>
        <v>#N/A</v>
      </c>
      <c r="Q780" s="17" t="e">
        <f ca="1"/>
        <v>#N/A</v>
      </c>
      <c r="R780" s="23" t="e">
        <f ca="1"/>
        <v>#N/A</v>
      </c>
      <c r="S780" s="23">
        <f t="shared" ca="1" si="160"/>
        <v>0</v>
      </c>
      <c r="T780" t="b">
        <f t="shared" ref="T780:T843" ca="1" si="168">ISNUMBER(S780)</f>
        <v>1</v>
      </c>
      <c r="U780" s="22" t="e">
        <f t="shared" ca="1" si="164"/>
        <v>#N/A</v>
      </c>
      <c r="V780">
        <f t="shared" ca="1" si="165"/>
        <v>0</v>
      </c>
    </row>
    <row r="781" spans="2:22">
      <c r="B781">
        <f t="shared" ref="B781:B844" si="169">B780+1</f>
        <v>771</v>
      </c>
      <c r="C781" s="22" t="e">
        <f ca="1"/>
        <v>#N/A</v>
      </c>
      <c r="D781" s="17" t="e">
        <f ca="1"/>
        <v>#N/A</v>
      </c>
      <c r="E781" s="17" t="e">
        <f ca="1"/>
        <v>#N/A</v>
      </c>
      <c r="F781" s="23" t="e">
        <f ca="1"/>
        <v>#N/A</v>
      </c>
      <c r="G781" s="23">
        <f t="shared" ca="1" si="159"/>
        <v>0</v>
      </c>
      <c r="H781" t="b">
        <f t="shared" ca="1" si="166"/>
        <v>1</v>
      </c>
      <c r="I781" s="22" t="e">
        <f t="shared" ca="1" si="161"/>
        <v>#N/A</v>
      </c>
      <c r="J781">
        <f t="shared" ca="1" si="162"/>
        <v>0</v>
      </c>
      <c r="K781" t="e">
        <f t="shared" ca="1" si="167"/>
        <v>#N/A</v>
      </c>
      <c r="O781" s="22" t="e">
        <f t="shared" ca="1" si="163"/>
        <v>#N/A</v>
      </c>
      <c r="P781" s="17" t="e">
        <f ca="1"/>
        <v>#N/A</v>
      </c>
      <c r="Q781" s="17" t="e">
        <f ca="1"/>
        <v>#N/A</v>
      </c>
      <c r="R781" s="23" t="e">
        <f ca="1"/>
        <v>#N/A</v>
      </c>
      <c r="S781" s="23">
        <f t="shared" ca="1" si="160"/>
        <v>0</v>
      </c>
      <c r="T781" t="b">
        <f t="shared" ca="1" si="168"/>
        <v>1</v>
      </c>
      <c r="U781" s="22" t="e">
        <f t="shared" ca="1" si="164"/>
        <v>#N/A</v>
      </c>
      <c r="V781">
        <f t="shared" ca="1" si="165"/>
        <v>0</v>
      </c>
    </row>
    <row r="782" spans="2:22">
      <c r="B782">
        <f t="shared" si="169"/>
        <v>772</v>
      </c>
      <c r="C782" s="22" t="e">
        <f ca="1"/>
        <v>#N/A</v>
      </c>
      <c r="D782" s="17" t="e">
        <f ca="1"/>
        <v>#N/A</v>
      </c>
      <c r="E782" s="17" t="e">
        <f ca="1"/>
        <v>#N/A</v>
      </c>
      <c r="F782" s="23" t="e">
        <f ca="1"/>
        <v>#N/A</v>
      </c>
      <c r="G782" s="23">
        <f t="shared" ca="1" si="159"/>
        <v>0</v>
      </c>
      <c r="H782" t="b">
        <f t="shared" ca="1" si="166"/>
        <v>1</v>
      </c>
      <c r="I782" s="22" t="e">
        <f t="shared" ca="1" si="161"/>
        <v>#N/A</v>
      </c>
      <c r="J782">
        <f t="shared" ca="1" si="162"/>
        <v>0</v>
      </c>
      <c r="K782" t="e">
        <f t="shared" ca="1" si="167"/>
        <v>#N/A</v>
      </c>
      <c r="O782" s="22" t="e">
        <f t="shared" ca="1" si="163"/>
        <v>#N/A</v>
      </c>
      <c r="P782" s="17" t="e">
        <f ca="1"/>
        <v>#N/A</v>
      </c>
      <c r="Q782" s="17" t="e">
        <f ca="1"/>
        <v>#N/A</v>
      </c>
      <c r="R782" s="23" t="e">
        <f ca="1"/>
        <v>#N/A</v>
      </c>
      <c r="S782" s="23">
        <f t="shared" ca="1" si="160"/>
        <v>0</v>
      </c>
      <c r="T782" t="b">
        <f t="shared" ca="1" si="168"/>
        <v>1</v>
      </c>
      <c r="U782" s="22" t="e">
        <f t="shared" ca="1" si="164"/>
        <v>#N/A</v>
      </c>
      <c r="V782">
        <f t="shared" ca="1" si="165"/>
        <v>0</v>
      </c>
    </row>
    <row r="783" spans="2:22">
      <c r="B783">
        <f t="shared" si="169"/>
        <v>773</v>
      </c>
      <c r="C783" s="22" t="e">
        <f ca="1"/>
        <v>#N/A</v>
      </c>
      <c r="D783" s="17" t="e">
        <f ca="1"/>
        <v>#N/A</v>
      </c>
      <c r="E783" s="17" t="e">
        <f ca="1"/>
        <v>#N/A</v>
      </c>
      <c r="F783" s="23" t="e">
        <f ca="1"/>
        <v>#N/A</v>
      </c>
      <c r="G783" s="23">
        <f t="shared" ca="1" si="159"/>
        <v>0</v>
      </c>
      <c r="H783" t="b">
        <f t="shared" ca="1" si="166"/>
        <v>1</v>
      </c>
      <c r="I783" s="22" t="e">
        <f t="shared" ca="1" si="161"/>
        <v>#N/A</v>
      </c>
      <c r="J783">
        <f t="shared" ca="1" si="162"/>
        <v>0</v>
      </c>
      <c r="K783" t="e">
        <f t="shared" ca="1" si="167"/>
        <v>#N/A</v>
      </c>
      <c r="O783" s="22" t="e">
        <f t="shared" ca="1" si="163"/>
        <v>#N/A</v>
      </c>
      <c r="P783" s="17" t="e">
        <f ca="1"/>
        <v>#N/A</v>
      </c>
      <c r="Q783" s="17" t="e">
        <f ca="1"/>
        <v>#N/A</v>
      </c>
      <c r="R783" s="23" t="e">
        <f ca="1"/>
        <v>#N/A</v>
      </c>
      <c r="S783" s="23">
        <f t="shared" ca="1" si="160"/>
        <v>0</v>
      </c>
      <c r="T783" t="b">
        <f t="shared" ca="1" si="168"/>
        <v>1</v>
      </c>
      <c r="U783" s="22" t="e">
        <f t="shared" ca="1" si="164"/>
        <v>#N/A</v>
      </c>
      <c r="V783">
        <f t="shared" ca="1" si="165"/>
        <v>0</v>
      </c>
    </row>
    <row r="784" spans="2:22">
      <c r="B784">
        <f t="shared" si="169"/>
        <v>774</v>
      </c>
      <c r="C784" s="22" t="e">
        <f ca="1"/>
        <v>#N/A</v>
      </c>
      <c r="D784" s="17" t="e">
        <f ca="1"/>
        <v>#N/A</v>
      </c>
      <c r="E784" s="17" t="e">
        <f ca="1"/>
        <v>#N/A</v>
      </c>
      <c r="F784" s="23" t="e">
        <f ca="1"/>
        <v>#N/A</v>
      </c>
      <c r="G784" s="23">
        <f t="shared" ca="1" si="159"/>
        <v>0</v>
      </c>
      <c r="H784" t="b">
        <f t="shared" ca="1" si="166"/>
        <v>1</v>
      </c>
      <c r="I784" s="22" t="e">
        <f t="shared" ca="1" si="161"/>
        <v>#N/A</v>
      </c>
      <c r="J784">
        <f t="shared" ca="1" si="162"/>
        <v>0</v>
      </c>
      <c r="K784" t="e">
        <f t="shared" ca="1" si="167"/>
        <v>#N/A</v>
      </c>
      <c r="O784" s="22" t="e">
        <f t="shared" ca="1" si="163"/>
        <v>#N/A</v>
      </c>
      <c r="P784" s="17" t="e">
        <f ca="1"/>
        <v>#N/A</v>
      </c>
      <c r="Q784" s="17" t="e">
        <f ca="1"/>
        <v>#N/A</v>
      </c>
      <c r="R784" s="23" t="e">
        <f ca="1"/>
        <v>#N/A</v>
      </c>
      <c r="S784" s="23">
        <f t="shared" ca="1" si="160"/>
        <v>0</v>
      </c>
      <c r="T784" t="b">
        <f t="shared" ca="1" si="168"/>
        <v>1</v>
      </c>
      <c r="U784" s="22" t="e">
        <f t="shared" ca="1" si="164"/>
        <v>#N/A</v>
      </c>
      <c r="V784">
        <f t="shared" ca="1" si="165"/>
        <v>0</v>
      </c>
    </row>
    <row r="785" spans="2:22">
      <c r="B785">
        <f t="shared" si="169"/>
        <v>775</v>
      </c>
      <c r="C785" s="22" t="e">
        <f ca="1"/>
        <v>#N/A</v>
      </c>
      <c r="D785" s="17" t="e">
        <f ca="1"/>
        <v>#N/A</v>
      </c>
      <c r="E785" s="17" t="e">
        <f ca="1"/>
        <v>#N/A</v>
      </c>
      <c r="F785" s="23" t="e">
        <f ca="1"/>
        <v>#N/A</v>
      </c>
      <c r="G785" s="23">
        <f t="shared" ca="1" si="159"/>
        <v>0</v>
      </c>
      <c r="H785" t="b">
        <f t="shared" ca="1" si="166"/>
        <v>1</v>
      </c>
      <c r="I785" s="22" t="e">
        <f t="shared" ca="1" si="161"/>
        <v>#N/A</v>
      </c>
      <c r="J785">
        <f t="shared" ca="1" si="162"/>
        <v>0</v>
      </c>
      <c r="K785" t="e">
        <f t="shared" ca="1" si="167"/>
        <v>#N/A</v>
      </c>
      <c r="O785" s="22" t="e">
        <f t="shared" ca="1" si="163"/>
        <v>#N/A</v>
      </c>
      <c r="P785" s="17" t="e">
        <f ca="1"/>
        <v>#N/A</v>
      </c>
      <c r="Q785" s="17" t="e">
        <f ca="1"/>
        <v>#N/A</v>
      </c>
      <c r="R785" s="23" t="e">
        <f ca="1"/>
        <v>#N/A</v>
      </c>
      <c r="S785" s="23">
        <f t="shared" ca="1" si="160"/>
        <v>0</v>
      </c>
      <c r="T785" t="b">
        <f t="shared" ca="1" si="168"/>
        <v>1</v>
      </c>
      <c r="U785" s="22" t="e">
        <f t="shared" ca="1" si="164"/>
        <v>#N/A</v>
      </c>
      <c r="V785">
        <f t="shared" ca="1" si="165"/>
        <v>0</v>
      </c>
    </row>
    <row r="786" spans="2:22">
      <c r="B786">
        <f t="shared" si="169"/>
        <v>776</v>
      </c>
      <c r="C786" s="22" t="e">
        <f ca="1"/>
        <v>#N/A</v>
      </c>
      <c r="D786" s="17" t="e">
        <f ca="1"/>
        <v>#N/A</v>
      </c>
      <c r="E786" s="17" t="e">
        <f ca="1"/>
        <v>#N/A</v>
      </c>
      <c r="F786" s="23" t="e">
        <f ca="1"/>
        <v>#N/A</v>
      </c>
      <c r="G786" s="23">
        <f t="shared" ca="1" si="159"/>
        <v>0</v>
      </c>
      <c r="H786" t="b">
        <f t="shared" ca="1" si="166"/>
        <v>1</v>
      </c>
      <c r="I786" s="22" t="e">
        <f t="shared" ca="1" si="161"/>
        <v>#N/A</v>
      </c>
      <c r="J786">
        <f t="shared" ca="1" si="162"/>
        <v>0</v>
      </c>
      <c r="K786" t="e">
        <f t="shared" ca="1" si="167"/>
        <v>#N/A</v>
      </c>
      <c r="O786" s="22" t="e">
        <f t="shared" ca="1" si="163"/>
        <v>#N/A</v>
      </c>
      <c r="P786" s="17" t="e">
        <f ca="1"/>
        <v>#N/A</v>
      </c>
      <c r="Q786" s="17" t="e">
        <f ca="1"/>
        <v>#N/A</v>
      </c>
      <c r="R786" s="23" t="e">
        <f ca="1"/>
        <v>#N/A</v>
      </c>
      <c r="S786" s="23">
        <f t="shared" ca="1" si="160"/>
        <v>0</v>
      </c>
      <c r="T786" t="b">
        <f t="shared" ca="1" si="168"/>
        <v>1</v>
      </c>
      <c r="U786" s="22" t="e">
        <f t="shared" ca="1" si="164"/>
        <v>#N/A</v>
      </c>
      <c r="V786">
        <f t="shared" ca="1" si="165"/>
        <v>0</v>
      </c>
    </row>
    <row r="787" spans="2:22">
      <c r="B787">
        <f t="shared" si="169"/>
        <v>777</v>
      </c>
      <c r="C787" s="22" t="e">
        <f ca="1"/>
        <v>#N/A</v>
      </c>
      <c r="D787" s="17" t="e">
        <f ca="1"/>
        <v>#N/A</v>
      </c>
      <c r="E787" s="17" t="e">
        <f ca="1"/>
        <v>#N/A</v>
      </c>
      <c r="F787" s="23" t="e">
        <f ca="1"/>
        <v>#N/A</v>
      </c>
      <c r="G787" s="23">
        <f t="shared" ca="1" si="159"/>
        <v>0</v>
      </c>
      <c r="H787" t="b">
        <f t="shared" ca="1" si="166"/>
        <v>1</v>
      </c>
      <c r="I787" s="22" t="e">
        <f t="shared" ca="1" si="161"/>
        <v>#N/A</v>
      </c>
      <c r="J787">
        <f t="shared" ca="1" si="162"/>
        <v>0</v>
      </c>
      <c r="K787" t="e">
        <f t="shared" ca="1" si="167"/>
        <v>#N/A</v>
      </c>
      <c r="O787" s="22" t="e">
        <f t="shared" ca="1" si="163"/>
        <v>#N/A</v>
      </c>
      <c r="P787" s="17" t="e">
        <f ca="1"/>
        <v>#N/A</v>
      </c>
      <c r="Q787" s="17" t="e">
        <f ca="1"/>
        <v>#N/A</v>
      </c>
      <c r="R787" s="23" t="e">
        <f ca="1"/>
        <v>#N/A</v>
      </c>
      <c r="S787" s="23">
        <f t="shared" ca="1" si="160"/>
        <v>0</v>
      </c>
      <c r="T787" t="b">
        <f t="shared" ca="1" si="168"/>
        <v>1</v>
      </c>
      <c r="U787" s="22" t="e">
        <f t="shared" ca="1" si="164"/>
        <v>#N/A</v>
      </c>
      <c r="V787">
        <f t="shared" ca="1" si="165"/>
        <v>0</v>
      </c>
    </row>
    <row r="788" spans="2:22">
      <c r="B788">
        <f t="shared" si="169"/>
        <v>778</v>
      </c>
      <c r="C788" s="22" t="e">
        <f ca="1"/>
        <v>#N/A</v>
      </c>
      <c r="D788" s="17" t="e">
        <f ca="1"/>
        <v>#N/A</v>
      </c>
      <c r="E788" s="17" t="e">
        <f ca="1"/>
        <v>#N/A</v>
      </c>
      <c r="F788" s="23" t="e">
        <f ca="1"/>
        <v>#N/A</v>
      </c>
      <c r="G788" s="23">
        <f t="shared" ca="1" si="159"/>
        <v>0</v>
      </c>
      <c r="H788" t="b">
        <f t="shared" ca="1" si="166"/>
        <v>1</v>
      </c>
      <c r="I788" s="22" t="e">
        <f t="shared" ca="1" si="161"/>
        <v>#N/A</v>
      </c>
      <c r="J788">
        <f t="shared" ca="1" si="162"/>
        <v>0</v>
      </c>
      <c r="K788" t="e">
        <f t="shared" ca="1" si="167"/>
        <v>#N/A</v>
      </c>
      <c r="O788" s="22" t="e">
        <f t="shared" ca="1" si="163"/>
        <v>#N/A</v>
      </c>
      <c r="P788" s="17" t="e">
        <f ca="1"/>
        <v>#N/A</v>
      </c>
      <c r="Q788" s="17" t="e">
        <f ca="1"/>
        <v>#N/A</v>
      </c>
      <c r="R788" s="23" t="e">
        <f ca="1"/>
        <v>#N/A</v>
      </c>
      <c r="S788" s="23">
        <f t="shared" ca="1" si="160"/>
        <v>0</v>
      </c>
      <c r="T788" t="b">
        <f t="shared" ca="1" si="168"/>
        <v>1</v>
      </c>
      <c r="U788" s="22" t="e">
        <f t="shared" ca="1" si="164"/>
        <v>#N/A</v>
      </c>
      <c r="V788">
        <f t="shared" ca="1" si="165"/>
        <v>0</v>
      </c>
    </row>
    <row r="789" spans="2:22">
      <c r="B789">
        <f t="shared" si="169"/>
        <v>779</v>
      </c>
      <c r="C789" s="22" t="e">
        <f ca="1"/>
        <v>#N/A</v>
      </c>
      <c r="D789" s="17" t="e">
        <f ca="1"/>
        <v>#N/A</v>
      </c>
      <c r="E789" s="17" t="e">
        <f ca="1"/>
        <v>#N/A</v>
      </c>
      <c r="F789" s="23" t="e">
        <f ca="1"/>
        <v>#N/A</v>
      </c>
      <c r="G789" s="23">
        <f t="shared" ca="1" si="159"/>
        <v>0</v>
      </c>
      <c r="H789" t="b">
        <f t="shared" ca="1" si="166"/>
        <v>1</v>
      </c>
      <c r="I789" s="22" t="e">
        <f t="shared" ca="1" si="161"/>
        <v>#N/A</v>
      </c>
      <c r="J789">
        <f t="shared" ca="1" si="162"/>
        <v>0</v>
      </c>
      <c r="K789" t="e">
        <f t="shared" ca="1" si="167"/>
        <v>#N/A</v>
      </c>
      <c r="O789" s="22" t="e">
        <f t="shared" ca="1" si="163"/>
        <v>#N/A</v>
      </c>
      <c r="P789" s="17" t="e">
        <f ca="1"/>
        <v>#N/A</v>
      </c>
      <c r="Q789" s="17" t="e">
        <f ca="1"/>
        <v>#N/A</v>
      </c>
      <c r="R789" s="23" t="e">
        <f ca="1"/>
        <v>#N/A</v>
      </c>
      <c r="S789" s="23">
        <f t="shared" ca="1" si="160"/>
        <v>0</v>
      </c>
      <c r="T789" t="b">
        <f t="shared" ca="1" si="168"/>
        <v>1</v>
      </c>
      <c r="U789" s="22" t="e">
        <f t="shared" ca="1" si="164"/>
        <v>#N/A</v>
      </c>
      <c r="V789">
        <f t="shared" ca="1" si="165"/>
        <v>0</v>
      </c>
    </row>
    <row r="790" spans="2:22">
      <c r="B790">
        <f t="shared" si="169"/>
        <v>780</v>
      </c>
      <c r="C790" s="22" t="e">
        <f ca="1"/>
        <v>#N/A</v>
      </c>
      <c r="D790" s="17" t="e">
        <f ca="1"/>
        <v>#N/A</v>
      </c>
      <c r="E790" s="17" t="e">
        <f ca="1"/>
        <v>#N/A</v>
      </c>
      <c r="F790" s="23" t="e">
        <f ca="1"/>
        <v>#N/A</v>
      </c>
      <c r="G790" s="23">
        <f t="shared" ca="1" si="159"/>
        <v>0</v>
      </c>
      <c r="H790" t="b">
        <f t="shared" ca="1" si="166"/>
        <v>1</v>
      </c>
      <c r="I790" s="22" t="e">
        <f t="shared" ca="1" si="161"/>
        <v>#N/A</v>
      </c>
      <c r="J790">
        <f t="shared" ca="1" si="162"/>
        <v>0</v>
      </c>
      <c r="K790" t="e">
        <f t="shared" ca="1" si="167"/>
        <v>#N/A</v>
      </c>
      <c r="O790" s="22" t="e">
        <f t="shared" ca="1" si="163"/>
        <v>#N/A</v>
      </c>
      <c r="P790" s="17" t="e">
        <f ca="1"/>
        <v>#N/A</v>
      </c>
      <c r="Q790" s="17" t="e">
        <f ca="1"/>
        <v>#N/A</v>
      </c>
      <c r="R790" s="23" t="e">
        <f ca="1"/>
        <v>#N/A</v>
      </c>
      <c r="S790" s="23">
        <f t="shared" ca="1" si="160"/>
        <v>0</v>
      </c>
      <c r="T790" t="b">
        <f t="shared" ca="1" si="168"/>
        <v>1</v>
      </c>
      <c r="U790" s="22" t="e">
        <f t="shared" ca="1" si="164"/>
        <v>#N/A</v>
      </c>
      <c r="V790">
        <f t="shared" ca="1" si="165"/>
        <v>0</v>
      </c>
    </row>
    <row r="791" spans="2:22">
      <c r="B791">
        <f t="shared" si="169"/>
        <v>781</v>
      </c>
      <c r="C791" s="22" t="e">
        <f ca="1"/>
        <v>#N/A</v>
      </c>
      <c r="D791" s="17" t="e">
        <f ca="1"/>
        <v>#N/A</v>
      </c>
      <c r="E791" s="17" t="e">
        <f ca="1"/>
        <v>#N/A</v>
      </c>
      <c r="F791" s="23" t="e">
        <f ca="1"/>
        <v>#N/A</v>
      </c>
      <c r="G791" s="23">
        <f t="shared" ref="G791:G854" ca="1" si="170">IFERROR(Volatility(D780:D791,12),FALSE)</f>
        <v>0</v>
      </c>
      <c r="H791" t="b">
        <f t="shared" ca="1" si="166"/>
        <v>1</v>
      </c>
      <c r="I791" s="22" t="e">
        <f t="shared" ca="1" si="161"/>
        <v>#N/A</v>
      </c>
      <c r="J791">
        <f t="shared" ca="1" si="162"/>
        <v>0</v>
      </c>
      <c r="K791" t="e">
        <f t="shared" ca="1" si="167"/>
        <v>#N/A</v>
      </c>
      <c r="O791" s="22" t="e">
        <f t="shared" ca="1" si="163"/>
        <v>#N/A</v>
      </c>
      <c r="P791" s="17" t="e">
        <f ca="1"/>
        <v>#N/A</v>
      </c>
      <c r="Q791" s="17" t="e">
        <f ca="1"/>
        <v>#N/A</v>
      </c>
      <c r="R791" s="23" t="e">
        <f ca="1"/>
        <v>#N/A</v>
      </c>
      <c r="S791" s="23">
        <f t="shared" ref="S791:S854" ca="1" si="171">IFERROR(Volatility(P780:P791,12),FALSE)</f>
        <v>0</v>
      </c>
      <c r="T791" t="b">
        <f t="shared" ca="1" si="168"/>
        <v>1</v>
      </c>
      <c r="U791" s="22" t="e">
        <f t="shared" ca="1" si="164"/>
        <v>#N/A</v>
      </c>
      <c r="V791">
        <f t="shared" ca="1" si="165"/>
        <v>0</v>
      </c>
    </row>
    <row r="792" spans="2:22">
      <c r="B792">
        <f t="shared" si="169"/>
        <v>782</v>
      </c>
      <c r="C792" s="22" t="e">
        <f ca="1"/>
        <v>#N/A</v>
      </c>
      <c r="D792" s="17" t="e">
        <f ca="1"/>
        <v>#N/A</v>
      </c>
      <c r="E792" s="17" t="e">
        <f ca="1"/>
        <v>#N/A</v>
      </c>
      <c r="F792" s="23" t="e">
        <f ca="1"/>
        <v>#N/A</v>
      </c>
      <c r="G792" s="23">
        <f t="shared" ca="1" si="170"/>
        <v>0</v>
      </c>
      <c r="H792" t="b">
        <f t="shared" ca="1" si="166"/>
        <v>1</v>
      </c>
      <c r="I792" s="22" t="e">
        <f t="shared" ca="1" si="161"/>
        <v>#N/A</v>
      </c>
      <c r="J792">
        <f t="shared" ca="1" si="162"/>
        <v>0</v>
      </c>
      <c r="K792" t="e">
        <f t="shared" ca="1" si="167"/>
        <v>#N/A</v>
      </c>
      <c r="O792" s="22" t="e">
        <f t="shared" ca="1" si="163"/>
        <v>#N/A</v>
      </c>
      <c r="P792" s="17" t="e">
        <f ca="1"/>
        <v>#N/A</v>
      </c>
      <c r="Q792" s="17" t="e">
        <f ca="1"/>
        <v>#N/A</v>
      </c>
      <c r="R792" s="23" t="e">
        <f ca="1"/>
        <v>#N/A</v>
      </c>
      <c r="S792" s="23">
        <f t="shared" ca="1" si="171"/>
        <v>0</v>
      </c>
      <c r="T792" t="b">
        <f t="shared" ca="1" si="168"/>
        <v>1</v>
      </c>
      <c r="U792" s="22" t="e">
        <f t="shared" ca="1" si="164"/>
        <v>#N/A</v>
      </c>
      <c r="V792">
        <f t="shared" ca="1" si="165"/>
        <v>0</v>
      </c>
    </row>
    <row r="793" spans="2:22">
      <c r="B793">
        <f t="shared" si="169"/>
        <v>783</v>
      </c>
      <c r="C793" s="22" t="e">
        <f ca="1"/>
        <v>#N/A</v>
      </c>
      <c r="D793" s="17" t="e">
        <f ca="1"/>
        <v>#N/A</v>
      </c>
      <c r="E793" s="17" t="e">
        <f ca="1"/>
        <v>#N/A</v>
      </c>
      <c r="F793" s="23" t="e">
        <f ca="1"/>
        <v>#N/A</v>
      </c>
      <c r="G793" s="23">
        <f t="shared" ca="1" si="170"/>
        <v>0</v>
      </c>
      <c r="H793" t="b">
        <f t="shared" ca="1" si="166"/>
        <v>1</v>
      </c>
      <c r="I793" s="22" t="e">
        <f t="shared" ca="1" si="161"/>
        <v>#N/A</v>
      </c>
      <c r="J793">
        <f t="shared" ca="1" si="162"/>
        <v>0</v>
      </c>
      <c r="K793" t="e">
        <f t="shared" ca="1" si="167"/>
        <v>#N/A</v>
      </c>
      <c r="O793" s="22" t="e">
        <f t="shared" ca="1" si="163"/>
        <v>#N/A</v>
      </c>
      <c r="P793" s="17" t="e">
        <f ca="1"/>
        <v>#N/A</v>
      </c>
      <c r="Q793" s="17" t="e">
        <f ca="1"/>
        <v>#N/A</v>
      </c>
      <c r="R793" s="23" t="e">
        <f ca="1"/>
        <v>#N/A</v>
      </c>
      <c r="S793" s="23">
        <f t="shared" ca="1" si="171"/>
        <v>0</v>
      </c>
      <c r="T793" t="b">
        <f t="shared" ca="1" si="168"/>
        <v>1</v>
      </c>
      <c r="U793" s="22" t="e">
        <f t="shared" ca="1" si="164"/>
        <v>#N/A</v>
      </c>
      <c r="V793">
        <f t="shared" ca="1" si="165"/>
        <v>0</v>
      </c>
    </row>
    <row r="794" spans="2:22">
      <c r="B794">
        <f t="shared" si="169"/>
        <v>784</v>
      </c>
      <c r="C794" s="22" t="e">
        <f ca="1"/>
        <v>#N/A</v>
      </c>
      <c r="D794" s="17" t="e">
        <f ca="1"/>
        <v>#N/A</v>
      </c>
      <c r="E794" s="17" t="e">
        <f ca="1"/>
        <v>#N/A</v>
      </c>
      <c r="F794" s="23" t="e">
        <f ca="1"/>
        <v>#N/A</v>
      </c>
      <c r="G794" s="23">
        <f t="shared" ca="1" si="170"/>
        <v>0</v>
      </c>
      <c r="H794" t="b">
        <f t="shared" ca="1" si="166"/>
        <v>1</v>
      </c>
      <c r="I794" s="22" t="e">
        <f t="shared" ca="1" si="161"/>
        <v>#N/A</v>
      </c>
      <c r="J794">
        <f t="shared" ca="1" si="162"/>
        <v>0</v>
      </c>
      <c r="K794" t="e">
        <f t="shared" ca="1" si="167"/>
        <v>#N/A</v>
      </c>
      <c r="O794" s="22" t="e">
        <f t="shared" ca="1" si="163"/>
        <v>#N/A</v>
      </c>
      <c r="P794" s="17" t="e">
        <f ca="1"/>
        <v>#N/A</v>
      </c>
      <c r="Q794" s="17" t="e">
        <f ca="1"/>
        <v>#N/A</v>
      </c>
      <c r="R794" s="23" t="e">
        <f ca="1"/>
        <v>#N/A</v>
      </c>
      <c r="S794" s="23">
        <f t="shared" ca="1" si="171"/>
        <v>0</v>
      </c>
      <c r="T794" t="b">
        <f t="shared" ca="1" si="168"/>
        <v>1</v>
      </c>
      <c r="U794" s="22" t="e">
        <f t="shared" ca="1" si="164"/>
        <v>#N/A</v>
      </c>
      <c r="V794">
        <f t="shared" ca="1" si="165"/>
        <v>0</v>
      </c>
    </row>
    <row r="795" spans="2:22">
      <c r="B795">
        <f t="shared" si="169"/>
        <v>785</v>
      </c>
      <c r="C795" s="22" t="e">
        <f ca="1"/>
        <v>#N/A</v>
      </c>
      <c r="D795" s="17" t="e">
        <f ca="1"/>
        <v>#N/A</v>
      </c>
      <c r="E795" s="17" t="e">
        <f ca="1"/>
        <v>#N/A</v>
      </c>
      <c r="F795" s="23" t="e">
        <f ca="1"/>
        <v>#N/A</v>
      </c>
      <c r="G795" s="23">
        <f t="shared" ca="1" si="170"/>
        <v>0</v>
      </c>
      <c r="H795" t="b">
        <f t="shared" ca="1" si="166"/>
        <v>1</v>
      </c>
      <c r="I795" s="22" t="e">
        <f t="shared" ca="1" si="161"/>
        <v>#N/A</v>
      </c>
      <c r="J795">
        <f t="shared" ca="1" si="162"/>
        <v>0</v>
      </c>
      <c r="K795" t="e">
        <f t="shared" ca="1" si="167"/>
        <v>#N/A</v>
      </c>
      <c r="O795" s="22" t="e">
        <f t="shared" ca="1" si="163"/>
        <v>#N/A</v>
      </c>
      <c r="P795" s="17" t="e">
        <f ca="1"/>
        <v>#N/A</v>
      </c>
      <c r="Q795" s="17" t="e">
        <f ca="1"/>
        <v>#N/A</v>
      </c>
      <c r="R795" s="23" t="e">
        <f ca="1"/>
        <v>#N/A</v>
      </c>
      <c r="S795" s="23">
        <f t="shared" ca="1" si="171"/>
        <v>0</v>
      </c>
      <c r="T795" t="b">
        <f t="shared" ca="1" si="168"/>
        <v>1</v>
      </c>
      <c r="U795" s="22" t="e">
        <f t="shared" ca="1" si="164"/>
        <v>#N/A</v>
      </c>
      <c r="V795">
        <f t="shared" ca="1" si="165"/>
        <v>0</v>
      </c>
    </row>
    <row r="796" spans="2:22">
      <c r="B796">
        <f t="shared" si="169"/>
        <v>786</v>
      </c>
      <c r="C796" s="22" t="e">
        <f ca="1"/>
        <v>#N/A</v>
      </c>
      <c r="D796" s="17" t="e">
        <f ca="1"/>
        <v>#N/A</v>
      </c>
      <c r="E796" s="17" t="e">
        <f ca="1"/>
        <v>#N/A</v>
      </c>
      <c r="F796" s="23" t="e">
        <f ca="1"/>
        <v>#N/A</v>
      </c>
      <c r="G796" s="23">
        <f t="shared" ca="1" si="170"/>
        <v>0</v>
      </c>
      <c r="H796" t="b">
        <f t="shared" ca="1" si="166"/>
        <v>1</v>
      </c>
      <c r="I796" s="22" t="e">
        <f t="shared" ca="1" si="161"/>
        <v>#N/A</v>
      </c>
      <c r="J796">
        <f t="shared" ca="1" si="162"/>
        <v>0</v>
      </c>
      <c r="K796" t="e">
        <f t="shared" ca="1" si="167"/>
        <v>#N/A</v>
      </c>
      <c r="O796" s="22" t="e">
        <f t="shared" ca="1" si="163"/>
        <v>#N/A</v>
      </c>
      <c r="P796" s="17" t="e">
        <f ca="1"/>
        <v>#N/A</v>
      </c>
      <c r="Q796" s="17" t="e">
        <f ca="1"/>
        <v>#N/A</v>
      </c>
      <c r="R796" s="23" t="e">
        <f ca="1"/>
        <v>#N/A</v>
      </c>
      <c r="S796" s="23">
        <f t="shared" ca="1" si="171"/>
        <v>0</v>
      </c>
      <c r="T796" t="b">
        <f t="shared" ca="1" si="168"/>
        <v>1</v>
      </c>
      <c r="U796" s="22" t="e">
        <f t="shared" ca="1" si="164"/>
        <v>#N/A</v>
      </c>
      <c r="V796">
        <f t="shared" ca="1" si="165"/>
        <v>0</v>
      </c>
    </row>
    <row r="797" spans="2:22">
      <c r="B797">
        <f t="shared" si="169"/>
        <v>787</v>
      </c>
      <c r="C797" s="22" t="e">
        <f ca="1"/>
        <v>#N/A</v>
      </c>
      <c r="D797" s="17" t="e">
        <f ca="1"/>
        <v>#N/A</v>
      </c>
      <c r="E797" s="17" t="e">
        <f ca="1"/>
        <v>#N/A</v>
      </c>
      <c r="F797" s="23" t="e">
        <f ca="1"/>
        <v>#N/A</v>
      </c>
      <c r="G797" s="23">
        <f t="shared" ca="1" si="170"/>
        <v>0</v>
      </c>
      <c r="H797" t="b">
        <f t="shared" ca="1" si="166"/>
        <v>1</v>
      </c>
      <c r="I797" s="22" t="e">
        <f t="shared" ca="1" si="161"/>
        <v>#N/A</v>
      </c>
      <c r="J797">
        <f t="shared" ca="1" si="162"/>
        <v>0</v>
      </c>
      <c r="K797" t="e">
        <f t="shared" ca="1" si="167"/>
        <v>#N/A</v>
      </c>
      <c r="O797" s="22" t="e">
        <f t="shared" ca="1" si="163"/>
        <v>#N/A</v>
      </c>
      <c r="P797" s="17" t="e">
        <f ca="1"/>
        <v>#N/A</v>
      </c>
      <c r="Q797" s="17" t="e">
        <f ca="1"/>
        <v>#N/A</v>
      </c>
      <c r="R797" s="23" t="e">
        <f ca="1"/>
        <v>#N/A</v>
      </c>
      <c r="S797" s="23">
        <f t="shared" ca="1" si="171"/>
        <v>0</v>
      </c>
      <c r="T797" t="b">
        <f t="shared" ca="1" si="168"/>
        <v>1</v>
      </c>
      <c r="U797" s="22" t="e">
        <f t="shared" ca="1" si="164"/>
        <v>#N/A</v>
      </c>
      <c r="V797">
        <f t="shared" ca="1" si="165"/>
        <v>0</v>
      </c>
    </row>
    <row r="798" spans="2:22">
      <c r="B798">
        <f t="shared" si="169"/>
        <v>788</v>
      </c>
      <c r="C798" s="22" t="e">
        <f ca="1"/>
        <v>#N/A</v>
      </c>
      <c r="D798" s="17" t="e">
        <f ca="1"/>
        <v>#N/A</v>
      </c>
      <c r="E798" s="17" t="e">
        <f ca="1"/>
        <v>#N/A</v>
      </c>
      <c r="F798" s="23" t="e">
        <f ca="1"/>
        <v>#N/A</v>
      </c>
      <c r="G798" s="23">
        <f t="shared" ca="1" si="170"/>
        <v>0</v>
      </c>
      <c r="H798" t="b">
        <f t="shared" ca="1" si="166"/>
        <v>1</v>
      </c>
      <c r="I798" s="22" t="e">
        <f t="shared" ca="1" si="161"/>
        <v>#N/A</v>
      </c>
      <c r="J798">
        <f t="shared" ca="1" si="162"/>
        <v>0</v>
      </c>
      <c r="K798" t="e">
        <f t="shared" ca="1" si="167"/>
        <v>#N/A</v>
      </c>
      <c r="O798" s="22" t="e">
        <f t="shared" ca="1" si="163"/>
        <v>#N/A</v>
      </c>
      <c r="P798" s="17" t="e">
        <f ca="1"/>
        <v>#N/A</v>
      </c>
      <c r="Q798" s="17" t="e">
        <f ca="1"/>
        <v>#N/A</v>
      </c>
      <c r="R798" s="23" t="e">
        <f ca="1"/>
        <v>#N/A</v>
      </c>
      <c r="S798" s="23">
        <f t="shared" ca="1" si="171"/>
        <v>0</v>
      </c>
      <c r="T798" t="b">
        <f t="shared" ca="1" si="168"/>
        <v>1</v>
      </c>
      <c r="U798" s="22" t="e">
        <f t="shared" ca="1" si="164"/>
        <v>#N/A</v>
      </c>
      <c r="V798">
        <f t="shared" ca="1" si="165"/>
        <v>0</v>
      </c>
    </row>
    <row r="799" spans="2:22">
      <c r="B799">
        <f t="shared" si="169"/>
        <v>789</v>
      </c>
      <c r="C799" s="22" t="e">
        <f ca="1"/>
        <v>#N/A</v>
      </c>
      <c r="D799" s="17" t="e">
        <f ca="1"/>
        <v>#N/A</v>
      </c>
      <c r="E799" s="17" t="e">
        <f ca="1"/>
        <v>#N/A</v>
      </c>
      <c r="F799" s="23" t="e">
        <f ca="1"/>
        <v>#N/A</v>
      </c>
      <c r="G799" s="23">
        <f t="shared" ca="1" si="170"/>
        <v>0</v>
      </c>
      <c r="H799" t="b">
        <f t="shared" ca="1" si="166"/>
        <v>1</v>
      </c>
      <c r="I799" s="22" t="e">
        <f t="shared" ca="1" si="161"/>
        <v>#N/A</v>
      </c>
      <c r="J799">
        <f t="shared" ca="1" si="162"/>
        <v>0</v>
      </c>
      <c r="K799" t="e">
        <f t="shared" ca="1" si="167"/>
        <v>#N/A</v>
      </c>
      <c r="O799" s="22" t="e">
        <f t="shared" ca="1" si="163"/>
        <v>#N/A</v>
      </c>
      <c r="P799" s="17" t="e">
        <f ca="1"/>
        <v>#N/A</v>
      </c>
      <c r="Q799" s="17" t="e">
        <f ca="1"/>
        <v>#N/A</v>
      </c>
      <c r="R799" s="23" t="e">
        <f ca="1"/>
        <v>#N/A</v>
      </c>
      <c r="S799" s="23">
        <f t="shared" ca="1" si="171"/>
        <v>0</v>
      </c>
      <c r="T799" t="b">
        <f t="shared" ca="1" si="168"/>
        <v>1</v>
      </c>
      <c r="U799" s="22" t="e">
        <f t="shared" ca="1" si="164"/>
        <v>#N/A</v>
      </c>
      <c r="V799">
        <f t="shared" ca="1" si="165"/>
        <v>0</v>
      </c>
    </row>
    <row r="800" spans="2:22">
      <c r="B800">
        <f t="shared" si="169"/>
        <v>790</v>
      </c>
      <c r="C800" s="22" t="e">
        <f ca="1"/>
        <v>#N/A</v>
      </c>
      <c r="D800" s="17" t="e">
        <f ca="1"/>
        <v>#N/A</v>
      </c>
      <c r="E800" s="17" t="e">
        <f ca="1"/>
        <v>#N/A</v>
      </c>
      <c r="F800" s="23" t="e">
        <f ca="1"/>
        <v>#N/A</v>
      </c>
      <c r="G800" s="23">
        <f t="shared" ca="1" si="170"/>
        <v>0</v>
      </c>
      <c r="H800" t="b">
        <f t="shared" ca="1" si="166"/>
        <v>1</v>
      </c>
      <c r="I800" s="22" t="e">
        <f t="shared" ca="1" si="161"/>
        <v>#N/A</v>
      </c>
      <c r="J800">
        <f t="shared" ca="1" si="162"/>
        <v>0</v>
      </c>
      <c r="K800" t="e">
        <f t="shared" ca="1" si="167"/>
        <v>#N/A</v>
      </c>
      <c r="O800" s="22" t="e">
        <f t="shared" ca="1" si="163"/>
        <v>#N/A</v>
      </c>
      <c r="P800" s="17" t="e">
        <f ca="1"/>
        <v>#N/A</v>
      </c>
      <c r="Q800" s="17" t="e">
        <f ca="1"/>
        <v>#N/A</v>
      </c>
      <c r="R800" s="23" t="e">
        <f ca="1"/>
        <v>#N/A</v>
      </c>
      <c r="S800" s="23">
        <f t="shared" ca="1" si="171"/>
        <v>0</v>
      </c>
      <c r="T800" t="b">
        <f t="shared" ca="1" si="168"/>
        <v>1</v>
      </c>
      <c r="U800" s="22" t="e">
        <f t="shared" ca="1" si="164"/>
        <v>#N/A</v>
      </c>
      <c r="V800">
        <f t="shared" ca="1" si="165"/>
        <v>0</v>
      </c>
    </row>
    <row r="801" spans="2:22">
      <c r="B801">
        <f t="shared" si="169"/>
        <v>791</v>
      </c>
      <c r="C801" s="22" t="e">
        <f ca="1"/>
        <v>#N/A</v>
      </c>
      <c r="D801" s="17" t="e">
        <f ca="1"/>
        <v>#N/A</v>
      </c>
      <c r="E801" s="17" t="e">
        <f ca="1"/>
        <v>#N/A</v>
      </c>
      <c r="F801" s="23" t="e">
        <f ca="1"/>
        <v>#N/A</v>
      </c>
      <c r="G801" s="23">
        <f t="shared" ca="1" si="170"/>
        <v>0</v>
      </c>
      <c r="H801" t="b">
        <f t="shared" ca="1" si="166"/>
        <v>1</v>
      </c>
      <c r="I801" s="22" t="e">
        <f t="shared" ca="1" si="161"/>
        <v>#N/A</v>
      </c>
      <c r="J801">
        <f t="shared" ca="1" si="162"/>
        <v>0</v>
      </c>
      <c r="K801" t="e">
        <f t="shared" ca="1" si="167"/>
        <v>#N/A</v>
      </c>
      <c r="O801" s="22" t="e">
        <f t="shared" ca="1" si="163"/>
        <v>#N/A</v>
      </c>
      <c r="P801" s="17" t="e">
        <f ca="1"/>
        <v>#N/A</v>
      </c>
      <c r="Q801" s="17" t="e">
        <f ca="1"/>
        <v>#N/A</v>
      </c>
      <c r="R801" s="23" t="e">
        <f ca="1"/>
        <v>#N/A</v>
      </c>
      <c r="S801" s="23">
        <f t="shared" ca="1" si="171"/>
        <v>0</v>
      </c>
      <c r="T801" t="b">
        <f t="shared" ca="1" si="168"/>
        <v>1</v>
      </c>
      <c r="U801" s="22" t="e">
        <f t="shared" ca="1" si="164"/>
        <v>#N/A</v>
      </c>
      <c r="V801">
        <f t="shared" ca="1" si="165"/>
        <v>0</v>
      </c>
    </row>
    <row r="802" spans="2:22">
      <c r="B802">
        <f t="shared" si="169"/>
        <v>792</v>
      </c>
      <c r="C802" s="22" t="e">
        <f ca="1"/>
        <v>#N/A</v>
      </c>
      <c r="D802" s="17" t="e">
        <f ca="1"/>
        <v>#N/A</v>
      </c>
      <c r="E802" s="17" t="e">
        <f ca="1"/>
        <v>#N/A</v>
      </c>
      <c r="F802" s="23" t="e">
        <f ca="1"/>
        <v>#N/A</v>
      </c>
      <c r="G802" s="23">
        <f t="shared" ca="1" si="170"/>
        <v>0</v>
      </c>
      <c r="H802" t="b">
        <f t="shared" ca="1" si="166"/>
        <v>1</v>
      </c>
      <c r="I802" s="22" t="e">
        <f t="shared" ca="1" si="161"/>
        <v>#N/A</v>
      </c>
      <c r="J802">
        <f t="shared" ca="1" si="162"/>
        <v>0</v>
      </c>
      <c r="K802" t="e">
        <f t="shared" ca="1" si="167"/>
        <v>#N/A</v>
      </c>
      <c r="O802" s="22" t="e">
        <f t="shared" ca="1" si="163"/>
        <v>#N/A</v>
      </c>
      <c r="P802" s="17" t="e">
        <f ca="1"/>
        <v>#N/A</v>
      </c>
      <c r="Q802" s="17" t="e">
        <f ca="1"/>
        <v>#N/A</v>
      </c>
      <c r="R802" s="23" t="e">
        <f ca="1"/>
        <v>#N/A</v>
      </c>
      <c r="S802" s="23">
        <f t="shared" ca="1" si="171"/>
        <v>0</v>
      </c>
      <c r="T802" t="b">
        <f t="shared" ca="1" si="168"/>
        <v>1</v>
      </c>
      <c r="U802" s="22" t="e">
        <f t="shared" ca="1" si="164"/>
        <v>#N/A</v>
      </c>
      <c r="V802">
        <f t="shared" ca="1" si="165"/>
        <v>0</v>
      </c>
    </row>
    <row r="803" spans="2:22">
      <c r="B803">
        <f t="shared" si="169"/>
        <v>793</v>
      </c>
      <c r="C803" s="22" t="e">
        <f ca="1"/>
        <v>#N/A</v>
      </c>
      <c r="D803" s="17" t="e">
        <f ca="1"/>
        <v>#N/A</v>
      </c>
      <c r="E803" s="17" t="e">
        <f ca="1"/>
        <v>#N/A</v>
      </c>
      <c r="F803" s="23" t="e">
        <f ca="1"/>
        <v>#N/A</v>
      </c>
      <c r="G803" s="23">
        <f t="shared" ca="1" si="170"/>
        <v>0</v>
      </c>
      <c r="H803" t="b">
        <f t="shared" ca="1" si="166"/>
        <v>1</v>
      </c>
      <c r="I803" s="22" t="e">
        <f t="shared" ca="1" si="161"/>
        <v>#N/A</v>
      </c>
      <c r="J803">
        <f t="shared" ca="1" si="162"/>
        <v>0</v>
      </c>
      <c r="K803" t="e">
        <f t="shared" ca="1" si="167"/>
        <v>#N/A</v>
      </c>
      <c r="O803" s="22" t="e">
        <f t="shared" ca="1" si="163"/>
        <v>#N/A</v>
      </c>
      <c r="P803" s="17" t="e">
        <f ca="1"/>
        <v>#N/A</v>
      </c>
      <c r="Q803" s="17" t="e">
        <f ca="1"/>
        <v>#N/A</v>
      </c>
      <c r="R803" s="23" t="e">
        <f ca="1"/>
        <v>#N/A</v>
      </c>
      <c r="S803" s="23">
        <f t="shared" ca="1" si="171"/>
        <v>0</v>
      </c>
      <c r="T803" t="b">
        <f t="shared" ca="1" si="168"/>
        <v>1</v>
      </c>
      <c r="U803" s="22" t="e">
        <f t="shared" ca="1" si="164"/>
        <v>#N/A</v>
      </c>
      <c r="V803">
        <f t="shared" ca="1" si="165"/>
        <v>0</v>
      </c>
    </row>
    <row r="804" spans="2:22">
      <c r="B804">
        <f t="shared" si="169"/>
        <v>794</v>
      </c>
      <c r="C804" s="22" t="e">
        <f ca="1"/>
        <v>#N/A</v>
      </c>
      <c r="D804" s="17" t="e">
        <f ca="1"/>
        <v>#N/A</v>
      </c>
      <c r="E804" s="17" t="e">
        <f ca="1"/>
        <v>#N/A</v>
      </c>
      <c r="F804" s="23" t="e">
        <f ca="1"/>
        <v>#N/A</v>
      </c>
      <c r="G804" s="23">
        <f t="shared" ca="1" si="170"/>
        <v>0</v>
      </c>
      <c r="H804" t="b">
        <f t="shared" ca="1" si="166"/>
        <v>1</v>
      </c>
      <c r="I804" s="22" t="e">
        <f t="shared" ca="1" si="161"/>
        <v>#N/A</v>
      </c>
      <c r="J804">
        <f t="shared" ca="1" si="162"/>
        <v>0</v>
      </c>
      <c r="K804" t="e">
        <f t="shared" ca="1" si="167"/>
        <v>#N/A</v>
      </c>
      <c r="O804" s="22" t="e">
        <f t="shared" ca="1" si="163"/>
        <v>#N/A</v>
      </c>
      <c r="P804" s="17" t="e">
        <f ca="1"/>
        <v>#N/A</v>
      </c>
      <c r="Q804" s="17" t="e">
        <f ca="1"/>
        <v>#N/A</v>
      </c>
      <c r="R804" s="23" t="e">
        <f ca="1"/>
        <v>#N/A</v>
      </c>
      <c r="S804" s="23">
        <f t="shared" ca="1" si="171"/>
        <v>0</v>
      </c>
      <c r="T804" t="b">
        <f t="shared" ca="1" si="168"/>
        <v>1</v>
      </c>
      <c r="U804" s="22" t="e">
        <f t="shared" ca="1" si="164"/>
        <v>#N/A</v>
      </c>
      <c r="V804">
        <f t="shared" ca="1" si="165"/>
        <v>0</v>
      </c>
    </row>
    <row r="805" spans="2:22">
      <c r="B805">
        <f t="shared" si="169"/>
        <v>795</v>
      </c>
      <c r="C805" s="22" t="e">
        <f ca="1"/>
        <v>#N/A</v>
      </c>
      <c r="D805" s="17" t="e">
        <f ca="1"/>
        <v>#N/A</v>
      </c>
      <c r="E805" s="17" t="e">
        <f ca="1"/>
        <v>#N/A</v>
      </c>
      <c r="F805" s="23" t="e">
        <f ca="1"/>
        <v>#N/A</v>
      </c>
      <c r="G805" s="23">
        <f t="shared" ca="1" si="170"/>
        <v>0</v>
      </c>
      <c r="H805" t="b">
        <f t="shared" ca="1" si="166"/>
        <v>1</v>
      </c>
      <c r="I805" s="22" t="e">
        <f t="shared" ca="1" si="161"/>
        <v>#N/A</v>
      </c>
      <c r="J805">
        <f t="shared" ca="1" si="162"/>
        <v>0</v>
      </c>
      <c r="K805" t="e">
        <f t="shared" ca="1" si="167"/>
        <v>#N/A</v>
      </c>
      <c r="O805" s="22" t="e">
        <f t="shared" ca="1" si="163"/>
        <v>#N/A</v>
      </c>
      <c r="P805" s="17" t="e">
        <f ca="1"/>
        <v>#N/A</v>
      </c>
      <c r="Q805" s="17" t="e">
        <f ca="1"/>
        <v>#N/A</v>
      </c>
      <c r="R805" s="23" t="e">
        <f ca="1"/>
        <v>#N/A</v>
      </c>
      <c r="S805" s="23">
        <f t="shared" ca="1" si="171"/>
        <v>0</v>
      </c>
      <c r="T805" t="b">
        <f t="shared" ca="1" si="168"/>
        <v>1</v>
      </c>
      <c r="U805" s="22" t="e">
        <f t="shared" ca="1" si="164"/>
        <v>#N/A</v>
      </c>
      <c r="V805">
        <f t="shared" ca="1" si="165"/>
        <v>0</v>
      </c>
    </row>
    <row r="806" spans="2:22">
      <c r="B806">
        <f t="shared" si="169"/>
        <v>796</v>
      </c>
      <c r="C806" s="22" t="e">
        <f ca="1"/>
        <v>#N/A</v>
      </c>
      <c r="D806" s="17" t="e">
        <f ca="1"/>
        <v>#N/A</v>
      </c>
      <c r="E806" s="17" t="e">
        <f ca="1"/>
        <v>#N/A</v>
      </c>
      <c r="F806" s="23" t="e">
        <f ca="1"/>
        <v>#N/A</v>
      </c>
      <c r="G806" s="23">
        <f t="shared" ca="1" si="170"/>
        <v>0</v>
      </c>
      <c r="H806" t="b">
        <f t="shared" ca="1" si="166"/>
        <v>1</v>
      </c>
      <c r="I806" s="22" t="e">
        <f t="shared" ca="1" si="161"/>
        <v>#N/A</v>
      </c>
      <c r="J806">
        <f t="shared" ca="1" si="162"/>
        <v>0</v>
      </c>
      <c r="K806" t="e">
        <f t="shared" ca="1" si="167"/>
        <v>#N/A</v>
      </c>
      <c r="O806" s="22" t="e">
        <f t="shared" ca="1" si="163"/>
        <v>#N/A</v>
      </c>
      <c r="P806" s="17" t="e">
        <f ca="1"/>
        <v>#N/A</v>
      </c>
      <c r="Q806" s="17" t="e">
        <f ca="1"/>
        <v>#N/A</v>
      </c>
      <c r="R806" s="23" t="e">
        <f ca="1"/>
        <v>#N/A</v>
      </c>
      <c r="S806" s="23">
        <f t="shared" ca="1" si="171"/>
        <v>0</v>
      </c>
      <c r="T806" t="b">
        <f t="shared" ca="1" si="168"/>
        <v>1</v>
      </c>
      <c r="U806" s="22" t="e">
        <f t="shared" ca="1" si="164"/>
        <v>#N/A</v>
      </c>
      <c r="V806">
        <f t="shared" ca="1" si="165"/>
        <v>0</v>
      </c>
    </row>
    <row r="807" spans="2:22">
      <c r="B807">
        <f t="shared" si="169"/>
        <v>797</v>
      </c>
      <c r="C807" s="22" t="e">
        <f ca="1"/>
        <v>#N/A</v>
      </c>
      <c r="D807" s="17" t="e">
        <f ca="1"/>
        <v>#N/A</v>
      </c>
      <c r="E807" s="17" t="e">
        <f ca="1"/>
        <v>#N/A</v>
      </c>
      <c r="F807" s="23" t="e">
        <f ca="1"/>
        <v>#N/A</v>
      </c>
      <c r="G807" s="23">
        <f t="shared" ca="1" si="170"/>
        <v>0</v>
      </c>
      <c r="H807" t="b">
        <f t="shared" ca="1" si="166"/>
        <v>1</v>
      </c>
      <c r="I807" s="22" t="e">
        <f t="shared" ca="1" si="161"/>
        <v>#N/A</v>
      </c>
      <c r="J807">
        <f t="shared" ca="1" si="162"/>
        <v>0</v>
      </c>
      <c r="K807" t="e">
        <f t="shared" ca="1" si="167"/>
        <v>#N/A</v>
      </c>
      <c r="O807" s="22" t="e">
        <f t="shared" ca="1" si="163"/>
        <v>#N/A</v>
      </c>
      <c r="P807" s="17" t="e">
        <f ca="1"/>
        <v>#N/A</v>
      </c>
      <c r="Q807" s="17" t="e">
        <f ca="1"/>
        <v>#N/A</v>
      </c>
      <c r="R807" s="23" t="e">
        <f ca="1"/>
        <v>#N/A</v>
      </c>
      <c r="S807" s="23">
        <f t="shared" ca="1" si="171"/>
        <v>0</v>
      </c>
      <c r="T807" t="b">
        <f t="shared" ca="1" si="168"/>
        <v>1</v>
      </c>
      <c r="U807" s="22" t="e">
        <f t="shared" ca="1" si="164"/>
        <v>#N/A</v>
      </c>
      <c r="V807">
        <f t="shared" ca="1" si="165"/>
        <v>0</v>
      </c>
    </row>
    <row r="808" spans="2:22">
      <c r="B808">
        <f t="shared" si="169"/>
        <v>798</v>
      </c>
      <c r="C808" s="22" t="e">
        <f ca="1"/>
        <v>#N/A</v>
      </c>
      <c r="D808" s="17" t="e">
        <f ca="1"/>
        <v>#N/A</v>
      </c>
      <c r="E808" s="17" t="e">
        <f ca="1"/>
        <v>#N/A</v>
      </c>
      <c r="F808" s="23" t="e">
        <f ca="1"/>
        <v>#N/A</v>
      </c>
      <c r="G808" s="23">
        <f t="shared" ca="1" si="170"/>
        <v>0</v>
      </c>
      <c r="H808" t="b">
        <f t="shared" ca="1" si="166"/>
        <v>1</v>
      </c>
      <c r="I808" s="22" t="e">
        <f t="shared" ca="1" si="161"/>
        <v>#N/A</v>
      </c>
      <c r="J808">
        <f t="shared" ca="1" si="162"/>
        <v>0</v>
      </c>
      <c r="K808" t="e">
        <f t="shared" ca="1" si="167"/>
        <v>#N/A</v>
      </c>
      <c r="O808" s="22" t="e">
        <f t="shared" ca="1" si="163"/>
        <v>#N/A</v>
      </c>
      <c r="P808" s="17" t="e">
        <f ca="1"/>
        <v>#N/A</v>
      </c>
      <c r="Q808" s="17" t="e">
        <f ca="1"/>
        <v>#N/A</v>
      </c>
      <c r="R808" s="23" t="e">
        <f ca="1"/>
        <v>#N/A</v>
      </c>
      <c r="S808" s="23">
        <f t="shared" ca="1" si="171"/>
        <v>0</v>
      </c>
      <c r="T808" t="b">
        <f t="shared" ca="1" si="168"/>
        <v>1</v>
      </c>
      <c r="U808" s="22" t="e">
        <f t="shared" ca="1" si="164"/>
        <v>#N/A</v>
      </c>
      <c r="V808">
        <f t="shared" ca="1" si="165"/>
        <v>0</v>
      </c>
    </row>
    <row r="809" spans="2:22">
      <c r="B809">
        <f t="shared" si="169"/>
        <v>799</v>
      </c>
      <c r="C809" s="22" t="e">
        <f ca="1"/>
        <v>#N/A</v>
      </c>
      <c r="D809" s="17" t="e">
        <f ca="1"/>
        <v>#N/A</v>
      </c>
      <c r="E809" s="17" t="e">
        <f ca="1"/>
        <v>#N/A</v>
      </c>
      <c r="F809" s="23" t="e">
        <f ca="1"/>
        <v>#N/A</v>
      </c>
      <c r="G809" s="23">
        <f t="shared" ca="1" si="170"/>
        <v>0</v>
      </c>
      <c r="H809" t="b">
        <f t="shared" ca="1" si="166"/>
        <v>1</v>
      </c>
      <c r="I809" s="22" t="e">
        <f t="shared" ca="1" si="161"/>
        <v>#N/A</v>
      </c>
      <c r="J809">
        <f t="shared" ca="1" si="162"/>
        <v>0</v>
      </c>
      <c r="K809" t="e">
        <f t="shared" ca="1" si="167"/>
        <v>#N/A</v>
      </c>
      <c r="O809" s="22" t="e">
        <f t="shared" ca="1" si="163"/>
        <v>#N/A</v>
      </c>
      <c r="P809" s="17" t="e">
        <f ca="1"/>
        <v>#N/A</v>
      </c>
      <c r="Q809" s="17" t="e">
        <f ca="1"/>
        <v>#N/A</v>
      </c>
      <c r="R809" s="23" t="e">
        <f ca="1"/>
        <v>#N/A</v>
      </c>
      <c r="S809" s="23">
        <f t="shared" ca="1" si="171"/>
        <v>0</v>
      </c>
      <c r="T809" t="b">
        <f t="shared" ca="1" si="168"/>
        <v>1</v>
      </c>
      <c r="U809" s="22" t="e">
        <f t="shared" ca="1" si="164"/>
        <v>#N/A</v>
      </c>
      <c r="V809">
        <f t="shared" ca="1" si="165"/>
        <v>0</v>
      </c>
    </row>
    <row r="810" spans="2:22">
      <c r="B810">
        <f t="shared" si="169"/>
        <v>800</v>
      </c>
      <c r="C810" s="22" t="e">
        <f ca="1"/>
        <v>#N/A</v>
      </c>
      <c r="D810" s="17" t="e">
        <f ca="1"/>
        <v>#N/A</v>
      </c>
      <c r="E810" s="17" t="e">
        <f ca="1"/>
        <v>#N/A</v>
      </c>
      <c r="F810" s="23" t="e">
        <f ca="1"/>
        <v>#N/A</v>
      </c>
      <c r="G810" s="23">
        <f t="shared" ca="1" si="170"/>
        <v>0</v>
      </c>
      <c r="H810" t="b">
        <f t="shared" ca="1" si="166"/>
        <v>1</v>
      </c>
      <c r="I810" s="22" t="e">
        <f t="shared" ca="1" si="161"/>
        <v>#N/A</v>
      </c>
      <c r="J810">
        <f t="shared" ca="1" si="162"/>
        <v>0</v>
      </c>
      <c r="K810" t="e">
        <f t="shared" ca="1" si="167"/>
        <v>#N/A</v>
      </c>
      <c r="O810" s="22" t="e">
        <f t="shared" ca="1" si="163"/>
        <v>#N/A</v>
      </c>
      <c r="P810" s="17" t="e">
        <f ca="1"/>
        <v>#N/A</v>
      </c>
      <c r="Q810" s="17" t="e">
        <f ca="1"/>
        <v>#N/A</v>
      </c>
      <c r="R810" s="23" t="e">
        <f ca="1"/>
        <v>#N/A</v>
      </c>
      <c r="S810" s="23">
        <f t="shared" ca="1" si="171"/>
        <v>0</v>
      </c>
      <c r="T810" t="b">
        <f t="shared" ca="1" si="168"/>
        <v>1</v>
      </c>
      <c r="U810" s="22" t="e">
        <f t="shared" ca="1" si="164"/>
        <v>#N/A</v>
      </c>
      <c r="V810">
        <f t="shared" ca="1" si="165"/>
        <v>0</v>
      </c>
    </row>
    <row r="811" spans="2:22">
      <c r="B811">
        <f t="shared" si="169"/>
        <v>801</v>
      </c>
      <c r="C811" s="22" t="e">
        <f ca="1"/>
        <v>#N/A</v>
      </c>
      <c r="D811" s="17" t="e">
        <f ca="1"/>
        <v>#N/A</v>
      </c>
      <c r="E811" s="17" t="e">
        <f ca="1"/>
        <v>#N/A</v>
      </c>
      <c r="F811" s="23" t="e">
        <f ca="1"/>
        <v>#N/A</v>
      </c>
      <c r="G811" s="23">
        <f t="shared" ca="1" si="170"/>
        <v>0</v>
      </c>
      <c r="H811" t="b">
        <f t="shared" ca="1" si="166"/>
        <v>1</v>
      </c>
      <c r="I811" s="22" t="e">
        <f t="shared" ca="1" si="161"/>
        <v>#N/A</v>
      </c>
      <c r="J811">
        <f t="shared" ca="1" si="162"/>
        <v>0</v>
      </c>
      <c r="K811" t="e">
        <f t="shared" ca="1" si="167"/>
        <v>#N/A</v>
      </c>
      <c r="O811" s="22" t="e">
        <f t="shared" ca="1" si="163"/>
        <v>#N/A</v>
      </c>
      <c r="P811" s="17" t="e">
        <f ca="1"/>
        <v>#N/A</v>
      </c>
      <c r="Q811" s="17" t="e">
        <f ca="1"/>
        <v>#N/A</v>
      </c>
      <c r="R811" s="23" t="e">
        <f ca="1"/>
        <v>#N/A</v>
      </c>
      <c r="S811" s="23">
        <f t="shared" ca="1" si="171"/>
        <v>0</v>
      </c>
      <c r="T811" t="b">
        <f t="shared" ca="1" si="168"/>
        <v>1</v>
      </c>
      <c r="U811" s="22" t="e">
        <f t="shared" ca="1" si="164"/>
        <v>#N/A</v>
      </c>
      <c r="V811">
        <f t="shared" ca="1" si="165"/>
        <v>0</v>
      </c>
    </row>
    <row r="812" spans="2:22">
      <c r="B812">
        <f t="shared" si="169"/>
        <v>802</v>
      </c>
      <c r="C812" s="22" t="e">
        <f ca="1"/>
        <v>#N/A</v>
      </c>
      <c r="D812" s="17" t="e">
        <f ca="1"/>
        <v>#N/A</v>
      </c>
      <c r="E812" s="17" t="e">
        <f ca="1"/>
        <v>#N/A</v>
      </c>
      <c r="F812" s="23" t="e">
        <f ca="1"/>
        <v>#N/A</v>
      </c>
      <c r="G812" s="23">
        <f t="shared" ca="1" si="170"/>
        <v>0</v>
      </c>
      <c r="H812" t="b">
        <f t="shared" ca="1" si="166"/>
        <v>1</v>
      </c>
      <c r="I812" s="22" t="e">
        <f t="shared" ca="1" si="161"/>
        <v>#N/A</v>
      </c>
      <c r="J812">
        <f t="shared" ca="1" si="162"/>
        <v>0</v>
      </c>
      <c r="K812" t="e">
        <f t="shared" ca="1" si="167"/>
        <v>#N/A</v>
      </c>
      <c r="O812" s="22" t="e">
        <f t="shared" ca="1" si="163"/>
        <v>#N/A</v>
      </c>
      <c r="P812" s="17" t="e">
        <f ca="1"/>
        <v>#N/A</v>
      </c>
      <c r="Q812" s="17" t="e">
        <f ca="1"/>
        <v>#N/A</v>
      </c>
      <c r="R812" s="23" t="e">
        <f ca="1"/>
        <v>#N/A</v>
      </c>
      <c r="S812" s="23">
        <f t="shared" ca="1" si="171"/>
        <v>0</v>
      </c>
      <c r="T812" t="b">
        <f t="shared" ca="1" si="168"/>
        <v>1</v>
      </c>
      <c r="U812" s="22" t="e">
        <f t="shared" ca="1" si="164"/>
        <v>#N/A</v>
      </c>
      <c r="V812">
        <f t="shared" ca="1" si="165"/>
        <v>0</v>
      </c>
    </row>
    <row r="813" spans="2:22">
      <c r="B813">
        <f t="shared" si="169"/>
        <v>803</v>
      </c>
      <c r="C813" s="22" t="e">
        <f ca="1"/>
        <v>#N/A</v>
      </c>
      <c r="D813" s="17" t="e">
        <f ca="1"/>
        <v>#N/A</v>
      </c>
      <c r="E813" s="17" t="e">
        <f ca="1"/>
        <v>#N/A</v>
      </c>
      <c r="F813" s="23" t="e">
        <f ca="1"/>
        <v>#N/A</v>
      </c>
      <c r="G813" s="23">
        <f t="shared" ca="1" si="170"/>
        <v>0</v>
      </c>
      <c r="H813" t="b">
        <f t="shared" ca="1" si="166"/>
        <v>1</v>
      </c>
      <c r="I813" s="22" t="e">
        <f t="shared" ca="1" si="161"/>
        <v>#N/A</v>
      </c>
      <c r="J813">
        <f t="shared" ca="1" si="162"/>
        <v>0</v>
      </c>
      <c r="K813" t="e">
        <f t="shared" ca="1" si="167"/>
        <v>#N/A</v>
      </c>
      <c r="O813" s="22" t="e">
        <f t="shared" ca="1" si="163"/>
        <v>#N/A</v>
      </c>
      <c r="P813" s="17" t="e">
        <f ca="1"/>
        <v>#N/A</v>
      </c>
      <c r="Q813" s="17" t="e">
        <f ca="1"/>
        <v>#N/A</v>
      </c>
      <c r="R813" s="23" t="e">
        <f ca="1"/>
        <v>#N/A</v>
      </c>
      <c r="S813" s="23">
        <f t="shared" ca="1" si="171"/>
        <v>0</v>
      </c>
      <c r="T813" t="b">
        <f t="shared" ca="1" si="168"/>
        <v>1</v>
      </c>
      <c r="U813" s="22" t="e">
        <f t="shared" ca="1" si="164"/>
        <v>#N/A</v>
      </c>
      <c r="V813">
        <f t="shared" ca="1" si="165"/>
        <v>0</v>
      </c>
    </row>
    <row r="814" spans="2:22">
      <c r="B814">
        <f t="shared" si="169"/>
        <v>804</v>
      </c>
      <c r="C814" s="22" t="e">
        <f ca="1"/>
        <v>#N/A</v>
      </c>
      <c r="D814" s="17" t="e">
        <f ca="1"/>
        <v>#N/A</v>
      </c>
      <c r="E814" s="17" t="e">
        <f ca="1"/>
        <v>#N/A</v>
      </c>
      <c r="F814" s="23" t="e">
        <f ca="1"/>
        <v>#N/A</v>
      </c>
      <c r="G814" s="23">
        <f t="shared" ca="1" si="170"/>
        <v>0</v>
      </c>
      <c r="H814" t="b">
        <f t="shared" ca="1" si="166"/>
        <v>1</v>
      </c>
      <c r="I814" s="22" t="e">
        <f t="shared" ca="1" si="161"/>
        <v>#N/A</v>
      </c>
      <c r="J814">
        <f t="shared" ca="1" si="162"/>
        <v>0</v>
      </c>
      <c r="K814" t="e">
        <f t="shared" ca="1" si="167"/>
        <v>#N/A</v>
      </c>
      <c r="O814" s="22" t="e">
        <f t="shared" ca="1" si="163"/>
        <v>#N/A</v>
      </c>
      <c r="P814" s="17" t="e">
        <f ca="1"/>
        <v>#N/A</v>
      </c>
      <c r="Q814" s="17" t="e">
        <f ca="1"/>
        <v>#N/A</v>
      </c>
      <c r="R814" s="23" t="e">
        <f ca="1"/>
        <v>#N/A</v>
      </c>
      <c r="S814" s="23">
        <f t="shared" ca="1" si="171"/>
        <v>0</v>
      </c>
      <c r="T814" t="b">
        <f t="shared" ca="1" si="168"/>
        <v>1</v>
      </c>
      <c r="U814" s="22" t="e">
        <f t="shared" ca="1" si="164"/>
        <v>#N/A</v>
      </c>
      <c r="V814">
        <f t="shared" ca="1" si="165"/>
        <v>0</v>
      </c>
    </row>
    <row r="815" spans="2:22">
      <c r="B815">
        <f t="shared" si="169"/>
        <v>805</v>
      </c>
      <c r="C815" s="22" t="e">
        <f ca="1"/>
        <v>#N/A</v>
      </c>
      <c r="D815" s="17" t="e">
        <f ca="1"/>
        <v>#N/A</v>
      </c>
      <c r="E815" s="17" t="e">
        <f ca="1"/>
        <v>#N/A</v>
      </c>
      <c r="F815" s="23" t="e">
        <f ca="1"/>
        <v>#N/A</v>
      </c>
      <c r="G815" s="23">
        <f t="shared" ca="1" si="170"/>
        <v>0</v>
      </c>
      <c r="H815" t="b">
        <f t="shared" ca="1" si="166"/>
        <v>1</v>
      </c>
      <c r="I815" s="22" t="e">
        <f t="shared" ca="1" si="161"/>
        <v>#N/A</v>
      </c>
      <c r="J815">
        <f t="shared" ca="1" si="162"/>
        <v>0</v>
      </c>
      <c r="K815" t="e">
        <f t="shared" ca="1" si="167"/>
        <v>#N/A</v>
      </c>
      <c r="O815" s="22" t="e">
        <f t="shared" ca="1" si="163"/>
        <v>#N/A</v>
      </c>
      <c r="P815" s="17" t="e">
        <f ca="1"/>
        <v>#N/A</v>
      </c>
      <c r="Q815" s="17" t="e">
        <f ca="1"/>
        <v>#N/A</v>
      </c>
      <c r="R815" s="23" t="e">
        <f ca="1"/>
        <v>#N/A</v>
      </c>
      <c r="S815" s="23">
        <f t="shared" ca="1" si="171"/>
        <v>0</v>
      </c>
      <c r="T815" t="b">
        <f t="shared" ca="1" si="168"/>
        <v>1</v>
      </c>
      <c r="U815" s="22" t="e">
        <f t="shared" ca="1" si="164"/>
        <v>#N/A</v>
      </c>
      <c r="V815">
        <f t="shared" ca="1" si="165"/>
        <v>0</v>
      </c>
    </row>
    <row r="816" spans="2:22">
      <c r="B816">
        <f t="shared" si="169"/>
        <v>806</v>
      </c>
      <c r="C816" s="22" t="e">
        <f ca="1"/>
        <v>#N/A</v>
      </c>
      <c r="D816" s="17" t="e">
        <f ca="1"/>
        <v>#N/A</v>
      </c>
      <c r="E816" s="17" t="e">
        <f ca="1"/>
        <v>#N/A</v>
      </c>
      <c r="F816" s="23" t="e">
        <f ca="1"/>
        <v>#N/A</v>
      </c>
      <c r="G816" s="23">
        <f t="shared" ca="1" si="170"/>
        <v>0</v>
      </c>
      <c r="H816" t="b">
        <f t="shared" ca="1" si="166"/>
        <v>1</v>
      </c>
      <c r="I816" s="22" t="e">
        <f t="shared" ca="1" si="161"/>
        <v>#N/A</v>
      </c>
      <c r="J816">
        <f t="shared" ca="1" si="162"/>
        <v>0</v>
      </c>
      <c r="K816" t="e">
        <f t="shared" ca="1" si="167"/>
        <v>#N/A</v>
      </c>
      <c r="O816" s="22" t="e">
        <f t="shared" ca="1" si="163"/>
        <v>#N/A</v>
      </c>
      <c r="P816" s="17" t="e">
        <f ca="1"/>
        <v>#N/A</v>
      </c>
      <c r="Q816" s="17" t="e">
        <f ca="1"/>
        <v>#N/A</v>
      </c>
      <c r="R816" s="23" t="e">
        <f ca="1"/>
        <v>#N/A</v>
      </c>
      <c r="S816" s="23">
        <f t="shared" ca="1" si="171"/>
        <v>0</v>
      </c>
      <c r="T816" t="b">
        <f t="shared" ca="1" si="168"/>
        <v>1</v>
      </c>
      <c r="U816" s="22" t="e">
        <f t="shared" ca="1" si="164"/>
        <v>#N/A</v>
      </c>
      <c r="V816">
        <f t="shared" ca="1" si="165"/>
        <v>0</v>
      </c>
    </row>
    <row r="817" spans="2:22">
      <c r="B817">
        <f t="shared" si="169"/>
        <v>807</v>
      </c>
      <c r="C817" s="22" t="e">
        <f ca="1"/>
        <v>#N/A</v>
      </c>
      <c r="D817" s="17" t="e">
        <f ca="1"/>
        <v>#N/A</v>
      </c>
      <c r="E817" s="17" t="e">
        <f ca="1"/>
        <v>#N/A</v>
      </c>
      <c r="F817" s="23" t="e">
        <f ca="1"/>
        <v>#N/A</v>
      </c>
      <c r="G817" s="23">
        <f t="shared" ca="1" si="170"/>
        <v>0</v>
      </c>
      <c r="H817" t="b">
        <f t="shared" ca="1" si="166"/>
        <v>1</v>
      </c>
      <c r="I817" s="22" t="e">
        <f t="shared" ca="1" si="161"/>
        <v>#N/A</v>
      </c>
      <c r="J817">
        <f t="shared" ca="1" si="162"/>
        <v>0</v>
      </c>
      <c r="K817" t="e">
        <f t="shared" ca="1" si="167"/>
        <v>#N/A</v>
      </c>
      <c r="O817" s="22" t="e">
        <f t="shared" ca="1" si="163"/>
        <v>#N/A</v>
      </c>
      <c r="P817" s="17" t="e">
        <f ca="1"/>
        <v>#N/A</v>
      </c>
      <c r="Q817" s="17" t="e">
        <f ca="1"/>
        <v>#N/A</v>
      </c>
      <c r="R817" s="23" t="e">
        <f ca="1"/>
        <v>#N/A</v>
      </c>
      <c r="S817" s="23">
        <f t="shared" ca="1" si="171"/>
        <v>0</v>
      </c>
      <c r="T817" t="b">
        <f t="shared" ca="1" si="168"/>
        <v>1</v>
      </c>
      <c r="U817" s="22" t="e">
        <f t="shared" ca="1" si="164"/>
        <v>#N/A</v>
      </c>
      <c r="V817">
        <f t="shared" ca="1" si="165"/>
        <v>0</v>
      </c>
    </row>
    <row r="818" spans="2:22">
      <c r="B818">
        <f t="shared" si="169"/>
        <v>808</v>
      </c>
      <c r="C818" s="22" t="e">
        <f ca="1"/>
        <v>#N/A</v>
      </c>
      <c r="D818" s="17" t="e">
        <f ca="1"/>
        <v>#N/A</v>
      </c>
      <c r="E818" s="17" t="e">
        <f ca="1"/>
        <v>#N/A</v>
      </c>
      <c r="F818" s="23" t="e">
        <f ca="1"/>
        <v>#N/A</v>
      </c>
      <c r="G818" s="23">
        <f t="shared" ca="1" si="170"/>
        <v>0</v>
      </c>
      <c r="H818" t="b">
        <f t="shared" ca="1" si="166"/>
        <v>1</v>
      </c>
      <c r="I818" s="22" t="e">
        <f t="shared" ca="1" si="161"/>
        <v>#N/A</v>
      </c>
      <c r="J818">
        <f t="shared" ca="1" si="162"/>
        <v>0</v>
      </c>
      <c r="K818" t="e">
        <f t="shared" ca="1" si="167"/>
        <v>#N/A</v>
      </c>
      <c r="O818" s="22" t="e">
        <f t="shared" ca="1" si="163"/>
        <v>#N/A</v>
      </c>
      <c r="P818" s="17" t="e">
        <f ca="1"/>
        <v>#N/A</v>
      </c>
      <c r="Q818" s="17" t="e">
        <f ca="1"/>
        <v>#N/A</v>
      </c>
      <c r="R818" s="23" t="e">
        <f ca="1"/>
        <v>#N/A</v>
      </c>
      <c r="S818" s="23">
        <f t="shared" ca="1" si="171"/>
        <v>0</v>
      </c>
      <c r="T818" t="b">
        <f t="shared" ca="1" si="168"/>
        <v>1</v>
      </c>
      <c r="U818" s="22" t="e">
        <f t="shared" ca="1" si="164"/>
        <v>#N/A</v>
      </c>
      <c r="V818">
        <f t="shared" ca="1" si="165"/>
        <v>0</v>
      </c>
    </row>
    <row r="819" spans="2:22">
      <c r="B819">
        <f t="shared" si="169"/>
        <v>809</v>
      </c>
      <c r="C819" s="22" t="e">
        <f ca="1"/>
        <v>#N/A</v>
      </c>
      <c r="D819" s="17" t="e">
        <f ca="1"/>
        <v>#N/A</v>
      </c>
      <c r="E819" s="17" t="e">
        <f ca="1"/>
        <v>#N/A</v>
      </c>
      <c r="F819" s="23" t="e">
        <f ca="1"/>
        <v>#N/A</v>
      </c>
      <c r="G819" s="23">
        <f t="shared" ca="1" si="170"/>
        <v>0</v>
      </c>
      <c r="H819" t="b">
        <f t="shared" ca="1" si="166"/>
        <v>1</v>
      </c>
      <c r="I819" s="22" t="e">
        <f t="shared" ca="1" si="161"/>
        <v>#N/A</v>
      </c>
      <c r="J819">
        <f t="shared" ca="1" si="162"/>
        <v>0</v>
      </c>
      <c r="K819" t="e">
        <f t="shared" ca="1" si="167"/>
        <v>#N/A</v>
      </c>
      <c r="O819" s="22" t="e">
        <f t="shared" ca="1" si="163"/>
        <v>#N/A</v>
      </c>
      <c r="P819" s="17" t="e">
        <f ca="1"/>
        <v>#N/A</v>
      </c>
      <c r="Q819" s="17" t="e">
        <f ca="1"/>
        <v>#N/A</v>
      </c>
      <c r="R819" s="23" t="e">
        <f ca="1"/>
        <v>#N/A</v>
      </c>
      <c r="S819" s="23">
        <f t="shared" ca="1" si="171"/>
        <v>0</v>
      </c>
      <c r="T819" t="b">
        <f t="shared" ca="1" si="168"/>
        <v>1</v>
      </c>
      <c r="U819" s="22" t="e">
        <f t="shared" ca="1" si="164"/>
        <v>#N/A</v>
      </c>
      <c r="V819">
        <f t="shared" ca="1" si="165"/>
        <v>0</v>
      </c>
    </row>
    <row r="820" spans="2:22">
      <c r="B820">
        <f t="shared" si="169"/>
        <v>810</v>
      </c>
      <c r="C820" s="22" t="e">
        <f ca="1"/>
        <v>#N/A</v>
      </c>
      <c r="D820" s="17" t="e">
        <f ca="1"/>
        <v>#N/A</v>
      </c>
      <c r="E820" s="17" t="e">
        <f ca="1"/>
        <v>#N/A</v>
      </c>
      <c r="F820" s="23" t="e">
        <f ca="1"/>
        <v>#N/A</v>
      </c>
      <c r="G820" s="23">
        <f t="shared" ca="1" si="170"/>
        <v>0</v>
      </c>
      <c r="H820" t="b">
        <f t="shared" ca="1" si="166"/>
        <v>1</v>
      </c>
      <c r="I820" s="22" t="e">
        <f t="shared" ca="1" si="161"/>
        <v>#N/A</v>
      </c>
      <c r="J820">
        <f t="shared" ca="1" si="162"/>
        <v>0</v>
      </c>
      <c r="K820" t="e">
        <f t="shared" ca="1" si="167"/>
        <v>#N/A</v>
      </c>
      <c r="O820" s="22" t="e">
        <f t="shared" ca="1" si="163"/>
        <v>#N/A</v>
      </c>
      <c r="P820" s="17" t="e">
        <f ca="1"/>
        <v>#N/A</v>
      </c>
      <c r="Q820" s="17" t="e">
        <f ca="1"/>
        <v>#N/A</v>
      </c>
      <c r="R820" s="23" t="e">
        <f ca="1"/>
        <v>#N/A</v>
      </c>
      <c r="S820" s="23">
        <f t="shared" ca="1" si="171"/>
        <v>0</v>
      </c>
      <c r="T820" t="b">
        <f t="shared" ca="1" si="168"/>
        <v>1</v>
      </c>
      <c r="U820" s="22" t="e">
        <f t="shared" ca="1" si="164"/>
        <v>#N/A</v>
      </c>
      <c r="V820">
        <f t="shared" ca="1" si="165"/>
        <v>0</v>
      </c>
    </row>
    <row r="821" spans="2:22">
      <c r="B821">
        <f t="shared" si="169"/>
        <v>811</v>
      </c>
      <c r="C821" s="22" t="e">
        <f ca="1"/>
        <v>#N/A</v>
      </c>
      <c r="D821" s="17" t="e">
        <f ca="1"/>
        <v>#N/A</v>
      </c>
      <c r="E821" s="17" t="e">
        <f ca="1"/>
        <v>#N/A</v>
      </c>
      <c r="F821" s="23" t="e">
        <f ca="1"/>
        <v>#N/A</v>
      </c>
      <c r="G821" s="23">
        <f t="shared" ca="1" si="170"/>
        <v>0</v>
      </c>
      <c r="H821" t="b">
        <f t="shared" ca="1" si="166"/>
        <v>1</v>
      </c>
      <c r="I821" s="22" t="e">
        <f t="shared" ca="1" si="161"/>
        <v>#N/A</v>
      </c>
      <c r="J821">
        <f t="shared" ca="1" si="162"/>
        <v>0</v>
      </c>
      <c r="K821" t="e">
        <f t="shared" ca="1" si="167"/>
        <v>#N/A</v>
      </c>
      <c r="O821" s="22" t="e">
        <f t="shared" ca="1" si="163"/>
        <v>#N/A</v>
      </c>
      <c r="P821" s="17" t="e">
        <f ca="1"/>
        <v>#N/A</v>
      </c>
      <c r="Q821" s="17" t="e">
        <f ca="1"/>
        <v>#N/A</v>
      </c>
      <c r="R821" s="23" t="e">
        <f ca="1"/>
        <v>#N/A</v>
      </c>
      <c r="S821" s="23">
        <f t="shared" ca="1" si="171"/>
        <v>0</v>
      </c>
      <c r="T821" t="b">
        <f t="shared" ca="1" si="168"/>
        <v>1</v>
      </c>
      <c r="U821" s="22" t="e">
        <f t="shared" ca="1" si="164"/>
        <v>#N/A</v>
      </c>
      <c r="V821">
        <f t="shared" ca="1" si="165"/>
        <v>0</v>
      </c>
    </row>
    <row r="822" spans="2:22">
      <c r="B822">
        <f t="shared" si="169"/>
        <v>812</v>
      </c>
      <c r="C822" s="22" t="e">
        <f ca="1"/>
        <v>#N/A</v>
      </c>
      <c r="D822" s="17" t="e">
        <f ca="1"/>
        <v>#N/A</v>
      </c>
      <c r="E822" s="17" t="e">
        <f ca="1"/>
        <v>#N/A</v>
      </c>
      <c r="F822" s="23" t="e">
        <f ca="1"/>
        <v>#N/A</v>
      </c>
      <c r="G822" s="23">
        <f t="shared" ca="1" si="170"/>
        <v>0</v>
      </c>
      <c r="H822" t="b">
        <f t="shared" ca="1" si="166"/>
        <v>1</v>
      </c>
      <c r="I822" s="22" t="e">
        <f t="shared" ca="1" si="161"/>
        <v>#N/A</v>
      </c>
      <c r="J822">
        <f t="shared" ca="1" si="162"/>
        <v>0</v>
      </c>
      <c r="K822" t="e">
        <f t="shared" ca="1" si="167"/>
        <v>#N/A</v>
      </c>
      <c r="O822" s="22" t="e">
        <f t="shared" ca="1" si="163"/>
        <v>#N/A</v>
      </c>
      <c r="P822" s="17" t="e">
        <f ca="1"/>
        <v>#N/A</v>
      </c>
      <c r="Q822" s="17" t="e">
        <f ca="1"/>
        <v>#N/A</v>
      </c>
      <c r="R822" s="23" t="e">
        <f ca="1"/>
        <v>#N/A</v>
      </c>
      <c r="S822" s="23">
        <f t="shared" ca="1" si="171"/>
        <v>0</v>
      </c>
      <c r="T822" t="b">
        <f t="shared" ca="1" si="168"/>
        <v>1</v>
      </c>
      <c r="U822" s="22" t="e">
        <f t="shared" ca="1" si="164"/>
        <v>#N/A</v>
      </c>
      <c r="V822">
        <f t="shared" ca="1" si="165"/>
        <v>0</v>
      </c>
    </row>
    <row r="823" spans="2:22">
      <c r="B823">
        <f t="shared" si="169"/>
        <v>813</v>
      </c>
      <c r="C823" s="22" t="e">
        <f ca="1"/>
        <v>#N/A</v>
      </c>
      <c r="D823" s="17" t="e">
        <f ca="1"/>
        <v>#N/A</v>
      </c>
      <c r="E823" s="17" t="e">
        <f ca="1"/>
        <v>#N/A</v>
      </c>
      <c r="F823" s="23" t="e">
        <f ca="1"/>
        <v>#N/A</v>
      </c>
      <c r="G823" s="23">
        <f t="shared" ca="1" si="170"/>
        <v>0</v>
      </c>
      <c r="H823" t="b">
        <f t="shared" ca="1" si="166"/>
        <v>1</v>
      </c>
      <c r="I823" s="22" t="e">
        <f t="shared" ca="1" si="161"/>
        <v>#N/A</v>
      </c>
      <c r="J823">
        <f t="shared" ca="1" si="162"/>
        <v>0</v>
      </c>
      <c r="K823" t="e">
        <f t="shared" ca="1" si="167"/>
        <v>#N/A</v>
      </c>
      <c r="O823" s="22" t="e">
        <f t="shared" ca="1" si="163"/>
        <v>#N/A</v>
      </c>
      <c r="P823" s="17" t="e">
        <f ca="1"/>
        <v>#N/A</v>
      </c>
      <c r="Q823" s="17" t="e">
        <f ca="1"/>
        <v>#N/A</v>
      </c>
      <c r="R823" s="23" t="e">
        <f ca="1"/>
        <v>#N/A</v>
      </c>
      <c r="S823" s="23">
        <f t="shared" ca="1" si="171"/>
        <v>0</v>
      </c>
      <c r="T823" t="b">
        <f t="shared" ca="1" si="168"/>
        <v>1</v>
      </c>
      <c r="U823" s="22" t="e">
        <f t="shared" ca="1" si="164"/>
        <v>#N/A</v>
      </c>
      <c r="V823">
        <f t="shared" ca="1" si="165"/>
        <v>0</v>
      </c>
    </row>
    <row r="824" spans="2:22">
      <c r="B824">
        <f t="shared" si="169"/>
        <v>814</v>
      </c>
      <c r="C824" s="22" t="e">
        <f ca="1"/>
        <v>#N/A</v>
      </c>
      <c r="D824" s="17" t="e">
        <f ca="1"/>
        <v>#N/A</v>
      </c>
      <c r="E824" s="17" t="e">
        <f ca="1"/>
        <v>#N/A</v>
      </c>
      <c r="F824" s="23" t="e">
        <f ca="1"/>
        <v>#N/A</v>
      </c>
      <c r="G824" s="23">
        <f t="shared" ca="1" si="170"/>
        <v>0</v>
      </c>
      <c r="H824" t="b">
        <f t="shared" ca="1" si="166"/>
        <v>1</v>
      </c>
      <c r="I824" s="22" t="e">
        <f t="shared" ca="1" si="161"/>
        <v>#N/A</v>
      </c>
      <c r="J824">
        <f t="shared" ca="1" si="162"/>
        <v>0</v>
      </c>
      <c r="K824" t="e">
        <f t="shared" ca="1" si="167"/>
        <v>#N/A</v>
      </c>
      <c r="O824" s="22" t="e">
        <f t="shared" ca="1" si="163"/>
        <v>#N/A</v>
      </c>
      <c r="P824" s="17" t="e">
        <f ca="1"/>
        <v>#N/A</v>
      </c>
      <c r="Q824" s="17" t="e">
        <f ca="1"/>
        <v>#N/A</v>
      </c>
      <c r="R824" s="23" t="e">
        <f ca="1"/>
        <v>#N/A</v>
      </c>
      <c r="S824" s="23">
        <f t="shared" ca="1" si="171"/>
        <v>0</v>
      </c>
      <c r="T824" t="b">
        <f t="shared" ca="1" si="168"/>
        <v>1</v>
      </c>
      <c r="U824" s="22" t="e">
        <f t="shared" ca="1" si="164"/>
        <v>#N/A</v>
      </c>
      <c r="V824">
        <f t="shared" ca="1" si="165"/>
        <v>0</v>
      </c>
    </row>
    <row r="825" spans="2:22">
      <c r="B825">
        <f t="shared" si="169"/>
        <v>815</v>
      </c>
      <c r="C825" s="22" t="e">
        <f ca="1"/>
        <v>#N/A</v>
      </c>
      <c r="D825" s="17" t="e">
        <f ca="1"/>
        <v>#N/A</v>
      </c>
      <c r="E825" s="17" t="e">
        <f ca="1"/>
        <v>#N/A</v>
      </c>
      <c r="F825" s="23" t="e">
        <f ca="1"/>
        <v>#N/A</v>
      </c>
      <c r="G825" s="23">
        <f t="shared" ca="1" si="170"/>
        <v>0</v>
      </c>
      <c r="H825" t="b">
        <f t="shared" ca="1" si="166"/>
        <v>1</v>
      </c>
      <c r="I825" s="22" t="e">
        <f t="shared" ca="1" si="161"/>
        <v>#N/A</v>
      </c>
      <c r="J825">
        <f t="shared" ca="1" si="162"/>
        <v>0</v>
      </c>
      <c r="K825" t="e">
        <f t="shared" ca="1" si="167"/>
        <v>#N/A</v>
      </c>
      <c r="O825" s="22" t="e">
        <f t="shared" ca="1" si="163"/>
        <v>#N/A</v>
      </c>
      <c r="P825" s="17" t="e">
        <f ca="1"/>
        <v>#N/A</v>
      </c>
      <c r="Q825" s="17" t="e">
        <f ca="1"/>
        <v>#N/A</v>
      </c>
      <c r="R825" s="23" t="e">
        <f ca="1"/>
        <v>#N/A</v>
      </c>
      <c r="S825" s="23">
        <f t="shared" ca="1" si="171"/>
        <v>0</v>
      </c>
      <c r="T825" t="b">
        <f t="shared" ca="1" si="168"/>
        <v>1</v>
      </c>
      <c r="U825" s="22" t="e">
        <f t="shared" ca="1" si="164"/>
        <v>#N/A</v>
      </c>
      <c r="V825">
        <f t="shared" ca="1" si="165"/>
        <v>0</v>
      </c>
    </row>
    <row r="826" spans="2:22">
      <c r="B826">
        <f t="shared" si="169"/>
        <v>816</v>
      </c>
      <c r="C826" s="22" t="e">
        <f ca="1"/>
        <v>#N/A</v>
      </c>
      <c r="D826" s="17" t="e">
        <f ca="1"/>
        <v>#N/A</v>
      </c>
      <c r="E826" s="17" t="e">
        <f ca="1"/>
        <v>#N/A</v>
      </c>
      <c r="F826" s="23" t="e">
        <f ca="1"/>
        <v>#N/A</v>
      </c>
      <c r="G826" s="23">
        <f t="shared" ca="1" si="170"/>
        <v>0</v>
      </c>
      <c r="H826" t="b">
        <f t="shared" ca="1" si="166"/>
        <v>1</v>
      </c>
      <c r="I826" s="22" t="e">
        <f t="shared" ca="1" si="161"/>
        <v>#N/A</v>
      </c>
      <c r="J826">
        <f t="shared" ca="1" si="162"/>
        <v>0</v>
      </c>
      <c r="K826" t="e">
        <f t="shared" ca="1" si="167"/>
        <v>#N/A</v>
      </c>
      <c r="O826" s="22" t="e">
        <f t="shared" ca="1" si="163"/>
        <v>#N/A</v>
      </c>
      <c r="P826" s="17" t="e">
        <f ca="1"/>
        <v>#N/A</v>
      </c>
      <c r="Q826" s="17" t="e">
        <f ca="1"/>
        <v>#N/A</v>
      </c>
      <c r="R826" s="23" t="e">
        <f ca="1"/>
        <v>#N/A</v>
      </c>
      <c r="S826" s="23">
        <f t="shared" ca="1" si="171"/>
        <v>0</v>
      </c>
      <c r="T826" t="b">
        <f t="shared" ca="1" si="168"/>
        <v>1</v>
      </c>
      <c r="U826" s="22" t="e">
        <f t="shared" ca="1" si="164"/>
        <v>#N/A</v>
      </c>
      <c r="V826">
        <f t="shared" ca="1" si="165"/>
        <v>0</v>
      </c>
    </row>
    <row r="827" spans="2:22">
      <c r="B827">
        <f t="shared" si="169"/>
        <v>817</v>
      </c>
      <c r="C827" s="22" t="e">
        <f ca="1"/>
        <v>#N/A</v>
      </c>
      <c r="D827" s="17" t="e">
        <f ca="1"/>
        <v>#N/A</v>
      </c>
      <c r="E827" s="17" t="e">
        <f ca="1"/>
        <v>#N/A</v>
      </c>
      <c r="F827" s="23" t="e">
        <f ca="1"/>
        <v>#N/A</v>
      </c>
      <c r="G827" s="23">
        <f t="shared" ca="1" si="170"/>
        <v>0</v>
      </c>
      <c r="H827" t="b">
        <f t="shared" ca="1" si="166"/>
        <v>1</v>
      </c>
      <c r="I827" s="22" t="e">
        <f t="shared" ca="1" si="161"/>
        <v>#N/A</v>
      </c>
      <c r="J827">
        <f t="shared" ca="1" si="162"/>
        <v>0</v>
      </c>
      <c r="K827" t="e">
        <f t="shared" ca="1" si="167"/>
        <v>#N/A</v>
      </c>
      <c r="O827" s="22" t="e">
        <f t="shared" ca="1" si="163"/>
        <v>#N/A</v>
      </c>
      <c r="P827" s="17" t="e">
        <f ca="1"/>
        <v>#N/A</v>
      </c>
      <c r="Q827" s="17" t="e">
        <f ca="1"/>
        <v>#N/A</v>
      </c>
      <c r="R827" s="23" t="e">
        <f ca="1"/>
        <v>#N/A</v>
      </c>
      <c r="S827" s="23">
        <f t="shared" ca="1" si="171"/>
        <v>0</v>
      </c>
      <c r="T827" t="b">
        <f t="shared" ca="1" si="168"/>
        <v>1</v>
      </c>
      <c r="U827" s="22" t="e">
        <f t="shared" ca="1" si="164"/>
        <v>#N/A</v>
      </c>
      <c r="V827">
        <f t="shared" ca="1" si="165"/>
        <v>0</v>
      </c>
    </row>
    <row r="828" spans="2:22">
      <c r="B828">
        <f t="shared" si="169"/>
        <v>818</v>
      </c>
      <c r="C828" s="22" t="e">
        <f ca="1"/>
        <v>#N/A</v>
      </c>
      <c r="D828" s="17" t="e">
        <f ca="1"/>
        <v>#N/A</v>
      </c>
      <c r="E828" s="17" t="e">
        <f ca="1"/>
        <v>#N/A</v>
      </c>
      <c r="F828" s="23" t="e">
        <f ca="1"/>
        <v>#N/A</v>
      </c>
      <c r="G828" s="23">
        <f t="shared" ca="1" si="170"/>
        <v>0</v>
      </c>
      <c r="H828" t="b">
        <f t="shared" ca="1" si="166"/>
        <v>1</v>
      </c>
      <c r="I828" s="22" t="e">
        <f t="shared" ca="1" si="161"/>
        <v>#N/A</v>
      </c>
      <c r="J828">
        <f t="shared" ca="1" si="162"/>
        <v>0</v>
      </c>
      <c r="K828" t="e">
        <f t="shared" ca="1" si="167"/>
        <v>#N/A</v>
      </c>
      <c r="O828" s="22" t="e">
        <f t="shared" ca="1" si="163"/>
        <v>#N/A</v>
      </c>
      <c r="P828" s="17" t="e">
        <f ca="1"/>
        <v>#N/A</v>
      </c>
      <c r="Q828" s="17" t="e">
        <f ca="1"/>
        <v>#N/A</v>
      </c>
      <c r="R828" s="23" t="e">
        <f ca="1"/>
        <v>#N/A</v>
      </c>
      <c r="S828" s="23">
        <f t="shared" ca="1" si="171"/>
        <v>0</v>
      </c>
      <c r="T828" t="b">
        <f t="shared" ca="1" si="168"/>
        <v>1</v>
      </c>
      <c r="U828" s="22" t="e">
        <f t="shared" ca="1" si="164"/>
        <v>#N/A</v>
      </c>
      <c r="V828">
        <f t="shared" ca="1" si="165"/>
        <v>0</v>
      </c>
    </row>
    <row r="829" spans="2:22">
      <c r="B829">
        <f t="shared" si="169"/>
        <v>819</v>
      </c>
      <c r="C829" s="22" t="e">
        <f ca="1"/>
        <v>#N/A</v>
      </c>
      <c r="D829" s="17" t="e">
        <f ca="1"/>
        <v>#N/A</v>
      </c>
      <c r="E829" s="17" t="e">
        <f ca="1"/>
        <v>#N/A</v>
      </c>
      <c r="F829" s="23" t="e">
        <f ca="1"/>
        <v>#N/A</v>
      </c>
      <c r="G829" s="23">
        <f t="shared" ca="1" si="170"/>
        <v>0</v>
      </c>
      <c r="H829" t="b">
        <f t="shared" ca="1" si="166"/>
        <v>1</v>
      </c>
      <c r="I829" s="22" t="e">
        <f t="shared" ca="1" si="161"/>
        <v>#N/A</v>
      </c>
      <c r="J829">
        <f t="shared" ca="1" si="162"/>
        <v>0</v>
      </c>
      <c r="K829" t="e">
        <f t="shared" ca="1" si="167"/>
        <v>#N/A</v>
      </c>
      <c r="O829" s="22" t="e">
        <f t="shared" ca="1" si="163"/>
        <v>#N/A</v>
      </c>
      <c r="P829" s="17" t="e">
        <f ca="1"/>
        <v>#N/A</v>
      </c>
      <c r="Q829" s="17" t="e">
        <f ca="1"/>
        <v>#N/A</v>
      </c>
      <c r="R829" s="23" t="e">
        <f ca="1"/>
        <v>#N/A</v>
      </c>
      <c r="S829" s="23">
        <f t="shared" ca="1" si="171"/>
        <v>0</v>
      </c>
      <c r="T829" t="b">
        <f t="shared" ca="1" si="168"/>
        <v>1</v>
      </c>
      <c r="U829" s="22" t="e">
        <f t="shared" ca="1" si="164"/>
        <v>#N/A</v>
      </c>
      <c r="V829">
        <f t="shared" ca="1" si="165"/>
        <v>0</v>
      </c>
    </row>
    <row r="830" spans="2:22">
      <c r="B830">
        <f t="shared" si="169"/>
        <v>820</v>
      </c>
      <c r="C830" s="22" t="e">
        <f ca="1"/>
        <v>#N/A</v>
      </c>
      <c r="D830" s="17" t="e">
        <f ca="1"/>
        <v>#N/A</v>
      </c>
      <c r="E830" s="17" t="e">
        <f ca="1"/>
        <v>#N/A</v>
      </c>
      <c r="F830" s="23" t="e">
        <f ca="1"/>
        <v>#N/A</v>
      </c>
      <c r="G830" s="23">
        <f t="shared" ca="1" si="170"/>
        <v>0</v>
      </c>
      <c r="H830" t="b">
        <f t="shared" ca="1" si="166"/>
        <v>1</v>
      </c>
      <c r="I830" s="22" t="e">
        <f t="shared" ca="1" si="161"/>
        <v>#N/A</v>
      </c>
      <c r="J830">
        <f t="shared" ca="1" si="162"/>
        <v>0</v>
      </c>
      <c r="K830" t="e">
        <f t="shared" ca="1" si="167"/>
        <v>#N/A</v>
      </c>
      <c r="O830" s="22" t="e">
        <f t="shared" ca="1" si="163"/>
        <v>#N/A</v>
      </c>
      <c r="P830" s="17" t="e">
        <f ca="1"/>
        <v>#N/A</v>
      </c>
      <c r="Q830" s="17" t="e">
        <f ca="1"/>
        <v>#N/A</v>
      </c>
      <c r="R830" s="23" t="e">
        <f ca="1"/>
        <v>#N/A</v>
      </c>
      <c r="S830" s="23">
        <f t="shared" ca="1" si="171"/>
        <v>0</v>
      </c>
      <c r="T830" t="b">
        <f t="shared" ca="1" si="168"/>
        <v>1</v>
      </c>
      <c r="U830" s="22" t="e">
        <f t="shared" ca="1" si="164"/>
        <v>#N/A</v>
      </c>
      <c r="V830">
        <f t="shared" ca="1" si="165"/>
        <v>0</v>
      </c>
    </row>
    <row r="831" spans="2:22">
      <c r="B831">
        <f t="shared" si="169"/>
        <v>821</v>
      </c>
      <c r="C831" s="22" t="e">
        <f ca="1"/>
        <v>#N/A</v>
      </c>
      <c r="D831" s="17" t="e">
        <f ca="1"/>
        <v>#N/A</v>
      </c>
      <c r="E831" s="17" t="e">
        <f ca="1"/>
        <v>#N/A</v>
      </c>
      <c r="F831" s="23" t="e">
        <f ca="1"/>
        <v>#N/A</v>
      </c>
      <c r="G831" s="23">
        <f t="shared" ca="1" si="170"/>
        <v>0</v>
      </c>
      <c r="H831" t="b">
        <f t="shared" ca="1" si="166"/>
        <v>1</v>
      </c>
      <c r="I831" s="22" t="e">
        <f t="shared" ca="1" si="161"/>
        <v>#N/A</v>
      </c>
      <c r="J831">
        <f t="shared" ca="1" si="162"/>
        <v>0</v>
      </c>
      <c r="K831" t="e">
        <f t="shared" ca="1" si="167"/>
        <v>#N/A</v>
      </c>
      <c r="O831" s="22" t="e">
        <f t="shared" ca="1" si="163"/>
        <v>#N/A</v>
      </c>
      <c r="P831" s="17" t="e">
        <f ca="1"/>
        <v>#N/A</v>
      </c>
      <c r="Q831" s="17" t="e">
        <f ca="1"/>
        <v>#N/A</v>
      </c>
      <c r="R831" s="23" t="e">
        <f ca="1"/>
        <v>#N/A</v>
      </c>
      <c r="S831" s="23">
        <f t="shared" ca="1" si="171"/>
        <v>0</v>
      </c>
      <c r="T831" t="b">
        <f t="shared" ca="1" si="168"/>
        <v>1</v>
      </c>
      <c r="U831" s="22" t="e">
        <f t="shared" ca="1" si="164"/>
        <v>#N/A</v>
      </c>
      <c r="V831">
        <f t="shared" ca="1" si="165"/>
        <v>0</v>
      </c>
    </row>
    <row r="832" spans="2:22">
      <c r="B832">
        <f t="shared" si="169"/>
        <v>822</v>
      </c>
      <c r="C832" s="22" t="e">
        <f ca="1"/>
        <v>#N/A</v>
      </c>
      <c r="D832" s="17" t="e">
        <f ca="1"/>
        <v>#N/A</v>
      </c>
      <c r="E832" s="17" t="e">
        <f ca="1"/>
        <v>#N/A</v>
      </c>
      <c r="F832" s="23" t="e">
        <f ca="1"/>
        <v>#N/A</v>
      </c>
      <c r="G832" s="23">
        <f t="shared" ca="1" si="170"/>
        <v>0</v>
      </c>
      <c r="H832" t="b">
        <f t="shared" ca="1" si="166"/>
        <v>1</v>
      </c>
      <c r="I832" s="22" t="e">
        <f t="shared" ca="1" si="161"/>
        <v>#N/A</v>
      </c>
      <c r="J832">
        <f t="shared" ca="1" si="162"/>
        <v>0</v>
      </c>
      <c r="K832" t="e">
        <f t="shared" ca="1" si="167"/>
        <v>#N/A</v>
      </c>
      <c r="O832" s="22" t="e">
        <f t="shared" ca="1" si="163"/>
        <v>#N/A</v>
      </c>
      <c r="P832" s="17" t="e">
        <f ca="1"/>
        <v>#N/A</v>
      </c>
      <c r="Q832" s="17" t="e">
        <f ca="1"/>
        <v>#N/A</v>
      </c>
      <c r="R832" s="23" t="e">
        <f ca="1"/>
        <v>#N/A</v>
      </c>
      <c r="S832" s="23">
        <f t="shared" ca="1" si="171"/>
        <v>0</v>
      </c>
      <c r="T832" t="b">
        <f t="shared" ca="1" si="168"/>
        <v>1</v>
      </c>
      <c r="U832" s="22" t="e">
        <f t="shared" ca="1" si="164"/>
        <v>#N/A</v>
      </c>
      <c r="V832">
        <f t="shared" ca="1" si="165"/>
        <v>0</v>
      </c>
    </row>
    <row r="833" spans="2:22">
      <c r="B833">
        <f t="shared" si="169"/>
        <v>823</v>
      </c>
      <c r="C833" s="22" t="e">
        <f ca="1"/>
        <v>#N/A</v>
      </c>
      <c r="D833" s="17" t="e">
        <f ca="1"/>
        <v>#N/A</v>
      </c>
      <c r="E833" s="17" t="e">
        <f ca="1"/>
        <v>#N/A</v>
      </c>
      <c r="F833" s="23" t="e">
        <f ca="1"/>
        <v>#N/A</v>
      </c>
      <c r="G833" s="23">
        <f t="shared" ca="1" si="170"/>
        <v>0</v>
      </c>
      <c r="H833" t="b">
        <f t="shared" ca="1" si="166"/>
        <v>1</v>
      </c>
      <c r="I833" s="22" t="e">
        <f t="shared" ca="1" si="161"/>
        <v>#N/A</v>
      </c>
      <c r="J833">
        <f t="shared" ca="1" si="162"/>
        <v>0</v>
      </c>
      <c r="K833" t="e">
        <f t="shared" ca="1" si="167"/>
        <v>#N/A</v>
      </c>
      <c r="O833" s="22" t="e">
        <f t="shared" ca="1" si="163"/>
        <v>#N/A</v>
      </c>
      <c r="P833" s="17" t="e">
        <f ca="1"/>
        <v>#N/A</v>
      </c>
      <c r="Q833" s="17" t="e">
        <f ca="1"/>
        <v>#N/A</v>
      </c>
      <c r="R833" s="23" t="e">
        <f ca="1"/>
        <v>#N/A</v>
      </c>
      <c r="S833" s="23">
        <f t="shared" ca="1" si="171"/>
        <v>0</v>
      </c>
      <c r="T833" t="b">
        <f t="shared" ca="1" si="168"/>
        <v>1</v>
      </c>
      <c r="U833" s="22" t="e">
        <f t="shared" ca="1" si="164"/>
        <v>#N/A</v>
      </c>
      <c r="V833">
        <f t="shared" ca="1" si="165"/>
        <v>0</v>
      </c>
    </row>
    <row r="834" spans="2:22">
      <c r="B834">
        <f t="shared" si="169"/>
        <v>824</v>
      </c>
      <c r="C834" s="22" t="e">
        <f ca="1"/>
        <v>#N/A</v>
      </c>
      <c r="D834" s="17" t="e">
        <f ca="1"/>
        <v>#N/A</v>
      </c>
      <c r="E834" s="17" t="e">
        <f ca="1"/>
        <v>#N/A</v>
      </c>
      <c r="F834" s="23" t="e">
        <f ca="1"/>
        <v>#N/A</v>
      </c>
      <c r="G834" s="23">
        <f t="shared" ca="1" si="170"/>
        <v>0</v>
      </c>
      <c r="H834" t="b">
        <f t="shared" ca="1" si="166"/>
        <v>1</v>
      </c>
      <c r="I834" s="22" t="e">
        <f t="shared" ca="1" si="161"/>
        <v>#N/A</v>
      </c>
      <c r="J834">
        <f t="shared" ca="1" si="162"/>
        <v>0</v>
      </c>
      <c r="K834" t="e">
        <f t="shared" ca="1" si="167"/>
        <v>#N/A</v>
      </c>
      <c r="O834" s="22" t="e">
        <f t="shared" ca="1" si="163"/>
        <v>#N/A</v>
      </c>
      <c r="P834" s="17" t="e">
        <f ca="1"/>
        <v>#N/A</v>
      </c>
      <c r="Q834" s="17" t="e">
        <f ca="1"/>
        <v>#N/A</v>
      </c>
      <c r="R834" s="23" t="e">
        <f ca="1"/>
        <v>#N/A</v>
      </c>
      <c r="S834" s="23">
        <f t="shared" ca="1" si="171"/>
        <v>0</v>
      </c>
      <c r="T834" t="b">
        <f t="shared" ca="1" si="168"/>
        <v>1</v>
      </c>
      <c r="U834" s="22" t="e">
        <f t="shared" ca="1" si="164"/>
        <v>#N/A</v>
      </c>
      <c r="V834">
        <f t="shared" ca="1" si="165"/>
        <v>0</v>
      </c>
    </row>
    <row r="835" spans="2:22">
      <c r="B835">
        <f t="shared" si="169"/>
        <v>825</v>
      </c>
      <c r="C835" s="22" t="e">
        <f ca="1"/>
        <v>#N/A</v>
      </c>
      <c r="D835" s="17" t="e">
        <f ca="1"/>
        <v>#N/A</v>
      </c>
      <c r="E835" s="17" t="e">
        <f ca="1"/>
        <v>#N/A</v>
      </c>
      <c r="F835" s="23" t="e">
        <f ca="1"/>
        <v>#N/A</v>
      </c>
      <c r="G835" s="23">
        <f t="shared" ca="1" si="170"/>
        <v>0</v>
      </c>
      <c r="H835" t="b">
        <f t="shared" ca="1" si="166"/>
        <v>1</v>
      </c>
      <c r="I835" s="22" t="e">
        <f t="shared" ca="1" si="161"/>
        <v>#N/A</v>
      </c>
      <c r="J835">
        <f t="shared" ca="1" si="162"/>
        <v>0</v>
      </c>
      <c r="K835" t="e">
        <f t="shared" ca="1" si="167"/>
        <v>#N/A</v>
      </c>
      <c r="O835" s="22" t="e">
        <f t="shared" ca="1" si="163"/>
        <v>#N/A</v>
      </c>
      <c r="P835" s="17" t="e">
        <f ca="1"/>
        <v>#N/A</v>
      </c>
      <c r="Q835" s="17" t="e">
        <f ca="1"/>
        <v>#N/A</v>
      </c>
      <c r="R835" s="23" t="e">
        <f ca="1"/>
        <v>#N/A</v>
      </c>
      <c r="S835" s="23">
        <f t="shared" ca="1" si="171"/>
        <v>0</v>
      </c>
      <c r="T835" t="b">
        <f t="shared" ca="1" si="168"/>
        <v>1</v>
      </c>
      <c r="U835" s="22" t="e">
        <f t="shared" ca="1" si="164"/>
        <v>#N/A</v>
      </c>
      <c r="V835">
        <f t="shared" ca="1" si="165"/>
        <v>0</v>
      </c>
    </row>
    <row r="836" spans="2:22">
      <c r="B836">
        <f t="shared" si="169"/>
        <v>826</v>
      </c>
      <c r="C836" s="22" t="e">
        <f ca="1"/>
        <v>#N/A</v>
      </c>
      <c r="D836" s="17" t="e">
        <f ca="1"/>
        <v>#N/A</v>
      </c>
      <c r="E836" s="17" t="e">
        <f ca="1"/>
        <v>#N/A</v>
      </c>
      <c r="F836" s="23" t="e">
        <f ca="1"/>
        <v>#N/A</v>
      </c>
      <c r="G836" s="23">
        <f t="shared" ca="1" si="170"/>
        <v>0</v>
      </c>
      <c r="H836" t="b">
        <f t="shared" ca="1" si="166"/>
        <v>1</v>
      </c>
      <c r="I836" s="22" t="e">
        <f t="shared" ca="1" si="161"/>
        <v>#N/A</v>
      </c>
      <c r="J836">
        <f t="shared" ca="1" si="162"/>
        <v>0</v>
      </c>
      <c r="K836" t="e">
        <f t="shared" ca="1" si="167"/>
        <v>#N/A</v>
      </c>
      <c r="O836" s="22" t="e">
        <f t="shared" ca="1" si="163"/>
        <v>#N/A</v>
      </c>
      <c r="P836" s="17" t="e">
        <f ca="1"/>
        <v>#N/A</v>
      </c>
      <c r="Q836" s="17" t="e">
        <f ca="1"/>
        <v>#N/A</v>
      </c>
      <c r="R836" s="23" t="e">
        <f ca="1"/>
        <v>#N/A</v>
      </c>
      <c r="S836" s="23">
        <f t="shared" ca="1" si="171"/>
        <v>0</v>
      </c>
      <c r="T836" t="b">
        <f t="shared" ca="1" si="168"/>
        <v>1</v>
      </c>
      <c r="U836" s="22" t="e">
        <f t="shared" ca="1" si="164"/>
        <v>#N/A</v>
      </c>
      <c r="V836">
        <f t="shared" ca="1" si="165"/>
        <v>0</v>
      </c>
    </row>
    <row r="837" spans="2:22">
      <c r="B837">
        <f t="shared" si="169"/>
        <v>827</v>
      </c>
      <c r="C837" s="22" t="e">
        <f ca="1"/>
        <v>#N/A</v>
      </c>
      <c r="D837" s="17" t="e">
        <f ca="1"/>
        <v>#N/A</v>
      </c>
      <c r="E837" s="17" t="e">
        <f ca="1"/>
        <v>#N/A</v>
      </c>
      <c r="F837" s="23" t="e">
        <f ca="1"/>
        <v>#N/A</v>
      </c>
      <c r="G837" s="23">
        <f t="shared" ca="1" si="170"/>
        <v>0</v>
      </c>
      <c r="H837" t="b">
        <f t="shared" ca="1" si="166"/>
        <v>1</v>
      </c>
      <c r="I837" s="22" t="e">
        <f t="shared" ca="1" si="161"/>
        <v>#N/A</v>
      </c>
      <c r="J837">
        <f t="shared" ca="1" si="162"/>
        <v>0</v>
      </c>
      <c r="K837" t="e">
        <f t="shared" ca="1" si="167"/>
        <v>#N/A</v>
      </c>
      <c r="O837" s="22" t="e">
        <f t="shared" ca="1" si="163"/>
        <v>#N/A</v>
      </c>
      <c r="P837" s="17" t="e">
        <f ca="1"/>
        <v>#N/A</v>
      </c>
      <c r="Q837" s="17" t="e">
        <f ca="1"/>
        <v>#N/A</v>
      </c>
      <c r="R837" s="23" t="e">
        <f ca="1"/>
        <v>#N/A</v>
      </c>
      <c r="S837" s="23">
        <f t="shared" ca="1" si="171"/>
        <v>0</v>
      </c>
      <c r="T837" t="b">
        <f t="shared" ca="1" si="168"/>
        <v>1</v>
      </c>
      <c r="U837" s="22" t="e">
        <f t="shared" ca="1" si="164"/>
        <v>#N/A</v>
      </c>
      <c r="V837">
        <f t="shared" ca="1" si="165"/>
        <v>0</v>
      </c>
    </row>
    <row r="838" spans="2:22">
      <c r="B838">
        <f t="shared" si="169"/>
        <v>828</v>
      </c>
      <c r="C838" s="22" t="e">
        <f ca="1"/>
        <v>#N/A</v>
      </c>
      <c r="D838" s="17" t="e">
        <f ca="1"/>
        <v>#N/A</v>
      </c>
      <c r="E838" s="17" t="e">
        <f ca="1"/>
        <v>#N/A</v>
      </c>
      <c r="F838" s="23" t="e">
        <f ca="1"/>
        <v>#N/A</v>
      </c>
      <c r="G838" s="23">
        <f t="shared" ca="1" si="170"/>
        <v>0</v>
      </c>
      <c r="H838" t="b">
        <f t="shared" ca="1" si="166"/>
        <v>1</v>
      </c>
      <c r="I838" s="22" t="e">
        <f t="shared" ca="1" si="161"/>
        <v>#N/A</v>
      </c>
      <c r="J838">
        <f t="shared" ca="1" si="162"/>
        <v>0</v>
      </c>
      <c r="K838" t="e">
        <f t="shared" ca="1" si="167"/>
        <v>#N/A</v>
      </c>
      <c r="O838" s="22" t="e">
        <f t="shared" ca="1" si="163"/>
        <v>#N/A</v>
      </c>
      <c r="P838" s="17" t="e">
        <f ca="1"/>
        <v>#N/A</v>
      </c>
      <c r="Q838" s="17" t="e">
        <f ca="1"/>
        <v>#N/A</v>
      </c>
      <c r="R838" s="23" t="e">
        <f ca="1"/>
        <v>#N/A</v>
      </c>
      <c r="S838" s="23">
        <f t="shared" ca="1" si="171"/>
        <v>0</v>
      </c>
      <c r="T838" t="b">
        <f t="shared" ca="1" si="168"/>
        <v>1</v>
      </c>
      <c r="U838" s="22" t="e">
        <f t="shared" ca="1" si="164"/>
        <v>#N/A</v>
      </c>
      <c r="V838">
        <f t="shared" ca="1" si="165"/>
        <v>0</v>
      </c>
    </row>
    <row r="839" spans="2:22">
      <c r="B839">
        <f t="shared" si="169"/>
        <v>829</v>
      </c>
      <c r="C839" s="22" t="e">
        <f ca="1"/>
        <v>#N/A</v>
      </c>
      <c r="D839" s="17" t="e">
        <f ca="1"/>
        <v>#N/A</v>
      </c>
      <c r="E839" s="17" t="e">
        <f ca="1"/>
        <v>#N/A</v>
      </c>
      <c r="F839" s="23" t="e">
        <f ca="1"/>
        <v>#N/A</v>
      </c>
      <c r="G839" s="23">
        <f t="shared" ca="1" si="170"/>
        <v>0</v>
      </c>
      <c r="H839" t="b">
        <f t="shared" ca="1" si="166"/>
        <v>1</v>
      </c>
      <c r="I839" s="22" t="e">
        <f t="shared" ca="1" si="161"/>
        <v>#N/A</v>
      </c>
      <c r="J839">
        <f t="shared" ca="1" si="162"/>
        <v>0</v>
      </c>
      <c r="K839" t="e">
        <f t="shared" ca="1" si="167"/>
        <v>#N/A</v>
      </c>
      <c r="O839" s="22" t="e">
        <f t="shared" ca="1" si="163"/>
        <v>#N/A</v>
      </c>
      <c r="P839" s="17" t="e">
        <f ca="1"/>
        <v>#N/A</v>
      </c>
      <c r="Q839" s="17" t="e">
        <f ca="1"/>
        <v>#N/A</v>
      </c>
      <c r="R839" s="23" t="e">
        <f ca="1"/>
        <v>#N/A</v>
      </c>
      <c r="S839" s="23">
        <f t="shared" ca="1" si="171"/>
        <v>0</v>
      </c>
      <c r="T839" t="b">
        <f t="shared" ca="1" si="168"/>
        <v>1</v>
      </c>
      <c r="U839" s="22" t="e">
        <f t="shared" ca="1" si="164"/>
        <v>#N/A</v>
      </c>
      <c r="V839">
        <f t="shared" ca="1" si="165"/>
        <v>0</v>
      </c>
    </row>
    <row r="840" spans="2:22">
      <c r="B840">
        <f t="shared" si="169"/>
        <v>830</v>
      </c>
      <c r="C840" s="22" t="e">
        <f ca="1"/>
        <v>#N/A</v>
      </c>
      <c r="D840" s="17" t="e">
        <f ca="1"/>
        <v>#N/A</v>
      </c>
      <c r="E840" s="17" t="e">
        <f ca="1"/>
        <v>#N/A</v>
      </c>
      <c r="F840" s="23" t="e">
        <f ca="1"/>
        <v>#N/A</v>
      </c>
      <c r="G840" s="23">
        <f t="shared" ca="1" si="170"/>
        <v>0</v>
      </c>
      <c r="H840" t="b">
        <f t="shared" ca="1" si="166"/>
        <v>1</v>
      </c>
      <c r="I840" s="22" t="e">
        <f t="shared" ca="1" si="161"/>
        <v>#N/A</v>
      </c>
      <c r="J840">
        <f t="shared" ca="1" si="162"/>
        <v>0</v>
      </c>
      <c r="K840" t="e">
        <f t="shared" ca="1" si="167"/>
        <v>#N/A</v>
      </c>
      <c r="O840" s="22" t="e">
        <f t="shared" ca="1" si="163"/>
        <v>#N/A</v>
      </c>
      <c r="P840" s="17" t="e">
        <f ca="1"/>
        <v>#N/A</v>
      </c>
      <c r="Q840" s="17" t="e">
        <f ca="1"/>
        <v>#N/A</v>
      </c>
      <c r="R840" s="23" t="e">
        <f ca="1"/>
        <v>#N/A</v>
      </c>
      <c r="S840" s="23">
        <f t="shared" ca="1" si="171"/>
        <v>0</v>
      </c>
      <c r="T840" t="b">
        <f t="shared" ca="1" si="168"/>
        <v>1</v>
      </c>
      <c r="U840" s="22" t="e">
        <f t="shared" ca="1" si="164"/>
        <v>#N/A</v>
      </c>
      <c r="V840">
        <f t="shared" ca="1" si="165"/>
        <v>0</v>
      </c>
    </row>
    <row r="841" spans="2:22">
      <c r="B841">
        <f t="shared" si="169"/>
        <v>831</v>
      </c>
      <c r="C841" s="22" t="e">
        <f ca="1"/>
        <v>#N/A</v>
      </c>
      <c r="D841" s="17" t="e">
        <f ca="1"/>
        <v>#N/A</v>
      </c>
      <c r="E841" s="17" t="e">
        <f ca="1"/>
        <v>#N/A</v>
      </c>
      <c r="F841" s="23" t="e">
        <f ca="1"/>
        <v>#N/A</v>
      </c>
      <c r="G841" s="23">
        <f t="shared" ca="1" si="170"/>
        <v>0</v>
      </c>
      <c r="H841" t="b">
        <f t="shared" ca="1" si="166"/>
        <v>1</v>
      </c>
      <c r="I841" s="22" t="e">
        <f t="shared" ca="1" si="161"/>
        <v>#N/A</v>
      </c>
      <c r="J841">
        <f t="shared" ca="1" si="162"/>
        <v>0</v>
      </c>
      <c r="K841" t="e">
        <f t="shared" ca="1" si="167"/>
        <v>#N/A</v>
      </c>
      <c r="O841" s="22" t="e">
        <f t="shared" ca="1" si="163"/>
        <v>#N/A</v>
      </c>
      <c r="P841" s="17" t="e">
        <f ca="1"/>
        <v>#N/A</v>
      </c>
      <c r="Q841" s="17" t="e">
        <f ca="1"/>
        <v>#N/A</v>
      </c>
      <c r="R841" s="23" t="e">
        <f ca="1"/>
        <v>#N/A</v>
      </c>
      <c r="S841" s="23">
        <f t="shared" ca="1" si="171"/>
        <v>0</v>
      </c>
      <c r="T841" t="b">
        <f t="shared" ca="1" si="168"/>
        <v>1</v>
      </c>
      <c r="U841" s="22" t="e">
        <f t="shared" ca="1" si="164"/>
        <v>#N/A</v>
      </c>
      <c r="V841">
        <f t="shared" ca="1" si="165"/>
        <v>0</v>
      </c>
    </row>
    <row r="842" spans="2:22">
      <c r="B842">
        <f t="shared" si="169"/>
        <v>832</v>
      </c>
      <c r="C842" s="22" t="e">
        <f ca="1"/>
        <v>#N/A</v>
      </c>
      <c r="D842" s="17" t="e">
        <f ca="1"/>
        <v>#N/A</v>
      </c>
      <c r="E842" s="17" t="e">
        <f ca="1"/>
        <v>#N/A</v>
      </c>
      <c r="F842" s="23" t="e">
        <f ca="1"/>
        <v>#N/A</v>
      </c>
      <c r="G842" s="23">
        <f t="shared" ca="1" si="170"/>
        <v>0</v>
      </c>
      <c r="H842" t="b">
        <f t="shared" ca="1" si="166"/>
        <v>1</v>
      </c>
      <c r="I842" s="22" t="e">
        <f t="shared" ca="1" si="161"/>
        <v>#N/A</v>
      </c>
      <c r="J842">
        <f t="shared" ca="1" si="162"/>
        <v>0</v>
      </c>
      <c r="K842" t="e">
        <f t="shared" ca="1" si="167"/>
        <v>#N/A</v>
      </c>
      <c r="O842" s="22" t="e">
        <f t="shared" ca="1" si="163"/>
        <v>#N/A</v>
      </c>
      <c r="P842" s="17" t="e">
        <f ca="1"/>
        <v>#N/A</v>
      </c>
      <c r="Q842" s="17" t="e">
        <f ca="1"/>
        <v>#N/A</v>
      </c>
      <c r="R842" s="23" t="e">
        <f ca="1"/>
        <v>#N/A</v>
      </c>
      <c r="S842" s="23">
        <f t="shared" ca="1" si="171"/>
        <v>0</v>
      </c>
      <c r="T842" t="b">
        <f t="shared" ca="1" si="168"/>
        <v>1</v>
      </c>
      <c r="U842" s="22" t="e">
        <f t="shared" ca="1" si="164"/>
        <v>#N/A</v>
      </c>
      <c r="V842">
        <f t="shared" ca="1" si="165"/>
        <v>0</v>
      </c>
    </row>
    <row r="843" spans="2:22">
      <c r="B843">
        <f t="shared" si="169"/>
        <v>833</v>
      </c>
      <c r="C843" s="22" t="e">
        <f ca="1"/>
        <v>#N/A</v>
      </c>
      <c r="D843" s="17" t="e">
        <f ca="1"/>
        <v>#N/A</v>
      </c>
      <c r="E843" s="17" t="e">
        <f ca="1"/>
        <v>#N/A</v>
      </c>
      <c r="F843" s="23" t="e">
        <f ca="1"/>
        <v>#N/A</v>
      </c>
      <c r="G843" s="23">
        <f t="shared" ca="1" si="170"/>
        <v>0</v>
      </c>
      <c r="H843" t="b">
        <f t="shared" ca="1" si="166"/>
        <v>1</v>
      </c>
      <c r="I843" s="22" t="e">
        <f t="shared" ref="I843:I871" ca="1" si="172">IF(H843,C843,NA)</f>
        <v>#N/A</v>
      </c>
      <c r="J843">
        <f t="shared" ref="J843:J871" ca="1" si="173">IF(H843,G843,NA)</f>
        <v>0</v>
      </c>
      <c r="K843" t="e">
        <f t="shared" ca="1" si="167"/>
        <v>#N/A</v>
      </c>
      <c r="O843" s="22" t="e">
        <f t="shared" ref="O843:O871" ca="1" si="174">C843</f>
        <v>#N/A</v>
      </c>
      <c r="P843" s="17" t="e">
        <f ca="1"/>
        <v>#N/A</v>
      </c>
      <c r="Q843" s="17" t="e">
        <f ca="1"/>
        <v>#N/A</v>
      </c>
      <c r="R843" s="23" t="e">
        <f ca="1"/>
        <v>#N/A</v>
      </c>
      <c r="S843" s="23">
        <f t="shared" ca="1" si="171"/>
        <v>0</v>
      </c>
      <c r="T843" t="b">
        <f t="shared" ca="1" si="168"/>
        <v>1</v>
      </c>
      <c r="U843" s="22" t="e">
        <f t="shared" ref="U843:U871" ca="1" si="175">IF(T843,O843,NA)</f>
        <v>#N/A</v>
      </c>
      <c r="V843">
        <f t="shared" ref="V843:V871" ca="1" si="176">IF(T843,S843,NA)</f>
        <v>0</v>
      </c>
    </row>
    <row r="844" spans="2:22">
      <c r="B844">
        <f t="shared" si="169"/>
        <v>834</v>
      </c>
      <c r="C844" s="22" t="e">
        <f ca="1"/>
        <v>#N/A</v>
      </c>
      <c r="D844" s="17" t="e">
        <f ca="1"/>
        <v>#N/A</v>
      </c>
      <c r="E844" s="17" t="e">
        <f ca="1"/>
        <v>#N/A</v>
      </c>
      <c r="F844" s="23" t="e">
        <f ca="1"/>
        <v>#N/A</v>
      </c>
      <c r="G844" s="23">
        <f t="shared" ca="1" si="170"/>
        <v>0</v>
      </c>
      <c r="H844" t="b">
        <f t="shared" ref="H844:H871" ca="1" si="177">ISNUMBER(G844)</f>
        <v>1</v>
      </c>
      <c r="I844" s="22" t="e">
        <f t="shared" ca="1" si="172"/>
        <v>#N/A</v>
      </c>
      <c r="J844">
        <f t="shared" ca="1" si="173"/>
        <v>0</v>
      </c>
      <c r="K844" t="e">
        <f t="shared" ref="K844:K871" ca="1" si="178">YEAR(C844)</f>
        <v>#N/A</v>
      </c>
      <c r="O844" s="22" t="e">
        <f t="shared" ca="1" si="174"/>
        <v>#N/A</v>
      </c>
      <c r="P844" s="17" t="e">
        <f ca="1"/>
        <v>#N/A</v>
      </c>
      <c r="Q844" s="17" t="e">
        <f ca="1"/>
        <v>#N/A</v>
      </c>
      <c r="R844" s="23" t="e">
        <f ca="1"/>
        <v>#N/A</v>
      </c>
      <c r="S844" s="23">
        <f t="shared" ca="1" si="171"/>
        <v>0</v>
      </c>
      <c r="T844" t="b">
        <f t="shared" ref="T844:T871" ca="1" si="179">ISNUMBER(S844)</f>
        <v>1</v>
      </c>
      <c r="U844" s="22" t="e">
        <f t="shared" ca="1" si="175"/>
        <v>#N/A</v>
      </c>
      <c r="V844">
        <f t="shared" ca="1" si="176"/>
        <v>0</v>
      </c>
    </row>
    <row r="845" spans="2:22">
      <c r="B845">
        <f t="shared" ref="B845:B871" si="180">B844+1</f>
        <v>835</v>
      </c>
      <c r="C845" s="22" t="e">
        <f ca="1"/>
        <v>#N/A</v>
      </c>
      <c r="D845" s="17" t="e">
        <f ca="1"/>
        <v>#N/A</v>
      </c>
      <c r="E845" s="17" t="e">
        <f ca="1"/>
        <v>#N/A</v>
      </c>
      <c r="F845" s="23" t="e">
        <f ca="1"/>
        <v>#N/A</v>
      </c>
      <c r="G845" s="23">
        <f t="shared" ca="1" si="170"/>
        <v>0</v>
      </c>
      <c r="H845" t="b">
        <f t="shared" ca="1" si="177"/>
        <v>1</v>
      </c>
      <c r="I845" s="22" t="e">
        <f t="shared" ca="1" si="172"/>
        <v>#N/A</v>
      </c>
      <c r="J845">
        <f t="shared" ca="1" si="173"/>
        <v>0</v>
      </c>
      <c r="K845" t="e">
        <f t="shared" ca="1" si="178"/>
        <v>#N/A</v>
      </c>
      <c r="O845" s="22" t="e">
        <f t="shared" ca="1" si="174"/>
        <v>#N/A</v>
      </c>
      <c r="P845" s="17" t="e">
        <f ca="1"/>
        <v>#N/A</v>
      </c>
      <c r="Q845" s="17" t="e">
        <f ca="1"/>
        <v>#N/A</v>
      </c>
      <c r="R845" s="23" t="e">
        <f ca="1"/>
        <v>#N/A</v>
      </c>
      <c r="S845" s="23">
        <f t="shared" ca="1" si="171"/>
        <v>0</v>
      </c>
      <c r="T845" t="b">
        <f t="shared" ca="1" si="179"/>
        <v>1</v>
      </c>
      <c r="U845" s="22" t="e">
        <f t="shared" ca="1" si="175"/>
        <v>#N/A</v>
      </c>
      <c r="V845">
        <f t="shared" ca="1" si="176"/>
        <v>0</v>
      </c>
    </row>
    <row r="846" spans="2:22">
      <c r="B846">
        <f t="shared" si="180"/>
        <v>836</v>
      </c>
      <c r="C846" s="22" t="e">
        <f ca="1"/>
        <v>#N/A</v>
      </c>
      <c r="D846" s="17" t="e">
        <f ca="1"/>
        <v>#N/A</v>
      </c>
      <c r="E846" s="17" t="e">
        <f ca="1"/>
        <v>#N/A</v>
      </c>
      <c r="F846" s="23" t="e">
        <f ca="1"/>
        <v>#N/A</v>
      </c>
      <c r="G846" s="23">
        <f t="shared" ca="1" si="170"/>
        <v>0</v>
      </c>
      <c r="H846" t="b">
        <f t="shared" ca="1" si="177"/>
        <v>1</v>
      </c>
      <c r="I846" s="22" t="e">
        <f t="shared" ca="1" si="172"/>
        <v>#N/A</v>
      </c>
      <c r="J846">
        <f t="shared" ca="1" si="173"/>
        <v>0</v>
      </c>
      <c r="K846" t="e">
        <f t="shared" ca="1" si="178"/>
        <v>#N/A</v>
      </c>
      <c r="O846" s="22" t="e">
        <f t="shared" ca="1" si="174"/>
        <v>#N/A</v>
      </c>
      <c r="P846" s="17" t="e">
        <f ca="1"/>
        <v>#N/A</v>
      </c>
      <c r="Q846" s="17" t="e">
        <f ca="1"/>
        <v>#N/A</v>
      </c>
      <c r="R846" s="23" t="e">
        <f ca="1"/>
        <v>#N/A</v>
      </c>
      <c r="S846" s="23">
        <f t="shared" ca="1" si="171"/>
        <v>0</v>
      </c>
      <c r="T846" t="b">
        <f t="shared" ca="1" si="179"/>
        <v>1</v>
      </c>
      <c r="U846" s="22" t="e">
        <f t="shared" ca="1" si="175"/>
        <v>#N/A</v>
      </c>
      <c r="V846">
        <f t="shared" ca="1" si="176"/>
        <v>0</v>
      </c>
    </row>
    <row r="847" spans="2:22">
      <c r="B847">
        <f t="shared" si="180"/>
        <v>837</v>
      </c>
      <c r="C847" s="22" t="e">
        <f ca="1"/>
        <v>#N/A</v>
      </c>
      <c r="D847" s="17" t="e">
        <f ca="1"/>
        <v>#N/A</v>
      </c>
      <c r="E847" s="17" t="e">
        <f ca="1"/>
        <v>#N/A</v>
      </c>
      <c r="F847" s="23" t="e">
        <f ca="1"/>
        <v>#N/A</v>
      </c>
      <c r="G847" s="23">
        <f t="shared" ca="1" si="170"/>
        <v>0</v>
      </c>
      <c r="H847" t="b">
        <f t="shared" ca="1" si="177"/>
        <v>1</v>
      </c>
      <c r="I847" s="22" t="e">
        <f t="shared" ca="1" si="172"/>
        <v>#N/A</v>
      </c>
      <c r="J847">
        <f t="shared" ca="1" si="173"/>
        <v>0</v>
      </c>
      <c r="K847" t="e">
        <f t="shared" ca="1" si="178"/>
        <v>#N/A</v>
      </c>
      <c r="O847" s="22" t="e">
        <f t="shared" ca="1" si="174"/>
        <v>#N/A</v>
      </c>
      <c r="P847" s="17" t="e">
        <f ca="1"/>
        <v>#N/A</v>
      </c>
      <c r="Q847" s="17" t="e">
        <f ca="1"/>
        <v>#N/A</v>
      </c>
      <c r="R847" s="23" t="e">
        <f ca="1"/>
        <v>#N/A</v>
      </c>
      <c r="S847" s="23">
        <f t="shared" ca="1" si="171"/>
        <v>0</v>
      </c>
      <c r="T847" t="b">
        <f t="shared" ca="1" si="179"/>
        <v>1</v>
      </c>
      <c r="U847" s="22" t="e">
        <f t="shared" ca="1" si="175"/>
        <v>#N/A</v>
      </c>
      <c r="V847">
        <f t="shared" ca="1" si="176"/>
        <v>0</v>
      </c>
    </row>
    <row r="848" spans="2:22">
      <c r="B848">
        <f t="shared" si="180"/>
        <v>838</v>
      </c>
      <c r="C848" s="22" t="e">
        <f ca="1"/>
        <v>#N/A</v>
      </c>
      <c r="D848" s="17" t="e">
        <f ca="1"/>
        <v>#N/A</v>
      </c>
      <c r="E848" s="17" t="e">
        <f ca="1"/>
        <v>#N/A</v>
      </c>
      <c r="F848" s="23" t="e">
        <f ca="1"/>
        <v>#N/A</v>
      </c>
      <c r="G848" s="23">
        <f t="shared" ca="1" si="170"/>
        <v>0</v>
      </c>
      <c r="H848" t="b">
        <f t="shared" ca="1" si="177"/>
        <v>1</v>
      </c>
      <c r="I848" s="22" t="e">
        <f t="shared" ca="1" si="172"/>
        <v>#N/A</v>
      </c>
      <c r="J848">
        <f t="shared" ca="1" si="173"/>
        <v>0</v>
      </c>
      <c r="K848" t="e">
        <f t="shared" ca="1" si="178"/>
        <v>#N/A</v>
      </c>
      <c r="O848" s="22" t="e">
        <f t="shared" ca="1" si="174"/>
        <v>#N/A</v>
      </c>
      <c r="P848" s="17" t="e">
        <f ca="1"/>
        <v>#N/A</v>
      </c>
      <c r="Q848" s="17" t="e">
        <f ca="1"/>
        <v>#N/A</v>
      </c>
      <c r="R848" s="23" t="e">
        <f ca="1"/>
        <v>#N/A</v>
      </c>
      <c r="S848" s="23">
        <f t="shared" ca="1" si="171"/>
        <v>0</v>
      </c>
      <c r="T848" t="b">
        <f t="shared" ca="1" si="179"/>
        <v>1</v>
      </c>
      <c r="U848" s="22" t="e">
        <f t="shared" ca="1" si="175"/>
        <v>#N/A</v>
      </c>
      <c r="V848">
        <f t="shared" ca="1" si="176"/>
        <v>0</v>
      </c>
    </row>
    <row r="849" spans="2:22">
      <c r="B849">
        <f t="shared" si="180"/>
        <v>839</v>
      </c>
      <c r="C849" s="22" t="e">
        <f ca="1"/>
        <v>#N/A</v>
      </c>
      <c r="D849" s="17" t="e">
        <f ca="1"/>
        <v>#N/A</v>
      </c>
      <c r="E849" s="17" t="e">
        <f ca="1"/>
        <v>#N/A</v>
      </c>
      <c r="F849" s="23" t="e">
        <f ca="1"/>
        <v>#N/A</v>
      </c>
      <c r="G849" s="23">
        <f t="shared" ca="1" si="170"/>
        <v>0</v>
      </c>
      <c r="H849" t="b">
        <f t="shared" ca="1" si="177"/>
        <v>1</v>
      </c>
      <c r="I849" s="22" t="e">
        <f t="shared" ca="1" si="172"/>
        <v>#N/A</v>
      </c>
      <c r="J849">
        <f t="shared" ca="1" si="173"/>
        <v>0</v>
      </c>
      <c r="K849" t="e">
        <f t="shared" ca="1" si="178"/>
        <v>#N/A</v>
      </c>
      <c r="O849" s="22" t="e">
        <f t="shared" ca="1" si="174"/>
        <v>#N/A</v>
      </c>
      <c r="P849" s="17" t="e">
        <f ca="1"/>
        <v>#N/A</v>
      </c>
      <c r="Q849" s="17" t="e">
        <f ca="1"/>
        <v>#N/A</v>
      </c>
      <c r="R849" s="23" t="e">
        <f ca="1"/>
        <v>#N/A</v>
      </c>
      <c r="S849" s="23">
        <f t="shared" ca="1" si="171"/>
        <v>0</v>
      </c>
      <c r="T849" t="b">
        <f t="shared" ca="1" si="179"/>
        <v>1</v>
      </c>
      <c r="U849" s="22" t="e">
        <f t="shared" ca="1" si="175"/>
        <v>#N/A</v>
      </c>
      <c r="V849">
        <f t="shared" ca="1" si="176"/>
        <v>0</v>
      </c>
    </row>
    <row r="850" spans="2:22">
      <c r="B850">
        <f t="shared" si="180"/>
        <v>840</v>
      </c>
      <c r="C850" s="22" t="e">
        <f ca="1"/>
        <v>#N/A</v>
      </c>
      <c r="D850" s="17" t="e">
        <f ca="1"/>
        <v>#N/A</v>
      </c>
      <c r="E850" s="17" t="e">
        <f ca="1"/>
        <v>#N/A</v>
      </c>
      <c r="F850" s="23" t="e">
        <f ca="1"/>
        <v>#N/A</v>
      </c>
      <c r="G850" s="23">
        <f t="shared" ca="1" si="170"/>
        <v>0</v>
      </c>
      <c r="H850" t="b">
        <f t="shared" ca="1" si="177"/>
        <v>1</v>
      </c>
      <c r="I850" s="22" t="e">
        <f t="shared" ca="1" si="172"/>
        <v>#N/A</v>
      </c>
      <c r="J850">
        <f t="shared" ca="1" si="173"/>
        <v>0</v>
      </c>
      <c r="K850" t="e">
        <f t="shared" ca="1" si="178"/>
        <v>#N/A</v>
      </c>
      <c r="O850" s="22" t="e">
        <f t="shared" ca="1" si="174"/>
        <v>#N/A</v>
      </c>
      <c r="P850" s="17" t="e">
        <f ca="1"/>
        <v>#N/A</v>
      </c>
      <c r="Q850" s="17" t="e">
        <f ca="1"/>
        <v>#N/A</v>
      </c>
      <c r="R850" s="23" t="e">
        <f ca="1"/>
        <v>#N/A</v>
      </c>
      <c r="S850" s="23">
        <f t="shared" ca="1" si="171"/>
        <v>0</v>
      </c>
      <c r="T850" t="b">
        <f t="shared" ca="1" si="179"/>
        <v>1</v>
      </c>
      <c r="U850" s="22" t="e">
        <f t="shared" ca="1" si="175"/>
        <v>#N/A</v>
      </c>
      <c r="V850">
        <f t="shared" ca="1" si="176"/>
        <v>0</v>
      </c>
    </row>
    <row r="851" spans="2:22">
      <c r="B851">
        <f t="shared" si="180"/>
        <v>841</v>
      </c>
      <c r="C851" s="22" t="e">
        <f ca="1"/>
        <v>#N/A</v>
      </c>
      <c r="D851" s="17" t="e">
        <f ca="1"/>
        <v>#N/A</v>
      </c>
      <c r="E851" s="17" t="e">
        <f ca="1"/>
        <v>#N/A</v>
      </c>
      <c r="F851" s="23" t="e">
        <f ca="1"/>
        <v>#N/A</v>
      </c>
      <c r="G851" s="23">
        <f t="shared" ca="1" si="170"/>
        <v>0</v>
      </c>
      <c r="H851" t="b">
        <f t="shared" ca="1" si="177"/>
        <v>1</v>
      </c>
      <c r="I851" s="22" t="e">
        <f t="shared" ca="1" si="172"/>
        <v>#N/A</v>
      </c>
      <c r="J851">
        <f t="shared" ca="1" si="173"/>
        <v>0</v>
      </c>
      <c r="K851" t="e">
        <f t="shared" ca="1" si="178"/>
        <v>#N/A</v>
      </c>
      <c r="O851" s="22" t="e">
        <f t="shared" ca="1" si="174"/>
        <v>#N/A</v>
      </c>
      <c r="P851" s="17" t="e">
        <f ca="1"/>
        <v>#N/A</v>
      </c>
      <c r="Q851" s="17" t="e">
        <f ca="1"/>
        <v>#N/A</v>
      </c>
      <c r="R851" s="23" t="e">
        <f ca="1"/>
        <v>#N/A</v>
      </c>
      <c r="S851" s="23">
        <f t="shared" ca="1" si="171"/>
        <v>0</v>
      </c>
      <c r="T851" t="b">
        <f t="shared" ca="1" si="179"/>
        <v>1</v>
      </c>
      <c r="U851" s="22" t="e">
        <f t="shared" ca="1" si="175"/>
        <v>#N/A</v>
      </c>
      <c r="V851">
        <f t="shared" ca="1" si="176"/>
        <v>0</v>
      </c>
    </row>
    <row r="852" spans="2:22">
      <c r="B852">
        <f t="shared" si="180"/>
        <v>842</v>
      </c>
      <c r="C852" s="22" t="e">
        <f ca="1"/>
        <v>#N/A</v>
      </c>
      <c r="D852" s="17" t="e">
        <f ca="1"/>
        <v>#N/A</v>
      </c>
      <c r="E852" s="17" t="e">
        <f ca="1"/>
        <v>#N/A</v>
      </c>
      <c r="F852" s="23" t="e">
        <f ca="1"/>
        <v>#N/A</v>
      </c>
      <c r="G852" s="23">
        <f t="shared" ca="1" si="170"/>
        <v>0</v>
      </c>
      <c r="H852" t="b">
        <f t="shared" ca="1" si="177"/>
        <v>1</v>
      </c>
      <c r="I852" s="22" t="e">
        <f t="shared" ca="1" si="172"/>
        <v>#N/A</v>
      </c>
      <c r="J852">
        <f t="shared" ca="1" si="173"/>
        <v>0</v>
      </c>
      <c r="K852" t="e">
        <f t="shared" ca="1" si="178"/>
        <v>#N/A</v>
      </c>
      <c r="O852" s="22" t="e">
        <f t="shared" ca="1" si="174"/>
        <v>#N/A</v>
      </c>
      <c r="P852" s="17" t="e">
        <f ca="1"/>
        <v>#N/A</v>
      </c>
      <c r="Q852" s="17" t="e">
        <f ca="1"/>
        <v>#N/A</v>
      </c>
      <c r="R852" s="23" t="e">
        <f ca="1"/>
        <v>#N/A</v>
      </c>
      <c r="S852" s="23">
        <f t="shared" ca="1" si="171"/>
        <v>0</v>
      </c>
      <c r="T852" t="b">
        <f t="shared" ca="1" si="179"/>
        <v>1</v>
      </c>
      <c r="U852" s="22" t="e">
        <f t="shared" ca="1" si="175"/>
        <v>#N/A</v>
      </c>
      <c r="V852">
        <f t="shared" ca="1" si="176"/>
        <v>0</v>
      </c>
    </row>
    <row r="853" spans="2:22">
      <c r="B853">
        <f t="shared" si="180"/>
        <v>843</v>
      </c>
      <c r="C853" s="22" t="e">
        <f ca="1"/>
        <v>#N/A</v>
      </c>
      <c r="D853" s="17" t="e">
        <f ca="1"/>
        <v>#N/A</v>
      </c>
      <c r="E853" s="17" t="e">
        <f ca="1"/>
        <v>#N/A</v>
      </c>
      <c r="F853" s="23" t="e">
        <f ca="1"/>
        <v>#N/A</v>
      </c>
      <c r="G853" s="23">
        <f t="shared" ca="1" si="170"/>
        <v>0</v>
      </c>
      <c r="H853" t="b">
        <f t="shared" ca="1" si="177"/>
        <v>1</v>
      </c>
      <c r="I853" s="22" t="e">
        <f t="shared" ca="1" si="172"/>
        <v>#N/A</v>
      </c>
      <c r="J853">
        <f t="shared" ca="1" si="173"/>
        <v>0</v>
      </c>
      <c r="K853" t="e">
        <f t="shared" ca="1" si="178"/>
        <v>#N/A</v>
      </c>
      <c r="O853" s="22" t="e">
        <f t="shared" ca="1" si="174"/>
        <v>#N/A</v>
      </c>
      <c r="P853" s="17" t="e">
        <f ca="1"/>
        <v>#N/A</v>
      </c>
      <c r="Q853" s="17" t="e">
        <f ca="1"/>
        <v>#N/A</v>
      </c>
      <c r="R853" s="23" t="e">
        <f ca="1"/>
        <v>#N/A</v>
      </c>
      <c r="S853" s="23">
        <f t="shared" ca="1" si="171"/>
        <v>0</v>
      </c>
      <c r="T853" t="b">
        <f t="shared" ca="1" si="179"/>
        <v>1</v>
      </c>
      <c r="U853" s="22" t="e">
        <f t="shared" ca="1" si="175"/>
        <v>#N/A</v>
      </c>
      <c r="V853">
        <f t="shared" ca="1" si="176"/>
        <v>0</v>
      </c>
    </row>
    <row r="854" spans="2:22">
      <c r="B854">
        <f t="shared" si="180"/>
        <v>844</v>
      </c>
      <c r="C854" s="22" t="e">
        <f ca="1"/>
        <v>#N/A</v>
      </c>
      <c r="D854" s="17" t="e">
        <f ca="1"/>
        <v>#N/A</v>
      </c>
      <c r="E854" s="17" t="e">
        <f ca="1"/>
        <v>#N/A</v>
      </c>
      <c r="F854" s="23" t="e">
        <f ca="1"/>
        <v>#N/A</v>
      </c>
      <c r="G854" s="23">
        <f t="shared" ca="1" si="170"/>
        <v>0</v>
      </c>
      <c r="H854" t="b">
        <f t="shared" ca="1" si="177"/>
        <v>1</v>
      </c>
      <c r="I854" s="22" t="e">
        <f t="shared" ca="1" si="172"/>
        <v>#N/A</v>
      </c>
      <c r="J854">
        <f t="shared" ca="1" si="173"/>
        <v>0</v>
      </c>
      <c r="K854" t="e">
        <f t="shared" ca="1" si="178"/>
        <v>#N/A</v>
      </c>
      <c r="O854" s="22" t="e">
        <f t="shared" ca="1" si="174"/>
        <v>#N/A</v>
      </c>
      <c r="P854" s="17" t="e">
        <f ca="1"/>
        <v>#N/A</v>
      </c>
      <c r="Q854" s="17" t="e">
        <f ca="1"/>
        <v>#N/A</v>
      </c>
      <c r="R854" s="23" t="e">
        <f ca="1"/>
        <v>#N/A</v>
      </c>
      <c r="S854" s="23">
        <f t="shared" ca="1" si="171"/>
        <v>0</v>
      </c>
      <c r="T854" t="b">
        <f t="shared" ca="1" si="179"/>
        <v>1</v>
      </c>
      <c r="U854" s="22" t="e">
        <f t="shared" ca="1" si="175"/>
        <v>#N/A</v>
      </c>
      <c r="V854">
        <f t="shared" ca="1" si="176"/>
        <v>0</v>
      </c>
    </row>
    <row r="855" spans="2:22">
      <c r="B855">
        <f t="shared" si="180"/>
        <v>845</v>
      </c>
      <c r="C855" s="22" t="e">
        <f ca="1"/>
        <v>#N/A</v>
      </c>
      <c r="D855" s="17" t="e">
        <f ca="1"/>
        <v>#N/A</v>
      </c>
      <c r="E855" s="17" t="e">
        <f ca="1"/>
        <v>#N/A</v>
      </c>
      <c r="F855" s="23" t="e">
        <f ca="1"/>
        <v>#N/A</v>
      </c>
      <c r="G855" s="23">
        <f t="shared" ref="G855:G871" ca="1" si="181">IFERROR(Volatility(D844:D855,12),FALSE)</f>
        <v>0</v>
      </c>
      <c r="H855" t="b">
        <f t="shared" ca="1" si="177"/>
        <v>1</v>
      </c>
      <c r="I855" s="22" t="e">
        <f t="shared" ca="1" si="172"/>
        <v>#N/A</v>
      </c>
      <c r="J855">
        <f t="shared" ca="1" si="173"/>
        <v>0</v>
      </c>
      <c r="K855" t="e">
        <f t="shared" ca="1" si="178"/>
        <v>#N/A</v>
      </c>
      <c r="O855" s="22" t="e">
        <f t="shared" ca="1" si="174"/>
        <v>#N/A</v>
      </c>
      <c r="P855" s="17" t="e">
        <f ca="1"/>
        <v>#N/A</v>
      </c>
      <c r="Q855" s="17" t="e">
        <f ca="1"/>
        <v>#N/A</v>
      </c>
      <c r="R855" s="23" t="e">
        <f ca="1"/>
        <v>#N/A</v>
      </c>
      <c r="S855" s="23">
        <f t="shared" ref="S855:S871" ca="1" si="182">IFERROR(Volatility(P844:P855,12),FALSE)</f>
        <v>0</v>
      </c>
      <c r="T855" t="b">
        <f t="shared" ca="1" si="179"/>
        <v>1</v>
      </c>
      <c r="U855" s="22" t="e">
        <f t="shared" ca="1" si="175"/>
        <v>#N/A</v>
      </c>
      <c r="V855">
        <f t="shared" ca="1" si="176"/>
        <v>0</v>
      </c>
    </row>
    <row r="856" spans="2:22">
      <c r="B856">
        <f t="shared" si="180"/>
        <v>846</v>
      </c>
      <c r="C856" s="22" t="e">
        <f ca="1"/>
        <v>#N/A</v>
      </c>
      <c r="D856" s="17" t="e">
        <f ca="1"/>
        <v>#N/A</v>
      </c>
      <c r="E856" s="17" t="e">
        <f ca="1"/>
        <v>#N/A</v>
      </c>
      <c r="F856" s="23" t="e">
        <f ca="1"/>
        <v>#N/A</v>
      </c>
      <c r="G856" s="23">
        <f t="shared" ca="1" si="181"/>
        <v>0</v>
      </c>
      <c r="H856" t="b">
        <f t="shared" ca="1" si="177"/>
        <v>1</v>
      </c>
      <c r="I856" s="22" t="e">
        <f t="shared" ca="1" si="172"/>
        <v>#N/A</v>
      </c>
      <c r="J856">
        <f t="shared" ca="1" si="173"/>
        <v>0</v>
      </c>
      <c r="K856" t="e">
        <f t="shared" ca="1" si="178"/>
        <v>#N/A</v>
      </c>
      <c r="O856" s="22" t="e">
        <f t="shared" ca="1" si="174"/>
        <v>#N/A</v>
      </c>
      <c r="P856" s="17" t="e">
        <f ca="1"/>
        <v>#N/A</v>
      </c>
      <c r="Q856" s="17" t="e">
        <f ca="1"/>
        <v>#N/A</v>
      </c>
      <c r="R856" s="23" t="e">
        <f ca="1"/>
        <v>#N/A</v>
      </c>
      <c r="S856" s="23">
        <f t="shared" ca="1" si="182"/>
        <v>0</v>
      </c>
      <c r="T856" t="b">
        <f t="shared" ca="1" si="179"/>
        <v>1</v>
      </c>
      <c r="U856" s="22" t="e">
        <f t="shared" ca="1" si="175"/>
        <v>#N/A</v>
      </c>
      <c r="V856">
        <f t="shared" ca="1" si="176"/>
        <v>0</v>
      </c>
    </row>
    <row r="857" spans="2:22">
      <c r="B857">
        <f t="shared" si="180"/>
        <v>847</v>
      </c>
      <c r="C857" s="22" t="e">
        <f ca="1"/>
        <v>#N/A</v>
      </c>
      <c r="D857" s="17" t="e">
        <f ca="1"/>
        <v>#N/A</v>
      </c>
      <c r="E857" s="17" t="e">
        <f ca="1"/>
        <v>#N/A</v>
      </c>
      <c r="F857" s="23" t="e">
        <f ca="1"/>
        <v>#N/A</v>
      </c>
      <c r="G857" s="23">
        <f t="shared" ca="1" si="181"/>
        <v>0</v>
      </c>
      <c r="H857" t="b">
        <f t="shared" ca="1" si="177"/>
        <v>1</v>
      </c>
      <c r="I857" s="22" t="e">
        <f t="shared" ca="1" si="172"/>
        <v>#N/A</v>
      </c>
      <c r="J857">
        <f t="shared" ca="1" si="173"/>
        <v>0</v>
      </c>
      <c r="K857" t="e">
        <f t="shared" ca="1" si="178"/>
        <v>#N/A</v>
      </c>
      <c r="O857" s="22" t="e">
        <f t="shared" ca="1" si="174"/>
        <v>#N/A</v>
      </c>
      <c r="P857" s="17" t="e">
        <f ca="1"/>
        <v>#N/A</v>
      </c>
      <c r="Q857" s="17" t="e">
        <f ca="1"/>
        <v>#N/A</v>
      </c>
      <c r="R857" s="23" t="e">
        <f ca="1"/>
        <v>#N/A</v>
      </c>
      <c r="S857" s="23">
        <f t="shared" ca="1" si="182"/>
        <v>0</v>
      </c>
      <c r="T857" t="b">
        <f t="shared" ca="1" si="179"/>
        <v>1</v>
      </c>
      <c r="U857" s="22" t="e">
        <f t="shared" ca="1" si="175"/>
        <v>#N/A</v>
      </c>
      <c r="V857">
        <f t="shared" ca="1" si="176"/>
        <v>0</v>
      </c>
    </row>
    <row r="858" spans="2:22">
      <c r="B858">
        <f t="shared" si="180"/>
        <v>848</v>
      </c>
      <c r="C858" s="22" t="e">
        <f ca="1"/>
        <v>#N/A</v>
      </c>
      <c r="D858" s="17" t="e">
        <f ca="1"/>
        <v>#N/A</v>
      </c>
      <c r="E858" s="17" t="e">
        <f ca="1"/>
        <v>#N/A</v>
      </c>
      <c r="F858" s="23" t="e">
        <f ca="1"/>
        <v>#N/A</v>
      </c>
      <c r="G858" s="23">
        <f t="shared" ca="1" si="181"/>
        <v>0</v>
      </c>
      <c r="H858" t="b">
        <f t="shared" ca="1" si="177"/>
        <v>1</v>
      </c>
      <c r="I858" s="22" t="e">
        <f t="shared" ca="1" si="172"/>
        <v>#N/A</v>
      </c>
      <c r="J858">
        <f t="shared" ca="1" si="173"/>
        <v>0</v>
      </c>
      <c r="K858" t="e">
        <f t="shared" ca="1" si="178"/>
        <v>#N/A</v>
      </c>
      <c r="O858" s="22" t="e">
        <f t="shared" ca="1" si="174"/>
        <v>#N/A</v>
      </c>
      <c r="P858" s="17" t="e">
        <f ca="1"/>
        <v>#N/A</v>
      </c>
      <c r="Q858" s="17" t="e">
        <f ca="1"/>
        <v>#N/A</v>
      </c>
      <c r="R858" s="23" t="e">
        <f ca="1"/>
        <v>#N/A</v>
      </c>
      <c r="S858" s="23">
        <f t="shared" ca="1" si="182"/>
        <v>0</v>
      </c>
      <c r="T858" t="b">
        <f t="shared" ca="1" si="179"/>
        <v>1</v>
      </c>
      <c r="U858" s="22" t="e">
        <f t="shared" ca="1" si="175"/>
        <v>#N/A</v>
      </c>
      <c r="V858">
        <f t="shared" ca="1" si="176"/>
        <v>0</v>
      </c>
    </row>
    <row r="859" spans="2:22">
      <c r="B859">
        <f t="shared" si="180"/>
        <v>849</v>
      </c>
      <c r="C859" s="22" t="e">
        <f ca="1"/>
        <v>#N/A</v>
      </c>
      <c r="D859" s="17" t="e">
        <f ca="1"/>
        <v>#N/A</v>
      </c>
      <c r="E859" s="17" t="e">
        <f ca="1"/>
        <v>#N/A</v>
      </c>
      <c r="F859" s="23" t="e">
        <f ca="1"/>
        <v>#N/A</v>
      </c>
      <c r="G859" s="23">
        <f t="shared" ca="1" si="181"/>
        <v>0</v>
      </c>
      <c r="H859" t="b">
        <f t="shared" ca="1" si="177"/>
        <v>1</v>
      </c>
      <c r="I859" s="22" t="e">
        <f t="shared" ca="1" si="172"/>
        <v>#N/A</v>
      </c>
      <c r="J859">
        <f t="shared" ca="1" si="173"/>
        <v>0</v>
      </c>
      <c r="K859" t="e">
        <f t="shared" ca="1" si="178"/>
        <v>#N/A</v>
      </c>
      <c r="O859" s="22" t="e">
        <f t="shared" ca="1" si="174"/>
        <v>#N/A</v>
      </c>
      <c r="P859" s="17" t="e">
        <f ca="1"/>
        <v>#N/A</v>
      </c>
      <c r="Q859" s="17" t="e">
        <f ca="1"/>
        <v>#N/A</v>
      </c>
      <c r="R859" s="23" t="e">
        <f ca="1"/>
        <v>#N/A</v>
      </c>
      <c r="S859" s="23">
        <f t="shared" ca="1" si="182"/>
        <v>0</v>
      </c>
      <c r="T859" t="b">
        <f t="shared" ca="1" si="179"/>
        <v>1</v>
      </c>
      <c r="U859" s="22" t="e">
        <f t="shared" ca="1" si="175"/>
        <v>#N/A</v>
      </c>
      <c r="V859">
        <f t="shared" ca="1" si="176"/>
        <v>0</v>
      </c>
    </row>
    <row r="860" spans="2:22">
      <c r="B860">
        <f t="shared" si="180"/>
        <v>850</v>
      </c>
      <c r="C860" s="22" t="e">
        <f ca="1"/>
        <v>#N/A</v>
      </c>
      <c r="D860" s="17" t="e">
        <f ca="1"/>
        <v>#N/A</v>
      </c>
      <c r="E860" s="17" t="e">
        <f ca="1"/>
        <v>#N/A</v>
      </c>
      <c r="F860" s="23" t="e">
        <f ca="1"/>
        <v>#N/A</v>
      </c>
      <c r="G860" s="23">
        <f t="shared" ca="1" si="181"/>
        <v>0</v>
      </c>
      <c r="H860" t="b">
        <f t="shared" ca="1" si="177"/>
        <v>1</v>
      </c>
      <c r="I860" s="22" t="e">
        <f t="shared" ca="1" si="172"/>
        <v>#N/A</v>
      </c>
      <c r="J860">
        <f t="shared" ca="1" si="173"/>
        <v>0</v>
      </c>
      <c r="K860" t="e">
        <f t="shared" ca="1" si="178"/>
        <v>#N/A</v>
      </c>
      <c r="O860" s="22" t="e">
        <f t="shared" ca="1" si="174"/>
        <v>#N/A</v>
      </c>
      <c r="P860" s="17" t="e">
        <f ca="1"/>
        <v>#N/A</v>
      </c>
      <c r="Q860" s="17" t="e">
        <f ca="1"/>
        <v>#N/A</v>
      </c>
      <c r="R860" s="23" t="e">
        <f ca="1"/>
        <v>#N/A</v>
      </c>
      <c r="S860" s="23">
        <f t="shared" ca="1" si="182"/>
        <v>0</v>
      </c>
      <c r="T860" t="b">
        <f t="shared" ca="1" si="179"/>
        <v>1</v>
      </c>
      <c r="U860" s="22" t="e">
        <f t="shared" ca="1" si="175"/>
        <v>#N/A</v>
      </c>
      <c r="V860">
        <f t="shared" ca="1" si="176"/>
        <v>0</v>
      </c>
    </row>
    <row r="861" spans="2:22">
      <c r="B861">
        <f t="shared" si="180"/>
        <v>851</v>
      </c>
      <c r="C861" s="22" t="e">
        <f ca="1"/>
        <v>#N/A</v>
      </c>
      <c r="D861" s="17" t="e">
        <f ca="1"/>
        <v>#N/A</v>
      </c>
      <c r="E861" s="17" t="e">
        <f ca="1"/>
        <v>#N/A</v>
      </c>
      <c r="F861" s="23" t="e">
        <f ca="1"/>
        <v>#N/A</v>
      </c>
      <c r="G861" s="23">
        <f t="shared" ca="1" si="181"/>
        <v>0</v>
      </c>
      <c r="H861" t="b">
        <f t="shared" ca="1" si="177"/>
        <v>1</v>
      </c>
      <c r="I861" s="22" t="e">
        <f t="shared" ca="1" si="172"/>
        <v>#N/A</v>
      </c>
      <c r="J861">
        <f t="shared" ca="1" si="173"/>
        <v>0</v>
      </c>
      <c r="K861" t="e">
        <f t="shared" ca="1" si="178"/>
        <v>#N/A</v>
      </c>
      <c r="O861" s="22" t="e">
        <f t="shared" ca="1" si="174"/>
        <v>#N/A</v>
      </c>
      <c r="P861" s="17" t="e">
        <f ca="1"/>
        <v>#N/A</v>
      </c>
      <c r="Q861" s="17" t="e">
        <f ca="1"/>
        <v>#N/A</v>
      </c>
      <c r="R861" s="23" t="e">
        <f ca="1"/>
        <v>#N/A</v>
      </c>
      <c r="S861" s="23">
        <f t="shared" ca="1" si="182"/>
        <v>0</v>
      </c>
      <c r="T861" t="b">
        <f t="shared" ca="1" si="179"/>
        <v>1</v>
      </c>
      <c r="U861" s="22" t="e">
        <f t="shared" ca="1" si="175"/>
        <v>#N/A</v>
      </c>
      <c r="V861">
        <f t="shared" ca="1" si="176"/>
        <v>0</v>
      </c>
    </row>
    <row r="862" spans="2:22">
      <c r="B862">
        <f t="shared" si="180"/>
        <v>852</v>
      </c>
      <c r="C862" s="22" t="e">
        <f ca="1"/>
        <v>#N/A</v>
      </c>
      <c r="D862" s="17" t="e">
        <f ca="1"/>
        <v>#N/A</v>
      </c>
      <c r="E862" s="17" t="e">
        <f ca="1"/>
        <v>#N/A</v>
      </c>
      <c r="F862" s="23" t="e">
        <f ca="1"/>
        <v>#N/A</v>
      </c>
      <c r="G862" s="23">
        <f t="shared" ca="1" si="181"/>
        <v>0</v>
      </c>
      <c r="H862" t="b">
        <f t="shared" ca="1" si="177"/>
        <v>1</v>
      </c>
      <c r="I862" s="22" t="e">
        <f t="shared" ca="1" si="172"/>
        <v>#N/A</v>
      </c>
      <c r="J862">
        <f t="shared" ca="1" si="173"/>
        <v>0</v>
      </c>
      <c r="K862" t="e">
        <f t="shared" ca="1" si="178"/>
        <v>#N/A</v>
      </c>
      <c r="O862" s="22" t="e">
        <f t="shared" ca="1" si="174"/>
        <v>#N/A</v>
      </c>
      <c r="P862" s="17" t="e">
        <f ca="1"/>
        <v>#N/A</v>
      </c>
      <c r="Q862" s="17" t="e">
        <f ca="1"/>
        <v>#N/A</v>
      </c>
      <c r="R862" s="23" t="e">
        <f ca="1"/>
        <v>#N/A</v>
      </c>
      <c r="S862" s="23">
        <f t="shared" ca="1" si="182"/>
        <v>0</v>
      </c>
      <c r="T862" t="b">
        <f t="shared" ca="1" si="179"/>
        <v>1</v>
      </c>
      <c r="U862" s="22" t="e">
        <f t="shared" ca="1" si="175"/>
        <v>#N/A</v>
      </c>
      <c r="V862">
        <f t="shared" ca="1" si="176"/>
        <v>0</v>
      </c>
    </row>
    <row r="863" spans="2:22">
      <c r="B863">
        <f t="shared" si="180"/>
        <v>853</v>
      </c>
      <c r="C863" s="22" t="e">
        <f ca="1"/>
        <v>#N/A</v>
      </c>
      <c r="D863" s="17" t="e">
        <f ca="1"/>
        <v>#N/A</v>
      </c>
      <c r="E863" s="17" t="e">
        <f ca="1"/>
        <v>#N/A</v>
      </c>
      <c r="F863" s="23" t="e">
        <f ca="1"/>
        <v>#N/A</v>
      </c>
      <c r="G863" s="23">
        <f t="shared" ca="1" si="181"/>
        <v>0</v>
      </c>
      <c r="H863" t="b">
        <f t="shared" ca="1" si="177"/>
        <v>1</v>
      </c>
      <c r="I863" s="22" t="e">
        <f t="shared" ca="1" si="172"/>
        <v>#N/A</v>
      </c>
      <c r="J863">
        <f t="shared" ca="1" si="173"/>
        <v>0</v>
      </c>
      <c r="K863" t="e">
        <f t="shared" ca="1" si="178"/>
        <v>#N/A</v>
      </c>
      <c r="O863" s="22" t="e">
        <f t="shared" ca="1" si="174"/>
        <v>#N/A</v>
      </c>
      <c r="P863" s="17" t="e">
        <f ca="1"/>
        <v>#N/A</v>
      </c>
      <c r="Q863" s="17" t="e">
        <f ca="1"/>
        <v>#N/A</v>
      </c>
      <c r="R863" s="23" t="e">
        <f ca="1"/>
        <v>#N/A</v>
      </c>
      <c r="S863" s="23">
        <f t="shared" ca="1" si="182"/>
        <v>0</v>
      </c>
      <c r="T863" t="b">
        <f t="shared" ca="1" si="179"/>
        <v>1</v>
      </c>
      <c r="U863" s="22" t="e">
        <f t="shared" ca="1" si="175"/>
        <v>#N/A</v>
      </c>
      <c r="V863">
        <f t="shared" ca="1" si="176"/>
        <v>0</v>
      </c>
    </row>
    <row r="864" spans="2:22">
      <c r="B864">
        <f t="shared" si="180"/>
        <v>854</v>
      </c>
      <c r="C864" s="22" t="e">
        <f ca="1"/>
        <v>#N/A</v>
      </c>
      <c r="D864" s="17" t="e">
        <f ca="1"/>
        <v>#N/A</v>
      </c>
      <c r="E864" s="17" t="e">
        <f ca="1"/>
        <v>#N/A</v>
      </c>
      <c r="F864" s="23" t="e">
        <f ca="1"/>
        <v>#N/A</v>
      </c>
      <c r="G864" s="23">
        <f t="shared" ca="1" si="181"/>
        <v>0</v>
      </c>
      <c r="H864" t="b">
        <f t="shared" ca="1" si="177"/>
        <v>1</v>
      </c>
      <c r="I864" s="22" t="e">
        <f t="shared" ca="1" si="172"/>
        <v>#N/A</v>
      </c>
      <c r="J864">
        <f t="shared" ca="1" si="173"/>
        <v>0</v>
      </c>
      <c r="K864" t="e">
        <f t="shared" ca="1" si="178"/>
        <v>#N/A</v>
      </c>
      <c r="O864" s="22" t="e">
        <f t="shared" ca="1" si="174"/>
        <v>#N/A</v>
      </c>
      <c r="P864" s="17" t="e">
        <f ca="1"/>
        <v>#N/A</v>
      </c>
      <c r="Q864" s="17" t="e">
        <f ca="1"/>
        <v>#N/A</v>
      </c>
      <c r="R864" s="23" t="e">
        <f ca="1"/>
        <v>#N/A</v>
      </c>
      <c r="S864" s="23">
        <f t="shared" ca="1" si="182"/>
        <v>0</v>
      </c>
      <c r="T864" t="b">
        <f t="shared" ca="1" si="179"/>
        <v>1</v>
      </c>
      <c r="U864" s="22" t="e">
        <f t="shared" ca="1" si="175"/>
        <v>#N/A</v>
      </c>
      <c r="V864">
        <f t="shared" ca="1" si="176"/>
        <v>0</v>
      </c>
    </row>
    <row r="865" spans="2:58">
      <c r="B865">
        <f t="shared" si="180"/>
        <v>855</v>
      </c>
      <c r="C865" s="22" t="e">
        <f ca="1"/>
        <v>#N/A</v>
      </c>
      <c r="D865" s="17" t="e">
        <f ca="1"/>
        <v>#N/A</v>
      </c>
      <c r="E865" s="17" t="e">
        <f ca="1"/>
        <v>#N/A</v>
      </c>
      <c r="F865" s="23" t="e">
        <f ca="1"/>
        <v>#N/A</v>
      </c>
      <c r="G865" s="23">
        <f t="shared" ca="1" si="181"/>
        <v>0</v>
      </c>
      <c r="H865" t="b">
        <f t="shared" ca="1" si="177"/>
        <v>1</v>
      </c>
      <c r="I865" s="22" t="e">
        <f t="shared" ca="1" si="172"/>
        <v>#N/A</v>
      </c>
      <c r="J865">
        <f t="shared" ca="1" si="173"/>
        <v>0</v>
      </c>
      <c r="K865" t="e">
        <f t="shared" ca="1" si="178"/>
        <v>#N/A</v>
      </c>
      <c r="O865" s="22" t="e">
        <f t="shared" ca="1" si="174"/>
        <v>#N/A</v>
      </c>
      <c r="P865" s="17" t="e">
        <f ca="1"/>
        <v>#N/A</v>
      </c>
      <c r="Q865" s="17" t="e">
        <f ca="1"/>
        <v>#N/A</v>
      </c>
      <c r="R865" s="23" t="e">
        <f ca="1"/>
        <v>#N/A</v>
      </c>
      <c r="S865" s="23">
        <f t="shared" ca="1" si="182"/>
        <v>0</v>
      </c>
      <c r="T865" t="b">
        <f t="shared" ca="1" si="179"/>
        <v>1</v>
      </c>
      <c r="U865" s="22" t="e">
        <f t="shared" ca="1" si="175"/>
        <v>#N/A</v>
      </c>
      <c r="V865">
        <f t="shared" ca="1" si="176"/>
        <v>0</v>
      </c>
    </row>
    <row r="866" spans="2:58">
      <c r="B866">
        <f t="shared" si="180"/>
        <v>856</v>
      </c>
      <c r="C866" s="22" t="e">
        <f ca="1"/>
        <v>#N/A</v>
      </c>
      <c r="D866" s="17" t="e">
        <f ca="1"/>
        <v>#N/A</v>
      </c>
      <c r="E866" s="17" t="e">
        <f ca="1"/>
        <v>#N/A</v>
      </c>
      <c r="F866" s="23" t="e">
        <f ca="1"/>
        <v>#N/A</v>
      </c>
      <c r="G866" s="23">
        <f t="shared" ca="1" si="181"/>
        <v>0</v>
      </c>
      <c r="H866" t="b">
        <f t="shared" ca="1" si="177"/>
        <v>1</v>
      </c>
      <c r="I866" s="22" t="e">
        <f t="shared" ca="1" si="172"/>
        <v>#N/A</v>
      </c>
      <c r="J866">
        <f t="shared" ca="1" si="173"/>
        <v>0</v>
      </c>
      <c r="K866" t="e">
        <f t="shared" ca="1" si="178"/>
        <v>#N/A</v>
      </c>
      <c r="O866" s="22" t="e">
        <f t="shared" ca="1" si="174"/>
        <v>#N/A</v>
      </c>
      <c r="P866" s="17" t="e">
        <f ca="1"/>
        <v>#N/A</v>
      </c>
      <c r="Q866" s="17" t="e">
        <f ca="1"/>
        <v>#N/A</v>
      </c>
      <c r="R866" s="23" t="e">
        <f ca="1"/>
        <v>#N/A</v>
      </c>
      <c r="S866" s="23">
        <f t="shared" ca="1" si="182"/>
        <v>0</v>
      </c>
      <c r="T866" t="b">
        <f t="shared" ca="1" si="179"/>
        <v>1</v>
      </c>
      <c r="U866" s="22" t="e">
        <f t="shared" ca="1" si="175"/>
        <v>#N/A</v>
      </c>
      <c r="V866">
        <f t="shared" ca="1" si="176"/>
        <v>0</v>
      </c>
    </row>
    <row r="867" spans="2:58">
      <c r="B867">
        <f t="shared" si="180"/>
        <v>857</v>
      </c>
      <c r="C867" s="22" t="e">
        <f ca="1"/>
        <v>#N/A</v>
      </c>
      <c r="D867" s="17" t="e">
        <f ca="1"/>
        <v>#N/A</v>
      </c>
      <c r="E867" s="17" t="e">
        <f ca="1"/>
        <v>#N/A</v>
      </c>
      <c r="F867" s="23" t="e">
        <f ca="1"/>
        <v>#N/A</v>
      </c>
      <c r="G867" s="23">
        <f t="shared" ca="1" si="181"/>
        <v>0</v>
      </c>
      <c r="H867" t="b">
        <f t="shared" ca="1" si="177"/>
        <v>1</v>
      </c>
      <c r="I867" s="22" t="e">
        <f t="shared" ca="1" si="172"/>
        <v>#N/A</v>
      </c>
      <c r="J867">
        <f t="shared" ca="1" si="173"/>
        <v>0</v>
      </c>
      <c r="K867" t="e">
        <f t="shared" ca="1" si="178"/>
        <v>#N/A</v>
      </c>
      <c r="O867" s="22" t="e">
        <f t="shared" ca="1" si="174"/>
        <v>#N/A</v>
      </c>
      <c r="P867" s="17" t="e">
        <f ca="1"/>
        <v>#N/A</v>
      </c>
      <c r="Q867" s="17" t="e">
        <f ca="1"/>
        <v>#N/A</v>
      </c>
      <c r="R867" s="23" t="e">
        <f ca="1"/>
        <v>#N/A</v>
      </c>
      <c r="S867" s="23">
        <f t="shared" ca="1" si="182"/>
        <v>0</v>
      </c>
      <c r="T867" t="b">
        <f t="shared" ca="1" si="179"/>
        <v>1</v>
      </c>
      <c r="U867" s="22" t="e">
        <f t="shared" ca="1" si="175"/>
        <v>#N/A</v>
      </c>
      <c r="V867">
        <f t="shared" ca="1" si="176"/>
        <v>0</v>
      </c>
    </row>
    <row r="868" spans="2:58">
      <c r="B868">
        <f t="shared" si="180"/>
        <v>858</v>
      </c>
      <c r="C868" s="22" t="e">
        <f ca="1"/>
        <v>#N/A</v>
      </c>
      <c r="D868" s="17" t="e">
        <f ca="1"/>
        <v>#N/A</v>
      </c>
      <c r="E868" s="17" t="e">
        <f ca="1"/>
        <v>#N/A</v>
      </c>
      <c r="F868" s="23" t="e">
        <f ca="1"/>
        <v>#N/A</v>
      </c>
      <c r="G868" s="23">
        <f t="shared" ca="1" si="181"/>
        <v>0</v>
      </c>
      <c r="H868" t="b">
        <f t="shared" ca="1" si="177"/>
        <v>1</v>
      </c>
      <c r="I868" s="22" t="e">
        <f t="shared" ca="1" si="172"/>
        <v>#N/A</v>
      </c>
      <c r="J868">
        <f t="shared" ca="1" si="173"/>
        <v>0</v>
      </c>
      <c r="K868" t="e">
        <f t="shared" ca="1" si="178"/>
        <v>#N/A</v>
      </c>
      <c r="O868" s="22" t="e">
        <f t="shared" ca="1" si="174"/>
        <v>#N/A</v>
      </c>
      <c r="P868" s="17" t="e">
        <f ca="1"/>
        <v>#N/A</v>
      </c>
      <c r="Q868" s="17" t="e">
        <f ca="1"/>
        <v>#N/A</v>
      </c>
      <c r="R868" s="23" t="e">
        <f ca="1"/>
        <v>#N/A</v>
      </c>
      <c r="S868" s="23">
        <f t="shared" ca="1" si="182"/>
        <v>0</v>
      </c>
      <c r="T868" t="b">
        <f t="shared" ca="1" si="179"/>
        <v>1</v>
      </c>
      <c r="U868" s="22" t="e">
        <f t="shared" ca="1" si="175"/>
        <v>#N/A</v>
      </c>
      <c r="V868">
        <f t="shared" ca="1" si="176"/>
        <v>0</v>
      </c>
    </row>
    <row r="869" spans="2:58">
      <c r="B869">
        <f t="shared" si="180"/>
        <v>859</v>
      </c>
      <c r="C869" s="22" t="e">
        <f ca="1"/>
        <v>#N/A</v>
      </c>
      <c r="D869" s="17" t="e">
        <f ca="1"/>
        <v>#N/A</v>
      </c>
      <c r="E869" s="17" t="e">
        <f ca="1"/>
        <v>#N/A</v>
      </c>
      <c r="F869" s="23" t="e">
        <f ca="1"/>
        <v>#N/A</v>
      </c>
      <c r="G869" s="23">
        <f t="shared" ca="1" si="181"/>
        <v>0</v>
      </c>
      <c r="H869" t="b">
        <f t="shared" ca="1" si="177"/>
        <v>1</v>
      </c>
      <c r="I869" s="22" t="e">
        <f t="shared" ca="1" si="172"/>
        <v>#N/A</v>
      </c>
      <c r="J869">
        <f t="shared" ca="1" si="173"/>
        <v>0</v>
      </c>
      <c r="K869" t="e">
        <f t="shared" ca="1" si="178"/>
        <v>#N/A</v>
      </c>
      <c r="O869" s="22" t="e">
        <f t="shared" ca="1" si="174"/>
        <v>#N/A</v>
      </c>
      <c r="P869" s="17" t="e">
        <f ca="1"/>
        <v>#N/A</v>
      </c>
      <c r="Q869" s="17" t="e">
        <f ca="1"/>
        <v>#N/A</v>
      </c>
      <c r="R869" s="23" t="e">
        <f ca="1"/>
        <v>#N/A</v>
      </c>
      <c r="S869" s="23">
        <f t="shared" ca="1" si="182"/>
        <v>0</v>
      </c>
      <c r="T869" t="b">
        <f t="shared" ca="1" si="179"/>
        <v>1</v>
      </c>
      <c r="U869" s="22" t="e">
        <f t="shared" ca="1" si="175"/>
        <v>#N/A</v>
      </c>
      <c r="V869">
        <f t="shared" ca="1" si="176"/>
        <v>0</v>
      </c>
    </row>
    <row r="870" spans="2:58">
      <c r="B870">
        <f t="shared" si="180"/>
        <v>860</v>
      </c>
      <c r="C870" s="22" t="e">
        <f ca="1"/>
        <v>#N/A</v>
      </c>
      <c r="D870" s="17" t="e">
        <f ca="1"/>
        <v>#N/A</v>
      </c>
      <c r="E870" s="17" t="e">
        <f ca="1"/>
        <v>#N/A</v>
      </c>
      <c r="F870" s="23" t="e">
        <f ca="1"/>
        <v>#N/A</v>
      </c>
      <c r="G870" s="23">
        <f t="shared" ca="1" si="181"/>
        <v>0</v>
      </c>
      <c r="H870" t="b">
        <f t="shared" ca="1" si="177"/>
        <v>1</v>
      </c>
      <c r="I870" s="22" t="e">
        <f t="shared" ca="1" si="172"/>
        <v>#N/A</v>
      </c>
      <c r="J870">
        <f t="shared" ca="1" si="173"/>
        <v>0</v>
      </c>
      <c r="K870" t="e">
        <f t="shared" ca="1" si="178"/>
        <v>#N/A</v>
      </c>
      <c r="O870" s="22" t="e">
        <f t="shared" ca="1" si="174"/>
        <v>#N/A</v>
      </c>
      <c r="P870" s="17" t="e">
        <f ca="1"/>
        <v>#N/A</v>
      </c>
      <c r="Q870" s="17" t="e">
        <f ca="1"/>
        <v>#N/A</v>
      </c>
      <c r="R870" s="23" t="e">
        <f ca="1"/>
        <v>#N/A</v>
      </c>
      <c r="S870" s="23">
        <f t="shared" ca="1" si="182"/>
        <v>0</v>
      </c>
      <c r="T870" t="b">
        <f t="shared" ca="1" si="179"/>
        <v>1</v>
      </c>
      <c r="U870" s="22" t="e">
        <f t="shared" ca="1" si="175"/>
        <v>#N/A</v>
      </c>
      <c r="V870">
        <f t="shared" ca="1" si="176"/>
        <v>0</v>
      </c>
    </row>
    <row r="871" spans="2:58">
      <c r="B871">
        <f t="shared" si="180"/>
        <v>861</v>
      </c>
      <c r="C871" s="11" t="e">
        <f ca="1"/>
        <v>#N/A</v>
      </c>
      <c r="D871" s="12" t="e">
        <f ca="1"/>
        <v>#N/A</v>
      </c>
      <c r="E871" s="12" t="e">
        <f ca="1"/>
        <v>#N/A</v>
      </c>
      <c r="F871" s="24" t="e">
        <f ca="1"/>
        <v>#N/A</v>
      </c>
      <c r="G871" s="23">
        <f t="shared" ca="1" si="181"/>
        <v>0</v>
      </c>
      <c r="H871" t="b">
        <f t="shared" ca="1" si="177"/>
        <v>1</v>
      </c>
      <c r="I871" s="22" t="e">
        <f t="shared" ca="1" si="172"/>
        <v>#N/A</v>
      </c>
      <c r="J871">
        <f t="shared" ca="1" si="173"/>
        <v>0</v>
      </c>
      <c r="K871" t="e">
        <f t="shared" ca="1" si="178"/>
        <v>#N/A</v>
      </c>
      <c r="L871" s="7" t="s">
        <v>840</v>
      </c>
      <c r="N871" s="7" t="s">
        <v>840</v>
      </c>
      <c r="O871" s="22" t="e">
        <f t="shared" ca="1" si="174"/>
        <v>#N/A</v>
      </c>
      <c r="P871" s="12" t="e">
        <f ca="1"/>
        <v>#N/A</v>
      </c>
      <c r="Q871" s="12" t="e">
        <f ca="1"/>
        <v>#N/A</v>
      </c>
      <c r="R871" s="24" t="e">
        <f ca="1"/>
        <v>#N/A</v>
      </c>
      <c r="S871" s="23">
        <f t="shared" ca="1" si="182"/>
        <v>0</v>
      </c>
      <c r="T871" t="b">
        <f t="shared" ca="1" si="179"/>
        <v>1</v>
      </c>
      <c r="U871" s="22" t="e">
        <f t="shared" ca="1" si="175"/>
        <v>#N/A</v>
      </c>
      <c r="V871">
        <f t="shared" ca="1" si="176"/>
        <v>0</v>
      </c>
      <c r="W871" s="7" t="s">
        <v>840</v>
      </c>
      <c r="X871" s="7" t="s">
        <v>840</v>
      </c>
      <c r="Y871" s="7" t="s">
        <v>840</v>
      </c>
      <c r="Z871" s="7" t="s">
        <v>840</v>
      </c>
      <c r="AA871" s="7" t="s">
        <v>840</v>
      </c>
      <c r="AB871" s="7" t="s">
        <v>840</v>
      </c>
      <c r="AC871" s="7" t="s">
        <v>840</v>
      </c>
      <c r="AD871" s="7" t="s">
        <v>840</v>
      </c>
      <c r="AE871" s="7" t="s">
        <v>840</v>
      </c>
      <c r="AF871" s="7" t="s">
        <v>840</v>
      </c>
      <c r="AG871" s="7" t="s">
        <v>840</v>
      </c>
      <c r="AH871" s="7" t="s">
        <v>840</v>
      </c>
      <c r="AI871" s="7" t="s">
        <v>840</v>
      </c>
      <c r="AJ871" s="7" t="s">
        <v>840</v>
      </c>
      <c r="AK871" s="7" t="s">
        <v>840</v>
      </c>
      <c r="AL871" s="7" t="s">
        <v>840</v>
      </c>
      <c r="AM871" s="7" t="s">
        <v>840</v>
      </c>
      <c r="AN871" s="7"/>
      <c r="AO871" s="7"/>
      <c r="AP871" s="7"/>
      <c r="AQ871" s="7"/>
      <c r="AR871" s="7"/>
      <c r="AS871" s="7"/>
      <c r="AT871" s="7" t="s">
        <v>840</v>
      </c>
      <c r="AU871" s="7" t="s">
        <v>840</v>
      </c>
      <c r="AV871" s="7" t="s">
        <v>840</v>
      </c>
      <c r="AW871" s="7" t="s">
        <v>840</v>
      </c>
      <c r="AX871" s="7" t="s">
        <v>840</v>
      </c>
      <c r="AY871" s="7" t="s">
        <v>840</v>
      </c>
      <c r="AZ871" s="7" t="s">
        <v>840</v>
      </c>
      <c r="BA871" s="7" t="s">
        <v>840</v>
      </c>
      <c r="BB871" s="7" t="s">
        <v>840</v>
      </c>
      <c r="BC871" s="7" t="s">
        <v>840</v>
      </c>
      <c r="BD871" s="7" t="s">
        <v>840</v>
      </c>
      <c r="BE871" s="7" t="s">
        <v>840</v>
      </c>
      <c r="BF871" s="7" t="s">
        <v>840</v>
      </c>
    </row>
    <row r="873" spans="2:58">
      <c r="F873" t="e">
        <f ca="1">STDEV(F11:F279)</f>
        <v>#N/A</v>
      </c>
    </row>
    <row r="875" spans="2:58">
      <c r="F875" t="e">
        <f ca="1">STDEV(F11:F279)</f>
        <v>#N/A</v>
      </c>
    </row>
    <row r="882" spans="5:9">
      <c r="G882" s="7" t="s">
        <v>883</v>
      </c>
      <c r="H882" s="7" t="s">
        <v>884</v>
      </c>
      <c r="I882" s="7" t="s">
        <v>885</v>
      </c>
    </row>
    <row r="883" spans="5:9">
      <c r="E883" s="7" t="s">
        <v>882</v>
      </c>
      <c r="G883" s="16" t="e">
        <f ca="1">F873</f>
        <v>#N/A</v>
      </c>
      <c r="H883" s="16">
        <f ca="1">H7</f>
        <v>0.14044228011621387</v>
      </c>
      <c r="I883" s="16">
        <f ca="1">AR11</f>
        <v>0.14074184030222484</v>
      </c>
    </row>
    <row r="884" spans="5:9">
      <c r="E884" s="7" t="s">
        <v>878</v>
      </c>
      <c r="G884" s="14" t="e">
        <f ca="1">G883*SQRT(12)</f>
        <v>#N/A</v>
      </c>
      <c r="H884" s="14">
        <f ca="1">H883</f>
        <v>0.14044228011621387</v>
      </c>
      <c r="I884" s="14">
        <f ca="1">I883*SQRT(1/3)</f>
        <v>8.1257339384732827E-2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Drop Down 1">
              <controlPr defaultSize="0" autoLine="0" autoPict="0">
                <anchor moveWithCells="1">
                  <from>
                    <xdr:col>6</xdr:col>
                    <xdr:colOff>19050</xdr:colOff>
                    <xdr:row>2</xdr:row>
                    <xdr:rowOff>0</xdr:rowOff>
                  </from>
                  <to>
                    <xdr:col>7</xdr:col>
                    <xdr:colOff>400050</xdr:colOff>
                    <xdr:row>2</xdr:row>
                    <xdr:rowOff>152400</xdr:rowOff>
                  </to>
                </anchor>
              </controlPr>
            </control>
          </mc:Choice>
        </mc:AlternateContent>
        <mc:AlternateContent xmlns:mc="http://schemas.openxmlformats.org/markup-compatibility/2006">
          <mc:Choice Requires="x14">
            <control shapeId="31746" r:id="rId4" name="Drop Down 2">
              <controlPr defaultSize="0" autoLine="0" autoPict="0">
                <anchor moveWithCells="1">
                  <from>
                    <xdr:col>2</xdr:col>
                    <xdr:colOff>544830</xdr:colOff>
                    <xdr:row>2</xdr:row>
                    <xdr:rowOff>11430</xdr:rowOff>
                  </from>
                  <to>
                    <xdr:col>5</xdr:col>
                    <xdr:colOff>30480</xdr:colOff>
                    <xdr:row>3</xdr:row>
                    <xdr:rowOff>19050</xdr:rowOff>
                  </to>
                </anchor>
              </controlPr>
            </control>
          </mc:Choice>
        </mc:AlternateContent>
        <mc:AlternateContent xmlns:mc="http://schemas.openxmlformats.org/markup-compatibility/2006">
          <mc:Choice Requires="x14">
            <control shapeId="31747" r:id="rId5" name="Drop Down 3">
              <controlPr defaultSize="0" autoLine="0" autoPict="0">
                <anchor moveWithCells="1">
                  <from>
                    <xdr:col>2</xdr:col>
                    <xdr:colOff>533400</xdr:colOff>
                    <xdr:row>3</xdr:row>
                    <xdr:rowOff>38100</xdr:rowOff>
                  </from>
                  <to>
                    <xdr:col>5</xdr:col>
                    <xdr:colOff>19050</xdr:colOff>
                    <xdr:row>4</xdr:row>
                    <xdr:rowOff>49530</xdr:rowOff>
                  </to>
                </anchor>
              </controlPr>
            </control>
          </mc:Choice>
        </mc:AlternateContent>
        <mc:AlternateContent xmlns:mc="http://schemas.openxmlformats.org/markup-compatibility/2006">
          <mc:Choice Requires="x14">
            <control shapeId="31748" r:id="rId6" name="Drop Down 4">
              <controlPr defaultSize="0" autoLine="0" autoPict="0">
                <anchor moveWithCells="1">
                  <from>
                    <xdr:col>6</xdr:col>
                    <xdr:colOff>19050</xdr:colOff>
                    <xdr:row>3</xdr:row>
                    <xdr:rowOff>11430</xdr:rowOff>
                  </from>
                  <to>
                    <xdr:col>7</xdr:col>
                    <xdr:colOff>400050</xdr:colOff>
                    <xdr:row>4</xdr:row>
                    <xdr:rowOff>0</xdr:rowOff>
                  </to>
                </anchor>
              </controlPr>
            </control>
          </mc:Choice>
        </mc:AlternateContent>
        <mc:AlternateContent xmlns:mc="http://schemas.openxmlformats.org/markup-compatibility/2006">
          <mc:Choice Requires="x14">
            <control shapeId="31749" r:id="rId7" name="Spinner 5">
              <controlPr defaultSize="0" autoPict="0">
                <anchor moveWithCells="1" sizeWithCells="1">
                  <from>
                    <xdr:col>36</xdr:col>
                    <xdr:colOff>68580</xdr:colOff>
                    <xdr:row>8</xdr:row>
                    <xdr:rowOff>0</xdr:rowOff>
                  </from>
                  <to>
                    <xdr:col>36</xdr:col>
                    <xdr:colOff>419100</xdr:colOff>
                    <xdr:row>9</xdr:row>
                    <xdr:rowOff>11430</xdr:rowOff>
                  </to>
                </anchor>
              </controlPr>
            </control>
          </mc:Choice>
        </mc:AlternateContent>
        <mc:AlternateContent xmlns:mc="http://schemas.openxmlformats.org/markup-compatibility/2006">
          <mc:Choice Requires="x14">
            <control shapeId="31750" r:id="rId8" name="Button 6">
              <controlPr defaultSize="0" print="0" autoFill="0" autoPict="0" macro="[0]!vol_function">
                <anchor moveWithCells="1" sizeWithCells="1">
                  <from>
                    <xdr:col>11</xdr:col>
                    <xdr:colOff>304800</xdr:colOff>
                    <xdr:row>6</xdr:row>
                    <xdr:rowOff>95250</xdr:rowOff>
                  </from>
                  <to>
                    <xdr:col>12</xdr:col>
                    <xdr:colOff>571500</xdr:colOff>
                    <xdr:row>8</xdr:row>
                    <xdr:rowOff>87630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CI266"/>
  <sheetViews>
    <sheetView topLeftCell="A27" workbookViewId="0">
      <selection activeCell="D42" sqref="D42"/>
    </sheetView>
  </sheetViews>
  <sheetFormatPr defaultRowHeight="13.8"/>
  <cols>
    <col min="2" max="3" width="21.1640625" style="34" customWidth="1"/>
    <col min="4" max="4" width="22.1640625" customWidth="1"/>
    <col min="5" max="5" width="23.71875" customWidth="1"/>
    <col min="6" max="8" width="5.83203125" customWidth="1"/>
    <col min="9" max="9" width="25.1640625" customWidth="1"/>
    <col min="10" max="10" width="12.44140625" customWidth="1"/>
  </cols>
  <sheetData>
    <row r="1" spans="2:87">
      <c r="B1" s="34" t="s">
        <v>1233</v>
      </c>
      <c r="C1" s="34">
        <v>2015</v>
      </c>
    </row>
    <row r="2" spans="2:87">
      <c r="B2" s="34" t="s">
        <v>1236</v>
      </c>
      <c r="C2" s="34">
        <v>1996</v>
      </c>
    </row>
    <row r="3" spans="2:87">
      <c r="B3" s="34" t="s">
        <v>1237</v>
      </c>
      <c r="C3" s="34">
        <v>2027</v>
      </c>
      <c r="K3" s="7" t="s">
        <v>1260</v>
      </c>
    </row>
    <row r="4" spans="2:87">
      <c r="B4" s="34" t="s">
        <v>1238</v>
      </c>
      <c r="C4" s="34">
        <v>2019</v>
      </c>
    </row>
    <row r="6" spans="2:87">
      <c r="B6" s="34" t="s">
        <v>1226</v>
      </c>
      <c r="C6" s="34" t="s">
        <v>1227</v>
      </c>
      <c r="D6" s="7" t="s">
        <v>1228</v>
      </c>
      <c r="E6" s="7" t="s">
        <v>1229</v>
      </c>
      <c r="F6" s="7" t="s">
        <v>1230</v>
      </c>
      <c r="G6" s="7" t="s">
        <v>1231</v>
      </c>
      <c r="H6" s="7" t="s">
        <v>1232</v>
      </c>
      <c r="I6" s="39" t="s">
        <v>1230</v>
      </c>
      <c r="J6" s="39"/>
      <c r="K6" t="e">
        <f>MATCH(K8,'Forecast Prices'!3:3,0)</f>
        <v>#N/A</v>
      </c>
      <c r="L6" t="e">
        <f>MATCH(L8,'Forecast Prices'!3:3,0)</f>
        <v>#N/A</v>
      </c>
      <c r="M6" t="e">
        <f>MATCH(M8,'Forecast Prices'!3:3,0)</f>
        <v>#N/A</v>
      </c>
      <c r="N6" t="e">
        <f>MATCH(N8,'Forecast Prices'!3:3,0)</f>
        <v>#N/A</v>
      </c>
      <c r="O6" t="e">
        <f>MATCH(O8,'Forecast Prices'!3:3,0)</f>
        <v>#N/A</v>
      </c>
      <c r="P6" t="e">
        <f>MATCH(P8,'Forecast Prices'!3:3,0)</f>
        <v>#N/A</v>
      </c>
      <c r="Q6" t="e">
        <f>MATCH(Q8,'Forecast Prices'!3:3,0)</f>
        <v>#N/A</v>
      </c>
      <c r="R6" t="e">
        <f>MATCH(R8,'Forecast Prices'!3:3,0)</f>
        <v>#N/A</v>
      </c>
      <c r="S6" t="e">
        <f>MATCH(S8,'Forecast Prices'!3:3,0)</f>
        <v>#N/A</v>
      </c>
      <c r="T6" t="e">
        <f>MATCH(T8,'Forecast Prices'!3:3,0)</f>
        <v>#N/A</v>
      </c>
      <c r="U6" t="e">
        <f>MATCH(U8,'Forecast Prices'!3:3,0)</f>
        <v>#N/A</v>
      </c>
      <c r="V6" t="e">
        <f>MATCH(V8,'Forecast Prices'!3:3,0)</f>
        <v>#N/A</v>
      </c>
      <c r="W6" t="e">
        <f>MATCH(W8,'Forecast Prices'!3:3,0)</f>
        <v>#N/A</v>
      </c>
      <c r="X6" t="e">
        <f>MATCH(X8,'Forecast Prices'!3:3,0)</f>
        <v>#N/A</v>
      </c>
      <c r="Y6" t="e">
        <f>MATCH(Y8,'Forecast Prices'!3:3,0)</f>
        <v>#N/A</v>
      </c>
      <c r="Z6" t="e">
        <f>MATCH(Z8,'Forecast Prices'!3:3,0)</f>
        <v>#N/A</v>
      </c>
      <c r="AA6" t="e">
        <f>MATCH(AA8,'Forecast Prices'!3:3,0)</f>
        <v>#N/A</v>
      </c>
      <c r="AB6" t="e">
        <f>MATCH(AB8,'Forecast Prices'!3:3,0)</f>
        <v>#N/A</v>
      </c>
      <c r="AC6" t="e">
        <f>MATCH(AC8,'Forecast Prices'!3:3,0)</f>
        <v>#N/A</v>
      </c>
      <c r="AD6" t="e">
        <f>MATCH(AD8,'Forecast Prices'!3:3,0)</f>
        <v>#N/A</v>
      </c>
      <c r="AE6" t="e">
        <f>MATCH(AE8,'Forecast Prices'!3:3,0)</f>
        <v>#N/A</v>
      </c>
      <c r="AF6" t="e">
        <f>MATCH(AF8,'Forecast Prices'!3:3,0)</f>
        <v>#N/A</v>
      </c>
      <c r="AG6" t="e">
        <f>MATCH(AG8,'Forecast Prices'!3:3,0)</f>
        <v>#N/A</v>
      </c>
      <c r="AH6" t="e">
        <f>MATCH(AH8,'Forecast Prices'!3:3,0)</f>
        <v>#N/A</v>
      </c>
      <c r="AI6" t="e">
        <f>MATCH(AI8,'Forecast Prices'!3:3,0)</f>
        <v>#N/A</v>
      </c>
      <c r="AJ6" t="e">
        <f>MATCH(AJ8,'Forecast Prices'!3:3,0)</f>
        <v>#N/A</v>
      </c>
      <c r="AK6" t="e">
        <f>MATCH(AK8,'Forecast Prices'!3:3,0)</f>
        <v>#N/A</v>
      </c>
      <c r="AL6" t="e">
        <f>MATCH(AL8,'Forecast Prices'!3:3,0)</f>
        <v>#N/A</v>
      </c>
      <c r="AM6" t="e">
        <f>MATCH(AM8,'Forecast Prices'!3:3,0)</f>
        <v>#N/A</v>
      </c>
      <c r="AN6" t="e">
        <f>MATCH(AN8,'Forecast Prices'!3:3,0)</f>
        <v>#N/A</v>
      </c>
      <c r="AO6" t="e">
        <f>MATCH(AO8,'Forecast Prices'!3:3,0)</f>
        <v>#N/A</v>
      </c>
      <c r="AP6" t="e">
        <f>MATCH(AP8,'Forecast Prices'!3:3,0)</f>
        <v>#N/A</v>
      </c>
      <c r="AQ6" t="e">
        <f>MATCH(AQ8,'Forecast Prices'!3:3,0)</f>
        <v>#N/A</v>
      </c>
      <c r="AR6" t="e">
        <f>MATCH(AR8,'Forecast Prices'!3:3,0)</f>
        <v>#N/A</v>
      </c>
      <c r="AS6" t="e">
        <f>MATCH(AS8,'Forecast Prices'!3:3,0)</f>
        <v>#N/A</v>
      </c>
      <c r="AT6" t="e">
        <f>MATCH(AT8,'Forecast Prices'!3:3,0)</f>
        <v>#N/A</v>
      </c>
      <c r="AU6" t="e">
        <f>MATCH(AU8,'Forecast Prices'!3:3,0)</f>
        <v>#N/A</v>
      </c>
      <c r="AV6" t="e">
        <f>MATCH(AV8,'Forecast Prices'!3:3,0)</f>
        <v>#N/A</v>
      </c>
      <c r="AW6" t="e">
        <f>MATCH(AW8,'Forecast Prices'!3:3,0)</f>
        <v>#N/A</v>
      </c>
      <c r="AX6" t="e">
        <f>MATCH(AX8,'Forecast Prices'!3:3,0)</f>
        <v>#N/A</v>
      </c>
      <c r="AY6" t="e">
        <f>MATCH(AY8,'Forecast Prices'!3:3,0)</f>
        <v>#N/A</v>
      </c>
      <c r="AZ6" t="e">
        <f>MATCH(AZ8,'Forecast Prices'!3:3,0)</f>
        <v>#N/A</v>
      </c>
      <c r="BA6" t="e">
        <f>MATCH(BA8,'Forecast Prices'!3:3,0)</f>
        <v>#N/A</v>
      </c>
      <c r="BB6" t="e">
        <f>MATCH(BB8,'Forecast Prices'!3:3,0)</f>
        <v>#N/A</v>
      </c>
      <c r="BC6" t="e">
        <f>MATCH(BC8,'Forecast Prices'!3:3,0)</f>
        <v>#N/A</v>
      </c>
      <c r="BD6" t="e">
        <f>MATCH(BD8,'Forecast Prices'!3:3,0)</f>
        <v>#N/A</v>
      </c>
      <c r="BE6" t="e">
        <f>MATCH(BE8,'Forecast Prices'!3:3,0)</f>
        <v>#N/A</v>
      </c>
      <c r="BF6" t="e">
        <f>MATCH(BF8,'Forecast Prices'!3:3,0)</f>
        <v>#N/A</v>
      </c>
      <c r="BG6" t="e">
        <f>MATCH(BG8,'Forecast Prices'!3:3,0)</f>
        <v>#N/A</v>
      </c>
      <c r="BH6" t="e">
        <f>MATCH(BH8,'Forecast Prices'!3:3,0)</f>
        <v>#N/A</v>
      </c>
      <c r="BI6" t="e">
        <f>MATCH(BI8,'Forecast Prices'!3:3,0)</f>
        <v>#N/A</v>
      </c>
      <c r="BJ6" t="e">
        <f>MATCH(BJ8,'Forecast Prices'!3:3,0)</f>
        <v>#N/A</v>
      </c>
      <c r="BK6" t="e">
        <f>MATCH(BK8,'Forecast Prices'!3:3,0)</f>
        <v>#N/A</v>
      </c>
      <c r="BL6" t="e">
        <f>MATCH(BL8,'Forecast Prices'!3:3,0)</f>
        <v>#N/A</v>
      </c>
      <c r="BM6">
        <f>MATCH(BM8,'Forecast Prices'!3:3,0)</f>
        <v>10</v>
      </c>
      <c r="BN6">
        <f>MATCH(BN8,'Forecast Prices'!3:3,0)</f>
        <v>11</v>
      </c>
      <c r="BO6">
        <f>MATCH(BO8,'Forecast Prices'!3:3,0)</f>
        <v>12</v>
      </c>
      <c r="BP6">
        <f>MATCH(BP8,'Forecast Prices'!3:3,0)</f>
        <v>13</v>
      </c>
      <c r="BQ6">
        <f>MATCH(BQ8,'Forecast Prices'!3:3,0)</f>
        <v>14</v>
      </c>
      <c r="BR6">
        <f>MATCH(BR8,'Forecast Prices'!3:3,0)</f>
        <v>15</v>
      </c>
      <c r="BS6">
        <f>MATCH(BS8,'Forecast Prices'!3:3,0)</f>
        <v>16</v>
      </c>
      <c r="BT6">
        <f>MATCH(BT8,'Forecast Prices'!3:3,0)</f>
        <v>17</v>
      </c>
      <c r="BU6">
        <f>MATCH(BU8,'Forecast Prices'!3:3,0)</f>
        <v>18</v>
      </c>
      <c r="BV6">
        <f>MATCH(BV8,'Forecast Prices'!3:3,0)</f>
        <v>19</v>
      </c>
      <c r="BW6">
        <f>MATCH(BW8,'Forecast Prices'!3:3,0)</f>
        <v>20</v>
      </c>
      <c r="BX6">
        <f>MATCH(BX8,'Forecast Prices'!3:3,0)</f>
        <v>21</v>
      </c>
      <c r="BY6" t="e">
        <f>MATCH(BY8,'Forecast Prices'!3:3,0)</f>
        <v>#N/A</v>
      </c>
      <c r="BZ6" t="e">
        <f>MATCH(BZ8,'Forecast Prices'!3:3,0)</f>
        <v>#N/A</v>
      </c>
      <c r="CA6" t="e">
        <f>MATCH(CA8,'Forecast Prices'!3:3,0)</f>
        <v>#N/A</v>
      </c>
      <c r="CB6" t="e">
        <f>MATCH(CB8,'Forecast Prices'!3:3,0)</f>
        <v>#N/A</v>
      </c>
      <c r="CC6">
        <f>MATCH(CC8,'Forecast Prices'!3:3,0)</f>
        <v>22</v>
      </c>
      <c r="CD6" t="e">
        <f>MATCH(CD8,'Forecast Prices'!3:3,0)</f>
        <v>#N/A</v>
      </c>
      <c r="CE6" t="e">
        <f>MATCH(CE8,'Forecast Prices'!3:3,0)</f>
        <v>#N/A</v>
      </c>
      <c r="CF6" t="e">
        <f>MATCH(CF8,'Forecast Prices'!3:3,0)</f>
        <v>#N/A</v>
      </c>
      <c r="CG6" t="e">
        <f>MATCH(CG8,'Forecast Prices'!3:3,0)</f>
        <v>#N/A</v>
      </c>
      <c r="CH6" t="e">
        <f>MATCH(CH8,'Forecast Prices'!3:3,0)</f>
        <v>#N/A</v>
      </c>
      <c r="CI6" t="e">
        <f>MATCH(CI8,'Forecast Prices'!3:3,0)</f>
        <v>#N/A</v>
      </c>
    </row>
    <row r="7" spans="2:87">
      <c r="C7" s="34" t="s">
        <v>1256</v>
      </c>
      <c r="D7" s="7" t="s">
        <v>1255</v>
      </c>
      <c r="E7" s="7" t="s">
        <v>1257</v>
      </c>
      <c r="F7" s="7"/>
      <c r="G7" s="7"/>
      <c r="H7" s="7"/>
      <c r="I7" s="39" t="s">
        <v>1232</v>
      </c>
      <c r="J7" s="39"/>
      <c r="K7">
        <f>MATCH(K8,'Annual Real'!$A:$A,0)</f>
        <v>9</v>
      </c>
      <c r="L7">
        <f>MATCH(L8,'Annual Real'!$A:$A,0)</f>
        <v>10</v>
      </c>
      <c r="M7">
        <f>MATCH(M8,'Annual Real'!$A:$A,0)</f>
        <v>11</v>
      </c>
      <c r="N7">
        <f>MATCH(N8,'Annual Real'!$A:$A,0)</f>
        <v>12</v>
      </c>
      <c r="O7">
        <f>MATCH(O8,'Annual Real'!$A:$A,0)</f>
        <v>13</v>
      </c>
      <c r="P7">
        <f>MATCH(P8,'Annual Real'!$A:$A,0)</f>
        <v>14</v>
      </c>
      <c r="Q7">
        <f>MATCH(Q8,'Annual Real'!$A:$A,0)</f>
        <v>15</v>
      </c>
      <c r="R7">
        <f>MATCH(R8,'Annual Real'!$A:$A,0)</f>
        <v>16</v>
      </c>
      <c r="S7">
        <f>MATCH(S8,'Annual Real'!$A:$A,0)</f>
        <v>17</v>
      </c>
      <c r="T7">
        <f>MATCH(T8,'Annual Real'!$A:$A,0)</f>
        <v>18</v>
      </c>
      <c r="U7">
        <f>MATCH(U8,'Annual Real'!$A:$A,0)</f>
        <v>19</v>
      </c>
      <c r="V7">
        <f>MATCH(V8,'Annual Real'!$A:$A,0)</f>
        <v>20</v>
      </c>
      <c r="W7">
        <f>MATCH(W8,'Annual Real'!$A:$A,0)</f>
        <v>21</v>
      </c>
      <c r="X7">
        <f>MATCH(X8,'Annual Real'!$A:$A,0)</f>
        <v>22</v>
      </c>
      <c r="Y7">
        <f>MATCH(Y8,'Annual Real'!$A:$A,0)</f>
        <v>23</v>
      </c>
      <c r="Z7">
        <f>MATCH(Z8,'Annual Real'!$A:$A,0)</f>
        <v>24</v>
      </c>
      <c r="AA7">
        <f>MATCH(AA8,'Annual Real'!$A:$A,0)</f>
        <v>25</v>
      </c>
      <c r="AB7">
        <f>MATCH(AB8,'Annual Real'!$A:$A,0)</f>
        <v>26</v>
      </c>
      <c r="AC7">
        <f>MATCH(AC8,'Annual Real'!$A:$A,0)</f>
        <v>27</v>
      </c>
      <c r="AD7">
        <f>MATCH(AD8,'Annual Real'!$A:$A,0)</f>
        <v>28</v>
      </c>
      <c r="AE7">
        <f>MATCH(AE8,'Annual Real'!$A:$A,0)</f>
        <v>29</v>
      </c>
      <c r="AF7">
        <f>MATCH(AF8,'Annual Real'!$A:$A,0)</f>
        <v>30</v>
      </c>
      <c r="AG7">
        <f>MATCH(AG8,'Annual Real'!$A:$A,0)</f>
        <v>31</v>
      </c>
      <c r="AH7">
        <f>MATCH(AH8,'Annual Real'!$A:$A,0)</f>
        <v>32</v>
      </c>
      <c r="AI7">
        <f>MATCH(AI8,'Annual Real'!$A:$A,0)</f>
        <v>33</v>
      </c>
      <c r="AJ7">
        <f>MATCH(AJ8,'Annual Real'!$A:$A,0)</f>
        <v>34</v>
      </c>
      <c r="AK7">
        <f>MATCH(AK8,'Annual Real'!$A:$A,0)</f>
        <v>35</v>
      </c>
      <c r="AL7">
        <f>MATCH(AL8,'Annual Real'!$A:$A,0)</f>
        <v>36</v>
      </c>
      <c r="AM7">
        <f>MATCH(AM8,'Annual Real'!$A:$A,0)</f>
        <v>37</v>
      </c>
      <c r="AN7">
        <f>MATCH(AN8,'Annual Real'!$A:$A,0)</f>
        <v>38</v>
      </c>
      <c r="AO7">
        <f>MATCH(AO8,'Annual Real'!$A:$A,0)</f>
        <v>39</v>
      </c>
      <c r="AP7">
        <f>MATCH(AP8,'Annual Real'!$A:$A,0)</f>
        <v>40</v>
      </c>
      <c r="AQ7">
        <f>MATCH(AQ8,'Annual Real'!$A:$A,0)</f>
        <v>41</v>
      </c>
      <c r="AR7">
        <f>MATCH(AR8,'Annual Real'!$A:$A,0)</f>
        <v>42</v>
      </c>
      <c r="AS7">
        <f>MATCH(AS8,'Annual Real'!$A:$A,0)</f>
        <v>43</v>
      </c>
      <c r="AT7">
        <f>MATCH(AT8,'Annual Real'!$A:$A,0)</f>
        <v>44</v>
      </c>
      <c r="AU7">
        <f>MATCH(AU8,'Annual Real'!$A:$A,0)</f>
        <v>45</v>
      </c>
      <c r="AV7">
        <f>MATCH(AV8,'Annual Real'!$A:$A,0)</f>
        <v>46</v>
      </c>
      <c r="AW7">
        <f>MATCH(AW8,'Annual Real'!$A:$A,0)</f>
        <v>47</v>
      </c>
      <c r="AX7">
        <f>MATCH(AX8,'Annual Real'!$A:$A,0)</f>
        <v>48</v>
      </c>
      <c r="AY7">
        <f>MATCH(AY8,'Annual Real'!$A:$A,0)</f>
        <v>49</v>
      </c>
      <c r="AZ7">
        <f>MATCH(AZ8,'Annual Real'!$A:$A,0)</f>
        <v>50</v>
      </c>
      <c r="BA7">
        <f>MATCH(BA8,'Annual Real'!$A:$A,0)</f>
        <v>51</v>
      </c>
      <c r="BB7">
        <f>MATCH(BB8,'Annual Real'!$A:$A,0)</f>
        <v>52</v>
      </c>
      <c r="BC7">
        <f>MATCH(BC8,'Annual Real'!$A:$A,0)</f>
        <v>53</v>
      </c>
      <c r="BD7">
        <f>MATCH(BD8,'Annual Real'!$A:$A,0)</f>
        <v>54</v>
      </c>
      <c r="BE7">
        <f>MATCH(BE8,'Annual Real'!$A:$A,0)</f>
        <v>55</v>
      </c>
      <c r="BF7">
        <f>MATCH(BF8,'Annual Real'!$A:$A,0)</f>
        <v>56</v>
      </c>
      <c r="BG7">
        <f>MATCH(BG8,'Annual Real'!$A:$A,0)</f>
        <v>57</v>
      </c>
      <c r="BH7">
        <f>MATCH(BH8,'Annual Real'!$A:$A,0)</f>
        <v>58</v>
      </c>
      <c r="BI7">
        <f>MATCH(BI8,'Annual Real'!$A:$A,0)</f>
        <v>59</v>
      </c>
      <c r="BJ7">
        <f>MATCH(BJ8,'Annual Real'!$A:$A,0)</f>
        <v>60</v>
      </c>
      <c r="BK7">
        <f>MATCH(BK8,'Annual Real'!$A:$A,0)</f>
        <v>61</v>
      </c>
      <c r="BL7">
        <f>MATCH(BL8,'Annual Real'!$A:$A,0)</f>
        <v>62</v>
      </c>
      <c r="BM7">
        <f>MATCH(BM8,'Annual Real'!$A:$A,0)</f>
        <v>63</v>
      </c>
      <c r="BN7">
        <f>MATCH(BN8,'Annual Real'!$A:$A,0)</f>
        <v>64</v>
      </c>
      <c r="BO7">
        <f>MATCH(BO8,'Annual Real'!$A:$A,0)</f>
        <v>65</v>
      </c>
      <c r="BP7">
        <f>MATCH(BP8,'Annual Real'!$A:$A,0)</f>
        <v>66</v>
      </c>
      <c r="BQ7">
        <f>MATCH(BQ8,'Annual Real'!$A:$A,0)</f>
        <v>67</v>
      </c>
      <c r="BR7">
        <f>MATCH(BR8,'Annual Real'!$A:$A,0)</f>
        <v>68</v>
      </c>
      <c r="BS7">
        <f>MATCH(BS8,'Annual Real'!$A:$A,0)</f>
        <v>69</v>
      </c>
      <c r="BT7">
        <f>MATCH(BT8,'Annual Real'!$A:$A,0)</f>
        <v>70</v>
      </c>
      <c r="BU7" t="e">
        <f>MATCH(BU8,'Annual Real'!$A:$A,0)</f>
        <v>#N/A</v>
      </c>
      <c r="BV7" t="e">
        <f>MATCH(BV8,'Annual Real'!$A:$A,0)</f>
        <v>#N/A</v>
      </c>
      <c r="BW7" t="e">
        <f>MATCH(BW8,'Annual Real'!$A:$A,0)</f>
        <v>#N/A</v>
      </c>
      <c r="BX7" t="e">
        <f>MATCH(BX8,'Annual Real'!$A:$A,0)</f>
        <v>#N/A</v>
      </c>
      <c r="BY7" t="e">
        <f>MATCH(BY8,'Annual Real'!$A:$A,0)</f>
        <v>#N/A</v>
      </c>
      <c r="BZ7" t="e">
        <f>MATCH(BZ8,'Annual Real'!$A:$A,0)</f>
        <v>#N/A</v>
      </c>
      <c r="CA7" t="e">
        <f>MATCH(CA8,'Annual Real'!$A:$A,0)</f>
        <v>#N/A</v>
      </c>
      <c r="CB7" t="e">
        <f>MATCH(CB8,'Annual Real'!$A:$A,0)</f>
        <v>#N/A</v>
      </c>
      <c r="CC7" t="e">
        <f>MATCH(CC8,'Annual Real'!$A:$A,0)</f>
        <v>#N/A</v>
      </c>
      <c r="CD7" t="e">
        <f>MATCH(CD8,'Annual Real'!$A:$A,0)</f>
        <v>#N/A</v>
      </c>
      <c r="CE7" t="e">
        <f>MATCH(CE8,'Annual Real'!$A:$A,0)</f>
        <v>#N/A</v>
      </c>
      <c r="CF7" t="e">
        <f>MATCH(CF8,'Annual Real'!$A:$A,0)</f>
        <v>#N/A</v>
      </c>
      <c r="CG7" t="e">
        <f>MATCH(CG8,'Annual Real'!$A:$A,0)</f>
        <v>#N/A</v>
      </c>
      <c r="CH7" t="e">
        <f>MATCH(CH8,'Annual Real'!$A:$A,0)</f>
        <v>#N/A</v>
      </c>
      <c r="CI7" t="e">
        <f>MATCH(CI8,'Annual Real'!$A:$A,0)</f>
        <v>#N/A</v>
      </c>
    </row>
    <row r="8" spans="2:87" ht="14.1">
      <c r="B8" s="35"/>
      <c r="C8" s="35"/>
      <c r="I8" s="7" t="s">
        <v>856</v>
      </c>
      <c r="K8">
        <v>1960</v>
      </c>
      <c r="L8">
        <v>1961</v>
      </c>
      <c r="M8">
        <v>1962</v>
      </c>
      <c r="N8">
        <v>1963</v>
      </c>
      <c r="O8">
        <v>1964</v>
      </c>
      <c r="P8">
        <v>1965</v>
      </c>
      <c r="Q8">
        <v>1966</v>
      </c>
      <c r="R8">
        <v>1967</v>
      </c>
      <c r="S8">
        <v>1968</v>
      </c>
      <c r="T8">
        <v>1969</v>
      </c>
      <c r="U8">
        <v>1970</v>
      </c>
      <c r="V8">
        <v>1971</v>
      </c>
      <c r="W8">
        <v>1972</v>
      </c>
      <c r="X8">
        <v>1973</v>
      </c>
      <c r="Y8">
        <v>1974</v>
      </c>
      <c r="Z8">
        <v>1975</v>
      </c>
      <c r="AA8">
        <v>1976</v>
      </c>
      <c r="AB8">
        <v>1977</v>
      </c>
      <c r="AC8">
        <v>1978</v>
      </c>
      <c r="AD8">
        <v>1979</v>
      </c>
      <c r="AE8">
        <v>1980</v>
      </c>
      <c r="AF8">
        <v>1981</v>
      </c>
      <c r="AG8">
        <v>1982</v>
      </c>
      <c r="AH8">
        <v>1983</v>
      </c>
      <c r="AI8">
        <v>1984</v>
      </c>
      <c r="AJ8">
        <v>1985</v>
      </c>
      <c r="AK8">
        <v>1986</v>
      </c>
      <c r="AL8">
        <v>1987</v>
      </c>
      <c r="AM8">
        <v>1988</v>
      </c>
      <c r="AN8">
        <v>1989</v>
      </c>
      <c r="AO8">
        <v>1990</v>
      </c>
      <c r="AP8">
        <v>1991</v>
      </c>
      <c r="AQ8">
        <v>1992</v>
      </c>
      <c r="AR8">
        <v>1993</v>
      </c>
      <c r="AS8">
        <v>1994</v>
      </c>
      <c r="AT8">
        <v>1995</v>
      </c>
      <c r="AU8">
        <v>1996</v>
      </c>
      <c r="AV8">
        <v>1997</v>
      </c>
      <c r="AW8">
        <v>1998</v>
      </c>
      <c r="AX8">
        <v>1999</v>
      </c>
      <c r="AY8">
        <v>2000</v>
      </c>
      <c r="AZ8">
        <v>2001</v>
      </c>
      <c r="BA8">
        <v>2002</v>
      </c>
      <c r="BB8">
        <v>2003</v>
      </c>
      <c r="BC8">
        <v>2004</v>
      </c>
      <c r="BD8">
        <v>2005</v>
      </c>
      <c r="BE8">
        <v>2006</v>
      </c>
      <c r="BF8">
        <v>2007</v>
      </c>
      <c r="BG8">
        <v>2008</v>
      </c>
      <c r="BH8">
        <v>2009</v>
      </c>
      <c r="BI8">
        <v>2010</v>
      </c>
      <c r="BJ8">
        <v>2011</v>
      </c>
      <c r="BK8">
        <v>2012</v>
      </c>
      <c r="BL8">
        <v>2013</v>
      </c>
      <c r="BM8">
        <v>2014</v>
      </c>
      <c r="BN8">
        <v>2015</v>
      </c>
      <c r="BO8">
        <f>BN8+1</f>
        <v>2016</v>
      </c>
      <c r="BP8">
        <f t="shared" ref="BP8:CI8" si="0">BO8+1</f>
        <v>2017</v>
      </c>
      <c r="BQ8">
        <f t="shared" si="0"/>
        <v>2018</v>
      </c>
      <c r="BR8">
        <f t="shared" si="0"/>
        <v>2019</v>
      </c>
      <c r="BS8">
        <f t="shared" si="0"/>
        <v>2020</v>
      </c>
      <c r="BT8">
        <f t="shared" si="0"/>
        <v>2021</v>
      </c>
      <c r="BU8">
        <f t="shared" si="0"/>
        <v>2022</v>
      </c>
      <c r="BV8">
        <f t="shared" si="0"/>
        <v>2023</v>
      </c>
      <c r="BW8">
        <f t="shared" si="0"/>
        <v>2024</v>
      </c>
      <c r="BX8">
        <f t="shared" si="0"/>
        <v>2025</v>
      </c>
      <c r="BY8">
        <f t="shared" si="0"/>
        <v>2026</v>
      </c>
      <c r="BZ8">
        <f t="shared" si="0"/>
        <v>2027</v>
      </c>
      <c r="CA8">
        <f t="shared" si="0"/>
        <v>2028</v>
      </c>
      <c r="CB8">
        <f t="shared" si="0"/>
        <v>2029</v>
      </c>
      <c r="CC8">
        <f t="shared" si="0"/>
        <v>2030</v>
      </c>
      <c r="CD8">
        <f t="shared" si="0"/>
        <v>2031</v>
      </c>
      <c r="CE8">
        <f t="shared" si="0"/>
        <v>2032</v>
      </c>
      <c r="CF8">
        <f t="shared" si="0"/>
        <v>2033</v>
      </c>
      <c r="CG8">
        <f t="shared" si="0"/>
        <v>2034</v>
      </c>
      <c r="CH8">
        <f t="shared" si="0"/>
        <v>2035</v>
      </c>
      <c r="CI8">
        <f t="shared" si="0"/>
        <v>2036</v>
      </c>
    </row>
    <row r="9" spans="2:87" ht="14.1">
      <c r="B9" s="35"/>
      <c r="C9" s="35"/>
      <c r="G9">
        <f>C2</f>
        <v>1996</v>
      </c>
      <c r="H9">
        <f>C3</f>
        <v>2027</v>
      </c>
      <c r="I9" s="7" t="s">
        <v>1234</v>
      </c>
      <c r="J9" s="7"/>
      <c r="K9" t="b">
        <f t="shared" ref="K9:AP9" si="1">K8&lt;=$C$1</f>
        <v>1</v>
      </c>
      <c r="L9" t="b">
        <f t="shared" si="1"/>
        <v>1</v>
      </c>
      <c r="M9" t="b">
        <f t="shared" si="1"/>
        <v>1</v>
      </c>
      <c r="N9" t="b">
        <f t="shared" si="1"/>
        <v>1</v>
      </c>
      <c r="O9" t="b">
        <f t="shared" si="1"/>
        <v>1</v>
      </c>
      <c r="P9" t="b">
        <f t="shared" si="1"/>
        <v>1</v>
      </c>
      <c r="Q9" t="b">
        <f t="shared" si="1"/>
        <v>1</v>
      </c>
      <c r="R9" t="b">
        <f t="shared" si="1"/>
        <v>1</v>
      </c>
      <c r="S9" t="b">
        <f t="shared" si="1"/>
        <v>1</v>
      </c>
      <c r="T9" t="b">
        <f t="shared" si="1"/>
        <v>1</v>
      </c>
      <c r="U9" t="b">
        <f t="shared" si="1"/>
        <v>1</v>
      </c>
      <c r="V9" t="b">
        <f t="shared" si="1"/>
        <v>1</v>
      </c>
      <c r="W9" t="b">
        <f t="shared" si="1"/>
        <v>1</v>
      </c>
      <c r="X9" t="b">
        <f t="shared" si="1"/>
        <v>1</v>
      </c>
      <c r="Y9" t="b">
        <f t="shared" si="1"/>
        <v>1</v>
      </c>
      <c r="Z9" t="b">
        <f t="shared" si="1"/>
        <v>1</v>
      </c>
      <c r="AA9" t="b">
        <f t="shared" si="1"/>
        <v>1</v>
      </c>
      <c r="AB9" t="b">
        <f t="shared" si="1"/>
        <v>1</v>
      </c>
      <c r="AC9" t="b">
        <f t="shared" si="1"/>
        <v>1</v>
      </c>
      <c r="AD9" t="b">
        <f t="shared" si="1"/>
        <v>1</v>
      </c>
      <c r="AE9" t="b">
        <f t="shared" si="1"/>
        <v>1</v>
      </c>
      <c r="AF9" t="b">
        <f t="shared" si="1"/>
        <v>1</v>
      </c>
      <c r="AG9" t="b">
        <f t="shared" si="1"/>
        <v>1</v>
      </c>
      <c r="AH9" t="b">
        <f t="shared" si="1"/>
        <v>1</v>
      </c>
      <c r="AI9" t="b">
        <f t="shared" si="1"/>
        <v>1</v>
      </c>
      <c r="AJ9" t="b">
        <f t="shared" si="1"/>
        <v>1</v>
      </c>
      <c r="AK9" t="b">
        <f t="shared" si="1"/>
        <v>1</v>
      </c>
      <c r="AL9" t="b">
        <f t="shared" si="1"/>
        <v>1</v>
      </c>
      <c r="AM9" t="b">
        <f t="shared" si="1"/>
        <v>1</v>
      </c>
      <c r="AN9" t="b">
        <f t="shared" si="1"/>
        <v>1</v>
      </c>
      <c r="AO9" t="b">
        <f t="shared" si="1"/>
        <v>1</v>
      </c>
      <c r="AP9" t="b">
        <f t="shared" si="1"/>
        <v>1</v>
      </c>
      <c r="AQ9" t="b">
        <f t="shared" ref="AQ9:BV9" si="2">AQ8&lt;=$C$1</f>
        <v>1</v>
      </c>
      <c r="AR9" t="b">
        <f t="shared" si="2"/>
        <v>1</v>
      </c>
      <c r="AS9" t="b">
        <f t="shared" si="2"/>
        <v>1</v>
      </c>
      <c r="AT9" t="b">
        <f t="shared" si="2"/>
        <v>1</v>
      </c>
      <c r="AU9" t="b">
        <f t="shared" si="2"/>
        <v>1</v>
      </c>
      <c r="AV9" t="b">
        <f t="shared" si="2"/>
        <v>1</v>
      </c>
      <c r="AW9" t="b">
        <f t="shared" si="2"/>
        <v>1</v>
      </c>
      <c r="AX9" t="b">
        <f t="shared" si="2"/>
        <v>1</v>
      </c>
      <c r="AY9" t="b">
        <f t="shared" si="2"/>
        <v>1</v>
      </c>
      <c r="AZ9" t="b">
        <f t="shared" si="2"/>
        <v>1</v>
      </c>
      <c r="BA9" t="b">
        <f t="shared" si="2"/>
        <v>1</v>
      </c>
      <c r="BB9" t="b">
        <f t="shared" si="2"/>
        <v>1</v>
      </c>
      <c r="BC9" t="b">
        <f t="shared" si="2"/>
        <v>1</v>
      </c>
      <c r="BD9" t="b">
        <f t="shared" si="2"/>
        <v>1</v>
      </c>
      <c r="BE9" t="b">
        <f t="shared" si="2"/>
        <v>1</v>
      </c>
      <c r="BF9" t="b">
        <f t="shared" si="2"/>
        <v>1</v>
      </c>
      <c r="BG9" t="b">
        <f t="shared" si="2"/>
        <v>1</v>
      </c>
      <c r="BH9" t="b">
        <f t="shared" si="2"/>
        <v>1</v>
      </c>
      <c r="BI9" t="b">
        <f t="shared" si="2"/>
        <v>1</v>
      </c>
      <c r="BJ9" t="b">
        <f t="shared" si="2"/>
        <v>1</v>
      </c>
      <c r="BK9" t="b">
        <f t="shared" si="2"/>
        <v>1</v>
      </c>
      <c r="BL9" t="b">
        <f t="shared" si="2"/>
        <v>1</v>
      </c>
      <c r="BM9" t="b">
        <f t="shared" si="2"/>
        <v>1</v>
      </c>
      <c r="BN9" t="b">
        <f t="shared" si="2"/>
        <v>1</v>
      </c>
      <c r="BO9" t="b">
        <f t="shared" si="2"/>
        <v>0</v>
      </c>
      <c r="BP9" t="b">
        <f t="shared" si="2"/>
        <v>0</v>
      </c>
      <c r="BQ9" t="b">
        <f t="shared" si="2"/>
        <v>0</v>
      </c>
      <c r="BR9" t="b">
        <f t="shared" si="2"/>
        <v>0</v>
      </c>
      <c r="BS9" t="b">
        <f t="shared" si="2"/>
        <v>0</v>
      </c>
      <c r="BT9" t="b">
        <f t="shared" si="2"/>
        <v>0</v>
      </c>
      <c r="BU9" t="b">
        <f t="shared" si="2"/>
        <v>0</v>
      </c>
      <c r="BV9" t="b">
        <f t="shared" si="2"/>
        <v>0</v>
      </c>
      <c r="BW9" t="b">
        <f t="shared" ref="BW9:CI9" si="3">BW8&lt;=$C$1</f>
        <v>0</v>
      </c>
      <c r="BX9" t="b">
        <f t="shared" si="3"/>
        <v>0</v>
      </c>
      <c r="BY9" t="b">
        <f t="shared" si="3"/>
        <v>0</v>
      </c>
      <c r="BZ9" t="b">
        <f t="shared" si="3"/>
        <v>0</v>
      </c>
      <c r="CA9" t="b">
        <f t="shared" si="3"/>
        <v>0</v>
      </c>
      <c r="CB9" t="b">
        <f t="shared" si="3"/>
        <v>0</v>
      </c>
      <c r="CC9" t="b">
        <f t="shared" si="3"/>
        <v>0</v>
      </c>
      <c r="CD9" t="b">
        <f t="shared" si="3"/>
        <v>0</v>
      </c>
      <c r="CE9" t="b">
        <f t="shared" si="3"/>
        <v>0</v>
      </c>
      <c r="CF9" t="b">
        <f t="shared" si="3"/>
        <v>0</v>
      </c>
      <c r="CG9" t="b">
        <f t="shared" si="3"/>
        <v>0</v>
      </c>
      <c r="CH9" t="b">
        <f t="shared" si="3"/>
        <v>0</v>
      </c>
      <c r="CI9" t="b">
        <f t="shared" si="3"/>
        <v>0</v>
      </c>
    </row>
    <row r="10" spans="2:87">
      <c r="B10" t="str">
        <f t="shared" ref="B10:B41" si="4">MID(C10,2,25)</f>
        <v>COAL_AUS</v>
      </c>
      <c r="C10" s="34" t="s">
        <v>1038</v>
      </c>
      <c r="D10" t="str">
        <f>"K"&amp;B10</f>
        <v>KCOAL_AUS</v>
      </c>
      <c r="E10" s="34" t="str">
        <f>"KF"&amp;B10</f>
        <v>KFCOAL_AUS</v>
      </c>
      <c r="F10">
        <f>MATCH(C10,'Forecast Prices'!A:A,0)</f>
        <v>5</v>
      </c>
      <c r="G10">
        <f>MATCH(E10,'Forecast Prices'!A:A,0)</f>
        <v>87</v>
      </c>
      <c r="H10" t="e">
        <f>MATCH(D10,'Annual Real'!$9:$9,0)</f>
        <v>#N/A</v>
      </c>
      <c r="I10" t="str">
        <f>INDEX('Forecast Prices'!B:B,'History and Forecast'!F10)&amp;INDEX('Forecast Prices'!C:C,'History and Forecast'!F10)&amp;INDEX('Forecast Prices'!D:D,'History and Forecast'!F10)&amp;INDEX('Forecast Prices'!E:E,'History and Forecast'!F10)</f>
        <v>Coal, Australia</v>
      </c>
      <c r="J10" t="str">
        <f>INDEX('Forecast Prices'!H:H,'History and Forecast'!F10)</f>
        <v>$/mt</v>
      </c>
      <c r="K10" s="17" t="e">
        <f>IF(K$9,INDEX('Annual Real'!$1:$1048576,'History and Forecast'!K$7,'History and Forecast'!$H10),INDEX('Forecast Prices'!$1:$1048576,'History and Forecast'!$G10,'History and Forecast'!K$6))</f>
        <v>#N/A</v>
      </c>
      <c r="L10" s="17" t="e">
        <f>IF(L$9,INDEX('Annual Real'!$1:$1048576,'History and Forecast'!L$7,'History and Forecast'!$H10),INDEX('Forecast Prices'!$1:$1048576,'History and Forecast'!$G10,'History and Forecast'!L$6))</f>
        <v>#N/A</v>
      </c>
      <c r="M10" s="17" t="e">
        <f>IF(M$9,INDEX('Annual Real'!$1:$1048576,'History and Forecast'!M$7,'History and Forecast'!$H10),INDEX('Forecast Prices'!$1:$1048576,'History and Forecast'!$G10,'History and Forecast'!M$6))</f>
        <v>#N/A</v>
      </c>
      <c r="N10" s="17" t="e">
        <f>IF(N$9,INDEX('Annual Real'!$1:$1048576,'History and Forecast'!N$7,'History and Forecast'!$H10),INDEX('Forecast Prices'!$1:$1048576,'History and Forecast'!$G10,'History and Forecast'!N$6))</f>
        <v>#N/A</v>
      </c>
      <c r="O10" s="17" t="e">
        <f>IF(O$9,INDEX('Annual Real'!$1:$1048576,'History and Forecast'!O$7,'History and Forecast'!$H10),INDEX('Forecast Prices'!$1:$1048576,'History and Forecast'!$G10,'History and Forecast'!O$6))</f>
        <v>#N/A</v>
      </c>
      <c r="P10" s="17" t="e">
        <f>IF(P$9,INDEX('Annual Real'!$1:$1048576,'History and Forecast'!P$7,'History and Forecast'!$H10),INDEX('Forecast Prices'!$1:$1048576,'History and Forecast'!$G10,'History and Forecast'!P$6))</f>
        <v>#N/A</v>
      </c>
      <c r="Q10" s="17" t="e">
        <f>IF(Q$9,INDEX('Annual Real'!$1:$1048576,'History and Forecast'!Q$7,'History and Forecast'!$H10),INDEX('Forecast Prices'!$1:$1048576,'History and Forecast'!$G10,'History and Forecast'!Q$6))</f>
        <v>#N/A</v>
      </c>
      <c r="R10" s="17" t="e">
        <f>IF(R$9,INDEX('Annual Real'!$1:$1048576,'History and Forecast'!R$7,'History and Forecast'!$H10),INDEX('Forecast Prices'!$1:$1048576,'History and Forecast'!$G10,'History and Forecast'!R$6))</f>
        <v>#N/A</v>
      </c>
      <c r="S10" s="17" t="e">
        <f>IF(S$9,INDEX('Annual Real'!$1:$1048576,'History and Forecast'!S$7,'History and Forecast'!$H10),INDEX('Forecast Prices'!$1:$1048576,'History and Forecast'!$G10,'History and Forecast'!S$6))</f>
        <v>#N/A</v>
      </c>
      <c r="T10" s="17" t="e">
        <f>IF(T$9,INDEX('Annual Real'!$1:$1048576,'History and Forecast'!T$7,'History and Forecast'!$H10),INDEX('Forecast Prices'!$1:$1048576,'History and Forecast'!$G10,'History and Forecast'!T$6))</f>
        <v>#N/A</v>
      </c>
      <c r="U10" s="17" t="e">
        <f>IF(U$9,INDEX('Annual Real'!$1:$1048576,'History and Forecast'!U$7,'History and Forecast'!$H10),INDEX('Forecast Prices'!$1:$1048576,'History and Forecast'!$G10,'History and Forecast'!U$6))</f>
        <v>#N/A</v>
      </c>
      <c r="V10" s="17" t="e">
        <f>IF(V$9,INDEX('Annual Real'!$1:$1048576,'History and Forecast'!V$7,'History and Forecast'!$H10),INDEX('Forecast Prices'!$1:$1048576,'History and Forecast'!$G10,'History and Forecast'!V$6))</f>
        <v>#N/A</v>
      </c>
      <c r="W10" s="17" t="e">
        <f>IF(W$9,INDEX('Annual Real'!$1:$1048576,'History and Forecast'!W$7,'History and Forecast'!$H10),INDEX('Forecast Prices'!$1:$1048576,'History and Forecast'!$G10,'History and Forecast'!W$6))</f>
        <v>#N/A</v>
      </c>
      <c r="X10" s="17" t="e">
        <f>IF(X$9,INDEX('Annual Real'!$1:$1048576,'History and Forecast'!X$7,'History and Forecast'!$H10),INDEX('Forecast Prices'!$1:$1048576,'History and Forecast'!$G10,'History and Forecast'!X$6))</f>
        <v>#N/A</v>
      </c>
      <c r="Y10" s="17" t="e">
        <f>IF(Y$9,INDEX('Annual Real'!$1:$1048576,'History and Forecast'!Y$7,'History and Forecast'!$H10),INDEX('Forecast Prices'!$1:$1048576,'History and Forecast'!$G10,'History and Forecast'!Y$6))</f>
        <v>#N/A</v>
      </c>
      <c r="Z10" s="17" t="e">
        <f>IF(Z$9,INDEX('Annual Real'!$1:$1048576,'History and Forecast'!Z$7,'History and Forecast'!$H10),INDEX('Forecast Prices'!$1:$1048576,'History and Forecast'!$G10,'History and Forecast'!Z$6))</f>
        <v>#N/A</v>
      </c>
      <c r="AA10" s="17" t="e">
        <f>IF(AA$9,INDEX('Annual Real'!$1:$1048576,'History and Forecast'!AA$7,'History and Forecast'!$H10),INDEX('Forecast Prices'!$1:$1048576,'History and Forecast'!$G10,'History and Forecast'!AA$6))</f>
        <v>#N/A</v>
      </c>
      <c r="AB10" s="17" t="e">
        <f>IF(AB$9,INDEX('Annual Real'!$1:$1048576,'History and Forecast'!AB$7,'History and Forecast'!$H10),INDEX('Forecast Prices'!$1:$1048576,'History and Forecast'!$G10,'History and Forecast'!AB$6))</f>
        <v>#N/A</v>
      </c>
      <c r="AC10" s="17" t="e">
        <f>IF(AC$9,INDEX('Annual Real'!$1:$1048576,'History and Forecast'!AC$7,'History and Forecast'!$H10),INDEX('Forecast Prices'!$1:$1048576,'History and Forecast'!$G10,'History and Forecast'!AC$6))</f>
        <v>#N/A</v>
      </c>
      <c r="AD10" s="17" t="e">
        <f>IF(AD$9,INDEX('Annual Real'!$1:$1048576,'History and Forecast'!AD$7,'History and Forecast'!$H10),INDEX('Forecast Prices'!$1:$1048576,'History and Forecast'!$G10,'History and Forecast'!AD$6))</f>
        <v>#N/A</v>
      </c>
      <c r="AE10" s="17" t="e">
        <f>IF(AE$9,INDEX('Annual Real'!$1:$1048576,'History and Forecast'!AE$7,'History and Forecast'!$H10),INDEX('Forecast Prices'!$1:$1048576,'History and Forecast'!$G10,'History and Forecast'!AE$6))</f>
        <v>#N/A</v>
      </c>
      <c r="AF10" s="17" t="e">
        <f>IF(AF$9,INDEX('Annual Real'!$1:$1048576,'History and Forecast'!AF$7,'History and Forecast'!$H10),INDEX('Forecast Prices'!$1:$1048576,'History and Forecast'!$G10,'History and Forecast'!AF$6))</f>
        <v>#N/A</v>
      </c>
      <c r="AG10" s="17" t="e">
        <f>IF(AG$9,INDEX('Annual Real'!$1:$1048576,'History and Forecast'!AG$7,'History and Forecast'!$H10),INDEX('Forecast Prices'!$1:$1048576,'History and Forecast'!$G10,'History and Forecast'!AG$6))</f>
        <v>#N/A</v>
      </c>
      <c r="AH10" s="17" t="e">
        <f>IF(AH$9,INDEX('Annual Real'!$1:$1048576,'History and Forecast'!AH$7,'History and Forecast'!$H10),INDEX('Forecast Prices'!$1:$1048576,'History and Forecast'!$G10,'History and Forecast'!AH$6))</f>
        <v>#N/A</v>
      </c>
      <c r="AI10" s="17" t="e">
        <f>IF(AI$9,INDEX('Annual Real'!$1:$1048576,'History and Forecast'!AI$7,'History and Forecast'!$H10),INDEX('Forecast Prices'!$1:$1048576,'History and Forecast'!$G10,'History and Forecast'!AI$6))</f>
        <v>#N/A</v>
      </c>
      <c r="AJ10" s="17" t="e">
        <f>IF(AJ$9,INDEX('Annual Real'!$1:$1048576,'History and Forecast'!AJ$7,'History and Forecast'!$H10),INDEX('Forecast Prices'!$1:$1048576,'History and Forecast'!$G10,'History and Forecast'!AJ$6))</f>
        <v>#N/A</v>
      </c>
      <c r="AK10" s="17" t="e">
        <f>IF(AK$9,INDEX('Annual Real'!$1:$1048576,'History and Forecast'!AK$7,'History and Forecast'!$H10),INDEX('Forecast Prices'!$1:$1048576,'History and Forecast'!$G10,'History and Forecast'!AK$6))</f>
        <v>#N/A</v>
      </c>
      <c r="AL10" s="17" t="e">
        <f>IF(AL$9,INDEX('Annual Real'!$1:$1048576,'History and Forecast'!AL$7,'History and Forecast'!$H10),INDEX('Forecast Prices'!$1:$1048576,'History and Forecast'!$G10,'History and Forecast'!AL$6))</f>
        <v>#N/A</v>
      </c>
      <c r="AM10" s="17" t="e">
        <f>IF(AM$9,INDEX('Annual Real'!$1:$1048576,'History and Forecast'!AM$7,'History and Forecast'!$H10),INDEX('Forecast Prices'!$1:$1048576,'History and Forecast'!$G10,'History and Forecast'!AM$6))</f>
        <v>#N/A</v>
      </c>
      <c r="AN10" s="17" t="e">
        <f>IF(AN$9,INDEX('Annual Real'!$1:$1048576,'History and Forecast'!AN$7,'History and Forecast'!$H10),INDEX('Forecast Prices'!$1:$1048576,'History and Forecast'!$G10,'History and Forecast'!AN$6))</f>
        <v>#N/A</v>
      </c>
      <c r="AO10" s="17" t="e">
        <f>IF(AO$9,INDEX('Annual Real'!$1:$1048576,'History and Forecast'!AO$7,'History and Forecast'!$H10),INDEX('Forecast Prices'!$1:$1048576,'History and Forecast'!$G10,'History and Forecast'!AO$6))</f>
        <v>#N/A</v>
      </c>
      <c r="AP10" s="17" t="e">
        <f>IF(AP$9,INDEX('Annual Real'!$1:$1048576,'History and Forecast'!AP$7,'History and Forecast'!$H10),INDEX('Forecast Prices'!$1:$1048576,'History and Forecast'!$G10,'History and Forecast'!AP$6))</f>
        <v>#N/A</v>
      </c>
      <c r="AQ10" s="17" t="e">
        <f>IF(AQ$9,INDEX('Annual Real'!$1:$1048576,'History and Forecast'!AQ$7,'History and Forecast'!$H10),INDEX('Forecast Prices'!$1:$1048576,'History and Forecast'!$G10,'History and Forecast'!AQ$6))</f>
        <v>#N/A</v>
      </c>
      <c r="AR10" s="17" t="e">
        <f>IF(AR$9,INDEX('Annual Real'!$1:$1048576,'History and Forecast'!AR$7,'History and Forecast'!$H10),INDEX('Forecast Prices'!$1:$1048576,'History and Forecast'!$G10,'History and Forecast'!AR$6))</f>
        <v>#N/A</v>
      </c>
      <c r="AS10" s="17" t="e">
        <f>IF(AS$9,INDEX('Annual Real'!$1:$1048576,'History and Forecast'!AS$7,'History and Forecast'!$H10),INDEX('Forecast Prices'!$1:$1048576,'History and Forecast'!$G10,'History and Forecast'!AS$6))</f>
        <v>#N/A</v>
      </c>
      <c r="AT10" s="17" t="e">
        <f>IF(AT$9,INDEX('Annual Real'!$1:$1048576,'History and Forecast'!AT$7,'History and Forecast'!$H10),INDEX('Forecast Prices'!$1:$1048576,'History and Forecast'!$G10,'History and Forecast'!AT$6))</f>
        <v>#N/A</v>
      </c>
      <c r="AU10" s="17" t="e">
        <f>IF(AU$9,INDEX('Annual Real'!$1:$1048576,'History and Forecast'!AU$7,'History and Forecast'!$H10),INDEX('Forecast Prices'!$1:$1048576,'History and Forecast'!$G10,'History and Forecast'!AU$6))</f>
        <v>#N/A</v>
      </c>
      <c r="AV10" s="17" t="e">
        <f>IF(AV$9,INDEX('Annual Real'!$1:$1048576,'History and Forecast'!AV$7,'History and Forecast'!$H10),INDEX('Forecast Prices'!$1:$1048576,'History and Forecast'!$G10,'History and Forecast'!AV$6))</f>
        <v>#N/A</v>
      </c>
      <c r="AW10" s="17" t="e">
        <f>IF(AW$9,INDEX('Annual Real'!$1:$1048576,'History and Forecast'!AW$7,'History and Forecast'!$H10),INDEX('Forecast Prices'!$1:$1048576,'History and Forecast'!$G10,'History and Forecast'!AW$6))</f>
        <v>#N/A</v>
      </c>
      <c r="AX10" s="17" t="e">
        <f>IF(AX$9,INDEX('Annual Real'!$1:$1048576,'History and Forecast'!AX$7,'History and Forecast'!$H10),INDEX('Forecast Prices'!$1:$1048576,'History and Forecast'!$G10,'History and Forecast'!AX$6))</f>
        <v>#N/A</v>
      </c>
      <c r="AY10" s="17" t="e">
        <f>IF(AY$9,INDEX('Annual Real'!$1:$1048576,'History and Forecast'!AY$7,'History and Forecast'!$H10),INDEX('Forecast Prices'!$1:$1048576,'History and Forecast'!$G10,'History and Forecast'!AY$6))</f>
        <v>#N/A</v>
      </c>
      <c r="AZ10" s="17" t="e">
        <f>IF(AZ$9,INDEX('Annual Real'!$1:$1048576,'History and Forecast'!AZ$7,'History and Forecast'!$H10),INDEX('Forecast Prices'!$1:$1048576,'History and Forecast'!$G10,'History and Forecast'!AZ$6))</f>
        <v>#N/A</v>
      </c>
      <c r="BA10" s="17" t="e">
        <f>IF(BA$9,INDEX('Annual Real'!$1:$1048576,'History and Forecast'!BA$7,'History and Forecast'!$H10),INDEX('Forecast Prices'!$1:$1048576,'History and Forecast'!$G10,'History and Forecast'!BA$6))</f>
        <v>#N/A</v>
      </c>
      <c r="BB10" s="17" t="e">
        <f>IF(BB$9,INDEX('Annual Real'!$1:$1048576,'History and Forecast'!BB$7,'History and Forecast'!$H10),INDEX('Forecast Prices'!$1:$1048576,'History and Forecast'!$G10,'History and Forecast'!BB$6))</f>
        <v>#N/A</v>
      </c>
      <c r="BC10" s="17" t="e">
        <f>IF(BC$9,INDEX('Annual Real'!$1:$1048576,'History and Forecast'!BC$7,'History and Forecast'!$H10),INDEX('Forecast Prices'!$1:$1048576,'History and Forecast'!$G10,'History and Forecast'!BC$6))</f>
        <v>#N/A</v>
      </c>
      <c r="BD10" s="17" t="e">
        <f>IF(BD$9,INDEX('Annual Real'!$1:$1048576,'History and Forecast'!BD$7,'History and Forecast'!$H10),INDEX('Forecast Prices'!$1:$1048576,'History and Forecast'!$G10,'History and Forecast'!BD$6))</f>
        <v>#N/A</v>
      </c>
      <c r="BE10" s="17" t="e">
        <f>IF(BE$9,INDEX('Annual Real'!$1:$1048576,'History and Forecast'!BE$7,'History and Forecast'!$H10),INDEX('Forecast Prices'!$1:$1048576,'History and Forecast'!$G10,'History and Forecast'!BE$6))</f>
        <v>#N/A</v>
      </c>
      <c r="BF10" s="17" t="e">
        <f>IF(BF$9,INDEX('Annual Real'!$1:$1048576,'History and Forecast'!BF$7,'History and Forecast'!$H10),INDEX('Forecast Prices'!$1:$1048576,'History and Forecast'!$G10,'History and Forecast'!BF$6))</f>
        <v>#N/A</v>
      </c>
      <c r="BG10" s="17" t="e">
        <f>IF(BG$9,INDEX('Annual Real'!$1:$1048576,'History and Forecast'!BG$7,'History and Forecast'!$H10),INDEX('Forecast Prices'!$1:$1048576,'History and Forecast'!$G10,'History and Forecast'!BG$6))</f>
        <v>#N/A</v>
      </c>
      <c r="BH10" s="17" t="e">
        <f>IF(BH$9,INDEX('Annual Real'!$1:$1048576,'History and Forecast'!BH$7,'History and Forecast'!$H10),INDEX('Forecast Prices'!$1:$1048576,'History and Forecast'!$G10,'History and Forecast'!BH$6))</f>
        <v>#N/A</v>
      </c>
      <c r="BI10" s="17" t="e">
        <f>IF(BI$9,INDEX('Annual Real'!$1:$1048576,'History and Forecast'!BI$7,'History and Forecast'!$H10),INDEX('Forecast Prices'!$1:$1048576,'History and Forecast'!$G10,'History and Forecast'!BI$6))</f>
        <v>#N/A</v>
      </c>
      <c r="BJ10" s="17" t="e">
        <f>IF(BJ$9,INDEX('Annual Real'!$1:$1048576,'History and Forecast'!BJ$7,'History and Forecast'!$H10),INDEX('Forecast Prices'!$1:$1048576,'History and Forecast'!$G10,'History and Forecast'!BJ$6))</f>
        <v>#N/A</v>
      </c>
      <c r="BK10" s="17" t="e">
        <f>IF(BK$9,INDEX('Annual Real'!$1:$1048576,'History and Forecast'!BK$7,'History and Forecast'!$H10),INDEX('Forecast Prices'!$1:$1048576,'History and Forecast'!$G10,'History and Forecast'!BK$6))</f>
        <v>#N/A</v>
      </c>
      <c r="BL10" s="17" t="e">
        <f>IF(BL$9,INDEX('Annual Real'!$1:$1048576,'History and Forecast'!BL$7,'History and Forecast'!$H10),INDEX('Forecast Prices'!$1:$1048576,'History and Forecast'!$G10,'History and Forecast'!BL$6))</f>
        <v>#N/A</v>
      </c>
      <c r="BM10" s="17" t="e">
        <f>IF(BM$9,INDEX('Annual Real'!$1:$1048576,'History and Forecast'!BM$7,'History and Forecast'!$H10),INDEX('Forecast Prices'!$1:$1048576,'History and Forecast'!$G10,'History and Forecast'!BM$6))</f>
        <v>#N/A</v>
      </c>
      <c r="BN10" s="17" t="e">
        <f>IF(BN$9,INDEX('Annual Real'!$1:$1048576,'History and Forecast'!BN$7,'History and Forecast'!$H10),INDEX('Forecast Prices'!$1:$1048576,'History and Forecast'!$G10,'History and Forecast'!BN$6))</f>
        <v>#N/A</v>
      </c>
      <c r="BO10" s="17">
        <f>IF(BO$9,INDEX('Annual Real'!$1:$1048576,'History and Forecast'!BO$7,'History and Forecast'!$H10),INDEX('Forecast Prices'!$1:$1048576,'History and Forecast'!$G10,'History and Forecast'!BO$6))</f>
        <v>70.319801828976594</v>
      </c>
      <c r="BP10" s="17">
        <f>IF(BP$9,INDEX('Annual Real'!$1:$1048576,'History and Forecast'!BP$7,'History and Forecast'!$H10),INDEX('Forecast Prices'!$1:$1048576,'History and Forecast'!$G10,'History and Forecast'!BP$6))</f>
        <v>90.988540757278798</v>
      </c>
      <c r="BQ10" s="17">
        <f>IF(BQ$9,INDEX('Annual Real'!$1:$1048576,'History and Forecast'!BQ$7,'History and Forecast'!$H10),INDEX('Forecast Prices'!$1:$1048576,'History and Forecast'!$G10,'History and Forecast'!BQ$6))</f>
        <v>105.069979487833</v>
      </c>
      <c r="BR10" s="17">
        <f>IF(BR$9,INDEX('Annual Real'!$1:$1048576,'History and Forecast'!BR$7,'History and Forecast'!$H10),INDEX('Forecast Prices'!$1:$1048576,'History and Forecast'!$G10,'History and Forecast'!BR$6))</f>
        <v>90.489867482154807</v>
      </c>
      <c r="BS10" s="17">
        <f>IF(BS$9,INDEX('Annual Real'!$1:$1048576,'History and Forecast'!BS$7,'History and Forecast'!$H10),INDEX('Forecast Prices'!$1:$1048576,'History and Forecast'!$G10,'History and Forecast'!BS$6))</f>
        <v>85.190360033489597</v>
      </c>
      <c r="BT10" s="17">
        <f>IF(BT$9,INDEX('Annual Real'!$1:$1048576,'History and Forecast'!BT$7,'History and Forecast'!$H10),INDEX('Forecast Prices'!$1:$1048576,'History and Forecast'!$G10,'History and Forecast'!BT$6))</f>
        <v>80.456993800005407</v>
      </c>
      <c r="BU10" s="17">
        <f>IF(BU$9,INDEX('Annual Real'!$1:$1048576,'History and Forecast'!BU$7,'History and Forecast'!$H10),INDEX('Forecast Prices'!$1:$1048576,'History and Forecast'!$G10,'History and Forecast'!BU$6))</f>
        <v>75.925711073351096</v>
      </c>
      <c r="BV10" s="17">
        <f>IF(BV$9,INDEX('Annual Real'!$1:$1048576,'History and Forecast'!BV$7,'History and Forecast'!$H10),INDEX('Forecast Prices'!$1:$1048576,'History and Forecast'!$G10,'History and Forecast'!BV$6))</f>
        <v>71.655950488290699</v>
      </c>
      <c r="BW10" s="17">
        <f>IF(BW$9,INDEX('Annual Real'!$1:$1048576,'History and Forecast'!BW$7,'History and Forecast'!$H10),INDEX('Forecast Prices'!$1:$1048576,'History and Forecast'!$G10,'History and Forecast'!BW$6))</f>
        <v>67.626281862438006</v>
      </c>
      <c r="BX10" s="17">
        <f>IF(BX$9,INDEX('Annual Real'!$1:$1048576,'History and Forecast'!BX$7,'History and Forecast'!$H10),INDEX('Forecast Prices'!$1:$1048576,'History and Forecast'!$G10,'History and Forecast'!BX$6))</f>
        <v>63.819546135371702</v>
      </c>
      <c r="BY10" s="17" t="e">
        <f>IF(BY$9,INDEX('Annual Real'!$1:$1048576,'History and Forecast'!BY$7,'History and Forecast'!$H10),INDEX('Forecast Prices'!$1:$1048576,'History and Forecast'!$G10,'History and Forecast'!BY$6))</f>
        <v>#N/A</v>
      </c>
      <c r="BZ10" s="17" t="e">
        <f>IF(BZ$9,INDEX('Annual Real'!$1:$1048576,'History and Forecast'!BZ$7,'History and Forecast'!$H10),INDEX('Forecast Prices'!$1:$1048576,'History and Forecast'!$G10,'History and Forecast'!BZ$6))</f>
        <v>#N/A</v>
      </c>
      <c r="CA10" s="17" t="e">
        <f>IF(CA$9,INDEX('Annual Real'!$1:$1048576,'History and Forecast'!CA$7,'History and Forecast'!$H10),INDEX('Forecast Prices'!$1:$1048576,'History and Forecast'!$G10,'History and Forecast'!CA$6))</f>
        <v>#N/A</v>
      </c>
      <c r="CB10" s="17" t="e">
        <f>IF(CB$9,INDEX('Annual Real'!$1:$1048576,'History and Forecast'!CB$7,'History and Forecast'!$H10),INDEX('Forecast Prices'!$1:$1048576,'History and Forecast'!$G10,'History and Forecast'!CB$6))</f>
        <v>#N/A</v>
      </c>
      <c r="CC10" s="17">
        <f>IF(CC$9,INDEX('Annual Real'!$1:$1048576,'History and Forecast'!CC$7,'History and Forecast'!$H10),INDEX('Forecast Prices'!$1:$1048576,'History and Forecast'!$G10,'History and Forecast'!CC$6))</f>
        <v>47.695871557672803</v>
      </c>
      <c r="CD10" s="17" t="e">
        <f>IF(CD$9,INDEX('Annual Real'!$1:$1048576,'History and Forecast'!CD$7,'History and Forecast'!$H10),INDEX('Forecast Prices'!$1:$1048576,'History and Forecast'!$G10,'History and Forecast'!CD$6))</f>
        <v>#N/A</v>
      </c>
      <c r="CE10" s="17" t="e">
        <f>IF(CE$9,INDEX('Annual Real'!$1:$1048576,'History and Forecast'!CE$7,'History and Forecast'!$H10),INDEX('Forecast Prices'!$1:$1048576,'History and Forecast'!$G10,'History and Forecast'!CE$6))</f>
        <v>#N/A</v>
      </c>
      <c r="CF10" s="17" t="e">
        <f>IF(CF$9,INDEX('Annual Real'!$1:$1048576,'History and Forecast'!CF$7,'History and Forecast'!$H10),INDEX('Forecast Prices'!$1:$1048576,'History and Forecast'!$G10,'History and Forecast'!CF$6))</f>
        <v>#N/A</v>
      </c>
      <c r="CG10" s="17" t="e">
        <f>IF(CG$9,INDEX('Annual Real'!$1:$1048576,'History and Forecast'!CG$7,'History and Forecast'!$H10),INDEX('Forecast Prices'!$1:$1048576,'History and Forecast'!$G10,'History and Forecast'!CG$6))</f>
        <v>#N/A</v>
      </c>
      <c r="CH10" s="17" t="e">
        <f>IF(CH$9,INDEX('Annual Real'!$1:$1048576,'History and Forecast'!CH$7,'History and Forecast'!$H10),INDEX('Forecast Prices'!$1:$1048576,'History and Forecast'!$G10,'History and Forecast'!CH$6))</f>
        <v>#N/A</v>
      </c>
      <c r="CI10" s="17" t="e">
        <f>IF(CI$9,INDEX('Annual Real'!$1:$1048576,'History and Forecast'!CI$7,'History and Forecast'!$H10),INDEX('Forecast Prices'!$1:$1048576,'History and Forecast'!$G10,'History and Forecast'!CI$6))</f>
        <v>#N/A</v>
      </c>
    </row>
    <row r="11" spans="2:87">
      <c r="B11" t="str">
        <f t="shared" si="4"/>
        <v>CRUDE_PETRO</v>
      </c>
      <c r="C11" s="34" t="s">
        <v>1041</v>
      </c>
      <c r="D11" t="str">
        <f t="shared" ref="D11:D55" si="5">"K"&amp;B11</f>
        <v>KCRUDE_PETRO</v>
      </c>
      <c r="E11" s="34" t="str">
        <f t="shared" ref="E11:E55" si="6">"KF"&amp;B11</f>
        <v>KFCRUDE_PETRO</v>
      </c>
      <c r="F11">
        <f>MATCH(C11,'Forecast Prices'!A:A,0)</f>
        <v>6</v>
      </c>
      <c r="G11">
        <f>MATCH(E11,'Forecast Prices'!A:A,0)</f>
        <v>88</v>
      </c>
      <c r="H11" t="e">
        <f>MATCH(D11,'Annual Real'!$9:$9,0)</f>
        <v>#N/A</v>
      </c>
      <c r="I11" t="str">
        <f>INDEX('Forecast Prices'!B:B,'History and Forecast'!F11)&amp;INDEX('Forecast Prices'!C:C,'History and Forecast'!F11)&amp;INDEX('Forecast Prices'!D:D,'History and Forecast'!F11)&amp;INDEX('Forecast Prices'!E:E,'History and Forecast'!F11)</f>
        <v>Crude oil, avg</v>
      </c>
      <c r="J11" t="str">
        <f>INDEX('Forecast Prices'!H:H,'History and Forecast'!F11)</f>
        <v>$/bbl</v>
      </c>
      <c r="K11" s="17" t="e">
        <f>IF(K$9,INDEX('Annual Real'!$1:$1048576,'History and Forecast'!K$7,'History and Forecast'!$H11),INDEX('Forecast Prices'!$1:$1048576,'History and Forecast'!$G11,'History and Forecast'!K$6))</f>
        <v>#N/A</v>
      </c>
      <c r="L11" s="17" t="e">
        <f>IF(L$9,INDEX('Annual Real'!$1:$1048576,'History and Forecast'!L$7,'History and Forecast'!$H11),INDEX('Forecast Prices'!$1:$1048576,'History and Forecast'!$G11,'History and Forecast'!L$6))</f>
        <v>#N/A</v>
      </c>
      <c r="M11" s="17" t="e">
        <f>IF(M$9,INDEX('Annual Real'!$1:$1048576,'History and Forecast'!M$7,'History and Forecast'!$H11),INDEX('Forecast Prices'!$1:$1048576,'History and Forecast'!$G11,'History and Forecast'!M$6))</f>
        <v>#N/A</v>
      </c>
      <c r="N11" s="17" t="e">
        <f>IF(N$9,INDEX('Annual Real'!$1:$1048576,'History and Forecast'!N$7,'History and Forecast'!$H11),INDEX('Forecast Prices'!$1:$1048576,'History and Forecast'!$G11,'History and Forecast'!N$6))</f>
        <v>#N/A</v>
      </c>
      <c r="O11" s="17" t="e">
        <f>IF(O$9,INDEX('Annual Real'!$1:$1048576,'History and Forecast'!O$7,'History and Forecast'!$H11),INDEX('Forecast Prices'!$1:$1048576,'History and Forecast'!$G11,'History and Forecast'!O$6))</f>
        <v>#N/A</v>
      </c>
      <c r="P11" s="17" t="e">
        <f>IF(P$9,INDEX('Annual Real'!$1:$1048576,'History and Forecast'!P$7,'History and Forecast'!$H11),INDEX('Forecast Prices'!$1:$1048576,'History and Forecast'!$G11,'History and Forecast'!P$6))</f>
        <v>#N/A</v>
      </c>
      <c r="Q11" s="17" t="e">
        <f>IF(Q$9,INDEX('Annual Real'!$1:$1048576,'History and Forecast'!Q$7,'History and Forecast'!$H11),INDEX('Forecast Prices'!$1:$1048576,'History and Forecast'!$G11,'History and Forecast'!Q$6))</f>
        <v>#N/A</v>
      </c>
      <c r="R11" s="17" t="e">
        <f>IF(R$9,INDEX('Annual Real'!$1:$1048576,'History and Forecast'!R$7,'History and Forecast'!$H11),INDEX('Forecast Prices'!$1:$1048576,'History and Forecast'!$G11,'History and Forecast'!R$6))</f>
        <v>#N/A</v>
      </c>
      <c r="S11" s="17" t="e">
        <f>IF(S$9,INDEX('Annual Real'!$1:$1048576,'History and Forecast'!S$7,'History and Forecast'!$H11),INDEX('Forecast Prices'!$1:$1048576,'History and Forecast'!$G11,'History and Forecast'!S$6))</f>
        <v>#N/A</v>
      </c>
      <c r="T11" s="17" t="e">
        <f>IF(T$9,INDEX('Annual Real'!$1:$1048576,'History and Forecast'!T$7,'History and Forecast'!$H11),INDEX('Forecast Prices'!$1:$1048576,'History and Forecast'!$G11,'History and Forecast'!T$6))</f>
        <v>#N/A</v>
      </c>
      <c r="U11" s="17" t="e">
        <f>IF(U$9,INDEX('Annual Real'!$1:$1048576,'History and Forecast'!U$7,'History and Forecast'!$H11),INDEX('Forecast Prices'!$1:$1048576,'History and Forecast'!$G11,'History and Forecast'!U$6))</f>
        <v>#N/A</v>
      </c>
      <c r="V11" s="17" t="e">
        <f>IF(V$9,INDEX('Annual Real'!$1:$1048576,'History and Forecast'!V$7,'History and Forecast'!$H11),INDEX('Forecast Prices'!$1:$1048576,'History and Forecast'!$G11,'History and Forecast'!V$6))</f>
        <v>#N/A</v>
      </c>
      <c r="W11" s="17" t="e">
        <f>IF(W$9,INDEX('Annual Real'!$1:$1048576,'History and Forecast'!W$7,'History and Forecast'!$H11),INDEX('Forecast Prices'!$1:$1048576,'History and Forecast'!$G11,'History and Forecast'!W$6))</f>
        <v>#N/A</v>
      </c>
      <c r="X11" s="17" t="e">
        <f>IF(X$9,INDEX('Annual Real'!$1:$1048576,'History and Forecast'!X$7,'History and Forecast'!$H11),INDEX('Forecast Prices'!$1:$1048576,'History and Forecast'!$G11,'History and Forecast'!X$6))</f>
        <v>#N/A</v>
      </c>
      <c r="Y11" s="17" t="e">
        <f>IF(Y$9,INDEX('Annual Real'!$1:$1048576,'History and Forecast'!Y$7,'History and Forecast'!$H11),INDEX('Forecast Prices'!$1:$1048576,'History and Forecast'!$G11,'History and Forecast'!Y$6))</f>
        <v>#N/A</v>
      </c>
      <c r="Z11" s="17" t="e">
        <f>IF(Z$9,INDEX('Annual Real'!$1:$1048576,'History and Forecast'!Z$7,'History and Forecast'!$H11),INDEX('Forecast Prices'!$1:$1048576,'History and Forecast'!$G11,'History and Forecast'!Z$6))</f>
        <v>#N/A</v>
      </c>
      <c r="AA11" s="17" t="e">
        <f>IF(AA$9,INDEX('Annual Real'!$1:$1048576,'History and Forecast'!AA$7,'History and Forecast'!$H11),INDEX('Forecast Prices'!$1:$1048576,'History and Forecast'!$G11,'History and Forecast'!AA$6))</f>
        <v>#N/A</v>
      </c>
      <c r="AB11" s="17" t="e">
        <f>IF(AB$9,INDEX('Annual Real'!$1:$1048576,'History and Forecast'!AB$7,'History and Forecast'!$H11),INDEX('Forecast Prices'!$1:$1048576,'History and Forecast'!$G11,'History and Forecast'!AB$6))</f>
        <v>#N/A</v>
      </c>
      <c r="AC11" s="17" t="e">
        <f>IF(AC$9,INDEX('Annual Real'!$1:$1048576,'History and Forecast'!AC$7,'History and Forecast'!$H11),INDEX('Forecast Prices'!$1:$1048576,'History and Forecast'!$G11,'History and Forecast'!AC$6))</f>
        <v>#N/A</v>
      </c>
      <c r="AD11" s="17" t="e">
        <f>IF(AD$9,INDEX('Annual Real'!$1:$1048576,'History and Forecast'!AD$7,'History and Forecast'!$H11),INDEX('Forecast Prices'!$1:$1048576,'History and Forecast'!$G11,'History and Forecast'!AD$6))</f>
        <v>#N/A</v>
      </c>
      <c r="AE11" s="17" t="e">
        <f>IF(AE$9,INDEX('Annual Real'!$1:$1048576,'History and Forecast'!AE$7,'History and Forecast'!$H11),INDEX('Forecast Prices'!$1:$1048576,'History and Forecast'!$G11,'History and Forecast'!AE$6))</f>
        <v>#N/A</v>
      </c>
      <c r="AF11" s="17" t="e">
        <f>IF(AF$9,INDEX('Annual Real'!$1:$1048576,'History and Forecast'!AF$7,'History and Forecast'!$H11),INDEX('Forecast Prices'!$1:$1048576,'History and Forecast'!$G11,'History and Forecast'!AF$6))</f>
        <v>#N/A</v>
      </c>
      <c r="AG11" s="17" t="e">
        <f>IF(AG$9,INDEX('Annual Real'!$1:$1048576,'History and Forecast'!AG$7,'History and Forecast'!$H11),INDEX('Forecast Prices'!$1:$1048576,'History and Forecast'!$G11,'History and Forecast'!AG$6))</f>
        <v>#N/A</v>
      </c>
      <c r="AH11" s="17" t="e">
        <f>IF(AH$9,INDEX('Annual Real'!$1:$1048576,'History and Forecast'!AH$7,'History and Forecast'!$H11),INDEX('Forecast Prices'!$1:$1048576,'History and Forecast'!$G11,'History and Forecast'!AH$6))</f>
        <v>#N/A</v>
      </c>
      <c r="AI11" s="17" t="e">
        <f>IF(AI$9,INDEX('Annual Real'!$1:$1048576,'History and Forecast'!AI$7,'History and Forecast'!$H11),INDEX('Forecast Prices'!$1:$1048576,'History and Forecast'!$G11,'History and Forecast'!AI$6))</f>
        <v>#N/A</v>
      </c>
      <c r="AJ11" s="17" t="e">
        <f>IF(AJ$9,INDEX('Annual Real'!$1:$1048576,'History and Forecast'!AJ$7,'History and Forecast'!$H11),INDEX('Forecast Prices'!$1:$1048576,'History and Forecast'!$G11,'History and Forecast'!AJ$6))</f>
        <v>#N/A</v>
      </c>
      <c r="AK11" s="17" t="e">
        <f>IF(AK$9,INDEX('Annual Real'!$1:$1048576,'History and Forecast'!AK$7,'History and Forecast'!$H11),INDEX('Forecast Prices'!$1:$1048576,'History and Forecast'!$G11,'History and Forecast'!AK$6))</f>
        <v>#N/A</v>
      </c>
      <c r="AL11" s="17" t="e">
        <f>IF(AL$9,INDEX('Annual Real'!$1:$1048576,'History and Forecast'!AL$7,'History and Forecast'!$H11),INDEX('Forecast Prices'!$1:$1048576,'History and Forecast'!$G11,'History and Forecast'!AL$6))</f>
        <v>#N/A</v>
      </c>
      <c r="AM11" s="17" t="e">
        <f>IF(AM$9,INDEX('Annual Real'!$1:$1048576,'History and Forecast'!AM$7,'History and Forecast'!$H11),INDEX('Forecast Prices'!$1:$1048576,'History and Forecast'!$G11,'History and Forecast'!AM$6))</f>
        <v>#N/A</v>
      </c>
      <c r="AN11" s="17" t="e">
        <f>IF(AN$9,INDEX('Annual Real'!$1:$1048576,'History and Forecast'!AN$7,'History and Forecast'!$H11),INDEX('Forecast Prices'!$1:$1048576,'History and Forecast'!$G11,'History and Forecast'!AN$6))</f>
        <v>#N/A</v>
      </c>
      <c r="AO11" s="17" t="e">
        <f>IF(AO$9,INDEX('Annual Real'!$1:$1048576,'History and Forecast'!AO$7,'History and Forecast'!$H11),INDEX('Forecast Prices'!$1:$1048576,'History and Forecast'!$G11,'History and Forecast'!AO$6))</f>
        <v>#N/A</v>
      </c>
      <c r="AP11" s="17" t="e">
        <f>IF(AP$9,INDEX('Annual Real'!$1:$1048576,'History and Forecast'!AP$7,'History and Forecast'!$H11),INDEX('Forecast Prices'!$1:$1048576,'History and Forecast'!$G11,'History and Forecast'!AP$6))</f>
        <v>#N/A</v>
      </c>
      <c r="AQ11" s="17" t="e">
        <f>IF(AQ$9,INDEX('Annual Real'!$1:$1048576,'History and Forecast'!AQ$7,'History and Forecast'!$H11),INDEX('Forecast Prices'!$1:$1048576,'History and Forecast'!$G11,'History and Forecast'!AQ$6))</f>
        <v>#N/A</v>
      </c>
      <c r="AR11" s="17" t="e">
        <f>IF(AR$9,INDEX('Annual Real'!$1:$1048576,'History and Forecast'!AR$7,'History and Forecast'!$H11),INDEX('Forecast Prices'!$1:$1048576,'History and Forecast'!$G11,'History and Forecast'!AR$6))</f>
        <v>#N/A</v>
      </c>
      <c r="AS11" s="17" t="e">
        <f>IF(AS$9,INDEX('Annual Real'!$1:$1048576,'History and Forecast'!AS$7,'History and Forecast'!$H11),INDEX('Forecast Prices'!$1:$1048576,'History and Forecast'!$G11,'History and Forecast'!AS$6))</f>
        <v>#N/A</v>
      </c>
      <c r="AT11" s="17" t="e">
        <f>IF(AT$9,INDEX('Annual Real'!$1:$1048576,'History and Forecast'!AT$7,'History and Forecast'!$H11),INDEX('Forecast Prices'!$1:$1048576,'History and Forecast'!$G11,'History and Forecast'!AT$6))</f>
        <v>#N/A</v>
      </c>
      <c r="AU11" s="17" t="e">
        <f>IF(AU$9,INDEX('Annual Real'!$1:$1048576,'History and Forecast'!AU$7,'History and Forecast'!$H11),INDEX('Forecast Prices'!$1:$1048576,'History and Forecast'!$G11,'History and Forecast'!AU$6))</f>
        <v>#N/A</v>
      </c>
      <c r="AV11" s="17" t="e">
        <f>IF(AV$9,INDEX('Annual Real'!$1:$1048576,'History and Forecast'!AV$7,'History and Forecast'!$H11),INDEX('Forecast Prices'!$1:$1048576,'History and Forecast'!$G11,'History and Forecast'!AV$6))</f>
        <v>#N/A</v>
      </c>
      <c r="AW11" s="17" t="e">
        <f>IF(AW$9,INDEX('Annual Real'!$1:$1048576,'History and Forecast'!AW$7,'History and Forecast'!$H11),INDEX('Forecast Prices'!$1:$1048576,'History and Forecast'!$G11,'History and Forecast'!AW$6))</f>
        <v>#N/A</v>
      </c>
      <c r="AX11" s="17" t="e">
        <f>IF(AX$9,INDEX('Annual Real'!$1:$1048576,'History and Forecast'!AX$7,'History and Forecast'!$H11),INDEX('Forecast Prices'!$1:$1048576,'History and Forecast'!$G11,'History and Forecast'!AX$6))</f>
        <v>#N/A</v>
      </c>
      <c r="AY11" s="17" t="e">
        <f>IF(AY$9,INDEX('Annual Real'!$1:$1048576,'History and Forecast'!AY$7,'History and Forecast'!$H11),INDEX('Forecast Prices'!$1:$1048576,'History and Forecast'!$G11,'History and Forecast'!AY$6))</f>
        <v>#N/A</v>
      </c>
      <c r="AZ11" s="17" t="e">
        <f>IF(AZ$9,INDEX('Annual Real'!$1:$1048576,'History and Forecast'!AZ$7,'History and Forecast'!$H11),INDEX('Forecast Prices'!$1:$1048576,'History and Forecast'!$G11,'History and Forecast'!AZ$6))</f>
        <v>#N/A</v>
      </c>
      <c r="BA11" s="17" t="e">
        <f>IF(BA$9,INDEX('Annual Real'!$1:$1048576,'History and Forecast'!BA$7,'History and Forecast'!$H11),INDEX('Forecast Prices'!$1:$1048576,'History and Forecast'!$G11,'History and Forecast'!BA$6))</f>
        <v>#N/A</v>
      </c>
      <c r="BB11" s="17" t="e">
        <f>IF(BB$9,INDEX('Annual Real'!$1:$1048576,'History and Forecast'!BB$7,'History and Forecast'!$H11),INDEX('Forecast Prices'!$1:$1048576,'History and Forecast'!$G11,'History and Forecast'!BB$6))</f>
        <v>#N/A</v>
      </c>
      <c r="BC11" s="17" t="e">
        <f>IF(BC$9,INDEX('Annual Real'!$1:$1048576,'History and Forecast'!BC$7,'History and Forecast'!$H11),INDEX('Forecast Prices'!$1:$1048576,'History and Forecast'!$G11,'History and Forecast'!BC$6))</f>
        <v>#N/A</v>
      </c>
      <c r="BD11" s="17" t="e">
        <f>IF(BD$9,INDEX('Annual Real'!$1:$1048576,'History and Forecast'!BD$7,'History and Forecast'!$H11),INDEX('Forecast Prices'!$1:$1048576,'History and Forecast'!$G11,'History and Forecast'!BD$6))</f>
        <v>#N/A</v>
      </c>
      <c r="BE11" s="17" t="e">
        <f>IF(BE$9,INDEX('Annual Real'!$1:$1048576,'History and Forecast'!BE$7,'History and Forecast'!$H11),INDEX('Forecast Prices'!$1:$1048576,'History and Forecast'!$G11,'History and Forecast'!BE$6))</f>
        <v>#N/A</v>
      </c>
      <c r="BF11" s="17" t="e">
        <f>IF(BF$9,INDEX('Annual Real'!$1:$1048576,'History and Forecast'!BF$7,'History and Forecast'!$H11),INDEX('Forecast Prices'!$1:$1048576,'History and Forecast'!$G11,'History and Forecast'!BF$6))</f>
        <v>#N/A</v>
      </c>
      <c r="BG11" s="17" t="e">
        <f>IF(BG$9,INDEX('Annual Real'!$1:$1048576,'History and Forecast'!BG$7,'History and Forecast'!$H11),INDEX('Forecast Prices'!$1:$1048576,'History and Forecast'!$G11,'History and Forecast'!BG$6))</f>
        <v>#N/A</v>
      </c>
      <c r="BH11" s="17" t="e">
        <f>IF(BH$9,INDEX('Annual Real'!$1:$1048576,'History and Forecast'!BH$7,'History and Forecast'!$H11),INDEX('Forecast Prices'!$1:$1048576,'History and Forecast'!$G11,'History and Forecast'!BH$6))</f>
        <v>#N/A</v>
      </c>
      <c r="BI11" s="17" t="e">
        <f>IF(BI$9,INDEX('Annual Real'!$1:$1048576,'History and Forecast'!BI$7,'History and Forecast'!$H11),INDEX('Forecast Prices'!$1:$1048576,'History and Forecast'!$G11,'History and Forecast'!BI$6))</f>
        <v>#N/A</v>
      </c>
      <c r="BJ11" s="17" t="e">
        <f>IF(BJ$9,INDEX('Annual Real'!$1:$1048576,'History and Forecast'!BJ$7,'History and Forecast'!$H11),INDEX('Forecast Prices'!$1:$1048576,'History and Forecast'!$G11,'History and Forecast'!BJ$6))</f>
        <v>#N/A</v>
      </c>
      <c r="BK11" s="17" t="e">
        <f>IF(BK$9,INDEX('Annual Real'!$1:$1048576,'History and Forecast'!BK$7,'History and Forecast'!$H11),INDEX('Forecast Prices'!$1:$1048576,'History and Forecast'!$G11,'History and Forecast'!BK$6))</f>
        <v>#N/A</v>
      </c>
      <c r="BL11" s="17" t="e">
        <f>IF(BL$9,INDEX('Annual Real'!$1:$1048576,'History and Forecast'!BL$7,'History and Forecast'!$H11),INDEX('Forecast Prices'!$1:$1048576,'History and Forecast'!$G11,'History and Forecast'!BL$6))</f>
        <v>#N/A</v>
      </c>
      <c r="BM11" s="17" t="e">
        <f>IF(BM$9,INDEX('Annual Real'!$1:$1048576,'History and Forecast'!BM$7,'History and Forecast'!$H11),INDEX('Forecast Prices'!$1:$1048576,'History and Forecast'!$G11,'History and Forecast'!BM$6))</f>
        <v>#N/A</v>
      </c>
      <c r="BN11" s="17" t="e">
        <f>IF(BN$9,INDEX('Annual Real'!$1:$1048576,'History and Forecast'!BN$7,'History and Forecast'!$H11),INDEX('Forecast Prices'!$1:$1048576,'History and Forecast'!$G11,'History and Forecast'!BN$6))</f>
        <v>#N/A</v>
      </c>
      <c r="BO11" s="17">
        <f>IF(BO$9,INDEX('Annual Real'!$1:$1048576,'History and Forecast'!BO$7,'History and Forecast'!$H11),INDEX('Forecast Prices'!$1:$1048576,'History and Forecast'!$G11,'History and Forecast'!BO$6))</f>
        <v>45.5289728675681</v>
      </c>
      <c r="BP11" s="17">
        <f>IF(BP$9,INDEX('Annual Real'!$1:$1048576,'History and Forecast'!BP$7,'History and Forecast'!$H11),INDEX('Forecast Prices'!$1:$1048576,'History and Forecast'!$G11,'History and Forecast'!BP$6))</f>
        <v>54.278585167156798</v>
      </c>
      <c r="BQ11" s="17">
        <f>IF(BQ$9,INDEX('Annual Real'!$1:$1048576,'History and Forecast'!BQ$7,'History and Forecast'!$H11),INDEX('Forecast Prices'!$1:$1048576,'History and Forecast'!$G11,'History and Forecast'!BQ$6))</f>
        <v>67.100566918588896</v>
      </c>
      <c r="BR11" s="17">
        <f>IF(BR$9,INDEX('Annual Real'!$1:$1048576,'History and Forecast'!BR$7,'History and Forecast'!$H11),INDEX('Forecast Prices'!$1:$1048576,'History and Forecast'!$G11,'History and Forecast'!BR$6))</f>
        <v>63.535438870449099</v>
      </c>
      <c r="BS11" s="17">
        <f>IF(BS$9,INDEX('Annual Real'!$1:$1048576,'History and Forecast'!BS$7,'History and Forecast'!$H11),INDEX('Forecast Prices'!$1:$1048576,'History and Forecast'!$G11,'History and Forecast'!BS$6))</f>
        <v>61.526371135298</v>
      </c>
      <c r="BT11" s="17">
        <f>IF(BT$9,INDEX('Annual Real'!$1:$1048576,'History and Forecast'!BT$7,'History and Forecast'!$H11),INDEX('Forecast Prices'!$1:$1048576,'History and Forecast'!$G11,'History and Forecast'!BT$6))</f>
        <v>60.962426218009902</v>
      </c>
      <c r="BU11" s="17">
        <f>IF(BU$9,INDEX('Annual Real'!$1:$1048576,'History and Forecast'!BU$7,'History and Forecast'!$H11),INDEX('Forecast Prices'!$1:$1048576,'History and Forecast'!$G11,'History and Forecast'!BU$6))</f>
        <v>60.355229218052102</v>
      </c>
      <c r="BV11" s="17">
        <f>IF(BV$9,INDEX('Annual Real'!$1:$1048576,'History and Forecast'!BV$7,'History and Forecast'!$H11),INDEX('Forecast Prices'!$1:$1048576,'History and Forecast'!$G11,'History and Forecast'!BV$6))</f>
        <v>59.759353581257201</v>
      </c>
      <c r="BW11" s="17">
        <f>IF(BW$9,INDEX('Annual Real'!$1:$1048576,'History and Forecast'!BW$7,'History and Forecast'!$H11),INDEX('Forecast Prices'!$1:$1048576,'History and Forecast'!$G11,'History and Forecast'!BW$6))</f>
        <v>59.169341288935499</v>
      </c>
      <c r="BX11" s="17">
        <f>IF(BX$9,INDEX('Annual Real'!$1:$1048576,'History and Forecast'!BX$7,'History and Forecast'!$H11),INDEX('Forecast Prices'!$1:$1048576,'History and Forecast'!$G11,'History and Forecast'!BX$6))</f>
        <v>58.581775439389901</v>
      </c>
      <c r="BY11" s="17" t="e">
        <f>IF(BY$9,INDEX('Annual Real'!$1:$1048576,'History and Forecast'!BY$7,'History and Forecast'!$H11),INDEX('Forecast Prices'!$1:$1048576,'History and Forecast'!$G11,'History and Forecast'!BY$6))</f>
        <v>#N/A</v>
      </c>
      <c r="BZ11" s="17" t="e">
        <f>IF(BZ$9,INDEX('Annual Real'!$1:$1048576,'History and Forecast'!BZ$7,'History and Forecast'!$H11),INDEX('Forecast Prices'!$1:$1048576,'History and Forecast'!$G11,'History and Forecast'!BZ$6))</f>
        <v>#N/A</v>
      </c>
      <c r="CA11" s="17" t="e">
        <f>IF(CA$9,INDEX('Annual Real'!$1:$1048576,'History and Forecast'!CA$7,'History and Forecast'!$H11),INDEX('Forecast Prices'!$1:$1048576,'History and Forecast'!$G11,'History and Forecast'!CA$6))</f>
        <v>#N/A</v>
      </c>
      <c r="CB11" s="17" t="e">
        <f>IF(CB$9,INDEX('Annual Real'!$1:$1048576,'History and Forecast'!CB$7,'History and Forecast'!$H11),INDEX('Forecast Prices'!$1:$1048576,'History and Forecast'!$G11,'History and Forecast'!CB$6))</f>
        <v>#N/A</v>
      </c>
      <c r="CC11" s="17">
        <f>IF(CC$9,INDEX('Annual Real'!$1:$1048576,'History and Forecast'!CC$7,'History and Forecast'!$H11),INDEX('Forecast Prices'!$1:$1048576,'History and Forecast'!$G11,'History and Forecast'!CC$6))</f>
        <v>55.645183483951598</v>
      </c>
      <c r="CD11" s="17" t="e">
        <f>IF(CD$9,INDEX('Annual Real'!$1:$1048576,'History and Forecast'!CD$7,'History and Forecast'!$H11),INDEX('Forecast Prices'!$1:$1048576,'History and Forecast'!$G11,'History and Forecast'!CD$6))</f>
        <v>#N/A</v>
      </c>
      <c r="CE11" s="17" t="e">
        <f>IF(CE$9,INDEX('Annual Real'!$1:$1048576,'History and Forecast'!CE$7,'History and Forecast'!$H11),INDEX('Forecast Prices'!$1:$1048576,'History and Forecast'!$G11,'History and Forecast'!CE$6))</f>
        <v>#N/A</v>
      </c>
      <c r="CF11" s="17" t="e">
        <f>IF(CF$9,INDEX('Annual Real'!$1:$1048576,'History and Forecast'!CF$7,'History and Forecast'!$H11),INDEX('Forecast Prices'!$1:$1048576,'History and Forecast'!$G11,'History and Forecast'!CF$6))</f>
        <v>#N/A</v>
      </c>
      <c r="CG11" s="17" t="e">
        <f>IF(CG$9,INDEX('Annual Real'!$1:$1048576,'History and Forecast'!CG$7,'History and Forecast'!$H11),INDEX('Forecast Prices'!$1:$1048576,'History and Forecast'!$G11,'History and Forecast'!CG$6))</f>
        <v>#N/A</v>
      </c>
      <c r="CH11" s="17" t="e">
        <f>IF(CH$9,INDEX('Annual Real'!$1:$1048576,'History and Forecast'!CH$7,'History and Forecast'!$H11),INDEX('Forecast Prices'!$1:$1048576,'History and Forecast'!$G11,'History and Forecast'!CH$6))</f>
        <v>#N/A</v>
      </c>
      <c r="CI11" s="17" t="e">
        <f>IF(CI$9,INDEX('Annual Real'!$1:$1048576,'History and Forecast'!CI$7,'History and Forecast'!$H11),INDEX('Forecast Prices'!$1:$1048576,'History and Forecast'!$G11,'History and Forecast'!CI$6))</f>
        <v>#N/A</v>
      </c>
    </row>
    <row r="12" spans="2:87">
      <c r="B12" t="str">
        <f t="shared" si="4"/>
        <v>NGAS_EUR</v>
      </c>
      <c r="C12" s="34" t="s">
        <v>1044</v>
      </c>
      <c r="D12" t="str">
        <f t="shared" si="5"/>
        <v>KNGAS_EUR</v>
      </c>
      <c r="E12" s="34" t="str">
        <f t="shared" si="6"/>
        <v>KFNGAS_EUR</v>
      </c>
      <c r="F12">
        <f>MATCH(C12,'Forecast Prices'!A:A,0)</f>
        <v>7</v>
      </c>
      <c r="G12">
        <f>MATCH(E12,'Forecast Prices'!A:A,0)</f>
        <v>89</v>
      </c>
      <c r="H12" t="e">
        <f>MATCH(D12,'Annual Real'!$9:$9,0)</f>
        <v>#N/A</v>
      </c>
      <c r="I12" t="str">
        <f>INDEX('Forecast Prices'!B:B,'History and Forecast'!F12)&amp;INDEX('Forecast Prices'!C:C,'History and Forecast'!F12)&amp;INDEX('Forecast Prices'!D:D,'History and Forecast'!F12)&amp;INDEX('Forecast Prices'!E:E,'History and Forecast'!F12)</f>
        <v>Natural gas, Europe</v>
      </c>
      <c r="J12" t="str">
        <f>INDEX('Forecast Prices'!H:H,'History and Forecast'!F12)</f>
        <v>$/mmbtu</v>
      </c>
      <c r="K12" s="17" t="e">
        <f>IF(K$9,INDEX('Annual Real'!$1:$1048576,'History and Forecast'!K$7,'History and Forecast'!$H12),INDEX('Forecast Prices'!$1:$1048576,'History and Forecast'!$G12,'History and Forecast'!K$6))</f>
        <v>#N/A</v>
      </c>
      <c r="L12" s="17" t="e">
        <f>IF(L$9,INDEX('Annual Real'!$1:$1048576,'History and Forecast'!L$7,'History and Forecast'!$H12),INDEX('Forecast Prices'!$1:$1048576,'History and Forecast'!$G12,'History and Forecast'!L$6))</f>
        <v>#N/A</v>
      </c>
      <c r="M12" s="17" t="e">
        <f>IF(M$9,INDEX('Annual Real'!$1:$1048576,'History and Forecast'!M$7,'History and Forecast'!$H12),INDEX('Forecast Prices'!$1:$1048576,'History and Forecast'!$G12,'History and Forecast'!M$6))</f>
        <v>#N/A</v>
      </c>
      <c r="N12" s="17" t="e">
        <f>IF(N$9,INDEX('Annual Real'!$1:$1048576,'History and Forecast'!N$7,'History and Forecast'!$H12),INDEX('Forecast Prices'!$1:$1048576,'History and Forecast'!$G12,'History and Forecast'!N$6))</f>
        <v>#N/A</v>
      </c>
      <c r="O12" s="17" t="e">
        <f>IF(O$9,INDEX('Annual Real'!$1:$1048576,'History and Forecast'!O$7,'History and Forecast'!$H12),INDEX('Forecast Prices'!$1:$1048576,'History and Forecast'!$G12,'History and Forecast'!O$6))</f>
        <v>#N/A</v>
      </c>
      <c r="P12" s="17" t="e">
        <f>IF(P$9,INDEX('Annual Real'!$1:$1048576,'History and Forecast'!P$7,'History and Forecast'!$H12),INDEX('Forecast Prices'!$1:$1048576,'History and Forecast'!$G12,'History and Forecast'!P$6))</f>
        <v>#N/A</v>
      </c>
      <c r="Q12" s="17" t="e">
        <f>IF(Q$9,INDEX('Annual Real'!$1:$1048576,'History and Forecast'!Q$7,'History and Forecast'!$H12),INDEX('Forecast Prices'!$1:$1048576,'History and Forecast'!$G12,'History and Forecast'!Q$6))</f>
        <v>#N/A</v>
      </c>
      <c r="R12" s="17" t="e">
        <f>IF(R$9,INDEX('Annual Real'!$1:$1048576,'History and Forecast'!R$7,'History and Forecast'!$H12),INDEX('Forecast Prices'!$1:$1048576,'History and Forecast'!$G12,'History and Forecast'!R$6))</f>
        <v>#N/A</v>
      </c>
      <c r="S12" s="17" t="e">
        <f>IF(S$9,INDEX('Annual Real'!$1:$1048576,'History and Forecast'!S$7,'History and Forecast'!$H12),INDEX('Forecast Prices'!$1:$1048576,'History and Forecast'!$G12,'History and Forecast'!S$6))</f>
        <v>#N/A</v>
      </c>
      <c r="T12" s="17" t="e">
        <f>IF(T$9,INDEX('Annual Real'!$1:$1048576,'History and Forecast'!T$7,'History and Forecast'!$H12),INDEX('Forecast Prices'!$1:$1048576,'History and Forecast'!$G12,'History and Forecast'!T$6))</f>
        <v>#N/A</v>
      </c>
      <c r="U12" s="17" t="e">
        <f>IF(U$9,INDEX('Annual Real'!$1:$1048576,'History and Forecast'!U$7,'History and Forecast'!$H12),INDEX('Forecast Prices'!$1:$1048576,'History and Forecast'!$G12,'History and Forecast'!U$6))</f>
        <v>#N/A</v>
      </c>
      <c r="V12" s="17" t="e">
        <f>IF(V$9,INDEX('Annual Real'!$1:$1048576,'History and Forecast'!V$7,'History and Forecast'!$H12),INDEX('Forecast Prices'!$1:$1048576,'History and Forecast'!$G12,'History and Forecast'!V$6))</f>
        <v>#N/A</v>
      </c>
      <c r="W12" s="17" t="e">
        <f>IF(W$9,INDEX('Annual Real'!$1:$1048576,'History and Forecast'!W$7,'History and Forecast'!$H12),INDEX('Forecast Prices'!$1:$1048576,'History and Forecast'!$G12,'History and Forecast'!W$6))</f>
        <v>#N/A</v>
      </c>
      <c r="X12" s="17" t="e">
        <f>IF(X$9,INDEX('Annual Real'!$1:$1048576,'History and Forecast'!X$7,'History and Forecast'!$H12),INDEX('Forecast Prices'!$1:$1048576,'History and Forecast'!$G12,'History and Forecast'!X$6))</f>
        <v>#N/A</v>
      </c>
      <c r="Y12" s="17" t="e">
        <f>IF(Y$9,INDEX('Annual Real'!$1:$1048576,'History and Forecast'!Y$7,'History and Forecast'!$H12),INDEX('Forecast Prices'!$1:$1048576,'History and Forecast'!$G12,'History and Forecast'!Y$6))</f>
        <v>#N/A</v>
      </c>
      <c r="Z12" s="17" t="e">
        <f>IF(Z$9,INDEX('Annual Real'!$1:$1048576,'History and Forecast'!Z$7,'History and Forecast'!$H12),INDEX('Forecast Prices'!$1:$1048576,'History and Forecast'!$G12,'History and Forecast'!Z$6))</f>
        <v>#N/A</v>
      </c>
      <c r="AA12" s="17" t="e">
        <f>IF(AA$9,INDEX('Annual Real'!$1:$1048576,'History and Forecast'!AA$7,'History and Forecast'!$H12),INDEX('Forecast Prices'!$1:$1048576,'History and Forecast'!$G12,'History and Forecast'!AA$6))</f>
        <v>#N/A</v>
      </c>
      <c r="AB12" s="17" t="e">
        <f>IF(AB$9,INDEX('Annual Real'!$1:$1048576,'History and Forecast'!AB$7,'History and Forecast'!$H12),INDEX('Forecast Prices'!$1:$1048576,'History and Forecast'!$G12,'History and Forecast'!AB$6))</f>
        <v>#N/A</v>
      </c>
      <c r="AC12" s="17" t="e">
        <f>IF(AC$9,INDEX('Annual Real'!$1:$1048576,'History and Forecast'!AC$7,'History and Forecast'!$H12),INDEX('Forecast Prices'!$1:$1048576,'History and Forecast'!$G12,'History and Forecast'!AC$6))</f>
        <v>#N/A</v>
      </c>
      <c r="AD12" s="17" t="e">
        <f>IF(AD$9,INDEX('Annual Real'!$1:$1048576,'History and Forecast'!AD$7,'History and Forecast'!$H12),INDEX('Forecast Prices'!$1:$1048576,'History and Forecast'!$G12,'History and Forecast'!AD$6))</f>
        <v>#N/A</v>
      </c>
      <c r="AE12" s="17" t="e">
        <f>IF(AE$9,INDEX('Annual Real'!$1:$1048576,'History and Forecast'!AE$7,'History and Forecast'!$H12),INDEX('Forecast Prices'!$1:$1048576,'History and Forecast'!$G12,'History and Forecast'!AE$6))</f>
        <v>#N/A</v>
      </c>
      <c r="AF12" s="17" t="e">
        <f>IF(AF$9,INDEX('Annual Real'!$1:$1048576,'History and Forecast'!AF$7,'History and Forecast'!$H12),INDEX('Forecast Prices'!$1:$1048576,'History and Forecast'!$G12,'History and Forecast'!AF$6))</f>
        <v>#N/A</v>
      </c>
      <c r="AG12" s="17" t="e">
        <f>IF(AG$9,INDEX('Annual Real'!$1:$1048576,'History and Forecast'!AG$7,'History and Forecast'!$H12),INDEX('Forecast Prices'!$1:$1048576,'History and Forecast'!$G12,'History and Forecast'!AG$6))</f>
        <v>#N/A</v>
      </c>
      <c r="AH12" s="17" t="e">
        <f>IF(AH$9,INDEX('Annual Real'!$1:$1048576,'History and Forecast'!AH$7,'History and Forecast'!$H12),INDEX('Forecast Prices'!$1:$1048576,'History and Forecast'!$G12,'History and Forecast'!AH$6))</f>
        <v>#N/A</v>
      </c>
      <c r="AI12" s="17" t="e">
        <f>IF(AI$9,INDEX('Annual Real'!$1:$1048576,'History and Forecast'!AI$7,'History and Forecast'!$H12),INDEX('Forecast Prices'!$1:$1048576,'History and Forecast'!$G12,'History and Forecast'!AI$6))</f>
        <v>#N/A</v>
      </c>
      <c r="AJ12" s="17" t="e">
        <f>IF(AJ$9,INDEX('Annual Real'!$1:$1048576,'History and Forecast'!AJ$7,'History and Forecast'!$H12),INDEX('Forecast Prices'!$1:$1048576,'History and Forecast'!$G12,'History and Forecast'!AJ$6))</f>
        <v>#N/A</v>
      </c>
      <c r="AK12" s="17" t="e">
        <f>IF(AK$9,INDEX('Annual Real'!$1:$1048576,'History and Forecast'!AK$7,'History and Forecast'!$H12),INDEX('Forecast Prices'!$1:$1048576,'History and Forecast'!$G12,'History and Forecast'!AK$6))</f>
        <v>#N/A</v>
      </c>
      <c r="AL12" s="17" t="e">
        <f>IF(AL$9,INDEX('Annual Real'!$1:$1048576,'History and Forecast'!AL$7,'History and Forecast'!$H12),INDEX('Forecast Prices'!$1:$1048576,'History and Forecast'!$G12,'History and Forecast'!AL$6))</f>
        <v>#N/A</v>
      </c>
      <c r="AM12" s="17" t="e">
        <f>IF(AM$9,INDEX('Annual Real'!$1:$1048576,'History and Forecast'!AM$7,'History and Forecast'!$H12),INDEX('Forecast Prices'!$1:$1048576,'History and Forecast'!$G12,'History and Forecast'!AM$6))</f>
        <v>#N/A</v>
      </c>
      <c r="AN12" s="17" t="e">
        <f>IF(AN$9,INDEX('Annual Real'!$1:$1048576,'History and Forecast'!AN$7,'History and Forecast'!$H12),INDEX('Forecast Prices'!$1:$1048576,'History and Forecast'!$G12,'History and Forecast'!AN$6))</f>
        <v>#N/A</v>
      </c>
      <c r="AO12" s="17" t="e">
        <f>IF(AO$9,INDEX('Annual Real'!$1:$1048576,'History and Forecast'!AO$7,'History and Forecast'!$H12),INDEX('Forecast Prices'!$1:$1048576,'History and Forecast'!$G12,'History and Forecast'!AO$6))</f>
        <v>#N/A</v>
      </c>
      <c r="AP12" s="17" t="e">
        <f>IF(AP$9,INDEX('Annual Real'!$1:$1048576,'History and Forecast'!AP$7,'History and Forecast'!$H12),INDEX('Forecast Prices'!$1:$1048576,'History and Forecast'!$G12,'History and Forecast'!AP$6))</f>
        <v>#N/A</v>
      </c>
      <c r="AQ12" s="17" t="e">
        <f>IF(AQ$9,INDEX('Annual Real'!$1:$1048576,'History and Forecast'!AQ$7,'History and Forecast'!$H12),INDEX('Forecast Prices'!$1:$1048576,'History and Forecast'!$G12,'History and Forecast'!AQ$6))</f>
        <v>#N/A</v>
      </c>
      <c r="AR12" s="17" t="e">
        <f>IF(AR$9,INDEX('Annual Real'!$1:$1048576,'History and Forecast'!AR$7,'History and Forecast'!$H12),INDEX('Forecast Prices'!$1:$1048576,'History and Forecast'!$G12,'History and Forecast'!AR$6))</f>
        <v>#N/A</v>
      </c>
      <c r="AS12" s="17" t="e">
        <f>IF(AS$9,INDEX('Annual Real'!$1:$1048576,'History and Forecast'!AS$7,'History and Forecast'!$H12),INDEX('Forecast Prices'!$1:$1048576,'History and Forecast'!$G12,'History and Forecast'!AS$6))</f>
        <v>#N/A</v>
      </c>
      <c r="AT12" s="17" t="e">
        <f>IF(AT$9,INDEX('Annual Real'!$1:$1048576,'History and Forecast'!AT$7,'History and Forecast'!$H12),INDEX('Forecast Prices'!$1:$1048576,'History and Forecast'!$G12,'History and Forecast'!AT$6))</f>
        <v>#N/A</v>
      </c>
      <c r="AU12" s="17" t="e">
        <f>IF(AU$9,INDEX('Annual Real'!$1:$1048576,'History and Forecast'!AU$7,'History and Forecast'!$H12),INDEX('Forecast Prices'!$1:$1048576,'History and Forecast'!$G12,'History and Forecast'!AU$6))</f>
        <v>#N/A</v>
      </c>
      <c r="AV12" s="17" t="e">
        <f>IF(AV$9,INDEX('Annual Real'!$1:$1048576,'History and Forecast'!AV$7,'History and Forecast'!$H12),INDEX('Forecast Prices'!$1:$1048576,'History and Forecast'!$G12,'History and Forecast'!AV$6))</f>
        <v>#N/A</v>
      </c>
      <c r="AW12" s="17" t="e">
        <f>IF(AW$9,INDEX('Annual Real'!$1:$1048576,'History and Forecast'!AW$7,'History and Forecast'!$H12),INDEX('Forecast Prices'!$1:$1048576,'History and Forecast'!$G12,'History and Forecast'!AW$6))</f>
        <v>#N/A</v>
      </c>
      <c r="AX12" s="17" t="e">
        <f>IF(AX$9,INDEX('Annual Real'!$1:$1048576,'History and Forecast'!AX$7,'History and Forecast'!$H12),INDEX('Forecast Prices'!$1:$1048576,'History and Forecast'!$G12,'History and Forecast'!AX$6))</f>
        <v>#N/A</v>
      </c>
      <c r="AY12" s="17" t="e">
        <f>IF(AY$9,INDEX('Annual Real'!$1:$1048576,'History and Forecast'!AY$7,'History and Forecast'!$H12),INDEX('Forecast Prices'!$1:$1048576,'History and Forecast'!$G12,'History and Forecast'!AY$6))</f>
        <v>#N/A</v>
      </c>
      <c r="AZ12" s="17" t="e">
        <f>IF(AZ$9,INDEX('Annual Real'!$1:$1048576,'History and Forecast'!AZ$7,'History and Forecast'!$H12),INDEX('Forecast Prices'!$1:$1048576,'History and Forecast'!$G12,'History and Forecast'!AZ$6))</f>
        <v>#N/A</v>
      </c>
      <c r="BA12" s="17" t="e">
        <f>IF(BA$9,INDEX('Annual Real'!$1:$1048576,'History and Forecast'!BA$7,'History and Forecast'!$H12),INDEX('Forecast Prices'!$1:$1048576,'History and Forecast'!$G12,'History and Forecast'!BA$6))</f>
        <v>#N/A</v>
      </c>
      <c r="BB12" s="17" t="e">
        <f>IF(BB$9,INDEX('Annual Real'!$1:$1048576,'History and Forecast'!BB$7,'History and Forecast'!$H12),INDEX('Forecast Prices'!$1:$1048576,'History and Forecast'!$G12,'History and Forecast'!BB$6))</f>
        <v>#N/A</v>
      </c>
      <c r="BC12" s="17" t="e">
        <f>IF(BC$9,INDEX('Annual Real'!$1:$1048576,'History and Forecast'!BC$7,'History and Forecast'!$H12),INDEX('Forecast Prices'!$1:$1048576,'History and Forecast'!$G12,'History and Forecast'!BC$6))</f>
        <v>#N/A</v>
      </c>
      <c r="BD12" s="17" t="e">
        <f>IF(BD$9,INDEX('Annual Real'!$1:$1048576,'History and Forecast'!BD$7,'History and Forecast'!$H12),INDEX('Forecast Prices'!$1:$1048576,'History and Forecast'!$G12,'History and Forecast'!BD$6))</f>
        <v>#N/A</v>
      </c>
      <c r="BE12" s="17" t="e">
        <f>IF(BE$9,INDEX('Annual Real'!$1:$1048576,'History and Forecast'!BE$7,'History and Forecast'!$H12),INDEX('Forecast Prices'!$1:$1048576,'History and Forecast'!$G12,'History and Forecast'!BE$6))</f>
        <v>#N/A</v>
      </c>
      <c r="BF12" s="17" t="e">
        <f>IF(BF$9,INDEX('Annual Real'!$1:$1048576,'History and Forecast'!BF$7,'History and Forecast'!$H12),INDEX('Forecast Prices'!$1:$1048576,'History and Forecast'!$G12,'History and Forecast'!BF$6))</f>
        <v>#N/A</v>
      </c>
      <c r="BG12" s="17" t="e">
        <f>IF(BG$9,INDEX('Annual Real'!$1:$1048576,'History and Forecast'!BG$7,'History and Forecast'!$H12),INDEX('Forecast Prices'!$1:$1048576,'History and Forecast'!$G12,'History and Forecast'!BG$6))</f>
        <v>#N/A</v>
      </c>
      <c r="BH12" s="17" t="e">
        <f>IF(BH$9,INDEX('Annual Real'!$1:$1048576,'History and Forecast'!BH$7,'History and Forecast'!$H12),INDEX('Forecast Prices'!$1:$1048576,'History and Forecast'!$G12,'History and Forecast'!BH$6))</f>
        <v>#N/A</v>
      </c>
      <c r="BI12" s="17" t="e">
        <f>IF(BI$9,INDEX('Annual Real'!$1:$1048576,'History and Forecast'!BI$7,'History and Forecast'!$H12),INDEX('Forecast Prices'!$1:$1048576,'History and Forecast'!$G12,'History and Forecast'!BI$6))</f>
        <v>#N/A</v>
      </c>
      <c r="BJ12" s="17" t="e">
        <f>IF(BJ$9,INDEX('Annual Real'!$1:$1048576,'History and Forecast'!BJ$7,'History and Forecast'!$H12),INDEX('Forecast Prices'!$1:$1048576,'History and Forecast'!$G12,'History and Forecast'!BJ$6))</f>
        <v>#N/A</v>
      </c>
      <c r="BK12" s="17" t="e">
        <f>IF(BK$9,INDEX('Annual Real'!$1:$1048576,'History and Forecast'!BK$7,'History and Forecast'!$H12),INDEX('Forecast Prices'!$1:$1048576,'History and Forecast'!$G12,'History and Forecast'!BK$6))</f>
        <v>#N/A</v>
      </c>
      <c r="BL12" s="17" t="e">
        <f>IF(BL$9,INDEX('Annual Real'!$1:$1048576,'History and Forecast'!BL$7,'History and Forecast'!$H12),INDEX('Forecast Prices'!$1:$1048576,'History and Forecast'!$G12,'History and Forecast'!BL$6))</f>
        <v>#N/A</v>
      </c>
      <c r="BM12" s="17" t="e">
        <f>IF(BM$9,INDEX('Annual Real'!$1:$1048576,'History and Forecast'!BM$7,'History and Forecast'!$H12),INDEX('Forecast Prices'!$1:$1048576,'History and Forecast'!$G12,'History and Forecast'!BM$6))</f>
        <v>#N/A</v>
      </c>
      <c r="BN12" s="17" t="e">
        <f>IF(BN$9,INDEX('Annual Real'!$1:$1048576,'History and Forecast'!BN$7,'History and Forecast'!$H12),INDEX('Forecast Prices'!$1:$1048576,'History and Forecast'!$G12,'History and Forecast'!BN$6))</f>
        <v>#N/A</v>
      </c>
      <c r="BO12" s="17">
        <f>IF(BO$9,INDEX('Annual Real'!$1:$1048576,'History and Forecast'!BO$7,'History and Forecast'!$H12),INDEX('Forecast Prices'!$1:$1048576,'History and Forecast'!$G12,'History and Forecast'!BO$6))</f>
        <v>4.8530371031707604</v>
      </c>
      <c r="BP12" s="17">
        <f>IF(BP$9,INDEX('Annual Real'!$1:$1048576,'History and Forecast'!BP$7,'History and Forecast'!$H12),INDEX('Forecast Prices'!$1:$1048576,'History and Forecast'!$G12,'History and Forecast'!BP$6))</f>
        <v>5.87658407114162</v>
      </c>
      <c r="BQ12" s="17">
        <f>IF(BQ$9,INDEX('Annual Real'!$1:$1048576,'History and Forecast'!BQ$7,'History and Forecast'!$H12),INDEX('Forecast Prices'!$1:$1048576,'History and Forecast'!$G12,'History and Forecast'!BQ$6))</f>
        <v>7.5415349451195404</v>
      </c>
      <c r="BR12" s="17">
        <f>IF(BR$9,INDEX('Annual Real'!$1:$1048576,'History and Forecast'!BR$7,'History and Forecast'!$H12),INDEX('Forecast Prices'!$1:$1048576,'History and Forecast'!$G12,'History and Forecast'!BR$6))</f>
        <v>5.7759489882226402</v>
      </c>
      <c r="BS12" s="17">
        <f>IF(BS$9,INDEX('Annual Real'!$1:$1048576,'History and Forecast'!BS$7,'History and Forecast'!$H12),INDEX('Forecast Prices'!$1:$1048576,'History and Forecast'!$G12,'History and Forecast'!BS$6))</f>
        <v>5.6793573355659701</v>
      </c>
      <c r="BT12" s="17">
        <f>IF(BT$9,INDEX('Annual Real'!$1:$1048576,'History and Forecast'!BT$7,'History and Forecast'!$H12),INDEX('Forecast Prices'!$1:$1048576,'History and Forecast'!$G12,'History and Forecast'!BT$6))</f>
        <v>5.6725240694811099</v>
      </c>
      <c r="BU12" s="17">
        <f>IF(BU$9,INDEX('Annual Real'!$1:$1048576,'History and Forecast'!BU$7,'History and Forecast'!$H12),INDEX('Forecast Prices'!$1:$1048576,'History and Forecast'!$G12,'History and Forecast'!BU$6))</f>
        <v>5.6611572522467402</v>
      </c>
      <c r="BV12" s="17">
        <f>IF(BV$9,INDEX('Annual Real'!$1:$1048576,'History and Forecast'!BV$7,'History and Forecast'!$H12),INDEX('Forecast Prices'!$1:$1048576,'History and Forecast'!$G12,'History and Forecast'!BV$6))</f>
        <v>5.6503118339628804</v>
      </c>
      <c r="BW12" s="17">
        <f>IF(BW$9,INDEX('Annual Real'!$1:$1048576,'History and Forecast'!BW$7,'History and Forecast'!$H12),INDEX('Forecast Prices'!$1:$1048576,'History and Forecast'!$G12,'History and Forecast'!BW$6))</f>
        <v>5.6394853227300903</v>
      </c>
      <c r="BX12" s="17">
        <f>IF(BX$9,INDEX('Annual Real'!$1:$1048576,'History and Forecast'!BX$7,'History and Forecast'!$H12),INDEX('Forecast Prices'!$1:$1048576,'History and Forecast'!$G12,'History and Forecast'!BX$6))</f>
        <v>5.6283549286402303</v>
      </c>
      <c r="BY12" s="17" t="e">
        <f>IF(BY$9,INDEX('Annual Real'!$1:$1048576,'History and Forecast'!BY$7,'History and Forecast'!$H12),INDEX('Forecast Prices'!$1:$1048576,'History and Forecast'!$G12,'History and Forecast'!BY$6))</f>
        <v>#N/A</v>
      </c>
      <c r="BZ12" s="17" t="e">
        <f>IF(BZ$9,INDEX('Annual Real'!$1:$1048576,'History and Forecast'!BZ$7,'History and Forecast'!$H12),INDEX('Forecast Prices'!$1:$1048576,'History and Forecast'!$G12,'History and Forecast'!BZ$6))</f>
        <v>#N/A</v>
      </c>
      <c r="CA12" s="17" t="e">
        <f>IF(CA$9,INDEX('Annual Real'!$1:$1048576,'History and Forecast'!CA$7,'History and Forecast'!$H12),INDEX('Forecast Prices'!$1:$1048576,'History and Forecast'!$G12,'History and Forecast'!CA$6))</f>
        <v>#N/A</v>
      </c>
      <c r="CB12" s="17" t="e">
        <f>IF(CB$9,INDEX('Annual Real'!$1:$1048576,'History and Forecast'!CB$7,'History and Forecast'!$H12),INDEX('Forecast Prices'!$1:$1048576,'History and Forecast'!$G12,'History and Forecast'!CB$6))</f>
        <v>#N/A</v>
      </c>
      <c r="CC12" s="17">
        <f>IF(CC$9,INDEX('Annual Real'!$1:$1048576,'History and Forecast'!CC$7,'History and Forecast'!$H12),INDEX('Forecast Prices'!$1:$1048576,'History and Forecast'!$G12,'History and Forecast'!CC$6))</f>
        <v>5.5645183483951604</v>
      </c>
      <c r="CD12" s="17" t="e">
        <f>IF(CD$9,INDEX('Annual Real'!$1:$1048576,'History and Forecast'!CD$7,'History and Forecast'!$H12),INDEX('Forecast Prices'!$1:$1048576,'History and Forecast'!$G12,'History and Forecast'!CD$6))</f>
        <v>#N/A</v>
      </c>
      <c r="CE12" s="17" t="e">
        <f>IF(CE$9,INDEX('Annual Real'!$1:$1048576,'History and Forecast'!CE$7,'History and Forecast'!$H12),INDEX('Forecast Prices'!$1:$1048576,'History and Forecast'!$G12,'History and Forecast'!CE$6))</f>
        <v>#N/A</v>
      </c>
      <c r="CF12" s="17" t="e">
        <f>IF(CF$9,INDEX('Annual Real'!$1:$1048576,'History and Forecast'!CF$7,'History and Forecast'!$H12),INDEX('Forecast Prices'!$1:$1048576,'History and Forecast'!$G12,'History and Forecast'!CF$6))</f>
        <v>#N/A</v>
      </c>
      <c r="CG12" s="17" t="e">
        <f>IF(CG$9,INDEX('Annual Real'!$1:$1048576,'History and Forecast'!CG$7,'History and Forecast'!$H12),INDEX('Forecast Prices'!$1:$1048576,'History and Forecast'!$G12,'History and Forecast'!CG$6))</f>
        <v>#N/A</v>
      </c>
      <c r="CH12" s="17" t="e">
        <f>IF(CH$9,INDEX('Annual Real'!$1:$1048576,'History and Forecast'!CH$7,'History and Forecast'!$H12),INDEX('Forecast Prices'!$1:$1048576,'History and Forecast'!$G12,'History and Forecast'!CH$6))</f>
        <v>#N/A</v>
      </c>
      <c r="CI12" s="17" t="e">
        <f>IF(CI$9,INDEX('Annual Real'!$1:$1048576,'History and Forecast'!CI$7,'History and Forecast'!$H12),INDEX('Forecast Prices'!$1:$1048576,'History and Forecast'!$G12,'History and Forecast'!CI$6))</f>
        <v>#N/A</v>
      </c>
    </row>
    <row r="13" spans="2:87">
      <c r="B13" t="str">
        <f t="shared" si="4"/>
        <v>NGAS_US</v>
      </c>
      <c r="C13" s="34" t="s">
        <v>1046</v>
      </c>
      <c r="D13" t="str">
        <f t="shared" si="5"/>
        <v>KNGAS_US</v>
      </c>
      <c r="E13" s="34" t="str">
        <f t="shared" si="6"/>
        <v>KFNGAS_US</v>
      </c>
      <c r="F13">
        <f>MATCH(C13,'Forecast Prices'!A:A,0)</f>
        <v>8</v>
      </c>
      <c r="G13">
        <f>MATCH(E13,'Forecast Prices'!A:A,0)</f>
        <v>90</v>
      </c>
      <c r="H13" t="e">
        <f>MATCH(D13,'Annual Real'!$9:$9,0)</f>
        <v>#N/A</v>
      </c>
      <c r="I13" t="str">
        <f>INDEX('Forecast Prices'!B:B,'History and Forecast'!F13)&amp;INDEX('Forecast Prices'!C:C,'History and Forecast'!F13)&amp;INDEX('Forecast Prices'!D:D,'History and Forecast'!F13)&amp;INDEX('Forecast Prices'!E:E,'History and Forecast'!F13)</f>
        <v>Natural gas, US</v>
      </c>
      <c r="J13" t="str">
        <f>INDEX('Forecast Prices'!H:H,'History and Forecast'!F13)</f>
        <v>$/mmbtu</v>
      </c>
      <c r="K13" s="17" t="e">
        <f>IF(K$9,INDEX('Annual Real'!$1:$1048576,'History and Forecast'!K$7,'History and Forecast'!$H13),INDEX('Forecast Prices'!$1:$1048576,'History and Forecast'!$G13,'History and Forecast'!K$6))</f>
        <v>#N/A</v>
      </c>
      <c r="L13" s="17" t="e">
        <f>IF(L$9,INDEX('Annual Real'!$1:$1048576,'History and Forecast'!L$7,'History and Forecast'!$H13),INDEX('Forecast Prices'!$1:$1048576,'History and Forecast'!$G13,'History and Forecast'!L$6))</f>
        <v>#N/A</v>
      </c>
      <c r="M13" s="17" t="e">
        <f>IF(M$9,INDEX('Annual Real'!$1:$1048576,'History and Forecast'!M$7,'History and Forecast'!$H13),INDEX('Forecast Prices'!$1:$1048576,'History and Forecast'!$G13,'History and Forecast'!M$6))</f>
        <v>#N/A</v>
      </c>
      <c r="N13" s="17" t="e">
        <f>IF(N$9,INDEX('Annual Real'!$1:$1048576,'History and Forecast'!N$7,'History and Forecast'!$H13),INDEX('Forecast Prices'!$1:$1048576,'History and Forecast'!$G13,'History and Forecast'!N$6))</f>
        <v>#N/A</v>
      </c>
      <c r="O13" s="17" t="e">
        <f>IF(O$9,INDEX('Annual Real'!$1:$1048576,'History and Forecast'!O$7,'History and Forecast'!$H13),INDEX('Forecast Prices'!$1:$1048576,'History and Forecast'!$G13,'History and Forecast'!O$6))</f>
        <v>#N/A</v>
      </c>
      <c r="P13" s="17" t="e">
        <f>IF(P$9,INDEX('Annual Real'!$1:$1048576,'History and Forecast'!P$7,'History and Forecast'!$H13),INDEX('Forecast Prices'!$1:$1048576,'History and Forecast'!$G13,'History and Forecast'!P$6))</f>
        <v>#N/A</v>
      </c>
      <c r="Q13" s="17" t="e">
        <f>IF(Q$9,INDEX('Annual Real'!$1:$1048576,'History and Forecast'!Q$7,'History and Forecast'!$H13),INDEX('Forecast Prices'!$1:$1048576,'History and Forecast'!$G13,'History and Forecast'!Q$6))</f>
        <v>#N/A</v>
      </c>
      <c r="R13" s="17" t="e">
        <f>IF(R$9,INDEX('Annual Real'!$1:$1048576,'History and Forecast'!R$7,'History and Forecast'!$H13),INDEX('Forecast Prices'!$1:$1048576,'History and Forecast'!$G13,'History and Forecast'!R$6))</f>
        <v>#N/A</v>
      </c>
      <c r="S13" s="17" t="e">
        <f>IF(S$9,INDEX('Annual Real'!$1:$1048576,'History and Forecast'!S$7,'History and Forecast'!$H13),INDEX('Forecast Prices'!$1:$1048576,'History and Forecast'!$G13,'History and Forecast'!S$6))</f>
        <v>#N/A</v>
      </c>
      <c r="T13" s="17" t="e">
        <f>IF(T$9,INDEX('Annual Real'!$1:$1048576,'History and Forecast'!T$7,'History and Forecast'!$H13),INDEX('Forecast Prices'!$1:$1048576,'History and Forecast'!$G13,'History and Forecast'!T$6))</f>
        <v>#N/A</v>
      </c>
      <c r="U13" s="17" t="e">
        <f>IF(U$9,INDEX('Annual Real'!$1:$1048576,'History and Forecast'!U$7,'History and Forecast'!$H13),INDEX('Forecast Prices'!$1:$1048576,'History and Forecast'!$G13,'History and Forecast'!U$6))</f>
        <v>#N/A</v>
      </c>
      <c r="V13" s="17" t="e">
        <f>IF(V$9,INDEX('Annual Real'!$1:$1048576,'History and Forecast'!V$7,'History and Forecast'!$H13),INDEX('Forecast Prices'!$1:$1048576,'History and Forecast'!$G13,'History and Forecast'!V$6))</f>
        <v>#N/A</v>
      </c>
      <c r="W13" s="17" t="e">
        <f>IF(W$9,INDEX('Annual Real'!$1:$1048576,'History and Forecast'!W$7,'History and Forecast'!$H13),INDEX('Forecast Prices'!$1:$1048576,'History and Forecast'!$G13,'History and Forecast'!W$6))</f>
        <v>#N/A</v>
      </c>
      <c r="X13" s="17" t="e">
        <f>IF(X$9,INDEX('Annual Real'!$1:$1048576,'History and Forecast'!X$7,'History and Forecast'!$H13),INDEX('Forecast Prices'!$1:$1048576,'History and Forecast'!$G13,'History and Forecast'!X$6))</f>
        <v>#N/A</v>
      </c>
      <c r="Y13" s="17" t="e">
        <f>IF(Y$9,INDEX('Annual Real'!$1:$1048576,'History and Forecast'!Y$7,'History and Forecast'!$H13),INDEX('Forecast Prices'!$1:$1048576,'History and Forecast'!$G13,'History and Forecast'!Y$6))</f>
        <v>#N/A</v>
      </c>
      <c r="Z13" s="17" t="e">
        <f>IF(Z$9,INDEX('Annual Real'!$1:$1048576,'History and Forecast'!Z$7,'History and Forecast'!$H13),INDEX('Forecast Prices'!$1:$1048576,'History and Forecast'!$G13,'History and Forecast'!Z$6))</f>
        <v>#N/A</v>
      </c>
      <c r="AA13" s="17" t="e">
        <f>IF(AA$9,INDEX('Annual Real'!$1:$1048576,'History and Forecast'!AA$7,'History and Forecast'!$H13),INDEX('Forecast Prices'!$1:$1048576,'History and Forecast'!$G13,'History and Forecast'!AA$6))</f>
        <v>#N/A</v>
      </c>
      <c r="AB13" s="17" t="e">
        <f>IF(AB$9,INDEX('Annual Real'!$1:$1048576,'History and Forecast'!AB$7,'History and Forecast'!$H13),INDEX('Forecast Prices'!$1:$1048576,'History and Forecast'!$G13,'History and Forecast'!AB$6))</f>
        <v>#N/A</v>
      </c>
      <c r="AC13" s="17" t="e">
        <f>IF(AC$9,INDEX('Annual Real'!$1:$1048576,'History and Forecast'!AC$7,'History and Forecast'!$H13),INDEX('Forecast Prices'!$1:$1048576,'History and Forecast'!$G13,'History and Forecast'!AC$6))</f>
        <v>#N/A</v>
      </c>
      <c r="AD13" s="17" t="e">
        <f>IF(AD$9,INDEX('Annual Real'!$1:$1048576,'History and Forecast'!AD$7,'History and Forecast'!$H13),INDEX('Forecast Prices'!$1:$1048576,'History and Forecast'!$G13,'History and Forecast'!AD$6))</f>
        <v>#N/A</v>
      </c>
      <c r="AE13" s="17" t="e">
        <f>IF(AE$9,INDEX('Annual Real'!$1:$1048576,'History and Forecast'!AE$7,'History and Forecast'!$H13),INDEX('Forecast Prices'!$1:$1048576,'History and Forecast'!$G13,'History and Forecast'!AE$6))</f>
        <v>#N/A</v>
      </c>
      <c r="AF13" s="17" t="e">
        <f>IF(AF$9,INDEX('Annual Real'!$1:$1048576,'History and Forecast'!AF$7,'History and Forecast'!$H13),INDEX('Forecast Prices'!$1:$1048576,'History and Forecast'!$G13,'History and Forecast'!AF$6))</f>
        <v>#N/A</v>
      </c>
      <c r="AG13" s="17" t="e">
        <f>IF(AG$9,INDEX('Annual Real'!$1:$1048576,'History and Forecast'!AG$7,'History and Forecast'!$H13),INDEX('Forecast Prices'!$1:$1048576,'History and Forecast'!$G13,'History and Forecast'!AG$6))</f>
        <v>#N/A</v>
      </c>
      <c r="AH13" s="17" t="e">
        <f>IF(AH$9,INDEX('Annual Real'!$1:$1048576,'History and Forecast'!AH$7,'History and Forecast'!$H13),INDEX('Forecast Prices'!$1:$1048576,'History and Forecast'!$G13,'History and Forecast'!AH$6))</f>
        <v>#N/A</v>
      </c>
      <c r="AI13" s="17" t="e">
        <f>IF(AI$9,INDEX('Annual Real'!$1:$1048576,'History and Forecast'!AI$7,'History and Forecast'!$H13),INDEX('Forecast Prices'!$1:$1048576,'History and Forecast'!$G13,'History and Forecast'!AI$6))</f>
        <v>#N/A</v>
      </c>
      <c r="AJ13" s="17" t="e">
        <f>IF(AJ$9,INDEX('Annual Real'!$1:$1048576,'History and Forecast'!AJ$7,'History and Forecast'!$H13),INDEX('Forecast Prices'!$1:$1048576,'History and Forecast'!$G13,'History and Forecast'!AJ$6))</f>
        <v>#N/A</v>
      </c>
      <c r="AK13" s="17" t="e">
        <f>IF(AK$9,INDEX('Annual Real'!$1:$1048576,'History and Forecast'!AK$7,'History and Forecast'!$H13),INDEX('Forecast Prices'!$1:$1048576,'History and Forecast'!$G13,'History and Forecast'!AK$6))</f>
        <v>#N/A</v>
      </c>
      <c r="AL13" s="17" t="e">
        <f>IF(AL$9,INDEX('Annual Real'!$1:$1048576,'History and Forecast'!AL$7,'History and Forecast'!$H13),INDEX('Forecast Prices'!$1:$1048576,'History and Forecast'!$G13,'History and Forecast'!AL$6))</f>
        <v>#N/A</v>
      </c>
      <c r="AM13" s="17" t="e">
        <f>IF(AM$9,INDEX('Annual Real'!$1:$1048576,'History and Forecast'!AM$7,'History and Forecast'!$H13),INDEX('Forecast Prices'!$1:$1048576,'History and Forecast'!$G13,'History and Forecast'!AM$6))</f>
        <v>#N/A</v>
      </c>
      <c r="AN13" s="17" t="e">
        <f>IF(AN$9,INDEX('Annual Real'!$1:$1048576,'History and Forecast'!AN$7,'History and Forecast'!$H13),INDEX('Forecast Prices'!$1:$1048576,'History and Forecast'!$G13,'History and Forecast'!AN$6))</f>
        <v>#N/A</v>
      </c>
      <c r="AO13" s="17" t="e">
        <f>IF(AO$9,INDEX('Annual Real'!$1:$1048576,'History and Forecast'!AO$7,'History and Forecast'!$H13),INDEX('Forecast Prices'!$1:$1048576,'History and Forecast'!$G13,'History and Forecast'!AO$6))</f>
        <v>#N/A</v>
      </c>
      <c r="AP13" s="17" t="e">
        <f>IF(AP$9,INDEX('Annual Real'!$1:$1048576,'History and Forecast'!AP$7,'History and Forecast'!$H13),INDEX('Forecast Prices'!$1:$1048576,'History and Forecast'!$G13,'History and Forecast'!AP$6))</f>
        <v>#N/A</v>
      </c>
      <c r="AQ13" s="17" t="e">
        <f>IF(AQ$9,INDEX('Annual Real'!$1:$1048576,'History and Forecast'!AQ$7,'History and Forecast'!$H13),INDEX('Forecast Prices'!$1:$1048576,'History and Forecast'!$G13,'History and Forecast'!AQ$6))</f>
        <v>#N/A</v>
      </c>
      <c r="AR13" s="17" t="e">
        <f>IF(AR$9,INDEX('Annual Real'!$1:$1048576,'History and Forecast'!AR$7,'History and Forecast'!$H13),INDEX('Forecast Prices'!$1:$1048576,'History and Forecast'!$G13,'History and Forecast'!AR$6))</f>
        <v>#N/A</v>
      </c>
      <c r="AS13" s="17" t="e">
        <f>IF(AS$9,INDEX('Annual Real'!$1:$1048576,'History and Forecast'!AS$7,'History and Forecast'!$H13),INDEX('Forecast Prices'!$1:$1048576,'History and Forecast'!$G13,'History and Forecast'!AS$6))</f>
        <v>#N/A</v>
      </c>
      <c r="AT13" s="17" t="e">
        <f>IF(AT$9,INDEX('Annual Real'!$1:$1048576,'History and Forecast'!AT$7,'History and Forecast'!$H13),INDEX('Forecast Prices'!$1:$1048576,'History and Forecast'!$G13,'History and Forecast'!AT$6))</f>
        <v>#N/A</v>
      </c>
      <c r="AU13" s="17" t="e">
        <f>IF(AU$9,INDEX('Annual Real'!$1:$1048576,'History and Forecast'!AU$7,'History and Forecast'!$H13),INDEX('Forecast Prices'!$1:$1048576,'History and Forecast'!$G13,'History and Forecast'!AU$6))</f>
        <v>#N/A</v>
      </c>
      <c r="AV13" s="17" t="e">
        <f>IF(AV$9,INDEX('Annual Real'!$1:$1048576,'History and Forecast'!AV$7,'History and Forecast'!$H13),INDEX('Forecast Prices'!$1:$1048576,'History and Forecast'!$G13,'History and Forecast'!AV$6))</f>
        <v>#N/A</v>
      </c>
      <c r="AW13" s="17" t="e">
        <f>IF(AW$9,INDEX('Annual Real'!$1:$1048576,'History and Forecast'!AW$7,'History and Forecast'!$H13),INDEX('Forecast Prices'!$1:$1048576,'History and Forecast'!$G13,'History and Forecast'!AW$6))</f>
        <v>#N/A</v>
      </c>
      <c r="AX13" s="17" t="e">
        <f>IF(AX$9,INDEX('Annual Real'!$1:$1048576,'History and Forecast'!AX$7,'History and Forecast'!$H13),INDEX('Forecast Prices'!$1:$1048576,'History and Forecast'!$G13,'History and Forecast'!AX$6))</f>
        <v>#N/A</v>
      </c>
      <c r="AY13" s="17" t="e">
        <f>IF(AY$9,INDEX('Annual Real'!$1:$1048576,'History and Forecast'!AY$7,'History and Forecast'!$H13),INDEX('Forecast Prices'!$1:$1048576,'History and Forecast'!$G13,'History and Forecast'!AY$6))</f>
        <v>#N/A</v>
      </c>
      <c r="AZ13" s="17" t="e">
        <f>IF(AZ$9,INDEX('Annual Real'!$1:$1048576,'History and Forecast'!AZ$7,'History and Forecast'!$H13),INDEX('Forecast Prices'!$1:$1048576,'History and Forecast'!$G13,'History and Forecast'!AZ$6))</f>
        <v>#N/A</v>
      </c>
      <c r="BA13" s="17" t="e">
        <f>IF(BA$9,INDEX('Annual Real'!$1:$1048576,'History and Forecast'!BA$7,'History and Forecast'!$H13),INDEX('Forecast Prices'!$1:$1048576,'History and Forecast'!$G13,'History and Forecast'!BA$6))</f>
        <v>#N/A</v>
      </c>
      <c r="BB13" s="17" t="e">
        <f>IF(BB$9,INDEX('Annual Real'!$1:$1048576,'History and Forecast'!BB$7,'History and Forecast'!$H13),INDEX('Forecast Prices'!$1:$1048576,'History and Forecast'!$G13,'History and Forecast'!BB$6))</f>
        <v>#N/A</v>
      </c>
      <c r="BC13" s="17" t="e">
        <f>IF(BC$9,INDEX('Annual Real'!$1:$1048576,'History and Forecast'!BC$7,'History and Forecast'!$H13),INDEX('Forecast Prices'!$1:$1048576,'History and Forecast'!$G13,'History and Forecast'!BC$6))</f>
        <v>#N/A</v>
      </c>
      <c r="BD13" s="17" t="e">
        <f>IF(BD$9,INDEX('Annual Real'!$1:$1048576,'History and Forecast'!BD$7,'History and Forecast'!$H13),INDEX('Forecast Prices'!$1:$1048576,'History and Forecast'!$G13,'History and Forecast'!BD$6))</f>
        <v>#N/A</v>
      </c>
      <c r="BE13" s="17" t="e">
        <f>IF(BE$9,INDEX('Annual Real'!$1:$1048576,'History and Forecast'!BE$7,'History and Forecast'!$H13),INDEX('Forecast Prices'!$1:$1048576,'History and Forecast'!$G13,'History and Forecast'!BE$6))</f>
        <v>#N/A</v>
      </c>
      <c r="BF13" s="17" t="e">
        <f>IF(BF$9,INDEX('Annual Real'!$1:$1048576,'History and Forecast'!BF$7,'History and Forecast'!$H13),INDEX('Forecast Prices'!$1:$1048576,'History and Forecast'!$G13,'History and Forecast'!BF$6))</f>
        <v>#N/A</v>
      </c>
      <c r="BG13" s="17" t="e">
        <f>IF(BG$9,INDEX('Annual Real'!$1:$1048576,'History and Forecast'!BG$7,'History and Forecast'!$H13),INDEX('Forecast Prices'!$1:$1048576,'History and Forecast'!$G13,'History and Forecast'!BG$6))</f>
        <v>#N/A</v>
      </c>
      <c r="BH13" s="17" t="e">
        <f>IF(BH$9,INDEX('Annual Real'!$1:$1048576,'History and Forecast'!BH$7,'History and Forecast'!$H13),INDEX('Forecast Prices'!$1:$1048576,'History and Forecast'!$G13,'History and Forecast'!BH$6))</f>
        <v>#N/A</v>
      </c>
      <c r="BI13" s="17" t="e">
        <f>IF(BI$9,INDEX('Annual Real'!$1:$1048576,'History and Forecast'!BI$7,'History and Forecast'!$H13),INDEX('Forecast Prices'!$1:$1048576,'History and Forecast'!$G13,'History and Forecast'!BI$6))</f>
        <v>#N/A</v>
      </c>
      <c r="BJ13" s="17" t="e">
        <f>IF(BJ$9,INDEX('Annual Real'!$1:$1048576,'History and Forecast'!BJ$7,'History and Forecast'!$H13),INDEX('Forecast Prices'!$1:$1048576,'History and Forecast'!$G13,'History and Forecast'!BJ$6))</f>
        <v>#N/A</v>
      </c>
      <c r="BK13" s="17" t="e">
        <f>IF(BK$9,INDEX('Annual Real'!$1:$1048576,'History and Forecast'!BK$7,'History and Forecast'!$H13),INDEX('Forecast Prices'!$1:$1048576,'History and Forecast'!$G13,'History and Forecast'!BK$6))</f>
        <v>#N/A</v>
      </c>
      <c r="BL13" s="17" t="e">
        <f>IF(BL$9,INDEX('Annual Real'!$1:$1048576,'History and Forecast'!BL$7,'History and Forecast'!$H13),INDEX('Forecast Prices'!$1:$1048576,'History and Forecast'!$G13,'History and Forecast'!BL$6))</f>
        <v>#N/A</v>
      </c>
      <c r="BM13" s="17" t="e">
        <f>IF(BM$9,INDEX('Annual Real'!$1:$1048576,'History and Forecast'!BM$7,'History and Forecast'!$H13),INDEX('Forecast Prices'!$1:$1048576,'History and Forecast'!$G13,'History and Forecast'!BM$6))</f>
        <v>#N/A</v>
      </c>
      <c r="BN13" s="17" t="e">
        <f>IF(BN$9,INDEX('Annual Real'!$1:$1048576,'History and Forecast'!BN$7,'History and Forecast'!$H13),INDEX('Forecast Prices'!$1:$1048576,'History and Forecast'!$G13,'History and Forecast'!BN$6))</f>
        <v>#N/A</v>
      </c>
      <c r="BO13" s="17">
        <f>IF(BO$9,INDEX('Annual Real'!$1:$1048576,'History and Forecast'!BO$7,'History and Forecast'!$H13),INDEX('Forecast Prices'!$1:$1048576,'History and Forecast'!$G13,'History and Forecast'!BO$6))</f>
        <v>2.6503833560750998</v>
      </c>
      <c r="BP13" s="17">
        <f>IF(BP$9,INDEX('Annual Real'!$1:$1048576,'History and Forecast'!BP$7,'History and Forecast'!$H13),INDEX('Forecast Prices'!$1:$1048576,'History and Forecast'!$G13,'History and Forecast'!BP$6))</f>
        <v>3.04219965878724</v>
      </c>
      <c r="BQ13" s="17">
        <f>IF(BQ$9,INDEX('Annual Real'!$1:$1048576,'History and Forecast'!BQ$7,'History and Forecast'!$H13),INDEX('Forecast Prices'!$1:$1048576,'History and Forecast'!$G13,'History and Forecast'!BQ$6))</f>
        <v>3.0975301146852301</v>
      </c>
      <c r="BR13" s="17">
        <f>IF(BR$9,INDEX('Annual Real'!$1:$1048576,'History and Forecast'!BR$7,'History and Forecast'!$H13),INDEX('Forecast Prices'!$1:$1048576,'History and Forecast'!$G13,'History and Forecast'!BR$6))</f>
        <v>2.6954428611705601</v>
      </c>
      <c r="BS13" s="17">
        <f>IF(BS$9,INDEX('Annual Real'!$1:$1048576,'History and Forecast'!BS$7,'History and Forecast'!$H13),INDEX('Forecast Prices'!$1:$1048576,'History and Forecast'!$G13,'History and Forecast'!BS$6))</f>
        <v>2.7450227121902202</v>
      </c>
      <c r="BT13" s="17">
        <f>IF(BT$9,INDEX('Annual Real'!$1:$1048576,'History and Forecast'!BT$7,'History and Forecast'!$H13),INDEX('Forecast Prices'!$1:$1048576,'History and Forecast'!$G13,'History and Forecast'!BT$6))</f>
        <v>2.7880118494335702</v>
      </c>
      <c r="BU13" s="17">
        <f>IF(BU$9,INDEX('Annual Real'!$1:$1048576,'History and Forecast'!BU$7,'History and Forecast'!$H13),INDEX('Forecast Prices'!$1:$1048576,'History and Forecast'!$G13,'History and Forecast'!BU$6))</f>
        <v>2.8294042849176</v>
      </c>
      <c r="BV13" s="17">
        <f>IF(BV$9,INDEX('Annual Real'!$1:$1048576,'History and Forecast'!BV$7,'History and Forecast'!$H13),INDEX('Forecast Prices'!$1:$1048576,'History and Forecast'!$G13,'History and Forecast'!BV$6))</f>
        <v>2.871664671519</v>
      </c>
      <c r="BW13" s="17">
        <f>IF(BW$9,INDEX('Annual Real'!$1:$1048576,'History and Forecast'!BW$7,'History and Forecast'!$H13),INDEX('Forecast Prices'!$1:$1048576,'History and Forecast'!$G13,'History and Forecast'!BW$6))</f>
        <v>2.9145552987667198</v>
      </c>
      <c r="BX13" s="17">
        <f>IF(BX$9,INDEX('Annual Real'!$1:$1048576,'History and Forecast'!BX$7,'History and Forecast'!$H13),INDEX('Forecast Prices'!$1:$1048576,'History and Forecast'!$G13,'History and Forecast'!BX$6))</f>
        <v>2.9579159279718601</v>
      </c>
      <c r="BY13" s="17" t="e">
        <f>IF(BY$9,INDEX('Annual Real'!$1:$1048576,'History and Forecast'!BY$7,'History and Forecast'!$H13),INDEX('Forecast Prices'!$1:$1048576,'History and Forecast'!$G13,'History and Forecast'!BY$6))</f>
        <v>#N/A</v>
      </c>
      <c r="BZ13" s="17" t="e">
        <f>IF(BZ$9,INDEX('Annual Real'!$1:$1048576,'History and Forecast'!BZ$7,'History and Forecast'!$H13),INDEX('Forecast Prices'!$1:$1048576,'History and Forecast'!$G13,'History and Forecast'!BZ$6))</f>
        <v>#N/A</v>
      </c>
      <c r="CA13" s="17" t="e">
        <f>IF(CA$9,INDEX('Annual Real'!$1:$1048576,'History and Forecast'!CA$7,'History and Forecast'!$H13),INDEX('Forecast Prices'!$1:$1048576,'History and Forecast'!$G13,'History and Forecast'!CA$6))</f>
        <v>#N/A</v>
      </c>
      <c r="CB13" s="17" t="e">
        <f>IF(CB$9,INDEX('Annual Real'!$1:$1048576,'History and Forecast'!CB$7,'History and Forecast'!$H13),INDEX('Forecast Prices'!$1:$1048576,'History and Forecast'!$G13,'History and Forecast'!CB$6))</f>
        <v>#N/A</v>
      </c>
      <c r="CC13" s="17">
        <f>IF(CC$9,INDEX('Annual Real'!$1:$1048576,'History and Forecast'!CC$7,'History and Forecast'!$H13),INDEX('Forecast Prices'!$1:$1048576,'History and Forecast'!$G13,'History and Forecast'!CC$6))</f>
        <v>3.1797247705115201</v>
      </c>
      <c r="CD13" s="17" t="e">
        <f>IF(CD$9,INDEX('Annual Real'!$1:$1048576,'History and Forecast'!CD$7,'History and Forecast'!$H13),INDEX('Forecast Prices'!$1:$1048576,'History and Forecast'!$G13,'History and Forecast'!CD$6))</f>
        <v>#N/A</v>
      </c>
      <c r="CE13" s="17" t="e">
        <f>IF(CE$9,INDEX('Annual Real'!$1:$1048576,'History and Forecast'!CE$7,'History and Forecast'!$H13),INDEX('Forecast Prices'!$1:$1048576,'History and Forecast'!$G13,'History and Forecast'!CE$6))</f>
        <v>#N/A</v>
      </c>
      <c r="CF13" s="17" t="e">
        <f>IF(CF$9,INDEX('Annual Real'!$1:$1048576,'History and Forecast'!CF$7,'History and Forecast'!$H13),INDEX('Forecast Prices'!$1:$1048576,'History and Forecast'!$G13,'History and Forecast'!CF$6))</f>
        <v>#N/A</v>
      </c>
      <c r="CG13" s="17" t="e">
        <f>IF(CG$9,INDEX('Annual Real'!$1:$1048576,'History and Forecast'!CG$7,'History and Forecast'!$H13),INDEX('Forecast Prices'!$1:$1048576,'History and Forecast'!$G13,'History and Forecast'!CG$6))</f>
        <v>#N/A</v>
      </c>
      <c r="CH13" s="17" t="e">
        <f>IF(CH$9,INDEX('Annual Real'!$1:$1048576,'History and Forecast'!CH$7,'History and Forecast'!$H13),INDEX('Forecast Prices'!$1:$1048576,'History and Forecast'!$G13,'History and Forecast'!CH$6))</f>
        <v>#N/A</v>
      </c>
      <c r="CI13" s="17" t="e">
        <f>IF(CI$9,INDEX('Annual Real'!$1:$1048576,'History and Forecast'!CI$7,'History and Forecast'!$H13),INDEX('Forecast Prices'!$1:$1048576,'History and Forecast'!$G13,'History and Forecast'!CI$6))</f>
        <v>#N/A</v>
      </c>
    </row>
    <row r="14" spans="2:87">
      <c r="B14" t="str">
        <f t="shared" si="4"/>
        <v>NGAS_JP</v>
      </c>
      <c r="C14" s="34" t="s">
        <v>1047</v>
      </c>
      <c r="D14" t="str">
        <f t="shared" si="5"/>
        <v>KNGAS_JP</v>
      </c>
      <c r="E14" s="34" t="str">
        <f t="shared" si="6"/>
        <v>KFNGAS_JP</v>
      </c>
      <c r="F14">
        <f>MATCH(C14,'Forecast Prices'!A:A,0)</f>
        <v>9</v>
      </c>
      <c r="G14">
        <f>MATCH(E14,'Forecast Prices'!A:A,0)</f>
        <v>91</v>
      </c>
      <c r="H14" t="e">
        <f>MATCH(D14,'Annual Real'!$9:$9,0)</f>
        <v>#N/A</v>
      </c>
      <c r="I14" t="str">
        <f>INDEX('Forecast Prices'!B:B,'History and Forecast'!F14)&amp;INDEX('Forecast Prices'!C:C,'History and Forecast'!F14)&amp;INDEX('Forecast Prices'!D:D,'History and Forecast'!F14)&amp;INDEX('Forecast Prices'!E:E,'History and Forecast'!F14)</f>
        <v>Natural gas LNG, Japan</v>
      </c>
      <c r="J14" t="str">
        <f>INDEX('Forecast Prices'!H:H,'History and Forecast'!F14)</f>
        <v>$/mmbtu</v>
      </c>
      <c r="K14" s="17" t="e">
        <f>IF(K$9,INDEX('Annual Real'!$1:$1048576,'History and Forecast'!K$7,'History and Forecast'!$H14),INDEX('Forecast Prices'!$1:$1048576,'History and Forecast'!$G14,'History and Forecast'!K$6))</f>
        <v>#N/A</v>
      </c>
      <c r="L14" s="17" t="e">
        <f>IF(L$9,INDEX('Annual Real'!$1:$1048576,'History and Forecast'!L$7,'History and Forecast'!$H14),INDEX('Forecast Prices'!$1:$1048576,'History and Forecast'!$G14,'History and Forecast'!L$6))</f>
        <v>#N/A</v>
      </c>
      <c r="M14" s="17" t="e">
        <f>IF(M$9,INDEX('Annual Real'!$1:$1048576,'History and Forecast'!M$7,'History and Forecast'!$H14),INDEX('Forecast Prices'!$1:$1048576,'History and Forecast'!$G14,'History and Forecast'!M$6))</f>
        <v>#N/A</v>
      </c>
      <c r="N14" s="17" t="e">
        <f>IF(N$9,INDEX('Annual Real'!$1:$1048576,'History and Forecast'!N$7,'History and Forecast'!$H14),INDEX('Forecast Prices'!$1:$1048576,'History and Forecast'!$G14,'History and Forecast'!N$6))</f>
        <v>#N/A</v>
      </c>
      <c r="O14" s="17" t="e">
        <f>IF(O$9,INDEX('Annual Real'!$1:$1048576,'History and Forecast'!O$7,'History and Forecast'!$H14),INDEX('Forecast Prices'!$1:$1048576,'History and Forecast'!$G14,'History and Forecast'!O$6))</f>
        <v>#N/A</v>
      </c>
      <c r="P14" s="17" t="e">
        <f>IF(P$9,INDEX('Annual Real'!$1:$1048576,'History and Forecast'!P$7,'History and Forecast'!$H14),INDEX('Forecast Prices'!$1:$1048576,'History and Forecast'!$G14,'History and Forecast'!P$6))</f>
        <v>#N/A</v>
      </c>
      <c r="Q14" s="17" t="e">
        <f>IF(Q$9,INDEX('Annual Real'!$1:$1048576,'History and Forecast'!Q$7,'History and Forecast'!$H14),INDEX('Forecast Prices'!$1:$1048576,'History and Forecast'!$G14,'History and Forecast'!Q$6))</f>
        <v>#N/A</v>
      </c>
      <c r="R14" s="17" t="e">
        <f>IF(R$9,INDEX('Annual Real'!$1:$1048576,'History and Forecast'!R$7,'History and Forecast'!$H14),INDEX('Forecast Prices'!$1:$1048576,'History and Forecast'!$G14,'History and Forecast'!R$6))</f>
        <v>#N/A</v>
      </c>
      <c r="S14" s="17" t="e">
        <f>IF(S$9,INDEX('Annual Real'!$1:$1048576,'History and Forecast'!S$7,'History and Forecast'!$H14),INDEX('Forecast Prices'!$1:$1048576,'History and Forecast'!$G14,'History and Forecast'!S$6))</f>
        <v>#N/A</v>
      </c>
      <c r="T14" s="17" t="e">
        <f>IF(T$9,INDEX('Annual Real'!$1:$1048576,'History and Forecast'!T$7,'History and Forecast'!$H14),INDEX('Forecast Prices'!$1:$1048576,'History and Forecast'!$G14,'History and Forecast'!T$6))</f>
        <v>#N/A</v>
      </c>
      <c r="U14" s="17" t="e">
        <f>IF(U$9,INDEX('Annual Real'!$1:$1048576,'History and Forecast'!U$7,'History and Forecast'!$H14),INDEX('Forecast Prices'!$1:$1048576,'History and Forecast'!$G14,'History and Forecast'!U$6))</f>
        <v>#N/A</v>
      </c>
      <c r="V14" s="17" t="e">
        <f>IF(V$9,INDEX('Annual Real'!$1:$1048576,'History and Forecast'!V$7,'History and Forecast'!$H14),INDEX('Forecast Prices'!$1:$1048576,'History and Forecast'!$G14,'History and Forecast'!V$6))</f>
        <v>#N/A</v>
      </c>
      <c r="W14" s="17" t="e">
        <f>IF(W$9,INDEX('Annual Real'!$1:$1048576,'History and Forecast'!W$7,'History and Forecast'!$H14),INDEX('Forecast Prices'!$1:$1048576,'History and Forecast'!$G14,'History and Forecast'!W$6))</f>
        <v>#N/A</v>
      </c>
      <c r="X14" s="17" t="e">
        <f>IF(X$9,INDEX('Annual Real'!$1:$1048576,'History and Forecast'!X$7,'History and Forecast'!$H14),INDEX('Forecast Prices'!$1:$1048576,'History and Forecast'!$G14,'History and Forecast'!X$6))</f>
        <v>#N/A</v>
      </c>
      <c r="Y14" s="17" t="e">
        <f>IF(Y$9,INDEX('Annual Real'!$1:$1048576,'History and Forecast'!Y$7,'History and Forecast'!$H14),INDEX('Forecast Prices'!$1:$1048576,'History and Forecast'!$G14,'History and Forecast'!Y$6))</f>
        <v>#N/A</v>
      </c>
      <c r="Z14" s="17" t="e">
        <f>IF(Z$9,INDEX('Annual Real'!$1:$1048576,'History and Forecast'!Z$7,'History and Forecast'!$H14),INDEX('Forecast Prices'!$1:$1048576,'History and Forecast'!$G14,'History and Forecast'!Z$6))</f>
        <v>#N/A</v>
      </c>
      <c r="AA14" s="17" t="e">
        <f>IF(AA$9,INDEX('Annual Real'!$1:$1048576,'History and Forecast'!AA$7,'History and Forecast'!$H14),INDEX('Forecast Prices'!$1:$1048576,'History and Forecast'!$G14,'History and Forecast'!AA$6))</f>
        <v>#N/A</v>
      </c>
      <c r="AB14" s="17" t="e">
        <f>IF(AB$9,INDEX('Annual Real'!$1:$1048576,'History and Forecast'!AB$7,'History and Forecast'!$H14),INDEX('Forecast Prices'!$1:$1048576,'History and Forecast'!$G14,'History and Forecast'!AB$6))</f>
        <v>#N/A</v>
      </c>
      <c r="AC14" s="17" t="e">
        <f>IF(AC$9,INDEX('Annual Real'!$1:$1048576,'History and Forecast'!AC$7,'History and Forecast'!$H14),INDEX('Forecast Prices'!$1:$1048576,'History and Forecast'!$G14,'History and Forecast'!AC$6))</f>
        <v>#N/A</v>
      </c>
      <c r="AD14" s="17" t="e">
        <f>IF(AD$9,INDEX('Annual Real'!$1:$1048576,'History and Forecast'!AD$7,'History and Forecast'!$H14),INDEX('Forecast Prices'!$1:$1048576,'History and Forecast'!$G14,'History and Forecast'!AD$6))</f>
        <v>#N/A</v>
      </c>
      <c r="AE14" s="17" t="e">
        <f>IF(AE$9,INDEX('Annual Real'!$1:$1048576,'History and Forecast'!AE$7,'History and Forecast'!$H14),INDEX('Forecast Prices'!$1:$1048576,'History and Forecast'!$G14,'History and Forecast'!AE$6))</f>
        <v>#N/A</v>
      </c>
      <c r="AF14" s="17" t="e">
        <f>IF(AF$9,INDEX('Annual Real'!$1:$1048576,'History and Forecast'!AF$7,'History and Forecast'!$H14),INDEX('Forecast Prices'!$1:$1048576,'History and Forecast'!$G14,'History and Forecast'!AF$6))</f>
        <v>#N/A</v>
      </c>
      <c r="AG14" s="17" t="e">
        <f>IF(AG$9,INDEX('Annual Real'!$1:$1048576,'History and Forecast'!AG$7,'History and Forecast'!$H14),INDEX('Forecast Prices'!$1:$1048576,'History and Forecast'!$G14,'History and Forecast'!AG$6))</f>
        <v>#N/A</v>
      </c>
      <c r="AH14" s="17" t="e">
        <f>IF(AH$9,INDEX('Annual Real'!$1:$1048576,'History and Forecast'!AH$7,'History and Forecast'!$H14),INDEX('Forecast Prices'!$1:$1048576,'History and Forecast'!$G14,'History and Forecast'!AH$6))</f>
        <v>#N/A</v>
      </c>
      <c r="AI14" s="17" t="e">
        <f>IF(AI$9,INDEX('Annual Real'!$1:$1048576,'History and Forecast'!AI$7,'History and Forecast'!$H14),INDEX('Forecast Prices'!$1:$1048576,'History and Forecast'!$G14,'History and Forecast'!AI$6))</f>
        <v>#N/A</v>
      </c>
      <c r="AJ14" s="17" t="e">
        <f>IF(AJ$9,INDEX('Annual Real'!$1:$1048576,'History and Forecast'!AJ$7,'History and Forecast'!$H14),INDEX('Forecast Prices'!$1:$1048576,'History and Forecast'!$G14,'History and Forecast'!AJ$6))</f>
        <v>#N/A</v>
      </c>
      <c r="AK14" s="17" t="e">
        <f>IF(AK$9,INDEX('Annual Real'!$1:$1048576,'History and Forecast'!AK$7,'History and Forecast'!$H14),INDEX('Forecast Prices'!$1:$1048576,'History and Forecast'!$G14,'History and Forecast'!AK$6))</f>
        <v>#N/A</v>
      </c>
      <c r="AL14" s="17" t="e">
        <f>IF(AL$9,INDEX('Annual Real'!$1:$1048576,'History and Forecast'!AL$7,'History and Forecast'!$H14),INDEX('Forecast Prices'!$1:$1048576,'History and Forecast'!$G14,'History and Forecast'!AL$6))</f>
        <v>#N/A</v>
      </c>
      <c r="AM14" s="17" t="e">
        <f>IF(AM$9,INDEX('Annual Real'!$1:$1048576,'History and Forecast'!AM$7,'History and Forecast'!$H14),INDEX('Forecast Prices'!$1:$1048576,'History and Forecast'!$G14,'History and Forecast'!AM$6))</f>
        <v>#N/A</v>
      </c>
      <c r="AN14" s="17" t="e">
        <f>IF(AN$9,INDEX('Annual Real'!$1:$1048576,'History and Forecast'!AN$7,'History and Forecast'!$H14),INDEX('Forecast Prices'!$1:$1048576,'History and Forecast'!$G14,'History and Forecast'!AN$6))</f>
        <v>#N/A</v>
      </c>
      <c r="AO14" s="17" t="e">
        <f>IF(AO$9,INDEX('Annual Real'!$1:$1048576,'History and Forecast'!AO$7,'History and Forecast'!$H14),INDEX('Forecast Prices'!$1:$1048576,'History and Forecast'!$G14,'History and Forecast'!AO$6))</f>
        <v>#N/A</v>
      </c>
      <c r="AP14" s="17" t="e">
        <f>IF(AP$9,INDEX('Annual Real'!$1:$1048576,'History and Forecast'!AP$7,'History and Forecast'!$H14),INDEX('Forecast Prices'!$1:$1048576,'History and Forecast'!$G14,'History and Forecast'!AP$6))</f>
        <v>#N/A</v>
      </c>
      <c r="AQ14" s="17" t="e">
        <f>IF(AQ$9,INDEX('Annual Real'!$1:$1048576,'History and Forecast'!AQ$7,'History and Forecast'!$H14),INDEX('Forecast Prices'!$1:$1048576,'History and Forecast'!$G14,'History and Forecast'!AQ$6))</f>
        <v>#N/A</v>
      </c>
      <c r="AR14" s="17" t="e">
        <f>IF(AR$9,INDEX('Annual Real'!$1:$1048576,'History and Forecast'!AR$7,'History and Forecast'!$H14),INDEX('Forecast Prices'!$1:$1048576,'History and Forecast'!$G14,'History and Forecast'!AR$6))</f>
        <v>#N/A</v>
      </c>
      <c r="AS14" s="17" t="e">
        <f>IF(AS$9,INDEX('Annual Real'!$1:$1048576,'History and Forecast'!AS$7,'History and Forecast'!$H14),INDEX('Forecast Prices'!$1:$1048576,'History and Forecast'!$G14,'History and Forecast'!AS$6))</f>
        <v>#N/A</v>
      </c>
      <c r="AT14" s="17" t="e">
        <f>IF(AT$9,INDEX('Annual Real'!$1:$1048576,'History and Forecast'!AT$7,'History and Forecast'!$H14),INDEX('Forecast Prices'!$1:$1048576,'History and Forecast'!$G14,'History and Forecast'!AT$6))</f>
        <v>#N/A</v>
      </c>
      <c r="AU14" s="17" t="e">
        <f>IF(AU$9,INDEX('Annual Real'!$1:$1048576,'History and Forecast'!AU$7,'History and Forecast'!$H14),INDEX('Forecast Prices'!$1:$1048576,'History and Forecast'!$G14,'History and Forecast'!AU$6))</f>
        <v>#N/A</v>
      </c>
      <c r="AV14" s="17" t="e">
        <f>IF(AV$9,INDEX('Annual Real'!$1:$1048576,'History and Forecast'!AV$7,'History and Forecast'!$H14),INDEX('Forecast Prices'!$1:$1048576,'History and Forecast'!$G14,'History and Forecast'!AV$6))</f>
        <v>#N/A</v>
      </c>
      <c r="AW14" s="17" t="e">
        <f>IF(AW$9,INDEX('Annual Real'!$1:$1048576,'History and Forecast'!AW$7,'History and Forecast'!$H14),INDEX('Forecast Prices'!$1:$1048576,'History and Forecast'!$G14,'History and Forecast'!AW$6))</f>
        <v>#N/A</v>
      </c>
      <c r="AX14" s="17" t="e">
        <f>IF(AX$9,INDEX('Annual Real'!$1:$1048576,'History and Forecast'!AX$7,'History and Forecast'!$H14),INDEX('Forecast Prices'!$1:$1048576,'History and Forecast'!$G14,'History and Forecast'!AX$6))</f>
        <v>#N/A</v>
      </c>
      <c r="AY14" s="17" t="e">
        <f>IF(AY$9,INDEX('Annual Real'!$1:$1048576,'History and Forecast'!AY$7,'History and Forecast'!$H14),INDEX('Forecast Prices'!$1:$1048576,'History and Forecast'!$G14,'History and Forecast'!AY$6))</f>
        <v>#N/A</v>
      </c>
      <c r="AZ14" s="17" t="e">
        <f>IF(AZ$9,INDEX('Annual Real'!$1:$1048576,'History and Forecast'!AZ$7,'History and Forecast'!$H14),INDEX('Forecast Prices'!$1:$1048576,'History and Forecast'!$G14,'History and Forecast'!AZ$6))</f>
        <v>#N/A</v>
      </c>
      <c r="BA14" s="17" t="e">
        <f>IF(BA$9,INDEX('Annual Real'!$1:$1048576,'History and Forecast'!BA$7,'History and Forecast'!$H14),INDEX('Forecast Prices'!$1:$1048576,'History and Forecast'!$G14,'History and Forecast'!BA$6))</f>
        <v>#N/A</v>
      </c>
      <c r="BB14" s="17" t="e">
        <f>IF(BB$9,INDEX('Annual Real'!$1:$1048576,'History and Forecast'!BB$7,'History and Forecast'!$H14),INDEX('Forecast Prices'!$1:$1048576,'History and Forecast'!$G14,'History and Forecast'!BB$6))</f>
        <v>#N/A</v>
      </c>
      <c r="BC14" s="17" t="e">
        <f>IF(BC$9,INDEX('Annual Real'!$1:$1048576,'History and Forecast'!BC$7,'History and Forecast'!$H14),INDEX('Forecast Prices'!$1:$1048576,'History and Forecast'!$G14,'History and Forecast'!BC$6))</f>
        <v>#N/A</v>
      </c>
      <c r="BD14" s="17" t="e">
        <f>IF(BD$9,INDEX('Annual Real'!$1:$1048576,'History and Forecast'!BD$7,'History and Forecast'!$H14),INDEX('Forecast Prices'!$1:$1048576,'History and Forecast'!$G14,'History and Forecast'!BD$6))</f>
        <v>#N/A</v>
      </c>
      <c r="BE14" s="17" t="e">
        <f>IF(BE$9,INDEX('Annual Real'!$1:$1048576,'History and Forecast'!BE$7,'History and Forecast'!$H14),INDEX('Forecast Prices'!$1:$1048576,'History and Forecast'!$G14,'History and Forecast'!BE$6))</f>
        <v>#N/A</v>
      </c>
      <c r="BF14" s="17" t="e">
        <f>IF(BF$9,INDEX('Annual Real'!$1:$1048576,'History and Forecast'!BF$7,'History and Forecast'!$H14),INDEX('Forecast Prices'!$1:$1048576,'History and Forecast'!$G14,'History and Forecast'!BF$6))</f>
        <v>#N/A</v>
      </c>
      <c r="BG14" s="17" t="e">
        <f>IF(BG$9,INDEX('Annual Real'!$1:$1048576,'History and Forecast'!BG$7,'History and Forecast'!$H14),INDEX('Forecast Prices'!$1:$1048576,'History and Forecast'!$G14,'History and Forecast'!BG$6))</f>
        <v>#N/A</v>
      </c>
      <c r="BH14" s="17" t="e">
        <f>IF(BH$9,INDEX('Annual Real'!$1:$1048576,'History and Forecast'!BH$7,'History and Forecast'!$H14),INDEX('Forecast Prices'!$1:$1048576,'History and Forecast'!$G14,'History and Forecast'!BH$6))</f>
        <v>#N/A</v>
      </c>
      <c r="BI14" s="17" t="e">
        <f>IF(BI$9,INDEX('Annual Real'!$1:$1048576,'History and Forecast'!BI$7,'History and Forecast'!$H14),INDEX('Forecast Prices'!$1:$1048576,'History and Forecast'!$G14,'History and Forecast'!BI$6))</f>
        <v>#N/A</v>
      </c>
      <c r="BJ14" s="17" t="e">
        <f>IF(BJ$9,INDEX('Annual Real'!$1:$1048576,'History and Forecast'!BJ$7,'History and Forecast'!$H14),INDEX('Forecast Prices'!$1:$1048576,'History and Forecast'!$G14,'History and Forecast'!BJ$6))</f>
        <v>#N/A</v>
      </c>
      <c r="BK14" s="17" t="e">
        <f>IF(BK$9,INDEX('Annual Real'!$1:$1048576,'History and Forecast'!BK$7,'History and Forecast'!$H14),INDEX('Forecast Prices'!$1:$1048576,'History and Forecast'!$G14,'History and Forecast'!BK$6))</f>
        <v>#N/A</v>
      </c>
      <c r="BL14" s="17" t="e">
        <f>IF(BL$9,INDEX('Annual Real'!$1:$1048576,'History and Forecast'!BL$7,'History and Forecast'!$H14),INDEX('Forecast Prices'!$1:$1048576,'History and Forecast'!$G14,'History and Forecast'!BL$6))</f>
        <v>#N/A</v>
      </c>
      <c r="BM14" s="17" t="e">
        <f>IF(BM$9,INDEX('Annual Real'!$1:$1048576,'History and Forecast'!BM$7,'History and Forecast'!$H14),INDEX('Forecast Prices'!$1:$1048576,'History and Forecast'!$G14,'History and Forecast'!BM$6))</f>
        <v>#N/A</v>
      </c>
      <c r="BN14" s="17" t="e">
        <f>IF(BN$9,INDEX('Annual Real'!$1:$1048576,'History and Forecast'!BN$7,'History and Forecast'!$H14),INDEX('Forecast Prices'!$1:$1048576,'History and Forecast'!$G14,'History and Forecast'!BN$6))</f>
        <v>#N/A</v>
      </c>
      <c r="BO14" s="17">
        <f>IF(BO$9,INDEX('Annual Real'!$1:$1048576,'History and Forecast'!BO$7,'History and Forecast'!$H14),INDEX('Forecast Prices'!$1:$1048576,'History and Forecast'!$G14,'History and Forecast'!BO$6))</f>
        <v>7.8403306667517798</v>
      </c>
      <c r="BP14" s="17">
        <f>IF(BP$9,INDEX('Annual Real'!$1:$1048576,'History and Forecast'!BP$7,'History and Forecast'!$H14),INDEX('Forecast Prices'!$1:$1048576,'History and Forecast'!$G14,'History and Forecast'!BP$6))</f>
        <v>8.8462881365169004</v>
      </c>
      <c r="BQ14" s="17">
        <f>IF(BQ$9,INDEX('Annual Real'!$1:$1048576,'History and Forecast'!BQ$7,'History and Forecast'!$H14),INDEX('Forecast Prices'!$1:$1048576,'History and Forecast'!$G14,'History and Forecast'!BQ$6))</f>
        <v>10.4752144066684</v>
      </c>
      <c r="BR14" s="17">
        <f>IF(BR$9,INDEX('Annual Real'!$1:$1048576,'History and Forecast'!BR$7,'History and Forecast'!$H14),INDEX('Forecast Prices'!$1:$1048576,'History and Forecast'!$G14,'History and Forecast'!BR$6))</f>
        <v>7.1236704188079401</v>
      </c>
      <c r="BS14" s="17">
        <f>IF(BS$9,INDEX('Annual Real'!$1:$1048576,'History and Forecast'!BS$7,'History and Forecast'!$H14),INDEX('Forecast Prices'!$1:$1048576,'History and Forecast'!$G14,'History and Forecast'!BS$6))</f>
        <v>7.0991966694574602</v>
      </c>
      <c r="BT14" s="17">
        <f>IF(BT$9,INDEX('Annual Real'!$1:$1048576,'History and Forecast'!BT$7,'History and Forecast'!$H14),INDEX('Forecast Prices'!$1:$1048576,'History and Forecast'!$G14,'History and Forecast'!BT$6))</f>
        <v>7.0701307860908402</v>
      </c>
      <c r="BU14" s="17">
        <f>IF(BU$9,INDEX('Annual Real'!$1:$1048576,'History and Forecast'!BU$7,'History and Forecast'!$H14),INDEX('Forecast Prices'!$1:$1048576,'History and Forecast'!$G14,'History and Forecast'!BU$6))</f>
        <v>7.0355395082198102</v>
      </c>
      <c r="BV14" s="17">
        <f>IF(BV$9,INDEX('Annual Real'!$1:$1048576,'History and Forecast'!BV$7,'History and Forecast'!$H14),INDEX('Forecast Prices'!$1:$1048576,'History and Forecast'!$G14,'History and Forecast'!BV$6))</f>
        <v>7.0017353518563903</v>
      </c>
      <c r="BW14" s="17">
        <f>IF(BW$9,INDEX('Annual Real'!$1:$1048576,'History and Forecast'!BW$7,'History and Forecast'!$H14),INDEX('Forecast Prices'!$1:$1048576,'History and Forecast'!$G14,'History and Forecast'!BW$6))</f>
        <v>6.9680913059646503</v>
      </c>
      <c r="BX14" s="17">
        <f>IF(BX$9,INDEX('Annual Real'!$1:$1048576,'History and Forecast'!BX$7,'History and Forecast'!$H14),INDEX('Forecast Prices'!$1:$1048576,'History and Forecast'!$G14,'History and Forecast'!BX$6))</f>
        <v>6.9342089777442801</v>
      </c>
      <c r="BY14" s="17" t="e">
        <f>IF(BY$9,INDEX('Annual Real'!$1:$1048576,'History and Forecast'!BY$7,'History and Forecast'!$H14),INDEX('Forecast Prices'!$1:$1048576,'History and Forecast'!$G14,'History and Forecast'!BY$6))</f>
        <v>#N/A</v>
      </c>
      <c r="BZ14" s="17" t="e">
        <f>IF(BZ$9,INDEX('Annual Real'!$1:$1048576,'History and Forecast'!BZ$7,'History and Forecast'!$H14),INDEX('Forecast Prices'!$1:$1048576,'History and Forecast'!$G14,'History and Forecast'!BZ$6))</f>
        <v>#N/A</v>
      </c>
      <c r="CA14" s="17" t="e">
        <f>IF(CA$9,INDEX('Annual Real'!$1:$1048576,'History and Forecast'!CA$7,'History and Forecast'!$H14),INDEX('Forecast Prices'!$1:$1048576,'History and Forecast'!$G14,'History and Forecast'!CA$6))</f>
        <v>#N/A</v>
      </c>
      <c r="CB14" s="17" t="e">
        <f>IF(CB$9,INDEX('Annual Real'!$1:$1048576,'History and Forecast'!CB$7,'History and Forecast'!$H14),INDEX('Forecast Prices'!$1:$1048576,'History and Forecast'!$G14,'History and Forecast'!CB$6))</f>
        <v>#N/A</v>
      </c>
      <c r="CC14" s="17">
        <f>IF(CC$9,INDEX('Annual Real'!$1:$1048576,'History and Forecast'!CC$7,'History and Forecast'!$H14),INDEX('Forecast Prices'!$1:$1048576,'History and Forecast'!$G14,'History and Forecast'!CC$6))</f>
        <v>6.7569151373369802</v>
      </c>
      <c r="CD14" s="17" t="e">
        <f>IF(CD$9,INDEX('Annual Real'!$1:$1048576,'History and Forecast'!CD$7,'History and Forecast'!$H14),INDEX('Forecast Prices'!$1:$1048576,'History and Forecast'!$G14,'History and Forecast'!CD$6))</f>
        <v>#N/A</v>
      </c>
      <c r="CE14" s="17" t="e">
        <f>IF(CE$9,INDEX('Annual Real'!$1:$1048576,'History and Forecast'!CE$7,'History and Forecast'!$H14),INDEX('Forecast Prices'!$1:$1048576,'History and Forecast'!$G14,'History and Forecast'!CE$6))</f>
        <v>#N/A</v>
      </c>
      <c r="CF14" s="17" t="e">
        <f>IF(CF$9,INDEX('Annual Real'!$1:$1048576,'History and Forecast'!CF$7,'History and Forecast'!$H14),INDEX('Forecast Prices'!$1:$1048576,'History and Forecast'!$G14,'History and Forecast'!CF$6))</f>
        <v>#N/A</v>
      </c>
      <c r="CG14" s="17" t="e">
        <f>IF(CG$9,INDEX('Annual Real'!$1:$1048576,'History and Forecast'!CG$7,'History and Forecast'!$H14),INDEX('Forecast Prices'!$1:$1048576,'History and Forecast'!$G14,'History and Forecast'!CG$6))</f>
        <v>#N/A</v>
      </c>
      <c r="CH14" s="17" t="e">
        <f>IF(CH$9,INDEX('Annual Real'!$1:$1048576,'History and Forecast'!CH$7,'History and Forecast'!$H14),INDEX('Forecast Prices'!$1:$1048576,'History and Forecast'!$G14,'History and Forecast'!CH$6))</f>
        <v>#N/A</v>
      </c>
      <c r="CI14" s="17" t="e">
        <f>IF(CI$9,INDEX('Annual Real'!$1:$1048576,'History and Forecast'!CI$7,'History and Forecast'!$H14),INDEX('Forecast Prices'!$1:$1048576,'History and Forecast'!$G14,'History and Forecast'!CI$6))</f>
        <v>#N/A</v>
      </c>
    </row>
    <row r="15" spans="2:87">
      <c r="B15" t="str">
        <f t="shared" si="4"/>
        <v>COCOA</v>
      </c>
      <c r="C15" s="34" t="s">
        <v>1051</v>
      </c>
      <c r="D15" t="str">
        <f t="shared" si="5"/>
        <v>KCOCOA</v>
      </c>
      <c r="E15" s="34" t="str">
        <f t="shared" si="6"/>
        <v>KFCOCOA</v>
      </c>
      <c r="F15">
        <f>MATCH(C15,'Forecast Prices'!A:A,0)</f>
        <v>14</v>
      </c>
      <c r="G15">
        <f>MATCH(E15,'Forecast Prices'!A:A,0)</f>
        <v>96</v>
      </c>
      <c r="H15" t="e">
        <f>MATCH(D15,'Annual Real'!$9:$9,0)</f>
        <v>#N/A</v>
      </c>
      <c r="I15" t="str">
        <f>INDEX('Forecast Prices'!B:B,'History and Forecast'!F15)&amp;INDEX('Forecast Prices'!C:C,'History and Forecast'!F15)&amp;INDEX('Forecast Prices'!D:D,'History and Forecast'!F15)&amp;INDEX('Forecast Prices'!E:E,'History and Forecast'!F15)</f>
        <v>Cocoa</v>
      </c>
      <c r="J15" t="str">
        <f>INDEX('Forecast Prices'!H:H,'History and Forecast'!F15)</f>
        <v>$/kg</v>
      </c>
      <c r="K15" s="17" t="e">
        <f>IF(K$9,INDEX('Annual Real'!$1:$1048576,'History and Forecast'!K$7,'History and Forecast'!$H15),INDEX('Forecast Prices'!$1:$1048576,'History and Forecast'!$G15,'History and Forecast'!K$6))</f>
        <v>#N/A</v>
      </c>
      <c r="L15" s="17" t="e">
        <f>IF(L$9,INDEX('Annual Real'!$1:$1048576,'History and Forecast'!L$7,'History and Forecast'!$H15),INDEX('Forecast Prices'!$1:$1048576,'History and Forecast'!$G15,'History and Forecast'!L$6))</f>
        <v>#N/A</v>
      </c>
      <c r="M15" s="17" t="e">
        <f>IF(M$9,INDEX('Annual Real'!$1:$1048576,'History and Forecast'!M$7,'History and Forecast'!$H15),INDEX('Forecast Prices'!$1:$1048576,'History and Forecast'!$G15,'History and Forecast'!M$6))</f>
        <v>#N/A</v>
      </c>
      <c r="N15" s="17" t="e">
        <f>IF(N$9,INDEX('Annual Real'!$1:$1048576,'History and Forecast'!N$7,'History and Forecast'!$H15),INDEX('Forecast Prices'!$1:$1048576,'History and Forecast'!$G15,'History and Forecast'!N$6))</f>
        <v>#N/A</v>
      </c>
      <c r="O15" s="17" t="e">
        <f>IF(O$9,INDEX('Annual Real'!$1:$1048576,'History and Forecast'!O$7,'History and Forecast'!$H15),INDEX('Forecast Prices'!$1:$1048576,'History and Forecast'!$G15,'History and Forecast'!O$6))</f>
        <v>#N/A</v>
      </c>
      <c r="P15" s="17" t="e">
        <f>IF(P$9,INDEX('Annual Real'!$1:$1048576,'History and Forecast'!P$7,'History and Forecast'!$H15),INDEX('Forecast Prices'!$1:$1048576,'History and Forecast'!$G15,'History and Forecast'!P$6))</f>
        <v>#N/A</v>
      </c>
      <c r="Q15" s="17" t="e">
        <f>IF(Q$9,INDEX('Annual Real'!$1:$1048576,'History and Forecast'!Q$7,'History and Forecast'!$H15),INDEX('Forecast Prices'!$1:$1048576,'History and Forecast'!$G15,'History and Forecast'!Q$6))</f>
        <v>#N/A</v>
      </c>
      <c r="R15" s="17" t="e">
        <f>IF(R$9,INDEX('Annual Real'!$1:$1048576,'History and Forecast'!R$7,'History and Forecast'!$H15),INDEX('Forecast Prices'!$1:$1048576,'History and Forecast'!$G15,'History and Forecast'!R$6))</f>
        <v>#N/A</v>
      </c>
      <c r="S15" s="17" t="e">
        <f>IF(S$9,INDEX('Annual Real'!$1:$1048576,'History and Forecast'!S$7,'History and Forecast'!$H15),INDEX('Forecast Prices'!$1:$1048576,'History and Forecast'!$G15,'History and Forecast'!S$6))</f>
        <v>#N/A</v>
      </c>
      <c r="T15" s="17" t="e">
        <f>IF(T$9,INDEX('Annual Real'!$1:$1048576,'History and Forecast'!T$7,'History and Forecast'!$H15),INDEX('Forecast Prices'!$1:$1048576,'History and Forecast'!$G15,'History and Forecast'!T$6))</f>
        <v>#N/A</v>
      </c>
      <c r="U15" s="17" t="e">
        <f>IF(U$9,INDEX('Annual Real'!$1:$1048576,'History and Forecast'!U$7,'History and Forecast'!$H15),INDEX('Forecast Prices'!$1:$1048576,'History and Forecast'!$G15,'History and Forecast'!U$6))</f>
        <v>#N/A</v>
      </c>
      <c r="V15" s="17" t="e">
        <f>IF(V$9,INDEX('Annual Real'!$1:$1048576,'History and Forecast'!V$7,'History and Forecast'!$H15),INDEX('Forecast Prices'!$1:$1048576,'History and Forecast'!$G15,'History and Forecast'!V$6))</f>
        <v>#N/A</v>
      </c>
      <c r="W15" s="17" t="e">
        <f>IF(W$9,INDEX('Annual Real'!$1:$1048576,'History and Forecast'!W$7,'History and Forecast'!$H15),INDEX('Forecast Prices'!$1:$1048576,'History and Forecast'!$G15,'History and Forecast'!W$6))</f>
        <v>#N/A</v>
      </c>
      <c r="X15" s="17" t="e">
        <f>IF(X$9,INDEX('Annual Real'!$1:$1048576,'History and Forecast'!X$7,'History and Forecast'!$H15),INDEX('Forecast Prices'!$1:$1048576,'History and Forecast'!$G15,'History and Forecast'!X$6))</f>
        <v>#N/A</v>
      </c>
      <c r="Y15" s="17" t="e">
        <f>IF(Y$9,INDEX('Annual Real'!$1:$1048576,'History and Forecast'!Y$7,'History and Forecast'!$H15),INDEX('Forecast Prices'!$1:$1048576,'History and Forecast'!$G15,'History and Forecast'!Y$6))</f>
        <v>#N/A</v>
      </c>
      <c r="Z15" s="17" t="e">
        <f>IF(Z$9,INDEX('Annual Real'!$1:$1048576,'History and Forecast'!Z$7,'History and Forecast'!$H15),INDEX('Forecast Prices'!$1:$1048576,'History and Forecast'!$G15,'History and Forecast'!Z$6))</f>
        <v>#N/A</v>
      </c>
      <c r="AA15" s="17" t="e">
        <f>IF(AA$9,INDEX('Annual Real'!$1:$1048576,'History and Forecast'!AA$7,'History and Forecast'!$H15),INDEX('Forecast Prices'!$1:$1048576,'History and Forecast'!$G15,'History and Forecast'!AA$6))</f>
        <v>#N/A</v>
      </c>
      <c r="AB15" s="17" t="e">
        <f>IF(AB$9,INDEX('Annual Real'!$1:$1048576,'History and Forecast'!AB$7,'History and Forecast'!$H15),INDEX('Forecast Prices'!$1:$1048576,'History and Forecast'!$G15,'History and Forecast'!AB$6))</f>
        <v>#N/A</v>
      </c>
      <c r="AC15" s="17" t="e">
        <f>IF(AC$9,INDEX('Annual Real'!$1:$1048576,'History and Forecast'!AC$7,'History and Forecast'!$H15),INDEX('Forecast Prices'!$1:$1048576,'History and Forecast'!$G15,'History and Forecast'!AC$6))</f>
        <v>#N/A</v>
      </c>
      <c r="AD15" s="17" t="e">
        <f>IF(AD$9,INDEX('Annual Real'!$1:$1048576,'History and Forecast'!AD$7,'History and Forecast'!$H15),INDEX('Forecast Prices'!$1:$1048576,'History and Forecast'!$G15,'History and Forecast'!AD$6))</f>
        <v>#N/A</v>
      </c>
      <c r="AE15" s="17" t="e">
        <f>IF(AE$9,INDEX('Annual Real'!$1:$1048576,'History and Forecast'!AE$7,'History and Forecast'!$H15),INDEX('Forecast Prices'!$1:$1048576,'History and Forecast'!$G15,'History and Forecast'!AE$6))</f>
        <v>#N/A</v>
      </c>
      <c r="AF15" s="17" t="e">
        <f>IF(AF$9,INDEX('Annual Real'!$1:$1048576,'History and Forecast'!AF$7,'History and Forecast'!$H15),INDEX('Forecast Prices'!$1:$1048576,'History and Forecast'!$G15,'History and Forecast'!AF$6))</f>
        <v>#N/A</v>
      </c>
      <c r="AG15" s="17" t="e">
        <f>IF(AG$9,INDEX('Annual Real'!$1:$1048576,'History and Forecast'!AG$7,'History and Forecast'!$H15),INDEX('Forecast Prices'!$1:$1048576,'History and Forecast'!$G15,'History and Forecast'!AG$6))</f>
        <v>#N/A</v>
      </c>
      <c r="AH15" s="17" t="e">
        <f>IF(AH$9,INDEX('Annual Real'!$1:$1048576,'History and Forecast'!AH$7,'History and Forecast'!$H15),INDEX('Forecast Prices'!$1:$1048576,'History and Forecast'!$G15,'History and Forecast'!AH$6))</f>
        <v>#N/A</v>
      </c>
      <c r="AI15" s="17" t="e">
        <f>IF(AI$9,INDEX('Annual Real'!$1:$1048576,'History and Forecast'!AI$7,'History and Forecast'!$H15),INDEX('Forecast Prices'!$1:$1048576,'History and Forecast'!$G15,'History and Forecast'!AI$6))</f>
        <v>#N/A</v>
      </c>
      <c r="AJ15" s="17" t="e">
        <f>IF(AJ$9,INDEX('Annual Real'!$1:$1048576,'History and Forecast'!AJ$7,'History and Forecast'!$H15),INDEX('Forecast Prices'!$1:$1048576,'History and Forecast'!$G15,'History and Forecast'!AJ$6))</f>
        <v>#N/A</v>
      </c>
      <c r="AK15" s="17" t="e">
        <f>IF(AK$9,INDEX('Annual Real'!$1:$1048576,'History and Forecast'!AK$7,'History and Forecast'!$H15),INDEX('Forecast Prices'!$1:$1048576,'History and Forecast'!$G15,'History and Forecast'!AK$6))</f>
        <v>#N/A</v>
      </c>
      <c r="AL15" s="17" t="e">
        <f>IF(AL$9,INDEX('Annual Real'!$1:$1048576,'History and Forecast'!AL$7,'History and Forecast'!$H15),INDEX('Forecast Prices'!$1:$1048576,'History and Forecast'!$G15,'History and Forecast'!AL$6))</f>
        <v>#N/A</v>
      </c>
      <c r="AM15" s="17" t="e">
        <f>IF(AM$9,INDEX('Annual Real'!$1:$1048576,'History and Forecast'!AM$7,'History and Forecast'!$H15),INDEX('Forecast Prices'!$1:$1048576,'History and Forecast'!$G15,'History and Forecast'!AM$6))</f>
        <v>#N/A</v>
      </c>
      <c r="AN15" s="17" t="e">
        <f>IF(AN$9,INDEX('Annual Real'!$1:$1048576,'History and Forecast'!AN$7,'History and Forecast'!$H15),INDEX('Forecast Prices'!$1:$1048576,'History and Forecast'!$G15,'History and Forecast'!AN$6))</f>
        <v>#N/A</v>
      </c>
      <c r="AO15" s="17" t="e">
        <f>IF(AO$9,INDEX('Annual Real'!$1:$1048576,'History and Forecast'!AO$7,'History and Forecast'!$H15),INDEX('Forecast Prices'!$1:$1048576,'History and Forecast'!$G15,'History and Forecast'!AO$6))</f>
        <v>#N/A</v>
      </c>
      <c r="AP15" s="17" t="e">
        <f>IF(AP$9,INDEX('Annual Real'!$1:$1048576,'History and Forecast'!AP$7,'History and Forecast'!$H15),INDEX('Forecast Prices'!$1:$1048576,'History and Forecast'!$G15,'History and Forecast'!AP$6))</f>
        <v>#N/A</v>
      </c>
      <c r="AQ15" s="17" t="e">
        <f>IF(AQ$9,INDEX('Annual Real'!$1:$1048576,'History and Forecast'!AQ$7,'History and Forecast'!$H15),INDEX('Forecast Prices'!$1:$1048576,'History and Forecast'!$G15,'History and Forecast'!AQ$6))</f>
        <v>#N/A</v>
      </c>
      <c r="AR15" s="17" t="e">
        <f>IF(AR$9,INDEX('Annual Real'!$1:$1048576,'History and Forecast'!AR$7,'History and Forecast'!$H15),INDEX('Forecast Prices'!$1:$1048576,'History and Forecast'!$G15,'History and Forecast'!AR$6))</f>
        <v>#N/A</v>
      </c>
      <c r="AS15" s="17" t="e">
        <f>IF(AS$9,INDEX('Annual Real'!$1:$1048576,'History and Forecast'!AS$7,'History and Forecast'!$H15),INDEX('Forecast Prices'!$1:$1048576,'History and Forecast'!$G15,'History and Forecast'!AS$6))</f>
        <v>#N/A</v>
      </c>
      <c r="AT15" s="17" t="e">
        <f>IF(AT$9,INDEX('Annual Real'!$1:$1048576,'History and Forecast'!AT$7,'History and Forecast'!$H15),INDEX('Forecast Prices'!$1:$1048576,'History and Forecast'!$G15,'History and Forecast'!AT$6))</f>
        <v>#N/A</v>
      </c>
      <c r="AU15" s="17" t="e">
        <f>IF(AU$9,INDEX('Annual Real'!$1:$1048576,'History and Forecast'!AU$7,'History and Forecast'!$H15),INDEX('Forecast Prices'!$1:$1048576,'History and Forecast'!$G15,'History and Forecast'!AU$6))</f>
        <v>#N/A</v>
      </c>
      <c r="AV15" s="17" t="e">
        <f>IF(AV$9,INDEX('Annual Real'!$1:$1048576,'History and Forecast'!AV$7,'History and Forecast'!$H15),INDEX('Forecast Prices'!$1:$1048576,'History and Forecast'!$G15,'History and Forecast'!AV$6))</f>
        <v>#N/A</v>
      </c>
      <c r="AW15" s="17" t="e">
        <f>IF(AW$9,INDEX('Annual Real'!$1:$1048576,'History and Forecast'!AW$7,'History and Forecast'!$H15),INDEX('Forecast Prices'!$1:$1048576,'History and Forecast'!$G15,'History and Forecast'!AW$6))</f>
        <v>#N/A</v>
      </c>
      <c r="AX15" s="17" t="e">
        <f>IF(AX$9,INDEX('Annual Real'!$1:$1048576,'History and Forecast'!AX$7,'History and Forecast'!$H15),INDEX('Forecast Prices'!$1:$1048576,'History and Forecast'!$G15,'History and Forecast'!AX$6))</f>
        <v>#N/A</v>
      </c>
      <c r="AY15" s="17" t="e">
        <f>IF(AY$9,INDEX('Annual Real'!$1:$1048576,'History and Forecast'!AY$7,'History and Forecast'!$H15),INDEX('Forecast Prices'!$1:$1048576,'History and Forecast'!$G15,'History and Forecast'!AY$6))</f>
        <v>#N/A</v>
      </c>
      <c r="AZ15" s="17" t="e">
        <f>IF(AZ$9,INDEX('Annual Real'!$1:$1048576,'History and Forecast'!AZ$7,'History and Forecast'!$H15),INDEX('Forecast Prices'!$1:$1048576,'History and Forecast'!$G15,'History and Forecast'!AZ$6))</f>
        <v>#N/A</v>
      </c>
      <c r="BA15" s="17" t="e">
        <f>IF(BA$9,INDEX('Annual Real'!$1:$1048576,'History and Forecast'!BA$7,'History and Forecast'!$H15),INDEX('Forecast Prices'!$1:$1048576,'History and Forecast'!$G15,'History and Forecast'!BA$6))</f>
        <v>#N/A</v>
      </c>
      <c r="BB15" s="17" t="e">
        <f>IF(BB$9,INDEX('Annual Real'!$1:$1048576,'History and Forecast'!BB$7,'History and Forecast'!$H15),INDEX('Forecast Prices'!$1:$1048576,'History and Forecast'!$G15,'History and Forecast'!BB$6))</f>
        <v>#N/A</v>
      </c>
      <c r="BC15" s="17" t="e">
        <f>IF(BC$9,INDEX('Annual Real'!$1:$1048576,'History and Forecast'!BC$7,'History and Forecast'!$H15),INDEX('Forecast Prices'!$1:$1048576,'History and Forecast'!$G15,'History and Forecast'!BC$6))</f>
        <v>#N/A</v>
      </c>
      <c r="BD15" s="17" t="e">
        <f>IF(BD$9,INDEX('Annual Real'!$1:$1048576,'History and Forecast'!BD$7,'History and Forecast'!$H15),INDEX('Forecast Prices'!$1:$1048576,'History and Forecast'!$G15,'History and Forecast'!BD$6))</f>
        <v>#N/A</v>
      </c>
      <c r="BE15" s="17" t="e">
        <f>IF(BE$9,INDEX('Annual Real'!$1:$1048576,'History and Forecast'!BE$7,'History and Forecast'!$H15),INDEX('Forecast Prices'!$1:$1048576,'History and Forecast'!$G15,'History and Forecast'!BE$6))</f>
        <v>#N/A</v>
      </c>
      <c r="BF15" s="17" t="e">
        <f>IF(BF$9,INDEX('Annual Real'!$1:$1048576,'History and Forecast'!BF$7,'History and Forecast'!$H15),INDEX('Forecast Prices'!$1:$1048576,'History and Forecast'!$G15,'History and Forecast'!BF$6))</f>
        <v>#N/A</v>
      </c>
      <c r="BG15" s="17" t="e">
        <f>IF(BG$9,INDEX('Annual Real'!$1:$1048576,'History and Forecast'!BG$7,'History and Forecast'!$H15),INDEX('Forecast Prices'!$1:$1048576,'History and Forecast'!$G15,'History and Forecast'!BG$6))</f>
        <v>#N/A</v>
      </c>
      <c r="BH15" s="17" t="e">
        <f>IF(BH$9,INDEX('Annual Real'!$1:$1048576,'History and Forecast'!BH$7,'History and Forecast'!$H15),INDEX('Forecast Prices'!$1:$1048576,'History and Forecast'!$G15,'History and Forecast'!BH$6))</f>
        <v>#N/A</v>
      </c>
      <c r="BI15" s="17" t="e">
        <f>IF(BI$9,INDEX('Annual Real'!$1:$1048576,'History and Forecast'!BI$7,'History and Forecast'!$H15),INDEX('Forecast Prices'!$1:$1048576,'History and Forecast'!$G15,'History and Forecast'!BI$6))</f>
        <v>#N/A</v>
      </c>
      <c r="BJ15" s="17" t="e">
        <f>IF(BJ$9,INDEX('Annual Real'!$1:$1048576,'History and Forecast'!BJ$7,'History and Forecast'!$H15),INDEX('Forecast Prices'!$1:$1048576,'History and Forecast'!$G15,'History and Forecast'!BJ$6))</f>
        <v>#N/A</v>
      </c>
      <c r="BK15" s="17" t="e">
        <f>IF(BK$9,INDEX('Annual Real'!$1:$1048576,'History and Forecast'!BK$7,'History and Forecast'!$H15),INDEX('Forecast Prices'!$1:$1048576,'History and Forecast'!$G15,'History and Forecast'!BK$6))</f>
        <v>#N/A</v>
      </c>
      <c r="BL15" s="17" t="e">
        <f>IF(BL$9,INDEX('Annual Real'!$1:$1048576,'History and Forecast'!BL$7,'History and Forecast'!$H15),INDEX('Forecast Prices'!$1:$1048576,'History and Forecast'!$G15,'History and Forecast'!BL$6))</f>
        <v>#N/A</v>
      </c>
      <c r="BM15" s="17" t="e">
        <f>IF(BM$9,INDEX('Annual Real'!$1:$1048576,'History and Forecast'!BM$7,'History and Forecast'!$H15),INDEX('Forecast Prices'!$1:$1048576,'History and Forecast'!$G15,'History and Forecast'!BM$6))</f>
        <v>#N/A</v>
      </c>
      <c r="BN15" s="17" t="e">
        <f>IF(BN$9,INDEX('Annual Real'!$1:$1048576,'History and Forecast'!BN$7,'History and Forecast'!$H15),INDEX('Forecast Prices'!$1:$1048576,'History and Forecast'!$G15,'History and Forecast'!BN$6))</f>
        <v>#N/A</v>
      </c>
      <c r="BO15" s="17">
        <f>IF(BO$9,INDEX('Annual Real'!$1:$1048576,'History and Forecast'!BO$7,'History and Forecast'!$H15),INDEX('Forecast Prices'!$1:$1048576,'History and Forecast'!$G15,'History and Forecast'!BO$6))</f>
        <v>3.0742217200403599</v>
      </c>
      <c r="BP15" s="17">
        <f>IF(BP$9,INDEX('Annual Real'!$1:$1048576,'History and Forecast'!BP$7,'History and Forecast'!$H15),INDEX('Forecast Prices'!$1:$1048576,'History and Forecast'!$G15,'History and Forecast'!BP$6))</f>
        <v>2.08604391167946</v>
      </c>
      <c r="BQ15" s="17">
        <f>IF(BQ$9,INDEX('Annual Real'!$1:$1048576,'History and Forecast'!BQ$7,'History and Forecast'!$H15),INDEX('Forecast Prices'!$1:$1048576,'History and Forecast'!$G15,'History and Forecast'!BQ$6))</f>
        <v>2.2519207805197499</v>
      </c>
      <c r="BR15" s="17">
        <f>IF(BR$9,INDEX('Annual Real'!$1:$1048576,'History and Forecast'!BR$7,'History and Forecast'!$H15),INDEX('Forecast Prices'!$1:$1048576,'History and Forecast'!$G15,'History and Forecast'!BR$6))</f>
        <v>2.21411377881868</v>
      </c>
      <c r="BS15" s="17">
        <f>IF(BS$9,INDEX('Annual Real'!$1:$1048576,'History and Forecast'!BS$7,'History and Forecast'!$H15),INDEX('Forecast Prices'!$1:$1048576,'History and Forecast'!$G15,'History and Forecast'!BS$6))</f>
        <v>2.23031441351322</v>
      </c>
      <c r="BT15" s="17">
        <f>IF(BT$9,INDEX('Annual Real'!$1:$1048576,'History and Forecast'!BT$7,'History and Forecast'!$H15),INDEX('Forecast Prices'!$1:$1048576,'History and Forecast'!$G15,'History and Forecast'!BT$6))</f>
        <v>2.2471852500201899</v>
      </c>
      <c r="BU15" s="17">
        <f>IF(BU$9,INDEX('Annual Real'!$1:$1048576,'History and Forecast'!BU$7,'History and Forecast'!$H15),INDEX('Forecast Prices'!$1:$1048576,'History and Forecast'!$G15,'History and Forecast'!BU$6))</f>
        <v>2.26236867414464</v>
      </c>
      <c r="BV15" s="17">
        <f>IF(BV$9,INDEX('Annual Real'!$1:$1048576,'History and Forecast'!BV$7,'History and Forecast'!$H15),INDEX('Forecast Prices'!$1:$1048576,'History and Forecast'!$G15,'History and Forecast'!BV$6))</f>
        <v>2.2778557005939799</v>
      </c>
      <c r="BW15" s="17">
        <f>IF(BW$9,INDEX('Annual Real'!$1:$1048576,'History and Forecast'!BW$7,'History and Forecast'!$H15),INDEX('Forecast Prices'!$1:$1048576,'History and Forecast'!$G15,'History and Forecast'!BW$6))</f>
        <v>2.2934479828040399</v>
      </c>
      <c r="BX15" s="17">
        <f>IF(BX$9,INDEX('Annual Real'!$1:$1048576,'History and Forecast'!BX$7,'History and Forecast'!$H15),INDEX('Forecast Prices'!$1:$1048576,'History and Forecast'!$G15,'History and Forecast'!BX$6))</f>
        <v>2.3090138193273999</v>
      </c>
      <c r="BY15" s="17" t="e">
        <f>IF(BY$9,INDEX('Annual Real'!$1:$1048576,'History and Forecast'!BY$7,'History and Forecast'!$H15),INDEX('Forecast Prices'!$1:$1048576,'History and Forecast'!$G15,'History and Forecast'!BY$6))</f>
        <v>#N/A</v>
      </c>
      <c r="BZ15" s="17" t="e">
        <f>IF(BZ$9,INDEX('Annual Real'!$1:$1048576,'History and Forecast'!BZ$7,'History and Forecast'!$H15),INDEX('Forecast Prices'!$1:$1048576,'History and Forecast'!$G15,'History and Forecast'!BZ$6))</f>
        <v>#N/A</v>
      </c>
      <c r="CA15" s="17" t="e">
        <f>IF(CA$9,INDEX('Annual Real'!$1:$1048576,'History and Forecast'!CA$7,'History and Forecast'!$H15),INDEX('Forecast Prices'!$1:$1048576,'History and Forecast'!$G15,'History and Forecast'!CA$6))</f>
        <v>#N/A</v>
      </c>
      <c r="CB15" s="17" t="e">
        <f>IF(CB$9,INDEX('Annual Real'!$1:$1048576,'History and Forecast'!CB$7,'History and Forecast'!$H15),INDEX('Forecast Prices'!$1:$1048576,'History and Forecast'!$G15,'History and Forecast'!CB$6))</f>
        <v>#N/A</v>
      </c>
      <c r="CC15" s="17">
        <f>IF(CC$9,INDEX('Annual Real'!$1:$1048576,'History and Forecast'!CC$7,'History and Forecast'!$H15),INDEX('Forecast Prices'!$1:$1048576,'History and Forecast'!$G15,'History and Forecast'!CC$6))</f>
        <v>2.3847935778836402</v>
      </c>
      <c r="CD15" s="17" t="e">
        <f>IF(CD$9,INDEX('Annual Real'!$1:$1048576,'History and Forecast'!CD$7,'History and Forecast'!$H15),INDEX('Forecast Prices'!$1:$1048576,'History and Forecast'!$G15,'History and Forecast'!CD$6))</f>
        <v>#N/A</v>
      </c>
      <c r="CE15" s="17" t="e">
        <f>IF(CE$9,INDEX('Annual Real'!$1:$1048576,'History and Forecast'!CE$7,'History and Forecast'!$H15),INDEX('Forecast Prices'!$1:$1048576,'History and Forecast'!$G15,'History and Forecast'!CE$6))</f>
        <v>#N/A</v>
      </c>
      <c r="CF15" s="17" t="e">
        <f>IF(CF$9,INDEX('Annual Real'!$1:$1048576,'History and Forecast'!CF$7,'History and Forecast'!$H15),INDEX('Forecast Prices'!$1:$1048576,'History and Forecast'!$G15,'History and Forecast'!CF$6))</f>
        <v>#N/A</v>
      </c>
      <c r="CG15" s="17" t="e">
        <f>IF(CG$9,INDEX('Annual Real'!$1:$1048576,'History and Forecast'!CG$7,'History and Forecast'!$H15),INDEX('Forecast Prices'!$1:$1048576,'History and Forecast'!$G15,'History and Forecast'!CG$6))</f>
        <v>#N/A</v>
      </c>
      <c r="CH15" s="17" t="e">
        <f>IF(CH$9,INDEX('Annual Real'!$1:$1048576,'History and Forecast'!CH$7,'History and Forecast'!$H15),INDEX('Forecast Prices'!$1:$1048576,'History and Forecast'!$G15,'History and Forecast'!CH$6))</f>
        <v>#N/A</v>
      </c>
      <c r="CI15" s="17" t="e">
        <f>IF(CI$9,INDEX('Annual Real'!$1:$1048576,'History and Forecast'!CI$7,'History and Forecast'!$H15),INDEX('Forecast Prices'!$1:$1048576,'History and Forecast'!$G15,'History and Forecast'!CI$6))</f>
        <v>#N/A</v>
      </c>
    </row>
    <row r="16" spans="2:87">
      <c r="B16" t="str">
        <f t="shared" si="4"/>
        <v>COFFEE_ARABIC</v>
      </c>
      <c r="C16" s="34" t="s">
        <v>1053</v>
      </c>
      <c r="D16" t="str">
        <f t="shared" si="5"/>
        <v>KCOFFEE_ARABIC</v>
      </c>
      <c r="E16" s="34" t="str">
        <f t="shared" si="6"/>
        <v>KFCOFFEE_ARABIC</v>
      </c>
      <c r="F16">
        <f>MATCH(C16,'Forecast Prices'!A:A,0)</f>
        <v>15</v>
      </c>
      <c r="G16">
        <f>MATCH(E16,'Forecast Prices'!A:A,0)</f>
        <v>97</v>
      </c>
      <c r="H16" t="e">
        <f>MATCH(D16,'Annual Real'!$9:$9,0)</f>
        <v>#N/A</v>
      </c>
      <c r="I16" t="str">
        <f>INDEX('Forecast Prices'!B:B,'History and Forecast'!F16)&amp;INDEX('Forecast Prices'!C:C,'History and Forecast'!F16)&amp;INDEX('Forecast Prices'!D:D,'History and Forecast'!F16)&amp;INDEX('Forecast Prices'!E:E,'History and Forecast'!F16)</f>
        <v>Coffee, Arabica</v>
      </c>
      <c r="J16" t="str">
        <f>INDEX('Forecast Prices'!H:H,'History and Forecast'!F16)</f>
        <v>$/kg</v>
      </c>
      <c r="K16" s="17" t="e">
        <f>IF(K$9,INDEX('Annual Real'!$1:$1048576,'History and Forecast'!K$7,'History and Forecast'!$H16),INDEX('Forecast Prices'!$1:$1048576,'History and Forecast'!$G16,'History and Forecast'!K$6))</f>
        <v>#N/A</v>
      </c>
      <c r="L16" s="17" t="e">
        <f>IF(L$9,INDEX('Annual Real'!$1:$1048576,'History and Forecast'!L$7,'History and Forecast'!$H16),INDEX('Forecast Prices'!$1:$1048576,'History and Forecast'!$G16,'History and Forecast'!L$6))</f>
        <v>#N/A</v>
      </c>
      <c r="M16" s="17" t="e">
        <f>IF(M$9,INDEX('Annual Real'!$1:$1048576,'History and Forecast'!M$7,'History and Forecast'!$H16),INDEX('Forecast Prices'!$1:$1048576,'History and Forecast'!$G16,'History and Forecast'!M$6))</f>
        <v>#N/A</v>
      </c>
      <c r="N16" s="17" t="e">
        <f>IF(N$9,INDEX('Annual Real'!$1:$1048576,'History and Forecast'!N$7,'History and Forecast'!$H16),INDEX('Forecast Prices'!$1:$1048576,'History and Forecast'!$G16,'History and Forecast'!N$6))</f>
        <v>#N/A</v>
      </c>
      <c r="O16" s="17" t="e">
        <f>IF(O$9,INDEX('Annual Real'!$1:$1048576,'History and Forecast'!O$7,'History and Forecast'!$H16),INDEX('Forecast Prices'!$1:$1048576,'History and Forecast'!$G16,'History and Forecast'!O$6))</f>
        <v>#N/A</v>
      </c>
      <c r="P16" s="17" t="e">
        <f>IF(P$9,INDEX('Annual Real'!$1:$1048576,'History and Forecast'!P$7,'History and Forecast'!$H16),INDEX('Forecast Prices'!$1:$1048576,'History and Forecast'!$G16,'History and Forecast'!P$6))</f>
        <v>#N/A</v>
      </c>
      <c r="Q16" s="17" t="e">
        <f>IF(Q$9,INDEX('Annual Real'!$1:$1048576,'History and Forecast'!Q$7,'History and Forecast'!$H16),INDEX('Forecast Prices'!$1:$1048576,'History and Forecast'!$G16,'History and Forecast'!Q$6))</f>
        <v>#N/A</v>
      </c>
      <c r="R16" s="17" t="e">
        <f>IF(R$9,INDEX('Annual Real'!$1:$1048576,'History and Forecast'!R$7,'History and Forecast'!$H16),INDEX('Forecast Prices'!$1:$1048576,'History and Forecast'!$G16,'History and Forecast'!R$6))</f>
        <v>#N/A</v>
      </c>
      <c r="S16" s="17" t="e">
        <f>IF(S$9,INDEX('Annual Real'!$1:$1048576,'History and Forecast'!S$7,'History and Forecast'!$H16),INDEX('Forecast Prices'!$1:$1048576,'History and Forecast'!$G16,'History and Forecast'!S$6))</f>
        <v>#N/A</v>
      </c>
      <c r="T16" s="17" t="e">
        <f>IF(T$9,INDEX('Annual Real'!$1:$1048576,'History and Forecast'!T$7,'History and Forecast'!$H16),INDEX('Forecast Prices'!$1:$1048576,'History and Forecast'!$G16,'History and Forecast'!T$6))</f>
        <v>#N/A</v>
      </c>
      <c r="U16" s="17" t="e">
        <f>IF(U$9,INDEX('Annual Real'!$1:$1048576,'History and Forecast'!U$7,'History and Forecast'!$H16),INDEX('Forecast Prices'!$1:$1048576,'History and Forecast'!$G16,'History and Forecast'!U$6))</f>
        <v>#N/A</v>
      </c>
      <c r="V16" s="17" t="e">
        <f>IF(V$9,INDEX('Annual Real'!$1:$1048576,'History and Forecast'!V$7,'History and Forecast'!$H16),INDEX('Forecast Prices'!$1:$1048576,'History and Forecast'!$G16,'History and Forecast'!V$6))</f>
        <v>#N/A</v>
      </c>
      <c r="W16" s="17" t="e">
        <f>IF(W$9,INDEX('Annual Real'!$1:$1048576,'History and Forecast'!W$7,'History and Forecast'!$H16),INDEX('Forecast Prices'!$1:$1048576,'History and Forecast'!$G16,'History and Forecast'!W$6))</f>
        <v>#N/A</v>
      </c>
      <c r="X16" s="17" t="e">
        <f>IF(X$9,INDEX('Annual Real'!$1:$1048576,'History and Forecast'!X$7,'History and Forecast'!$H16),INDEX('Forecast Prices'!$1:$1048576,'History and Forecast'!$G16,'History and Forecast'!X$6))</f>
        <v>#N/A</v>
      </c>
      <c r="Y16" s="17" t="e">
        <f>IF(Y$9,INDEX('Annual Real'!$1:$1048576,'History and Forecast'!Y$7,'History and Forecast'!$H16),INDEX('Forecast Prices'!$1:$1048576,'History and Forecast'!$G16,'History and Forecast'!Y$6))</f>
        <v>#N/A</v>
      </c>
      <c r="Z16" s="17" t="e">
        <f>IF(Z$9,INDEX('Annual Real'!$1:$1048576,'History and Forecast'!Z$7,'History and Forecast'!$H16),INDEX('Forecast Prices'!$1:$1048576,'History and Forecast'!$G16,'History and Forecast'!Z$6))</f>
        <v>#N/A</v>
      </c>
      <c r="AA16" s="17" t="e">
        <f>IF(AA$9,INDEX('Annual Real'!$1:$1048576,'History and Forecast'!AA$7,'History and Forecast'!$H16),INDEX('Forecast Prices'!$1:$1048576,'History and Forecast'!$G16,'History and Forecast'!AA$6))</f>
        <v>#N/A</v>
      </c>
      <c r="AB16" s="17" t="e">
        <f>IF(AB$9,INDEX('Annual Real'!$1:$1048576,'History and Forecast'!AB$7,'History and Forecast'!$H16),INDEX('Forecast Prices'!$1:$1048576,'History and Forecast'!$G16,'History and Forecast'!AB$6))</f>
        <v>#N/A</v>
      </c>
      <c r="AC16" s="17" t="e">
        <f>IF(AC$9,INDEX('Annual Real'!$1:$1048576,'History and Forecast'!AC$7,'History and Forecast'!$H16),INDEX('Forecast Prices'!$1:$1048576,'History and Forecast'!$G16,'History and Forecast'!AC$6))</f>
        <v>#N/A</v>
      </c>
      <c r="AD16" s="17" t="e">
        <f>IF(AD$9,INDEX('Annual Real'!$1:$1048576,'History and Forecast'!AD$7,'History and Forecast'!$H16),INDEX('Forecast Prices'!$1:$1048576,'History and Forecast'!$G16,'History and Forecast'!AD$6))</f>
        <v>#N/A</v>
      </c>
      <c r="AE16" s="17" t="e">
        <f>IF(AE$9,INDEX('Annual Real'!$1:$1048576,'History and Forecast'!AE$7,'History and Forecast'!$H16),INDEX('Forecast Prices'!$1:$1048576,'History and Forecast'!$G16,'History and Forecast'!AE$6))</f>
        <v>#N/A</v>
      </c>
      <c r="AF16" s="17" t="e">
        <f>IF(AF$9,INDEX('Annual Real'!$1:$1048576,'History and Forecast'!AF$7,'History and Forecast'!$H16),INDEX('Forecast Prices'!$1:$1048576,'History and Forecast'!$G16,'History and Forecast'!AF$6))</f>
        <v>#N/A</v>
      </c>
      <c r="AG16" s="17" t="e">
        <f>IF(AG$9,INDEX('Annual Real'!$1:$1048576,'History and Forecast'!AG$7,'History and Forecast'!$H16),INDEX('Forecast Prices'!$1:$1048576,'History and Forecast'!$G16,'History and Forecast'!AG$6))</f>
        <v>#N/A</v>
      </c>
      <c r="AH16" s="17" t="e">
        <f>IF(AH$9,INDEX('Annual Real'!$1:$1048576,'History and Forecast'!AH$7,'History and Forecast'!$H16),INDEX('Forecast Prices'!$1:$1048576,'History and Forecast'!$G16,'History and Forecast'!AH$6))</f>
        <v>#N/A</v>
      </c>
      <c r="AI16" s="17" t="e">
        <f>IF(AI$9,INDEX('Annual Real'!$1:$1048576,'History and Forecast'!AI$7,'History and Forecast'!$H16),INDEX('Forecast Prices'!$1:$1048576,'History and Forecast'!$G16,'History and Forecast'!AI$6))</f>
        <v>#N/A</v>
      </c>
      <c r="AJ16" s="17" t="e">
        <f>IF(AJ$9,INDEX('Annual Real'!$1:$1048576,'History and Forecast'!AJ$7,'History and Forecast'!$H16),INDEX('Forecast Prices'!$1:$1048576,'History and Forecast'!$G16,'History and Forecast'!AJ$6))</f>
        <v>#N/A</v>
      </c>
      <c r="AK16" s="17" t="e">
        <f>IF(AK$9,INDEX('Annual Real'!$1:$1048576,'History and Forecast'!AK$7,'History and Forecast'!$H16),INDEX('Forecast Prices'!$1:$1048576,'History and Forecast'!$G16,'History and Forecast'!AK$6))</f>
        <v>#N/A</v>
      </c>
      <c r="AL16" s="17" t="e">
        <f>IF(AL$9,INDEX('Annual Real'!$1:$1048576,'History and Forecast'!AL$7,'History and Forecast'!$H16),INDEX('Forecast Prices'!$1:$1048576,'History and Forecast'!$G16,'History and Forecast'!AL$6))</f>
        <v>#N/A</v>
      </c>
      <c r="AM16" s="17" t="e">
        <f>IF(AM$9,INDEX('Annual Real'!$1:$1048576,'History and Forecast'!AM$7,'History and Forecast'!$H16),INDEX('Forecast Prices'!$1:$1048576,'History and Forecast'!$G16,'History and Forecast'!AM$6))</f>
        <v>#N/A</v>
      </c>
      <c r="AN16" s="17" t="e">
        <f>IF(AN$9,INDEX('Annual Real'!$1:$1048576,'History and Forecast'!AN$7,'History and Forecast'!$H16),INDEX('Forecast Prices'!$1:$1048576,'History and Forecast'!$G16,'History and Forecast'!AN$6))</f>
        <v>#N/A</v>
      </c>
      <c r="AO16" s="17" t="e">
        <f>IF(AO$9,INDEX('Annual Real'!$1:$1048576,'History and Forecast'!AO$7,'History and Forecast'!$H16),INDEX('Forecast Prices'!$1:$1048576,'History and Forecast'!$G16,'History and Forecast'!AO$6))</f>
        <v>#N/A</v>
      </c>
      <c r="AP16" s="17" t="e">
        <f>IF(AP$9,INDEX('Annual Real'!$1:$1048576,'History and Forecast'!AP$7,'History and Forecast'!$H16),INDEX('Forecast Prices'!$1:$1048576,'History and Forecast'!$G16,'History and Forecast'!AP$6))</f>
        <v>#N/A</v>
      </c>
      <c r="AQ16" s="17" t="e">
        <f>IF(AQ$9,INDEX('Annual Real'!$1:$1048576,'History and Forecast'!AQ$7,'History and Forecast'!$H16),INDEX('Forecast Prices'!$1:$1048576,'History and Forecast'!$G16,'History and Forecast'!AQ$6))</f>
        <v>#N/A</v>
      </c>
      <c r="AR16" s="17" t="e">
        <f>IF(AR$9,INDEX('Annual Real'!$1:$1048576,'History and Forecast'!AR$7,'History and Forecast'!$H16),INDEX('Forecast Prices'!$1:$1048576,'History and Forecast'!$G16,'History and Forecast'!AR$6))</f>
        <v>#N/A</v>
      </c>
      <c r="AS16" s="17" t="e">
        <f>IF(AS$9,INDEX('Annual Real'!$1:$1048576,'History and Forecast'!AS$7,'History and Forecast'!$H16),INDEX('Forecast Prices'!$1:$1048576,'History and Forecast'!$G16,'History and Forecast'!AS$6))</f>
        <v>#N/A</v>
      </c>
      <c r="AT16" s="17" t="e">
        <f>IF(AT$9,INDEX('Annual Real'!$1:$1048576,'History and Forecast'!AT$7,'History and Forecast'!$H16),INDEX('Forecast Prices'!$1:$1048576,'History and Forecast'!$G16,'History and Forecast'!AT$6))</f>
        <v>#N/A</v>
      </c>
      <c r="AU16" s="17" t="e">
        <f>IF(AU$9,INDEX('Annual Real'!$1:$1048576,'History and Forecast'!AU$7,'History and Forecast'!$H16),INDEX('Forecast Prices'!$1:$1048576,'History and Forecast'!$G16,'History and Forecast'!AU$6))</f>
        <v>#N/A</v>
      </c>
      <c r="AV16" s="17" t="e">
        <f>IF(AV$9,INDEX('Annual Real'!$1:$1048576,'History and Forecast'!AV$7,'History and Forecast'!$H16),INDEX('Forecast Prices'!$1:$1048576,'History and Forecast'!$G16,'History and Forecast'!AV$6))</f>
        <v>#N/A</v>
      </c>
      <c r="AW16" s="17" t="e">
        <f>IF(AW$9,INDEX('Annual Real'!$1:$1048576,'History and Forecast'!AW$7,'History and Forecast'!$H16),INDEX('Forecast Prices'!$1:$1048576,'History and Forecast'!$G16,'History and Forecast'!AW$6))</f>
        <v>#N/A</v>
      </c>
      <c r="AX16" s="17" t="e">
        <f>IF(AX$9,INDEX('Annual Real'!$1:$1048576,'History and Forecast'!AX$7,'History and Forecast'!$H16),INDEX('Forecast Prices'!$1:$1048576,'History and Forecast'!$G16,'History and Forecast'!AX$6))</f>
        <v>#N/A</v>
      </c>
      <c r="AY16" s="17" t="e">
        <f>IF(AY$9,INDEX('Annual Real'!$1:$1048576,'History and Forecast'!AY$7,'History and Forecast'!$H16),INDEX('Forecast Prices'!$1:$1048576,'History and Forecast'!$G16,'History and Forecast'!AY$6))</f>
        <v>#N/A</v>
      </c>
      <c r="AZ16" s="17" t="e">
        <f>IF(AZ$9,INDEX('Annual Real'!$1:$1048576,'History and Forecast'!AZ$7,'History and Forecast'!$H16),INDEX('Forecast Prices'!$1:$1048576,'History and Forecast'!$G16,'History and Forecast'!AZ$6))</f>
        <v>#N/A</v>
      </c>
      <c r="BA16" s="17" t="e">
        <f>IF(BA$9,INDEX('Annual Real'!$1:$1048576,'History and Forecast'!BA$7,'History and Forecast'!$H16),INDEX('Forecast Prices'!$1:$1048576,'History and Forecast'!$G16,'History and Forecast'!BA$6))</f>
        <v>#N/A</v>
      </c>
      <c r="BB16" s="17" t="e">
        <f>IF(BB$9,INDEX('Annual Real'!$1:$1048576,'History and Forecast'!BB$7,'History and Forecast'!$H16),INDEX('Forecast Prices'!$1:$1048576,'History and Forecast'!$G16,'History and Forecast'!BB$6))</f>
        <v>#N/A</v>
      </c>
      <c r="BC16" s="17" t="e">
        <f>IF(BC$9,INDEX('Annual Real'!$1:$1048576,'History and Forecast'!BC$7,'History and Forecast'!$H16),INDEX('Forecast Prices'!$1:$1048576,'History and Forecast'!$G16,'History and Forecast'!BC$6))</f>
        <v>#N/A</v>
      </c>
      <c r="BD16" s="17" t="e">
        <f>IF(BD$9,INDEX('Annual Real'!$1:$1048576,'History and Forecast'!BD$7,'History and Forecast'!$H16),INDEX('Forecast Prices'!$1:$1048576,'History and Forecast'!$G16,'History and Forecast'!BD$6))</f>
        <v>#N/A</v>
      </c>
      <c r="BE16" s="17" t="e">
        <f>IF(BE$9,INDEX('Annual Real'!$1:$1048576,'History and Forecast'!BE$7,'History and Forecast'!$H16),INDEX('Forecast Prices'!$1:$1048576,'History and Forecast'!$G16,'History and Forecast'!BE$6))</f>
        <v>#N/A</v>
      </c>
      <c r="BF16" s="17" t="e">
        <f>IF(BF$9,INDEX('Annual Real'!$1:$1048576,'History and Forecast'!BF$7,'History and Forecast'!$H16),INDEX('Forecast Prices'!$1:$1048576,'History and Forecast'!$G16,'History and Forecast'!BF$6))</f>
        <v>#N/A</v>
      </c>
      <c r="BG16" s="17" t="e">
        <f>IF(BG$9,INDEX('Annual Real'!$1:$1048576,'History and Forecast'!BG$7,'History and Forecast'!$H16),INDEX('Forecast Prices'!$1:$1048576,'History and Forecast'!$G16,'History and Forecast'!BG$6))</f>
        <v>#N/A</v>
      </c>
      <c r="BH16" s="17" t="e">
        <f>IF(BH$9,INDEX('Annual Real'!$1:$1048576,'History and Forecast'!BH$7,'History and Forecast'!$H16),INDEX('Forecast Prices'!$1:$1048576,'History and Forecast'!$G16,'History and Forecast'!BH$6))</f>
        <v>#N/A</v>
      </c>
      <c r="BI16" s="17" t="e">
        <f>IF(BI$9,INDEX('Annual Real'!$1:$1048576,'History and Forecast'!BI$7,'History and Forecast'!$H16),INDEX('Forecast Prices'!$1:$1048576,'History and Forecast'!$G16,'History and Forecast'!BI$6))</f>
        <v>#N/A</v>
      </c>
      <c r="BJ16" s="17" t="e">
        <f>IF(BJ$9,INDEX('Annual Real'!$1:$1048576,'History and Forecast'!BJ$7,'History and Forecast'!$H16),INDEX('Forecast Prices'!$1:$1048576,'History and Forecast'!$G16,'History and Forecast'!BJ$6))</f>
        <v>#N/A</v>
      </c>
      <c r="BK16" s="17" t="e">
        <f>IF(BK$9,INDEX('Annual Real'!$1:$1048576,'History and Forecast'!BK$7,'History and Forecast'!$H16),INDEX('Forecast Prices'!$1:$1048576,'History and Forecast'!$G16,'History and Forecast'!BK$6))</f>
        <v>#N/A</v>
      </c>
      <c r="BL16" s="17" t="e">
        <f>IF(BL$9,INDEX('Annual Real'!$1:$1048576,'History and Forecast'!BL$7,'History and Forecast'!$H16),INDEX('Forecast Prices'!$1:$1048576,'History and Forecast'!$G16,'History and Forecast'!BL$6))</f>
        <v>#N/A</v>
      </c>
      <c r="BM16" s="17" t="e">
        <f>IF(BM$9,INDEX('Annual Real'!$1:$1048576,'History and Forecast'!BM$7,'History and Forecast'!$H16),INDEX('Forecast Prices'!$1:$1048576,'History and Forecast'!$G16,'History and Forecast'!BM$6))</f>
        <v>#N/A</v>
      </c>
      <c r="BN16" s="17" t="e">
        <f>IF(BN$9,INDEX('Annual Real'!$1:$1048576,'History and Forecast'!BN$7,'History and Forecast'!$H16),INDEX('Forecast Prices'!$1:$1048576,'History and Forecast'!$G16,'History and Forecast'!BN$6))</f>
        <v>#N/A</v>
      </c>
      <c r="BO16" s="17">
        <f>IF(BO$9,INDEX('Annual Real'!$1:$1048576,'History and Forecast'!BO$7,'History and Forecast'!$H16),INDEX('Forecast Prices'!$1:$1048576,'History and Forecast'!$G16,'History and Forecast'!BO$6))</f>
        <v>3.8402499521908502</v>
      </c>
      <c r="BP16" s="17">
        <f>IF(BP$9,INDEX('Annual Real'!$1:$1048576,'History and Forecast'!BP$7,'History and Forecast'!$H16),INDEX('Forecast Prices'!$1:$1048576,'History and Forecast'!$G16,'History and Forecast'!BP$6))</f>
        <v>3.4159454274287699</v>
      </c>
      <c r="BQ16" s="17">
        <f>IF(BQ$9,INDEX('Annual Real'!$1:$1048576,'History and Forecast'!BQ$7,'History and Forecast'!$H16),INDEX('Forecast Prices'!$1:$1048576,'History and Forecast'!$G16,'History and Forecast'!BQ$6))</f>
        <v>2.8725901816763901</v>
      </c>
      <c r="BR16" s="17">
        <f>IF(BR$9,INDEX('Annual Real'!$1:$1048576,'History and Forecast'!BR$7,'History and Forecast'!$H16),INDEX('Forecast Prices'!$1:$1048576,'History and Forecast'!$G16,'History and Forecast'!BR$6))</f>
        <v>2.7435757694057501</v>
      </c>
      <c r="BS16" s="17">
        <f>IF(BS$9,INDEX('Annual Real'!$1:$1048576,'History and Forecast'!BS$7,'History and Forecast'!$H16),INDEX('Forecast Prices'!$1:$1048576,'History and Forecast'!$G16,'History and Forecast'!BS$6))</f>
        <v>2.74131875083962</v>
      </c>
      <c r="BT16" s="17">
        <f>IF(BT$9,INDEX('Annual Real'!$1:$1048576,'History and Forecast'!BT$7,'History and Forecast'!$H16),INDEX('Forecast Prices'!$1:$1048576,'History and Forecast'!$G16,'History and Forecast'!BT$6))</f>
        <v>2.7397361674928802</v>
      </c>
      <c r="BU16" s="17">
        <f>IF(BU$9,INDEX('Annual Real'!$1:$1048576,'History and Forecast'!BU$7,'History and Forecast'!$H16),INDEX('Forecast Prices'!$1:$1048576,'History and Forecast'!$G16,'History and Forecast'!BU$6))</f>
        <v>2.73595952140231</v>
      </c>
      <c r="BV16" s="17">
        <f>IF(BV$9,INDEX('Annual Real'!$1:$1048576,'History and Forecast'!BV$7,'History and Forecast'!$H16),INDEX('Forecast Prices'!$1:$1048576,'History and Forecast'!$G16,'History and Forecast'!BV$6))</f>
        <v>2.7324292093237301</v>
      </c>
      <c r="BW16" s="17">
        <f>IF(BW$9,INDEX('Annual Real'!$1:$1048576,'History and Forecast'!BW$7,'History and Forecast'!$H16),INDEX('Forecast Prices'!$1:$1048576,'History and Forecast'!$G16,'History and Forecast'!BW$6))</f>
        <v>2.7289025475813902</v>
      </c>
      <c r="BX16" s="17">
        <f>IF(BX$9,INDEX('Annual Real'!$1:$1048576,'History and Forecast'!BX$7,'History and Forecast'!$H16),INDEX('Forecast Prices'!$1:$1048576,'History and Forecast'!$G16,'History and Forecast'!BX$6))</f>
        <v>2.7252232544983901</v>
      </c>
      <c r="BY16" s="17" t="e">
        <f>IF(BY$9,INDEX('Annual Real'!$1:$1048576,'History and Forecast'!BY$7,'History and Forecast'!$H16),INDEX('Forecast Prices'!$1:$1048576,'History and Forecast'!$G16,'History and Forecast'!BY$6))</f>
        <v>#N/A</v>
      </c>
      <c r="BZ16" s="17" t="e">
        <f>IF(BZ$9,INDEX('Annual Real'!$1:$1048576,'History and Forecast'!BZ$7,'History and Forecast'!$H16),INDEX('Forecast Prices'!$1:$1048576,'History and Forecast'!$G16,'History and Forecast'!BZ$6))</f>
        <v>#N/A</v>
      </c>
      <c r="CA16" s="17" t="e">
        <f>IF(CA$9,INDEX('Annual Real'!$1:$1048576,'History and Forecast'!CA$7,'History and Forecast'!$H16),INDEX('Forecast Prices'!$1:$1048576,'History and Forecast'!$G16,'History and Forecast'!CA$6))</f>
        <v>#N/A</v>
      </c>
      <c r="CB16" s="17" t="e">
        <f>IF(CB$9,INDEX('Annual Real'!$1:$1048576,'History and Forecast'!CB$7,'History and Forecast'!$H16),INDEX('Forecast Prices'!$1:$1048576,'History and Forecast'!$G16,'History and Forecast'!CB$6))</f>
        <v>#N/A</v>
      </c>
      <c r="CC16" s="17">
        <f>IF(CC$9,INDEX('Annual Real'!$1:$1048576,'History and Forecast'!CC$7,'History and Forecast'!$H16),INDEX('Forecast Prices'!$1:$1048576,'History and Forecast'!$G16,'History and Forecast'!CC$6))</f>
        <v>2.7027660549347901</v>
      </c>
      <c r="CD16" s="17" t="e">
        <f>IF(CD$9,INDEX('Annual Real'!$1:$1048576,'History and Forecast'!CD$7,'History and Forecast'!$H16),INDEX('Forecast Prices'!$1:$1048576,'History and Forecast'!$G16,'History and Forecast'!CD$6))</f>
        <v>#N/A</v>
      </c>
      <c r="CE16" s="17" t="e">
        <f>IF(CE$9,INDEX('Annual Real'!$1:$1048576,'History and Forecast'!CE$7,'History and Forecast'!$H16),INDEX('Forecast Prices'!$1:$1048576,'History and Forecast'!$G16,'History and Forecast'!CE$6))</f>
        <v>#N/A</v>
      </c>
      <c r="CF16" s="17" t="e">
        <f>IF(CF$9,INDEX('Annual Real'!$1:$1048576,'History and Forecast'!CF$7,'History and Forecast'!$H16),INDEX('Forecast Prices'!$1:$1048576,'History and Forecast'!$G16,'History and Forecast'!CF$6))</f>
        <v>#N/A</v>
      </c>
      <c r="CG16" s="17" t="e">
        <f>IF(CG$9,INDEX('Annual Real'!$1:$1048576,'History and Forecast'!CG$7,'History and Forecast'!$H16),INDEX('Forecast Prices'!$1:$1048576,'History and Forecast'!$G16,'History and Forecast'!CG$6))</f>
        <v>#N/A</v>
      </c>
      <c r="CH16" s="17" t="e">
        <f>IF(CH$9,INDEX('Annual Real'!$1:$1048576,'History and Forecast'!CH$7,'History and Forecast'!$H16),INDEX('Forecast Prices'!$1:$1048576,'History and Forecast'!$G16,'History and Forecast'!CH$6))</f>
        <v>#N/A</v>
      </c>
      <c r="CI16" s="17" t="e">
        <f>IF(CI$9,INDEX('Annual Real'!$1:$1048576,'History and Forecast'!CI$7,'History and Forecast'!$H16),INDEX('Forecast Prices'!$1:$1048576,'History and Forecast'!$G16,'History and Forecast'!CI$6))</f>
        <v>#N/A</v>
      </c>
    </row>
    <row r="17" spans="2:87">
      <c r="B17" t="str">
        <f t="shared" si="4"/>
        <v>COFFEE_ROBUS</v>
      </c>
      <c r="C17" s="34" t="s">
        <v>1055</v>
      </c>
      <c r="D17" t="str">
        <f t="shared" si="5"/>
        <v>KCOFFEE_ROBUS</v>
      </c>
      <c r="E17" s="34" t="str">
        <f t="shared" si="6"/>
        <v>KFCOFFEE_ROBUS</v>
      </c>
      <c r="F17">
        <f>MATCH(C17,'Forecast Prices'!A:A,0)</f>
        <v>16</v>
      </c>
      <c r="G17">
        <f>MATCH(E17,'Forecast Prices'!A:A,0)</f>
        <v>98</v>
      </c>
      <c r="H17" t="e">
        <f>MATCH(D17,'Annual Real'!$9:$9,0)</f>
        <v>#N/A</v>
      </c>
      <c r="I17" t="str">
        <f>INDEX('Forecast Prices'!B:B,'History and Forecast'!F17)&amp;INDEX('Forecast Prices'!C:C,'History and Forecast'!F17)&amp;INDEX('Forecast Prices'!D:D,'History and Forecast'!F17)&amp;INDEX('Forecast Prices'!E:E,'History and Forecast'!F17)</f>
        <v>Coffee, Robusta</v>
      </c>
      <c r="J17" t="str">
        <f>INDEX('Forecast Prices'!H:H,'History and Forecast'!F17)</f>
        <v>$/kg</v>
      </c>
      <c r="K17" s="17" t="e">
        <f>IF(K$9,INDEX('Annual Real'!$1:$1048576,'History and Forecast'!K$7,'History and Forecast'!$H17),INDEX('Forecast Prices'!$1:$1048576,'History and Forecast'!$G17,'History and Forecast'!K$6))</f>
        <v>#N/A</v>
      </c>
      <c r="L17" s="17" t="e">
        <f>IF(L$9,INDEX('Annual Real'!$1:$1048576,'History and Forecast'!L$7,'History and Forecast'!$H17),INDEX('Forecast Prices'!$1:$1048576,'History and Forecast'!$G17,'History and Forecast'!L$6))</f>
        <v>#N/A</v>
      </c>
      <c r="M17" s="17" t="e">
        <f>IF(M$9,INDEX('Annual Real'!$1:$1048576,'History and Forecast'!M$7,'History and Forecast'!$H17),INDEX('Forecast Prices'!$1:$1048576,'History and Forecast'!$G17,'History and Forecast'!M$6))</f>
        <v>#N/A</v>
      </c>
      <c r="N17" s="17" t="e">
        <f>IF(N$9,INDEX('Annual Real'!$1:$1048576,'History and Forecast'!N$7,'History and Forecast'!$H17),INDEX('Forecast Prices'!$1:$1048576,'History and Forecast'!$G17,'History and Forecast'!N$6))</f>
        <v>#N/A</v>
      </c>
      <c r="O17" s="17" t="e">
        <f>IF(O$9,INDEX('Annual Real'!$1:$1048576,'History and Forecast'!O$7,'History and Forecast'!$H17),INDEX('Forecast Prices'!$1:$1048576,'History and Forecast'!$G17,'History and Forecast'!O$6))</f>
        <v>#N/A</v>
      </c>
      <c r="P17" s="17" t="e">
        <f>IF(P$9,INDEX('Annual Real'!$1:$1048576,'History and Forecast'!P$7,'History and Forecast'!$H17),INDEX('Forecast Prices'!$1:$1048576,'History and Forecast'!$G17,'History and Forecast'!P$6))</f>
        <v>#N/A</v>
      </c>
      <c r="Q17" s="17" t="e">
        <f>IF(Q$9,INDEX('Annual Real'!$1:$1048576,'History and Forecast'!Q$7,'History and Forecast'!$H17),INDEX('Forecast Prices'!$1:$1048576,'History and Forecast'!$G17,'History and Forecast'!Q$6))</f>
        <v>#N/A</v>
      </c>
      <c r="R17" s="17" t="e">
        <f>IF(R$9,INDEX('Annual Real'!$1:$1048576,'History and Forecast'!R$7,'History and Forecast'!$H17),INDEX('Forecast Prices'!$1:$1048576,'History and Forecast'!$G17,'History and Forecast'!R$6))</f>
        <v>#N/A</v>
      </c>
      <c r="S17" s="17" t="e">
        <f>IF(S$9,INDEX('Annual Real'!$1:$1048576,'History and Forecast'!S$7,'History and Forecast'!$H17),INDEX('Forecast Prices'!$1:$1048576,'History and Forecast'!$G17,'History and Forecast'!S$6))</f>
        <v>#N/A</v>
      </c>
      <c r="T17" s="17" t="e">
        <f>IF(T$9,INDEX('Annual Real'!$1:$1048576,'History and Forecast'!T$7,'History and Forecast'!$H17),INDEX('Forecast Prices'!$1:$1048576,'History and Forecast'!$G17,'History and Forecast'!T$6))</f>
        <v>#N/A</v>
      </c>
      <c r="U17" s="17" t="e">
        <f>IF(U$9,INDEX('Annual Real'!$1:$1048576,'History and Forecast'!U$7,'History and Forecast'!$H17),INDEX('Forecast Prices'!$1:$1048576,'History and Forecast'!$G17,'History and Forecast'!U$6))</f>
        <v>#N/A</v>
      </c>
      <c r="V17" s="17" t="e">
        <f>IF(V$9,INDEX('Annual Real'!$1:$1048576,'History and Forecast'!V$7,'History and Forecast'!$H17),INDEX('Forecast Prices'!$1:$1048576,'History and Forecast'!$G17,'History and Forecast'!V$6))</f>
        <v>#N/A</v>
      </c>
      <c r="W17" s="17" t="e">
        <f>IF(W$9,INDEX('Annual Real'!$1:$1048576,'History and Forecast'!W$7,'History and Forecast'!$H17),INDEX('Forecast Prices'!$1:$1048576,'History and Forecast'!$G17,'History and Forecast'!W$6))</f>
        <v>#N/A</v>
      </c>
      <c r="X17" s="17" t="e">
        <f>IF(X$9,INDEX('Annual Real'!$1:$1048576,'History and Forecast'!X$7,'History and Forecast'!$H17),INDEX('Forecast Prices'!$1:$1048576,'History and Forecast'!$G17,'History and Forecast'!X$6))</f>
        <v>#N/A</v>
      </c>
      <c r="Y17" s="17" t="e">
        <f>IF(Y$9,INDEX('Annual Real'!$1:$1048576,'History and Forecast'!Y$7,'History and Forecast'!$H17),INDEX('Forecast Prices'!$1:$1048576,'History and Forecast'!$G17,'History and Forecast'!Y$6))</f>
        <v>#N/A</v>
      </c>
      <c r="Z17" s="17" t="e">
        <f>IF(Z$9,INDEX('Annual Real'!$1:$1048576,'History and Forecast'!Z$7,'History and Forecast'!$H17),INDEX('Forecast Prices'!$1:$1048576,'History and Forecast'!$G17,'History and Forecast'!Z$6))</f>
        <v>#N/A</v>
      </c>
      <c r="AA17" s="17" t="e">
        <f>IF(AA$9,INDEX('Annual Real'!$1:$1048576,'History and Forecast'!AA$7,'History and Forecast'!$H17),INDEX('Forecast Prices'!$1:$1048576,'History and Forecast'!$G17,'History and Forecast'!AA$6))</f>
        <v>#N/A</v>
      </c>
      <c r="AB17" s="17" t="e">
        <f>IF(AB$9,INDEX('Annual Real'!$1:$1048576,'History and Forecast'!AB$7,'History and Forecast'!$H17),INDEX('Forecast Prices'!$1:$1048576,'History and Forecast'!$G17,'History and Forecast'!AB$6))</f>
        <v>#N/A</v>
      </c>
      <c r="AC17" s="17" t="e">
        <f>IF(AC$9,INDEX('Annual Real'!$1:$1048576,'History and Forecast'!AC$7,'History and Forecast'!$H17),INDEX('Forecast Prices'!$1:$1048576,'History and Forecast'!$G17,'History and Forecast'!AC$6))</f>
        <v>#N/A</v>
      </c>
      <c r="AD17" s="17" t="e">
        <f>IF(AD$9,INDEX('Annual Real'!$1:$1048576,'History and Forecast'!AD$7,'History and Forecast'!$H17),INDEX('Forecast Prices'!$1:$1048576,'History and Forecast'!$G17,'History and Forecast'!AD$6))</f>
        <v>#N/A</v>
      </c>
      <c r="AE17" s="17" t="e">
        <f>IF(AE$9,INDEX('Annual Real'!$1:$1048576,'History and Forecast'!AE$7,'History and Forecast'!$H17),INDEX('Forecast Prices'!$1:$1048576,'History and Forecast'!$G17,'History and Forecast'!AE$6))</f>
        <v>#N/A</v>
      </c>
      <c r="AF17" s="17" t="e">
        <f>IF(AF$9,INDEX('Annual Real'!$1:$1048576,'History and Forecast'!AF$7,'History and Forecast'!$H17),INDEX('Forecast Prices'!$1:$1048576,'History and Forecast'!$G17,'History and Forecast'!AF$6))</f>
        <v>#N/A</v>
      </c>
      <c r="AG17" s="17" t="e">
        <f>IF(AG$9,INDEX('Annual Real'!$1:$1048576,'History and Forecast'!AG$7,'History and Forecast'!$H17),INDEX('Forecast Prices'!$1:$1048576,'History and Forecast'!$G17,'History and Forecast'!AG$6))</f>
        <v>#N/A</v>
      </c>
      <c r="AH17" s="17" t="e">
        <f>IF(AH$9,INDEX('Annual Real'!$1:$1048576,'History and Forecast'!AH$7,'History and Forecast'!$H17),INDEX('Forecast Prices'!$1:$1048576,'History and Forecast'!$G17,'History and Forecast'!AH$6))</f>
        <v>#N/A</v>
      </c>
      <c r="AI17" s="17" t="e">
        <f>IF(AI$9,INDEX('Annual Real'!$1:$1048576,'History and Forecast'!AI$7,'History and Forecast'!$H17),INDEX('Forecast Prices'!$1:$1048576,'History and Forecast'!$G17,'History and Forecast'!AI$6))</f>
        <v>#N/A</v>
      </c>
      <c r="AJ17" s="17" t="e">
        <f>IF(AJ$9,INDEX('Annual Real'!$1:$1048576,'History and Forecast'!AJ$7,'History and Forecast'!$H17),INDEX('Forecast Prices'!$1:$1048576,'History and Forecast'!$G17,'History and Forecast'!AJ$6))</f>
        <v>#N/A</v>
      </c>
      <c r="AK17" s="17" t="e">
        <f>IF(AK$9,INDEX('Annual Real'!$1:$1048576,'History and Forecast'!AK$7,'History and Forecast'!$H17),INDEX('Forecast Prices'!$1:$1048576,'History and Forecast'!$G17,'History and Forecast'!AK$6))</f>
        <v>#N/A</v>
      </c>
      <c r="AL17" s="17" t="e">
        <f>IF(AL$9,INDEX('Annual Real'!$1:$1048576,'History and Forecast'!AL$7,'History and Forecast'!$H17),INDEX('Forecast Prices'!$1:$1048576,'History and Forecast'!$G17,'History and Forecast'!AL$6))</f>
        <v>#N/A</v>
      </c>
      <c r="AM17" s="17" t="e">
        <f>IF(AM$9,INDEX('Annual Real'!$1:$1048576,'History and Forecast'!AM$7,'History and Forecast'!$H17),INDEX('Forecast Prices'!$1:$1048576,'History and Forecast'!$G17,'History and Forecast'!AM$6))</f>
        <v>#N/A</v>
      </c>
      <c r="AN17" s="17" t="e">
        <f>IF(AN$9,INDEX('Annual Real'!$1:$1048576,'History and Forecast'!AN$7,'History and Forecast'!$H17),INDEX('Forecast Prices'!$1:$1048576,'History and Forecast'!$G17,'History and Forecast'!AN$6))</f>
        <v>#N/A</v>
      </c>
      <c r="AO17" s="17" t="e">
        <f>IF(AO$9,INDEX('Annual Real'!$1:$1048576,'History and Forecast'!AO$7,'History and Forecast'!$H17),INDEX('Forecast Prices'!$1:$1048576,'History and Forecast'!$G17,'History and Forecast'!AO$6))</f>
        <v>#N/A</v>
      </c>
      <c r="AP17" s="17" t="e">
        <f>IF(AP$9,INDEX('Annual Real'!$1:$1048576,'History and Forecast'!AP$7,'History and Forecast'!$H17),INDEX('Forecast Prices'!$1:$1048576,'History and Forecast'!$G17,'History and Forecast'!AP$6))</f>
        <v>#N/A</v>
      </c>
      <c r="AQ17" s="17" t="e">
        <f>IF(AQ$9,INDEX('Annual Real'!$1:$1048576,'History and Forecast'!AQ$7,'History and Forecast'!$H17),INDEX('Forecast Prices'!$1:$1048576,'History and Forecast'!$G17,'History and Forecast'!AQ$6))</f>
        <v>#N/A</v>
      </c>
      <c r="AR17" s="17" t="e">
        <f>IF(AR$9,INDEX('Annual Real'!$1:$1048576,'History and Forecast'!AR$7,'History and Forecast'!$H17),INDEX('Forecast Prices'!$1:$1048576,'History and Forecast'!$G17,'History and Forecast'!AR$6))</f>
        <v>#N/A</v>
      </c>
      <c r="AS17" s="17" t="e">
        <f>IF(AS$9,INDEX('Annual Real'!$1:$1048576,'History and Forecast'!AS$7,'History and Forecast'!$H17),INDEX('Forecast Prices'!$1:$1048576,'History and Forecast'!$G17,'History and Forecast'!AS$6))</f>
        <v>#N/A</v>
      </c>
      <c r="AT17" s="17" t="e">
        <f>IF(AT$9,INDEX('Annual Real'!$1:$1048576,'History and Forecast'!AT$7,'History and Forecast'!$H17),INDEX('Forecast Prices'!$1:$1048576,'History and Forecast'!$G17,'History and Forecast'!AT$6))</f>
        <v>#N/A</v>
      </c>
      <c r="AU17" s="17" t="e">
        <f>IF(AU$9,INDEX('Annual Real'!$1:$1048576,'History and Forecast'!AU$7,'History and Forecast'!$H17),INDEX('Forecast Prices'!$1:$1048576,'History and Forecast'!$G17,'History and Forecast'!AU$6))</f>
        <v>#N/A</v>
      </c>
      <c r="AV17" s="17" t="e">
        <f>IF(AV$9,INDEX('Annual Real'!$1:$1048576,'History and Forecast'!AV$7,'History and Forecast'!$H17),INDEX('Forecast Prices'!$1:$1048576,'History and Forecast'!$G17,'History and Forecast'!AV$6))</f>
        <v>#N/A</v>
      </c>
      <c r="AW17" s="17" t="e">
        <f>IF(AW$9,INDEX('Annual Real'!$1:$1048576,'History and Forecast'!AW$7,'History and Forecast'!$H17),INDEX('Forecast Prices'!$1:$1048576,'History and Forecast'!$G17,'History and Forecast'!AW$6))</f>
        <v>#N/A</v>
      </c>
      <c r="AX17" s="17" t="e">
        <f>IF(AX$9,INDEX('Annual Real'!$1:$1048576,'History and Forecast'!AX$7,'History and Forecast'!$H17),INDEX('Forecast Prices'!$1:$1048576,'History and Forecast'!$G17,'History and Forecast'!AX$6))</f>
        <v>#N/A</v>
      </c>
      <c r="AY17" s="17" t="e">
        <f>IF(AY$9,INDEX('Annual Real'!$1:$1048576,'History and Forecast'!AY$7,'History and Forecast'!$H17),INDEX('Forecast Prices'!$1:$1048576,'History and Forecast'!$G17,'History and Forecast'!AY$6))</f>
        <v>#N/A</v>
      </c>
      <c r="AZ17" s="17" t="e">
        <f>IF(AZ$9,INDEX('Annual Real'!$1:$1048576,'History and Forecast'!AZ$7,'History and Forecast'!$H17),INDEX('Forecast Prices'!$1:$1048576,'History and Forecast'!$G17,'History and Forecast'!AZ$6))</f>
        <v>#N/A</v>
      </c>
      <c r="BA17" s="17" t="e">
        <f>IF(BA$9,INDEX('Annual Real'!$1:$1048576,'History and Forecast'!BA$7,'History and Forecast'!$H17),INDEX('Forecast Prices'!$1:$1048576,'History and Forecast'!$G17,'History and Forecast'!BA$6))</f>
        <v>#N/A</v>
      </c>
      <c r="BB17" s="17" t="e">
        <f>IF(BB$9,INDEX('Annual Real'!$1:$1048576,'History and Forecast'!BB$7,'History and Forecast'!$H17),INDEX('Forecast Prices'!$1:$1048576,'History and Forecast'!$G17,'History and Forecast'!BB$6))</f>
        <v>#N/A</v>
      </c>
      <c r="BC17" s="17" t="e">
        <f>IF(BC$9,INDEX('Annual Real'!$1:$1048576,'History and Forecast'!BC$7,'History and Forecast'!$H17),INDEX('Forecast Prices'!$1:$1048576,'History and Forecast'!$G17,'History and Forecast'!BC$6))</f>
        <v>#N/A</v>
      </c>
      <c r="BD17" s="17" t="e">
        <f>IF(BD$9,INDEX('Annual Real'!$1:$1048576,'History and Forecast'!BD$7,'History and Forecast'!$H17),INDEX('Forecast Prices'!$1:$1048576,'History and Forecast'!$G17,'History and Forecast'!BD$6))</f>
        <v>#N/A</v>
      </c>
      <c r="BE17" s="17" t="e">
        <f>IF(BE$9,INDEX('Annual Real'!$1:$1048576,'History and Forecast'!BE$7,'History and Forecast'!$H17),INDEX('Forecast Prices'!$1:$1048576,'History and Forecast'!$G17,'History and Forecast'!BE$6))</f>
        <v>#N/A</v>
      </c>
      <c r="BF17" s="17" t="e">
        <f>IF(BF$9,INDEX('Annual Real'!$1:$1048576,'History and Forecast'!BF$7,'History and Forecast'!$H17),INDEX('Forecast Prices'!$1:$1048576,'History and Forecast'!$G17,'History and Forecast'!BF$6))</f>
        <v>#N/A</v>
      </c>
      <c r="BG17" s="17" t="e">
        <f>IF(BG$9,INDEX('Annual Real'!$1:$1048576,'History and Forecast'!BG$7,'History and Forecast'!$H17),INDEX('Forecast Prices'!$1:$1048576,'History and Forecast'!$G17,'History and Forecast'!BG$6))</f>
        <v>#N/A</v>
      </c>
      <c r="BH17" s="17" t="e">
        <f>IF(BH$9,INDEX('Annual Real'!$1:$1048576,'History and Forecast'!BH$7,'History and Forecast'!$H17),INDEX('Forecast Prices'!$1:$1048576,'History and Forecast'!$G17,'History and Forecast'!BH$6))</f>
        <v>#N/A</v>
      </c>
      <c r="BI17" s="17" t="e">
        <f>IF(BI$9,INDEX('Annual Real'!$1:$1048576,'History and Forecast'!BI$7,'History and Forecast'!$H17),INDEX('Forecast Prices'!$1:$1048576,'History and Forecast'!$G17,'History and Forecast'!BI$6))</f>
        <v>#N/A</v>
      </c>
      <c r="BJ17" s="17" t="e">
        <f>IF(BJ$9,INDEX('Annual Real'!$1:$1048576,'History and Forecast'!BJ$7,'History and Forecast'!$H17),INDEX('Forecast Prices'!$1:$1048576,'History and Forecast'!$G17,'History and Forecast'!BJ$6))</f>
        <v>#N/A</v>
      </c>
      <c r="BK17" s="17" t="e">
        <f>IF(BK$9,INDEX('Annual Real'!$1:$1048576,'History and Forecast'!BK$7,'History and Forecast'!$H17),INDEX('Forecast Prices'!$1:$1048576,'History and Forecast'!$G17,'History and Forecast'!BK$6))</f>
        <v>#N/A</v>
      </c>
      <c r="BL17" s="17" t="e">
        <f>IF(BL$9,INDEX('Annual Real'!$1:$1048576,'History and Forecast'!BL$7,'History and Forecast'!$H17),INDEX('Forecast Prices'!$1:$1048576,'History and Forecast'!$G17,'History and Forecast'!BL$6))</f>
        <v>#N/A</v>
      </c>
      <c r="BM17" s="17" t="e">
        <f>IF(BM$9,INDEX('Annual Real'!$1:$1048576,'History and Forecast'!BM$7,'History and Forecast'!$H17),INDEX('Forecast Prices'!$1:$1048576,'History and Forecast'!$G17,'History and Forecast'!BM$6))</f>
        <v>#N/A</v>
      </c>
      <c r="BN17" s="17" t="e">
        <f>IF(BN$9,INDEX('Annual Real'!$1:$1048576,'History and Forecast'!BN$7,'History and Forecast'!$H17),INDEX('Forecast Prices'!$1:$1048576,'History and Forecast'!$G17,'History and Forecast'!BN$6))</f>
        <v>#N/A</v>
      </c>
      <c r="BO17" s="17">
        <f>IF(BO$9,INDEX('Annual Real'!$1:$1048576,'History and Forecast'!BO$7,'History and Forecast'!$H17),INDEX('Forecast Prices'!$1:$1048576,'History and Forecast'!$G17,'History and Forecast'!BO$6))</f>
        <v>2.0770817972952198</v>
      </c>
      <c r="BP17" s="17">
        <f>IF(BP$9,INDEX('Annual Real'!$1:$1048576,'History and Forecast'!BP$7,'History and Forecast'!$H17),INDEX('Forecast Prices'!$1:$1048576,'History and Forecast'!$G17,'History and Forecast'!BP$6))</f>
        <v>2.287633079331</v>
      </c>
      <c r="BQ17" s="17">
        <f>IF(BQ$9,INDEX('Annual Real'!$1:$1048576,'History and Forecast'!BQ$7,'History and Forecast'!$H17),INDEX('Forecast Prices'!$1:$1048576,'History and Forecast'!$G17,'History and Forecast'!BQ$6))</f>
        <v>1.8351577294607999</v>
      </c>
      <c r="BR17" s="17">
        <f>IF(BR$9,INDEX('Annual Real'!$1:$1048576,'History and Forecast'!BR$7,'History and Forecast'!$H17),INDEX('Forecast Prices'!$1:$1048576,'History and Forecast'!$G17,'History and Forecast'!BR$6))</f>
        <v>1.6846517882315999</v>
      </c>
      <c r="BS17" s="17">
        <f>IF(BS$9,INDEX('Annual Real'!$1:$1048576,'History and Forecast'!BS$7,'History and Forecast'!$H17),INDEX('Forecast Prices'!$1:$1048576,'History and Forecast'!$G17,'History and Forecast'!BS$6))</f>
        <v>1.6913012096284199</v>
      </c>
      <c r="BT17" s="17">
        <f>IF(BT$9,INDEX('Annual Real'!$1:$1048576,'History and Forecast'!BT$7,'History and Forecast'!$H17),INDEX('Forecast Prices'!$1:$1048576,'History and Forecast'!$G17,'History and Forecast'!BT$6))</f>
        <v>1.69839381578277</v>
      </c>
      <c r="BU17" s="17">
        <f>IF(BU$9,INDEX('Annual Real'!$1:$1048576,'History and Forecast'!BU$7,'History and Forecast'!$H17),INDEX('Forecast Prices'!$1:$1048576,'History and Forecast'!$G17,'History and Forecast'!BU$6))</f>
        <v>1.70414897890523</v>
      </c>
      <c r="BV17" s="17">
        <f>IF(BV$9,INDEX('Annual Real'!$1:$1048576,'History and Forecast'!BV$7,'History and Forecast'!$H17),INDEX('Forecast Prices'!$1:$1048576,'History and Forecast'!$G17,'History and Forecast'!BV$6))</f>
        <v>1.7100745524586101</v>
      </c>
      <c r="BW17" s="17">
        <f>IF(BW$9,INDEX('Annual Real'!$1:$1048576,'History and Forecast'!BW$7,'History and Forecast'!$H17),INDEX('Forecast Prices'!$1:$1048576,'History and Forecast'!$G17,'History and Forecast'!BW$6))</f>
        <v>1.7160201610251899</v>
      </c>
      <c r="BX17" s="17">
        <f>IF(BX$9,INDEX('Annual Real'!$1:$1048576,'History and Forecast'!BX$7,'History and Forecast'!$H17),INDEX('Forecast Prices'!$1:$1048576,'History and Forecast'!$G17,'History and Forecast'!BX$6))</f>
        <v>1.7218871278263099</v>
      </c>
      <c r="BY17" s="17" t="e">
        <f>IF(BY$9,INDEX('Annual Real'!$1:$1048576,'History and Forecast'!BY$7,'History and Forecast'!$H17),INDEX('Forecast Prices'!$1:$1048576,'History and Forecast'!$G17,'History and Forecast'!BY$6))</f>
        <v>#N/A</v>
      </c>
      <c r="BZ17" s="17" t="e">
        <f>IF(BZ$9,INDEX('Annual Real'!$1:$1048576,'History and Forecast'!BZ$7,'History and Forecast'!$H17),INDEX('Forecast Prices'!$1:$1048576,'History and Forecast'!$G17,'History and Forecast'!BZ$6))</f>
        <v>#N/A</v>
      </c>
      <c r="CA17" s="17" t="e">
        <f>IF(CA$9,INDEX('Annual Real'!$1:$1048576,'History and Forecast'!CA$7,'History and Forecast'!$H17),INDEX('Forecast Prices'!$1:$1048576,'History and Forecast'!$G17,'History and Forecast'!CA$6))</f>
        <v>#N/A</v>
      </c>
      <c r="CB17" s="17" t="e">
        <f>IF(CB$9,INDEX('Annual Real'!$1:$1048576,'History and Forecast'!CB$7,'History and Forecast'!$H17),INDEX('Forecast Prices'!$1:$1048576,'History and Forecast'!$G17,'History and Forecast'!CB$6))</f>
        <v>#N/A</v>
      </c>
      <c r="CC17" s="17">
        <f>IF(CC$9,INDEX('Annual Real'!$1:$1048576,'History and Forecast'!CC$7,'History and Forecast'!$H17),INDEX('Forecast Prices'!$1:$1048576,'History and Forecast'!$G17,'History and Forecast'!CC$6))</f>
        <v>1.7488486237813401</v>
      </c>
      <c r="CD17" s="17" t="e">
        <f>IF(CD$9,INDEX('Annual Real'!$1:$1048576,'History and Forecast'!CD$7,'History and Forecast'!$H17),INDEX('Forecast Prices'!$1:$1048576,'History and Forecast'!$G17,'History and Forecast'!CD$6))</f>
        <v>#N/A</v>
      </c>
      <c r="CE17" s="17" t="e">
        <f>IF(CE$9,INDEX('Annual Real'!$1:$1048576,'History and Forecast'!CE$7,'History and Forecast'!$H17),INDEX('Forecast Prices'!$1:$1048576,'History and Forecast'!$G17,'History and Forecast'!CE$6))</f>
        <v>#N/A</v>
      </c>
      <c r="CF17" s="17" t="e">
        <f>IF(CF$9,INDEX('Annual Real'!$1:$1048576,'History and Forecast'!CF$7,'History and Forecast'!$H17),INDEX('Forecast Prices'!$1:$1048576,'History and Forecast'!$G17,'History and Forecast'!CF$6))</f>
        <v>#N/A</v>
      </c>
      <c r="CG17" s="17" t="e">
        <f>IF(CG$9,INDEX('Annual Real'!$1:$1048576,'History and Forecast'!CG$7,'History and Forecast'!$H17),INDEX('Forecast Prices'!$1:$1048576,'History and Forecast'!$G17,'History and Forecast'!CG$6))</f>
        <v>#N/A</v>
      </c>
      <c r="CH17" s="17" t="e">
        <f>IF(CH$9,INDEX('Annual Real'!$1:$1048576,'History and Forecast'!CH$7,'History and Forecast'!$H17),INDEX('Forecast Prices'!$1:$1048576,'History and Forecast'!$G17,'History and Forecast'!CH$6))</f>
        <v>#N/A</v>
      </c>
      <c r="CI17" s="17" t="e">
        <f>IF(CI$9,INDEX('Annual Real'!$1:$1048576,'History and Forecast'!CI$7,'History and Forecast'!$H17),INDEX('Forecast Prices'!$1:$1048576,'History and Forecast'!$G17,'History and Forecast'!CI$6))</f>
        <v>#N/A</v>
      </c>
    </row>
    <row r="18" spans="2:87">
      <c r="B18" t="str">
        <f t="shared" si="4"/>
        <v>TEA_AVG</v>
      </c>
      <c r="C18" s="34" t="s">
        <v>1056</v>
      </c>
      <c r="D18" t="str">
        <f t="shared" si="5"/>
        <v>KTEA_AVG</v>
      </c>
      <c r="E18" s="34" t="str">
        <f t="shared" si="6"/>
        <v>KFTEA_AVG</v>
      </c>
      <c r="F18">
        <f>MATCH(C18,'Forecast Prices'!A:A,0)</f>
        <v>17</v>
      </c>
      <c r="G18">
        <f>MATCH(E18,'Forecast Prices'!A:A,0)</f>
        <v>99</v>
      </c>
      <c r="H18" t="e">
        <f>MATCH(D18,'Annual Real'!$9:$9,0)</f>
        <v>#N/A</v>
      </c>
      <c r="I18" t="str">
        <f>INDEX('Forecast Prices'!B:B,'History and Forecast'!F18)&amp;INDEX('Forecast Prices'!C:C,'History and Forecast'!F18)&amp;INDEX('Forecast Prices'!D:D,'History and Forecast'!F18)&amp;INDEX('Forecast Prices'!E:E,'History and Forecast'!F18)</f>
        <v>Tea, auctions (3), average</v>
      </c>
      <c r="J18" t="str">
        <f>INDEX('Forecast Prices'!H:H,'History and Forecast'!F18)</f>
        <v>$/kg</v>
      </c>
      <c r="K18" s="17" t="e">
        <f>IF(K$9,INDEX('Annual Real'!$1:$1048576,'History and Forecast'!K$7,'History and Forecast'!$H18),INDEX('Forecast Prices'!$1:$1048576,'History and Forecast'!$G18,'History and Forecast'!K$6))</f>
        <v>#N/A</v>
      </c>
      <c r="L18" s="17" t="e">
        <f>IF(L$9,INDEX('Annual Real'!$1:$1048576,'History and Forecast'!L$7,'History and Forecast'!$H18),INDEX('Forecast Prices'!$1:$1048576,'History and Forecast'!$G18,'History and Forecast'!L$6))</f>
        <v>#N/A</v>
      </c>
      <c r="M18" s="17" t="e">
        <f>IF(M$9,INDEX('Annual Real'!$1:$1048576,'History and Forecast'!M$7,'History and Forecast'!$H18),INDEX('Forecast Prices'!$1:$1048576,'History and Forecast'!$G18,'History and Forecast'!M$6))</f>
        <v>#N/A</v>
      </c>
      <c r="N18" s="17" t="e">
        <f>IF(N$9,INDEX('Annual Real'!$1:$1048576,'History and Forecast'!N$7,'History and Forecast'!$H18),INDEX('Forecast Prices'!$1:$1048576,'History and Forecast'!$G18,'History and Forecast'!N$6))</f>
        <v>#N/A</v>
      </c>
      <c r="O18" s="17" t="e">
        <f>IF(O$9,INDEX('Annual Real'!$1:$1048576,'History and Forecast'!O$7,'History and Forecast'!$H18),INDEX('Forecast Prices'!$1:$1048576,'History and Forecast'!$G18,'History and Forecast'!O$6))</f>
        <v>#N/A</v>
      </c>
      <c r="P18" s="17" t="e">
        <f>IF(P$9,INDEX('Annual Real'!$1:$1048576,'History and Forecast'!P$7,'History and Forecast'!$H18),INDEX('Forecast Prices'!$1:$1048576,'History and Forecast'!$G18,'History and Forecast'!P$6))</f>
        <v>#N/A</v>
      </c>
      <c r="Q18" s="17" t="e">
        <f>IF(Q$9,INDEX('Annual Real'!$1:$1048576,'History and Forecast'!Q$7,'History and Forecast'!$H18),INDEX('Forecast Prices'!$1:$1048576,'History and Forecast'!$G18,'History and Forecast'!Q$6))</f>
        <v>#N/A</v>
      </c>
      <c r="R18" s="17" t="e">
        <f>IF(R$9,INDEX('Annual Real'!$1:$1048576,'History and Forecast'!R$7,'History and Forecast'!$H18),INDEX('Forecast Prices'!$1:$1048576,'History and Forecast'!$G18,'History and Forecast'!R$6))</f>
        <v>#N/A</v>
      </c>
      <c r="S18" s="17" t="e">
        <f>IF(S$9,INDEX('Annual Real'!$1:$1048576,'History and Forecast'!S$7,'History and Forecast'!$H18),INDEX('Forecast Prices'!$1:$1048576,'History and Forecast'!$G18,'History and Forecast'!S$6))</f>
        <v>#N/A</v>
      </c>
      <c r="T18" s="17" t="e">
        <f>IF(T$9,INDEX('Annual Real'!$1:$1048576,'History and Forecast'!T$7,'History and Forecast'!$H18),INDEX('Forecast Prices'!$1:$1048576,'History and Forecast'!$G18,'History and Forecast'!T$6))</f>
        <v>#N/A</v>
      </c>
      <c r="U18" s="17" t="e">
        <f>IF(U$9,INDEX('Annual Real'!$1:$1048576,'History and Forecast'!U$7,'History and Forecast'!$H18),INDEX('Forecast Prices'!$1:$1048576,'History and Forecast'!$G18,'History and Forecast'!U$6))</f>
        <v>#N/A</v>
      </c>
      <c r="V18" s="17" t="e">
        <f>IF(V$9,INDEX('Annual Real'!$1:$1048576,'History and Forecast'!V$7,'History and Forecast'!$H18),INDEX('Forecast Prices'!$1:$1048576,'History and Forecast'!$G18,'History and Forecast'!V$6))</f>
        <v>#N/A</v>
      </c>
      <c r="W18" s="17" t="e">
        <f>IF(W$9,INDEX('Annual Real'!$1:$1048576,'History and Forecast'!W$7,'History and Forecast'!$H18),INDEX('Forecast Prices'!$1:$1048576,'History and Forecast'!$G18,'History and Forecast'!W$6))</f>
        <v>#N/A</v>
      </c>
      <c r="X18" s="17" t="e">
        <f>IF(X$9,INDEX('Annual Real'!$1:$1048576,'History and Forecast'!X$7,'History and Forecast'!$H18),INDEX('Forecast Prices'!$1:$1048576,'History and Forecast'!$G18,'History and Forecast'!X$6))</f>
        <v>#N/A</v>
      </c>
      <c r="Y18" s="17" t="e">
        <f>IF(Y$9,INDEX('Annual Real'!$1:$1048576,'History and Forecast'!Y$7,'History and Forecast'!$H18),INDEX('Forecast Prices'!$1:$1048576,'History and Forecast'!$G18,'History and Forecast'!Y$6))</f>
        <v>#N/A</v>
      </c>
      <c r="Z18" s="17" t="e">
        <f>IF(Z$9,INDEX('Annual Real'!$1:$1048576,'History and Forecast'!Z$7,'History and Forecast'!$H18),INDEX('Forecast Prices'!$1:$1048576,'History and Forecast'!$G18,'History and Forecast'!Z$6))</f>
        <v>#N/A</v>
      </c>
      <c r="AA18" s="17" t="e">
        <f>IF(AA$9,INDEX('Annual Real'!$1:$1048576,'History and Forecast'!AA$7,'History and Forecast'!$H18),INDEX('Forecast Prices'!$1:$1048576,'History and Forecast'!$G18,'History and Forecast'!AA$6))</f>
        <v>#N/A</v>
      </c>
      <c r="AB18" s="17" t="e">
        <f>IF(AB$9,INDEX('Annual Real'!$1:$1048576,'History and Forecast'!AB$7,'History and Forecast'!$H18),INDEX('Forecast Prices'!$1:$1048576,'History and Forecast'!$G18,'History and Forecast'!AB$6))</f>
        <v>#N/A</v>
      </c>
      <c r="AC18" s="17" t="e">
        <f>IF(AC$9,INDEX('Annual Real'!$1:$1048576,'History and Forecast'!AC$7,'History and Forecast'!$H18),INDEX('Forecast Prices'!$1:$1048576,'History and Forecast'!$G18,'History and Forecast'!AC$6))</f>
        <v>#N/A</v>
      </c>
      <c r="AD18" s="17" t="e">
        <f>IF(AD$9,INDEX('Annual Real'!$1:$1048576,'History and Forecast'!AD$7,'History and Forecast'!$H18),INDEX('Forecast Prices'!$1:$1048576,'History and Forecast'!$G18,'History and Forecast'!AD$6))</f>
        <v>#N/A</v>
      </c>
      <c r="AE18" s="17" t="e">
        <f>IF(AE$9,INDEX('Annual Real'!$1:$1048576,'History and Forecast'!AE$7,'History and Forecast'!$H18),INDEX('Forecast Prices'!$1:$1048576,'History and Forecast'!$G18,'History and Forecast'!AE$6))</f>
        <v>#N/A</v>
      </c>
      <c r="AF18" s="17" t="e">
        <f>IF(AF$9,INDEX('Annual Real'!$1:$1048576,'History and Forecast'!AF$7,'History and Forecast'!$H18),INDEX('Forecast Prices'!$1:$1048576,'History and Forecast'!$G18,'History and Forecast'!AF$6))</f>
        <v>#N/A</v>
      </c>
      <c r="AG18" s="17" t="e">
        <f>IF(AG$9,INDEX('Annual Real'!$1:$1048576,'History and Forecast'!AG$7,'History and Forecast'!$H18),INDEX('Forecast Prices'!$1:$1048576,'History and Forecast'!$G18,'History and Forecast'!AG$6))</f>
        <v>#N/A</v>
      </c>
      <c r="AH18" s="17" t="e">
        <f>IF(AH$9,INDEX('Annual Real'!$1:$1048576,'History and Forecast'!AH$7,'History and Forecast'!$H18),INDEX('Forecast Prices'!$1:$1048576,'History and Forecast'!$G18,'History and Forecast'!AH$6))</f>
        <v>#N/A</v>
      </c>
      <c r="AI18" s="17" t="e">
        <f>IF(AI$9,INDEX('Annual Real'!$1:$1048576,'History and Forecast'!AI$7,'History and Forecast'!$H18),INDEX('Forecast Prices'!$1:$1048576,'History and Forecast'!$G18,'History and Forecast'!AI$6))</f>
        <v>#N/A</v>
      </c>
      <c r="AJ18" s="17" t="e">
        <f>IF(AJ$9,INDEX('Annual Real'!$1:$1048576,'History and Forecast'!AJ$7,'History and Forecast'!$H18),INDEX('Forecast Prices'!$1:$1048576,'History and Forecast'!$G18,'History and Forecast'!AJ$6))</f>
        <v>#N/A</v>
      </c>
      <c r="AK18" s="17" t="e">
        <f>IF(AK$9,INDEX('Annual Real'!$1:$1048576,'History and Forecast'!AK$7,'History and Forecast'!$H18),INDEX('Forecast Prices'!$1:$1048576,'History and Forecast'!$G18,'History and Forecast'!AK$6))</f>
        <v>#N/A</v>
      </c>
      <c r="AL18" s="17" t="e">
        <f>IF(AL$9,INDEX('Annual Real'!$1:$1048576,'History and Forecast'!AL$7,'History and Forecast'!$H18),INDEX('Forecast Prices'!$1:$1048576,'History and Forecast'!$G18,'History and Forecast'!AL$6))</f>
        <v>#N/A</v>
      </c>
      <c r="AM18" s="17" t="e">
        <f>IF(AM$9,INDEX('Annual Real'!$1:$1048576,'History and Forecast'!AM$7,'History and Forecast'!$H18),INDEX('Forecast Prices'!$1:$1048576,'History and Forecast'!$G18,'History and Forecast'!AM$6))</f>
        <v>#N/A</v>
      </c>
      <c r="AN18" s="17" t="e">
        <f>IF(AN$9,INDEX('Annual Real'!$1:$1048576,'History and Forecast'!AN$7,'History and Forecast'!$H18),INDEX('Forecast Prices'!$1:$1048576,'History and Forecast'!$G18,'History and Forecast'!AN$6))</f>
        <v>#N/A</v>
      </c>
      <c r="AO18" s="17" t="e">
        <f>IF(AO$9,INDEX('Annual Real'!$1:$1048576,'History and Forecast'!AO$7,'History and Forecast'!$H18),INDEX('Forecast Prices'!$1:$1048576,'History and Forecast'!$G18,'History and Forecast'!AO$6))</f>
        <v>#N/A</v>
      </c>
      <c r="AP18" s="17" t="e">
        <f>IF(AP$9,INDEX('Annual Real'!$1:$1048576,'History and Forecast'!AP$7,'History and Forecast'!$H18),INDEX('Forecast Prices'!$1:$1048576,'History and Forecast'!$G18,'History and Forecast'!AP$6))</f>
        <v>#N/A</v>
      </c>
      <c r="AQ18" s="17" t="e">
        <f>IF(AQ$9,INDEX('Annual Real'!$1:$1048576,'History and Forecast'!AQ$7,'History and Forecast'!$H18),INDEX('Forecast Prices'!$1:$1048576,'History and Forecast'!$G18,'History and Forecast'!AQ$6))</f>
        <v>#N/A</v>
      </c>
      <c r="AR18" s="17" t="e">
        <f>IF(AR$9,INDEX('Annual Real'!$1:$1048576,'History and Forecast'!AR$7,'History and Forecast'!$H18),INDEX('Forecast Prices'!$1:$1048576,'History and Forecast'!$G18,'History and Forecast'!AR$6))</f>
        <v>#N/A</v>
      </c>
      <c r="AS18" s="17" t="e">
        <f>IF(AS$9,INDEX('Annual Real'!$1:$1048576,'History and Forecast'!AS$7,'History and Forecast'!$H18),INDEX('Forecast Prices'!$1:$1048576,'History and Forecast'!$G18,'History and Forecast'!AS$6))</f>
        <v>#N/A</v>
      </c>
      <c r="AT18" s="17" t="e">
        <f>IF(AT$9,INDEX('Annual Real'!$1:$1048576,'History and Forecast'!AT$7,'History and Forecast'!$H18),INDEX('Forecast Prices'!$1:$1048576,'History and Forecast'!$G18,'History and Forecast'!AT$6))</f>
        <v>#N/A</v>
      </c>
      <c r="AU18" s="17" t="e">
        <f>IF(AU$9,INDEX('Annual Real'!$1:$1048576,'History and Forecast'!AU$7,'History and Forecast'!$H18),INDEX('Forecast Prices'!$1:$1048576,'History and Forecast'!$G18,'History and Forecast'!AU$6))</f>
        <v>#N/A</v>
      </c>
      <c r="AV18" s="17" t="e">
        <f>IF(AV$9,INDEX('Annual Real'!$1:$1048576,'History and Forecast'!AV$7,'History and Forecast'!$H18),INDEX('Forecast Prices'!$1:$1048576,'History and Forecast'!$G18,'History and Forecast'!AV$6))</f>
        <v>#N/A</v>
      </c>
      <c r="AW18" s="17" t="e">
        <f>IF(AW$9,INDEX('Annual Real'!$1:$1048576,'History and Forecast'!AW$7,'History and Forecast'!$H18),INDEX('Forecast Prices'!$1:$1048576,'History and Forecast'!$G18,'History and Forecast'!AW$6))</f>
        <v>#N/A</v>
      </c>
      <c r="AX18" s="17" t="e">
        <f>IF(AX$9,INDEX('Annual Real'!$1:$1048576,'History and Forecast'!AX$7,'History and Forecast'!$H18),INDEX('Forecast Prices'!$1:$1048576,'History and Forecast'!$G18,'History and Forecast'!AX$6))</f>
        <v>#N/A</v>
      </c>
      <c r="AY18" s="17" t="e">
        <f>IF(AY$9,INDEX('Annual Real'!$1:$1048576,'History and Forecast'!AY$7,'History and Forecast'!$H18),INDEX('Forecast Prices'!$1:$1048576,'History and Forecast'!$G18,'History and Forecast'!AY$6))</f>
        <v>#N/A</v>
      </c>
      <c r="AZ18" s="17" t="e">
        <f>IF(AZ$9,INDEX('Annual Real'!$1:$1048576,'History and Forecast'!AZ$7,'History and Forecast'!$H18),INDEX('Forecast Prices'!$1:$1048576,'History and Forecast'!$G18,'History and Forecast'!AZ$6))</f>
        <v>#N/A</v>
      </c>
      <c r="BA18" s="17" t="e">
        <f>IF(BA$9,INDEX('Annual Real'!$1:$1048576,'History and Forecast'!BA$7,'History and Forecast'!$H18),INDEX('Forecast Prices'!$1:$1048576,'History and Forecast'!$G18,'History and Forecast'!BA$6))</f>
        <v>#N/A</v>
      </c>
      <c r="BB18" s="17" t="e">
        <f>IF(BB$9,INDEX('Annual Real'!$1:$1048576,'History and Forecast'!BB$7,'History and Forecast'!$H18),INDEX('Forecast Prices'!$1:$1048576,'History and Forecast'!$G18,'History and Forecast'!BB$6))</f>
        <v>#N/A</v>
      </c>
      <c r="BC18" s="17" t="e">
        <f>IF(BC$9,INDEX('Annual Real'!$1:$1048576,'History and Forecast'!BC$7,'History and Forecast'!$H18),INDEX('Forecast Prices'!$1:$1048576,'History and Forecast'!$G18,'History and Forecast'!BC$6))</f>
        <v>#N/A</v>
      </c>
      <c r="BD18" s="17" t="e">
        <f>IF(BD$9,INDEX('Annual Real'!$1:$1048576,'History and Forecast'!BD$7,'History and Forecast'!$H18),INDEX('Forecast Prices'!$1:$1048576,'History and Forecast'!$G18,'History and Forecast'!BD$6))</f>
        <v>#N/A</v>
      </c>
      <c r="BE18" s="17" t="e">
        <f>IF(BE$9,INDEX('Annual Real'!$1:$1048576,'History and Forecast'!BE$7,'History and Forecast'!$H18),INDEX('Forecast Prices'!$1:$1048576,'History and Forecast'!$G18,'History and Forecast'!BE$6))</f>
        <v>#N/A</v>
      </c>
      <c r="BF18" s="17" t="e">
        <f>IF(BF$9,INDEX('Annual Real'!$1:$1048576,'History and Forecast'!BF$7,'History and Forecast'!$H18),INDEX('Forecast Prices'!$1:$1048576,'History and Forecast'!$G18,'History and Forecast'!BF$6))</f>
        <v>#N/A</v>
      </c>
      <c r="BG18" s="17" t="e">
        <f>IF(BG$9,INDEX('Annual Real'!$1:$1048576,'History and Forecast'!BG$7,'History and Forecast'!$H18),INDEX('Forecast Prices'!$1:$1048576,'History and Forecast'!$G18,'History and Forecast'!BG$6))</f>
        <v>#N/A</v>
      </c>
      <c r="BH18" s="17" t="e">
        <f>IF(BH$9,INDEX('Annual Real'!$1:$1048576,'History and Forecast'!BH$7,'History and Forecast'!$H18),INDEX('Forecast Prices'!$1:$1048576,'History and Forecast'!$G18,'History and Forecast'!BH$6))</f>
        <v>#N/A</v>
      </c>
      <c r="BI18" s="17" t="e">
        <f>IF(BI$9,INDEX('Annual Real'!$1:$1048576,'History and Forecast'!BI$7,'History and Forecast'!$H18),INDEX('Forecast Prices'!$1:$1048576,'History and Forecast'!$G18,'History and Forecast'!BI$6))</f>
        <v>#N/A</v>
      </c>
      <c r="BJ18" s="17" t="e">
        <f>IF(BJ$9,INDEX('Annual Real'!$1:$1048576,'History and Forecast'!BJ$7,'History and Forecast'!$H18),INDEX('Forecast Prices'!$1:$1048576,'History and Forecast'!$G18,'History and Forecast'!BJ$6))</f>
        <v>#N/A</v>
      </c>
      <c r="BK18" s="17" t="e">
        <f>IF(BK$9,INDEX('Annual Real'!$1:$1048576,'History and Forecast'!BK$7,'History and Forecast'!$H18),INDEX('Forecast Prices'!$1:$1048576,'History and Forecast'!$G18,'History and Forecast'!BK$6))</f>
        <v>#N/A</v>
      </c>
      <c r="BL18" s="17" t="e">
        <f>IF(BL$9,INDEX('Annual Real'!$1:$1048576,'History and Forecast'!BL$7,'History and Forecast'!$H18),INDEX('Forecast Prices'!$1:$1048576,'History and Forecast'!$G18,'History and Forecast'!BL$6))</f>
        <v>#N/A</v>
      </c>
      <c r="BM18" s="17" t="e">
        <f>IF(BM$9,INDEX('Annual Real'!$1:$1048576,'History and Forecast'!BM$7,'History and Forecast'!$H18),INDEX('Forecast Prices'!$1:$1048576,'History and Forecast'!$G18,'History and Forecast'!BM$6))</f>
        <v>#N/A</v>
      </c>
      <c r="BN18" s="17" t="e">
        <f>IF(BN$9,INDEX('Annual Real'!$1:$1048576,'History and Forecast'!BN$7,'History and Forecast'!$H18),INDEX('Forecast Prices'!$1:$1048576,'History and Forecast'!$G18,'History and Forecast'!BN$6))</f>
        <v>#N/A</v>
      </c>
      <c r="BO18" s="17">
        <f>IF(BO$9,INDEX('Annual Real'!$1:$1048576,'History and Forecast'!BO$7,'History and Forecast'!$H18),INDEX('Forecast Prices'!$1:$1048576,'History and Forecast'!$G18,'History and Forecast'!BO$6))</f>
        <v>2.8553309587629201</v>
      </c>
      <c r="BP18" s="17">
        <f>IF(BP$9,INDEX('Annual Real'!$1:$1048576,'History and Forecast'!BP$7,'History and Forecast'!$H18),INDEX('Forecast Prices'!$1:$1048576,'History and Forecast'!$G18,'History and Forecast'!BP$6))</f>
        <v>3.2363412311722302</v>
      </c>
      <c r="BQ18" s="17">
        <f>IF(BQ$9,INDEX('Annual Real'!$1:$1048576,'History and Forecast'!BQ$7,'History and Forecast'!$H18),INDEX('Forecast Prices'!$1:$1048576,'History and Forecast'!$G18,'History and Forecast'!BQ$6))</f>
        <v>2.7955218707146501</v>
      </c>
      <c r="BR18" s="17">
        <f>IF(BR$9,INDEX('Annual Real'!$1:$1048576,'History and Forecast'!BR$7,'History and Forecast'!$H18),INDEX('Forecast Prices'!$1:$1048576,'History and Forecast'!$G18,'History and Forecast'!BR$6))</f>
        <v>2.35851250352425</v>
      </c>
      <c r="BS18" s="17">
        <f>IF(BS$9,INDEX('Annual Real'!$1:$1048576,'History and Forecast'!BS$7,'History and Forecast'!$H18),INDEX('Forecast Prices'!$1:$1048576,'History and Forecast'!$G18,'History and Forecast'!BS$6))</f>
        <v>2.3760633688497301</v>
      </c>
      <c r="BT18" s="17">
        <f>IF(BT$9,INDEX('Annual Real'!$1:$1048576,'History and Forecast'!BT$7,'History and Forecast'!$H18),INDEX('Forecast Prices'!$1:$1048576,'History and Forecast'!$G18,'History and Forecast'!BT$6))</f>
        <v>2.3943326241724701</v>
      </c>
      <c r="BU18" s="17">
        <f>IF(BU$9,INDEX('Annual Real'!$1:$1048576,'History and Forecast'!BU$7,'History and Forecast'!$H18),INDEX('Forecast Prices'!$1:$1048576,'History and Forecast'!$G18,'History and Forecast'!BU$6))</f>
        <v>2.4108082320466599</v>
      </c>
      <c r="BV18" s="17">
        <f>IF(BV$9,INDEX('Annual Real'!$1:$1048576,'History and Forecast'!BV$7,'History and Forecast'!$H18),INDEX('Forecast Prices'!$1:$1048576,'History and Forecast'!$G18,'History and Forecast'!BV$6))</f>
        <v>2.4276114388261298</v>
      </c>
      <c r="BW18" s="17">
        <f>IF(BW$9,INDEX('Annual Real'!$1:$1048576,'History and Forecast'!BW$7,'History and Forecast'!$H18),INDEX('Forecast Prices'!$1:$1048576,'History and Forecast'!$G18,'History and Forecast'!BW$6))</f>
        <v>2.4445309524188201</v>
      </c>
      <c r="BX18" s="17">
        <f>IF(BX$9,INDEX('Annual Real'!$1:$1048576,'History and Forecast'!BX$7,'History and Forecast'!$H18),INDEX('Forecast Prices'!$1:$1048576,'History and Forecast'!$G18,'History and Forecast'!BX$6))</f>
        <v>2.4614264204370202</v>
      </c>
      <c r="BY18" s="17" t="e">
        <f>IF(BY$9,INDEX('Annual Real'!$1:$1048576,'History and Forecast'!BY$7,'History and Forecast'!$H18),INDEX('Forecast Prices'!$1:$1048576,'History and Forecast'!$G18,'History and Forecast'!BY$6))</f>
        <v>#N/A</v>
      </c>
      <c r="BZ18" s="17" t="e">
        <f>IF(BZ$9,INDEX('Annual Real'!$1:$1048576,'History and Forecast'!BZ$7,'History and Forecast'!$H18),INDEX('Forecast Prices'!$1:$1048576,'History and Forecast'!$G18,'History and Forecast'!BZ$6))</f>
        <v>#N/A</v>
      </c>
      <c r="CA18" s="17" t="e">
        <f>IF(CA$9,INDEX('Annual Real'!$1:$1048576,'History and Forecast'!CA$7,'History and Forecast'!$H18),INDEX('Forecast Prices'!$1:$1048576,'History and Forecast'!$G18,'History and Forecast'!CA$6))</f>
        <v>#N/A</v>
      </c>
      <c r="CB18" s="17" t="e">
        <f>IF(CB$9,INDEX('Annual Real'!$1:$1048576,'History and Forecast'!CB$7,'History and Forecast'!$H18),INDEX('Forecast Prices'!$1:$1048576,'History and Forecast'!$G18,'History and Forecast'!CB$6))</f>
        <v>#N/A</v>
      </c>
      <c r="CC18" s="17">
        <f>IF(CC$9,INDEX('Annual Real'!$1:$1048576,'History and Forecast'!CC$7,'History and Forecast'!$H18),INDEX('Forecast Prices'!$1:$1048576,'History and Forecast'!$G18,'History and Forecast'!CC$6))</f>
        <v>2.54377981640922</v>
      </c>
      <c r="CD18" s="17" t="e">
        <f>IF(CD$9,INDEX('Annual Real'!$1:$1048576,'History and Forecast'!CD$7,'History and Forecast'!$H18),INDEX('Forecast Prices'!$1:$1048576,'History and Forecast'!$G18,'History and Forecast'!CD$6))</f>
        <v>#N/A</v>
      </c>
      <c r="CE18" s="17" t="e">
        <f>IF(CE$9,INDEX('Annual Real'!$1:$1048576,'History and Forecast'!CE$7,'History and Forecast'!$H18),INDEX('Forecast Prices'!$1:$1048576,'History and Forecast'!$G18,'History and Forecast'!CE$6))</f>
        <v>#N/A</v>
      </c>
      <c r="CF18" s="17" t="e">
        <f>IF(CF$9,INDEX('Annual Real'!$1:$1048576,'History and Forecast'!CF$7,'History and Forecast'!$H18),INDEX('Forecast Prices'!$1:$1048576,'History and Forecast'!$G18,'History and Forecast'!CF$6))</f>
        <v>#N/A</v>
      </c>
      <c r="CG18" s="17" t="e">
        <f>IF(CG$9,INDEX('Annual Real'!$1:$1048576,'History and Forecast'!CG$7,'History and Forecast'!$H18),INDEX('Forecast Prices'!$1:$1048576,'History and Forecast'!$G18,'History and Forecast'!CG$6))</f>
        <v>#N/A</v>
      </c>
      <c r="CH18" s="17" t="e">
        <f>IF(CH$9,INDEX('Annual Real'!$1:$1048576,'History and Forecast'!CH$7,'History and Forecast'!$H18),INDEX('Forecast Prices'!$1:$1048576,'History and Forecast'!$G18,'History and Forecast'!CH$6))</f>
        <v>#N/A</v>
      </c>
      <c r="CI18" s="17" t="e">
        <f>IF(CI$9,INDEX('Annual Real'!$1:$1048576,'History and Forecast'!CI$7,'History and Forecast'!$H18),INDEX('Forecast Prices'!$1:$1048576,'History and Forecast'!$G18,'History and Forecast'!CI$6))</f>
        <v>#N/A</v>
      </c>
    </row>
    <row r="19" spans="2:87">
      <c r="B19" t="str">
        <f t="shared" si="4"/>
        <v>COCONUT_OIL</v>
      </c>
      <c r="C19" s="34" t="s">
        <v>1060</v>
      </c>
      <c r="D19" t="str">
        <f t="shared" si="5"/>
        <v>KCOCONUT_OIL</v>
      </c>
      <c r="E19" s="34" t="str">
        <f t="shared" si="6"/>
        <v>KFCOCONUT_OIL</v>
      </c>
      <c r="F19">
        <f>MATCH(C19,'Forecast Prices'!A:A,0)</f>
        <v>21</v>
      </c>
      <c r="G19">
        <f>MATCH(E19,'Forecast Prices'!A:A,0)</f>
        <v>103</v>
      </c>
      <c r="H19" t="e">
        <f>MATCH(D19,'Annual Real'!$9:$9,0)</f>
        <v>#N/A</v>
      </c>
      <c r="I19" t="str">
        <f>INDEX('Forecast Prices'!B:B,'History and Forecast'!F19)&amp;INDEX('Forecast Prices'!C:C,'History and Forecast'!F19)&amp;INDEX('Forecast Prices'!D:D,'History and Forecast'!F19)&amp;INDEX('Forecast Prices'!E:E,'History and Forecast'!F19)</f>
        <v>Coconut oil</v>
      </c>
      <c r="J19" t="str">
        <f>INDEX('Forecast Prices'!H:H,'History and Forecast'!F19)</f>
        <v>$/mt</v>
      </c>
      <c r="K19" s="17" t="e">
        <f>IF(K$9,INDEX('Annual Real'!$1:$1048576,'History and Forecast'!K$7,'History and Forecast'!$H19),INDEX('Forecast Prices'!$1:$1048576,'History and Forecast'!$G19,'History and Forecast'!K$6))</f>
        <v>#N/A</v>
      </c>
      <c r="L19" s="17" t="e">
        <f>IF(L$9,INDEX('Annual Real'!$1:$1048576,'History and Forecast'!L$7,'History and Forecast'!$H19),INDEX('Forecast Prices'!$1:$1048576,'History and Forecast'!$G19,'History and Forecast'!L$6))</f>
        <v>#N/A</v>
      </c>
      <c r="M19" s="17" t="e">
        <f>IF(M$9,INDEX('Annual Real'!$1:$1048576,'History and Forecast'!M$7,'History and Forecast'!$H19),INDEX('Forecast Prices'!$1:$1048576,'History and Forecast'!$G19,'History and Forecast'!M$6))</f>
        <v>#N/A</v>
      </c>
      <c r="N19" s="17" t="e">
        <f>IF(N$9,INDEX('Annual Real'!$1:$1048576,'History and Forecast'!N$7,'History and Forecast'!$H19),INDEX('Forecast Prices'!$1:$1048576,'History and Forecast'!$G19,'History and Forecast'!N$6))</f>
        <v>#N/A</v>
      </c>
      <c r="O19" s="17" t="e">
        <f>IF(O$9,INDEX('Annual Real'!$1:$1048576,'History and Forecast'!O$7,'History and Forecast'!$H19),INDEX('Forecast Prices'!$1:$1048576,'History and Forecast'!$G19,'History and Forecast'!O$6))</f>
        <v>#N/A</v>
      </c>
      <c r="P19" s="17" t="e">
        <f>IF(P$9,INDEX('Annual Real'!$1:$1048576,'History and Forecast'!P$7,'History and Forecast'!$H19),INDEX('Forecast Prices'!$1:$1048576,'History and Forecast'!$G19,'History and Forecast'!P$6))</f>
        <v>#N/A</v>
      </c>
      <c r="Q19" s="17" t="e">
        <f>IF(Q$9,INDEX('Annual Real'!$1:$1048576,'History and Forecast'!Q$7,'History and Forecast'!$H19),INDEX('Forecast Prices'!$1:$1048576,'History and Forecast'!$G19,'History and Forecast'!Q$6))</f>
        <v>#N/A</v>
      </c>
      <c r="R19" s="17" t="e">
        <f>IF(R$9,INDEX('Annual Real'!$1:$1048576,'History and Forecast'!R$7,'History and Forecast'!$H19),INDEX('Forecast Prices'!$1:$1048576,'History and Forecast'!$G19,'History and Forecast'!R$6))</f>
        <v>#N/A</v>
      </c>
      <c r="S19" s="17" t="e">
        <f>IF(S$9,INDEX('Annual Real'!$1:$1048576,'History and Forecast'!S$7,'History and Forecast'!$H19),INDEX('Forecast Prices'!$1:$1048576,'History and Forecast'!$G19,'History and Forecast'!S$6))</f>
        <v>#N/A</v>
      </c>
      <c r="T19" s="17" t="e">
        <f>IF(T$9,INDEX('Annual Real'!$1:$1048576,'History and Forecast'!T$7,'History and Forecast'!$H19),INDEX('Forecast Prices'!$1:$1048576,'History and Forecast'!$G19,'History and Forecast'!T$6))</f>
        <v>#N/A</v>
      </c>
      <c r="U19" s="17" t="e">
        <f>IF(U$9,INDEX('Annual Real'!$1:$1048576,'History and Forecast'!U$7,'History and Forecast'!$H19),INDEX('Forecast Prices'!$1:$1048576,'History and Forecast'!$G19,'History and Forecast'!U$6))</f>
        <v>#N/A</v>
      </c>
      <c r="V19" s="17" t="e">
        <f>IF(V$9,INDEX('Annual Real'!$1:$1048576,'History and Forecast'!V$7,'History and Forecast'!$H19),INDEX('Forecast Prices'!$1:$1048576,'History and Forecast'!$G19,'History and Forecast'!V$6))</f>
        <v>#N/A</v>
      </c>
      <c r="W19" s="17" t="e">
        <f>IF(W$9,INDEX('Annual Real'!$1:$1048576,'History and Forecast'!W$7,'History and Forecast'!$H19),INDEX('Forecast Prices'!$1:$1048576,'History and Forecast'!$G19,'History and Forecast'!W$6))</f>
        <v>#N/A</v>
      </c>
      <c r="X19" s="17" t="e">
        <f>IF(X$9,INDEX('Annual Real'!$1:$1048576,'History and Forecast'!X$7,'History and Forecast'!$H19),INDEX('Forecast Prices'!$1:$1048576,'History and Forecast'!$G19,'History and Forecast'!X$6))</f>
        <v>#N/A</v>
      </c>
      <c r="Y19" s="17" t="e">
        <f>IF(Y$9,INDEX('Annual Real'!$1:$1048576,'History and Forecast'!Y$7,'History and Forecast'!$H19),INDEX('Forecast Prices'!$1:$1048576,'History and Forecast'!$G19,'History and Forecast'!Y$6))</f>
        <v>#N/A</v>
      </c>
      <c r="Z19" s="17" t="e">
        <f>IF(Z$9,INDEX('Annual Real'!$1:$1048576,'History and Forecast'!Z$7,'History and Forecast'!$H19),INDEX('Forecast Prices'!$1:$1048576,'History and Forecast'!$G19,'History and Forecast'!Z$6))</f>
        <v>#N/A</v>
      </c>
      <c r="AA19" s="17" t="e">
        <f>IF(AA$9,INDEX('Annual Real'!$1:$1048576,'History and Forecast'!AA$7,'History and Forecast'!$H19),INDEX('Forecast Prices'!$1:$1048576,'History and Forecast'!$G19,'History and Forecast'!AA$6))</f>
        <v>#N/A</v>
      </c>
      <c r="AB19" s="17" t="e">
        <f>IF(AB$9,INDEX('Annual Real'!$1:$1048576,'History and Forecast'!AB$7,'History and Forecast'!$H19),INDEX('Forecast Prices'!$1:$1048576,'History and Forecast'!$G19,'History and Forecast'!AB$6))</f>
        <v>#N/A</v>
      </c>
      <c r="AC19" s="17" t="e">
        <f>IF(AC$9,INDEX('Annual Real'!$1:$1048576,'History and Forecast'!AC$7,'History and Forecast'!$H19),INDEX('Forecast Prices'!$1:$1048576,'History and Forecast'!$G19,'History and Forecast'!AC$6))</f>
        <v>#N/A</v>
      </c>
      <c r="AD19" s="17" t="e">
        <f>IF(AD$9,INDEX('Annual Real'!$1:$1048576,'History and Forecast'!AD$7,'History and Forecast'!$H19),INDEX('Forecast Prices'!$1:$1048576,'History and Forecast'!$G19,'History and Forecast'!AD$6))</f>
        <v>#N/A</v>
      </c>
      <c r="AE19" s="17" t="e">
        <f>IF(AE$9,INDEX('Annual Real'!$1:$1048576,'History and Forecast'!AE$7,'History and Forecast'!$H19),INDEX('Forecast Prices'!$1:$1048576,'History and Forecast'!$G19,'History and Forecast'!AE$6))</f>
        <v>#N/A</v>
      </c>
      <c r="AF19" s="17" t="e">
        <f>IF(AF$9,INDEX('Annual Real'!$1:$1048576,'History and Forecast'!AF$7,'History and Forecast'!$H19),INDEX('Forecast Prices'!$1:$1048576,'History and Forecast'!$G19,'History and Forecast'!AF$6))</f>
        <v>#N/A</v>
      </c>
      <c r="AG19" s="17" t="e">
        <f>IF(AG$9,INDEX('Annual Real'!$1:$1048576,'History and Forecast'!AG$7,'History and Forecast'!$H19),INDEX('Forecast Prices'!$1:$1048576,'History and Forecast'!$G19,'History and Forecast'!AG$6))</f>
        <v>#N/A</v>
      </c>
      <c r="AH19" s="17" t="e">
        <f>IF(AH$9,INDEX('Annual Real'!$1:$1048576,'History and Forecast'!AH$7,'History and Forecast'!$H19),INDEX('Forecast Prices'!$1:$1048576,'History and Forecast'!$G19,'History and Forecast'!AH$6))</f>
        <v>#N/A</v>
      </c>
      <c r="AI19" s="17" t="e">
        <f>IF(AI$9,INDEX('Annual Real'!$1:$1048576,'History and Forecast'!AI$7,'History and Forecast'!$H19),INDEX('Forecast Prices'!$1:$1048576,'History and Forecast'!$G19,'History and Forecast'!AI$6))</f>
        <v>#N/A</v>
      </c>
      <c r="AJ19" s="17" t="e">
        <f>IF(AJ$9,INDEX('Annual Real'!$1:$1048576,'History and Forecast'!AJ$7,'History and Forecast'!$H19),INDEX('Forecast Prices'!$1:$1048576,'History and Forecast'!$G19,'History and Forecast'!AJ$6))</f>
        <v>#N/A</v>
      </c>
      <c r="AK19" s="17" t="e">
        <f>IF(AK$9,INDEX('Annual Real'!$1:$1048576,'History and Forecast'!AK$7,'History and Forecast'!$H19),INDEX('Forecast Prices'!$1:$1048576,'History and Forecast'!$G19,'History and Forecast'!AK$6))</f>
        <v>#N/A</v>
      </c>
      <c r="AL19" s="17" t="e">
        <f>IF(AL$9,INDEX('Annual Real'!$1:$1048576,'History and Forecast'!AL$7,'History and Forecast'!$H19),INDEX('Forecast Prices'!$1:$1048576,'History and Forecast'!$G19,'History and Forecast'!AL$6))</f>
        <v>#N/A</v>
      </c>
      <c r="AM19" s="17" t="e">
        <f>IF(AM$9,INDEX('Annual Real'!$1:$1048576,'History and Forecast'!AM$7,'History and Forecast'!$H19),INDEX('Forecast Prices'!$1:$1048576,'History and Forecast'!$G19,'History and Forecast'!AM$6))</f>
        <v>#N/A</v>
      </c>
      <c r="AN19" s="17" t="e">
        <f>IF(AN$9,INDEX('Annual Real'!$1:$1048576,'History and Forecast'!AN$7,'History and Forecast'!$H19),INDEX('Forecast Prices'!$1:$1048576,'History and Forecast'!$G19,'History and Forecast'!AN$6))</f>
        <v>#N/A</v>
      </c>
      <c r="AO19" s="17" t="e">
        <f>IF(AO$9,INDEX('Annual Real'!$1:$1048576,'History and Forecast'!AO$7,'History and Forecast'!$H19),INDEX('Forecast Prices'!$1:$1048576,'History and Forecast'!$G19,'History and Forecast'!AO$6))</f>
        <v>#N/A</v>
      </c>
      <c r="AP19" s="17" t="e">
        <f>IF(AP$9,INDEX('Annual Real'!$1:$1048576,'History and Forecast'!AP$7,'History and Forecast'!$H19),INDEX('Forecast Prices'!$1:$1048576,'History and Forecast'!$G19,'History and Forecast'!AP$6))</f>
        <v>#N/A</v>
      </c>
      <c r="AQ19" s="17" t="e">
        <f>IF(AQ$9,INDEX('Annual Real'!$1:$1048576,'History and Forecast'!AQ$7,'History and Forecast'!$H19),INDEX('Forecast Prices'!$1:$1048576,'History and Forecast'!$G19,'History and Forecast'!AQ$6))</f>
        <v>#N/A</v>
      </c>
      <c r="AR19" s="17" t="e">
        <f>IF(AR$9,INDEX('Annual Real'!$1:$1048576,'History and Forecast'!AR$7,'History and Forecast'!$H19),INDEX('Forecast Prices'!$1:$1048576,'History and Forecast'!$G19,'History and Forecast'!AR$6))</f>
        <v>#N/A</v>
      </c>
      <c r="AS19" s="17" t="e">
        <f>IF(AS$9,INDEX('Annual Real'!$1:$1048576,'History and Forecast'!AS$7,'History and Forecast'!$H19),INDEX('Forecast Prices'!$1:$1048576,'History and Forecast'!$G19,'History and Forecast'!AS$6))</f>
        <v>#N/A</v>
      </c>
      <c r="AT19" s="17" t="e">
        <f>IF(AT$9,INDEX('Annual Real'!$1:$1048576,'History and Forecast'!AT$7,'History and Forecast'!$H19),INDEX('Forecast Prices'!$1:$1048576,'History and Forecast'!$G19,'History and Forecast'!AT$6))</f>
        <v>#N/A</v>
      </c>
      <c r="AU19" s="17" t="e">
        <f>IF(AU$9,INDEX('Annual Real'!$1:$1048576,'History and Forecast'!AU$7,'History and Forecast'!$H19),INDEX('Forecast Prices'!$1:$1048576,'History and Forecast'!$G19,'History and Forecast'!AU$6))</f>
        <v>#N/A</v>
      </c>
      <c r="AV19" s="17" t="e">
        <f>IF(AV$9,INDEX('Annual Real'!$1:$1048576,'History and Forecast'!AV$7,'History and Forecast'!$H19),INDEX('Forecast Prices'!$1:$1048576,'History and Forecast'!$G19,'History and Forecast'!AV$6))</f>
        <v>#N/A</v>
      </c>
      <c r="AW19" s="17" t="e">
        <f>IF(AW$9,INDEX('Annual Real'!$1:$1048576,'History and Forecast'!AW$7,'History and Forecast'!$H19),INDEX('Forecast Prices'!$1:$1048576,'History and Forecast'!$G19,'History and Forecast'!AW$6))</f>
        <v>#N/A</v>
      </c>
      <c r="AX19" s="17" t="e">
        <f>IF(AX$9,INDEX('Annual Real'!$1:$1048576,'History and Forecast'!AX$7,'History and Forecast'!$H19),INDEX('Forecast Prices'!$1:$1048576,'History and Forecast'!$G19,'History and Forecast'!AX$6))</f>
        <v>#N/A</v>
      </c>
      <c r="AY19" s="17" t="e">
        <f>IF(AY$9,INDEX('Annual Real'!$1:$1048576,'History and Forecast'!AY$7,'History and Forecast'!$H19),INDEX('Forecast Prices'!$1:$1048576,'History and Forecast'!$G19,'History and Forecast'!AY$6))</f>
        <v>#N/A</v>
      </c>
      <c r="AZ19" s="17" t="e">
        <f>IF(AZ$9,INDEX('Annual Real'!$1:$1048576,'History and Forecast'!AZ$7,'History and Forecast'!$H19),INDEX('Forecast Prices'!$1:$1048576,'History and Forecast'!$G19,'History and Forecast'!AZ$6))</f>
        <v>#N/A</v>
      </c>
      <c r="BA19" s="17" t="e">
        <f>IF(BA$9,INDEX('Annual Real'!$1:$1048576,'History and Forecast'!BA$7,'History and Forecast'!$H19),INDEX('Forecast Prices'!$1:$1048576,'History and Forecast'!$G19,'History and Forecast'!BA$6))</f>
        <v>#N/A</v>
      </c>
      <c r="BB19" s="17" t="e">
        <f>IF(BB$9,INDEX('Annual Real'!$1:$1048576,'History and Forecast'!BB$7,'History and Forecast'!$H19),INDEX('Forecast Prices'!$1:$1048576,'History and Forecast'!$G19,'History and Forecast'!BB$6))</f>
        <v>#N/A</v>
      </c>
      <c r="BC19" s="17" t="e">
        <f>IF(BC$9,INDEX('Annual Real'!$1:$1048576,'History and Forecast'!BC$7,'History and Forecast'!$H19),INDEX('Forecast Prices'!$1:$1048576,'History and Forecast'!$G19,'History and Forecast'!BC$6))</f>
        <v>#N/A</v>
      </c>
      <c r="BD19" s="17" t="e">
        <f>IF(BD$9,INDEX('Annual Real'!$1:$1048576,'History and Forecast'!BD$7,'History and Forecast'!$H19),INDEX('Forecast Prices'!$1:$1048576,'History and Forecast'!$G19,'History and Forecast'!BD$6))</f>
        <v>#N/A</v>
      </c>
      <c r="BE19" s="17" t="e">
        <f>IF(BE$9,INDEX('Annual Real'!$1:$1048576,'History and Forecast'!BE$7,'History and Forecast'!$H19),INDEX('Forecast Prices'!$1:$1048576,'History and Forecast'!$G19,'History and Forecast'!BE$6))</f>
        <v>#N/A</v>
      </c>
      <c r="BF19" s="17" t="e">
        <f>IF(BF$9,INDEX('Annual Real'!$1:$1048576,'History and Forecast'!BF$7,'History and Forecast'!$H19),INDEX('Forecast Prices'!$1:$1048576,'History and Forecast'!$G19,'History and Forecast'!BF$6))</f>
        <v>#N/A</v>
      </c>
      <c r="BG19" s="17" t="e">
        <f>IF(BG$9,INDEX('Annual Real'!$1:$1048576,'History and Forecast'!BG$7,'History and Forecast'!$H19),INDEX('Forecast Prices'!$1:$1048576,'History and Forecast'!$G19,'History and Forecast'!BG$6))</f>
        <v>#N/A</v>
      </c>
      <c r="BH19" s="17" t="e">
        <f>IF(BH$9,INDEX('Annual Real'!$1:$1048576,'History and Forecast'!BH$7,'History and Forecast'!$H19),INDEX('Forecast Prices'!$1:$1048576,'History and Forecast'!$G19,'History and Forecast'!BH$6))</f>
        <v>#N/A</v>
      </c>
      <c r="BI19" s="17" t="e">
        <f>IF(BI$9,INDEX('Annual Real'!$1:$1048576,'History and Forecast'!BI$7,'History and Forecast'!$H19),INDEX('Forecast Prices'!$1:$1048576,'History and Forecast'!$G19,'History and Forecast'!BI$6))</f>
        <v>#N/A</v>
      </c>
      <c r="BJ19" s="17" t="e">
        <f>IF(BJ$9,INDEX('Annual Real'!$1:$1048576,'History and Forecast'!BJ$7,'History and Forecast'!$H19),INDEX('Forecast Prices'!$1:$1048576,'History and Forecast'!$G19,'History and Forecast'!BJ$6))</f>
        <v>#N/A</v>
      </c>
      <c r="BK19" s="17" t="e">
        <f>IF(BK$9,INDEX('Annual Real'!$1:$1048576,'History and Forecast'!BK$7,'History and Forecast'!$H19),INDEX('Forecast Prices'!$1:$1048576,'History and Forecast'!$G19,'History and Forecast'!BK$6))</f>
        <v>#N/A</v>
      </c>
      <c r="BL19" s="17" t="e">
        <f>IF(BL$9,INDEX('Annual Real'!$1:$1048576,'History and Forecast'!BL$7,'History and Forecast'!$H19),INDEX('Forecast Prices'!$1:$1048576,'History and Forecast'!$G19,'History and Forecast'!BL$6))</f>
        <v>#N/A</v>
      </c>
      <c r="BM19" s="17" t="e">
        <f>IF(BM$9,INDEX('Annual Real'!$1:$1048576,'History and Forecast'!BM$7,'History and Forecast'!$H19),INDEX('Forecast Prices'!$1:$1048576,'History and Forecast'!$G19,'History and Forecast'!BM$6))</f>
        <v>#N/A</v>
      </c>
      <c r="BN19" s="17" t="e">
        <f>IF(BN$9,INDEX('Annual Real'!$1:$1048576,'History and Forecast'!BN$7,'History and Forecast'!$H19),INDEX('Forecast Prices'!$1:$1048576,'History and Forecast'!$G19,'History and Forecast'!BN$6))</f>
        <v>#N/A</v>
      </c>
      <c r="BO19" s="17">
        <f>IF(BO$9,INDEX('Annual Real'!$1:$1048576,'History and Forecast'!BO$7,'History and Forecast'!$H19),INDEX('Forecast Prices'!$1:$1048576,'History and Forecast'!$G19,'History and Forecast'!BO$6))</f>
        <v>1575.81652802543</v>
      </c>
      <c r="BP19" s="17">
        <f>IF(BP$9,INDEX('Annual Real'!$1:$1048576,'History and Forecast'!BP$7,'History and Forecast'!$H19),INDEX('Forecast Prices'!$1:$1048576,'History and Forecast'!$G19,'History and Forecast'!BP$6))</f>
        <v>1696.7133151437799</v>
      </c>
      <c r="BQ19" s="17">
        <f>IF(BQ$9,INDEX('Annual Real'!$1:$1048576,'History and Forecast'!BQ$7,'History and Forecast'!$H19),INDEX('Forecast Prices'!$1:$1048576,'History and Forecast'!$G19,'History and Forecast'!BQ$6))</f>
        <v>978.67817610445297</v>
      </c>
      <c r="BR19" s="17">
        <f>IF(BR$9,INDEX('Annual Real'!$1:$1048576,'History and Forecast'!BR$7,'History and Forecast'!$H19),INDEX('Forecast Prices'!$1:$1048576,'History and Forecast'!$G19,'History and Forecast'!BR$6))</f>
        <v>693.11387858671696</v>
      </c>
      <c r="BS19" s="17">
        <f>IF(BS$9,INDEX('Annual Real'!$1:$1048576,'History and Forecast'!BS$7,'History and Forecast'!$H19),INDEX('Forecast Prices'!$1:$1048576,'History and Forecast'!$G19,'History and Forecast'!BS$6))</f>
        <v>713.918290729315</v>
      </c>
      <c r="BT19" s="17">
        <f>IF(BT$9,INDEX('Annual Real'!$1:$1048576,'History and Forecast'!BT$7,'History and Forecast'!$H19),INDEX('Forecast Prices'!$1:$1048576,'History and Forecast'!$G19,'History and Forecast'!BT$6))</f>
        <v>735.52773015799198</v>
      </c>
      <c r="BU19" s="17">
        <f>IF(BU$9,INDEX('Annual Real'!$1:$1048576,'History and Forecast'!BU$7,'History and Forecast'!$H19),INDEX('Forecast Prices'!$1:$1048576,'History and Forecast'!$G19,'History and Forecast'!BU$6))</f>
        <v>757.18379574031405</v>
      </c>
      <c r="BV19" s="17">
        <f>IF(BV$9,INDEX('Annual Real'!$1:$1048576,'History and Forecast'!BV$7,'History and Forecast'!$H19),INDEX('Forecast Prices'!$1:$1048576,'History and Forecast'!$G19,'History and Forecast'!BV$6))</f>
        <v>779.54627101358096</v>
      </c>
      <c r="BW19" s="17">
        <f>IF(BW$9,INDEX('Annual Real'!$1:$1048576,'History and Forecast'!BW$7,'History and Forecast'!$H19),INDEX('Forecast Prices'!$1:$1048576,'History and Forecast'!$G19,'History and Forecast'!BW$6))</f>
        <v>802.56892784409001</v>
      </c>
      <c r="BX19" s="17">
        <f>IF(BX$9,INDEX('Annual Real'!$1:$1048576,'History and Forecast'!BX$7,'History and Forecast'!$H19),INDEX('Forecast Prices'!$1:$1048576,'History and Forecast'!$G19,'History and Forecast'!BX$6))</f>
        <v>826.22386792230998</v>
      </c>
      <c r="BY19" s="17" t="e">
        <f>IF(BY$9,INDEX('Annual Real'!$1:$1048576,'History and Forecast'!BY$7,'History and Forecast'!$H19),INDEX('Forecast Prices'!$1:$1048576,'History and Forecast'!$G19,'History and Forecast'!BY$6))</f>
        <v>#N/A</v>
      </c>
      <c r="BZ19" s="17" t="e">
        <f>IF(BZ$9,INDEX('Annual Real'!$1:$1048576,'History and Forecast'!BZ$7,'History and Forecast'!$H19),INDEX('Forecast Prices'!$1:$1048576,'History and Forecast'!$G19,'History and Forecast'!BZ$6))</f>
        <v>#N/A</v>
      </c>
      <c r="CA19" s="17" t="e">
        <f>IF(CA$9,INDEX('Annual Real'!$1:$1048576,'History and Forecast'!CA$7,'History and Forecast'!$H19),INDEX('Forecast Prices'!$1:$1048576,'History and Forecast'!$G19,'History and Forecast'!CA$6))</f>
        <v>#N/A</v>
      </c>
      <c r="CB19" s="17" t="e">
        <f>IF(CB$9,INDEX('Annual Real'!$1:$1048576,'History and Forecast'!CB$7,'History and Forecast'!$H19),INDEX('Forecast Prices'!$1:$1048576,'History and Forecast'!$G19,'History and Forecast'!CB$6))</f>
        <v>#N/A</v>
      </c>
      <c r="CC19" s="17">
        <f>IF(CC$9,INDEX('Annual Real'!$1:$1048576,'History and Forecast'!CC$7,'History and Forecast'!$H19),INDEX('Forecast Prices'!$1:$1048576,'History and Forecast'!$G19,'History and Forecast'!CC$6))</f>
        <v>953.91743115345605</v>
      </c>
      <c r="CD19" s="17" t="e">
        <f>IF(CD$9,INDEX('Annual Real'!$1:$1048576,'History and Forecast'!CD$7,'History and Forecast'!$H19),INDEX('Forecast Prices'!$1:$1048576,'History and Forecast'!$G19,'History and Forecast'!CD$6))</f>
        <v>#N/A</v>
      </c>
      <c r="CE19" s="17" t="e">
        <f>IF(CE$9,INDEX('Annual Real'!$1:$1048576,'History and Forecast'!CE$7,'History and Forecast'!$H19),INDEX('Forecast Prices'!$1:$1048576,'History and Forecast'!$G19,'History and Forecast'!CE$6))</f>
        <v>#N/A</v>
      </c>
      <c r="CF19" s="17" t="e">
        <f>IF(CF$9,INDEX('Annual Real'!$1:$1048576,'History and Forecast'!CF$7,'History and Forecast'!$H19),INDEX('Forecast Prices'!$1:$1048576,'History and Forecast'!$G19,'History and Forecast'!CF$6))</f>
        <v>#N/A</v>
      </c>
      <c r="CG19" s="17" t="e">
        <f>IF(CG$9,INDEX('Annual Real'!$1:$1048576,'History and Forecast'!CG$7,'History and Forecast'!$H19),INDEX('Forecast Prices'!$1:$1048576,'History and Forecast'!$G19,'History and Forecast'!CG$6))</f>
        <v>#N/A</v>
      </c>
      <c r="CH19" s="17" t="e">
        <f>IF(CH$9,INDEX('Annual Real'!$1:$1048576,'History and Forecast'!CH$7,'History and Forecast'!$H19),INDEX('Forecast Prices'!$1:$1048576,'History and Forecast'!$G19,'History and Forecast'!CH$6))</f>
        <v>#N/A</v>
      </c>
      <c r="CI19" s="17" t="e">
        <f>IF(CI$9,INDEX('Annual Real'!$1:$1048576,'History and Forecast'!CI$7,'History and Forecast'!$H19),INDEX('Forecast Prices'!$1:$1048576,'History and Forecast'!$G19,'History and Forecast'!CI$6))</f>
        <v>#N/A</v>
      </c>
    </row>
    <row r="20" spans="2:87">
      <c r="B20" t="str">
        <f t="shared" si="4"/>
        <v>GRNUT_OIL</v>
      </c>
      <c r="C20" s="34" t="s">
        <v>1061</v>
      </c>
      <c r="D20" t="str">
        <f t="shared" si="5"/>
        <v>KGRNUT_OIL</v>
      </c>
      <c r="E20" s="34" t="str">
        <f t="shared" si="6"/>
        <v>KFGRNUT_OIL</v>
      </c>
      <c r="F20">
        <f>MATCH(C20,'Forecast Prices'!A:A,0)</f>
        <v>22</v>
      </c>
      <c r="G20">
        <f>MATCH(E20,'Forecast Prices'!A:A,0)</f>
        <v>104</v>
      </c>
      <c r="H20" t="e">
        <f>MATCH(D20,'Annual Real'!$9:$9,0)</f>
        <v>#N/A</v>
      </c>
      <c r="I20" t="str">
        <f>INDEX('Forecast Prices'!B:B,'History and Forecast'!F20)&amp;INDEX('Forecast Prices'!C:C,'History and Forecast'!F20)&amp;INDEX('Forecast Prices'!D:D,'History and Forecast'!F20)&amp;INDEX('Forecast Prices'!E:E,'History and Forecast'!F20)</f>
        <v>Groundnut oil</v>
      </c>
      <c r="J20" t="str">
        <f>INDEX('Forecast Prices'!H:H,'History and Forecast'!F20)</f>
        <v>$/mt</v>
      </c>
      <c r="K20" s="17" t="e">
        <f>IF(K$9,INDEX('Annual Real'!$1:$1048576,'History and Forecast'!K$7,'History and Forecast'!$H20),INDEX('Forecast Prices'!$1:$1048576,'History and Forecast'!$G20,'History and Forecast'!K$6))</f>
        <v>#N/A</v>
      </c>
      <c r="L20" s="17" t="e">
        <f>IF(L$9,INDEX('Annual Real'!$1:$1048576,'History and Forecast'!L$7,'History and Forecast'!$H20),INDEX('Forecast Prices'!$1:$1048576,'History and Forecast'!$G20,'History and Forecast'!L$6))</f>
        <v>#N/A</v>
      </c>
      <c r="M20" s="17" t="e">
        <f>IF(M$9,INDEX('Annual Real'!$1:$1048576,'History and Forecast'!M$7,'History and Forecast'!$H20),INDEX('Forecast Prices'!$1:$1048576,'History and Forecast'!$G20,'History and Forecast'!M$6))</f>
        <v>#N/A</v>
      </c>
      <c r="N20" s="17" t="e">
        <f>IF(N$9,INDEX('Annual Real'!$1:$1048576,'History and Forecast'!N$7,'History and Forecast'!$H20),INDEX('Forecast Prices'!$1:$1048576,'History and Forecast'!$G20,'History and Forecast'!N$6))</f>
        <v>#N/A</v>
      </c>
      <c r="O20" s="17" t="e">
        <f>IF(O$9,INDEX('Annual Real'!$1:$1048576,'History and Forecast'!O$7,'History and Forecast'!$H20),INDEX('Forecast Prices'!$1:$1048576,'History and Forecast'!$G20,'History and Forecast'!O$6))</f>
        <v>#N/A</v>
      </c>
      <c r="P20" s="17" t="e">
        <f>IF(P$9,INDEX('Annual Real'!$1:$1048576,'History and Forecast'!P$7,'History and Forecast'!$H20),INDEX('Forecast Prices'!$1:$1048576,'History and Forecast'!$G20,'History and Forecast'!P$6))</f>
        <v>#N/A</v>
      </c>
      <c r="Q20" s="17" t="e">
        <f>IF(Q$9,INDEX('Annual Real'!$1:$1048576,'History and Forecast'!Q$7,'History and Forecast'!$H20),INDEX('Forecast Prices'!$1:$1048576,'History and Forecast'!$G20,'History and Forecast'!Q$6))</f>
        <v>#N/A</v>
      </c>
      <c r="R20" s="17" t="e">
        <f>IF(R$9,INDEX('Annual Real'!$1:$1048576,'History and Forecast'!R$7,'History and Forecast'!$H20),INDEX('Forecast Prices'!$1:$1048576,'History and Forecast'!$G20,'History and Forecast'!R$6))</f>
        <v>#N/A</v>
      </c>
      <c r="S20" s="17" t="e">
        <f>IF(S$9,INDEX('Annual Real'!$1:$1048576,'History and Forecast'!S$7,'History and Forecast'!$H20),INDEX('Forecast Prices'!$1:$1048576,'History and Forecast'!$G20,'History and Forecast'!S$6))</f>
        <v>#N/A</v>
      </c>
      <c r="T20" s="17" t="e">
        <f>IF(T$9,INDEX('Annual Real'!$1:$1048576,'History and Forecast'!T$7,'History and Forecast'!$H20),INDEX('Forecast Prices'!$1:$1048576,'History and Forecast'!$G20,'History and Forecast'!T$6))</f>
        <v>#N/A</v>
      </c>
      <c r="U20" s="17" t="e">
        <f>IF(U$9,INDEX('Annual Real'!$1:$1048576,'History and Forecast'!U$7,'History and Forecast'!$H20),INDEX('Forecast Prices'!$1:$1048576,'History and Forecast'!$G20,'History and Forecast'!U$6))</f>
        <v>#N/A</v>
      </c>
      <c r="V20" s="17" t="e">
        <f>IF(V$9,INDEX('Annual Real'!$1:$1048576,'History and Forecast'!V$7,'History and Forecast'!$H20),INDEX('Forecast Prices'!$1:$1048576,'History and Forecast'!$G20,'History and Forecast'!V$6))</f>
        <v>#N/A</v>
      </c>
      <c r="W20" s="17" t="e">
        <f>IF(W$9,INDEX('Annual Real'!$1:$1048576,'History and Forecast'!W$7,'History and Forecast'!$H20),INDEX('Forecast Prices'!$1:$1048576,'History and Forecast'!$G20,'History and Forecast'!W$6))</f>
        <v>#N/A</v>
      </c>
      <c r="X20" s="17" t="e">
        <f>IF(X$9,INDEX('Annual Real'!$1:$1048576,'History and Forecast'!X$7,'History and Forecast'!$H20),INDEX('Forecast Prices'!$1:$1048576,'History and Forecast'!$G20,'History and Forecast'!X$6))</f>
        <v>#N/A</v>
      </c>
      <c r="Y20" s="17" t="e">
        <f>IF(Y$9,INDEX('Annual Real'!$1:$1048576,'History and Forecast'!Y$7,'History and Forecast'!$H20),INDEX('Forecast Prices'!$1:$1048576,'History and Forecast'!$G20,'History and Forecast'!Y$6))</f>
        <v>#N/A</v>
      </c>
      <c r="Z20" s="17" t="e">
        <f>IF(Z$9,INDEX('Annual Real'!$1:$1048576,'History and Forecast'!Z$7,'History and Forecast'!$H20),INDEX('Forecast Prices'!$1:$1048576,'History and Forecast'!$G20,'History and Forecast'!Z$6))</f>
        <v>#N/A</v>
      </c>
      <c r="AA20" s="17" t="e">
        <f>IF(AA$9,INDEX('Annual Real'!$1:$1048576,'History and Forecast'!AA$7,'History and Forecast'!$H20),INDEX('Forecast Prices'!$1:$1048576,'History and Forecast'!$G20,'History and Forecast'!AA$6))</f>
        <v>#N/A</v>
      </c>
      <c r="AB20" s="17" t="e">
        <f>IF(AB$9,INDEX('Annual Real'!$1:$1048576,'History and Forecast'!AB$7,'History and Forecast'!$H20),INDEX('Forecast Prices'!$1:$1048576,'History and Forecast'!$G20,'History and Forecast'!AB$6))</f>
        <v>#N/A</v>
      </c>
      <c r="AC20" s="17" t="e">
        <f>IF(AC$9,INDEX('Annual Real'!$1:$1048576,'History and Forecast'!AC$7,'History and Forecast'!$H20),INDEX('Forecast Prices'!$1:$1048576,'History and Forecast'!$G20,'History and Forecast'!AC$6))</f>
        <v>#N/A</v>
      </c>
      <c r="AD20" s="17" t="e">
        <f>IF(AD$9,INDEX('Annual Real'!$1:$1048576,'History and Forecast'!AD$7,'History and Forecast'!$H20),INDEX('Forecast Prices'!$1:$1048576,'History and Forecast'!$G20,'History and Forecast'!AD$6))</f>
        <v>#N/A</v>
      </c>
      <c r="AE20" s="17" t="e">
        <f>IF(AE$9,INDEX('Annual Real'!$1:$1048576,'History and Forecast'!AE$7,'History and Forecast'!$H20),INDEX('Forecast Prices'!$1:$1048576,'History and Forecast'!$G20,'History and Forecast'!AE$6))</f>
        <v>#N/A</v>
      </c>
      <c r="AF20" s="17" t="e">
        <f>IF(AF$9,INDEX('Annual Real'!$1:$1048576,'History and Forecast'!AF$7,'History and Forecast'!$H20),INDEX('Forecast Prices'!$1:$1048576,'History and Forecast'!$G20,'History and Forecast'!AF$6))</f>
        <v>#N/A</v>
      </c>
      <c r="AG20" s="17" t="e">
        <f>IF(AG$9,INDEX('Annual Real'!$1:$1048576,'History and Forecast'!AG$7,'History and Forecast'!$H20),INDEX('Forecast Prices'!$1:$1048576,'History and Forecast'!$G20,'History and Forecast'!AG$6))</f>
        <v>#N/A</v>
      </c>
      <c r="AH20" s="17" t="e">
        <f>IF(AH$9,INDEX('Annual Real'!$1:$1048576,'History and Forecast'!AH$7,'History and Forecast'!$H20),INDEX('Forecast Prices'!$1:$1048576,'History and Forecast'!$G20,'History and Forecast'!AH$6))</f>
        <v>#N/A</v>
      </c>
      <c r="AI20" s="17" t="e">
        <f>IF(AI$9,INDEX('Annual Real'!$1:$1048576,'History and Forecast'!AI$7,'History and Forecast'!$H20),INDEX('Forecast Prices'!$1:$1048576,'History and Forecast'!$G20,'History and Forecast'!AI$6))</f>
        <v>#N/A</v>
      </c>
      <c r="AJ20" s="17" t="e">
        <f>IF(AJ$9,INDEX('Annual Real'!$1:$1048576,'History and Forecast'!AJ$7,'History and Forecast'!$H20),INDEX('Forecast Prices'!$1:$1048576,'History and Forecast'!$G20,'History and Forecast'!AJ$6))</f>
        <v>#N/A</v>
      </c>
      <c r="AK20" s="17" t="e">
        <f>IF(AK$9,INDEX('Annual Real'!$1:$1048576,'History and Forecast'!AK$7,'History and Forecast'!$H20),INDEX('Forecast Prices'!$1:$1048576,'History and Forecast'!$G20,'History and Forecast'!AK$6))</f>
        <v>#N/A</v>
      </c>
      <c r="AL20" s="17" t="e">
        <f>IF(AL$9,INDEX('Annual Real'!$1:$1048576,'History and Forecast'!AL$7,'History and Forecast'!$H20),INDEX('Forecast Prices'!$1:$1048576,'History and Forecast'!$G20,'History and Forecast'!AL$6))</f>
        <v>#N/A</v>
      </c>
      <c r="AM20" s="17" t="e">
        <f>IF(AM$9,INDEX('Annual Real'!$1:$1048576,'History and Forecast'!AM$7,'History and Forecast'!$H20),INDEX('Forecast Prices'!$1:$1048576,'History and Forecast'!$G20,'History and Forecast'!AM$6))</f>
        <v>#N/A</v>
      </c>
      <c r="AN20" s="17" t="e">
        <f>IF(AN$9,INDEX('Annual Real'!$1:$1048576,'History and Forecast'!AN$7,'History and Forecast'!$H20),INDEX('Forecast Prices'!$1:$1048576,'History and Forecast'!$G20,'History and Forecast'!AN$6))</f>
        <v>#N/A</v>
      </c>
      <c r="AO20" s="17" t="e">
        <f>IF(AO$9,INDEX('Annual Real'!$1:$1048576,'History and Forecast'!AO$7,'History and Forecast'!$H20),INDEX('Forecast Prices'!$1:$1048576,'History and Forecast'!$G20,'History and Forecast'!AO$6))</f>
        <v>#N/A</v>
      </c>
      <c r="AP20" s="17" t="e">
        <f>IF(AP$9,INDEX('Annual Real'!$1:$1048576,'History and Forecast'!AP$7,'History and Forecast'!$H20),INDEX('Forecast Prices'!$1:$1048576,'History and Forecast'!$G20,'History and Forecast'!AP$6))</f>
        <v>#N/A</v>
      </c>
      <c r="AQ20" s="17" t="e">
        <f>IF(AQ$9,INDEX('Annual Real'!$1:$1048576,'History and Forecast'!AQ$7,'History and Forecast'!$H20),INDEX('Forecast Prices'!$1:$1048576,'History and Forecast'!$G20,'History and Forecast'!AQ$6))</f>
        <v>#N/A</v>
      </c>
      <c r="AR20" s="17" t="e">
        <f>IF(AR$9,INDEX('Annual Real'!$1:$1048576,'History and Forecast'!AR$7,'History and Forecast'!$H20),INDEX('Forecast Prices'!$1:$1048576,'History and Forecast'!$G20,'History and Forecast'!AR$6))</f>
        <v>#N/A</v>
      </c>
      <c r="AS20" s="17" t="e">
        <f>IF(AS$9,INDEX('Annual Real'!$1:$1048576,'History and Forecast'!AS$7,'History and Forecast'!$H20),INDEX('Forecast Prices'!$1:$1048576,'History and Forecast'!$G20,'History and Forecast'!AS$6))</f>
        <v>#N/A</v>
      </c>
      <c r="AT20" s="17" t="e">
        <f>IF(AT$9,INDEX('Annual Real'!$1:$1048576,'History and Forecast'!AT$7,'History and Forecast'!$H20),INDEX('Forecast Prices'!$1:$1048576,'History and Forecast'!$G20,'History and Forecast'!AT$6))</f>
        <v>#N/A</v>
      </c>
      <c r="AU20" s="17" t="e">
        <f>IF(AU$9,INDEX('Annual Real'!$1:$1048576,'History and Forecast'!AU$7,'History and Forecast'!$H20),INDEX('Forecast Prices'!$1:$1048576,'History and Forecast'!$G20,'History and Forecast'!AU$6))</f>
        <v>#N/A</v>
      </c>
      <c r="AV20" s="17" t="e">
        <f>IF(AV$9,INDEX('Annual Real'!$1:$1048576,'History and Forecast'!AV$7,'History and Forecast'!$H20),INDEX('Forecast Prices'!$1:$1048576,'History and Forecast'!$G20,'History and Forecast'!AV$6))</f>
        <v>#N/A</v>
      </c>
      <c r="AW20" s="17" t="e">
        <f>IF(AW$9,INDEX('Annual Real'!$1:$1048576,'History and Forecast'!AW$7,'History and Forecast'!$H20),INDEX('Forecast Prices'!$1:$1048576,'History and Forecast'!$G20,'History and Forecast'!AW$6))</f>
        <v>#N/A</v>
      </c>
      <c r="AX20" s="17" t="e">
        <f>IF(AX$9,INDEX('Annual Real'!$1:$1048576,'History and Forecast'!AX$7,'History and Forecast'!$H20),INDEX('Forecast Prices'!$1:$1048576,'History and Forecast'!$G20,'History and Forecast'!AX$6))</f>
        <v>#N/A</v>
      </c>
      <c r="AY20" s="17" t="e">
        <f>IF(AY$9,INDEX('Annual Real'!$1:$1048576,'History and Forecast'!AY$7,'History and Forecast'!$H20),INDEX('Forecast Prices'!$1:$1048576,'History and Forecast'!$G20,'History and Forecast'!AY$6))</f>
        <v>#N/A</v>
      </c>
      <c r="AZ20" s="17" t="e">
        <f>IF(AZ$9,INDEX('Annual Real'!$1:$1048576,'History and Forecast'!AZ$7,'History and Forecast'!$H20),INDEX('Forecast Prices'!$1:$1048576,'History and Forecast'!$G20,'History and Forecast'!AZ$6))</f>
        <v>#N/A</v>
      </c>
      <c r="BA20" s="17" t="e">
        <f>IF(BA$9,INDEX('Annual Real'!$1:$1048576,'History and Forecast'!BA$7,'History and Forecast'!$H20),INDEX('Forecast Prices'!$1:$1048576,'History and Forecast'!$G20,'History and Forecast'!BA$6))</f>
        <v>#N/A</v>
      </c>
      <c r="BB20" s="17" t="e">
        <f>IF(BB$9,INDEX('Annual Real'!$1:$1048576,'History and Forecast'!BB$7,'History and Forecast'!$H20),INDEX('Forecast Prices'!$1:$1048576,'History and Forecast'!$G20,'History and Forecast'!BB$6))</f>
        <v>#N/A</v>
      </c>
      <c r="BC20" s="17" t="e">
        <f>IF(BC$9,INDEX('Annual Real'!$1:$1048576,'History and Forecast'!BC$7,'History and Forecast'!$H20),INDEX('Forecast Prices'!$1:$1048576,'History and Forecast'!$G20,'History and Forecast'!BC$6))</f>
        <v>#N/A</v>
      </c>
      <c r="BD20" s="17" t="e">
        <f>IF(BD$9,INDEX('Annual Real'!$1:$1048576,'History and Forecast'!BD$7,'History and Forecast'!$H20),INDEX('Forecast Prices'!$1:$1048576,'History and Forecast'!$G20,'History and Forecast'!BD$6))</f>
        <v>#N/A</v>
      </c>
      <c r="BE20" s="17" t="e">
        <f>IF(BE$9,INDEX('Annual Real'!$1:$1048576,'History and Forecast'!BE$7,'History and Forecast'!$H20),INDEX('Forecast Prices'!$1:$1048576,'History and Forecast'!$G20,'History and Forecast'!BE$6))</f>
        <v>#N/A</v>
      </c>
      <c r="BF20" s="17" t="e">
        <f>IF(BF$9,INDEX('Annual Real'!$1:$1048576,'History and Forecast'!BF$7,'History and Forecast'!$H20),INDEX('Forecast Prices'!$1:$1048576,'History and Forecast'!$G20,'History and Forecast'!BF$6))</f>
        <v>#N/A</v>
      </c>
      <c r="BG20" s="17" t="e">
        <f>IF(BG$9,INDEX('Annual Real'!$1:$1048576,'History and Forecast'!BG$7,'History and Forecast'!$H20),INDEX('Forecast Prices'!$1:$1048576,'History and Forecast'!$G20,'History and Forecast'!BG$6))</f>
        <v>#N/A</v>
      </c>
      <c r="BH20" s="17" t="e">
        <f>IF(BH$9,INDEX('Annual Real'!$1:$1048576,'History and Forecast'!BH$7,'History and Forecast'!$H20),INDEX('Forecast Prices'!$1:$1048576,'History and Forecast'!$G20,'History and Forecast'!BH$6))</f>
        <v>#N/A</v>
      </c>
      <c r="BI20" s="17" t="e">
        <f>IF(BI$9,INDEX('Annual Real'!$1:$1048576,'History and Forecast'!BI$7,'History and Forecast'!$H20),INDEX('Forecast Prices'!$1:$1048576,'History and Forecast'!$G20,'History and Forecast'!BI$6))</f>
        <v>#N/A</v>
      </c>
      <c r="BJ20" s="17" t="e">
        <f>IF(BJ$9,INDEX('Annual Real'!$1:$1048576,'History and Forecast'!BJ$7,'History and Forecast'!$H20),INDEX('Forecast Prices'!$1:$1048576,'History and Forecast'!$G20,'History and Forecast'!BJ$6))</f>
        <v>#N/A</v>
      </c>
      <c r="BK20" s="17" t="e">
        <f>IF(BK$9,INDEX('Annual Real'!$1:$1048576,'History and Forecast'!BK$7,'History and Forecast'!$H20),INDEX('Forecast Prices'!$1:$1048576,'History and Forecast'!$G20,'History and Forecast'!BK$6))</f>
        <v>#N/A</v>
      </c>
      <c r="BL20" s="17" t="e">
        <f>IF(BL$9,INDEX('Annual Real'!$1:$1048576,'History and Forecast'!BL$7,'History and Forecast'!$H20),INDEX('Forecast Prices'!$1:$1048576,'History and Forecast'!$G20,'History and Forecast'!BL$6))</f>
        <v>#N/A</v>
      </c>
      <c r="BM20" s="17" t="e">
        <f>IF(BM$9,INDEX('Annual Real'!$1:$1048576,'History and Forecast'!BM$7,'History and Forecast'!$H20),INDEX('Forecast Prices'!$1:$1048576,'History and Forecast'!$G20,'History and Forecast'!BM$6))</f>
        <v>#N/A</v>
      </c>
      <c r="BN20" s="17" t="e">
        <f>IF(BN$9,INDEX('Annual Real'!$1:$1048576,'History and Forecast'!BN$7,'History and Forecast'!$H20),INDEX('Forecast Prices'!$1:$1048576,'History and Forecast'!$G20,'History and Forecast'!BN$6))</f>
        <v>#N/A</v>
      </c>
      <c r="BO20" s="17">
        <f>IF(BO$9,INDEX('Annual Real'!$1:$1048576,'History and Forecast'!BO$7,'History and Forecast'!$H20),INDEX('Forecast Prices'!$1:$1048576,'History and Forecast'!$G20,'History and Forecast'!BO$6))</f>
        <v>1468.25154910987</v>
      </c>
      <c r="BP20" s="17">
        <f>IF(BP$9,INDEX('Annual Real'!$1:$1048576,'History and Forecast'!BP$7,'History and Forecast'!$H20),INDEX('Forecast Prices'!$1:$1048576,'History and Forecast'!$G20,'History and Forecast'!BP$6))</f>
        <v>1501.55761997526</v>
      </c>
      <c r="BQ20" s="17">
        <f>IF(BQ$9,INDEX('Annual Real'!$1:$1048576,'History and Forecast'!BQ$7,'History and Forecast'!$H20),INDEX('Forecast Prices'!$1:$1048576,'History and Forecast'!$G20,'History and Forecast'!BQ$6))</f>
        <v>1419.8253174341801</v>
      </c>
      <c r="BR20" s="17">
        <f>IF(BR$9,INDEX('Annual Real'!$1:$1048576,'History and Forecast'!BR$7,'History and Forecast'!$H20),INDEX('Forecast Prices'!$1:$1048576,'History and Forecast'!$G20,'History and Forecast'!BR$6))</f>
        <v>1347.7214305852899</v>
      </c>
      <c r="BS20" s="17">
        <f>IF(BS$9,INDEX('Annual Real'!$1:$1048576,'History and Forecast'!BS$7,'History and Forecast'!$H20),INDEX('Forecast Prices'!$1:$1048576,'History and Forecast'!$G20,'History and Forecast'!BS$6))</f>
        <v>1348.7812343839</v>
      </c>
      <c r="BT20" s="17">
        <f>IF(BT$9,INDEX('Annual Real'!$1:$1048576,'History and Forecast'!BT$7,'History and Forecast'!$H20),INDEX('Forecast Prices'!$1:$1048576,'History and Forecast'!$G20,'History and Forecast'!BT$6))</f>
        <v>1350.1733259416601</v>
      </c>
      <c r="BU20" s="17">
        <f>IF(BU$9,INDEX('Annual Real'!$1:$1048576,'History and Forecast'!BU$7,'History and Forecast'!$H20),INDEX('Forecast Prices'!$1:$1048576,'History and Forecast'!$G20,'History and Forecast'!BU$6))</f>
        <v>1350.48340289269</v>
      </c>
      <c r="BV20" s="17">
        <f>IF(BV$9,INDEX('Annual Real'!$1:$1048576,'History and Forecast'!BV$7,'History and Forecast'!$H20),INDEX('Forecast Prices'!$1:$1048576,'History and Forecast'!$G20,'History and Forecast'!BV$6))</f>
        <v>1350.9127647253399</v>
      </c>
      <c r="BW20" s="17">
        <f>IF(BW$9,INDEX('Annual Real'!$1:$1048576,'History and Forecast'!BW$7,'History and Forecast'!$H20),INDEX('Forecast Prices'!$1:$1048576,'History and Forecast'!$G20,'History and Forecast'!BW$6))</f>
        <v>1351.3418149336901</v>
      </c>
      <c r="BX20" s="17">
        <f>IF(BX$9,INDEX('Annual Real'!$1:$1048576,'History and Forecast'!BX$7,'History and Forecast'!$H20),INDEX('Forecast Prices'!$1:$1048576,'History and Forecast'!$G20,'History and Forecast'!BX$6))</f>
        <v>1351.6930396145699</v>
      </c>
      <c r="BY20" s="17" t="e">
        <f>IF(BY$9,INDEX('Annual Real'!$1:$1048576,'History and Forecast'!BY$7,'History and Forecast'!$H20),INDEX('Forecast Prices'!$1:$1048576,'History and Forecast'!$G20,'History and Forecast'!BY$6))</f>
        <v>#N/A</v>
      </c>
      <c r="BZ20" s="17" t="e">
        <f>IF(BZ$9,INDEX('Annual Real'!$1:$1048576,'History and Forecast'!BZ$7,'History and Forecast'!$H20),INDEX('Forecast Prices'!$1:$1048576,'History and Forecast'!$G20,'History and Forecast'!BZ$6))</f>
        <v>#N/A</v>
      </c>
      <c r="CA20" s="17" t="e">
        <f>IF(CA$9,INDEX('Annual Real'!$1:$1048576,'History and Forecast'!CA$7,'History and Forecast'!$H20),INDEX('Forecast Prices'!$1:$1048576,'History and Forecast'!$G20,'History and Forecast'!CA$6))</f>
        <v>#N/A</v>
      </c>
      <c r="CB20" s="17" t="e">
        <f>IF(CB$9,INDEX('Annual Real'!$1:$1048576,'History and Forecast'!CB$7,'History and Forecast'!$H20),INDEX('Forecast Prices'!$1:$1048576,'History and Forecast'!$G20,'History and Forecast'!CB$6))</f>
        <v>#N/A</v>
      </c>
      <c r="CC20" s="17">
        <f>IF(CC$9,INDEX('Annual Real'!$1:$1048576,'History and Forecast'!CC$7,'History and Forecast'!$H20),INDEX('Forecast Prices'!$1:$1048576,'History and Forecast'!$G20,'History and Forecast'!CC$6))</f>
        <v>1351.3830274674001</v>
      </c>
      <c r="CD20" s="17" t="e">
        <f>IF(CD$9,INDEX('Annual Real'!$1:$1048576,'History and Forecast'!CD$7,'History and Forecast'!$H20),INDEX('Forecast Prices'!$1:$1048576,'History and Forecast'!$G20,'History and Forecast'!CD$6))</f>
        <v>#N/A</v>
      </c>
      <c r="CE20" s="17" t="e">
        <f>IF(CE$9,INDEX('Annual Real'!$1:$1048576,'History and Forecast'!CE$7,'History and Forecast'!$H20),INDEX('Forecast Prices'!$1:$1048576,'History and Forecast'!$G20,'History and Forecast'!CE$6))</f>
        <v>#N/A</v>
      </c>
      <c r="CF20" s="17" t="e">
        <f>IF(CF$9,INDEX('Annual Real'!$1:$1048576,'History and Forecast'!CF$7,'History and Forecast'!$H20),INDEX('Forecast Prices'!$1:$1048576,'History and Forecast'!$G20,'History and Forecast'!CF$6))</f>
        <v>#N/A</v>
      </c>
      <c r="CG20" s="17" t="e">
        <f>IF(CG$9,INDEX('Annual Real'!$1:$1048576,'History and Forecast'!CG$7,'History and Forecast'!$H20),INDEX('Forecast Prices'!$1:$1048576,'History and Forecast'!$G20,'History and Forecast'!CG$6))</f>
        <v>#N/A</v>
      </c>
      <c r="CH20" s="17" t="e">
        <f>IF(CH$9,INDEX('Annual Real'!$1:$1048576,'History and Forecast'!CH$7,'History and Forecast'!$H20),INDEX('Forecast Prices'!$1:$1048576,'History and Forecast'!$G20,'History and Forecast'!CH$6))</f>
        <v>#N/A</v>
      </c>
      <c r="CI20" s="17" t="e">
        <f>IF(CI$9,INDEX('Annual Real'!$1:$1048576,'History and Forecast'!CI$7,'History and Forecast'!$H20),INDEX('Forecast Prices'!$1:$1048576,'History and Forecast'!$G20,'History and Forecast'!CI$6))</f>
        <v>#N/A</v>
      </c>
    </row>
    <row r="21" spans="2:87">
      <c r="B21" t="str">
        <f t="shared" si="4"/>
        <v>PALM_OIL</v>
      </c>
      <c r="C21" s="34" t="s">
        <v>1062</v>
      </c>
      <c r="D21" t="str">
        <f t="shared" si="5"/>
        <v>KPALM_OIL</v>
      </c>
      <c r="E21" s="34" t="str">
        <f t="shared" si="6"/>
        <v>KFPALM_OIL</v>
      </c>
      <c r="F21">
        <f>MATCH(C21,'Forecast Prices'!A:A,0)</f>
        <v>23</v>
      </c>
      <c r="G21">
        <f>MATCH(E21,'Forecast Prices'!A:A,0)</f>
        <v>105</v>
      </c>
      <c r="H21" t="e">
        <f>MATCH(D21,'Annual Real'!$9:$9,0)</f>
        <v>#N/A</v>
      </c>
      <c r="I21" t="str">
        <f>INDEX('Forecast Prices'!B:B,'History and Forecast'!F21)&amp;INDEX('Forecast Prices'!C:C,'History and Forecast'!F21)&amp;INDEX('Forecast Prices'!D:D,'History and Forecast'!F21)&amp;INDEX('Forecast Prices'!E:E,'History and Forecast'!F21)</f>
        <v>Palm oil</v>
      </c>
      <c r="J21" t="str">
        <f>INDEX('Forecast Prices'!H:H,'History and Forecast'!F21)</f>
        <v>$/mt</v>
      </c>
      <c r="K21" s="17" t="e">
        <f>IF(K$9,INDEX('Annual Real'!$1:$1048576,'History and Forecast'!K$7,'History and Forecast'!$H21),INDEX('Forecast Prices'!$1:$1048576,'History and Forecast'!$G21,'History and Forecast'!K$6))</f>
        <v>#N/A</v>
      </c>
      <c r="L21" s="17" t="e">
        <f>IF(L$9,INDEX('Annual Real'!$1:$1048576,'History and Forecast'!L$7,'History and Forecast'!$H21),INDEX('Forecast Prices'!$1:$1048576,'History and Forecast'!$G21,'History and Forecast'!L$6))</f>
        <v>#N/A</v>
      </c>
      <c r="M21" s="17" t="e">
        <f>IF(M$9,INDEX('Annual Real'!$1:$1048576,'History and Forecast'!M$7,'History and Forecast'!$H21),INDEX('Forecast Prices'!$1:$1048576,'History and Forecast'!$G21,'History and Forecast'!M$6))</f>
        <v>#N/A</v>
      </c>
      <c r="N21" s="17" t="e">
        <f>IF(N$9,INDEX('Annual Real'!$1:$1048576,'History and Forecast'!N$7,'History and Forecast'!$H21),INDEX('Forecast Prices'!$1:$1048576,'History and Forecast'!$G21,'History and Forecast'!N$6))</f>
        <v>#N/A</v>
      </c>
      <c r="O21" s="17" t="e">
        <f>IF(O$9,INDEX('Annual Real'!$1:$1048576,'History and Forecast'!O$7,'History and Forecast'!$H21),INDEX('Forecast Prices'!$1:$1048576,'History and Forecast'!$G21,'History and Forecast'!O$6))</f>
        <v>#N/A</v>
      </c>
      <c r="P21" s="17" t="e">
        <f>IF(P$9,INDEX('Annual Real'!$1:$1048576,'History and Forecast'!P$7,'History and Forecast'!$H21),INDEX('Forecast Prices'!$1:$1048576,'History and Forecast'!$G21,'History and Forecast'!P$6))</f>
        <v>#N/A</v>
      </c>
      <c r="Q21" s="17" t="e">
        <f>IF(Q$9,INDEX('Annual Real'!$1:$1048576,'History and Forecast'!Q$7,'History and Forecast'!$H21),INDEX('Forecast Prices'!$1:$1048576,'History and Forecast'!$G21,'History and Forecast'!Q$6))</f>
        <v>#N/A</v>
      </c>
      <c r="R21" s="17" t="e">
        <f>IF(R$9,INDEX('Annual Real'!$1:$1048576,'History and Forecast'!R$7,'History and Forecast'!$H21),INDEX('Forecast Prices'!$1:$1048576,'History and Forecast'!$G21,'History and Forecast'!R$6))</f>
        <v>#N/A</v>
      </c>
      <c r="S21" s="17" t="e">
        <f>IF(S$9,INDEX('Annual Real'!$1:$1048576,'History and Forecast'!S$7,'History and Forecast'!$H21),INDEX('Forecast Prices'!$1:$1048576,'History and Forecast'!$G21,'History and Forecast'!S$6))</f>
        <v>#N/A</v>
      </c>
      <c r="T21" s="17" t="e">
        <f>IF(T$9,INDEX('Annual Real'!$1:$1048576,'History and Forecast'!T$7,'History and Forecast'!$H21),INDEX('Forecast Prices'!$1:$1048576,'History and Forecast'!$G21,'History and Forecast'!T$6))</f>
        <v>#N/A</v>
      </c>
      <c r="U21" s="17" t="e">
        <f>IF(U$9,INDEX('Annual Real'!$1:$1048576,'History and Forecast'!U$7,'History and Forecast'!$H21),INDEX('Forecast Prices'!$1:$1048576,'History and Forecast'!$G21,'History and Forecast'!U$6))</f>
        <v>#N/A</v>
      </c>
      <c r="V21" s="17" t="e">
        <f>IF(V$9,INDEX('Annual Real'!$1:$1048576,'History and Forecast'!V$7,'History and Forecast'!$H21),INDEX('Forecast Prices'!$1:$1048576,'History and Forecast'!$G21,'History and Forecast'!V$6))</f>
        <v>#N/A</v>
      </c>
      <c r="W21" s="17" t="e">
        <f>IF(W$9,INDEX('Annual Real'!$1:$1048576,'History and Forecast'!W$7,'History and Forecast'!$H21),INDEX('Forecast Prices'!$1:$1048576,'History and Forecast'!$G21,'History and Forecast'!W$6))</f>
        <v>#N/A</v>
      </c>
      <c r="X21" s="17" t="e">
        <f>IF(X$9,INDEX('Annual Real'!$1:$1048576,'History and Forecast'!X$7,'History and Forecast'!$H21),INDEX('Forecast Prices'!$1:$1048576,'History and Forecast'!$G21,'History and Forecast'!X$6))</f>
        <v>#N/A</v>
      </c>
      <c r="Y21" s="17" t="e">
        <f>IF(Y$9,INDEX('Annual Real'!$1:$1048576,'History and Forecast'!Y$7,'History and Forecast'!$H21),INDEX('Forecast Prices'!$1:$1048576,'History and Forecast'!$G21,'History and Forecast'!Y$6))</f>
        <v>#N/A</v>
      </c>
      <c r="Z21" s="17" t="e">
        <f>IF(Z$9,INDEX('Annual Real'!$1:$1048576,'History and Forecast'!Z$7,'History and Forecast'!$H21),INDEX('Forecast Prices'!$1:$1048576,'History and Forecast'!$G21,'History and Forecast'!Z$6))</f>
        <v>#N/A</v>
      </c>
      <c r="AA21" s="17" t="e">
        <f>IF(AA$9,INDEX('Annual Real'!$1:$1048576,'History and Forecast'!AA$7,'History and Forecast'!$H21),INDEX('Forecast Prices'!$1:$1048576,'History and Forecast'!$G21,'History and Forecast'!AA$6))</f>
        <v>#N/A</v>
      </c>
      <c r="AB21" s="17" t="e">
        <f>IF(AB$9,INDEX('Annual Real'!$1:$1048576,'History and Forecast'!AB$7,'History and Forecast'!$H21),INDEX('Forecast Prices'!$1:$1048576,'History and Forecast'!$G21,'History and Forecast'!AB$6))</f>
        <v>#N/A</v>
      </c>
      <c r="AC21" s="17" t="e">
        <f>IF(AC$9,INDEX('Annual Real'!$1:$1048576,'History and Forecast'!AC$7,'History and Forecast'!$H21),INDEX('Forecast Prices'!$1:$1048576,'History and Forecast'!$G21,'History and Forecast'!AC$6))</f>
        <v>#N/A</v>
      </c>
      <c r="AD21" s="17" t="e">
        <f>IF(AD$9,INDEX('Annual Real'!$1:$1048576,'History and Forecast'!AD$7,'History and Forecast'!$H21),INDEX('Forecast Prices'!$1:$1048576,'History and Forecast'!$G21,'History and Forecast'!AD$6))</f>
        <v>#N/A</v>
      </c>
      <c r="AE21" s="17" t="e">
        <f>IF(AE$9,INDEX('Annual Real'!$1:$1048576,'History and Forecast'!AE$7,'History and Forecast'!$H21),INDEX('Forecast Prices'!$1:$1048576,'History and Forecast'!$G21,'History and Forecast'!AE$6))</f>
        <v>#N/A</v>
      </c>
      <c r="AF21" s="17" t="e">
        <f>IF(AF$9,INDEX('Annual Real'!$1:$1048576,'History and Forecast'!AF$7,'History and Forecast'!$H21),INDEX('Forecast Prices'!$1:$1048576,'History and Forecast'!$G21,'History and Forecast'!AF$6))</f>
        <v>#N/A</v>
      </c>
      <c r="AG21" s="17" t="e">
        <f>IF(AG$9,INDEX('Annual Real'!$1:$1048576,'History and Forecast'!AG$7,'History and Forecast'!$H21),INDEX('Forecast Prices'!$1:$1048576,'History and Forecast'!$G21,'History and Forecast'!AG$6))</f>
        <v>#N/A</v>
      </c>
      <c r="AH21" s="17" t="e">
        <f>IF(AH$9,INDEX('Annual Real'!$1:$1048576,'History and Forecast'!AH$7,'History and Forecast'!$H21),INDEX('Forecast Prices'!$1:$1048576,'History and Forecast'!$G21,'History and Forecast'!AH$6))</f>
        <v>#N/A</v>
      </c>
      <c r="AI21" s="17" t="e">
        <f>IF(AI$9,INDEX('Annual Real'!$1:$1048576,'History and Forecast'!AI$7,'History and Forecast'!$H21),INDEX('Forecast Prices'!$1:$1048576,'History and Forecast'!$G21,'History and Forecast'!AI$6))</f>
        <v>#N/A</v>
      </c>
      <c r="AJ21" s="17" t="e">
        <f>IF(AJ$9,INDEX('Annual Real'!$1:$1048576,'History and Forecast'!AJ$7,'History and Forecast'!$H21),INDEX('Forecast Prices'!$1:$1048576,'History and Forecast'!$G21,'History and Forecast'!AJ$6))</f>
        <v>#N/A</v>
      </c>
      <c r="AK21" s="17" t="e">
        <f>IF(AK$9,INDEX('Annual Real'!$1:$1048576,'History and Forecast'!AK$7,'History and Forecast'!$H21),INDEX('Forecast Prices'!$1:$1048576,'History and Forecast'!$G21,'History and Forecast'!AK$6))</f>
        <v>#N/A</v>
      </c>
      <c r="AL21" s="17" t="e">
        <f>IF(AL$9,INDEX('Annual Real'!$1:$1048576,'History and Forecast'!AL$7,'History and Forecast'!$H21),INDEX('Forecast Prices'!$1:$1048576,'History and Forecast'!$G21,'History and Forecast'!AL$6))</f>
        <v>#N/A</v>
      </c>
      <c r="AM21" s="17" t="e">
        <f>IF(AM$9,INDEX('Annual Real'!$1:$1048576,'History and Forecast'!AM$7,'History and Forecast'!$H21),INDEX('Forecast Prices'!$1:$1048576,'History and Forecast'!$G21,'History and Forecast'!AM$6))</f>
        <v>#N/A</v>
      </c>
      <c r="AN21" s="17" t="e">
        <f>IF(AN$9,INDEX('Annual Real'!$1:$1048576,'History and Forecast'!AN$7,'History and Forecast'!$H21),INDEX('Forecast Prices'!$1:$1048576,'History and Forecast'!$G21,'History and Forecast'!AN$6))</f>
        <v>#N/A</v>
      </c>
      <c r="AO21" s="17" t="e">
        <f>IF(AO$9,INDEX('Annual Real'!$1:$1048576,'History and Forecast'!AO$7,'History and Forecast'!$H21),INDEX('Forecast Prices'!$1:$1048576,'History and Forecast'!$G21,'History and Forecast'!AO$6))</f>
        <v>#N/A</v>
      </c>
      <c r="AP21" s="17" t="e">
        <f>IF(AP$9,INDEX('Annual Real'!$1:$1048576,'History and Forecast'!AP$7,'History and Forecast'!$H21),INDEX('Forecast Prices'!$1:$1048576,'History and Forecast'!$G21,'History and Forecast'!AP$6))</f>
        <v>#N/A</v>
      </c>
      <c r="AQ21" s="17" t="e">
        <f>IF(AQ$9,INDEX('Annual Real'!$1:$1048576,'History and Forecast'!AQ$7,'History and Forecast'!$H21),INDEX('Forecast Prices'!$1:$1048576,'History and Forecast'!$G21,'History and Forecast'!AQ$6))</f>
        <v>#N/A</v>
      </c>
      <c r="AR21" s="17" t="e">
        <f>IF(AR$9,INDEX('Annual Real'!$1:$1048576,'History and Forecast'!AR$7,'History and Forecast'!$H21),INDEX('Forecast Prices'!$1:$1048576,'History and Forecast'!$G21,'History and Forecast'!AR$6))</f>
        <v>#N/A</v>
      </c>
      <c r="AS21" s="17" t="e">
        <f>IF(AS$9,INDEX('Annual Real'!$1:$1048576,'History and Forecast'!AS$7,'History and Forecast'!$H21),INDEX('Forecast Prices'!$1:$1048576,'History and Forecast'!$G21,'History and Forecast'!AS$6))</f>
        <v>#N/A</v>
      </c>
      <c r="AT21" s="17" t="e">
        <f>IF(AT$9,INDEX('Annual Real'!$1:$1048576,'History and Forecast'!AT$7,'History and Forecast'!$H21),INDEX('Forecast Prices'!$1:$1048576,'History and Forecast'!$G21,'History and Forecast'!AT$6))</f>
        <v>#N/A</v>
      </c>
      <c r="AU21" s="17" t="e">
        <f>IF(AU$9,INDEX('Annual Real'!$1:$1048576,'History and Forecast'!AU$7,'History and Forecast'!$H21),INDEX('Forecast Prices'!$1:$1048576,'History and Forecast'!$G21,'History and Forecast'!AU$6))</f>
        <v>#N/A</v>
      </c>
      <c r="AV21" s="17" t="e">
        <f>IF(AV$9,INDEX('Annual Real'!$1:$1048576,'History and Forecast'!AV$7,'History and Forecast'!$H21),INDEX('Forecast Prices'!$1:$1048576,'History and Forecast'!$G21,'History and Forecast'!AV$6))</f>
        <v>#N/A</v>
      </c>
      <c r="AW21" s="17" t="e">
        <f>IF(AW$9,INDEX('Annual Real'!$1:$1048576,'History and Forecast'!AW$7,'History and Forecast'!$H21),INDEX('Forecast Prices'!$1:$1048576,'History and Forecast'!$G21,'History and Forecast'!AW$6))</f>
        <v>#N/A</v>
      </c>
      <c r="AX21" s="17" t="e">
        <f>IF(AX$9,INDEX('Annual Real'!$1:$1048576,'History and Forecast'!AX$7,'History and Forecast'!$H21),INDEX('Forecast Prices'!$1:$1048576,'History and Forecast'!$G21,'History and Forecast'!AX$6))</f>
        <v>#N/A</v>
      </c>
      <c r="AY21" s="17" t="e">
        <f>IF(AY$9,INDEX('Annual Real'!$1:$1048576,'History and Forecast'!AY$7,'History and Forecast'!$H21),INDEX('Forecast Prices'!$1:$1048576,'History and Forecast'!$G21,'History and Forecast'!AY$6))</f>
        <v>#N/A</v>
      </c>
      <c r="AZ21" s="17" t="e">
        <f>IF(AZ$9,INDEX('Annual Real'!$1:$1048576,'History and Forecast'!AZ$7,'History and Forecast'!$H21),INDEX('Forecast Prices'!$1:$1048576,'History and Forecast'!$G21,'History and Forecast'!AZ$6))</f>
        <v>#N/A</v>
      </c>
      <c r="BA21" s="17" t="e">
        <f>IF(BA$9,INDEX('Annual Real'!$1:$1048576,'History and Forecast'!BA$7,'History and Forecast'!$H21),INDEX('Forecast Prices'!$1:$1048576,'History and Forecast'!$G21,'History and Forecast'!BA$6))</f>
        <v>#N/A</v>
      </c>
      <c r="BB21" s="17" t="e">
        <f>IF(BB$9,INDEX('Annual Real'!$1:$1048576,'History and Forecast'!BB$7,'History and Forecast'!$H21),INDEX('Forecast Prices'!$1:$1048576,'History and Forecast'!$G21,'History and Forecast'!BB$6))</f>
        <v>#N/A</v>
      </c>
      <c r="BC21" s="17" t="e">
        <f>IF(BC$9,INDEX('Annual Real'!$1:$1048576,'History and Forecast'!BC$7,'History and Forecast'!$H21),INDEX('Forecast Prices'!$1:$1048576,'History and Forecast'!$G21,'History and Forecast'!BC$6))</f>
        <v>#N/A</v>
      </c>
      <c r="BD21" s="17" t="e">
        <f>IF(BD$9,INDEX('Annual Real'!$1:$1048576,'History and Forecast'!BD$7,'History and Forecast'!$H21),INDEX('Forecast Prices'!$1:$1048576,'History and Forecast'!$G21,'History and Forecast'!BD$6))</f>
        <v>#N/A</v>
      </c>
      <c r="BE21" s="17" t="e">
        <f>IF(BE$9,INDEX('Annual Real'!$1:$1048576,'History and Forecast'!BE$7,'History and Forecast'!$H21),INDEX('Forecast Prices'!$1:$1048576,'History and Forecast'!$G21,'History and Forecast'!BE$6))</f>
        <v>#N/A</v>
      </c>
      <c r="BF21" s="17" t="e">
        <f>IF(BF$9,INDEX('Annual Real'!$1:$1048576,'History and Forecast'!BF$7,'History and Forecast'!$H21),INDEX('Forecast Prices'!$1:$1048576,'History and Forecast'!$G21,'History and Forecast'!BF$6))</f>
        <v>#N/A</v>
      </c>
      <c r="BG21" s="17" t="e">
        <f>IF(BG$9,INDEX('Annual Real'!$1:$1048576,'History and Forecast'!BG$7,'History and Forecast'!$H21),INDEX('Forecast Prices'!$1:$1048576,'History and Forecast'!$G21,'History and Forecast'!BG$6))</f>
        <v>#N/A</v>
      </c>
      <c r="BH21" s="17" t="e">
        <f>IF(BH$9,INDEX('Annual Real'!$1:$1048576,'History and Forecast'!BH$7,'History and Forecast'!$H21),INDEX('Forecast Prices'!$1:$1048576,'History and Forecast'!$G21,'History and Forecast'!BH$6))</f>
        <v>#N/A</v>
      </c>
      <c r="BI21" s="17" t="e">
        <f>IF(BI$9,INDEX('Annual Real'!$1:$1048576,'History and Forecast'!BI$7,'History and Forecast'!$H21),INDEX('Forecast Prices'!$1:$1048576,'History and Forecast'!$G21,'History and Forecast'!BI$6))</f>
        <v>#N/A</v>
      </c>
      <c r="BJ21" s="17" t="e">
        <f>IF(BJ$9,INDEX('Annual Real'!$1:$1048576,'History and Forecast'!BJ$7,'History and Forecast'!$H21),INDEX('Forecast Prices'!$1:$1048576,'History and Forecast'!$G21,'History and Forecast'!BJ$6))</f>
        <v>#N/A</v>
      </c>
      <c r="BK21" s="17" t="e">
        <f>IF(BK$9,INDEX('Annual Real'!$1:$1048576,'History and Forecast'!BK$7,'History and Forecast'!$H21),INDEX('Forecast Prices'!$1:$1048576,'History and Forecast'!$G21,'History and Forecast'!BK$6))</f>
        <v>#N/A</v>
      </c>
      <c r="BL21" s="17" t="e">
        <f>IF(BL$9,INDEX('Annual Real'!$1:$1048576,'History and Forecast'!BL$7,'History and Forecast'!$H21),INDEX('Forecast Prices'!$1:$1048576,'History and Forecast'!$G21,'History and Forecast'!BL$6))</f>
        <v>#N/A</v>
      </c>
      <c r="BM21" s="17" t="e">
        <f>IF(BM$9,INDEX('Annual Real'!$1:$1048576,'History and Forecast'!BM$7,'History and Forecast'!$H21),INDEX('Forecast Prices'!$1:$1048576,'History and Forecast'!$G21,'History and Forecast'!BM$6))</f>
        <v>#N/A</v>
      </c>
      <c r="BN21" s="17" t="e">
        <f>IF(BN$9,INDEX('Annual Real'!$1:$1048576,'History and Forecast'!BN$7,'History and Forecast'!$H21),INDEX('Forecast Prices'!$1:$1048576,'History and Forecast'!$G21,'History and Forecast'!BN$6))</f>
        <v>#N/A</v>
      </c>
      <c r="BO21" s="17">
        <f>IF(BO$9,INDEX('Annual Real'!$1:$1048576,'History and Forecast'!BO$7,'History and Forecast'!$H21),INDEX('Forecast Prices'!$1:$1048576,'History and Forecast'!$G21,'History and Forecast'!BO$6))</f>
        <v>782.39420181858497</v>
      </c>
      <c r="BP21" s="17">
        <f>IF(BP$9,INDEX('Annual Real'!$1:$1048576,'History and Forecast'!BP$7,'History and Forecast'!$H21),INDEX('Forecast Prices'!$1:$1048576,'History and Forecast'!$G21,'History and Forecast'!BP$6))</f>
        <v>771.85388447805599</v>
      </c>
      <c r="BQ21" s="17">
        <f>IF(BQ$9,INDEX('Annual Real'!$1:$1048576,'History and Forecast'!BQ$7,'History and Forecast'!$H21),INDEX('Forecast Prices'!$1:$1048576,'History and Forecast'!$G21,'History and Forecast'!BQ$6))</f>
        <v>627.00500237272104</v>
      </c>
      <c r="BR21" s="17">
        <f>IF(BR$9,INDEX('Annual Real'!$1:$1048576,'History and Forecast'!BR$7,'History and Forecast'!$H21),INDEX('Forecast Prices'!$1:$1048576,'History and Forecast'!$G21,'History and Forecast'!BR$6))</f>
        <v>577.59489882226399</v>
      </c>
      <c r="BS21" s="17">
        <f>IF(BS$9,INDEX('Annual Real'!$1:$1048576,'History and Forecast'!BS$7,'History and Forecast'!$H21),INDEX('Forecast Prices'!$1:$1048576,'History and Forecast'!$G21,'History and Forecast'!BS$6))</f>
        <v>589.26071839597205</v>
      </c>
      <c r="BT21" s="17">
        <f>IF(BT$9,INDEX('Annual Real'!$1:$1048576,'History and Forecast'!BT$7,'History and Forecast'!$H21),INDEX('Forecast Prices'!$1:$1048576,'History and Forecast'!$G21,'History and Forecast'!BT$6))</f>
        <v>601.30977093809599</v>
      </c>
      <c r="BU21" s="17">
        <f>IF(BU$9,INDEX('Annual Real'!$1:$1048576,'History and Forecast'!BU$7,'History and Forecast'!$H21),INDEX('Forecast Prices'!$1:$1048576,'History and Forecast'!$G21,'History and Forecast'!BU$6))</f>
        <v>613.11331742325694</v>
      </c>
      <c r="BV21" s="17">
        <f>IF(BV$9,INDEX('Annual Real'!$1:$1048576,'History and Forecast'!BV$7,'History and Forecast'!$H21),INDEX('Forecast Prices'!$1:$1048576,'History and Forecast'!$G21,'History and Forecast'!BV$6))</f>
        <v>625.20373650248598</v>
      </c>
      <c r="BW21" s="17">
        <f>IF(BW$9,INDEX('Annual Real'!$1:$1048576,'History and Forecast'!BW$7,'History and Forecast'!$H21),INDEX('Forecast Prices'!$1:$1048576,'History and Forecast'!$G21,'History and Forecast'!BW$6))</f>
        <v>637.532363765794</v>
      </c>
      <c r="BX21" s="17">
        <f>IF(BX$9,INDEX('Annual Real'!$1:$1048576,'History and Forecast'!BX$7,'History and Forecast'!$H21),INDEX('Forecast Prices'!$1:$1048576,'History and Forecast'!$G21,'History and Forecast'!BX$6))</f>
        <v>650.06660987449698</v>
      </c>
      <c r="BY21" s="17" t="e">
        <f>IF(BY$9,INDEX('Annual Real'!$1:$1048576,'History and Forecast'!BY$7,'History and Forecast'!$H21),INDEX('Forecast Prices'!$1:$1048576,'History and Forecast'!$G21,'History and Forecast'!BY$6))</f>
        <v>#N/A</v>
      </c>
      <c r="BZ21" s="17" t="e">
        <f>IF(BZ$9,INDEX('Annual Real'!$1:$1048576,'History and Forecast'!BZ$7,'History and Forecast'!$H21),INDEX('Forecast Prices'!$1:$1048576,'History and Forecast'!$G21,'History and Forecast'!BZ$6))</f>
        <v>#N/A</v>
      </c>
      <c r="CA21" s="17" t="e">
        <f>IF(CA$9,INDEX('Annual Real'!$1:$1048576,'History and Forecast'!CA$7,'History and Forecast'!$H21),INDEX('Forecast Prices'!$1:$1048576,'History and Forecast'!$G21,'History and Forecast'!CA$6))</f>
        <v>#N/A</v>
      </c>
      <c r="CB21" s="17" t="e">
        <f>IF(CB$9,INDEX('Annual Real'!$1:$1048576,'History and Forecast'!CB$7,'History and Forecast'!$H21),INDEX('Forecast Prices'!$1:$1048576,'History and Forecast'!$G21,'History and Forecast'!CB$6))</f>
        <v>#N/A</v>
      </c>
      <c r="CC21" s="17">
        <f>IF(CC$9,INDEX('Annual Real'!$1:$1048576,'History and Forecast'!CC$7,'History and Forecast'!$H21),INDEX('Forecast Prices'!$1:$1048576,'History and Forecast'!$G21,'History and Forecast'!CC$6))</f>
        <v>715.43807336509201</v>
      </c>
      <c r="CD21" s="17" t="e">
        <f>IF(CD$9,INDEX('Annual Real'!$1:$1048576,'History and Forecast'!CD$7,'History and Forecast'!$H21),INDEX('Forecast Prices'!$1:$1048576,'History and Forecast'!$G21,'History and Forecast'!CD$6))</f>
        <v>#N/A</v>
      </c>
      <c r="CE21" s="17" t="e">
        <f>IF(CE$9,INDEX('Annual Real'!$1:$1048576,'History and Forecast'!CE$7,'History and Forecast'!$H21),INDEX('Forecast Prices'!$1:$1048576,'History and Forecast'!$G21,'History and Forecast'!CE$6))</f>
        <v>#N/A</v>
      </c>
      <c r="CF21" s="17" t="e">
        <f>IF(CF$9,INDEX('Annual Real'!$1:$1048576,'History and Forecast'!CF$7,'History and Forecast'!$H21),INDEX('Forecast Prices'!$1:$1048576,'History and Forecast'!$G21,'History and Forecast'!CF$6))</f>
        <v>#N/A</v>
      </c>
      <c r="CG21" s="17" t="e">
        <f>IF(CG$9,INDEX('Annual Real'!$1:$1048576,'History and Forecast'!CG$7,'History and Forecast'!$H21),INDEX('Forecast Prices'!$1:$1048576,'History and Forecast'!$G21,'History and Forecast'!CG$6))</f>
        <v>#N/A</v>
      </c>
      <c r="CH21" s="17" t="e">
        <f>IF(CH$9,INDEX('Annual Real'!$1:$1048576,'History and Forecast'!CH$7,'History and Forecast'!$H21),INDEX('Forecast Prices'!$1:$1048576,'History and Forecast'!$G21,'History and Forecast'!CH$6))</f>
        <v>#N/A</v>
      </c>
      <c r="CI21" s="17" t="e">
        <f>IF(CI$9,INDEX('Annual Real'!$1:$1048576,'History and Forecast'!CI$7,'History and Forecast'!$H21),INDEX('Forecast Prices'!$1:$1048576,'History and Forecast'!$G21,'History and Forecast'!CI$6))</f>
        <v>#N/A</v>
      </c>
    </row>
    <row r="22" spans="2:87">
      <c r="B22" t="str">
        <f t="shared" si="4"/>
        <v>SOYBEAN_MEAL</v>
      </c>
      <c r="C22" s="34" t="s">
        <v>1063</v>
      </c>
      <c r="D22" t="str">
        <f t="shared" si="5"/>
        <v>KSOYBEAN_MEAL</v>
      </c>
      <c r="E22" s="34" t="str">
        <f t="shared" si="6"/>
        <v>KFSOYBEAN_MEAL</v>
      </c>
      <c r="F22">
        <f>MATCH(C22,'Forecast Prices'!A:A,0)</f>
        <v>24</v>
      </c>
      <c r="G22">
        <f>MATCH(E22,'Forecast Prices'!A:A,0)</f>
        <v>106</v>
      </c>
      <c r="H22" t="e">
        <f>MATCH(D22,'Annual Real'!$9:$9,0)</f>
        <v>#N/A</v>
      </c>
      <c r="I22" t="str">
        <f>INDEX('Forecast Prices'!B:B,'History and Forecast'!F22)&amp;INDEX('Forecast Prices'!C:C,'History and Forecast'!F22)&amp;INDEX('Forecast Prices'!D:D,'History and Forecast'!F22)&amp;INDEX('Forecast Prices'!E:E,'History and Forecast'!F22)</f>
        <v>Soybean meal</v>
      </c>
      <c r="J22" t="str">
        <f>INDEX('Forecast Prices'!H:H,'History and Forecast'!F22)</f>
        <v>$/mt</v>
      </c>
      <c r="K22" s="17" t="e">
        <f>IF(K$9,INDEX('Annual Real'!$1:$1048576,'History and Forecast'!K$7,'History and Forecast'!$H22),INDEX('Forecast Prices'!$1:$1048576,'History and Forecast'!$G22,'History and Forecast'!K$6))</f>
        <v>#N/A</v>
      </c>
      <c r="L22" s="17" t="e">
        <f>IF(L$9,INDEX('Annual Real'!$1:$1048576,'History and Forecast'!L$7,'History and Forecast'!$H22),INDEX('Forecast Prices'!$1:$1048576,'History and Forecast'!$G22,'History and Forecast'!L$6))</f>
        <v>#N/A</v>
      </c>
      <c r="M22" s="17" t="e">
        <f>IF(M$9,INDEX('Annual Real'!$1:$1048576,'History and Forecast'!M$7,'History and Forecast'!$H22),INDEX('Forecast Prices'!$1:$1048576,'History and Forecast'!$G22,'History and Forecast'!M$6))</f>
        <v>#N/A</v>
      </c>
      <c r="N22" s="17" t="e">
        <f>IF(N$9,INDEX('Annual Real'!$1:$1048576,'History and Forecast'!N$7,'History and Forecast'!$H22),INDEX('Forecast Prices'!$1:$1048576,'History and Forecast'!$G22,'History and Forecast'!N$6))</f>
        <v>#N/A</v>
      </c>
      <c r="O22" s="17" t="e">
        <f>IF(O$9,INDEX('Annual Real'!$1:$1048576,'History and Forecast'!O$7,'History and Forecast'!$H22),INDEX('Forecast Prices'!$1:$1048576,'History and Forecast'!$G22,'History and Forecast'!O$6))</f>
        <v>#N/A</v>
      </c>
      <c r="P22" s="17" t="e">
        <f>IF(P$9,INDEX('Annual Real'!$1:$1048576,'History and Forecast'!P$7,'History and Forecast'!$H22),INDEX('Forecast Prices'!$1:$1048576,'History and Forecast'!$G22,'History and Forecast'!P$6))</f>
        <v>#N/A</v>
      </c>
      <c r="Q22" s="17" t="e">
        <f>IF(Q$9,INDEX('Annual Real'!$1:$1048576,'History and Forecast'!Q$7,'History and Forecast'!$H22),INDEX('Forecast Prices'!$1:$1048576,'History and Forecast'!$G22,'History and Forecast'!Q$6))</f>
        <v>#N/A</v>
      </c>
      <c r="R22" s="17" t="e">
        <f>IF(R$9,INDEX('Annual Real'!$1:$1048576,'History and Forecast'!R$7,'History and Forecast'!$H22),INDEX('Forecast Prices'!$1:$1048576,'History and Forecast'!$G22,'History and Forecast'!R$6))</f>
        <v>#N/A</v>
      </c>
      <c r="S22" s="17" t="e">
        <f>IF(S$9,INDEX('Annual Real'!$1:$1048576,'History and Forecast'!S$7,'History and Forecast'!$H22),INDEX('Forecast Prices'!$1:$1048576,'History and Forecast'!$G22,'History and Forecast'!S$6))</f>
        <v>#N/A</v>
      </c>
      <c r="T22" s="17" t="e">
        <f>IF(T$9,INDEX('Annual Real'!$1:$1048576,'History and Forecast'!T$7,'History and Forecast'!$H22),INDEX('Forecast Prices'!$1:$1048576,'History and Forecast'!$G22,'History and Forecast'!T$6))</f>
        <v>#N/A</v>
      </c>
      <c r="U22" s="17" t="e">
        <f>IF(U$9,INDEX('Annual Real'!$1:$1048576,'History and Forecast'!U$7,'History and Forecast'!$H22),INDEX('Forecast Prices'!$1:$1048576,'History and Forecast'!$G22,'History and Forecast'!U$6))</f>
        <v>#N/A</v>
      </c>
      <c r="V22" s="17" t="e">
        <f>IF(V$9,INDEX('Annual Real'!$1:$1048576,'History and Forecast'!V$7,'History and Forecast'!$H22),INDEX('Forecast Prices'!$1:$1048576,'History and Forecast'!$G22,'History and Forecast'!V$6))</f>
        <v>#N/A</v>
      </c>
      <c r="W22" s="17" t="e">
        <f>IF(W$9,INDEX('Annual Real'!$1:$1048576,'History and Forecast'!W$7,'History and Forecast'!$H22),INDEX('Forecast Prices'!$1:$1048576,'History and Forecast'!$G22,'History and Forecast'!W$6))</f>
        <v>#N/A</v>
      </c>
      <c r="X22" s="17" t="e">
        <f>IF(X$9,INDEX('Annual Real'!$1:$1048576,'History and Forecast'!X$7,'History and Forecast'!$H22),INDEX('Forecast Prices'!$1:$1048576,'History and Forecast'!$G22,'History and Forecast'!X$6))</f>
        <v>#N/A</v>
      </c>
      <c r="Y22" s="17" t="e">
        <f>IF(Y$9,INDEX('Annual Real'!$1:$1048576,'History and Forecast'!Y$7,'History and Forecast'!$H22),INDEX('Forecast Prices'!$1:$1048576,'History and Forecast'!$G22,'History and Forecast'!Y$6))</f>
        <v>#N/A</v>
      </c>
      <c r="Z22" s="17" t="e">
        <f>IF(Z$9,INDEX('Annual Real'!$1:$1048576,'History and Forecast'!Z$7,'History and Forecast'!$H22),INDEX('Forecast Prices'!$1:$1048576,'History and Forecast'!$G22,'History and Forecast'!Z$6))</f>
        <v>#N/A</v>
      </c>
      <c r="AA22" s="17" t="e">
        <f>IF(AA$9,INDEX('Annual Real'!$1:$1048576,'History and Forecast'!AA$7,'History and Forecast'!$H22),INDEX('Forecast Prices'!$1:$1048576,'History and Forecast'!$G22,'History and Forecast'!AA$6))</f>
        <v>#N/A</v>
      </c>
      <c r="AB22" s="17" t="e">
        <f>IF(AB$9,INDEX('Annual Real'!$1:$1048576,'History and Forecast'!AB$7,'History and Forecast'!$H22),INDEX('Forecast Prices'!$1:$1048576,'History and Forecast'!$G22,'History and Forecast'!AB$6))</f>
        <v>#N/A</v>
      </c>
      <c r="AC22" s="17" t="e">
        <f>IF(AC$9,INDEX('Annual Real'!$1:$1048576,'History and Forecast'!AC$7,'History and Forecast'!$H22),INDEX('Forecast Prices'!$1:$1048576,'History and Forecast'!$G22,'History and Forecast'!AC$6))</f>
        <v>#N/A</v>
      </c>
      <c r="AD22" s="17" t="e">
        <f>IF(AD$9,INDEX('Annual Real'!$1:$1048576,'History and Forecast'!AD$7,'History and Forecast'!$H22),INDEX('Forecast Prices'!$1:$1048576,'History and Forecast'!$G22,'History and Forecast'!AD$6))</f>
        <v>#N/A</v>
      </c>
      <c r="AE22" s="17" t="e">
        <f>IF(AE$9,INDEX('Annual Real'!$1:$1048576,'History and Forecast'!AE$7,'History and Forecast'!$H22),INDEX('Forecast Prices'!$1:$1048576,'History and Forecast'!$G22,'History and Forecast'!AE$6))</f>
        <v>#N/A</v>
      </c>
      <c r="AF22" s="17" t="e">
        <f>IF(AF$9,INDEX('Annual Real'!$1:$1048576,'History and Forecast'!AF$7,'History and Forecast'!$H22),INDEX('Forecast Prices'!$1:$1048576,'History and Forecast'!$G22,'History and Forecast'!AF$6))</f>
        <v>#N/A</v>
      </c>
      <c r="AG22" s="17" t="e">
        <f>IF(AG$9,INDEX('Annual Real'!$1:$1048576,'History and Forecast'!AG$7,'History and Forecast'!$H22),INDEX('Forecast Prices'!$1:$1048576,'History and Forecast'!$G22,'History and Forecast'!AG$6))</f>
        <v>#N/A</v>
      </c>
      <c r="AH22" s="17" t="e">
        <f>IF(AH$9,INDEX('Annual Real'!$1:$1048576,'History and Forecast'!AH$7,'History and Forecast'!$H22),INDEX('Forecast Prices'!$1:$1048576,'History and Forecast'!$G22,'History and Forecast'!AH$6))</f>
        <v>#N/A</v>
      </c>
      <c r="AI22" s="17" t="e">
        <f>IF(AI$9,INDEX('Annual Real'!$1:$1048576,'History and Forecast'!AI$7,'History and Forecast'!$H22),INDEX('Forecast Prices'!$1:$1048576,'History and Forecast'!$G22,'History and Forecast'!AI$6))</f>
        <v>#N/A</v>
      </c>
      <c r="AJ22" s="17" t="e">
        <f>IF(AJ$9,INDEX('Annual Real'!$1:$1048576,'History and Forecast'!AJ$7,'History and Forecast'!$H22),INDEX('Forecast Prices'!$1:$1048576,'History and Forecast'!$G22,'History and Forecast'!AJ$6))</f>
        <v>#N/A</v>
      </c>
      <c r="AK22" s="17" t="e">
        <f>IF(AK$9,INDEX('Annual Real'!$1:$1048576,'History and Forecast'!AK$7,'History and Forecast'!$H22),INDEX('Forecast Prices'!$1:$1048576,'History and Forecast'!$G22,'History and Forecast'!AK$6))</f>
        <v>#N/A</v>
      </c>
      <c r="AL22" s="17" t="e">
        <f>IF(AL$9,INDEX('Annual Real'!$1:$1048576,'History and Forecast'!AL$7,'History and Forecast'!$H22),INDEX('Forecast Prices'!$1:$1048576,'History and Forecast'!$G22,'History and Forecast'!AL$6))</f>
        <v>#N/A</v>
      </c>
      <c r="AM22" s="17" t="e">
        <f>IF(AM$9,INDEX('Annual Real'!$1:$1048576,'History and Forecast'!AM$7,'History and Forecast'!$H22),INDEX('Forecast Prices'!$1:$1048576,'History and Forecast'!$G22,'History and Forecast'!AM$6))</f>
        <v>#N/A</v>
      </c>
      <c r="AN22" s="17" t="e">
        <f>IF(AN$9,INDEX('Annual Real'!$1:$1048576,'History and Forecast'!AN$7,'History and Forecast'!$H22),INDEX('Forecast Prices'!$1:$1048576,'History and Forecast'!$G22,'History and Forecast'!AN$6))</f>
        <v>#N/A</v>
      </c>
      <c r="AO22" s="17" t="e">
        <f>IF(AO$9,INDEX('Annual Real'!$1:$1048576,'History and Forecast'!AO$7,'History and Forecast'!$H22),INDEX('Forecast Prices'!$1:$1048576,'History and Forecast'!$G22,'History and Forecast'!AO$6))</f>
        <v>#N/A</v>
      </c>
      <c r="AP22" s="17" t="e">
        <f>IF(AP$9,INDEX('Annual Real'!$1:$1048576,'History and Forecast'!AP$7,'History and Forecast'!$H22),INDEX('Forecast Prices'!$1:$1048576,'History and Forecast'!$G22,'History and Forecast'!AP$6))</f>
        <v>#N/A</v>
      </c>
      <c r="AQ22" s="17" t="e">
        <f>IF(AQ$9,INDEX('Annual Real'!$1:$1048576,'History and Forecast'!AQ$7,'History and Forecast'!$H22),INDEX('Forecast Prices'!$1:$1048576,'History and Forecast'!$G22,'History and Forecast'!AQ$6))</f>
        <v>#N/A</v>
      </c>
      <c r="AR22" s="17" t="e">
        <f>IF(AR$9,INDEX('Annual Real'!$1:$1048576,'History and Forecast'!AR$7,'History and Forecast'!$H22),INDEX('Forecast Prices'!$1:$1048576,'History and Forecast'!$G22,'History and Forecast'!AR$6))</f>
        <v>#N/A</v>
      </c>
      <c r="AS22" s="17" t="e">
        <f>IF(AS$9,INDEX('Annual Real'!$1:$1048576,'History and Forecast'!AS$7,'History and Forecast'!$H22),INDEX('Forecast Prices'!$1:$1048576,'History and Forecast'!$G22,'History and Forecast'!AS$6))</f>
        <v>#N/A</v>
      </c>
      <c r="AT22" s="17" t="e">
        <f>IF(AT$9,INDEX('Annual Real'!$1:$1048576,'History and Forecast'!AT$7,'History and Forecast'!$H22),INDEX('Forecast Prices'!$1:$1048576,'History and Forecast'!$G22,'History and Forecast'!AT$6))</f>
        <v>#N/A</v>
      </c>
      <c r="AU22" s="17" t="e">
        <f>IF(AU$9,INDEX('Annual Real'!$1:$1048576,'History and Forecast'!AU$7,'History and Forecast'!$H22),INDEX('Forecast Prices'!$1:$1048576,'History and Forecast'!$G22,'History and Forecast'!AU$6))</f>
        <v>#N/A</v>
      </c>
      <c r="AV22" s="17" t="e">
        <f>IF(AV$9,INDEX('Annual Real'!$1:$1048576,'History and Forecast'!AV$7,'History and Forecast'!$H22),INDEX('Forecast Prices'!$1:$1048576,'History and Forecast'!$G22,'History and Forecast'!AV$6))</f>
        <v>#N/A</v>
      </c>
      <c r="AW22" s="17" t="e">
        <f>IF(AW$9,INDEX('Annual Real'!$1:$1048576,'History and Forecast'!AW$7,'History and Forecast'!$H22),INDEX('Forecast Prices'!$1:$1048576,'History and Forecast'!$G22,'History and Forecast'!AW$6))</f>
        <v>#N/A</v>
      </c>
      <c r="AX22" s="17" t="e">
        <f>IF(AX$9,INDEX('Annual Real'!$1:$1048576,'History and Forecast'!AX$7,'History and Forecast'!$H22),INDEX('Forecast Prices'!$1:$1048576,'History and Forecast'!$G22,'History and Forecast'!AX$6))</f>
        <v>#N/A</v>
      </c>
      <c r="AY22" s="17" t="e">
        <f>IF(AY$9,INDEX('Annual Real'!$1:$1048576,'History and Forecast'!AY$7,'History and Forecast'!$H22),INDEX('Forecast Prices'!$1:$1048576,'History and Forecast'!$G22,'History and Forecast'!AY$6))</f>
        <v>#N/A</v>
      </c>
      <c r="AZ22" s="17" t="e">
        <f>IF(AZ$9,INDEX('Annual Real'!$1:$1048576,'History and Forecast'!AZ$7,'History and Forecast'!$H22),INDEX('Forecast Prices'!$1:$1048576,'History and Forecast'!$G22,'History and Forecast'!AZ$6))</f>
        <v>#N/A</v>
      </c>
      <c r="BA22" s="17" t="e">
        <f>IF(BA$9,INDEX('Annual Real'!$1:$1048576,'History and Forecast'!BA$7,'History and Forecast'!$H22),INDEX('Forecast Prices'!$1:$1048576,'History and Forecast'!$G22,'History and Forecast'!BA$6))</f>
        <v>#N/A</v>
      </c>
      <c r="BB22" s="17" t="e">
        <f>IF(BB$9,INDEX('Annual Real'!$1:$1048576,'History and Forecast'!BB$7,'History and Forecast'!$H22),INDEX('Forecast Prices'!$1:$1048576,'History and Forecast'!$G22,'History and Forecast'!BB$6))</f>
        <v>#N/A</v>
      </c>
      <c r="BC22" s="17" t="e">
        <f>IF(BC$9,INDEX('Annual Real'!$1:$1048576,'History and Forecast'!BC$7,'History and Forecast'!$H22),INDEX('Forecast Prices'!$1:$1048576,'History and Forecast'!$G22,'History and Forecast'!BC$6))</f>
        <v>#N/A</v>
      </c>
      <c r="BD22" s="17" t="e">
        <f>IF(BD$9,INDEX('Annual Real'!$1:$1048576,'History and Forecast'!BD$7,'History and Forecast'!$H22),INDEX('Forecast Prices'!$1:$1048576,'History and Forecast'!$G22,'History and Forecast'!BD$6))</f>
        <v>#N/A</v>
      </c>
      <c r="BE22" s="17" t="e">
        <f>IF(BE$9,INDEX('Annual Real'!$1:$1048576,'History and Forecast'!BE$7,'History and Forecast'!$H22),INDEX('Forecast Prices'!$1:$1048576,'History and Forecast'!$G22,'History and Forecast'!BE$6))</f>
        <v>#N/A</v>
      </c>
      <c r="BF22" s="17" t="e">
        <f>IF(BF$9,INDEX('Annual Real'!$1:$1048576,'History and Forecast'!BF$7,'History and Forecast'!$H22),INDEX('Forecast Prices'!$1:$1048576,'History and Forecast'!$G22,'History and Forecast'!BF$6))</f>
        <v>#N/A</v>
      </c>
      <c r="BG22" s="17" t="e">
        <f>IF(BG$9,INDEX('Annual Real'!$1:$1048576,'History and Forecast'!BG$7,'History and Forecast'!$H22),INDEX('Forecast Prices'!$1:$1048576,'History and Forecast'!$G22,'History and Forecast'!BG$6))</f>
        <v>#N/A</v>
      </c>
      <c r="BH22" s="17" t="e">
        <f>IF(BH$9,INDEX('Annual Real'!$1:$1048576,'History and Forecast'!BH$7,'History and Forecast'!$H22),INDEX('Forecast Prices'!$1:$1048576,'History and Forecast'!$G22,'History and Forecast'!BH$6))</f>
        <v>#N/A</v>
      </c>
      <c r="BI22" s="17" t="e">
        <f>IF(BI$9,INDEX('Annual Real'!$1:$1048576,'History and Forecast'!BI$7,'History and Forecast'!$H22),INDEX('Forecast Prices'!$1:$1048576,'History and Forecast'!$G22,'History and Forecast'!BI$6))</f>
        <v>#N/A</v>
      </c>
      <c r="BJ22" s="17" t="e">
        <f>IF(BJ$9,INDEX('Annual Real'!$1:$1048576,'History and Forecast'!BJ$7,'History and Forecast'!$H22),INDEX('Forecast Prices'!$1:$1048576,'History and Forecast'!$G22,'History and Forecast'!BJ$6))</f>
        <v>#N/A</v>
      </c>
      <c r="BK22" s="17" t="e">
        <f>IF(BK$9,INDEX('Annual Real'!$1:$1048576,'History and Forecast'!BK$7,'History and Forecast'!$H22),INDEX('Forecast Prices'!$1:$1048576,'History and Forecast'!$G22,'History and Forecast'!BK$6))</f>
        <v>#N/A</v>
      </c>
      <c r="BL22" s="17" t="e">
        <f>IF(BL$9,INDEX('Annual Real'!$1:$1048576,'History and Forecast'!BL$7,'History and Forecast'!$H22),INDEX('Forecast Prices'!$1:$1048576,'History and Forecast'!$G22,'History and Forecast'!BL$6))</f>
        <v>#N/A</v>
      </c>
      <c r="BM22" s="17" t="e">
        <f>IF(BM$9,INDEX('Annual Real'!$1:$1048576,'History and Forecast'!BM$7,'History and Forecast'!$H22),INDEX('Forecast Prices'!$1:$1048576,'History and Forecast'!$G22,'History and Forecast'!BM$6))</f>
        <v>#N/A</v>
      </c>
      <c r="BN22" s="17" t="e">
        <f>IF(BN$9,INDEX('Annual Real'!$1:$1048576,'History and Forecast'!BN$7,'History and Forecast'!$H22),INDEX('Forecast Prices'!$1:$1048576,'History and Forecast'!$G22,'History and Forecast'!BN$6))</f>
        <v>#N/A</v>
      </c>
      <c r="BO22" s="17">
        <f>IF(BO$9,INDEX('Annual Real'!$1:$1048576,'History and Forecast'!BO$7,'History and Forecast'!$H22),INDEX('Forecast Prices'!$1:$1048576,'History and Forecast'!$G22,'History and Forecast'!BO$6))</f>
        <v>398.439292527813</v>
      </c>
      <c r="BP22" s="17">
        <f>IF(BP$9,INDEX('Annual Real'!$1:$1048576,'History and Forecast'!BP$7,'History and Forecast'!$H22),INDEX('Forecast Prices'!$1:$1048576,'History and Forecast'!$G22,'History and Forecast'!BP$6))</f>
        <v>360.01556923120199</v>
      </c>
      <c r="BQ22" s="17">
        <f>IF(BQ$9,INDEX('Annual Real'!$1:$1048576,'History and Forecast'!BQ$7,'History and Forecast'!$H22),INDEX('Forecast Prices'!$1:$1048576,'History and Forecast'!$G22,'History and Forecast'!BQ$6))</f>
        <v>397.85006630301501</v>
      </c>
      <c r="BR22" s="17">
        <f>IF(BR$9,INDEX('Annual Real'!$1:$1048576,'History and Forecast'!BR$7,'History and Forecast'!$H22),INDEX('Forecast Prices'!$1:$1048576,'History and Forecast'!$G22,'History and Forecast'!BR$6))</f>
        <v>341.74364846984002</v>
      </c>
      <c r="BS22" s="17">
        <f>IF(BS$9,INDEX('Annual Real'!$1:$1048576,'History and Forecast'!BS$7,'History and Forecast'!$H22),INDEX('Forecast Prices'!$1:$1048576,'History and Forecast'!$G22,'History and Forecast'!BS$6))</f>
        <v>343.35114002719399</v>
      </c>
      <c r="BT22" s="17">
        <f>IF(BT$9,INDEX('Annual Real'!$1:$1048576,'History and Forecast'!BT$7,'History and Forecast'!$H22),INDEX('Forecast Prices'!$1:$1048576,'History and Forecast'!$G22,'History and Forecast'!BT$6))</f>
        <v>345.05089951860901</v>
      </c>
      <c r="BU22" s="17">
        <f>IF(BU$9,INDEX('Annual Real'!$1:$1048576,'History and Forecast'!BU$7,'History and Forecast'!$H22),INDEX('Forecast Prices'!$1:$1048576,'History and Forecast'!$G22,'History and Forecast'!BU$6))</f>
        <v>346.481102509773</v>
      </c>
      <c r="BV22" s="17">
        <f>IF(BV$9,INDEX('Annual Real'!$1:$1048576,'History and Forecast'!BV$7,'History and Forecast'!$H22),INDEX('Forecast Prices'!$1:$1048576,'History and Forecast'!$G22,'History and Forecast'!BV$6))</f>
        <v>347.94793883274599</v>
      </c>
      <c r="BW22" s="17">
        <f>IF(BW$9,INDEX('Annual Real'!$1:$1048576,'History and Forecast'!BW$7,'History and Forecast'!$H22),INDEX('Forecast Prices'!$1:$1048576,'History and Forecast'!$G22,'History and Forecast'!BW$6))</f>
        <v>349.42086916860501</v>
      </c>
      <c r="BX22" s="17">
        <f>IF(BX$9,INDEX('Annual Real'!$1:$1048576,'History and Forecast'!BX$7,'History and Forecast'!$H22),INDEX('Forecast Prices'!$1:$1048576,'History and Forecast'!$G22,'History and Forecast'!BX$6))</f>
        <v>350.87979695644299</v>
      </c>
      <c r="BY22" s="17" t="e">
        <f>IF(BY$9,INDEX('Annual Real'!$1:$1048576,'History and Forecast'!BY$7,'History and Forecast'!$H22),INDEX('Forecast Prices'!$1:$1048576,'History and Forecast'!$G22,'History and Forecast'!BY$6))</f>
        <v>#N/A</v>
      </c>
      <c r="BZ22" s="17" t="e">
        <f>IF(BZ$9,INDEX('Annual Real'!$1:$1048576,'History and Forecast'!BZ$7,'History and Forecast'!$H22),INDEX('Forecast Prices'!$1:$1048576,'History and Forecast'!$G22,'History and Forecast'!BZ$6))</f>
        <v>#N/A</v>
      </c>
      <c r="CA22" s="17" t="e">
        <f>IF(CA$9,INDEX('Annual Real'!$1:$1048576,'History and Forecast'!CA$7,'History and Forecast'!$H22),INDEX('Forecast Prices'!$1:$1048576,'History and Forecast'!$G22,'History and Forecast'!CA$6))</f>
        <v>#N/A</v>
      </c>
      <c r="CB22" s="17" t="e">
        <f>IF(CB$9,INDEX('Annual Real'!$1:$1048576,'History and Forecast'!CB$7,'History and Forecast'!$H22),INDEX('Forecast Prices'!$1:$1048576,'History and Forecast'!$G22,'History and Forecast'!CB$6))</f>
        <v>#N/A</v>
      </c>
      <c r="CC22" s="17">
        <f>IF(CC$9,INDEX('Annual Real'!$1:$1048576,'History and Forecast'!CC$7,'History and Forecast'!$H22),INDEX('Forecast Prices'!$1:$1048576,'History and Forecast'!$G22,'History and Forecast'!CC$6))</f>
        <v>357.719036682546</v>
      </c>
      <c r="CD22" s="17" t="e">
        <f>IF(CD$9,INDEX('Annual Real'!$1:$1048576,'History and Forecast'!CD$7,'History and Forecast'!$H22),INDEX('Forecast Prices'!$1:$1048576,'History and Forecast'!$G22,'History and Forecast'!CD$6))</f>
        <v>#N/A</v>
      </c>
      <c r="CE22" s="17" t="e">
        <f>IF(CE$9,INDEX('Annual Real'!$1:$1048576,'History and Forecast'!CE$7,'History and Forecast'!$H22),INDEX('Forecast Prices'!$1:$1048576,'History and Forecast'!$G22,'History and Forecast'!CE$6))</f>
        <v>#N/A</v>
      </c>
      <c r="CF22" s="17" t="e">
        <f>IF(CF$9,INDEX('Annual Real'!$1:$1048576,'History and Forecast'!CF$7,'History and Forecast'!$H22),INDEX('Forecast Prices'!$1:$1048576,'History and Forecast'!$G22,'History and Forecast'!CF$6))</f>
        <v>#N/A</v>
      </c>
      <c r="CG22" s="17" t="e">
        <f>IF(CG$9,INDEX('Annual Real'!$1:$1048576,'History and Forecast'!CG$7,'History and Forecast'!$H22),INDEX('Forecast Prices'!$1:$1048576,'History and Forecast'!$G22,'History and Forecast'!CG$6))</f>
        <v>#N/A</v>
      </c>
      <c r="CH22" s="17" t="e">
        <f>IF(CH$9,INDEX('Annual Real'!$1:$1048576,'History and Forecast'!CH$7,'History and Forecast'!$H22),INDEX('Forecast Prices'!$1:$1048576,'History and Forecast'!$G22,'History and Forecast'!CH$6))</f>
        <v>#N/A</v>
      </c>
      <c r="CI22" s="17" t="e">
        <f>IF(CI$9,INDEX('Annual Real'!$1:$1048576,'History and Forecast'!CI$7,'History and Forecast'!$H22),INDEX('Forecast Prices'!$1:$1048576,'History and Forecast'!$G22,'History and Forecast'!CI$6))</f>
        <v>#N/A</v>
      </c>
    </row>
    <row r="23" spans="2:87">
      <c r="B23" t="str">
        <f t="shared" si="4"/>
        <v>SOYBEAN_OIL</v>
      </c>
      <c r="C23" s="34" t="s">
        <v>1064</v>
      </c>
      <c r="D23" t="str">
        <f t="shared" si="5"/>
        <v>KSOYBEAN_OIL</v>
      </c>
      <c r="E23" s="34" t="str">
        <f t="shared" si="6"/>
        <v>KFSOYBEAN_OIL</v>
      </c>
      <c r="F23">
        <f>MATCH(C23,'Forecast Prices'!A:A,0)</f>
        <v>25</v>
      </c>
      <c r="G23">
        <f>MATCH(E23,'Forecast Prices'!A:A,0)</f>
        <v>107</v>
      </c>
      <c r="H23" t="e">
        <f>MATCH(D23,'Annual Real'!$9:$9,0)</f>
        <v>#N/A</v>
      </c>
      <c r="I23" t="str">
        <f>INDEX('Forecast Prices'!B:B,'History and Forecast'!F23)&amp;INDEX('Forecast Prices'!C:C,'History and Forecast'!F23)&amp;INDEX('Forecast Prices'!D:D,'History and Forecast'!F23)&amp;INDEX('Forecast Prices'!E:E,'History and Forecast'!F23)</f>
        <v>Soybean oil</v>
      </c>
      <c r="J23" t="str">
        <f>INDEX('Forecast Prices'!H:H,'History and Forecast'!F23)</f>
        <v>$/mt</v>
      </c>
      <c r="K23" s="17" t="e">
        <f>IF(K$9,INDEX('Annual Real'!$1:$1048576,'History and Forecast'!K$7,'History and Forecast'!$H23),INDEX('Forecast Prices'!$1:$1048576,'History and Forecast'!$G23,'History and Forecast'!K$6))</f>
        <v>#N/A</v>
      </c>
      <c r="L23" s="17" t="e">
        <f>IF(L$9,INDEX('Annual Real'!$1:$1048576,'History and Forecast'!L$7,'History and Forecast'!$H23),INDEX('Forecast Prices'!$1:$1048576,'History and Forecast'!$G23,'History and Forecast'!L$6))</f>
        <v>#N/A</v>
      </c>
      <c r="M23" s="17" t="e">
        <f>IF(M$9,INDEX('Annual Real'!$1:$1048576,'History and Forecast'!M$7,'History and Forecast'!$H23),INDEX('Forecast Prices'!$1:$1048576,'History and Forecast'!$G23,'History and Forecast'!M$6))</f>
        <v>#N/A</v>
      </c>
      <c r="N23" s="17" t="e">
        <f>IF(N$9,INDEX('Annual Real'!$1:$1048576,'History and Forecast'!N$7,'History and Forecast'!$H23),INDEX('Forecast Prices'!$1:$1048576,'History and Forecast'!$G23,'History and Forecast'!N$6))</f>
        <v>#N/A</v>
      </c>
      <c r="O23" s="17" t="e">
        <f>IF(O$9,INDEX('Annual Real'!$1:$1048576,'History and Forecast'!O$7,'History and Forecast'!$H23),INDEX('Forecast Prices'!$1:$1048576,'History and Forecast'!$G23,'History and Forecast'!O$6))</f>
        <v>#N/A</v>
      </c>
      <c r="P23" s="17" t="e">
        <f>IF(P$9,INDEX('Annual Real'!$1:$1048576,'History and Forecast'!P$7,'History and Forecast'!$H23),INDEX('Forecast Prices'!$1:$1048576,'History and Forecast'!$G23,'History and Forecast'!P$6))</f>
        <v>#N/A</v>
      </c>
      <c r="Q23" s="17" t="e">
        <f>IF(Q$9,INDEX('Annual Real'!$1:$1048576,'History and Forecast'!Q$7,'History and Forecast'!$H23),INDEX('Forecast Prices'!$1:$1048576,'History and Forecast'!$G23,'History and Forecast'!Q$6))</f>
        <v>#N/A</v>
      </c>
      <c r="R23" s="17" t="e">
        <f>IF(R$9,INDEX('Annual Real'!$1:$1048576,'History and Forecast'!R$7,'History and Forecast'!$H23),INDEX('Forecast Prices'!$1:$1048576,'History and Forecast'!$G23,'History and Forecast'!R$6))</f>
        <v>#N/A</v>
      </c>
      <c r="S23" s="17" t="e">
        <f>IF(S$9,INDEX('Annual Real'!$1:$1048576,'History and Forecast'!S$7,'History and Forecast'!$H23),INDEX('Forecast Prices'!$1:$1048576,'History and Forecast'!$G23,'History and Forecast'!S$6))</f>
        <v>#N/A</v>
      </c>
      <c r="T23" s="17" t="e">
        <f>IF(T$9,INDEX('Annual Real'!$1:$1048576,'History and Forecast'!T$7,'History and Forecast'!$H23),INDEX('Forecast Prices'!$1:$1048576,'History and Forecast'!$G23,'History and Forecast'!T$6))</f>
        <v>#N/A</v>
      </c>
      <c r="U23" s="17" t="e">
        <f>IF(U$9,INDEX('Annual Real'!$1:$1048576,'History and Forecast'!U$7,'History and Forecast'!$H23),INDEX('Forecast Prices'!$1:$1048576,'History and Forecast'!$G23,'History and Forecast'!U$6))</f>
        <v>#N/A</v>
      </c>
      <c r="V23" s="17" t="e">
        <f>IF(V$9,INDEX('Annual Real'!$1:$1048576,'History and Forecast'!V$7,'History and Forecast'!$H23),INDEX('Forecast Prices'!$1:$1048576,'History and Forecast'!$G23,'History and Forecast'!V$6))</f>
        <v>#N/A</v>
      </c>
      <c r="W23" s="17" t="e">
        <f>IF(W$9,INDEX('Annual Real'!$1:$1048576,'History and Forecast'!W$7,'History and Forecast'!$H23),INDEX('Forecast Prices'!$1:$1048576,'History and Forecast'!$G23,'History and Forecast'!W$6))</f>
        <v>#N/A</v>
      </c>
      <c r="X23" s="17" t="e">
        <f>IF(X$9,INDEX('Annual Real'!$1:$1048576,'History and Forecast'!X$7,'History and Forecast'!$H23),INDEX('Forecast Prices'!$1:$1048576,'History and Forecast'!$G23,'History and Forecast'!X$6))</f>
        <v>#N/A</v>
      </c>
      <c r="Y23" s="17" t="e">
        <f>IF(Y$9,INDEX('Annual Real'!$1:$1048576,'History and Forecast'!Y$7,'History and Forecast'!$H23),INDEX('Forecast Prices'!$1:$1048576,'History and Forecast'!$G23,'History and Forecast'!Y$6))</f>
        <v>#N/A</v>
      </c>
      <c r="Z23" s="17" t="e">
        <f>IF(Z$9,INDEX('Annual Real'!$1:$1048576,'History and Forecast'!Z$7,'History and Forecast'!$H23),INDEX('Forecast Prices'!$1:$1048576,'History and Forecast'!$G23,'History and Forecast'!Z$6))</f>
        <v>#N/A</v>
      </c>
      <c r="AA23" s="17" t="e">
        <f>IF(AA$9,INDEX('Annual Real'!$1:$1048576,'History and Forecast'!AA$7,'History and Forecast'!$H23),INDEX('Forecast Prices'!$1:$1048576,'History and Forecast'!$G23,'History and Forecast'!AA$6))</f>
        <v>#N/A</v>
      </c>
      <c r="AB23" s="17" t="e">
        <f>IF(AB$9,INDEX('Annual Real'!$1:$1048576,'History and Forecast'!AB$7,'History and Forecast'!$H23),INDEX('Forecast Prices'!$1:$1048576,'History and Forecast'!$G23,'History and Forecast'!AB$6))</f>
        <v>#N/A</v>
      </c>
      <c r="AC23" s="17" t="e">
        <f>IF(AC$9,INDEX('Annual Real'!$1:$1048576,'History and Forecast'!AC$7,'History and Forecast'!$H23),INDEX('Forecast Prices'!$1:$1048576,'History and Forecast'!$G23,'History and Forecast'!AC$6))</f>
        <v>#N/A</v>
      </c>
      <c r="AD23" s="17" t="e">
        <f>IF(AD$9,INDEX('Annual Real'!$1:$1048576,'History and Forecast'!AD$7,'History and Forecast'!$H23),INDEX('Forecast Prices'!$1:$1048576,'History and Forecast'!$G23,'History and Forecast'!AD$6))</f>
        <v>#N/A</v>
      </c>
      <c r="AE23" s="17" t="e">
        <f>IF(AE$9,INDEX('Annual Real'!$1:$1048576,'History and Forecast'!AE$7,'History and Forecast'!$H23),INDEX('Forecast Prices'!$1:$1048576,'History and Forecast'!$G23,'History and Forecast'!AE$6))</f>
        <v>#N/A</v>
      </c>
      <c r="AF23" s="17" t="e">
        <f>IF(AF$9,INDEX('Annual Real'!$1:$1048576,'History and Forecast'!AF$7,'History and Forecast'!$H23),INDEX('Forecast Prices'!$1:$1048576,'History and Forecast'!$G23,'History and Forecast'!AF$6))</f>
        <v>#N/A</v>
      </c>
      <c r="AG23" s="17" t="e">
        <f>IF(AG$9,INDEX('Annual Real'!$1:$1048576,'History and Forecast'!AG$7,'History and Forecast'!$H23),INDEX('Forecast Prices'!$1:$1048576,'History and Forecast'!$G23,'History and Forecast'!AG$6))</f>
        <v>#N/A</v>
      </c>
      <c r="AH23" s="17" t="e">
        <f>IF(AH$9,INDEX('Annual Real'!$1:$1048576,'History and Forecast'!AH$7,'History and Forecast'!$H23),INDEX('Forecast Prices'!$1:$1048576,'History and Forecast'!$G23,'History and Forecast'!AH$6))</f>
        <v>#N/A</v>
      </c>
      <c r="AI23" s="17" t="e">
        <f>IF(AI$9,INDEX('Annual Real'!$1:$1048576,'History and Forecast'!AI$7,'History and Forecast'!$H23),INDEX('Forecast Prices'!$1:$1048576,'History and Forecast'!$G23,'History and Forecast'!AI$6))</f>
        <v>#N/A</v>
      </c>
      <c r="AJ23" s="17" t="e">
        <f>IF(AJ$9,INDEX('Annual Real'!$1:$1048576,'History and Forecast'!AJ$7,'History and Forecast'!$H23),INDEX('Forecast Prices'!$1:$1048576,'History and Forecast'!$G23,'History and Forecast'!AJ$6))</f>
        <v>#N/A</v>
      </c>
      <c r="AK23" s="17" t="e">
        <f>IF(AK$9,INDEX('Annual Real'!$1:$1048576,'History and Forecast'!AK$7,'History and Forecast'!$H23),INDEX('Forecast Prices'!$1:$1048576,'History and Forecast'!$G23,'History and Forecast'!AK$6))</f>
        <v>#N/A</v>
      </c>
      <c r="AL23" s="17" t="e">
        <f>IF(AL$9,INDEX('Annual Real'!$1:$1048576,'History and Forecast'!AL$7,'History and Forecast'!$H23),INDEX('Forecast Prices'!$1:$1048576,'History and Forecast'!$G23,'History and Forecast'!AL$6))</f>
        <v>#N/A</v>
      </c>
      <c r="AM23" s="17" t="e">
        <f>IF(AM$9,INDEX('Annual Real'!$1:$1048576,'History and Forecast'!AM$7,'History and Forecast'!$H23),INDEX('Forecast Prices'!$1:$1048576,'History and Forecast'!$G23,'History and Forecast'!AM$6))</f>
        <v>#N/A</v>
      </c>
      <c r="AN23" s="17" t="e">
        <f>IF(AN$9,INDEX('Annual Real'!$1:$1048576,'History and Forecast'!AN$7,'History and Forecast'!$H23),INDEX('Forecast Prices'!$1:$1048576,'History and Forecast'!$G23,'History and Forecast'!AN$6))</f>
        <v>#N/A</v>
      </c>
      <c r="AO23" s="17" t="e">
        <f>IF(AO$9,INDEX('Annual Real'!$1:$1048576,'History and Forecast'!AO$7,'History and Forecast'!$H23),INDEX('Forecast Prices'!$1:$1048576,'History and Forecast'!$G23,'History and Forecast'!AO$6))</f>
        <v>#N/A</v>
      </c>
      <c r="AP23" s="17" t="e">
        <f>IF(AP$9,INDEX('Annual Real'!$1:$1048576,'History and Forecast'!AP$7,'History and Forecast'!$H23),INDEX('Forecast Prices'!$1:$1048576,'History and Forecast'!$G23,'History and Forecast'!AP$6))</f>
        <v>#N/A</v>
      </c>
      <c r="AQ23" s="17" t="e">
        <f>IF(AQ$9,INDEX('Annual Real'!$1:$1048576,'History and Forecast'!AQ$7,'History and Forecast'!$H23),INDEX('Forecast Prices'!$1:$1048576,'History and Forecast'!$G23,'History and Forecast'!AQ$6))</f>
        <v>#N/A</v>
      </c>
      <c r="AR23" s="17" t="e">
        <f>IF(AR$9,INDEX('Annual Real'!$1:$1048576,'History and Forecast'!AR$7,'History and Forecast'!$H23),INDEX('Forecast Prices'!$1:$1048576,'History and Forecast'!$G23,'History and Forecast'!AR$6))</f>
        <v>#N/A</v>
      </c>
      <c r="AS23" s="17" t="e">
        <f>IF(AS$9,INDEX('Annual Real'!$1:$1048576,'History and Forecast'!AS$7,'History and Forecast'!$H23),INDEX('Forecast Prices'!$1:$1048576,'History and Forecast'!$G23,'History and Forecast'!AS$6))</f>
        <v>#N/A</v>
      </c>
      <c r="AT23" s="17" t="e">
        <f>IF(AT$9,INDEX('Annual Real'!$1:$1048576,'History and Forecast'!AT$7,'History and Forecast'!$H23),INDEX('Forecast Prices'!$1:$1048576,'History and Forecast'!$G23,'History and Forecast'!AT$6))</f>
        <v>#N/A</v>
      </c>
      <c r="AU23" s="17" t="e">
        <f>IF(AU$9,INDEX('Annual Real'!$1:$1048576,'History and Forecast'!AU$7,'History and Forecast'!$H23),INDEX('Forecast Prices'!$1:$1048576,'History and Forecast'!$G23,'History and Forecast'!AU$6))</f>
        <v>#N/A</v>
      </c>
      <c r="AV23" s="17" t="e">
        <f>IF(AV$9,INDEX('Annual Real'!$1:$1048576,'History and Forecast'!AV$7,'History and Forecast'!$H23),INDEX('Forecast Prices'!$1:$1048576,'History and Forecast'!$G23,'History and Forecast'!AV$6))</f>
        <v>#N/A</v>
      </c>
      <c r="AW23" s="17" t="e">
        <f>IF(AW$9,INDEX('Annual Real'!$1:$1048576,'History and Forecast'!AW$7,'History and Forecast'!$H23),INDEX('Forecast Prices'!$1:$1048576,'History and Forecast'!$G23,'History and Forecast'!AW$6))</f>
        <v>#N/A</v>
      </c>
      <c r="AX23" s="17" t="e">
        <f>IF(AX$9,INDEX('Annual Real'!$1:$1048576,'History and Forecast'!AX$7,'History and Forecast'!$H23),INDEX('Forecast Prices'!$1:$1048576,'History and Forecast'!$G23,'History and Forecast'!AX$6))</f>
        <v>#N/A</v>
      </c>
      <c r="AY23" s="17" t="e">
        <f>IF(AY$9,INDEX('Annual Real'!$1:$1048576,'History and Forecast'!AY$7,'History and Forecast'!$H23),INDEX('Forecast Prices'!$1:$1048576,'History and Forecast'!$G23,'History and Forecast'!AY$6))</f>
        <v>#N/A</v>
      </c>
      <c r="AZ23" s="17" t="e">
        <f>IF(AZ$9,INDEX('Annual Real'!$1:$1048576,'History and Forecast'!AZ$7,'History and Forecast'!$H23),INDEX('Forecast Prices'!$1:$1048576,'History and Forecast'!$G23,'History and Forecast'!AZ$6))</f>
        <v>#N/A</v>
      </c>
      <c r="BA23" s="17" t="e">
        <f>IF(BA$9,INDEX('Annual Real'!$1:$1048576,'History and Forecast'!BA$7,'History and Forecast'!$H23),INDEX('Forecast Prices'!$1:$1048576,'History and Forecast'!$G23,'History and Forecast'!BA$6))</f>
        <v>#N/A</v>
      </c>
      <c r="BB23" s="17" t="e">
        <f>IF(BB$9,INDEX('Annual Real'!$1:$1048576,'History and Forecast'!BB$7,'History and Forecast'!$H23),INDEX('Forecast Prices'!$1:$1048576,'History and Forecast'!$G23,'History and Forecast'!BB$6))</f>
        <v>#N/A</v>
      </c>
      <c r="BC23" s="17" t="e">
        <f>IF(BC$9,INDEX('Annual Real'!$1:$1048576,'History and Forecast'!BC$7,'History and Forecast'!$H23),INDEX('Forecast Prices'!$1:$1048576,'History and Forecast'!$G23,'History and Forecast'!BC$6))</f>
        <v>#N/A</v>
      </c>
      <c r="BD23" s="17" t="e">
        <f>IF(BD$9,INDEX('Annual Real'!$1:$1048576,'History and Forecast'!BD$7,'History and Forecast'!$H23),INDEX('Forecast Prices'!$1:$1048576,'History and Forecast'!$G23,'History and Forecast'!BD$6))</f>
        <v>#N/A</v>
      </c>
      <c r="BE23" s="17" t="e">
        <f>IF(BE$9,INDEX('Annual Real'!$1:$1048576,'History and Forecast'!BE$7,'History and Forecast'!$H23),INDEX('Forecast Prices'!$1:$1048576,'History and Forecast'!$G23,'History and Forecast'!BE$6))</f>
        <v>#N/A</v>
      </c>
      <c r="BF23" s="17" t="e">
        <f>IF(BF$9,INDEX('Annual Real'!$1:$1048576,'History and Forecast'!BF$7,'History and Forecast'!$H23),INDEX('Forecast Prices'!$1:$1048576,'History and Forecast'!$G23,'History and Forecast'!BF$6))</f>
        <v>#N/A</v>
      </c>
      <c r="BG23" s="17" t="e">
        <f>IF(BG$9,INDEX('Annual Real'!$1:$1048576,'History and Forecast'!BG$7,'History and Forecast'!$H23),INDEX('Forecast Prices'!$1:$1048576,'History and Forecast'!$G23,'History and Forecast'!BG$6))</f>
        <v>#N/A</v>
      </c>
      <c r="BH23" s="17" t="e">
        <f>IF(BH$9,INDEX('Annual Real'!$1:$1048576,'History and Forecast'!BH$7,'History and Forecast'!$H23),INDEX('Forecast Prices'!$1:$1048576,'History and Forecast'!$G23,'History and Forecast'!BH$6))</f>
        <v>#N/A</v>
      </c>
      <c r="BI23" s="17" t="e">
        <f>IF(BI$9,INDEX('Annual Real'!$1:$1048576,'History and Forecast'!BI$7,'History and Forecast'!$H23),INDEX('Forecast Prices'!$1:$1048576,'History and Forecast'!$G23,'History and Forecast'!BI$6))</f>
        <v>#N/A</v>
      </c>
      <c r="BJ23" s="17" t="e">
        <f>IF(BJ$9,INDEX('Annual Real'!$1:$1048576,'History and Forecast'!BJ$7,'History and Forecast'!$H23),INDEX('Forecast Prices'!$1:$1048576,'History and Forecast'!$G23,'History and Forecast'!BJ$6))</f>
        <v>#N/A</v>
      </c>
      <c r="BK23" s="17" t="e">
        <f>IF(BK$9,INDEX('Annual Real'!$1:$1048576,'History and Forecast'!BK$7,'History and Forecast'!$H23),INDEX('Forecast Prices'!$1:$1048576,'History and Forecast'!$G23,'History and Forecast'!BK$6))</f>
        <v>#N/A</v>
      </c>
      <c r="BL23" s="17" t="e">
        <f>IF(BL$9,INDEX('Annual Real'!$1:$1048576,'History and Forecast'!BL$7,'History and Forecast'!$H23),INDEX('Forecast Prices'!$1:$1048576,'History and Forecast'!$G23,'History and Forecast'!BL$6))</f>
        <v>#N/A</v>
      </c>
      <c r="BM23" s="17" t="e">
        <f>IF(BM$9,INDEX('Annual Real'!$1:$1048576,'History and Forecast'!BM$7,'History and Forecast'!$H23),INDEX('Forecast Prices'!$1:$1048576,'History and Forecast'!$G23,'History and Forecast'!BM$6))</f>
        <v>#N/A</v>
      </c>
      <c r="BN23" s="17" t="e">
        <f>IF(BN$9,INDEX('Annual Real'!$1:$1048576,'History and Forecast'!BN$7,'History and Forecast'!$H23),INDEX('Forecast Prices'!$1:$1048576,'History and Forecast'!$G23,'History and Forecast'!BN$6))</f>
        <v>#N/A</v>
      </c>
      <c r="BO23" s="17">
        <f>IF(BO$9,INDEX('Annual Real'!$1:$1048576,'History and Forecast'!BO$7,'History and Forecast'!$H23),INDEX('Forecast Prices'!$1:$1048576,'History and Forecast'!$G23,'History and Forecast'!BO$6))</f>
        <v>866.71716930642697</v>
      </c>
      <c r="BP23" s="17">
        <f>IF(BP$9,INDEX('Annual Real'!$1:$1048576,'History and Forecast'!BP$7,'History and Forecast'!$H23),INDEX('Forecast Prices'!$1:$1048576,'History and Forecast'!$G23,'History and Forecast'!BP$6))</f>
        <v>874.12797836441405</v>
      </c>
      <c r="BQ23" s="17">
        <f>IF(BQ$9,INDEX('Annual Real'!$1:$1048576,'History and Forecast'!BQ$7,'History and Forecast'!$H23),INDEX('Forecast Prices'!$1:$1048576,'History and Forecast'!$G23,'History and Forecast'!BQ$6))</f>
        <v>774.78545768855304</v>
      </c>
      <c r="BR23" s="17">
        <f>IF(BR$9,INDEX('Annual Real'!$1:$1048576,'History and Forecast'!BR$7,'History and Forecast'!$H23),INDEX('Forecast Prices'!$1:$1048576,'History and Forecast'!$G23,'History and Forecast'!BR$6))</f>
        <v>731.62020517486906</v>
      </c>
      <c r="BS23" s="17">
        <f>IF(BS$9,INDEX('Annual Real'!$1:$1048576,'History and Forecast'!BS$7,'History and Forecast'!$H23),INDEX('Forecast Prices'!$1:$1048576,'History and Forecast'!$G23,'History and Forecast'!BS$6))</f>
        <v>737.55882621468004</v>
      </c>
      <c r="BT23" s="17">
        <f>IF(BT$9,INDEX('Annual Real'!$1:$1048576,'History and Forecast'!BT$7,'History and Forecast'!$H23),INDEX('Forecast Prices'!$1:$1048576,'History and Forecast'!$G23,'History and Forecast'!BT$6))</f>
        <v>743.72822954346702</v>
      </c>
      <c r="BU23" s="17">
        <f>IF(BU$9,INDEX('Annual Real'!$1:$1048576,'History and Forecast'!BU$7,'History and Forecast'!$H23),INDEX('Forecast Prices'!$1:$1048576,'History and Forecast'!$G23,'History and Forecast'!BU$6))</f>
        <v>749.34805866398494</v>
      </c>
      <c r="BV23" s="17">
        <f>IF(BV$9,INDEX('Annual Real'!$1:$1048576,'History and Forecast'!BV$7,'History and Forecast'!$H23),INDEX('Forecast Prices'!$1:$1048576,'History and Forecast'!$G23,'History and Forecast'!BV$6))</f>
        <v>755.07698596043201</v>
      </c>
      <c r="BW23" s="17">
        <f>IF(BW$9,INDEX('Annual Real'!$1:$1048576,'History and Forecast'!BW$7,'History and Forecast'!$H23),INDEX('Forecast Prices'!$1:$1048576,'History and Forecast'!$G23,'History and Forecast'!BW$6))</f>
        <v>760.84945982691602</v>
      </c>
      <c r="BX23" s="17">
        <f>IF(BX$9,INDEX('Annual Real'!$1:$1048576,'History and Forecast'!BX$7,'History and Forecast'!$H23),INDEX('Forecast Prices'!$1:$1048576,'History and Forecast'!$G23,'History and Forecast'!BX$6))</f>
        <v>766.62184701186004</v>
      </c>
      <c r="BY23" s="17" t="e">
        <f>IF(BY$9,INDEX('Annual Real'!$1:$1048576,'History and Forecast'!BY$7,'History and Forecast'!$H23),INDEX('Forecast Prices'!$1:$1048576,'History and Forecast'!$G23,'History and Forecast'!BY$6))</f>
        <v>#N/A</v>
      </c>
      <c r="BZ23" s="17" t="e">
        <f>IF(BZ$9,INDEX('Annual Real'!$1:$1048576,'History and Forecast'!BZ$7,'History and Forecast'!$H23),INDEX('Forecast Prices'!$1:$1048576,'History and Forecast'!$G23,'History and Forecast'!BZ$6))</f>
        <v>#N/A</v>
      </c>
      <c r="CA23" s="17" t="e">
        <f>IF(CA$9,INDEX('Annual Real'!$1:$1048576,'History and Forecast'!CA$7,'History and Forecast'!$H23),INDEX('Forecast Prices'!$1:$1048576,'History and Forecast'!$G23,'History and Forecast'!CA$6))</f>
        <v>#N/A</v>
      </c>
      <c r="CB23" s="17" t="e">
        <f>IF(CB$9,INDEX('Annual Real'!$1:$1048576,'History and Forecast'!CB$7,'History and Forecast'!$H23),INDEX('Forecast Prices'!$1:$1048576,'History and Forecast'!$G23,'History and Forecast'!CB$6))</f>
        <v>#N/A</v>
      </c>
      <c r="CC23" s="17">
        <f>IF(CC$9,INDEX('Annual Real'!$1:$1048576,'History and Forecast'!CC$7,'History and Forecast'!$H23),INDEX('Forecast Prices'!$1:$1048576,'History and Forecast'!$G23,'History and Forecast'!CC$6))</f>
        <v>794.93119262788002</v>
      </c>
      <c r="CD23" s="17" t="e">
        <f>IF(CD$9,INDEX('Annual Real'!$1:$1048576,'History and Forecast'!CD$7,'History and Forecast'!$H23),INDEX('Forecast Prices'!$1:$1048576,'History and Forecast'!$G23,'History and Forecast'!CD$6))</f>
        <v>#N/A</v>
      </c>
      <c r="CE23" s="17" t="e">
        <f>IF(CE$9,INDEX('Annual Real'!$1:$1048576,'History and Forecast'!CE$7,'History and Forecast'!$H23),INDEX('Forecast Prices'!$1:$1048576,'History and Forecast'!$G23,'History and Forecast'!CE$6))</f>
        <v>#N/A</v>
      </c>
      <c r="CF23" s="17" t="e">
        <f>IF(CF$9,INDEX('Annual Real'!$1:$1048576,'History and Forecast'!CF$7,'History and Forecast'!$H23),INDEX('Forecast Prices'!$1:$1048576,'History and Forecast'!$G23,'History and Forecast'!CF$6))</f>
        <v>#N/A</v>
      </c>
      <c r="CG23" s="17" t="e">
        <f>IF(CG$9,INDEX('Annual Real'!$1:$1048576,'History and Forecast'!CG$7,'History and Forecast'!$H23),INDEX('Forecast Prices'!$1:$1048576,'History and Forecast'!$G23,'History and Forecast'!CG$6))</f>
        <v>#N/A</v>
      </c>
      <c r="CH23" s="17" t="e">
        <f>IF(CH$9,INDEX('Annual Real'!$1:$1048576,'History and Forecast'!CH$7,'History and Forecast'!$H23),INDEX('Forecast Prices'!$1:$1048576,'History and Forecast'!$G23,'History and Forecast'!CH$6))</f>
        <v>#N/A</v>
      </c>
      <c r="CI23" s="17" t="e">
        <f>IF(CI$9,INDEX('Annual Real'!$1:$1048576,'History and Forecast'!CI$7,'History and Forecast'!$H23),INDEX('Forecast Prices'!$1:$1048576,'History and Forecast'!$G23,'History and Forecast'!CI$6))</f>
        <v>#N/A</v>
      </c>
    </row>
    <row r="24" spans="2:87">
      <c r="B24" t="str">
        <f t="shared" si="4"/>
        <v>SOYBEANS</v>
      </c>
      <c r="C24" s="34" t="s">
        <v>1065</v>
      </c>
      <c r="D24" t="str">
        <f t="shared" si="5"/>
        <v>KSOYBEANS</v>
      </c>
      <c r="E24" s="34" t="str">
        <f t="shared" si="6"/>
        <v>KFSOYBEANS</v>
      </c>
      <c r="F24">
        <f>MATCH(C24,'Forecast Prices'!A:A,0)</f>
        <v>26</v>
      </c>
      <c r="G24">
        <f>MATCH(E24,'Forecast Prices'!A:A,0)</f>
        <v>108</v>
      </c>
      <c r="H24" t="e">
        <f>MATCH(D24,'Annual Real'!$9:$9,0)</f>
        <v>#N/A</v>
      </c>
      <c r="I24" t="str">
        <f>INDEX('Forecast Prices'!B:B,'History and Forecast'!F24)&amp;INDEX('Forecast Prices'!C:C,'History and Forecast'!F24)&amp;INDEX('Forecast Prices'!D:D,'History and Forecast'!F24)&amp;INDEX('Forecast Prices'!E:E,'History and Forecast'!F24)</f>
        <v>Soybeans</v>
      </c>
      <c r="J24" t="str">
        <f>INDEX('Forecast Prices'!H:H,'History and Forecast'!F24)</f>
        <v>$/mt</v>
      </c>
      <c r="K24" s="17" t="e">
        <f>IF(K$9,INDEX('Annual Real'!$1:$1048576,'History and Forecast'!K$7,'History and Forecast'!$H24),INDEX('Forecast Prices'!$1:$1048576,'History and Forecast'!$G24,'History and Forecast'!K$6))</f>
        <v>#N/A</v>
      </c>
      <c r="L24" s="17" t="e">
        <f>IF(L$9,INDEX('Annual Real'!$1:$1048576,'History and Forecast'!L$7,'History and Forecast'!$H24),INDEX('Forecast Prices'!$1:$1048576,'History and Forecast'!$G24,'History and Forecast'!L$6))</f>
        <v>#N/A</v>
      </c>
      <c r="M24" s="17" t="e">
        <f>IF(M$9,INDEX('Annual Real'!$1:$1048576,'History and Forecast'!M$7,'History and Forecast'!$H24),INDEX('Forecast Prices'!$1:$1048576,'History and Forecast'!$G24,'History and Forecast'!M$6))</f>
        <v>#N/A</v>
      </c>
      <c r="N24" s="17" t="e">
        <f>IF(N$9,INDEX('Annual Real'!$1:$1048576,'History and Forecast'!N$7,'History and Forecast'!$H24),INDEX('Forecast Prices'!$1:$1048576,'History and Forecast'!$G24,'History and Forecast'!N$6))</f>
        <v>#N/A</v>
      </c>
      <c r="O24" s="17" t="e">
        <f>IF(O$9,INDEX('Annual Real'!$1:$1048576,'History and Forecast'!O$7,'History and Forecast'!$H24),INDEX('Forecast Prices'!$1:$1048576,'History and Forecast'!$G24,'History and Forecast'!O$6))</f>
        <v>#N/A</v>
      </c>
      <c r="P24" s="17" t="e">
        <f>IF(P$9,INDEX('Annual Real'!$1:$1048576,'History and Forecast'!P$7,'History and Forecast'!$H24),INDEX('Forecast Prices'!$1:$1048576,'History and Forecast'!$G24,'History and Forecast'!P$6))</f>
        <v>#N/A</v>
      </c>
      <c r="Q24" s="17" t="e">
        <f>IF(Q$9,INDEX('Annual Real'!$1:$1048576,'History and Forecast'!Q$7,'History and Forecast'!$H24),INDEX('Forecast Prices'!$1:$1048576,'History and Forecast'!$G24,'History and Forecast'!Q$6))</f>
        <v>#N/A</v>
      </c>
      <c r="R24" s="17" t="e">
        <f>IF(R$9,INDEX('Annual Real'!$1:$1048576,'History and Forecast'!R$7,'History and Forecast'!$H24),INDEX('Forecast Prices'!$1:$1048576,'History and Forecast'!$G24,'History and Forecast'!R$6))</f>
        <v>#N/A</v>
      </c>
      <c r="S24" s="17" t="e">
        <f>IF(S$9,INDEX('Annual Real'!$1:$1048576,'History and Forecast'!S$7,'History and Forecast'!$H24),INDEX('Forecast Prices'!$1:$1048576,'History and Forecast'!$G24,'History and Forecast'!S$6))</f>
        <v>#N/A</v>
      </c>
      <c r="T24" s="17" t="e">
        <f>IF(T$9,INDEX('Annual Real'!$1:$1048576,'History and Forecast'!T$7,'History and Forecast'!$H24),INDEX('Forecast Prices'!$1:$1048576,'History and Forecast'!$G24,'History and Forecast'!T$6))</f>
        <v>#N/A</v>
      </c>
      <c r="U24" s="17" t="e">
        <f>IF(U$9,INDEX('Annual Real'!$1:$1048576,'History and Forecast'!U$7,'History and Forecast'!$H24),INDEX('Forecast Prices'!$1:$1048576,'History and Forecast'!$G24,'History and Forecast'!U$6))</f>
        <v>#N/A</v>
      </c>
      <c r="V24" s="17" t="e">
        <f>IF(V$9,INDEX('Annual Real'!$1:$1048576,'History and Forecast'!V$7,'History and Forecast'!$H24),INDEX('Forecast Prices'!$1:$1048576,'History and Forecast'!$G24,'History and Forecast'!V$6))</f>
        <v>#N/A</v>
      </c>
      <c r="W24" s="17" t="e">
        <f>IF(W$9,INDEX('Annual Real'!$1:$1048576,'History and Forecast'!W$7,'History and Forecast'!$H24),INDEX('Forecast Prices'!$1:$1048576,'History and Forecast'!$G24,'History and Forecast'!W$6))</f>
        <v>#N/A</v>
      </c>
      <c r="X24" s="17" t="e">
        <f>IF(X$9,INDEX('Annual Real'!$1:$1048576,'History and Forecast'!X$7,'History and Forecast'!$H24),INDEX('Forecast Prices'!$1:$1048576,'History and Forecast'!$G24,'History and Forecast'!X$6))</f>
        <v>#N/A</v>
      </c>
      <c r="Y24" s="17" t="e">
        <f>IF(Y$9,INDEX('Annual Real'!$1:$1048576,'History and Forecast'!Y$7,'History and Forecast'!$H24),INDEX('Forecast Prices'!$1:$1048576,'History and Forecast'!$G24,'History and Forecast'!Y$6))</f>
        <v>#N/A</v>
      </c>
      <c r="Z24" s="17" t="e">
        <f>IF(Z$9,INDEX('Annual Real'!$1:$1048576,'History and Forecast'!Z$7,'History and Forecast'!$H24),INDEX('Forecast Prices'!$1:$1048576,'History and Forecast'!$G24,'History and Forecast'!Z$6))</f>
        <v>#N/A</v>
      </c>
      <c r="AA24" s="17" t="e">
        <f>IF(AA$9,INDEX('Annual Real'!$1:$1048576,'History and Forecast'!AA$7,'History and Forecast'!$H24),INDEX('Forecast Prices'!$1:$1048576,'History and Forecast'!$G24,'History and Forecast'!AA$6))</f>
        <v>#N/A</v>
      </c>
      <c r="AB24" s="17" t="e">
        <f>IF(AB$9,INDEX('Annual Real'!$1:$1048576,'History and Forecast'!AB$7,'History and Forecast'!$H24),INDEX('Forecast Prices'!$1:$1048576,'History and Forecast'!$G24,'History and Forecast'!AB$6))</f>
        <v>#N/A</v>
      </c>
      <c r="AC24" s="17" t="e">
        <f>IF(AC$9,INDEX('Annual Real'!$1:$1048576,'History and Forecast'!AC$7,'History and Forecast'!$H24),INDEX('Forecast Prices'!$1:$1048576,'History and Forecast'!$G24,'History and Forecast'!AC$6))</f>
        <v>#N/A</v>
      </c>
      <c r="AD24" s="17" t="e">
        <f>IF(AD$9,INDEX('Annual Real'!$1:$1048576,'History and Forecast'!AD$7,'History and Forecast'!$H24),INDEX('Forecast Prices'!$1:$1048576,'History and Forecast'!$G24,'History and Forecast'!AD$6))</f>
        <v>#N/A</v>
      </c>
      <c r="AE24" s="17" t="e">
        <f>IF(AE$9,INDEX('Annual Real'!$1:$1048576,'History and Forecast'!AE$7,'History and Forecast'!$H24),INDEX('Forecast Prices'!$1:$1048576,'History and Forecast'!$G24,'History and Forecast'!AE$6))</f>
        <v>#N/A</v>
      </c>
      <c r="AF24" s="17" t="e">
        <f>IF(AF$9,INDEX('Annual Real'!$1:$1048576,'History and Forecast'!AF$7,'History and Forecast'!$H24),INDEX('Forecast Prices'!$1:$1048576,'History and Forecast'!$G24,'History and Forecast'!AF$6))</f>
        <v>#N/A</v>
      </c>
      <c r="AG24" s="17" t="e">
        <f>IF(AG$9,INDEX('Annual Real'!$1:$1048576,'History and Forecast'!AG$7,'History and Forecast'!$H24),INDEX('Forecast Prices'!$1:$1048576,'History and Forecast'!$G24,'History and Forecast'!AG$6))</f>
        <v>#N/A</v>
      </c>
      <c r="AH24" s="17" t="e">
        <f>IF(AH$9,INDEX('Annual Real'!$1:$1048576,'History and Forecast'!AH$7,'History and Forecast'!$H24),INDEX('Forecast Prices'!$1:$1048576,'History and Forecast'!$G24,'History and Forecast'!AH$6))</f>
        <v>#N/A</v>
      </c>
      <c r="AI24" s="17" t="e">
        <f>IF(AI$9,INDEX('Annual Real'!$1:$1048576,'History and Forecast'!AI$7,'History and Forecast'!$H24),INDEX('Forecast Prices'!$1:$1048576,'History and Forecast'!$G24,'History and Forecast'!AI$6))</f>
        <v>#N/A</v>
      </c>
      <c r="AJ24" s="17" t="e">
        <f>IF(AJ$9,INDEX('Annual Real'!$1:$1048576,'History and Forecast'!AJ$7,'History and Forecast'!$H24),INDEX('Forecast Prices'!$1:$1048576,'History and Forecast'!$G24,'History and Forecast'!AJ$6))</f>
        <v>#N/A</v>
      </c>
      <c r="AK24" s="17" t="e">
        <f>IF(AK$9,INDEX('Annual Real'!$1:$1048576,'History and Forecast'!AK$7,'History and Forecast'!$H24),INDEX('Forecast Prices'!$1:$1048576,'History and Forecast'!$G24,'History and Forecast'!AK$6))</f>
        <v>#N/A</v>
      </c>
      <c r="AL24" s="17" t="e">
        <f>IF(AL$9,INDEX('Annual Real'!$1:$1048576,'History and Forecast'!AL$7,'History and Forecast'!$H24),INDEX('Forecast Prices'!$1:$1048576,'History and Forecast'!$G24,'History and Forecast'!AL$6))</f>
        <v>#N/A</v>
      </c>
      <c r="AM24" s="17" t="e">
        <f>IF(AM$9,INDEX('Annual Real'!$1:$1048576,'History and Forecast'!AM$7,'History and Forecast'!$H24),INDEX('Forecast Prices'!$1:$1048576,'History and Forecast'!$G24,'History and Forecast'!AM$6))</f>
        <v>#N/A</v>
      </c>
      <c r="AN24" s="17" t="e">
        <f>IF(AN$9,INDEX('Annual Real'!$1:$1048576,'History and Forecast'!AN$7,'History and Forecast'!$H24),INDEX('Forecast Prices'!$1:$1048576,'History and Forecast'!$G24,'History and Forecast'!AN$6))</f>
        <v>#N/A</v>
      </c>
      <c r="AO24" s="17" t="e">
        <f>IF(AO$9,INDEX('Annual Real'!$1:$1048576,'History and Forecast'!AO$7,'History and Forecast'!$H24),INDEX('Forecast Prices'!$1:$1048576,'History and Forecast'!$G24,'History and Forecast'!AO$6))</f>
        <v>#N/A</v>
      </c>
      <c r="AP24" s="17" t="e">
        <f>IF(AP$9,INDEX('Annual Real'!$1:$1048576,'History and Forecast'!AP$7,'History and Forecast'!$H24),INDEX('Forecast Prices'!$1:$1048576,'History and Forecast'!$G24,'History and Forecast'!AP$6))</f>
        <v>#N/A</v>
      </c>
      <c r="AQ24" s="17" t="e">
        <f>IF(AQ$9,INDEX('Annual Real'!$1:$1048576,'History and Forecast'!AQ$7,'History and Forecast'!$H24),INDEX('Forecast Prices'!$1:$1048576,'History and Forecast'!$G24,'History and Forecast'!AQ$6))</f>
        <v>#N/A</v>
      </c>
      <c r="AR24" s="17" t="e">
        <f>IF(AR$9,INDEX('Annual Real'!$1:$1048576,'History and Forecast'!AR$7,'History and Forecast'!$H24),INDEX('Forecast Prices'!$1:$1048576,'History and Forecast'!$G24,'History and Forecast'!AR$6))</f>
        <v>#N/A</v>
      </c>
      <c r="AS24" s="17" t="e">
        <f>IF(AS$9,INDEX('Annual Real'!$1:$1048576,'History and Forecast'!AS$7,'History and Forecast'!$H24),INDEX('Forecast Prices'!$1:$1048576,'History and Forecast'!$G24,'History and Forecast'!AS$6))</f>
        <v>#N/A</v>
      </c>
      <c r="AT24" s="17" t="e">
        <f>IF(AT$9,INDEX('Annual Real'!$1:$1048576,'History and Forecast'!AT$7,'History and Forecast'!$H24),INDEX('Forecast Prices'!$1:$1048576,'History and Forecast'!$G24,'History and Forecast'!AT$6))</f>
        <v>#N/A</v>
      </c>
      <c r="AU24" s="17" t="e">
        <f>IF(AU$9,INDEX('Annual Real'!$1:$1048576,'History and Forecast'!AU$7,'History and Forecast'!$H24),INDEX('Forecast Prices'!$1:$1048576,'History and Forecast'!$G24,'History and Forecast'!AU$6))</f>
        <v>#N/A</v>
      </c>
      <c r="AV24" s="17" t="e">
        <f>IF(AV$9,INDEX('Annual Real'!$1:$1048576,'History and Forecast'!AV$7,'History and Forecast'!$H24),INDEX('Forecast Prices'!$1:$1048576,'History and Forecast'!$G24,'History and Forecast'!AV$6))</f>
        <v>#N/A</v>
      </c>
      <c r="AW24" s="17" t="e">
        <f>IF(AW$9,INDEX('Annual Real'!$1:$1048576,'History and Forecast'!AW$7,'History and Forecast'!$H24),INDEX('Forecast Prices'!$1:$1048576,'History and Forecast'!$G24,'History and Forecast'!AW$6))</f>
        <v>#N/A</v>
      </c>
      <c r="AX24" s="17" t="e">
        <f>IF(AX$9,INDEX('Annual Real'!$1:$1048576,'History and Forecast'!AX$7,'History and Forecast'!$H24),INDEX('Forecast Prices'!$1:$1048576,'History and Forecast'!$G24,'History and Forecast'!AX$6))</f>
        <v>#N/A</v>
      </c>
      <c r="AY24" s="17" t="e">
        <f>IF(AY$9,INDEX('Annual Real'!$1:$1048576,'History and Forecast'!AY$7,'History and Forecast'!$H24),INDEX('Forecast Prices'!$1:$1048576,'History and Forecast'!$G24,'History and Forecast'!AY$6))</f>
        <v>#N/A</v>
      </c>
      <c r="AZ24" s="17" t="e">
        <f>IF(AZ$9,INDEX('Annual Real'!$1:$1048576,'History and Forecast'!AZ$7,'History and Forecast'!$H24),INDEX('Forecast Prices'!$1:$1048576,'History and Forecast'!$G24,'History and Forecast'!AZ$6))</f>
        <v>#N/A</v>
      </c>
      <c r="BA24" s="17" t="e">
        <f>IF(BA$9,INDEX('Annual Real'!$1:$1048576,'History and Forecast'!BA$7,'History and Forecast'!$H24),INDEX('Forecast Prices'!$1:$1048576,'History and Forecast'!$G24,'History and Forecast'!BA$6))</f>
        <v>#N/A</v>
      </c>
      <c r="BB24" s="17" t="e">
        <f>IF(BB$9,INDEX('Annual Real'!$1:$1048576,'History and Forecast'!BB$7,'History and Forecast'!$H24),INDEX('Forecast Prices'!$1:$1048576,'History and Forecast'!$G24,'History and Forecast'!BB$6))</f>
        <v>#N/A</v>
      </c>
      <c r="BC24" s="17" t="e">
        <f>IF(BC$9,INDEX('Annual Real'!$1:$1048576,'History and Forecast'!BC$7,'History and Forecast'!$H24),INDEX('Forecast Prices'!$1:$1048576,'History and Forecast'!$G24,'History and Forecast'!BC$6))</f>
        <v>#N/A</v>
      </c>
      <c r="BD24" s="17" t="e">
        <f>IF(BD$9,INDEX('Annual Real'!$1:$1048576,'History and Forecast'!BD$7,'History and Forecast'!$H24),INDEX('Forecast Prices'!$1:$1048576,'History and Forecast'!$G24,'History and Forecast'!BD$6))</f>
        <v>#N/A</v>
      </c>
      <c r="BE24" s="17" t="e">
        <f>IF(BE$9,INDEX('Annual Real'!$1:$1048576,'History and Forecast'!BE$7,'History and Forecast'!$H24),INDEX('Forecast Prices'!$1:$1048576,'History and Forecast'!$G24,'History and Forecast'!BE$6))</f>
        <v>#N/A</v>
      </c>
      <c r="BF24" s="17" t="e">
        <f>IF(BF$9,INDEX('Annual Real'!$1:$1048576,'History and Forecast'!BF$7,'History and Forecast'!$H24),INDEX('Forecast Prices'!$1:$1048576,'History and Forecast'!$G24,'History and Forecast'!BF$6))</f>
        <v>#N/A</v>
      </c>
      <c r="BG24" s="17" t="e">
        <f>IF(BG$9,INDEX('Annual Real'!$1:$1048576,'History and Forecast'!BG$7,'History and Forecast'!$H24),INDEX('Forecast Prices'!$1:$1048576,'History and Forecast'!$G24,'History and Forecast'!BG$6))</f>
        <v>#N/A</v>
      </c>
      <c r="BH24" s="17" t="e">
        <f>IF(BH$9,INDEX('Annual Real'!$1:$1048576,'History and Forecast'!BH$7,'History and Forecast'!$H24),INDEX('Forecast Prices'!$1:$1048576,'History and Forecast'!$G24,'History and Forecast'!BH$6))</f>
        <v>#N/A</v>
      </c>
      <c r="BI24" s="17" t="e">
        <f>IF(BI$9,INDEX('Annual Real'!$1:$1048576,'History and Forecast'!BI$7,'History and Forecast'!$H24),INDEX('Forecast Prices'!$1:$1048576,'History and Forecast'!$G24,'History and Forecast'!BI$6))</f>
        <v>#N/A</v>
      </c>
      <c r="BJ24" s="17" t="e">
        <f>IF(BJ$9,INDEX('Annual Real'!$1:$1048576,'History and Forecast'!BJ$7,'History and Forecast'!$H24),INDEX('Forecast Prices'!$1:$1048576,'History and Forecast'!$G24,'History and Forecast'!BJ$6))</f>
        <v>#N/A</v>
      </c>
      <c r="BK24" s="17" t="e">
        <f>IF(BK$9,INDEX('Annual Real'!$1:$1048576,'History and Forecast'!BK$7,'History and Forecast'!$H24),INDEX('Forecast Prices'!$1:$1048576,'History and Forecast'!$G24,'History and Forecast'!BK$6))</f>
        <v>#N/A</v>
      </c>
      <c r="BL24" s="17" t="e">
        <f>IF(BL$9,INDEX('Annual Real'!$1:$1048576,'History and Forecast'!BL$7,'History and Forecast'!$H24),INDEX('Forecast Prices'!$1:$1048576,'History and Forecast'!$G24,'History and Forecast'!BL$6))</f>
        <v>#N/A</v>
      </c>
      <c r="BM24" s="17" t="e">
        <f>IF(BM$9,INDEX('Annual Real'!$1:$1048576,'History and Forecast'!BM$7,'History and Forecast'!$H24),INDEX('Forecast Prices'!$1:$1048576,'History and Forecast'!$G24,'History and Forecast'!BM$6))</f>
        <v>#N/A</v>
      </c>
      <c r="BN24" s="17" t="e">
        <f>IF(BN$9,INDEX('Annual Real'!$1:$1048576,'History and Forecast'!BN$7,'History and Forecast'!$H24),INDEX('Forecast Prices'!$1:$1048576,'History and Forecast'!$G24,'History and Forecast'!BN$6))</f>
        <v>#N/A</v>
      </c>
      <c r="BO24" s="17">
        <f>IF(BO$9,INDEX('Annual Real'!$1:$1048576,'History and Forecast'!BO$7,'History and Forecast'!$H24),INDEX('Forecast Prices'!$1:$1048576,'History and Forecast'!$G24,'History and Forecast'!BO$6))</f>
        <v>431.17892602793802</v>
      </c>
      <c r="BP24" s="17">
        <f>IF(BP$9,INDEX('Annual Real'!$1:$1048576,'History and Forecast'!BP$7,'History and Forecast'!$H24),INDEX('Forecast Prices'!$1:$1048576,'History and Forecast'!$G24,'History and Forecast'!BP$6))</f>
        <v>404.35578725577</v>
      </c>
      <c r="BQ24" s="17">
        <f>IF(BQ$9,INDEX('Annual Real'!$1:$1048576,'History and Forecast'!BQ$7,'History and Forecast'!$H24),INDEX('Forecast Prices'!$1:$1048576,'History and Forecast'!$G24,'History and Forecast'!BQ$6))</f>
        <v>387.228284717441</v>
      </c>
      <c r="BR24" s="17">
        <f>IF(BR$9,INDEX('Annual Real'!$1:$1048576,'History and Forecast'!BR$7,'History and Forecast'!$H24),INDEX('Forecast Prices'!$1:$1048576,'History and Forecast'!$G24,'History and Forecast'!BR$6))</f>
        <v>375.43668423447201</v>
      </c>
      <c r="BS24" s="17">
        <f>IF(BS$9,INDEX('Annual Real'!$1:$1048576,'History and Forecast'!BS$7,'History and Forecast'!$H24),INDEX('Forecast Prices'!$1:$1048576,'History and Forecast'!$G24,'History and Forecast'!BS$6))</f>
        <v>379.59690783289102</v>
      </c>
      <c r="BT24" s="17">
        <f>IF(BT$9,INDEX('Annual Real'!$1:$1048576,'History and Forecast'!BT$7,'History and Forecast'!$H24),INDEX('Forecast Prices'!$1:$1048576,'History and Forecast'!$G24,'History and Forecast'!BT$6))</f>
        <v>383.89747405682698</v>
      </c>
      <c r="BU24" s="17">
        <f>IF(BU$9,INDEX('Annual Real'!$1:$1048576,'History and Forecast'!BU$7,'History and Forecast'!$H24),INDEX('Forecast Prices'!$1:$1048576,'History and Forecast'!$G24,'History and Forecast'!BU$6))</f>
        <v>387.93553389766902</v>
      </c>
      <c r="BV24" s="17">
        <f>IF(BV$9,INDEX('Annual Real'!$1:$1048576,'History and Forecast'!BV$7,'History and Forecast'!$H24),INDEX('Forecast Prices'!$1:$1048576,'History and Forecast'!$G24,'History and Forecast'!BV$6))</f>
        <v>392.05066563105999</v>
      </c>
      <c r="BW24" s="17">
        <f>IF(BW$9,INDEX('Annual Real'!$1:$1048576,'History and Forecast'!BW$7,'History and Forecast'!$H24),INDEX('Forecast Prices'!$1:$1048576,'History and Forecast'!$G24,'History and Forecast'!BW$6))</f>
        <v>396.20931835306197</v>
      </c>
      <c r="BX24" s="17">
        <f>IF(BX$9,INDEX('Annual Real'!$1:$1048576,'History and Forecast'!BX$7,'History and Forecast'!$H24),INDEX('Forecast Prices'!$1:$1048576,'History and Forecast'!$G24,'History and Forecast'!BX$6))</f>
        <v>400.388990428255</v>
      </c>
      <c r="BY24" s="17" t="e">
        <f>IF(BY$9,INDEX('Annual Real'!$1:$1048576,'History and Forecast'!BY$7,'History and Forecast'!$H24),INDEX('Forecast Prices'!$1:$1048576,'History and Forecast'!$G24,'History and Forecast'!BY$6))</f>
        <v>#N/A</v>
      </c>
      <c r="BZ24" s="17" t="e">
        <f>IF(BZ$9,INDEX('Annual Real'!$1:$1048576,'History and Forecast'!BZ$7,'History and Forecast'!$H24),INDEX('Forecast Prices'!$1:$1048576,'History and Forecast'!$G24,'History and Forecast'!BZ$6))</f>
        <v>#N/A</v>
      </c>
      <c r="CA24" s="17" t="e">
        <f>IF(CA$9,INDEX('Annual Real'!$1:$1048576,'History and Forecast'!CA$7,'History and Forecast'!$H24),INDEX('Forecast Prices'!$1:$1048576,'History and Forecast'!$G24,'History and Forecast'!CA$6))</f>
        <v>#N/A</v>
      </c>
      <c r="CB24" s="17" t="e">
        <f>IF(CB$9,INDEX('Annual Real'!$1:$1048576,'History and Forecast'!CB$7,'History and Forecast'!$H24),INDEX('Forecast Prices'!$1:$1048576,'History and Forecast'!$G24,'History and Forecast'!CB$6))</f>
        <v>#N/A</v>
      </c>
      <c r="CC24" s="17">
        <f>IF(CC$9,INDEX('Annual Real'!$1:$1048576,'History and Forecast'!CC$7,'History and Forecast'!$H24),INDEX('Forecast Prices'!$1:$1048576,'History and Forecast'!$G24,'History and Forecast'!CC$6))</f>
        <v>421.313532092777</v>
      </c>
      <c r="CD24" s="17" t="e">
        <f>IF(CD$9,INDEX('Annual Real'!$1:$1048576,'History and Forecast'!CD$7,'History and Forecast'!$H24),INDEX('Forecast Prices'!$1:$1048576,'History and Forecast'!$G24,'History and Forecast'!CD$6))</f>
        <v>#N/A</v>
      </c>
      <c r="CE24" s="17" t="e">
        <f>IF(CE$9,INDEX('Annual Real'!$1:$1048576,'History and Forecast'!CE$7,'History and Forecast'!$H24),INDEX('Forecast Prices'!$1:$1048576,'History and Forecast'!$G24,'History and Forecast'!CE$6))</f>
        <v>#N/A</v>
      </c>
      <c r="CF24" s="17" t="e">
        <f>IF(CF$9,INDEX('Annual Real'!$1:$1048576,'History and Forecast'!CF$7,'History and Forecast'!$H24),INDEX('Forecast Prices'!$1:$1048576,'History and Forecast'!$G24,'History and Forecast'!CF$6))</f>
        <v>#N/A</v>
      </c>
      <c r="CG24" s="17" t="e">
        <f>IF(CG$9,INDEX('Annual Real'!$1:$1048576,'History and Forecast'!CG$7,'History and Forecast'!$H24),INDEX('Forecast Prices'!$1:$1048576,'History and Forecast'!$G24,'History and Forecast'!CG$6))</f>
        <v>#N/A</v>
      </c>
      <c r="CH24" s="17" t="e">
        <f>IF(CH$9,INDEX('Annual Real'!$1:$1048576,'History and Forecast'!CH$7,'History and Forecast'!$H24),INDEX('Forecast Prices'!$1:$1048576,'History and Forecast'!$G24,'History and Forecast'!CH$6))</f>
        <v>#N/A</v>
      </c>
      <c r="CI24" s="17" t="e">
        <f>IF(CI$9,INDEX('Annual Real'!$1:$1048576,'History and Forecast'!CI$7,'History and Forecast'!$H24),INDEX('Forecast Prices'!$1:$1048576,'History and Forecast'!$G24,'History and Forecast'!CI$6))</f>
        <v>#N/A</v>
      </c>
    </row>
    <row r="25" spans="2:87">
      <c r="B25" t="str">
        <f t="shared" si="4"/>
        <v>BARLEY</v>
      </c>
      <c r="C25" s="34" t="s">
        <v>1066</v>
      </c>
      <c r="D25" t="str">
        <f t="shared" si="5"/>
        <v>KBARLEY</v>
      </c>
      <c r="E25" s="34" t="str">
        <f t="shared" si="6"/>
        <v>KFBARLEY</v>
      </c>
      <c r="F25">
        <f>MATCH(C25,'Forecast Prices'!A:A,0)</f>
        <v>29</v>
      </c>
      <c r="G25">
        <f>MATCH(E25,'Forecast Prices'!A:A,0)</f>
        <v>111</v>
      </c>
      <c r="H25" t="e">
        <f>MATCH(D25,'Annual Real'!$9:$9,0)</f>
        <v>#N/A</v>
      </c>
      <c r="I25" t="str">
        <f>INDEX('Forecast Prices'!B:B,'History and Forecast'!F25)&amp;INDEX('Forecast Prices'!C:C,'History and Forecast'!F25)&amp;INDEX('Forecast Prices'!D:D,'History and Forecast'!F25)&amp;INDEX('Forecast Prices'!E:E,'History and Forecast'!F25)</f>
        <v>Barley</v>
      </c>
      <c r="J25" t="str">
        <f>INDEX('Forecast Prices'!H:H,'History and Forecast'!F25)</f>
        <v>$/mt</v>
      </c>
      <c r="K25" s="17" t="e">
        <f>IF(K$9,INDEX('Annual Real'!$1:$1048576,'History and Forecast'!K$7,'History and Forecast'!$H25),INDEX('Forecast Prices'!$1:$1048576,'History and Forecast'!$G25,'History and Forecast'!K$6))</f>
        <v>#N/A</v>
      </c>
      <c r="L25" s="17" t="e">
        <f>IF(L$9,INDEX('Annual Real'!$1:$1048576,'History and Forecast'!L$7,'History and Forecast'!$H25),INDEX('Forecast Prices'!$1:$1048576,'History and Forecast'!$G25,'History and Forecast'!L$6))</f>
        <v>#N/A</v>
      </c>
      <c r="M25" s="17" t="e">
        <f>IF(M$9,INDEX('Annual Real'!$1:$1048576,'History and Forecast'!M$7,'History and Forecast'!$H25),INDEX('Forecast Prices'!$1:$1048576,'History and Forecast'!$G25,'History and Forecast'!M$6))</f>
        <v>#N/A</v>
      </c>
      <c r="N25" s="17" t="e">
        <f>IF(N$9,INDEX('Annual Real'!$1:$1048576,'History and Forecast'!N$7,'History and Forecast'!$H25),INDEX('Forecast Prices'!$1:$1048576,'History and Forecast'!$G25,'History and Forecast'!N$6))</f>
        <v>#N/A</v>
      </c>
      <c r="O25" s="17" t="e">
        <f>IF(O$9,INDEX('Annual Real'!$1:$1048576,'History and Forecast'!O$7,'History and Forecast'!$H25),INDEX('Forecast Prices'!$1:$1048576,'History and Forecast'!$G25,'History and Forecast'!O$6))</f>
        <v>#N/A</v>
      </c>
      <c r="P25" s="17" t="e">
        <f>IF(P$9,INDEX('Annual Real'!$1:$1048576,'History and Forecast'!P$7,'History and Forecast'!$H25),INDEX('Forecast Prices'!$1:$1048576,'History and Forecast'!$G25,'History and Forecast'!P$6))</f>
        <v>#N/A</v>
      </c>
      <c r="Q25" s="17" t="e">
        <f>IF(Q$9,INDEX('Annual Real'!$1:$1048576,'History and Forecast'!Q$7,'History and Forecast'!$H25),INDEX('Forecast Prices'!$1:$1048576,'History and Forecast'!$G25,'History and Forecast'!Q$6))</f>
        <v>#N/A</v>
      </c>
      <c r="R25" s="17" t="e">
        <f>IF(R$9,INDEX('Annual Real'!$1:$1048576,'History and Forecast'!R$7,'History and Forecast'!$H25),INDEX('Forecast Prices'!$1:$1048576,'History and Forecast'!$G25,'History and Forecast'!R$6))</f>
        <v>#N/A</v>
      </c>
      <c r="S25" s="17" t="e">
        <f>IF(S$9,INDEX('Annual Real'!$1:$1048576,'History and Forecast'!S$7,'History and Forecast'!$H25),INDEX('Forecast Prices'!$1:$1048576,'History and Forecast'!$G25,'History and Forecast'!S$6))</f>
        <v>#N/A</v>
      </c>
      <c r="T25" s="17" t="e">
        <f>IF(T$9,INDEX('Annual Real'!$1:$1048576,'History and Forecast'!T$7,'History and Forecast'!$H25),INDEX('Forecast Prices'!$1:$1048576,'History and Forecast'!$G25,'History and Forecast'!T$6))</f>
        <v>#N/A</v>
      </c>
      <c r="U25" s="17" t="e">
        <f>IF(U$9,INDEX('Annual Real'!$1:$1048576,'History and Forecast'!U$7,'History and Forecast'!$H25),INDEX('Forecast Prices'!$1:$1048576,'History and Forecast'!$G25,'History and Forecast'!U$6))</f>
        <v>#N/A</v>
      </c>
      <c r="V25" s="17" t="e">
        <f>IF(V$9,INDEX('Annual Real'!$1:$1048576,'History and Forecast'!V$7,'History and Forecast'!$H25),INDEX('Forecast Prices'!$1:$1048576,'History and Forecast'!$G25,'History and Forecast'!V$6))</f>
        <v>#N/A</v>
      </c>
      <c r="W25" s="17" t="e">
        <f>IF(W$9,INDEX('Annual Real'!$1:$1048576,'History and Forecast'!W$7,'History and Forecast'!$H25),INDEX('Forecast Prices'!$1:$1048576,'History and Forecast'!$G25,'History and Forecast'!W$6))</f>
        <v>#N/A</v>
      </c>
      <c r="X25" s="17" t="e">
        <f>IF(X$9,INDEX('Annual Real'!$1:$1048576,'History and Forecast'!X$7,'History and Forecast'!$H25),INDEX('Forecast Prices'!$1:$1048576,'History and Forecast'!$G25,'History and Forecast'!X$6))</f>
        <v>#N/A</v>
      </c>
      <c r="Y25" s="17" t="e">
        <f>IF(Y$9,INDEX('Annual Real'!$1:$1048576,'History and Forecast'!Y$7,'History and Forecast'!$H25),INDEX('Forecast Prices'!$1:$1048576,'History and Forecast'!$G25,'History and Forecast'!Y$6))</f>
        <v>#N/A</v>
      </c>
      <c r="Z25" s="17" t="e">
        <f>IF(Z$9,INDEX('Annual Real'!$1:$1048576,'History and Forecast'!Z$7,'History and Forecast'!$H25),INDEX('Forecast Prices'!$1:$1048576,'History and Forecast'!$G25,'History and Forecast'!Z$6))</f>
        <v>#N/A</v>
      </c>
      <c r="AA25" s="17" t="e">
        <f>IF(AA$9,INDEX('Annual Real'!$1:$1048576,'History and Forecast'!AA$7,'History and Forecast'!$H25),INDEX('Forecast Prices'!$1:$1048576,'History and Forecast'!$G25,'History and Forecast'!AA$6))</f>
        <v>#N/A</v>
      </c>
      <c r="AB25" s="17" t="e">
        <f>IF(AB$9,INDEX('Annual Real'!$1:$1048576,'History and Forecast'!AB$7,'History and Forecast'!$H25),INDEX('Forecast Prices'!$1:$1048576,'History and Forecast'!$G25,'History and Forecast'!AB$6))</f>
        <v>#N/A</v>
      </c>
      <c r="AC25" s="17" t="e">
        <f>IF(AC$9,INDEX('Annual Real'!$1:$1048576,'History and Forecast'!AC$7,'History and Forecast'!$H25),INDEX('Forecast Prices'!$1:$1048576,'History and Forecast'!$G25,'History and Forecast'!AC$6))</f>
        <v>#N/A</v>
      </c>
      <c r="AD25" s="17" t="e">
        <f>IF(AD$9,INDEX('Annual Real'!$1:$1048576,'History and Forecast'!AD$7,'History and Forecast'!$H25),INDEX('Forecast Prices'!$1:$1048576,'History and Forecast'!$G25,'History and Forecast'!AD$6))</f>
        <v>#N/A</v>
      </c>
      <c r="AE25" s="17" t="e">
        <f>IF(AE$9,INDEX('Annual Real'!$1:$1048576,'History and Forecast'!AE$7,'History and Forecast'!$H25),INDEX('Forecast Prices'!$1:$1048576,'History and Forecast'!$G25,'History and Forecast'!AE$6))</f>
        <v>#N/A</v>
      </c>
      <c r="AF25" s="17" t="e">
        <f>IF(AF$9,INDEX('Annual Real'!$1:$1048576,'History and Forecast'!AF$7,'History and Forecast'!$H25),INDEX('Forecast Prices'!$1:$1048576,'History and Forecast'!$G25,'History and Forecast'!AF$6))</f>
        <v>#N/A</v>
      </c>
      <c r="AG25" s="17" t="e">
        <f>IF(AG$9,INDEX('Annual Real'!$1:$1048576,'History and Forecast'!AG$7,'History and Forecast'!$H25),INDEX('Forecast Prices'!$1:$1048576,'History and Forecast'!$G25,'History and Forecast'!AG$6))</f>
        <v>#N/A</v>
      </c>
      <c r="AH25" s="17" t="e">
        <f>IF(AH$9,INDEX('Annual Real'!$1:$1048576,'History and Forecast'!AH$7,'History and Forecast'!$H25),INDEX('Forecast Prices'!$1:$1048576,'History and Forecast'!$G25,'History and Forecast'!AH$6))</f>
        <v>#N/A</v>
      </c>
      <c r="AI25" s="17" t="e">
        <f>IF(AI$9,INDEX('Annual Real'!$1:$1048576,'History and Forecast'!AI$7,'History and Forecast'!$H25),INDEX('Forecast Prices'!$1:$1048576,'History and Forecast'!$G25,'History and Forecast'!AI$6))</f>
        <v>#N/A</v>
      </c>
      <c r="AJ25" s="17" t="e">
        <f>IF(AJ$9,INDEX('Annual Real'!$1:$1048576,'History and Forecast'!AJ$7,'History and Forecast'!$H25),INDEX('Forecast Prices'!$1:$1048576,'History and Forecast'!$G25,'History and Forecast'!AJ$6))</f>
        <v>#N/A</v>
      </c>
      <c r="AK25" s="17" t="e">
        <f>IF(AK$9,INDEX('Annual Real'!$1:$1048576,'History and Forecast'!AK$7,'History and Forecast'!$H25),INDEX('Forecast Prices'!$1:$1048576,'History and Forecast'!$G25,'History and Forecast'!AK$6))</f>
        <v>#N/A</v>
      </c>
      <c r="AL25" s="17" t="e">
        <f>IF(AL$9,INDEX('Annual Real'!$1:$1048576,'History and Forecast'!AL$7,'History and Forecast'!$H25),INDEX('Forecast Prices'!$1:$1048576,'History and Forecast'!$G25,'History and Forecast'!AL$6))</f>
        <v>#N/A</v>
      </c>
      <c r="AM25" s="17" t="e">
        <f>IF(AM$9,INDEX('Annual Real'!$1:$1048576,'History and Forecast'!AM$7,'History and Forecast'!$H25),INDEX('Forecast Prices'!$1:$1048576,'History and Forecast'!$G25,'History and Forecast'!AM$6))</f>
        <v>#N/A</v>
      </c>
      <c r="AN25" s="17" t="e">
        <f>IF(AN$9,INDEX('Annual Real'!$1:$1048576,'History and Forecast'!AN$7,'History and Forecast'!$H25),INDEX('Forecast Prices'!$1:$1048576,'History and Forecast'!$G25,'History and Forecast'!AN$6))</f>
        <v>#N/A</v>
      </c>
      <c r="AO25" s="17" t="e">
        <f>IF(AO$9,INDEX('Annual Real'!$1:$1048576,'History and Forecast'!AO$7,'History and Forecast'!$H25),INDEX('Forecast Prices'!$1:$1048576,'History and Forecast'!$G25,'History and Forecast'!AO$6))</f>
        <v>#N/A</v>
      </c>
      <c r="AP25" s="17" t="e">
        <f>IF(AP$9,INDEX('Annual Real'!$1:$1048576,'History and Forecast'!AP$7,'History and Forecast'!$H25),INDEX('Forecast Prices'!$1:$1048576,'History and Forecast'!$G25,'History and Forecast'!AP$6))</f>
        <v>#N/A</v>
      </c>
      <c r="AQ25" s="17" t="e">
        <f>IF(AQ$9,INDEX('Annual Real'!$1:$1048576,'History and Forecast'!AQ$7,'History and Forecast'!$H25),INDEX('Forecast Prices'!$1:$1048576,'History and Forecast'!$G25,'History and Forecast'!AQ$6))</f>
        <v>#N/A</v>
      </c>
      <c r="AR25" s="17" t="e">
        <f>IF(AR$9,INDEX('Annual Real'!$1:$1048576,'History and Forecast'!AR$7,'History and Forecast'!$H25),INDEX('Forecast Prices'!$1:$1048576,'History and Forecast'!$G25,'History and Forecast'!AR$6))</f>
        <v>#N/A</v>
      </c>
      <c r="AS25" s="17" t="e">
        <f>IF(AS$9,INDEX('Annual Real'!$1:$1048576,'History and Forecast'!AS$7,'History and Forecast'!$H25),INDEX('Forecast Prices'!$1:$1048576,'History and Forecast'!$G25,'History and Forecast'!AS$6))</f>
        <v>#N/A</v>
      </c>
      <c r="AT25" s="17" t="e">
        <f>IF(AT$9,INDEX('Annual Real'!$1:$1048576,'History and Forecast'!AT$7,'History and Forecast'!$H25),INDEX('Forecast Prices'!$1:$1048576,'History and Forecast'!$G25,'History and Forecast'!AT$6))</f>
        <v>#N/A</v>
      </c>
      <c r="AU25" s="17" t="e">
        <f>IF(AU$9,INDEX('Annual Real'!$1:$1048576,'History and Forecast'!AU$7,'History and Forecast'!$H25),INDEX('Forecast Prices'!$1:$1048576,'History and Forecast'!$G25,'History and Forecast'!AU$6))</f>
        <v>#N/A</v>
      </c>
      <c r="AV25" s="17" t="e">
        <f>IF(AV$9,INDEX('Annual Real'!$1:$1048576,'History and Forecast'!AV$7,'History and Forecast'!$H25),INDEX('Forecast Prices'!$1:$1048576,'History and Forecast'!$G25,'History and Forecast'!AV$6))</f>
        <v>#N/A</v>
      </c>
      <c r="AW25" s="17" t="e">
        <f>IF(AW$9,INDEX('Annual Real'!$1:$1048576,'History and Forecast'!AW$7,'History and Forecast'!$H25),INDEX('Forecast Prices'!$1:$1048576,'History and Forecast'!$G25,'History and Forecast'!AW$6))</f>
        <v>#N/A</v>
      </c>
      <c r="AX25" s="17" t="e">
        <f>IF(AX$9,INDEX('Annual Real'!$1:$1048576,'History and Forecast'!AX$7,'History and Forecast'!$H25),INDEX('Forecast Prices'!$1:$1048576,'History and Forecast'!$G25,'History and Forecast'!AX$6))</f>
        <v>#N/A</v>
      </c>
      <c r="AY25" s="17" t="e">
        <f>IF(AY$9,INDEX('Annual Real'!$1:$1048576,'History and Forecast'!AY$7,'History and Forecast'!$H25),INDEX('Forecast Prices'!$1:$1048576,'History and Forecast'!$G25,'History and Forecast'!AY$6))</f>
        <v>#N/A</v>
      </c>
      <c r="AZ25" s="17" t="e">
        <f>IF(AZ$9,INDEX('Annual Real'!$1:$1048576,'History and Forecast'!AZ$7,'History and Forecast'!$H25),INDEX('Forecast Prices'!$1:$1048576,'History and Forecast'!$G25,'History and Forecast'!AZ$6))</f>
        <v>#N/A</v>
      </c>
      <c r="BA25" s="17" t="e">
        <f>IF(BA$9,INDEX('Annual Real'!$1:$1048576,'History and Forecast'!BA$7,'History and Forecast'!$H25),INDEX('Forecast Prices'!$1:$1048576,'History and Forecast'!$G25,'History and Forecast'!BA$6))</f>
        <v>#N/A</v>
      </c>
      <c r="BB25" s="17" t="e">
        <f>IF(BB$9,INDEX('Annual Real'!$1:$1048576,'History and Forecast'!BB$7,'History and Forecast'!$H25),INDEX('Forecast Prices'!$1:$1048576,'History and Forecast'!$G25,'History and Forecast'!BB$6))</f>
        <v>#N/A</v>
      </c>
      <c r="BC25" s="17" t="e">
        <f>IF(BC$9,INDEX('Annual Real'!$1:$1048576,'History and Forecast'!BC$7,'History and Forecast'!$H25),INDEX('Forecast Prices'!$1:$1048576,'History and Forecast'!$G25,'History and Forecast'!BC$6))</f>
        <v>#N/A</v>
      </c>
      <c r="BD25" s="17" t="e">
        <f>IF(BD$9,INDEX('Annual Real'!$1:$1048576,'History and Forecast'!BD$7,'History and Forecast'!$H25),INDEX('Forecast Prices'!$1:$1048576,'History and Forecast'!$G25,'History and Forecast'!BD$6))</f>
        <v>#N/A</v>
      </c>
      <c r="BE25" s="17" t="e">
        <f>IF(BE$9,INDEX('Annual Real'!$1:$1048576,'History and Forecast'!BE$7,'History and Forecast'!$H25),INDEX('Forecast Prices'!$1:$1048576,'History and Forecast'!$G25,'History and Forecast'!BE$6))</f>
        <v>#N/A</v>
      </c>
      <c r="BF25" s="17" t="e">
        <f>IF(BF$9,INDEX('Annual Real'!$1:$1048576,'History and Forecast'!BF$7,'History and Forecast'!$H25),INDEX('Forecast Prices'!$1:$1048576,'History and Forecast'!$G25,'History and Forecast'!BF$6))</f>
        <v>#N/A</v>
      </c>
      <c r="BG25" s="17" t="e">
        <f>IF(BG$9,INDEX('Annual Real'!$1:$1048576,'History and Forecast'!BG$7,'History and Forecast'!$H25),INDEX('Forecast Prices'!$1:$1048576,'History and Forecast'!$G25,'History and Forecast'!BG$6))</f>
        <v>#N/A</v>
      </c>
      <c r="BH25" s="17" t="e">
        <f>IF(BH$9,INDEX('Annual Real'!$1:$1048576,'History and Forecast'!BH$7,'History and Forecast'!$H25),INDEX('Forecast Prices'!$1:$1048576,'History and Forecast'!$G25,'History and Forecast'!BH$6))</f>
        <v>#N/A</v>
      </c>
      <c r="BI25" s="17" t="e">
        <f>IF(BI$9,INDEX('Annual Real'!$1:$1048576,'History and Forecast'!BI$7,'History and Forecast'!$H25),INDEX('Forecast Prices'!$1:$1048576,'History and Forecast'!$G25,'History and Forecast'!BI$6))</f>
        <v>#N/A</v>
      </c>
      <c r="BJ25" s="17" t="e">
        <f>IF(BJ$9,INDEX('Annual Real'!$1:$1048576,'History and Forecast'!BJ$7,'History and Forecast'!$H25),INDEX('Forecast Prices'!$1:$1048576,'History and Forecast'!$G25,'History and Forecast'!BJ$6))</f>
        <v>#N/A</v>
      </c>
      <c r="BK25" s="17" t="e">
        <f>IF(BK$9,INDEX('Annual Real'!$1:$1048576,'History and Forecast'!BK$7,'History and Forecast'!$H25),INDEX('Forecast Prices'!$1:$1048576,'History and Forecast'!$G25,'History and Forecast'!BK$6))</f>
        <v>#N/A</v>
      </c>
      <c r="BL25" s="17" t="e">
        <f>IF(BL$9,INDEX('Annual Real'!$1:$1048576,'History and Forecast'!BL$7,'History and Forecast'!$H25),INDEX('Forecast Prices'!$1:$1048576,'History and Forecast'!$G25,'History and Forecast'!BL$6))</f>
        <v>#N/A</v>
      </c>
      <c r="BM25" s="17" t="e">
        <f>IF(BM$9,INDEX('Annual Real'!$1:$1048576,'History and Forecast'!BM$7,'History and Forecast'!$H25),INDEX('Forecast Prices'!$1:$1048576,'History and Forecast'!$G25,'History and Forecast'!BM$6))</f>
        <v>#N/A</v>
      </c>
      <c r="BN25" s="17" t="e">
        <f>IF(BN$9,INDEX('Annual Real'!$1:$1048576,'History and Forecast'!BN$7,'History and Forecast'!$H25),INDEX('Forecast Prices'!$1:$1048576,'History and Forecast'!$G25,'History and Forecast'!BN$6))</f>
        <v>#N/A</v>
      </c>
      <c r="BO25" s="17">
        <f>IF(BO$9,INDEX('Annual Real'!$1:$1048576,'History and Forecast'!BO$7,'History and Forecast'!$H25),INDEX('Forecast Prices'!$1:$1048576,'History and Forecast'!$G25,'History and Forecast'!BO$6))</f>
        <v>110.51061429156999</v>
      </c>
      <c r="BP25" s="17">
        <f>IF(BP$9,INDEX('Annual Real'!$1:$1048576,'History and Forecast'!BP$7,'History and Forecast'!$H25),INDEX('Forecast Prices'!$1:$1048576,'History and Forecast'!$G25,'History and Forecast'!BP$6))</f>
        <v>100.363359442904</v>
      </c>
      <c r="BQ25" s="17">
        <f>IF(BQ$9,INDEX('Annual Real'!$1:$1048576,'History and Forecast'!BQ$7,'History and Forecast'!$H25),INDEX('Forecast Prices'!$1:$1048576,'History and Forecast'!$G25,'History and Forecast'!BQ$6))</f>
        <v>123.58867859253699</v>
      </c>
      <c r="BR25" s="17">
        <f>IF(BR$9,INDEX('Annual Real'!$1:$1048576,'History and Forecast'!BR$7,'History and Forecast'!$H25),INDEX('Forecast Prices'!$1:$1048576,'History and Forecast'!$G25,'History and Forecast'!BR$6))</f>
        <v>120.332270587972</v>
      </c>
      <c r="BS25" s="17">
        <f>IF(BS$9,INDEX('Annual Real'!$1:$1048576,'History and Forecast'!BS$7,'History and Forecast'!$H25),INDEX('Forecast Prices'!$1:$1048576,'History and Forecast'!$G25,'History and Forecast'!BS$6))</f>
        <v>122.307910684465</v>
      </c>
      <c r="BT25" s="17">
        <f>IF(BT$9,INDEX('Annual Real'!$1:$1048576,'History and Forecast'!BT$7,'History and Forecast'!$H25),INDEX('Forecast Prices'!$1:$1048576,'History and Forecast'!$G25,'History and Forecast'!BT$6))</f>
        <v>124.34651310298</v>
      </c>
      <c r="BU25" s="17">
        <f>IF(BU$9,INDEX('Annual Real'!$1:$1048576,'History and Forecast'!BU$7,'History and Forecast'!$H25),INDEX('Forecast Prices'!$1:$1048576,'History and Forecast'!$G25,'History and Forecast'!BU$6))</f>
        <v>126.317753657821</v>
      </c>
      <c r="BV25" s="17">
        <f>IF(BV$9,INDEX('Annual Real'!$1:$1048576,'History and Forecast'!BV$7,'History and Forecast'!$H25),INDEX('Forecast Prices'!$1:$1048576,'History and Forecast'!$G25,'History and Forecast'!BV$6))</f>
        <v>128.33156874207501</v>
      </c>
      <c r="BW25" s="17">
        <f>IF(BW$9,INDEX('Annual Real'!$1:$1048576,'History and Forecast'!BW$7,'History and Forecast'!$H25),INDEX('Forecast Prices'!$1:$1048576,'History and Forecast'!$G25,'History and Forecast'!BW$6))</f>
        <v>130.37744574659899</v>
      </c>
      <c r="BX25" s="17">
        <f>IF(BX$9,INDEX('Annual Real'!$1:$1048576,'History and Forecast'!BX$7,'History and Forecast'!$H25),INDEX('Forecast Prices'!$1:$1048576,'History and Forecast'!$G25,'History and Forecast'!BX$6))</f>
        <v>132.44829912401801</v>
      </c>
      <c r="BY25" s="17" t="e">
        <f>IF(BY$9,INDEX('Annual Real'!$1:$1048576,'History and Forecast'!BY$7,'History and Forecast'!$H25),INDEX('Forecast Prices'!$1:$1048576,'History and Forecast'!$G25,'History and Forecast'!BY$6))</f>
        <v>#N/A</v>
      </c>
      <c r="BZ25" s="17" t="e">
        <f>IF(BZ$9,INDEX('Annual Real'!$1:$1048576,'History and Forecast'!BZ$7,'History and Forecast'!$H25),INDEX('Forecast Prices'!$1:$1048576,'History and Forecast'!$G25,'History and Forecast'!BZ$6))</f>
        <v>#N/A</v>
      </c>
      <c r="CA25" s="17" t="e">
        <f>IF(CA$9,INDEX('Annual Real'!$1:$1048576,'History and Forecast'!CA$7,'History and Forecast'!$H25),INDEX('Forecast Prices'!$1:$1048576,'History and Forecast'!$G25,'History and Forecast'!CA$6))</f>
        <v>#N/A</v>
      </c>
      <c r="CB25" s="17" t="e">
        <f>IF(CB$9,INDEX('Annual Real'!$1:$1048576,'History and Forecast'!CB$7,'History and Forecast'!$H25),INDEX('Forecast Prices'!$1:$1048576,'History and Forecast'!$G25,'History and Forecast'!CB$6))</f>
        <v>#N/A</v>
      </c>
      <c r="CC25" s="17">
        <f>IF(CC$9,INDEX('Annual Real'!$1:$1048576,'History and Forecast'!CC$7,'History and Forecast'!$H25),INDEX('Forecast Prices'!$1:$1048576,'History and Forecast'!$G25,'History and Forecast'!CC$6))</f>
        <v>143.08761467301801</v>
      </c>
      <c r="CD25" s="17" t="e">
        <f>IF(CD$9,INDEX('Annual Real'!$1:$1048576,'History and Forecast'!CD$7,'History and Forecast'!$H25),INDEX('Forecast Prices'!$1:$1048576,'History and Forecast'!$G25,'History and Forecast'!CD$6))</f>
        <v>#N/A</v>
      </c>
      <c r="CE25" s="17" t="e">
        <f>IF(CE$9,INDEX('Annual Real'!$1:$1048576,'History and Forecast'!CE$7,'History and Forecast'!$H25),INDEX('Forecast Prices'!$1:$1048576,'History and Forecast'!$G25,'History and Forecast'!CE$6))</f>
        <v>#N/A</v>
      </c>
      <c r="CF25" s="17" t="e">
        <f>IF(CF$9,INDEX('Annual Real'!$1:$1048576,'History and Forecast'!CF$7,'History and Forecast'!$H25),INDEX('Forecast Prices'!$1:$1048576,'History and Forecast'!$G25,'History and Forecast'!CF$6))</f>
        <v>#N/A</v>
      </c>
      <c r="CG25" s="17" t="e">
        <f>IF(CG$9,INDEX('Annual Real'!$1:$1048576,'History and Forecast'!CG$7,'History and Forecast'!$H25),INDEX('Forecast Prices'!$1:$1048576,'History and Forecast'!$G25,'History and Forecast'!CG$6))</f>
        <v>#N/A</v>
      </c>
      <c r="CH25" s="17" t="e">
        <f>IF(CH$9,INDEX('Annual Real'!$1:$1048576,'History and Forecast'!CH$7,'History and Forecast'!$H25),INDEX('Forecast Prices'!$1:$1048576,'History and Forecast'!$G25,'History and Forecast'!CH$6))</f>
        <v>#N/A</v>
      </c>
      <c r="CI25" s="17" t="e">
        <f>IF(CI$9,INDEX('Annual Real'!$1:$1048576,'History and Forecast'!CI$7,'History and Forecast'!$H25),INDEX('Forecast Prices'!$1:$1048576,'History and Forecast'!$G25,'History and Forecast'!CI$6))</f>
        <v>#N/A</v>
      </c>
    </row>
    <row r="26" spans="2:87">
      <c r="B26" t="str">
        <f t="shared" si="4"/>
        <v>MAIZE</v>
      </c>
      <c r="C26" s="34" t="s">
        <v>1067</v>
      </c>
      <c r="D26" t="str">
        <f t="shared" si="5"/>
        <v>KMAIZE</v>
      </c>
      <c r="E26" s="34" t="str">
        <f t="shared" si="6"/>
        <v>KFMAIZE</v>
      </c>
      <c r="F26">
        <f>MATCH(C26,'Forecast Prices'!A:A,0)</f>
        <v>30</v>
      </c>
      <c r="G26">
        <f>MATCH(E26,'Forecast Prices'!A:A,0)</f>
        <v>112</v>
      </c>
      <c r="H26" t="e">
        <f>MATCH(D26,'Annual Real'!$9:$9,0)</f>
        <v>#N/A</v>
      </c>
      <c r="I26" t="str">
        <f>INDEX('Forecast Prices'!B:B,'History and Forecast'!F26)&amp;INDEX('Forecast Prices'!C:C,'History and Forecast'!F26)&amp;INDEX('Forecast Prices'!D:D,'History and Forecast'!F26)&amp;INDEX('Forecast Prices'!E:E,'History and Forecast'!F26)</f>
        <v>Maize</v>
      </c>
      <c r="J26" t="str">
        <f>INDEX('Forecast Prices'!H:H,'History and Forecast'!F26)</f>
        <v>$/mt</v>
      </c>
      <c r="K26" s="17" t="e">
        <f>IF(K$9,INDEX('Annual Real'!$1:$1048576,'History and Forecast'!K$7,'History and Forecast'!$H26),INDEX('Forecast Prices'!$1:$1048576,'History and Forecast'!$G26,'History and Forecast'!K$6))</f>
        <v>#N/A</v>
      </c>
      <c r="L26" s="17" t="e">
        <f>IF(L$9,INDEX('Annual Real'!$1:$1048576,'History and Forecast'!L$7,'History and Forecast'!$H26),INDEX('Forecast Prices'!$1:$1048576,'History and Forecast'!$G26,'History and Forecast'!L$6))</f>
        <v>#N/A</v>
      </c>
      <c r="M26" s="17" t="e">
        <f>IF(M$9,INDEX('Annual Real'!$1:$1048576,'History and Forecast'!M$7,'History and Forecast'!$H26),INDEX('Forecast Prices'!$1:$1048576,'History and Forecast'!$G26,'History and Forecast'!M$6))</f>
        <v>#N/A</v>
      </c>
      <c r="N26" s="17" t="e">
        <f>IF(N$9,INDEX('Annual Real'!$1:$1048576,'History and Forecast'!N$7,'History and Forecast'!$H26),INDEX('Forecast Prices'!$1:$1048576,'History and Forecast'!$G26,'History and Forecast'!N$6))</f>
        <v>#N/A</v>
      </c>
      <c r="O26" s="17" t="e">
        <f>IF(O$9,INDEX('Annual Real'!$1:$1048576,'History and Forecast'!O$7,'History and Forecast'!$H26),INDEX('Forecast Prices'!$1:$1048576,'History and Forecast'!$G26,'History and Forecast'!O$6))</f>
        <v>#N/A</v>
      </c>
      <c r="P26" s="17" t="e">
        <f>IF(P$9,INDEX('Annual Real'!$1:$1048576,'History and Forecast'!P$7,'History and Forecast'!$H26),INDEX('Forecast Prices'!$1:$1048576,'History and Forecast'!$G26,'History and Forecast'!P$6))</f>
        <v>#N/A</v>
      </c>
      <c r="Q26" s="17" t="e">
        <f>IF(Q$9,INDEX('Annual Real'!$1:$1048576,'History and Forecast'!Q$7,'History and Forecast'!$H26),INDEX('Forecast Prices'!$1:$1048576,'History and Forecast'!$G26,'History and Forecast'!Q$6))</f>
        <v>#N/A</v>
      </c>
      <c r="R26" s="17" t="e">
        <f>IF(R$9,INDEX('Annual Real'!$1:$1048576,'History and Forecast'!R$7,'History and Forecast'!$H26),INDEX('Forecast Prices'!$1:$1048576,'History and Forecast'!$G26,'History and Forecast'!R$6))</f>
        <v>#N/A</v>
      </c>
      <c r="S26" s="17" t="e">
        <f>IF(S$9,INDEX('Annual Real'!$1:$1048576,'History and Forecast'!S$7,'History and Forecast'!$H26),INDEX('Forecast Prices'!$1:$1048576,'History and Forecast'!$G26,'History and Forecast'!S$6))</f>
        <v>#N/A</v>
      </c>
      <c r="T26" s="17" t="e">
        <f>IF(T$9,INDEX('Annual Real'!$1:$1048576,'History and Forecast'!T$7,'History and Forecast'!$H26),INDEX('Forecast Prices'!$1:$1048576,'History and Forecast'!$G26,'History and Forecast'!T$6))</f>
        <v>#N/A</v>
      </c>
      <c r="U26" s="17" t="e">
        <f>IF(U$9,INDEX('Annual Real'!$1:$1048576,'History and Forecast'!U$7,'History and Forecast'!$H26),INDEX('Forecast Prices'!$1:$1048576,'History and Forecast'!$G26,'History and Forecast'!U$6))</f>
        <v>#N/A</v>
      </c>
      <c r="V26" s="17" t="e">
        <f>IF(V$9,INDEX('Annual Real'!$1:$1048576,'History and Forecast'!V$7,'History and Forecast'!$H26),INDEX('Forecast Prices'!$1:$1048576,'History and Forecast'!$G26,'History and Forecast'!V$6))</f>
        <v>#N/A</v>
      </c>
      <c r="W26" s="17" t="e">
        <f>IF(W$9,INDEX('Annual Real'!$1:$1048576,'History and Forecast'!W$7,'History and Forecast'!$H26),INDEX('Forecast Prices'!$1:$1048576,'History and Forecast'!$G26,'History and Forecast'!W$6))</f>
        <v>#N/A</v>
      </c>
      <c r="X26" s="17" t="e">
        <f>IF(X$9,INDEX('Annual Real'!$1:$1048576,'History and Forecast'!X$7,'History and Forecast'!$H26),INDEX('Forecast Prices'!$1:$1048576,'History and Forecast'!$G26,'History and Forecast'!X$6))</f>
        <v>#N/A</v>
      </c>
      <c r="Y26" s="17" t="e">
        <f>IF(Y$9,INDEX('Annual Real'!$1:$1048576,'History and Forecast'!Y$7,'History and Forecast'!$H26),INDEX('Forecast Prices'!$1:$1048576,'History and Forecast'!$G26,'History and Forecast'!Y$6))</f>
        <v>#N/A</v>
      </c>
      <c r="Z26" s="17" t="e">
        <f>IF(Z$9,INDEX('Annual Real'!$1:$1048576,'History and Forecast'!Z$7,'History and Forecast'!$H26),INDEX('Forecast Prices'!$1:$1048576,'History and Forecast'!$G26,'History and Forecast'!Z$6))</f>
        <v>#N/A</v>
      </c>
      <c r="AA26" s="17" t="e">
        <f>IF(AA$9,INDEX('Annual Real'!$1:$1048576,'History and Forecast'!AA$7,'History and Forecast'!$H26),INDEX('Forecast Prices'!$1:$1048576,'History and Forecast'!$G26,'History and Forecast'!AA$6))</f>
        <v>#N/A</v>
      </c>
      <c r="AB26" s="17" t="e">
        <f>IF(AB$9,INDEX('Annual Real'!$1:$1048576,'History and Forecast'!AB$7,'History and Forecast'!$H26),INDEX('Forecast Prices'!$1:$1048576,'History and Forecast'!$G26,'History and Forecast'!AB$6))</f>
        <v>#N/A</v>
      </c>
      <c r="AC26" s="17" t="e">
        <f>IF(AC$9,INDEX('Annual Real'!$1:$1048576,'History and Forecast'!AC$7,'History and Forecast'!$H26),INDEX('Forecast Prices'!$1:$1048576,'History and Forecast'!$G26,'History and Forecast'!AC$6))</f>
        <v>#N/A</v>
      </c>
      <c r="AD26" s="17" t="e">
        <f>IF(AD$9,INDEX('Annual Real'!$1:$1048576,'History and Forecast'!AD$7,'History and Forecast'!$H26),INDEX('Forecast Prices'!$1:$1048576,'History and Forecast'!$G26,'History and Forecast'!AD$6))</f>
        <v>#N/A</v>
      </c>
      <c r="AE26" s="17" t="e">
        <f>IF(AE$9,INDEX('Annual Real'!$1:$1048576,'History and Forecast'!AE$7,'History and Forecast'!$H26),INDEX('Forecast Prices'!$1:$1048576,'History and Forecast'!$G26,'History and Forecast'!AE$6))</f>
        <v>#N/A</v>
      </c>
      <c r="AF26" s="17" t="e">
        <f>IF(AF$9,INDEX('Annual Real'!$1:$1048576,'History and Forecast'!AF$7,'History and Forecast'!$H26),INDEX('Forecast Prices'!$1:$1048576,'History and Forecast'!$G26,'History and Forecast'!AF$6))</f>
        <v>#N/A</v>
      </c>
      <c r="AG26" s="17" t="e">
        <f>IF(AG$9,INDEX('Annual Real'!$1:$1048576,'History and Forecast'!AG$7,'History and Forecast'!$H26),INDEX('Forecast Prices'!$1:$1048576,'History and Forecast'!$G26,'History and Forecast'!AG$6))</f>
        <v>#N/A</v>
      </c>
      <c r="AH26" s="17" t="e">
        <f>IF(AH$9,INDEX('Annual Real'!$1:$1048576,'History and Forecast'!AH$7,'History and Forecast'!$H26),INDEX('Forecast Prices'!$1:$1048576,'History and Forecast'!$G26,'History and Forecast'!AH$6))</f>
        <v>#N/A</v>
      </c>
      <c r="AI26" s="17" t="e">
        <f>IF(AI$9,INDEX('Annual Real'!$1:$1048576,'History and Forecast'!AI$7,'History and Forecast'!$H26),INDEX('Forecast Prices'!$1:$1048576,'History and Forecast'!$G26,'History and Forecast'!AI$6))</f>
        <v>#N/A</v>
      </c>
      <c r="AJ26" s="17" t="e">
        <f>IF(AJ$9,INDEX('Annual Real'!$1:$1048576,'History and Forecast'!AJ$7,'History and Forecast'!$H26),INDEX('Forecast Prices'!$1:$1048576,'History and Forecast'!$G26,'History and Forecast'!AJ$6))</f>
        <v>#N/A</v>
      </c>
      <c r="AK26" s="17" t="e">
        <f>IF(AK$9,INDEX('Annual Real'!$1:$1048576,'History and Forecast'!AK$7,'History and Forecast'!$H26),INDEX('Forecast Prices'!$1:$1048576,'History and Forecast'!$G26,'History and Forecast'!AK$6))</f>
        <v>#N/A</v>
      </c>
      <c r="AL26" s="17" t="e">
        <f>IF(AL$9,INDEX('Annual Real'!$1:$1048576,'History and Forecast'!AL$7,'History and Forecast'!$H26),INDEX('Forecast Prices'!$1:$1048576,'History and Forecast'!$G26,'History and Forecast'!AL$6))</f>
        <v>#N/A</v>
      </c>
      <c r="AM26" s="17" t="e">
        <f>IF(AM$9,INDEX('Annual Real'!$1:$1048576,'History and Forecast'!AM$7,'History and Forecast'!$H26),INDEX('Forecast Prices'!$1:$1048576,'History and Forecast'!$G26,'History and Forecast'!AM$6))</f>
        <v>#N/A</v>
      </c>
      <c r="AN26" s="17" t="e">
        <f>IF(AN$9,INDEX('Annual Real'!$1:$1048576,'History and Forecast'!AN$7,'History and Forecast'!$H26),INDEX('Forecast Prices'!$1:$1048576,'History and Forecast'!$G26,'History and Forecast'!AN$6))</f>
        <v>#N/A</v>
      </c>
      <c r="AO26" s="17" t="e">
        <f>IF(AO$9,INDEX('Annual Real'!$1:$1048576,'History and Forecast'!AO$7,'History and Forecast'!$H26),INDEX('Forecast Prices'!$1:$1048576,'History and Forecast'!$G26,'History and Forecast'!AO$6))</f>
        <v>#N/A</v>
      </c>
      <c r="AP26" s="17" t="e">
        <f>IF(AP$9,INDEX('Annual Real'!$1:$1048576,'History and Forecast'!AP$7,'History and Forecast'!$H26),INDEX('Forecast Prices'!$1:$1048576,'History and Forecast'!$G26,'History and Forecast'!AP$6))</f>
        <v>#N/A</v>
      </c>
      <c r="AQ26" s="17" t="e">
        <f>IF(AQ$9,INDEX('Annual Real'!$1:$1048576,'History and Forecast'!AQ$7,'History and Forecast'!$H26),INDEX('Forecast Prices'!$1:$1048576,'History and Forecast'!$G26,'History and Forecast'!AQ$6))</f>
        <v>#N/A</v>
      </c>
      <c r="AR26" s="17" t="e">
        <f>IF(AR$9,INDEX('Annual Real'!$1:$1048576,'History and Forecast'!AR$7,'History and Forecast'!$H26),INDEX('Forecast Prices'!$1:$1048576,'History and Forecast'!$G26,'History and Forecast'!AR$6))</f>
        <v>#N/A</v>
      </c>
      <c r="AS26" s="17" t="e">
        <f>IF(AS$9,INDEX('Annual Real'!$1:$1048576,'History and Forecast'!AS$7,'History and Forecast'!$H26),INDEX('Forecast Prices'!$1:$1048576,'History and Forecast'!$G26,'History and Forecast'!AS$6))</f>
        <v>#N/A</v>
      </c>
      <c r="AT26" s="17" t="e">
        <f>IF(AT$9,INDEX('Annual Real'!$1:$1048576,'History and Forecast'!AT$7,'History and Forecast'!$H26),INDEX('Forecast Prices'!$1:$1048576,'History and Forecast'!$G26,'History and Forecast'!AT$6))</f>
        <v>#N/A</v>
      </c>
      <c r="AU26" s="17" t="e">
        <f>IF(AU$9,INDEX('Annual Real'!$1:$1048576,'History and Forecast'!AU$7,'History and Forecast'!$H26),INDEX('Forecast Prices'!$1:$1048576,'History and Forecast'!$G26,'History and Forecast'!AU$6))</f>
        <v>#N/A</v>
      </c>
      <c r="AV26" s="17" t="e">
        <f>IF(AV$9,INDEX('Annual Real'!$1:$1048576,'History and Forecast'!AV$7,'History and Forecast'!$H26),INDEX('Forecast Prices'!$1:$1048576,'History and Forecast'!$G26,'History and Forecast'!AV$6))</f>
        <v>#N/A</v>
      </c>
      <c r="AW26" s="17" t="e">
        <f>IF(AW$9,INDEX('Annual Real'!$1:$1048576,'History and Forecast'!AW$7,'History and Forecast'!$H26),INDEX('Forecast Prices'!$1:$1048576,'History and Forecast'!$G26,'History and Forecast'!AW$6))</f>
        <v>#N/A</v>
      </c>
      <c r="AX26" s="17" t="e">
        <f>IF(AX$9,INDEX('Annual Real'!$1:$1048576,'History and Forecast'!AX$7,'History and Forecast'!$H26),INDEX('Forecast Prices'!$1:$1048576,'History and Forecast'!$G26,'History and Forecast'!AX$6))</f>
        <v>#N/A</v>
      </c>
      <c r="AY26" s="17" t="e">
        <f>IF(AY$9,INDEX('Annual Real'!$1:$1048576,'History and Forecast'!AY$7,'History and Forecast'!$H26),INDEX('Forecast Prices'!$1:$1048576,'History and Forecast'!$G26,'History and Forecast'!AY$6))</f>
        <v>#N/A</v>
      </c>
      <c r="AZ26" s="17" t="e">
        <f>IF(AZ$9,INDEX('Annual Real'!$1:$1048576,'History and Forecast'!AZ$7,'History and Forecast'!$H26),INDEX('Forecast Prices'!$1:$1048576,'History and Forecast'!$G26,'History and Forecast'!AZ$6))</f>
        <v>#N/A</v>
      </c>
      <c r="BA26" s="17" t="e">
        <f>IF(BA$9,INDEX('Annual Real'!$1:$1048576,'History and Forecast'!BA$7,'History and Forecast'!$H26),INDEX('Forecast Prices'!$1:$1048576,'History and Forecast'!$G26,'History and Forecast'!BA$6))</f>
        <v>#N/A</v>
      </c>
      <c r="BB26" s="17" t="e">
        <f>IF(BB$9,INDEX('Annual Real'!$1:$1048576,'History and Forecast'!BB$7,'History and Forecast'!$H26),INDEX('Forecast Prices'!$1:$1048576,'History and Forecast'!$G26,'History and Forecast'!BB$6))</f>
        <v>#N/A</v>
      </c>
      <c r="BC26" s="17" t="e">
        <f>IF(BC$9,INDEX('Annual Real'!$1:$1048576,'History and Forecast'!BC$7,'History and Forecast'!$H26),INDEX('Forecast Prices'!$1:$1048576,'History and Forecast'!$G26,'History and Forecast'!BC$6))</f>
        <v>#N/A</v>
      </c>
      <c r="BD26" s="17" t="e">
        <f>IF(BD$9,INDEX('Annual Real'!$1:$1048576,'History and Forecast'!BD$7,'History and Forecast'!$H26),INDEX('Forecast Prices'!$1:$1048576,'History and Forecast'!$G26,'History and Forecast'!BD$6))</f>
        <v>#N/A</v>
      </c>
      <c r="BE26" s="17" t="e">
        <f>IF(BE$9,INDEX('Annual Real'!$1:$1048576,'History and Forecast'!BE$7,'History and Forecast'!$H26),INDEX('Forecast Prices'!$1:$1048576,'History and Forecast'!$G26,'History and Forecast'!BE$6))</f>
        <v>#N/A</v>
      </c>
      <c r="BF26" s="17" t="e">
        <f>IF(BF$9,INDEX('Annual Real'!$1:$1048576,'History and Forecast'!BF$7,'History and Forecast'!$H26),INDEX('Forecast Prices'!$1:$1048576,'History and Forecast'!$G26,'History and Forecast'!BF$6))</f>
        <v>#N/A</v>
      </c>
      <c r="BG26" s="17" t="e">
        <f>IF(BG$9,INDEX('Annual Real'!$1:$1048576,'History and Forecast'!BG$7,'History and Forecast'!$H26),INDEX('Forecast Prices'!$1:$1048576,'History and Forecast'!$G26,'History and Forecast'!BG$6))</f>
        <v>#N/A</v>
      </c>
      <c r="BH26" s="17" t="e">
        <f>IF(BH$9,INDEX('Annual Real'!$1:$1048576,'History and Forecast'!BH$7,'History and Forecast'!$H26),INDEX('Forecast Prices'!$1:$1048576,'History and Forecast'!$G26,'History and Forecast'!BH$6))</f>
        <v>#N/A</v>
      </c>
      <c r="BI26" s="17" t="e">
        <f>IF(BI$9,INDEX('Annual Real'!$1:$1048576,'History and Forecast'!BI$7,'History and Forecast'!$H26),INDEX('Forecast Prices'!$1:$1048576,'History and Forecast'!$G26,'History and Forecast'!BI$6))</f>
        <v>#N/A</v>
      </c>
      <c r="BJ26" s="17" t="e">
        <f>IF(BJ$9,INDEX('Annual Real'!$1:$1048576,'History and Forecast'!BJ$7,'History and Forecast'!$H26),INDEX('Forecast Prices'!$1:$1048576,'History and Forecast'!$G26,'History and Forecast'!BJ$6))</f>
        <v>#N/A</v>
      </c>
      <c r="BK26" s="17" t="e">
        <f>IF(BK$9,INDEX('Annual Real'!$1:$1048576,'History and Forecast'!BK$7,'History and Forecast'!$H26),INDEX('Forecast Prices'!$1:$1048576,'History and Forecast'!$G26,'History and Forecast'!BK$6))</f>
        <v>#N/A</v>
      </c>
      <c r="BL26" s="17" t="e">
        <f>IF(BL$9,INDEX('Annual Real'!$1:$1048576,'History and Forecast'!BL$7,'History and Forecast'!$H26),INDEX('Forecast Prices'!$1:$1048576,'History and Forecast'!$G26,'History and Forecast'!BL$6))</f>
        <v>#N/A</v>
      </c>
      <c r="BM26" s="17" t="e">
        <f>IF(BM$9,INDEX('Annual Real'!$1:$1048576,'History and Forecast'!BM$7,'History and Forecast'!$H26),INDEX('Forecast Prices'!$1:$1048576,'History and Forecast'!$G26,'History and Forecast'!BM$6))</f>
        <v>#N/A</v>
      </c>
      <c r="BN26" s="17" t="e">
        <f>IF(BN$9,INDEX('Annual Real'!$1:$1048576,'History and Forecast'!BN$7,'History and Forecast'!$H26),INDEX('Forecast Prices'!$1:$1048576,'History and Forecast'!$G26,'History and Forecast'!BN$6))</f>
        <v>#N/A</v>
      </c>
      <c r="BO26" s="17">
        <f>IF(BO$9,INDEX('Annual Real'!$1:$1048576,'History and Forecast'!BO$7,'History and Forecast'!$H26),INDEX('Forecast Prices'!$1:$1048576,'History and Forecast'!$G26,'History and Forecast'!BO$6))</f>
        <v>169.26191531221599</v>
      </c>
      <c r="BP26" s="17">
        <f>IF(BP$9,INDEX('Annual Real'!$1:$1048576,'History and Forecast'!BP$7,'History and Forecast'!$H26),INDEX('Forecast Prices'!$1:$1048576,'History and Forecast'!$G26,'History and Forecast'!BP$6))</f>
        <v>158.843921440673</v>
      </c>
      <c r="BQ26" s="17">
        <f>IF(BQ$9,INDEX('Annual Real'!$1:$1048576,'History and Forecast'!BQ$7,'History and Forecast'!$H26),INDEX('Forecast Prices'!$1:$1048576,'History and Forecast'!$G26,'History and Forecast'!BQ$6))</f>
        <v>161.41496470160399</v>
      </c>
      <c r="BR26" s="17">
        <f>IF(BR$9,INDEX('Annual Real'!$1:$1048576,'History and Forecast'!BR$7,'History and Forecast'!$H26),INDEX('Forecast Prices'!$1:$1048576,'History and Forecast'!$G26,'History and Forecast'!BR$6))</f>
        <v>161.72657167023399</v>
      </c>
      <c r="BS26" s="17">
        <f>IF(BS$9,INDEX('Annual Real'!$1:$1048576,'History and Forecast'!BS$7,'History and Forecast'!$H26),INDEX('Forecast Prices'!$1:$1048576,'History and Forecast'!$G26,'History and Forecast'!BS$6))</f>
        <v>162.28083256571699</v>
      </c>
      <c r="BT26" s="17">
        <f>IF(BT$9,INDEX('Annual Real'!$1:$1048576,'History and Forecast'!BT$7,'History and Forecast'!$H26),INDEX('Forecast Prices'!$1:$1048576,'History and Forecast'!$G26,'History and Forecast'!BT$6))</f>
        <v>162.89445044108001</v>
      </c>
      <c r="BU26" s="17">
        <f>IF(BU$9,INDEX('Annual Real'!$1:$1048576,'History and Forecast'!BU$7,'History and Forecast'!$H26),INDEX('Forecast Prices'!$1:$1048576,'History and Forecast'!$G26,'History and Forecast'!BU$6))</f>
        <v>163.37931432320599</v>
      </c>
      <c r="BV26" s="17">
        <f>IF(BV$9,INDEX('Annual Real'!$1:$1048576,'History and Forecast'!BV$7,'History and Forecast'!$H26),INDEX('Forecast Prices'!$1:$1048576,'History and Forecast'!$G26,'History and Forecast'!BV$6))</f>
        <v>163.88008331398601</v>
      </c>
      <c r="BW26" s="17">
        <f>IF(BW$9,INDEX('Annual Real'!$1:$1048576,'History and Forecast'!BW$7,'History and Forecast'!$H26),INDEX('Forecast Prices'!$1:$1048576,'History and Forecast'!$G26,'History and Forecast'!BW$6))</f>
        <v>164.382332684153</v>
      </c>
      <c r="BX26" s="17">
        <f>IF(BX$9,INDEX('Annual Real'!$1:$1048576,'History and Forecast'!BX$7,'History and Forecast'!$H26),INDEX('Forecast Prices'!$1:$1048576,'History and Forecast'!$G26,'History and Forecast'!BX$6))</f>
        <v>164.876611704537</v>
      </c>
      <c r="BY26" s="17" t="e">
        <f>IF(BY$9,INDEX('Annual Real'!$1:$1048576,'History and Forecast'!BY$7,'History and Forecast'!$H26),INDEX('Forecast Prices'!$1:$1048576,'History and Forecast'!$G26,'History and Forecast'!BY$6))</f>
        <v>#N/A</v>
      </c>
      <c r="BZ26" s="17" t="e">
        <f>IF(BZ$9,INDEX('Annual Real'!$1:$1048576,'History and Forecast'!BZ$7,'History and Forecast'!$H26),INDEX('Forecast Prices'!$1:$1048576,'History and Forecast'!$G26,'History and Forecast'!BZ$6))</f>
        <v>#N/A</v>
      </c>
      <c r="CA26" s="17" t="e">
        <f>IF(CA$9,INDEX('Annual Real'!$1:$1048576,'History and Forecast'!CA$7,'History and Forecast'!$H26),INDEX('Forecast Prices'!$1:$1048576,'History and Forecast'!$G26,'History and Forecast'!CA$6))</f>
        <v>#N/A</v>
      </c>
      <c r="CB26" s="17" t="e">
        <f>IF(CB$9,INDEX('Annual Real'!$1:$1048576,'History and Forecast'!CB$7,'History and Forecast'!$H26),INDEX('Forecast Prices'!$1:$1048576,'History and Forecast'!$G26,'History and Forecast'!CB$6))</f>
        <v>#N/A</v>
      </c>
      <c r="CC26" s="17">
        <f>IF(CC$9,INDEX('Annual Real'!$1:$1048576,'History and Forecast'!CC$7,'History and Forecast'!$H26),INDEX('Forecast Prices'!$1:$1048576,'History and Forecast'!$G26,'History and Forecast'!CC$6))</f>
        <v>166.93555045185499</v>
      </c>
      <c r="CD26" s="17" t="e">
        <f>IF(CD$9,INDEX('Annual Real'!$1:$1048576,'History and Forecast'!CD$7,'History and Forecast'!$H26),INDEX('Forecast Prices'!$1:$1048576,'History and Forecast'!$G26,'History and Forecast'!CD$6))</f>
        <v>#N/A</v>
      </c>
      <c r="CE26" s="17" t="e">
        <f>IF(CE$9,INDEX('Annual Real'!$1:$1048576,'History and Forecast'!CE$7,'History and Forecast'!$H26),INDEX('Forecast Prices'!$1:$1048576,'History and Forecast'!$G26,'History and Forecast'!CE$6))</f>
        <v>#N/A</v>
      </c>
      <c r="CF26" s="17" t="e">
        <f>IF(CF$9,INDEX('Annual Real'!$1:$1048576,'History and Forecast'!CF$7,'History and Forecast'!$H26),INDEX('Forecast Prices'!$1:$1048576,'History and Forecast'!$G26,'History and Forecast'!CF$6))</f>
        <v>#N/A</v>
      </c>
      <c r="CG26" s="17" t="e">
        <f>IF(CG$9,INDEX('Annual Real'!$1:$1048576,'History and Forecast'!CG$7,'History and Forecast'!$H26),INDEX('Forecast Prices'!$1:$1048576,'History and Forecast'!$G26,'History and Forecast'!CG$6))</f>
        <v>#N/A</v>
      </c>
      <c r="CH26" s="17" t="e">
        <f>IF(CH$9,INDEX('Annual Real'!$1:$1048576,'History and Forecast'!CH$7,'History and Forecast'!$H26),INDEX('Forecast Prices'!$1:$1048576,'History and Forecast'!$G26,'History and Forecast'!CH$6))</f>
        <v>#N/A</v>
      </c>
      <c r="CI26" s="17" t="e">
        <f>IF(CI$9,INDEX('Annual Real'!$1:$1048576,'History and Forecast'!CI$7,'History and Forecast'!$H26),INDEX('Forecast Prices'!$1:$1048576,'History and Forecast'!$G26,'History and Forecast'!CI$6))</f>
        <v>#N/A</v>
      </c>
    </row>
    <row r="27" spans="2:87">
      <c r="B27" t="str">
        <f t="shared" si="4"/>
        <v>RICE_05</v>
      </c>
      <c r="C27" s="34" t="s">
        <v>1068</v>
      </c>
      <c r="D27" t="str">
        <f t="shared" si="5"/>
        <v>KRICE_05</v>
      </c>
      <c r="E27" s="34" t="str">
        <f t="shared" si="6"/>
        <v>KFRICE_05</v>
      </c>
      <c r="F27">
        <f>MATCH(C27,'Forecast Prices'!A:A,0)</f>
        <v>31</v>
      </c>
      <c r="G27">
        <f>MATCH(E27,'Forecast Prices'!A:A,0)</f>
        <v>113</v>
      </c>
      <c r="H27" t="e">
        <f>MATCH(D27,'Annual Real'!$9:$9,0)</f>
        <v>#N/A</v>
      </c>
      <c r="I27" t="str">
        <f>INDEX('Forecast Prices'!B:B,'History and Forecast'!F27)&amp;INDEX('Forecast Prices'!C:C,'History and Forecast'!F27)&amp;INDEX('Forecast Prices'!D:D,'History and Forecast'!F27)&amp;INDEX('Forecast Prices'!E:E,'History and Forecast'!F27)</f>
        <v>Rice, Thailand, 5%</v>
      </c>
      <c r="J27" t="str">
        <f>INDEX('Forecast Prices'!H:H,'History and Forecast'!F27)</f>
        <v>$/mt</v>
      </c>
      <c r="K27" s="17" t="e">
        <f>IF(K$9,INDEX('Annual Real'!$1:$1048576,'History and Forecast'!K$7,'History and Forecast'!$H27),INDEX('Forecast Prices'!$1:$1048576,'History and Forecast'!$G27,'History and Forecast'!K$6))</f>
        <v>#N/A</v>
      </c>
      <c r="L27" s="17" t="e">
        <f>IF(L$9,INDEX('Annual Real'!$1:$1048576,'History and Forecast'!L$7,'History and Forecast'!$H27),INDEX('Forecast Prices'!$1:$1048576,'History and Forecast'!$G27,'History and Forecast'!L$6))</f>
        <v>#N/A</v>
      </c>
      <c r="M27" s="17" t="e">
        <f>IF(M$9,INDEX('Annual Real'!$1:$1048576,'History and Forecast'!M$7,'History and Forecast'!$H27),INDEX('Forecast Prices'!$1:$1048576,'History and Forecast'!$G27,'History and Forecast'!M$6))</f>
        <v>#N/A</v>
      </c>
      <c r="N27" s="17" t="e">
        <f>IF(N$9,INDEX('Annual Real'!$1:$1048576,'History and Forecast'!N$7,'History and Forecast'!$H27),INDEX('Forecast Prices'!$1:$1048576,'History and Forecast'!$G27,'History and Forecast'!N$6))</f>
        <v>#N/A</v>
      </c>
      <c r="O27" s="17" t="e">
        <f>IF(O$9,INDEX('Annual Real'!$1:$1048576,'History and Forecast'!O$7,'History and Forecast'!$H27),INDEX('Forecast Prices'!$1:$1048576,'History and Forecast'!$G27,'History and Forecast'!O$6))</f>
        <v>#N/A</v>
      </c>
      <c r="P27" s="17" t="e">
        <f>IF(P$9,INDEX('Annual Real'!$1:$1048576,'History and Forecast'!P$7,'History and Forecast'!$H27),INDEX('Forecast Prices'!$1:$1048576,'History and Forecast'!$G27,'History and Forecast'!P$6))</f>
        <v>#N/A</v>
      </c>
      <c r="Q27" s="17" t="e">
        <f>IF(Q$9,INDEX('Annual Real'!$1:$1048576,'History and Forecast'!Q$7,'History and Forecast'!$H27),INDEX('Forecast Prices'!$1:$1048576,'History and Forecast'!$G27,'History and Forecast'!Q$6))</f>
        <v>#N/A</v>
      </c>
      <c r="R27" s="17" t="e">
        <f>IF(R$9,INDEX('Annual Real'!$1:$1048576,'History and Forecast'!R$7,'History and Forecast'!$H27),INDEX('Forecast Prices'!$1:$1048576,'History and Forecast'!$G27,'History and Forecast'!R$6))</f>
        <v>#N/A</v>
      </c>
      <c r="S27" s="17" t="e">
        <f>IF(S$9,INDEX('Annual Real'!$1:$1048576,'History and Forecast'!S$7,'History and Forecast'!$H27),INDEX('Forecast Prices'!$1:$1048576,'History and Forecast'!$G27,'History and Forecast'!S$6))</f>
        <v>#N/A</v>
      </c>
      <c r="T27" s="17" t="e">
        <f>IF(T$9,INDEX('Annual Real'!$1:$1048576,'History and Forecast'!T$7,'History and Forecast'!$H27),INDEX('Forecast Prices'!$1:$1048576,'History and Forecast'!$G27,'History and Forecast'!T$6))</f>
        <v>#N/A</v>
      </c>
      <c r="U27" s="17" t="e">
        <f>IF(U$9,INDEX('Annual Real'!$1:$1048576,'History and Forecast'!U$7,'History and Forecast'!$H27),INDEX('Forecast Prices'!$1:$1048576,'History and Forecast'!$G27,'History and Forecast'!U$6))</f>
        <v>#N/A</v>
      </c>
      <c r="V27" s="17" t="e">
        <f>IF(V$9,INDEX('Annual Real'!$1:$1048576,'History and Forecast'!V$7,'History and Forecast'!$H27),INDEX('Forecast Prices'!$1:$1048576,'History and Forecast'!$G27,'History and Forecast'!V$6))</f>
        <v>#N/A</v>
      </c>
      <c r="W27" s="17" t="e">
        <f>IF(W$9,INDEX('Annual Real'!$1:$1048576,'History and Forecast'!W$7,'History and Forecast'!$H27),INDEX('Forecast Prices'!$1:$1048576,'History and Forecast'!$G27,'History and Forecast'!W$6))</f>
        <v>#N/A</v>
      </c>
      <c r="X27" s="17" t="e">
        <f>IF(X$9,INDEX('Annual Real'!$1:$1048576,'History and Forecast'!X$7,'History and Forecast'!$H27),INDEX('Forecast Prices'!$1:$1048576,'History and Forecast'!$G27,'History and Forecast'!X$6))</f>
        <v>#N/A</v>
      </c>
      <c r="Y27" s="17" t="e">
        <f>IF(Y$9,INDEX('Annual Real'!$1:$1048576,'History and Forecast'!Y$7,'History and Forecast'!$H27),INDEX('Forecast Prices'!$1:$1048576,'History and Forecast'!$G27,'History and Forecast'!Y$6))</f>
        <v>#N/A</v>
      </c>
      <c r="Z27" s="17" t="e">
        <f>IF(Z$9,INDEX('Annual Real'!$1:$1048576,'History and Forecast'!Z$7,'History and Forecast'!$H27),INDEX('Forecast Prices'!$1:$1048576,'History and Forecast'!$G27,'History and Forecast'!Z$6))</f>
        <v>#N/A</v>
      </c>
      <c r="AA27" s="17" t="e">
        <f>IF(AA$9,INDEX('Annual Real'!$1:$1048576,'History and Forecast'!AA$7,'History and Forecast'!$H27),INDEX('Forecast Prices'!$1:$1048576,'History and Forecast'!$G27,'History and Forecast'!AA$6))</f>
        <v>#N/A</v>
      </c>
      <c r="AB27" s="17" t="e">
        <f>IF(AB$9,INDEX('Annual Real'!$1:$1048576,'History and Forecast'!AB$7,'History and Forecast'!$H27),INDEX('Forecast Prices'!$1:$1048576,'History and Forecast'!$G27,'History and Forecast'!AB$6))</f>
        <v>#N/A</v>
      </c>
      <c r="AC27" s="17" t="e">
        <f>IF(AC$9,INDEX('Annual Real'!$1:$1048576,'History and Forecast'!AC$7,'History and Forecast'!$H27),INDEX('Forecast Prices'!$1:$1048576,'History and Forecast'!$G27,'History and Forecast'!AC$6))</f>
        <v>#N/A</v>
      </c>
      <c r="AD27" s="17" t="e">
        <f>IF(AD$9,INDEX('Annual Real'!$1:$1048576,'History and Forecast'!AD$7,'History and Forecast'!$H27),INDEX('Forecast Prices'!$1:$1048576,'History and Forecast'!$G27,'History and Forecast'!AD$6))</f>
        <v>#N/A</v>
      </c>
      <c r="AE27" s="17" t="e">
        <f>IF(AE$9,INDEX('Annual Real'!$1:$1048576,'History and Forecast'!AE$7,'History and Forecast'!$H27),INDEX('Forecast Prices'!$1:$1048576,'History and Forecast'!$G27,'History and Forecast'!AE$6))</f>
        <v>#N/A</v>
      </c>
      <c r="AF27" s="17" t="e">
        <f>IF(AF$9,INDEX('Annual Real'!$1:$1048576,'History and Forecast'!AF$7,'History and Forecast'!$H27),INDEX('Forecast Prices'!$1:$1048576,'History and Forecast'!$G27,'History and Forecast'!AF$6))</f>
        <v>#N/A</v>
      </c>
      <c r="AG27" s="17" t="e">
        <f>IF(AG$9,INDEX('Annual Real'!$1:$1048576,'History and Forecast'!AG$7,'History and Forecast'!$H27),INDEX('Forecast Prices'!$1:$1048576,'History and Forecast'!$G27,'History and Forecast'!AG$6))</f>
        <v>#N/A</v>
      </c>
      <c r="AH27" s="17" t="e">
        <f>IF(AH$9,INDEX('Annual Real'!$1:$1048576,'History and Forecast'!AH$7,'History and Forecast'!$H27),INDEX('Forecast Prices'!$1:$1048576,'History and Forecast'!$G27,'History and Forecast'!AH$6))</f>
        <v>#N/A</v>
      </c>
      <c r="AI27" s="17" t="e">
        <f>IF(AI$9,INDEX('Annual Real'!$1:$1048576,'History and Forecast'!AI$7,'History and Forecast'!$H27),INDEX('Forecast Prices'!$1:$1048576,'History and Forecast'!$G27,'History and Forecast'!AI$6))</f>
        <v>#N/A</v>
      </c>
      <c r="AJ27" s="17" t="e">
        <f>IF(AJ$9,INDEX('Annual Real'!$1:$1048576,'History and Forecast'!AJ$7,'History and Forecast'!$H27),INDEX('Forecast Prices'!$1:$1048576,'History and Forecast'!$G27,'History and Forecast'!AJ$6))</f>
        <v>#N/A</v>
      </c>
      <c r="AK27" s="17" t="e">
        <f>IF(AK$9,INDEX('Annual Real'!$1:$1048576,'History and Forecast'!AK$7,'History and Forecast'!$H27),INDEX('Forecast Prices'!$1:$1048576,'History and Forecast'!$G27,'History and Forecast'!AK$6))</f>
        <v>#N/A</v>
      </c>
      <c r="AL27" s="17" t="e">
        <f>IF(AL$9,INDEX('Annual Real'!$1:$1048576,'History and Forecast'!AL$7,'History and Forecast'!$H27),INDEX('Forecast Prices'!$1:$1048576,'History and Forecast'!$G27,'History and Forecast'!AL$6))</f>
        <v>#N/A</v>
      </c>
      <c r="AM27" s="17" t="e">
        <f>IF(AM$9,INDEX('Annual Real'!$1:$1048576,'History and Forecast'!AM$7,'History and Forecast'!$H27),INDEX('Forecast Prices'!$1:$1048576,'History and Forecast'!$G27,'History and Forecast'!AM$6))</f>
        <v>#N/A</v>
      </c>
      <c r="AN27" s="17" t="e">
        <f>IF(AN$9,INDEX('Annual Real'!$1:$1048576,'History and Forecast'!AN$7,'History and Forecast'!$H27),INDEX('Forecast Prices'!$1:$1048576,'History and Forecast'!$G27,'History and Forecast'!AN$6))</f>
        <v>#N/A</v>
      </c>
      <c r="AO27" s="17" t="e">
        <f>IF(AO$9,INDEX('Annual Real'!$1:$1048576,'History and Forecast'!AO$7,'History and Forecast'!$H27),INDEX('Forecast Prices'!$1:$1048576,'History and Forecast'!$G27,'History and Forecast'!AO$6))</f>
        <v>#N/A</v>
      </c>
      <c r="AP27" s="17" t="e">
        <f>IF(AP$9,INDEX('Annual Real'!$1:$1048576,'History and Forecast'!AP$7,'History and Forecast'!$H27),INDEX('Forecast Prices'!$1:$1048576,'History and Forecast'!$G27,'History and Forecast'!AP$6))</f>
        <v>#N/A</v>
      </c>
      <c r="AQ27" s="17" t="e">
        <f>IF(AQ$9,INDEX('Annual Real'!$1:$1048576,'History and Forecast'!AQ$7,'History and Forecast'!$H27),INDEX('Forecast Prices'!$1:$1048576,'History and Forecast'!$G27,'History and Forecast'!AQ$6))</f>
        <v>#N/A</v>
      </c>
      <c r="AR27" s="17" t="e">
        <f>IF(AR$9,INDEX('Annual Real'!$1:$1048576,'History and Forecast'!AR$7,'History and Forecast'!$H27),INDEX('Forecast Prices'!$1:$1048576,'History and Forecast'!$G27,'History and Forecast'!AR$6))</f>
        <v>#N/A</v>
      </c>
      <c r="AS27" s="17" t="e">
        <f>IF(AS$9,INDEX('Annual Real'!$1:$1048576,'History and Forecast'!AS$7,'History and Forecast'!$H27),INDEX('Forecast Prices'!$1:$1048576,'History and Forecast'!$G27,'History and Forecast'!AS$6))</f>
        <v>#N/A</v>
      </c>
      <c r="AT27" s="17" t="e">
        <f>IF(AT$9,INDEX('Annual Real'!$1:$1048576,'History and Forecast'!AT$7,'History and Forecast'!$H27),INDEX('Forecast Prices'!$1:$1048576,'History and Forecast'!$G27,'History and Forecast'!AT$6))</f>
        <v>#N/A</v>
      </c>
      <c r="AU27" s="17" t="e">
        <f>IF(AU$9,INDEX('Annual Real'!$1:$1048576,'History and Forecast'!AU$7,'History and Forecast'!$H27),INDEX('Forecast Prices'!$1:$1048576,'History and Forecast'!$G27,'History and Forecast'!AU$6))</f>
        <v>#N/A</v>
      </c>
      <c r="AV27" s="17" t="e">
        <f>IF(AV$9,INDEX('Annual Real'!$1:$1048576,'History and Forecast'!AV$7,'History and Forecast'!$H27),INDEX('Forecast Prices'!$1:$1048576,'History and Forecast'!$G27,'History and Forecast'!AV$6))</f>
        <v>#N/A</v>
      </c>
      <c r="AW27" s="17" t="e">
        <f>IF(AW$9,INDEX('Annual Real'!$1:$1048576,'History and Forecast'!AW$7,'History and Forecast'!$H27),INDEX('Forecast Prices'!$1:$1048576,'History and Forecast'!$G27,'History and Forecast'!AW$6))</f>
        <v>#N/A</v>
      </c>
      <c r="AX27" s="17" t="e">
        <f>IF(AX$9,INDEX('Annual Real'!$1:$1048576,'History and Forecast'!AX$7,'History and Forecast'!$H27),INDEX('Forecast Prices'!$1:$1048576,'History and Forecast'!$G27,'History and Forecast'!AX$6))</f>
        <v>#N/A</v>
      </c>
      <c r="AY27" s="17" t="e">
        <f>IF(AY$9,INDEX('Annual Real'!$1:$1048576,'History and Forecast'!AY$7,'History and Forecast'!$H27),INDEX('Forecast Prices'!$1:$1048576,'History and Forecast'!$G27,'History and Forecast'!AY$6))</f>
        <v>#N/A</v>
      </c>
      <c r="AZ27" s="17" t="e">
        <f>IF(AZ$9,INDEX('Annual Real'!$1:$1048576,'History and Forecast'!AZ$7,'History and Forecast'!$H27),INDEX('Forecast Prices'!$1:$1048576,'History and Forecast'!$G27,'History and Forecast'!AZ$6))</f>
        <v>#N/A</v>
      </c>
      <c r="BA27" s="17" t="e">
        <f>IF(BA$9,INDEX('Annual Real'!$1:$1048576,'History and Forecast'!BA$7,'History and Forecast'!$H27),INDEX('Forecast Prices'!$1:$1048576,'History and Forecast'!$G27,'History and Forecast'!BA$6))</f>
        <v>#N/A</v>
      </c>
      <c r="BB27" s="17" t="e">
        <f>IF(BB$9,INDEX('Annual Real'!$1:$1048576,'History and Forecast'!BB$7,'History and Forecast'!$H27),INDEX('Forecast Prices'!$1:$1048576,'History and Forecast'!$G27,'History and Forecast'!BB$6))</f>
        <v>#N/A</v>
      </c>
      <c r="BC27" s="17" t="e">
        <f>IF(BC$9,INDEX('Annual Real'!$1:$1048576,'History and Forecast'!BC$7,'History and Forecast'!$H27),INDEX('Forecast Prices'!$1:$1048576,'History and Forecast'!$G27,'History and Forecast'!BC$6))</f>
        <v>#N/A</v>
      </c>
      <c r="BD27" s="17" t="e">
        <f>IF(BD$9,INDEX('Annual Real'!$1:$1048576,'History and Forecast'!BD$7,'History and Forecast'!$H27),INDEX('Forecast Prices'!$1:$1048576,'History and Forecast'!$G27,'History and Forecast'!BD$6))</f>
        <v>#N/A</v>
      </c>
      <c r="BE27" s="17" t="e">
        <f>IF(BE$9,INDEX('Annual Real'!$1:$1048576,'History and Forecast'!BE$7,'History and Forecast'!$H27),INDEX('Forecast Prices'!$1:$1048576,'History and Forecast'!$G27,'History and Forecast'!BE$6))</f>
        <v>#N/A</v>
      </c>
      <c r="BF27" s="17" t="e">
        <f>IF(BF$9,INDEX('Annual Real'!$1:$1048576,'History and Forecast'!BF$7,'History and Forecast'!$H27),INDEX('Forecast Prices'!$1:$1048576,'History and Forecast'!$G27,'History and Forecast'!BF$6))</f>
        <v>#N/A</v>
      </c>
      <c r="BG27" s="17" t="e">
        <f>IF(BG$9,INDEX('Annual Real'!$1:$1048576,'History and Forecast'!BG$7,'History and Forecast'!$H27),INDEX('Forecast Prices'!$1:$1048576,'History and Forecast'!$G27,'History and Forecast'!BG$6))</f>
        <v>#N/A</v>
      </c>
      <c r="BH27" s="17" t="e">
        <f>IF(BH$9,INDEX('Annual Real'!$1:$1048576,'History and Forecast'!BH$7,'History and Forecast'!$H27),INDEX('Forecast Prices'!$1:$1048576,'History and Forecast'!$G27,'History and Forecast'!BH$6))</f>
        <v>#N/A</v>
      </c>
      <c r="BI27" s="17" t="e">
        <f>IF(BI$9,INDEX('Annual Real'!$1:$1048576,'History and Forecast'!BI$7,'History and Forecast'!$H27),INDEX('Forecast Prices'!$1:$1048576,'History and Forecast'!$G27,'History and Forecast'!BI$6))</f>
        <v>#N/A</v>
      </c>
      <c r="BJ27" s="17" t="e">
        <f>IF(BJ$9,INDEX('Annual Real'!$1:$1048576,'History and Forecast'!BJ$7,'History and Forecast'!$H27),INDEX('Forecast Prices'!$1:$1048576,'History and Forecast'!$G27,'History and Forecast'!BJ$6))</f>
        <v>#N/A</v>
      </c>
      <c r="BK27" s="17" t="e">
        <f>IF(BK$9,INDEX('Annual Real'!$1:$1048576,'History and Forecast'!BK$7,'History and Forecast'!$H27),INDEX('Forecast Prices'!$1:$1048576,'History and Forecast'!$G27,'History and Forecast'!BK$6))</f>
        <v>#N/A</v>
      </c>
      <c r="BL27" s="17" t="e">
        <f>IF(BL$9,INDEX('Annual Real'!$1:$1048576,'History and Forecast'!BL$7,'History and Forecast'!$H27),INDEX('Forecast Prices'!$1:$1048576,'History and Forecast'!$G27,'History and Forecast'!BL$6))</f>
        <v>#N/A</v>
      </c>
      <c r="BM27" s="17" t="e">
        <f>IF(BM$9,INDEX('Annual Real'!$1:$1048576,'History and Forecast'!BM$7,'History and Forecast'!$H27),INDEX('Forecast Prices'!$1:$1048576,'History and Forecast'!$G27,'History and Forecast'!BM$6))</f>
        <v>#N/A</v>
      </c>
      <c r="BN27" s="17" t="e">
        <f>IF(BN$9,INDEX('Annual Real'!$1:$1048576,'History and Forecast'!BN$7,'History and Forecast'!$H27),INDEX('Forecast Prices'!$1:$1048576,'History and Forecast'!$G27,'History and Forecast'!BN$6))</f>
        <v>#N/A</v>
      </c>
      <c r="BO27" s="17">
        <f>IF(BO$9,INDEX('Annual Real'!$1:$1048576,'History and Forecast'!BO$7,'History and Forecast'!$H27),INDEX('Forecast Prices'!$1:$1048576,'History and Forecast'!$G27,'History and Forecast'!BO$6))</f>
        <v>421.30909146412603</v>
      </c>
      <c r="BP27" s="17">
        <f>IF(BP$9,INDEX('Annual Real'!$1:$1048576,'History and Forecast'!BP$7,'History and Forecast'!$H27),INDEX('Forecast Prices'!$1:$1048576,'History and Forecast'!$G27,'History and Forecast'!BP$6))</f>
        <v>410.04890192718398</v>
      </c>
      <c r="BQ27" s="17">
        <f>IF(BQ$9,INDEX('Annual Real'!$1:$1048576,'History and Forecast'!BQ$7,'History and Forecast'!$H27),INDEX('Forecast Prices'!$1:$1048576,'History and Forecast'!$G27,'History and Forecast'!BQ$6))</f>
        <v>412.99201605159499</v>
      </c>
      <c r="BR27" s="17">
        <f>IF(BR$9,INDEX('Annual Real'!$1:$1048576,'History and Forecast'!BR$7,'History and Forecast'!$H27),INDEX('Forecast Prices'!$1:$1048576,'History and Forecast'!$G27,'History and Forecast'!BR$6))</f>
        <v>394.689847528548</v>
      </c>
      <c r="BS27" s="17">
        <f>IF(BS$9,INDEX('Annual Real'!$1:$1048576,'History and Forecast'!BS$7,'History and Forecast'!$H27),INDEX('Forecast Prices'!$1:$1048576,'History and Forecast'!$G27,'History and Forecast'!BS$6))</f>
        <v>390.58888057707497</v>
      </c>
      <c r="BT27" s="17">
        <f>IF(BT$9,INDEX('Annual Real'!$1:$1048576,'History and Forecast'!BT$7,'History and Forecast'!$H27),INDEX('Forecast Prices'!$1:$1048576,'History and Forecast'!$G27,'History and Forecast'!BT$6))</f>
        <v>386.62543688957601</v>
      </c>
      <c r="BU27" s="17">
        <f>IF(BU$9,INDEX('Annual Real'!$1:$1048576,'History and Forecast'!BU$7,'History and Forecast'!$H27),INDEX('Forecast Prices'!$1:$1048576,'History and Forecast'!$G27,'History and Forecast'!BU$6))</f>
        <v>382.39542754964998</v>
      </c>
      <c r="BV27" s="17">
        <f>IF(BV$9,INDEX('Annual Real'!$1:$1048576,'History and Forecast'!BV$7,'History and Forecast'!$H27),INDEX('Forecast Prices'!$1:$1048576,'History and Forecast'!$G27,'History and Forecast'!BV$6))</f>
        <v>378.24507699154299</v>
      </c>
      <c r="BW27" s="17">
        <f>IF(BW$9,INDEX('Annual Real'!$1:$1048576,'History and Forecast'!BW$7,'History and Forecast'!$H27),INDEX('Forecast Prices'!$1:$1048576,'History and Forecast'!$G27,'History and Forecast'!BW$6))</f>
        <v>374.13964842742899</v>
      </c>
      <c r="BX27" s="17">
        <f>IF(BX$9,INDEX('Annual Real'!$1:$1048576,'History and Forecast'!BX$7,'History and Forecast'!$H27),INDEX('Forecast Prices'!$1:$1048576,'History and Forecast'!$G27,'History and Forecast'!BX$6))</f>
        <v>370.05743585681802</v>
      </c>
      <c r="BY27" s="17" t="e">
        <f>IF(BY$9,INDEX('Annual Real'!$1:$1048576,'History and Forecast'!BY$7,'History and Forecast'!$H27),INDEX('Forecast Prices'!$1:$1048576,'History and Forecast'!$G27,'History and Forecast'!BY$6))</f>
        <v>#N/A</v>
      </c>
      <c r="BZ27" s="17" t="e">
        <f>IF(BZ$9,INDEX('Annual Real'!$1:$1048576,'History and Forecast'!BZ$7,'History and Forecast'!$H27),INDEX('Forecast Prices'!$1:$1048576,'History and Forecast'!$G27,'History and Forecast'!BZ$6))</f>
        <v>#N/A</v>
      </c>
      <c r="CA27" s="17" t="e">
        <f>IF(CA$9,INDEX('Annual Real'!$1:$1048576,'History and Forecast'!CA$7,'History and Forecast'!$H27),INDEX('Forecast Prices'!$1:$1048576,'History and Forecast'!$G27,'History and Forecast'!CA$6))</f>
        <v>#N/A</v>
      </c>
      <c r="CB27" s="17" t="e">
        <f>IF(CB$9,INDEX('Annual Real'!$1:$1048576,'History and Forecast'!CB$7,'History and Forecast'!$H27),INDEX('Forecast Prices'!$1:$1048576,'History and Forecast'!$G27,'History and Forecast'!CB$6))</f>
        <v>#N/A</v>
      </c>
      <c r="CC27" s="17">
        <f>IF(CC$9,INDEX('Annual Real'!$1:$1048576,'History and Forecast'!CC$7,'History and Forecast'!$H27),INDEX('Forecast Prices'!$1:$1048576,'History and Forecast'!$G27,'History and Forecast'!CC$6))</f>
        <v>349.76972475626701</v>
      </c>
      <c r="CD27" s="17" t="e">
        <f>IF(CD$9,INDEX('Annual Real'!$1:$1048576,'History and Forecast'!CD$7,'History and Forecast'!$H27),INDEX('Forecast Prices'!$1:$1048576,'History and Forecast'!$G27,'History and Forecast'!CD$6))</f>
        <v>#N/A</v>
      </c>
      <c r="CE27" s="17" t="e">
        <f>IF(CE$9,INDEX('Annual Real'!$1:$1048576,'History and Forecast'!CE$7,'History and Forecast'!$H27),INDEX('Forecast Prices'!$1:$1048576,'History and Forecast'!$G27,'History and Forecast'!CE$6))</f>
        <v>#N/A</v>
      </c>
      <c r="CF27" s="17" t="e">
        <f>IF(CF$9,INDEX('Annual Real'!$1:$1048576,'History and Forecast'!CF$7,'History and Forecast'!$H27),INDEX('Forecast Prices'!$1:$1048576,'History and Forecast'!$G27,'History and Forecast'!CF$6))</f>
        <v>#N/A</v>
      </c>
      <c r="CG27" s="17" t="e">
        <f>IF(CG$9,INDEX('Annual Real'!$1:$1048576,'History and Forecast'!CG$7,'History and Forecast'!$H27),INDEX('Forecast Prices'!$1:$1048576,'History and Forecast'!$G27,'History and Forecast'!CG$6))</f>
        <v>#N/A</v>
      </c>
      <c r="CH27" s="17" t="e">
        <f>IF(CH$9,INDEX('Annual Real'!$1:$1048576,'History and Forecast'!CH$7,'History and Forecast'!$H27),INDEX('Forecast Prices'!$1:$1048576,'History and Forecast'!$G27,'History and Forecast'!CH$6))</f>
        <v>#N/A</v>
      </c>
      <c r="CI27" s="17" t="e">
        <f>IF(CI$9,INDEX('Annual Real'!$1:$1048576,'History and Forecast'!CI$7,'History and Forecast'!$H27),INDEX('Forecast Prices'!$1:$1048576,'History and Forecast'!$G27,'History and Forecast'!CI$6))</f>
        <v>#N/A</v>
      </c>
    </row>
    <row r="28" spans="2:87">
      <c r="B28" t="str">
        <f t="shared" si="4"/>
        <v>WHEAT_US_HRW</v>
      </c>
      <c r="C28" s="34" t="s">
        <v>1070</v>
      </c>
      <c r="D28" t="str">
        <f t="shared" si="5"/>
        <v>KWHEAT_US_HRW</v>
      </c>
      <c r="E28" s="34" t="str">
        <f t="shared" si="6"/>
        <v>KFWHEAT_US_HRW</v>
      </c>
      <c r="F28">
        <f>MATCH(C28,'Forecast Prices'!A:A,0)</f>
        <v>32</v>
      </c>
      <c r="G28">
        <f>MATCH(E28,'Forecast Prices'!A:A,0)</f>
        <v>114</v>
      </c>
      <c r="H28" t="e">
        <f>MATCH(D28,'Annual Real'!$9:$9,0)</f>
        <v>#N/A</v>
      </c>
      <c r="I28" t="str">
        <f>INDEX('Forecast Prices'!B:B,'History and Forecast'!F28)&amp;INDEX('Forecast Prices'!C:C,'History and Forecast'!F28)&amp;INDEX('Forecast Prices'!D:D,'History and Forecast'!F28)&amp;INDEX('Forecast Prices'!E:E,'History and Forecast'!F28)</f>
        <v>Wheat, US, HRW</v>
      </c>
      <c r="J28" t="str">
        <f>INDEX('Forecast Prices'!H:H,'History and Forecast'!F28)</f>
        <v>$/mt</v>
      </c>
      <c r="K28" s="17" t="e">
        <f>IF(K$9,INDEX('Annual Real'!$1:$1048576,'History and Forecast'!K$7,'History and Forecast'!$H28),INDEX('Forecast Prices'!$1:$1048576,'History and Forecast'!$G28,'History and Forecast'!K$6))</f>
        <v>#N/A</v>
      </c>
      <c r="L28" s="17" t="e">
        <f>IF(L$9,INDEX('Annual Real'!$1:$1048576,'History and Forecast'!L$7,'History and Forecast'!$H28),INDEX('Forecast Prices'!$1:$1048576,'History and Forecast'!$G28,'History and Forecast'!L$6))</f>
        <v>#N/A</v>
      </c>
      <c r="M28" s="17" t="e">
        <f>IF(M$9,INDEX('Annual Real'!$1:$1048576,'History and Forecast'!M$7,'History and Forecast'!$H28),INDEX('Forecast Prices'!$1:$1048576,'History and Forecast'!$G28,'History and Forecast'!M$6))</f>
        <v>#N/A</v>
      </c>
      <c r="N28" s="17" t="e">
        <f>IF(N$9,INDEX('Annual Real'!$1:$1048576,'History and Forecast'!N$7,'History and Forecast'!$H28),INDEX('Forecast Prices'!$1:$1048576,'History and Forecast'!$G28,'History and Forecast'!N$6))</f>
        <v>#N/A</v>
      </c>
      <c r="O28" s="17" t="e">
        <f>IF(O$9,INDEX('Annual Real'!$1:$1048576,'History and Forecast'!O$7,'History and Forecast'!$H28),INDEX('Forecast Prices'!$1:$1048576,'History and Forecast'!$G28,'History and Forecast'!O$6))</f>
        <v>#N/A</v>
      </c>
      <c r="P28" s="17" t="e">
        <f>IF(P$9,INDEX('Annual Real'!$1:$1048576,'History and Forecast'!P$7,'History and Forecast'!$H28),INDEX('Forecast Prices'!$1:$1048576,'History and Forecast'!$G28,'History and Forecast'!P$6))</f>
        <v>#N/A</v>
      </c>
      <c r="Q28" s="17" t="e">
        <f>IF(Q$9,INDEX('Annual Real'!$1:$1048576,'History and Forecast'!Q$7,'History and Forecast'!$H28),INDEX('Forecast Prices'!$1:$1048576,'History and Forecast'!$G28,'History and Forecast'!Q$6))</f>
        <v>#N/A</v>
      </c>
      <c r="R28" s="17" t="e">
        <f>IF(R$9,INDEX('Annual Real'!$1:$1048576,'History and Forecast'!R$7,'History and Forecast'!$H28),INDEX('Forecast Prices'!$1:$1048576,'History and Forecast'!$G28,'History and Forecast'!R$6))</f>
        <v>#N/A</v>
      </c>
      <c r="S28" s="17" t="e">
        <f>IF(S$9,INDEX('Annual Real'!$1:$1048576,'History and Forecast'!S$7,'History and Forecast'!$H28),INDEX('Forecast Prices'!$1:$1048576,'History and Forecast'!$G28,'History and Forecast'!S$6))</f>
        <v>#N/A</v>
      </c>
      <c r="T28" s="17" t="e">
        <f>IF(T$9,INDEX('Annual Real'!$1:$1048576,'History and Forecast'!T$7,'History and Forecast'!$H28),INDEX('Forecast Prices'!$1:$1048576,'History and Forecast'!$G28,'History and Forecast'!T$6))</f>
        <v>#N/A</v>
      </c>
      <c r="U28" s="17" t="e">
        <f>IF(U$9,INDEX('Annual Real'!$1:$1048576,'History and Forecast'!U$7,'History and Forecast'!$H28),INDEX('Forecast Prices'!$1:$1048576,'History and Forecast'!$G28,'History and Forecast'!U$6))</f>
        <v>#N/A</v>
      </c>
      <c r="V28" s="17" t="e">
        <f>IF(V$9,INDEX('Annual Real'!$1:$1048576,'History and Forecast'!V$7,'History and Forecast'!$H28),INDEX('Forecast Prices'!$1:$1048576,'History and Forecast'!$G28,'History and Forecast'!V$6))</f>
        <v>#N/A</v>
      </c>
      <c r="W28" s="17" t="e">
        <f>IF(W$9,INDEX('Annual Real'!$1:$1048576,'History and Forecast'!W$7,'History and Forecast'!$H28),INDEX('Forecast Prices'!$1:$1048576,'History and Forecast'!$G28,'History and Forecast'!W$6))</f>
        <v>#N/A</v>
      </c>
      <c r="X28" s="17" t="e">
        <f>IF(X$9,INDEX('Annual Real'!$1:$1048576,'History and Forecast'!X$7,'History and Forecast'!$H28),INDEX('Forecast Prices'!$1:$1048576,'History and Forecast'!$G28,'History and Forecast'!X$6))</f>
        <v>#N/A</v>
      </c>
      <c r="Y28" s="17" t="e">
        <f>IF(Y$9,INDEX('Annual Real'!$1:$1048576,'History and Forecast'!Y$7,'History and Forecast'!$H28),INDEX('Forecast Prices'!$1:$1048576,'History and Forecast'!$G28,'History and Forecast'!Y$6))</f>
        <v>#N/A</v>
      </c>
      <c r="Z28" s="17" t="e">
        <f>IF(Z$9,INDEX('Annual Real'!$1:$1048576,'History and Forecast'!Z$7,'History and Forecast'!$H28),INDEX('Forecast Prices'!$1:$1048576,'History and Forecast'!$G28,'History and Forecast'!Z$6))</f>
        <v>#N/A</v>
      </c>
      <c r="AA28" s="17" t="e">
        <f>IF(AA$9,INDEX('Annual Real'!$1:$1048576,'History and Forecast'!AA$7,'History and Forecast'!$H28),INDEX('Forecast Prices'!$1:$1048576,'History and Forecast'!$G28,'History and Forecast'!AA$6))</f>
        <v>#N/A</v>
      </c>
      <c r="AB28" s="17" t="e">
        <f>IF(AB$9,INDEX('Annual Real'!$1:$1048576,'History and Forecast'!AB$7,'History and Forecast'!$H28),INDEX('Forecast Prices'!$1:$1048576,'History and Forecast'!$G28,'History and Forecast'!AB$6))</f>
        <v>#N/A</v>
      </c>
      <c r="AC28" s="17" t="e">
        <f>IF(AC$9,INDEX('Annual Real'!$1:$1048576,'History and Forecast'!AC$7,'History and Forecast'!$H28),INDEX('Forecast Prices'!$1:$1048576,'History and Forecast'!$G28,'History and Forecast'!AC$6))</f>
        <v>#N/A</v>
      </c>
      <c r="AD28" s="17" t="e">
        <f>IF(AD$9,INDEX('Annual Real'!$1:$1048576,'History and Forecast'!AD$7,'History and Forecast'!$H28),INDEX('Forecast Prices'!$1:$1048576,'History and Forecast'!$G28,'History and Forecast'!AD$6))</f>
        <v>#N/A</v>
      </c>
      <c r="AE28" s="17" t="e">
        <f>IF(AE$9,INDEX('Annual Real'!$1:$1048576,'History and Forecast'!AE$7,'History and Forecast'!$H28),INDEX('Forecast Prices'!$1:$1048576,'History and Forecast'!$G28,'History and Forecast'!AE$6))</f>
        <v>#N/A</v>
      </c>
      <c r="AF28" s="17" t="e">
        <f>IF(AF$9,INDEX('Annual Real'!$1:$1048576,'History and Forecast'!AF$7,'History and Forecast'!$H28),INDEX('Forecast Prices'!$1:$1048576,'History and Forecast'!$G28,'History and Forecast'!AF$6))</f>
        <v>#N/A</v>
      </c>
      <c r="AG28" s="17" t="e">
        <f>IF(AG$9,INDEX('Annual Real'!$1:$1048576,'History and Forecast'!AG$7,'History and Forecast'!$H28),INDEX('Forecast Prices'!$1:$1048576,'History and Forecast'!$G28,'History and Forecast'!AG$6))</f>
        <v>#N/A</v>
      </c>
      <c r="AH28" s="17" t="e">
        <f>IF(AH$9,INDEX('Annual Real'!$1:$1048576,'History and Forecast'!AH$7,'History and Forecast'!$H28),INDEX('Forecast Prices'!$1:$1048576,'History and Forecast'!$G28,'History and Forecast'!AH$6))</f>
        <v>#N/A</v>
      </c>
      <c r="AI28" s="17" t="e">
        <f>IF(AI$9,INDEX('Annual Real'!$1:$1048576,'History and Forecast'!AI$7,'History and Forecast'!$H28),INDEX('Forecast Prices'!$1:$1048576,'History and Forecast'!$G28,'History and Forecast'!AI$6))</f>
        <v>#N/A</v>
      </c>
      <c r="AJ28" s="17" t="e">
        <f>IF(AJ$9,INDEX('Annual Real'!$1:$1048576,'History and Forecast'!AJ$7,'History and Forecast'!$H28),INDEX('Forecast Prices'!$1:$1048576,'History and Forecast'!$G28,'History and Forecast'!AJ$6))</f>
        <v>#N/A</v>
      </c>
      <c r="AK28" s="17" t="e">
        <f>IF(AK$9,INDEX('Annual Real'!$1:$1048576,'History and Forecast'!AK$7,'History and Forecast'!$H28),INDEX('Forecast Prices'!$1:$1048576,'History and Forecast'!$G28,'History and Forecast'!AK$6))</f>
        <v>#N/A</v>
      </c>
      <c r="AL28" s="17" t="e">
        <f>IF(AL$9,INDEX('Annual Real'!$1:$1048576,'History and Forecast'!AL$7,'History and Forecast'!$H28),INDEX('Forecast Prices'!$1:$1048576,'History and Forecast'!$G28,'History and Forecast'!AL$6))</f>
        <v>#N/A</v>
      </c>
      <c r="AM28" s="17" t="e">
        <f>IF(AM$9,INDEX('Annual Real'!$1:$1048576,'History and Forecast'!AM$7,'History and Forecast'!$H28),INDEX('Forecast Prices'!$1:$1048576,'History and Forecast'!$G28,'History and Forecast'!AM$6))</f>
        <v>#N/A</v>
      </c>
      <c r="AN28" s="17" t="e">
        <f>IF(AN$9,INDEX('Annual Real'!$1:$1048576,'History and Forecast'!AN$7,'History and Forecast'!$H28),INDEX('Forecast Prices'!$1:$1048576,'History and Forecast'!$G28,'History and Forecast'!AN$6))</f>
        <v>#N/A</v>
      </c>
      <c r="AO28" s="17" t="e">
        <f>IF(AO$9,INDEX('Annual Real'!$1:$1048576,'History and Forecast'!AO$7,'History and Forecast'!$H28),INDEX('Forecast Prices'!$1:$1048576,'History and Forecast'!$G28,'History and Forecast'!AO$6))</f>
        <v>#N/A</v>
      </c>
      <c r="AP28" s="17" t="e">
        <f>IF(AP$9,INDEX('Annual Real'!$1:$1048576,'History and Forecast'!AP$7,'History and Forecast'!$H28),INDEX('Forecast Prices'!$1:$1048576,'History and Forecast'!$G28,'History and Forecast'!AP$6))</f>
        <v>#N/A</v>
      </c>
      <c r="AQ28" s="17" t="e">
        <f>IF(AQ$9,INDEX('Annual Real'!$1:$1048576,'History and Forecast'!AQ$7,'History and Forecast'!$H28),INDEX('Forecast Prices'!$1:$1048576,'History and Forecast'!$G28,'History and Forecast'!AQ$6))</f>
        <v>#N/A</v>
      </c>
      <c r="AR28" s="17" t="e">
        <f>IF(AR$9,INDEX('Annual Real'!$1:$1048576,'History and Forecast'!AR$7,'History and Forecast'!$H28),INDEX('Forecast Prices'!$1:$1048576,'History and Forecast'!$G28,'History and Forecast'!AR$6))</f>
        <v>#N/A</v>
      </c>
      <c r="AS28" s="17" t="e">
        <f>IF(AS$9,INDEX('Annual Real'!$1:$1048576,'History and Forecast'!AS$7,'History and Forecast'!$H28),INDEX('Forecast Prices'!$1:$1048576,'History and Forecast'!$G28,'History and Forecast'!AS$6))</f>
        <v>#N/A</v>
      </c>
      <c r="AT28" s="17" t="e">
        <f>IF(AT$9,INDEX('Annual Real'!$1:$1048576,'History and Forecast'!AT$7,'History and Forecast'!$H28),INDEX('Forecast Prices'!$1:$1048576,'History and Forecast'!$G28,'History and Forecast'!AT$6))</f>
        <v>#N/A</v>
      </c>
      <c r="AU28" s="17" t="e">
        <f>IF(AU$9,INDEX('Annual Real'!$1:$1048576,'History and Forecast'!AU$7,'History and Forecast'!$H28),INDEX('Forecast Prices'!$1:$1048576,'History and Forecast'!$G28,'History and Forecast'!AU$6))</f>
        <v>#N/A</v>
      </c>
      <c r="AV28" s="17" t="e">
        <f>IF(AV$9,INDEX('Annual Real'!$1:$1048576,'History and Forecast'!AV$7,'History and Forecast'!$H28),INDEX('Forecast Prices'!$1:$1048576,'History and Forecast'!$G28,'History and Forecast'!AV$6))</f>
        <v>#N/A</v>
      </c>
      <c r="AW28" s="17" t="e">
        <f>IF(AW$9,INDEX('Annual Real'!$1:$1048576,'History and Forecast'!AW$7,'History and Forecast'!$H28),INDEX('Forecast Prices'!$1:$1048576,'History and Forecast'!$G28,'History and Forecast'!AW$6))</f>
        <v>#N/A</v>
      </c>
      <c r="AX28" s="17" t="e">
        <f>IF(AX$9,INDEX('Annual Real'!$1:$1048576,'History and Forecast'!AX$7,'History and Forecast'!$H28),INDEX('Forecast Prices'!$1:$1048576,'History and Forecast'!$G28,'History and Forecast'!AX$6))</f>
        <v>#N/A</v>
      </c>
      <c r="AY28" s="17" t="e">
        <f>IF(AY$9,INDEX('Annual Real'!$1:$1048576,'History and Forecast'!AY$7,'History and Forecast'!$H28),INDEX('Forecast Prices'!$1:$1048576,'History and Forecast'!$G28,'History and Forecast'!AY$6))</f>
        <v>#N/A</v>
      </c>
      <c r="AZ28" s="17" t="e">
        <f>IF(AZ$9,INDEX('Annual Real'!$1:$1048576,'History and Forecast'!AZ$7,'History and Forecast'!$H28),INDEX('Forecast Prices'!$1:$1048576,'History and Forecast'!$G28,'History and Forecast'!AZ$6))</f>
        <v>#N/A</v>
      </c>
      <c r="BA28" s="17" t="e">
        <f>IF(BA$9,INDEX('Annual Real'!$1:$1048576,'History and Forecast'!BA$7,'History and Forecast'!$H28),INDEX('Forecast Prices'!$1:$1048576,'History and Forecast'!$G28,'History and Forecast'!BA$6))</f>
        <v>#N/A</v>
      </c>
      <c r="BB28" s="17" t="e">
        <f>IF(BB$9,INDEX('Annual Real'!$1:$1048576,'History and Forecast'!BB$7,'History and Forecast'!$H28),INDEX('Forecast Prices'!$1:$1048576,'History and Forecast'!$G28,'History and Forecast'!BB$6))</f>
        <v>#N/A</v>
      </c>
      <c r="BC28" s="17" t="e">
        <f>IF(BC$9,INDEX('Annual Real'!$1:$1048576,'History and Forecast'!BC$7,'History and Forecast'!$H28),INDEX('Forecast Prices'!$1:$1048576,'History and Forecast'!$G28,'History and Forecast'!BC$6))</f>
        <v>#N/A</v>
      </c>
      <c r="BD28" s="17" t="e">
        <f>IF(BD$9,INDEX('Annual Real'!$1:$1048576,'History and Forecast'!BD$7,'History and Forecast'!$H28),INDEX('Forecast Prices'!$1:$1048576,'History and Forecast'!$G28,'History and Forecast'!BD$6))</f>
        <v>#N/A</v>
      </c>
      <c r="BE28" s="17" t="e">
        <f>IF(BE$9,INDEX('Annual Real'!$1:$1048576,'History and Forecast'!BE$7,'History and Forecast'!$H28),INDEX('Forecast Prices'!$1:$1048576,'History and Forecast'!$G28,'History and Forecast'!BE$6))</f>
        <v>#N/A</v>
      </c>
      <c r="BF28" s="17" t="e">
        <f>IF(BF$9,INDEX('Annual Real'!$1:$1048576,'History and Forecast'!BF$7,'History and Forecast'!$H28),INDEX('Forecast Prices'!$1:$1048576,'History and Forecast'!$G28,'History and Forecast'!BF$6))</f>
        <v>#N/A</v>
      </c>
      <c r="BG28" s="17" t="e">
        <f>IF(BG$9,INDEX('Annual Real'!$1:$1048576,'History and Forecast'!BG$7,'History and Forecast'!$H28),INDEX('Forecast Prices'!$1:$1048576,'History and Forecast'!$G28,'History and Forecast'!BG$6))</f>
        <v>#N/A</v>
      </c>
      <c r="BH28" s="17" t="e">
        <f>IF(BH$9,INDEX('Annual Real'!$1:$1048576,'History and Forecast'!BH$7,'History and Forecast'!$H28),INDEX('Forecast Prices'!$1:$1048576,'History and Forecast'!$G28,'History and Forecast'!BH$6))</f>
        <v>#N/A</v>
      </c>
      <c r="BI28" s="17" t="e">
        <f>IF(BI$9,INDEX('Annual Real'!$1:$1048576,'History and Forecast'!BI$7,'History and Forecast'!$H28),INDEX('Forecast Prices'!$1:$1048576,'History and Forecast'!$G28,'History and Forecast'!BI$6))</f>
        <v>#N/A</v>
      </c>
      <c r="BJ28" s="17" t="e">
        <f>IF(BJ$9,INDEX('Annual Real'!$1:$1048576,'History and Forecast'!BJ$7,'History and Forecast'!$H28),INDEX('Forecast Prices'!$1:$1048576,'History and Forecast'!$G28,'History and Forecast'!BJ$6))</f>
        <v>#N/A</v>
      </c>
      <c r="BK28" s="17" t="e">
        <f>IF(BK$9,INDEX('Annual Real'!$1:$1048576,'History and Forecast'!BK$7,'History and Forecast'!$H28),INDEX('Forecast Prices'!$1:$1048576,'History and Forecast'!$G28,'History and Forecast'!BK$6))</f>
        <v>#N/A</v>
      </c>
      <c r="BL28" s="17" t="e">
        <f>IF(BL$9,INDEX('Annual Real'!$1:$1048576,'History and Forecast'!BL$7,'History and Forecast'!$H28),INDEX('Forecast Prices'!$1:$1048576,'History and Forecast'!$G28,'History and Forecast'!BL$6))</f>
        <v>#N/A</v>
      </c>
      <c r="BM28" s="17" t="e">
        <f>IF(BM$9,INDEX('Annual Real'!$1:$1048576,'History and Forecast'!BM$7,'History and Forecast'!$H28),INDEX('Forecast Prices'!$1:$1048576,'History and Forecast'!$G28,'History and Forecast'!BM$6))</f>
        <v>#N/A</v>
      </c>
      <c r="BN28" s="17" t="e">
        <f>IF(BN$9,INDEX('Annual Real'!$1:$1048576,'History and Forecast'!BN$7,'History and Forecast'!$H28),INDEX('Forecast Prices'!$1:$1048576,'History and Forecast'!$G28,'History and Forecast'!BN$6))</f>
        <v>#N/A</v>
      </c>
      <c r="BO28" s="17">
        <f>IF(BO$9,INDEX('Annual Real'!$1:$1048576,'History and Forecast'!BO$7,'History and Forecast'!$H28),INDEX('Forecast Prices'!$1:$1048576,'History and Forecast'!$G28,'History and Forecast'!BO$6))</f>
        <v>177.20775470578701</v>
      </c>
      <c r="BP28" s="17">
        <f>IF(BP$9,INDEX('Annual Real'!$1:$1048576,'History and Forecast'!BP$7,'History and Forecast'!$H28),INDEX('Forecast Prices'!$1:$1048576,'History and Forecast'!$G28,'History and Forecast'!BP$6))</f>
        <v>179.05674752426901</v>
      </c>
      <c r="BQ28" s="17">
        <f>IF(BQ$9,INDEX('Annual Real'!$1:$1048576,'History and Forecast'!BQ$7,'History and Forecast'!$H28),INDEX('Forecast Prices'!$1:$1048576,'History and Forecast'!$G28,'History and Forecast'!BQ$6))</f>
        <v>206.098888974998</v>
      </c>
      <c r="BR28" s="17">
        <f>IF(BR$9,INDEX('Annual Real'!$1:$1048576,'History and Forecast'!BR$7,'History and Forecast'!$H28),INDEX('Forecast Prices'!$1:$1048576,'History and Forecast'!$G28,'History and Forecast'!BR$6))</f>
        <v>204.08353091719999</v>
      </c>
      <c r="BS28" s="17">
        <f>IF(BS$9,INDEX('Annual Real'!$1:$1048576,'History and Forecast'!BS$7,'History and Forecast'!$H28),INDEX('Forecast Prices'!$1:$1048576,'History and Forecast'!$G28,'History and Forecast'!BS$6))</f>
        <v>202.94650053477301</v>
      </c>
      <c r="BT28" s="17">
        <f>IF(BT$9,INDEX('Annual Real'!$1:$1048576,'History and Forecast'!BT$7,'History and Forecast'!$H28),INDEX('Forecast Prices'!$1:$1048576,'History and Forecast'!$G28,'History and Forecast'!BT$6))</f>
        <v>201.865360974553</v>
      </c>
      <c r="BU28" s="17">
        <f>IF(BU$9,INDEX('Annual Real'!$1:$1048576,'History and Forecast'!BU$7,'History and Forecast'!$H28),INDEX('Forecast Prices'!$1:$1048576,'History and Forecast'!$G28,'History and Forecast'!BU$6))</f>
        <v>200.62902236772899</v>
      </c>
      <c r="BV28" s="17">
        <f>IF(BV$9,INDEX('Annual Real'!$1:$1048576,'History and Forecast'!BV$7,'History and Forecast'!$H28),INDEX('Forecast Prices'!$1:$1048576,'History and Forecast'!$G28,'History and Forecast'!BV$6))</f>
        <v>199.417853782539</v>
      </c>
      <c r="BW28" s="17">
        <f>IF(BW$9,INDEX('Annual Real'!$1:$1048576,'History and Forecast'!BW$7,'History and Forecast'!$H28),INDEX('Forecast Prices'!$1:$1048576,'History and Forecast'!$G28,'History and Forecast'!BW$6))</f>
        <v>198.21393111636999</v>
      </c>
      <c r="BX28" s="17">
        <f>IF(BX$9,INDEX('Annual Real'!$1:$1048576,'History and Forecast'!BX$7,'History and Forecast'!$H28),INDEX('Forecast Prices'!$1:$1048576,'History and Forecast'!$G28,'History and Forecast'!BX$6))</f>
        <v>197.00591401676601</v>
      </c>
      <c r="BY28" s="17" t="e">
        <f>IF(BY$9,INDEX('Annual Real'!$1:$1048576,'History and Forecast'!BY$7,'History and Forecast'!$H28),INDEX('Forecast Prices'!$1:$1048576,'History and Forecast'!$G28,'History and Forecast'!BY$6))</f>
        <v>#N/A</v>
      </c>
      <c r="BZ28" s="17" t="e">
        <f>IF(BZ$9,INDEX('Annual Real'!$1:$1048576,'History and Forecast'!BZ$7,'History and Forecast'!$H28),INDEX('Forecast Prices'!$1:$1048576,'History and Forecast'!$G28,'History and Forecast'!BZ$6))</f>
        <v>#N/A</v>
      </c>
      <c r="CA28" s="17" t="e">
        <f>IF(CA$9,INDEX('Annual Real'!$1:$1048576,'History and Forecast'!CA$7,'History and Forecast'!$H28),INDEX('Forecast Prices'!$1:$1048576,'History and Forecast'!$G28,'History and Forecast'!CA$6))</f>
        <v>#N/A</v>
      </c>
      <c r="CB28" s="17" t="e">
        <f>IF(CB$9,INDEX('Annual Real'!$1:$1048576,'History and Forecast'!CB$7,'History and Forecast'!$H28),INDEX('Forecast Prices'!$1:$1048576,'History and Forecast'!$G28,'History and Forecast'!CB$6))</f>
        <v>#N/A</v>
      </c>
      <c r="CC28" s="17">
        <f>IF(CC$9,INDEX('Annual Real'!$1:$1048576,'History and Forecast'!CC$7,'History and Forecast'!$H28),INDEX('Forecast Prices'!$1:$1048576,'History and Forecast'!$G28,'History and Forecast'!CC$6))</f>
        <v>190.78348623069101</v>
      </c>
      <c r="CD28" s="17" t="e">
        <f>IF(CD$9,INDEX('Annual Real'!$1:$1048576,'History and Forecast'!CD$7,'History and Forecast'!$H28),INDEX('Forecast Prices'!$1:$1048576,'History and Forecast'!$G28,'History and Forecast'!CD$6))</f>
        <v>#N/A</v>
      </c>
      <c r="CE28" s="17" t="e">
        <f>IF(CE$9,INDEX('Annual Real'!$1:$1048576,'History and Forecast'!CE$7,'History and Forecast'!$H28),INDEX('Forecast Prices'!$1:$1048576,'History and Forecast'!$G28,'History and Forecast'!CE$6))</f>
        <v>#N/A</v>
      </c>
      <c r="CF28" s="17" t="e">
        <f>IF(CF$9,INDEX('Annual Real'!$1:$1048576,'History and Forecast'!CF$7,'History and Forecast'!$H28),INDEX('Forecast Prices'!$1:$1048576,'History and Forecast'!$G28,'History and Forecast'!CF$6))</f>
        <v>#N/A</v>
      </c>
      <c r="CG28" s="17" t="e">
        <f>IF(CG$9,INDEX('Annual Real'!$1:$1048576,'History and Forecast'!CG$7,'History and Forecast'!$H28),INDEX('Forecast Prices'!$1:$1048576,'History and Forecast'!$G28,'History and Forecast'!CG$6))</f>
        <v>#N/A</v>
      </c>
      <c r="CH28" s="17" t="e">
        <f>IF(CH$9,INDEX('Annual Real'!$1:$1048576,'History and Forecast'!CH$7,'History and Forecast'!$H28),INDEX('Forecast Prices'!$1:$1048576,'History and Forecast'!$G28,'History and Forecast'!CH$6))</f>
        <v>#N/A</v>
      </c>
      <c r="CI28" s="17" t="e">
        <f>IF(CI$9,INDEX('Annual Real'!$1:$1048576,'History and Forecast'!CI$7,'History and Forecast'!$H28),INDEX('Forecast Prices'!$1:$1048576,'History and Forecast'!$G28,'History and Forecast'!CI$6))</f>
        <v>#N/A</v>
      </c>
    </row>
    <row r="29" spans="2:87">
      <c r="B29" t="str">
        <f t="shared" si="4"/>
        <v>BANANA_US</v>
      </c>
      <c r="C29" s="34" t="s">
        <v>1073</v>
      </c>
      <c r="D29" t="str">
        <f t="shared" si="5"/>
        <v>KBANANA_US</v>
      </c>
      <c r="E29" s="34" t="str">
        <f t="shared" si="6"/>
        <v>KFBANANA_US</v>
      </c>
      <c r="F29">
        <f>MATCH(C29,'Forecast Prices'!A:A,0)</f>
        <v>35</v>
      </c>
      <c r="G29">
        <f>MATCH(E29,'Forecast Prices'!A:A,0)</f>
        <v>117</v>
      </c>
      <c r="H29" t="e">
        <f>MATCH(D29,'Annual Real'!$9:$9,0)</f>
        <v>#N/A</v>
      </c>
      <c r="I29" t="str">
        <f>INDEX('Forecast Prices'!B:B,'History and Forecast'!F29)&amp;INDEX('Forecast Prices'!C:C,'History and Forecast'!F29)&amp;INDEX('Forecast Prices'!D:D,'History and Forecast'!F29)&amp;INDEX('Forecast Prices'!E:E,'History and Forecast'!F29)</f>
        <v>Bananas, US</v>
      </c>
      <c r="J29" t="str">
        <f>INDEX('Forecast Prices'!H:H,'History and Forecast'!F29)</f>
        <v>$/kg</v>
      </c>
      <c r="K29" s="17" t="e">
        <f>IF(K$9,INDEX('Annual Real'!$1:$1048576,'History and Forecast'!K$7,'History and Forecast'!$H29),INDEX('Forecast Prices'!$1:$1048576,'History and Forecast'!$G29,'History and Forecast'!K$6))</f>
        <v>#N/A</v>
      </c>
      <c r="L29" s="17" t="e">
        <f>IF(L$9,INDEX('Annual Real'!$1:$1048576,'History and Forecast'!L$7,'History and Forecast'!$H29),INDEX('Forecast Prices'!$1:$1048576,'History and Forecast'!$G29,'History and Forecast'!L$6))</f>
        <v>#N/A</v>
      </c>
      <c r="M29" s="17" t="e">
        <f>IF(M$9,INDEX('Annual Real'!$1:$1048576,'History and Forecast'!M$7,'History and Forecast'!$H29),INDEX('Forecast Prices'!$1:$1048576,'History and Forecast'!$G29,'History and Forecast'!M$6))</f>
        <v>#N/A</v>
      </c>
      <c r="N29" s="17" t="e">
        <f>IF(N$9,INDEX('Annual Real'!$1:$1048576,'History and Forecast'!N$7,'History and Forecast'!$H29),INDEX('Forecast Prices'!$1:$1048576,'History and Forecast'!$G29,'History and Forecast'!N$6))</f>
        <v>#N/A</v>
      </c>
      <c r="O29" s="17" t="e">
        <f>IF(O$9,INDEX('Annual Real'!$1:$1048576,'History and Forecast'!O$7,'History and Forecast'!$H29),INDEX('Forecast Prices'!$1:$1048576,'History and Forecast'!$G29,'History and Forecast'!O$6))</f>
        <v>#N/A</v>
      </c>
      <c r="P29" s="17" t="e">
        <f>IF(P$9,INDEX('Annual Real'!$1:$1048576,'History and Forecast'!P$7,'History and Forecast'!$H29),INDEX('Forecast Prices'!$1:$1048576,'History and Forecast'!$G29,'History and Forecast'!P$6))</f>
        <v>#N/A</v>
      </c>
      <c r="Q29" s="17" t="e">
        <f>IF(Q$9,INDEX('Annual Real'!$1:$1048576,'History and Forecast'!Q$7,'History and Forecast'!$H29),INDEX('Forecast Prices'!$1:$1048576,'History and Forecast'!$G29,'History and Forecast'!Q$6))</f>
        <v>#N/A</v>
      </c>
      <c r="R29" s="17" t="e">
        <f>IF(R$9,INDEX('Annual Real'!$1:$1048576,'History and Forecast'!R$7,'History and Forecast'!$H29),INDEX('Forecast Prices'!$1:$1048576,'History and Forecast'!$G29,'History and Forecast'!R$6))</f>
        <v>#N/A</v>
      </c>
      <c r="S29" s="17" t="e">
        <f>IF(S$9,INDEX('Annual Real'!$1:$1048576,'History and Forecast'!S$7,'History and Forecast'!$H29),INDEX('Forecast Prices'!$1:$1048576,'History and Forecast'!$G29,'History and Forecast'!S$6))</f>
        <v>#N/A</v>
      </c>
      <c r="T29" s="17" t="e">
        <f>IF(T$9,INDEX('Annual Real'!$1:$1048576,'History and Forecast'!T$7,'History and Forecast'!$H29),INDEX('Forecast Prices'!$1:$1048576,'History and Forecast'!$G29,'History and Forecast'!T$6))</f>
        <v>#N/A</v>
      </c>
      <c r="U29" s="17" t="e">
        <f>IF(U$9,INDEX('Annual Real'!$1:$1048576,'History and Forecast'!U$7,'History and Forecast'!$H29),INDEX('Forecast Prices'!$1:$1048576,'History and Forecast'!$G29,'History and Forecast'!U$6))</f>
        <v>#N/A</v>
      </c>
      <c r="V29" s="17" t="e">
        <f>IF(V$9,INDEX('Annual Real'!$1:$1048576,'History and Forecast'!V$7,'History and Forecast'!$H29),INDEX('Forecast Prices'!$1:$1048576,'History and Forecast'!$G29,'History and Forecast'!V$6))</f>
        <v>#N/A</v>
      </c>
      <c r="W29" s="17" t="e">
        <f>IF(W$9,INDEX('Annual Real'!$1:$1048576,'History and Forecast'!W$7,'History and Forecast'!$H29),INDEX('Forecast Prices'!$1:$1048576,'History and Forecast'!$G29,'History and Forecast'!W$6))</f>
        <v>#N/A</v>
      </c>
      <c r="X29" s="17" t="e">
        <f>IF(X$9,INDEX('Annual Real'!$1:$1048576,'History and Forecast'!X$7,'History and Forecast'!$H29),INDEX('Forecast Prices'!$1:$1048576,'History and Forecast'!$G29,'History and Forecast'!X$6))</f>
        <v>#N/A</v>
      </c>
      <c r="Y29" s="17" t="e">
        <f>IF(Y$9,INDEX('Annual Real'!$1:$1048576,'History and Forecast'!Y$7,'History and Forecast'!$H29),INDEX('Forecast Prices'!$1:$1048576,'History and Forecast'!$G29,'History and Forecast'!Y$6))</f>
        <v>#N/A</v>
      </c>
      <c r="Z29" s="17" t="e">
        <f>IF(Z$9,INDEX('Annual Real'!$1:$1048576,'History and Forecast'!Z$7,'History and Forecast'!$H29),INDEX('Forecast Prices'!$1:$1048576,'History and Forecast'!$G29,'History and Forecast'!Z$6))</f>
        <v>#N/A</v>
      </c>
      <c r="AA29" s="17" t="e">
        <f>IF(AA$9,INDEX('Annual Real'!$1:$1048576,'History and Forecast'!AA$7,'History and Forecast'!$H29),INDEX('Forecast Prices'!$1:$1048576,'History and Forecast'!$G29,'History and Forecast'!AA$6))</f>
        <v>#N/A</v>
      </c>
      <c r="AB29" s="17" t="e">
        <f>IF(AB$9,INDEX('Annual Real'!$1:$1048576,'History and Forecast'!AB$7,'History and Forecast'!$H29),INDEX('Forecast Prices'!$1:$1048576,'History and Forecast'!$G29,'History and Forecast'!AB$6))</f>
        <v>#N/A</v>
      </c>
      <c r="AC29" s="17" t="e">
        <f>IF(AC$9,INDEX('Annual Real'!$1:$1048576,'History and Forecast'!AC$7,'History and Forecast'!$H29),INDEX('Forecast Prices'!$1:$1048576,'History and Forecast'!$G29,'History and Forecast'!AC$6))</f>
        <v>#N/A</v>
      </c>
      <c r="AD29" s="17" t="e">
        <f>IF(AD$9,INDEX('Annual Real'!$1:$1048576,'History and Forecast'!AD$7,'History and Forecast'!$H29),INDEX('Forecast Prices'!$1:$1048576,'History and Forecast'!$G29,'History and Forecast'!AD$6))</f>
        <v>#N/A</v>
      </c>
      <c r="AE29" s="17" t="e">
        <f>IF(AE$9,INDEX('Annual Real'!$1:$1048576,'History and Forecast'!AE$7,'History and Forecast'!$H29),INDEX('Forecast Prices'!$1:$1048576,'History and Forecast'!$G29,'History and Forecast'!AE$6))</f>
        <v>#N/A</v>
      </c>
      <c r="AF29" s="17" t="e">
        <f>IF(AF$9,INDEX('Annual Real'!$1:$1048576,'History and Forecast'!AF$7,'History and Forecast'!$H29),INDEX('Forecast Prices'!$1:$1048576,'History and Forecast'!$G29,'History and Forecast'!AF$6))</f>
        <v>#N/A</v>
      </c>
      <c r="AG29" s="17" t="e">
        <f>IF(AG$9,INDEX('Annual Real'!$1:$1048576,'History and Forecast'!AG$7,'History and Forecast'!$H29),INDEX('Forecast Prices'!$1:$1048576,'History and Forecast'!$G29,'History and Forecast'!AG$6))</f>
        <v>#N/A</v>
      </c>
      <c r="AH29" s="17" t="e">
        <f>IF(AH$9,INDEX('Annual Real'!$1:$1048576,'History and Forecast'!AH$7,'History and Forecast'!$H29),INDEX('Forecast Prices'!$1:$1048576,'History and Forecast'!$G29,'History and Forecast'!AH$6))</f>
        <v>#N/A</v>
      </c>
      <c r="AI29" s="17" t="e">
        <f>IF(AI$9,INDEX('Annual Real'!$1:$1048576,'History and Forecast'!AI$7,'History and Forecast'!$H29),INDEX('Forecast Prices'!$1:$1048576,'History and Forecast'!$G29,'History and Forecast'!AI$6))</f>
        <v>#N/A</v>
      </c>
      <c r="AJ29" s="17" t="e">
        <f>IF(AJ$9,INDEX('Annual Real'!$1:$1048576,'History and Forecast'!AJ$7,'History and Forecast'!$H29),INDEX('Forecast Prices'!$1:$1048576,'History and Forecast'!$G29,'History and Forecast'!AJ$6))</f>
        <v>#N/A</v>
      </c>
      <c r="AK29" s="17" t="e">
        <f>IF(AK$9,INDEX('Annual Real'!$1:$1048576,'History and Forecast'!AK$7,'History and Forecast'!$H29),INDEX('Forecast Prices'!$1:$1048576,'History and Forecast'!$G29,'History and Forecast'!AK$6))</f>
        <v>#N/A</v>
      </c>
      <c r="AL29" s="17" t="e">
        <f>IF(AL$9,INDEX('Annual Real'!$1:$1048576,'History and Forecast'!AL$7,'History and Forecast'!$H29),INDEX('Forecast Prices'!$1:$1048576,'History and Forecast'!$G29,'History and Forecast'!AL$6))</f>
        <v>#N/A</v>
      </c>
      <c r="AM29" s="17" t="e">
        <f>IF(AM$9,INDEX('Annual Real'!$1:$1048576,'History and Forecast'!AM$7,'History and Forecast'!$H29),INDEX('Forecast Prices'!$1:$1048576,'History and Forecast'!$G29,'History and Forecast'!AM$6))</f>
        <v>#N/A</v>
      </c>
      <c r="AN29" s="17" t="e">
        <f>IF(AN$9,INDEX('Annual Real'!$1:$1048576,'History and Forecast'!AN$7,'History and Forecast'!$H29),INDEX('Forecast Prices'!$1:$1048576,'History and Forecast'!$G29,'History and Forecast'!AN$6))</f>
        <v>#N/A</v>
      </c>
      <c r="AO29" s="17" t="e">
        <f>IF(AO$9,INDEX('Annual Real'!$1:$1048576,'History and Forecast'!AO$7,'History and Forecast'!$H29),INDEX('Forecast Prices'!$1:$1048576,'History and Forecast'!$G29,'History and Forecast'!AO$6))</f>
        <v>#N/A</v>
      </c>
      <c r="AP29" s="17" t="e">
        <f>IF(AP$9,INDEX('Annual Real'!$1:$1048576,'History and Forecast'!AP$7,'History and Forecast'!$H29),INDEX('Forecast Prices'!$1:$1048576,'History and Forecast'!$G29,'History and Forecast'!AP$6))</f>
        <v>#N/A</v>
      </c>
      <c r="AQ29" s="17" t="e">
        <f>IF(AQ$9,INDEX('Annual Real'!$1:$1048576,'History and Forecast'!AQ$7,'History and Forecast'!$H29),INDEX('Forecast Prices'!$1:$1048576,'History and Forecast'!$G29,'History and Forecast'!AQ$6))</f>
        <v>#N/A</v>
      </c>
      <c r="AR29" s="17" t="e">
        <f>IF(AR$9,INDEX('Annual Real'!$1:$1048576,'History and Forecast'!AR$7,'History and Forecast'!$H29),INDEX('Forecast Prices'!$1:$1048576,'History and Forecast'!$G29,'History and Forecast'!AR$6))</f>
        <v>#N/A</v>
      </c>
      <c r="AS29" s="17" t="e">
        <f>IF(AS$9,INDEX('Annual Real'!$1:$1048576,'History and Forecast'!AS$7,'History and Forecast'!$H29),INDEX('Forecast Prices'!$1:$1048576,'History and Forecast'!$G29,'History and Forecast'!AS$6))</f>
        <v>#N/A</v>
      </c>
      <c r="AT29" s="17" t="e">
        <f>IF(AT$9,INDEX('Annual Real'!$1:$1048576,'History and Forecast'!AT$7,'History and Forecast'!$H29),INDEX('Forecast Prices'!$1:$1048576,'History and Forecast'!$G29,'History and Forecast'!AT$6))</f>
        <v>#N/A</v>
      </c>
      <c r="AU29" s="17" t="e">
        <f>IF(AU$9,INDEX('Annual Real'!$1:$1048576,'History and Forecast'!AU$7,'History and Forecast'!$H29),INDEX('Forecast Prices'!$1:$1048576,'History and Forecast'!$G29,'History and Forecast'!AU$6))</f>
        <v>#N/A</v>
      </c>
      <c r="AV29" s="17" t="e">
        <f>IF(AV$9,INDEX('Annual Real'!$1:$1048576,'History and Forecast'!AV$7,'History and Forecast'!$H29),INDEX('Forecast Prices'!$1:$1048576,'History and Forecast'!$G29,'History and Forecast'!AV$6))</f>
        <v>#N/A</v>
      </c>
      <c r="AW29" s="17" t="e">
        <f>IF(AW$9,INDEX('Annual Real'!$1:$1048576,'History and Forecast'!AW$7,'History and Forecast'!$H29),INDEX('Forecast Prices'!$1:$1048576,'History and Forecast'!$G29,'History and Forecast'!AW$6))</f>
        <v>#N/A</v>
      </c>
      <c r="AX29" s="17" t="e">
        <f>IF(AX$9,INDEX('Annual Real'!$1:$1048576,'History and Forecast'!AX$7,'History and Forecast'!$H29),INDEX('Forecast Prices'!$1:$1048576,'History and Forecast'!$G29,'History and Forecast'!AX$6))</f>
        <v>#N/A</v>
      </c>
      <c r="AY29" s="17" t="e">
        <f>IF(AY$9,INDEX('Annual Real'!$1:$1048576,'History and Forecast'!AY$7,'History and Forecast'!$H29),INDEX('Forecast Prices'!$1:$1048576,'History and Forecast'!$G29,'History and Forecast'!AY$6))</f>
        <v>#N/A</v>
      </c>
      <c r="AZ29" s="17" t="e">
        <f>IF(AZ$9,INDEX('Annual Real'!$1:$1048576,'History and Forecast'!AZ$7,'History and Forecast'!$H29),INDEX('Forecast Prices'!$1:$1048576,'History and Forecast'!$G29,'History and Forecast'!AZ$6))</f>
        <v>#N/A</v>
      </c>
      <c r="BA29" s="17" t="e">
        <f>IF(BA$9,INDEX('Annual Real'!$1:$1048576,'History and Forecast'!BA$7,'History and Forecast'!$H29),INDEX('Forecast Prices'!$1:$1048576,'History and Forecast'!$G29,'History and Forecast'!BA$6))</f>
        <v>#N/A</v>
      </c>
      <c r="BB29" s="17" t="e">
        <f>IF(BB$9,INDEX('Annual Real'!$1:$1048576,'History and Forecast'!BB$7,'History and Forecast'!$H29),INDEX('Forecast Prices'!$1:$1048576,'History and Forecast'!$G29,'History and Forecast'!BB$6))</f>
        <v>#N/A</v>
      </c>
      <c r="BC29" s="17" t="e">
        <f>IF(BC$9,INDEX('Annual Real'!$1:$1048576,'History and Forecast'!BC$7,'History and Forecast'!$H29),INDEX('Forecast Prices'!$1:$1048576,'History and Forecast'!$G29,'History and Forecast'!BC$6))</f>
        <v>#N/A</v>
      </c>
      <c r="BD29" s="17" t="e">
        <f>IF(BD$9,INDEX('Annual Real'!$1:$1048576,'History and Forecast'!BD$7,'History and Forecast'!$H29),INDEX('Forecast Prices'!$1:$1048576,'History and Forecast'!$G29,'History and Forecast'!BD$6))</f>
        <v>#N/A</v>
      </c>
      <c r="BE29" s="17" t="e">
        <f>IF(BE$9,INDEX('Annual Real'!$1:$1048576,'History and Forecast'!BE$7,'History and Forecast'!$H29),INDEX('Forecast Prices'!$1:$1048576,'History and Forecast'!$G29,'History and Forecast'!BE$6))</f>
        <v>#N/A</v>
      </c>
      <c r="BF29" s="17" t="e">
        <f>IF(BF$9,INDEX('Annual Real'!$1:$1048576,'History and Forecast'!BF$7,'History and Forecast'!$H29),INDEX('Forecast Prices'!$1:$1048576,'History and Forecast'!$G29,'History and Forecast'!BF$6))</f>
        <v>#N/A</v>
      </c>
      <c r="BG29" s="17" t="e">
        <f>IF(BG$9,INDEX('Annual Real'!$1:$1048576,'History and Forecast'!BG$7,'History and Forecast'!$H29),INDEX('Forecast Prices'!$1:$1048576,'History and Forecast'!$G29,'History and Forecast'!BG$6))</f>
        <v>#N/A</v>
      </c>
      <c r="BH29" s="17" t="e">
        <f>IF(BH$9,INDEX('Annual Real'!$1:$1048576,'History and Forecast'!BH$7,'History and Forecast'!$H29),INDEX('Forecast Prices'!$1:$1048576,'History and Forecast'!$G29,'History and Forecast'!BH$6))</f>
        <v>#N/A</v>
      </c>
      <c r="BI29" s="17" t="e">
        <f>IF(BI$9,INDEX('Annual Real'!$1:$1048576,'History and Forecast'!BI$7,'History and Forecast'!$H29),INDEX('Forecast Prices'!$1:$1048576,'History and Forecast'!$G29,'History and Forecast'!BI$6))</f>
        <v>#N/A</v>
      </c>
      <c r="BJ29" s="17" t="e">
        <f>IF(BJ$9,INDEX('Annual Real'!$1:$1048576,'History and Forecast'!BJ$7,'History and Forecast'!$H29),INDEX('Forecast Prices'!$1:$1048576,'History and Forecast'!$G29,'History and Forecast'!BJ$6))</f>
        <v>#N/A</v>
      </c>
      <c r="BK29" s="17" t="e">
        <f>IF(BK$9,INDEX('Annual Real'!$1:$1048576,'History and Forecast'!BK$7,'History and Forecast'!$H29),INDEX('Forecast Prices'!$1:$1048576,'History and Forecast'!$G29,'History and Forecast'!BK$6))</f>
        <v>#N/A</v>
      </c>
      <c r="BL29" s="17" t="e">
        <f>IF(BL$9,INDEX('Annual Real'!$1:$1048576,'History and Forecast'!BL$7,'History and Forecast'!$H29),INDEX('Forecast Prices'!$1:$1048576,'History and Forecast'!$G29,'History and Forecast'!BL$6))</f>
        <v>#N/A</v>
      </c>
      <c r="BM29" s="17" t="e">
        <f>IF(BM$9,INDEX('Annual Real'!$1:$1048576,'History and Forecast'!BM$7,'History and Forecast'!$H29),INDEX('Forecast Prices'!$1:$1048576,'History and Forecast'!$G29,'History and Forecast'!BM$6))</f>
        <v>#N/A</v>
      </c>
      <c r="BN29" s="17" t="e">
        <f>IF(BN$9,INDEX('Annual Real'!$1:$1048576,'History and Forecast'!BN$7,'History and Forecast'!$H29),INDEX('Forecast Prices'!$1:$1048576,'History and Forecast'!$G29,'History and Forecast'!BN$6))</f>
        <v>#N/A</v>
      </c>
      <c r="BO29" s="17">
        <f>IF(BO$9,INDEX('Annual Real'!$1:$1048576,'History and Forecast'!BO$7,'History and Forecast'!$H29),INDEX('Forecast Prices'!$1:$1048576,'History and Forecast'!$G29,'History and Forecast'!BO$6))</f>
        <v>1.06468734365547</v>
      </c>
      <c r="BP29" s="17">
        <f>IF(BP$9,INDEX('Annual Real'!$1:$1048576,'History and Forecast'!BP$7,'History and Forecast'!$H29),INDEX('Forecast Prices'!$1:$1048576,'History and Forecast'!$G29,'History and Forecast'!BP$6))</f>
        <v>1.1059058641816899</v>
      </c>
      <c r="BQ29" s="17">
        <f>IF(BQ$9,INDEX('Annual Real'!$1:$1048576,'History and Forecast'!BQ$7,'History and Forecast'!$H29),INDEX('Forecast Prices'!$1:$1048576,'History and Forecast'!$G29,'History and Forecast'!BQ$6))</f>
        <v>1.1262201521545201</v>
      </c>
      <c r="BR29" s="17">
        <f>IF(BR$9,INDEX('Annual Real'!$1:$1048576,'History and Forecast'!BR$7,'History and Forecast'!$H29),INDEX('Forecast Prices'!$1:$1048576,'History and Forecast'!$G29,'History and Forecast'!BR$6))</f>
        <v>1.0974303077623</v>
      </c>
      <c r="BS29" s="17">
        <f>IF(BS$9,INDEX('Annual Real'!$1:$1048576,'History and Forecast'!BS$7,'History and Forecast'!$H29),INDEX('Forecast Prices'!$1:$1048576,'History and Forecast'!$G29,'History and Forecast'!BS$6))</f>
        <v>1.0755797041919499</v>
      </c>
      <c r="BT29" s="17">
        <f>IF(BT$9,INDEX('Annual Real'!$1:$1048576,'History and Forecast'!BT$7,'History and Forecast'!$H29),INDEX('Forecast Prices'!$1:$1048576,'History and Forecast'!$G29,'History and Forecast'!BT$6))</f>
        <v>1.0544230119439599</v>
      </c>
      <c r="BU29" s="17">
        <f>IF(BU$9,INDEX('Annual Real'!$1:$1048576,'History and Forecast'!BU$7,'History and Forecast'!$H29),INDEX('Forecast Prices'!$1:$1048576,'History and Forecast'!$G29,'History and Forecast'!BU$6))</f>
        <v>1.03285384565788</v>
      </c>
      <c r="BV29" s="17">
        <f>IF(BV$9,INDEX('Annual Real'!$1:$1048576,'History and Forecast'!BV$7,'History and Forecast'!$H29),INDEX('Forecast Prices'!$1:$1048576,'History and Forecast'!$G29,'History and Forecast'!BV$6))</f>
        <v>1.0118151853785</v>
      </c>
      <c r="BW29" s="17">
        <f>IF(BW$9,INDEX('Annual Real'!$1:$1048576,'History and Forecast'!BW$7,'History and Forecast'!$H29),INDEX('Forecast Prices'!$1:$1048576,'History and Forecast'!$G29,'History and Forecast'!BW$6))</f>
        <v>0.991204742242906</v>
      </c>
      <c r="BX29" s="17">
        <f>IF(BX$9,INDEX('Annual Real'!$1:$1048576,'History and Forecast'!BX$7,'History and Forecast'!$H29),INDEX('Forecast Prices'!$1:$1048576,'History and Forecast'!$G29,'History and Forecast'!BX$6))</f>
        <v>0.97095812701272599</v>
      </c>
      <c r="BY29" s="17" t="e">
        <f>IF(BY$9,INDEX('Annual Real'!$1:$1048576,'History and Forecast'!BY$7,'History and Forecast'!$H29),INDEX('Forecast Prices'!$1:$1048576,'History and Forecast'!$G29,'History and Forecast'!BY$6))</f>
        <v>#N/A</v>
      </c>
      <c r="BZ29" s="17" t="e">
        <f>IF(BZ$9,INDEX('Annual Real'!$1:$1048576,'History and Forecast'!BZ$7,'History and Forecast'!$H29),INDEX('Forecast Prices'!$1:$1048576,'History and Forecast'!$G29,'History and Forecast'!BZ$6))</f>
        <v>#N/A</v>
      </c>
      <c r="CA29" s="17" t="e">
        <f>IF(CA$9,INDEX('Annual Real'!$1:$1048576,'History and Forecast'!CA$7,'History and Forecast'!$H29),INDEX('Forecast Prices'!$1:$1048576,'History and Forecast'!$G29,'History and Forecast'!CA$6))</f>
        <v>#N/A</v>
      </c>
      <c r="CB29" s="17" t="e">
        <f>IF(CB$9,INDEX('Annual Real'!$1:$1048576,'History and Forecast'!CB$7,'History and Forecast'!$H29),INDEX('Forecast Prices'!$1:$1048576,'History and Forecast'!$G29,'History and Forecast'!CB$6))</f>
        <v>#N/A</v>
      </c>
      <c r="CC29" s="17">
        <f>IF(CC$9,INDEX('Annual Real'!$1:$1048576,'History and Forecast'!CC$7,'History and Forecast'!$H29),INDEX('Forecast Prices'!$1:$1048576,'History and Forecast'!$G29,'History and Forecast'!CC$6))</f>
        <v>0.87442431189066805</v>
      </c>
      <c r="CD29" s="17" t="e">
        <f>IF(CD$9,INDEX('Annual Real'!$1:$1048576,'History and Forecast'!CD$7,'History and Forecast'!$H29),INDEX('Forecast Prices'!$1:$1048576,'History and Forecast'!$G29,'History and Forecast'!CD$6))</f>
        <v>#N/A</v>
      </c>
      <c r="CE29" s="17" t="e">
        <f>IF(CE$9,INDEX('Annual Real'!$1:$1048576,'History and Forecast'!CE$7,'History and Forecast'!$H29),INDEX('Forecast Prices'!$1:$1048576,'History and Forecast'!$G29,'History and Forecast'!CE$6))</f>
        <v>#N/A</v>
      </c>
      <c r="CF29" s="17" t="e">
        <f>IF(CF$9,INDEX('Annual Real'!$1:$1048576,'History and Forecast'!CF$7,'History and Forecast'!$H29),INDEX('Forecast Prices'!$1:$1048576,'History and Forecast'!$G29,'History and Forecast'!CF$6))</f>
        <v>#N/A</v>
      </c>
      <c r="CG29" s="17" t="e">
        <f>IF(CG$9,INDEX('Annual Real'!$1:$1048576,'History and Forecast'!CG$7,'History and Forecast'!$H29),INDEX('Forecast Prices'!$1:$1048576,'History and Forecast'!$G29,'History and Forecast'!CG$6))</f>
        <v>#N/A</v>
      </c>
      <c r="CH29" s="17" t="e">
        <f>IF(CH$9,INDEX('Annual Real'!$1:$1048576,'History and Forecast'!CH$7,'History and Forecast'!$H29),INDEX('Forecast Prices'!$1:$1048576,'History and Forecast'!$G29,'History and Forecast'!CH$6))</f>
        <v>#N/A</v>
      </c>
      <c r="CI29" s="17" t="e">
        <f>IF(CI$9,INDEX('Annual Real'!$1:$1048576,'History and Forecast'!CI$7,'History and Forecast'!$H29),INDEX('Forecast Prices'!$1:$1048576,'History and Forecast'!$G29,'History and Forecast'!CI$6))</f>
        <v>#N/A</v>
      </c>
    </row>
    <row r="30" spans="2:87">
      <c r="B30" t="str">
        <f t="shared" si="4"/>
        <v>BEEF</v>
      </c>
      <c r="C30" s="34" t="s">
        <v>1074</v>
      </c>
      <c r="D30" t="str">
        <f t="shared" si="5"/>
        <v>KBEEF</v>
      </c>
      <c r="E30" s="34" t="str">
        <f t="shared" si="6"/>
        <v>KFBEEF</v>
      </c>
      <c r="F30">
        <f>MATCH(C30,'Forecast Prices'!A:A,0)</f>
        <v>36</v>
      </c>
      <c r="G30">
        <f>MATCH(E30,'Forecast Prices'!A:A,0)</f>
        <v>118</v>
      </c>
      <c r="H30" t="e">
        <f>MATCH(D30,'Annual Real'!$9:$9,0)</f>
        <v>#N/A</v>
      </c>
      <c r="I30" t="str">
        <f>INDEX('Forecast Prices'!B:B,'History and Forecast'!F30)&amp;INDEX('Forecast Prices'!C:C,'History and Forecast'!F30)&amp;INDEX('Forecast Prices'!D:D,'History and Forecast'!F30)&amp;INDEX('Forecast Prices'!E:E,'History and Forecast'!F30)</f>
        <v>Meat, beef</v>
      </c>
      <c r="J30" t="str">
        <f>INDEX('Forecast Prices'!H:H,'History and Forecast'!F30)</f>
        <v>$/kg</v>
      </c>
      <c r="K30" s="17" t="e">
        <f>IF(K$9,INDEX('Annual Real'!$1:$1048576,'History and Forecast'!K$7,'History and Forecast'!$H30),INDEX('Forecast Prices'!$1:$1048576,'History and Forecast'!$G30,'History and Forecast'!K$6))</f>
        <v>#N/A</v>
      </c>
      <c r="L30" s="17" t="e">
        <f>IF(L$9,INDEX('Annual Real'!$1:$1048576,'History and Forecast'!L$7,'History and Forecast'!$H30),INDEX('Forecast Prices'!$1:$1048576,'History and Forecast'!$G30,'History and Forecast'!L$6))</f>
        <v>#N/A</v>
      </c>
      <c r="M30" s="17" t="e">
        <f>IF(M$9,INDEX('Annual Real'!$1:$1048576,'History and Forecast'!M$7,'History and Forecast'!$H30),INDEX('Forecast Prices'!$1:$1048576,'History and Forecast'!$G30,'History and Forecast'!M$6))</f>
        <v>#N/A</v>
      </c>
      <c r="N30" s="17" t="e">
        <f>IF(N$9,INDEX('Annual Real'!$1:$1048576,'History and Forecast'!N$7,'History and Forecast'!$H30),INDEX('Forecast Prices'!$1:$1048576,'History and Forecast'!$G30,'History and Forecast'!N$6))</f>
        <v>#N/A</v>
      </c>
      <c r="O30" s="17" t="e">
        <f>IF(O$9,INDEX('Annual Real'!$1:$1048576,'History and Forecast'!O$7,'History and Forecast'!$H30),INDEX('Forecast Prices'!$1:$1048576,'History and Forecast'!$G30,'History and Forecast'!O$6))</f>
        <v>#N/A</v>
      </c>
      <c r="P30" s="17" t="e">
        <f>IF(P$9,INDEX('Annual Real'!$1:$1048576,'History and Forecast'!P$7,'History and Forecast'!$H30),INDEX('Forecast Prices'!$1:$1048576,'History and Forecast'!$G30,'History and Forecast'!P$6))</f>
        <v>#N/A</v>
      </c>
      <c r="Q30" s="17" t="e">
        <f>IF(Q$9,INDEX('Annual Real'!$1:$1048576,'History and Forecast'!Q$7,'History and Forecast'!$H30),INDEX('Forecast Prices'!$1:$1048576,'History and Forecast'!$G30,'History and Forecast'!Q$6))</f>
        <v>#N/A</v>
      </c>
      <c r="R30" s="17" t="e">
        <f>IF(R$9,INDEX('Annual Real'!$1:$1048576,'History and Forecast'!R$7,'History and Forecast'!$H30),INDEX('Forecast Prices'!$1:$1048576,'History and Forecast'!$G30,'History and Forecast'!R$6))</f>
        <v>#N/A</v>
      </c>
      <c r="S30" s="17" t="e">
        <f>IF(S$9,INDEX('Annual Real'!$1:$1048576,'History and Forecast'!S$7,'History and Forecast'!$H30),INDEX('Forecast Prices'!$1:$1048576,'History and Forecast'!$G30,'History and Forecast'!S$6))</f>
        <v>#N/A</v>
      </c>
      <c r="T30" s="17" t="e">
        <f>IF(T$9,INDEX('Annual Real'!$1:$1048576,'History and Forecast'!T$7,'History and Forecast'!$H30),INDEX('Forecast Prices'!$1:$1048576,'History and Forecast'!$G30,'History and Forecast'!T$6))</f>
        <v>#N/A</v>
      </c>
      <c r="U30" s="17" t="e">
        <f>IF(U$9,INDEX('Annual Real'!$1:$1048576,'History and Forecast'!U$7,'History and Forecast'!$H30),INDEX('Forecast Prices'!$1:$1048576,'History and Forecast'!$G30,'History and Forecast'!U$6))</f>
        <v>#N/A</v>
      </c>
      <c r="V30" s="17" t="e">
        <f>IF(V$9,INDEX('Annual Real'!$1:$1048576,'History and Forecast'!V$7,'History and Forecast'!$H30),INDEX('Forecast Prices'!$1:$1048576,'History and Forecast'!$G30,'History and Forecast'!V$6))</f>
        <v>#N/A</v>
      </c>
      <c r="W30" s="17" t="e">
        <f>IF(W$9,INDEX('Annual Real'!$1:$1048576,'History and Forecast'!W$7,'History and Forecast'!$H30),INDEX('Forecast Prices'!$1:$1048576,'History and Forecast'!$G30,'History and Forecast'!W$6))</f>
        <v>#N/A</v>
      </c>
      <c r="X30" s="17" t="e">
        <f>IF(X$9,INDEX('Annual Real'!$1:$1048576,'History and Forecast'!X$7,'History and Forecast'!$H30),INDEX('Forecast Prices'!$1:$1048576,'History and Forecast'!$G30,'History and Forecast'!X$6))</f>
        <v>#N/A</v>
      </c>
      <c r="Y30" s="17" t="e">
        <f>IF(Y$9,INDEX('Annual Real'!$1:$1048576,'History and Forecast'!Y$7,'History and Forecast'!$H30),INDEX('Forecast Prices'!$1:$1048576,'History and Forecast'!$G30,'History and Forecast'!Y$6))</f>
        <v>#N/A</v>
      </c>
      <c r="Z30" s="17" t="e">
        <f>IF(Z$9,INDEX('Annual Real'!$1:$1048576,'History and Forecast'!Z$7,'History and Forecast'!$H30),INDEX('Forecast Prices'!$1:$1048576,'History and Forecast'!$G30,'History and Forecast'!Z$6))</f>
        <v>#N/A</v>
      </c>
      <c r="AA30" s="17" t="e">
        <f>IF(AA$9,INDEX('Annual Real'!$1:$1048576,'History and Forecast'!AA$7,'History and Forecast'!$H30),INDEX('Forecast Prices'!$1:$1048576,'History and Forecast'!$G30,'History and Forecast'!AA$6))</f>
        <v>#N/A</v>
      </c>
      <c r="AB30" s="17" t="e">
        <f>IF(AB$9,INDEX('Annual Real'!$1:$1048576,'History and Forecast'!AB$7,'History and Forecast'!$H30),INDEX('Forecast Prices'!$1:$1048576,'History and Forecast'!$G30,'History and Forecast'!AB$6))</f>
        <v>#N/A</v>
      </c>
      <c r="AC30" s="17" t="e">
        <f>IF(AC$9,INDEX('Annual Real'!$1:$1048576,'History and Forecast'!AC$7,'History and Forecast'!$H30),INDEX('Forecast Prices'!$1:$1048576,'History and Forecast'!$G30,'History and Forecast'!AC$6))</f>
        <v>#N/A</v>
      </c>
      <c r="AD30" s="17" t="e">
        <f>IF(AD$9,INDEX('Annual Real'!$1:$1048576,'History and Forecast'!AD$7,'History and Forecast'!$H30),INDEX('Forecast Prices'!$1:$1048576,'History and Forecast'!$G30,'History and Forecast'!AD$6))</f>
        <v>#N/A</v>
      </c>
      <c r="AE30" s="17" t="e">
        <f>IF(AE$9,INDEX('Annual Real'!$1:$1048576,'History and Forecast'!AE$7,'History and Forecast'!$H30),INDEX('Forecast Prices'!$1:$1048576,'History and Forecast'!$G30,'History and Forecast'!AE$6))</f>
        <v>#N/A</v>
      </c>
      <c r="AF30" s="17" t="e">
        <f>IF(AF$9,INDEX('Annual Real'!$1:$1048576,'History and Forecast'!AF$7,'History and Forecast'!$H30),INDEX('Forecast Prices'!$1:$1048576,'History and Forecast'!$G30,'History and Forecast'!AF$6))</f>
        <v>#N/A</v>
      </c>
      <c r="AG30" s="17" t="e">
        <f>IF(AG$9,INDEX('Annual Real'!$1:$1048576,'History and Forecast'!AG$7,'History and Forecast'!$H30),INDEX('Forecast Prices'!$1:$1048576,'History and Forecast'!$G30,'History and Forecast'!AG$6))</f>
        <v>#N/A</v>
      </c>
      <c r="AH30" s="17" t="e">
        <f>IF(AH$9,INDEX('Annual Real'!$1:$1048576,'History and Forecast'!AH$7,'History and Forecast'!$H30),INDEX('Forecast Prices'!$1:$1048576,'History and Forecast'!$G30,'History and Forecast'!AH$6))</f>
        <v>#N/A</v>
      </c>
      <c r="AI30" s="17" t="e">
        <f>IF(AI$9,INDEX('Annual Real'!$1:$1048576,'History and Forecast'!AI$7,'History and Forecast'!$H30),INDEX('Forecast Prices'!$1:$1048576,'History and Forecast'!$G30,'History and Forecast'!AI$6))</f>
        <v>#N/A</v>
      </c>
      <c r="AJ30" s="17" t="e">
        <f>IF(AJ$9,INDEX('Annual Real'!$1:$1048576,'History and Forecast'!AJ$7,'History and Forecast'!$H30),INDEX('Forecast Prices'!$1:$1048576,'History and Forecast'!$G30,'History and Forecast'!AJ$6))</f>
        <v>#N/A</v>
      </c>
      <c r="AK30" s="17" t="e">
        <f>IF(AK$9,INDEX('Annual Real'!$1:$1048576,'History and Forecast'!AK$7,'History and Forecast'!$H30),INDEX('Forecast Prices'!$1:$1048576,'History and Forecast'!$G30,'History and Forecast'!AK$6))</f>
        <v>#N/A</v>
      </c>
      <c r="AL30" s="17" t="e">
        <f>IF(AL$9,INDEX('Annual Real'!$1:$1048576,'History and Forecast'!AL$7,'History and Forecast'!$H30),INDEX('Forecast Prices'!$1:$1048576,'History and Forecast'!$G30,'History and Forecast'!AL$6))</f>
        <v>#N/A</v>
      </c>
      <c r="AM30" s="17" t="e">
        <f>IF(AM$9,INDEX('Annual Real'!$1:$1048576,'History and Forecast'!AM$7,'History and Forecast'!$H30),INDEX('Forecast Prices'!$1:$1048576,'History and Forecast'!$G30,'History and Forecast'!AM$6))</f>
        <v>#N/A</v>
      </c>
      <c r="AN30" s="17" t="e">
        <f>IF(AN$9,INDEX('Annual Real'!$1:$1048576,'History and Forecast'!AN$7,'History and Forecast'!$H30),INDEX('Forecast Prices'!$1:$1048576,'History and Forecast'!$G30,'History and Forecast'!AN$6))</f>
        <v>#N/A</v>
      </c>
      <c r="AO30" s="17" t="e">
        <f>IF(AO$9,INDEX('Annual Real'!$1:$1048576,'History and Forecast'!AO$7,'History and Forecast'!$H30),INDEX('Forecast Prices'!$1:$1048576,'History and Forecast'!$G30,'History and Forecast'!AO$6))</f>
        <v>#N/A</v>
      </c>
      <c r="AP30" s="17" t="e">
        <f>IF(AP$9,INDEX('Annual Real'!$1:$1048576,'History and Forecast'!AP$7,'History and Forecast'!$H30),INDEX('Forecast Prices'!$1:$1048576,'History and Forecast'!$G30,'History and Forecast'!AP$6))</f>
        <v>#N/A</v>
      </c>
      <c r="AQ30" s="17" t="e">
        <f>IF(AQ$9,INDEX('Annual Real'!$1:$1048576,'History and Forecast'!AQ$7,'History and Forecast'!$H30),INDEX('Forecast Prices'!$1:$1048576,'History and Forecast'!$G30,'History and Forecast'!AQ$6))</f>
        <v>#N/A</v>
      </c>
      <c r="AR30" s="17" t="e">
        <f>IF(AR$9,INDEX('Annual Real'!$1:$1048576,'History and Forecast'!AR$7,'History and Forecast'!$H30),INDEX('Forecast Prices'!$1:$1048576,'History and Forecast'!$G30,'History and Forecast'!AR$6))</f>
        <v>#N/A</v>
      </c>
      <c r="AS30" s="17" t="e">
        <f>IF(AS$9,INDEX('Annual Real'!$1:$1048576,'History and Forecast'!AS$7,'History and Forecast'!$H30),INDEX('Forecast Prices'!$1:$1048576,'History and Forecast'!$G30,'History and Forecast'!AS$6))</f>
        <v>#N/A</v>
      </c>
      <c r="AT30" s="17" t="e">
        <f>IF(AT$9,INDEX('Annual Real'!$1:$1048576,'History and Forecast'!AT$7,'History and Forecast'!$H30),INDEX('Forecast Prices'!$1:$1048576,'History and Forecast'!$G30,'History and Forecast'!AT$6))</f>
        <v>#N/A</v>
      </c>
      <c r="AU30" s="17" t="e">
        <f>IF(AU$9,INDEX('Annual Real'!$1:$1048576,'History and Forecast'!AU$7,'History and Forecast'!$H30),INDEX('Forecast Prices'!$1:$1048576,'History and Forecast'!$G30,'History and Forecast'!AU$6))</f>
        <v>#N/A</v>
      </c>
      <c r="AV30" s="17" t="e">
        <f>IF(AV$9,INDEX('Annual Real'!$1:$1048576,'History and Forecast'!AV$7,'History and Forecast'!$H30),INDEX('Forecast Prices'!$1:$1048576,'History and Forecast'!$G30,'History and Forecast'!AV$6))</f>
        <v>#N/A</v>
      </c>
      <c r="AW30" s="17" t="e">
        <f>IF(AW$9,INDEX('Annual Real'!$1:$1048576,'History and Forecast'!AW$7,'History and Forecast'!$H30),INDEX('Forecast Prices'!$1:$1048576,'History and Forecast'!$G30,'History and Forecast'!AW$6))</f>
        <v>#N/A</v>
      </c>
      <c r="AX30" s="17" t="e">
        <f>IF(AX$9,INDEX('Annual Real'!$1:$1048576,'History and Forecast'!AX$7,'History and Forecast'!$H30),INDEX('Forecast Prices'!$1:$1048576,'History and Forecast'!$G30,'History and Forecast'!AX$6))</f>
        <v>#N/A</v>
      </c>
      <c r="AY30" s="17" t="e">
        <f>IF(AY$9,INDEX('Annual Real'!$1:$1048576,'History and Forecast'!AY$7,'History and Forecast'!$H30),INDEX('Forecast Prices'!$1:$1048576,'History and Forecast'!$G30,'History and Forecast'!AY$6))</f>
        <v>#N/A</v>
      </c>
      <c r="AZ30" s="17" t="e">
        <f>IF(AZ$9,INDEX('Annual Real'!$1:$1048576,'History and Forecast'!AZ$7,'History and Forecast'!$H30),INDEX('Forecast Prices'!$1:$1048576,'History and Forecast'!$G30,'History and Forecast'!AZ$6))</f>
        <v>#N/A</v>
      </c>
      <c r="BA30" s="17" t="e">
        <f>IF(BA$9,INDEX('Annual Real'!$1:$1048576,'History and Forecast'!BA$7,'History and Forecast'!$H30),INDEX('Forecast Prices'!$1:$1048576,'History and Forecast'!$G30,'History and Forecast'!BA$6))</f>
        <v>#N/A</v>
      </c>
      <c r="BB30" s="17" t="e">
        <f>IF(BB$9,INDEX('Annual Real'!$1:$1048576,'History and Forecast'!BB$7,'History and Forecast'!$H30),INDEX('Forecast Prices'!$1:$1048576,'History and Forecast'!$G30,'History and Forecast'!BB$6))</f>
        <v>#N/A</v>
      </c>
      <c r="BC30" s="17" t="e">
        <f>IF(BC$9,INDEX('Annual Real'!$1:$1048576,'History and Forecast'!BC$7,'History and Forecast'!$H30),INDEX('Forecast Prices'!$1:$1048576,'History and Forecast'!$G30,'History and Forecast'!BC$6))</f>
        <v>#N/A</v>
      </c>
      <c r="BD30" s="17" t="e">
        <f>IF(BD$9,INDEX('Annual Real'!$1:$1048576,'History and Forecast'!BD$7,'History and Forecast'!$H30),INDEX('Forecast Prices'!$1:$1048576,'History and Forecast'!$G30,'History and Forecast'!BD$6))</f>
        <v>#N/A</v>
      </c>
      <c r="BE30" s="17" t="e">
        <f>IF(BE$9,INDEX('Annual Real'!$1:$1048576,'History and Forecast'!BE$7,'History and Forecast'!$H30),INDEX('Forecast Prices'!$1:$1048576,'History and Forecast'!$G30,'History and Forecast'!BE$6))</f>
        <v>#N/A</v>
      </c>
      <c r="BF30" s="17" t="e">
        <f>IF(BF$9,INDEX('Annual Real'!$1:$1048576,'History and Forecast'!BF$7,'History and Forecast'!$H30),INDEX('Forecast Prices'!$1:$1048576,'History and Forecast'!$G30,'History and Forecast'!BF$6))</f>
        <v>#N/A</v>
      </c>
      <c r="BG30" s="17" t="e">
        <f>IF(BG$9,INDEX('Annual Real'!$1:$1048576,'History and Forecast'!BG$7,'History and Forecast'!$H30),INDEX('Forecast Prices'!$1:$1048576,'History and Forecast'!$G30,'History and Forecast'!BG$6))</f>
        <v>#N/A</v>
      </c>
      <c r="BH30" s="17" t="e">
        <f>IF(BH$9,INDEX('Annual Real'!$1:$1048576,'History and Forecast'!BH$7,'History and Forecast'!$H30),INDEX('Forecast Prices'!$1:$1048576,'History and Forecast'!$G30,'History and Forecast'!BH$6))</f>
        <v>#N/A</v>
      </c>
      <c r="BI30" s="17" t="e">
        <f>IF(BI$9,INDEX('Annual Real'!$1:$1048576,'History and Forecast'!BI$7,'History and Forecast'!$H30),INDEX('Forecast Prices'!$1:$1048576,'History and Forecast'!$G30,'History and Forecast'!BI$6))</f>
        <v>#N/A</v>
      </c>
      <c r="BJ30" s="17" t="e">
        <f>IF(BJ$9,INDEX('Annual Real'!$1:$1048576,'History and Forecast'!BJ$7,'History and Forecast'!$H30),INDEX('Forecast Prices'!$1:$1048576,'History and Forecast'!$G30,'History and Forecast'!BJ$6))</f>
        <v>#N/A</v>
      </c>
      <c r="BK30" s="17" t="e">
        <f>IF(BK$9,INDEX('Annual Real'!$1:$1048576,'History and Forecast'!BK$7,'History and Forecast'!$H30),INDEX('Forecast Prices'!$1:$1048576,'History and Forecast'!$G30,'History and Forecast'!BK$6))</f>
        <v>#N/A</v>
      </c>
      <c r="BL30" s="17" t="e">
        <f>IF(BL$9,INDEX('Annual Real'!$1:$1048576,'History and Forecast'!BL$7,'History and Forecast'!$H30),INDEX('Forecast Prices'!$1:$1048576,'History and Forecast'!$G30,'History and Forecast'!BL$6))</f>
        <v>#N/A</v>
      </c>
      <c r="BM30" s="17" t="e">
        <f>IF(BM$9,INDEX('Annual Real'!$1:$1048576,'History and Forecast'!BM$7,'History and Forecast'!$H30),INDEX('Forecast Prices'!$1:$1048576,'History and Forecast'!$G30,'History and Forecast'!BM$6))</f>
        <v>#N/A</v>
      </c>
      <c r="BN30" s="17" t="e">
        <f>IF(BN$9,INDEX('Annual Real'!$1:$1048576,'History and Forecast'!BN$7,'History and Forecast'!$H30),INDEX('Forecast Prices'!$1:$1048576,'History and Forecast'!$G30,'History and Forecast'!BN$6))</f>
        <v>#N/A</v>
      </c>
      <c r="BO30" s="17">
        <f>IF(BO$9,INDEX('Annual Real'!$1:$1048576,'History and Forecast'!BO$7,'History and Forecast'!$H30),INDEX('Forecast Prices'!$1:$1048576,'History and Forecast'!$G30,'History and Forecast'!BO$6))</f>
        <v>4.3186326953385299</v>
      </c>
      <c r="BP30" s="17">
        <f>IF(BP$9,INDEX('Annual Real'!$1:$1048576,'History and Forecast'!BP$7,'History and Forecast'!$H30),INDEX('Forecast Prices'!$1:$1048576,'History and Forecast'!$G30,'History and Forecast'!BP$6))</f>
        <v>4.5096802179619901</v>
      </c>
      <c r="BQ30" s="17">
        <f>IF(BQ$9,INDEX('Annual Real'!$1:$1048576,'History and Forecast'!BQ$7,'History and Forecast'!$H30),INDEX('Forecast Prices'!$1:$1048576,'History and Forecast'!$G30,'History and Forecast'!BQ$6))</f>
        <v>4.1185083551472204</v>
      </c>
      <c r="BR30" s="17">
        <f>IF(BR$9,INDEX('Annual Real'!$1:$1048576,'History and Forecast'!BR$7,'History and Forecast'!$H30),INDEX('Forecast Prices'!$1:$1048576,'History and Forecast'!$G30,'History and Forecast'!BR$6))</f>
        <v>4.1875630164614197</v>
      </c>
      <c r="BS30" s="17">
        <f>IF(BS$9,INDEX('Annual Real'!$1:$1048576,'History and Forecast'!BS$7,'History and Forecast'!$H30),INDEX('Forecast Prices'!$1:$1048576,'History and Forecast'!$G30,'History and Forecast'!BS$6))</f>
        <v>4.1044195701074502</v>
      </c>
      <c r="BT30" s="17">
        <f>IF(BT$9,INDEX('Annual Real'!$1:$1048576,'History and Forecast'!BT$7,'History and Forecast'!$H30),INDEX('Forecast Prices'!$1:$1048576,'History and Forecast'!$G30,'History and Forecast'!BT$6))</f>
        <v>4.0239147563945501</v>
      </c>
      <c r="BU30" s="17">
        <f>IF(BU$9,INDEX('Annual Real'!$1:$1048576,'History and Forecast'!BU$7,'History and Forecast'!$H30),INDEX('Forecast Prices'!$1:$1048576,'History and Forecast'!$G30,'History and Forecast'!BU$6))</f>
        <v>3.94182657186458</v>
      </c>
      <c r="BV30" s="17">
        <f>IF(BV$9,INDEX('Annual Real'!$1:$1048576,'History and Forecast'!BV$7,'History and Forecast'!$H30),INDEX('Forecast Prices'!$1:$1048576,'History and Forecast'!$G30,'History and Forecast'!BV$6))</f>
        <v>3.8617537801451101</v>
      </c>
      <c r="BW30" s="17">
        <f>IF(BW$9,INDEX('Annual Real'!$1:$1048576,'History and Forecast'!BW$7,'History and Forecast'!$H30),INDEX('Forecast Prices'!$1:$1048576,'History and Forecast'!$G30,'History and Forecast'!BW$6))</f>
        <v>3.78330630256885</v>
      </c>
      <c r="BX30" s="17">
        <f>IF(BX$9,INDEX('Annual Real'!$1:$1048576,'History and Forecast'!BX$7,'History and Forecast'!$H30),INDEX('Forecast Prices'!$1:$1048576,'History and Forecast'!$G30,'History and Forecast'!BX$6))</f>
        <v>3.7062386379593999</v>
      </c>
      <c r="BY30" s="17" t="e">
        <f>IF(BY$9,INDEX('Annual Real'!$1:$1048576,'History and Forecast'!BY$7,'History and Forecast'!$H30),INDEX('Forecast Prices'!$1:$1048576,'History and Forecast'!$G30,'History and Forecast'!BY$6))</f>
        <v>#N/A</v>
      </c>
      <c r="BZ30" s="17" t="e">
        <f>IF(BZ$9,INDEX('Annual Real'!$1:$1048576,'History and Forecast'!BZ$7,'History and Forecast'!$H30),INDEX('Forecast Prices'!$1:$1048576,'History and Forecast'!$G30,'History and Forecast'!BZ$6))</f>
        <v>#N/A</v>
      </c>
      <c r="CA30" s="17" t="e">
        <f>IF(CA$9,INDEX('Annual Real'!$1:$1048576,'History and Forecast'!CA$7,'History and Forecast'!$H30),INDEX('Forecast Prices'!$1:$1048576,'History and Forecast'!$G30,'History and Forecast'!CA$6))</f>
        <v>#N/A</v>
      </c>
      <c r="CB30" s="17" t="e">
        <f>IF(CB$9,INDEX('Annual Real'!$1:$1048576,'History and Forecast'!CB$7,'History and Forecast'!$H30),INDEX('Forecast Prices'!$1:$1048576,'History and Forecast'!$G30,'History and Forecast'!CB$6))</f>
        <v>#N/A</v>
      </c>
      <c r="CC30" s="17">
        <f>IF(CC$9,INDEX('Annual Real'!$1:$1048576,'History and Forecast'!CC$7,'History and Forecast'!$H30),INDEX('Forecast Prices'!$1:$1048576,'History and Forecast'!$G30,'History and Forecast'!CC$6))</f>
        <v>3.3387110090370999</v>
      </c>
      <c r="CD30" s="17" t="e">
        <f>IF(CD$9,INDEX('Annual Real'!$1:$1048576,'History and Forecast'!CD$7,'History and Forecast'!$H30),INDEX('Forecast Prices'!$1:$1048576,'History and Forecast'!$G30,'History and Forecast'!CD$6))</f>
        <v>#N/A</v>
      </c>
      <c r="CE30" s="17" t="e">
        <f>IF(CE$9,INDEX('Annual Real'!$1:$1048576,'History and Forecast'!CE$7,'History and Forecast'!$H30),INDEX('Forecast Prices'!$1:$1048576,'History and Forecast'!$G30,'History and Forecast'!CE$6))</f>
        <v>#N/A</v>
      </c>
      <c r="CF30" s="17" t="e">
        <f>IF(CF$9,INDEX('Annual Real'!$1:$1048576,'History and Forecast'!CF$7,'History and Forecast'!$H30),INDEX('Forecast Prices'!$1:$1048576,'History and Forecast'!$G30,'History and Forecast'!CF$6))</f>
        <v>#N/A</v>
      </c>
      <c r="CG30" s="17" t="e">
        <f>IF(CG$9,INDEX('Annual Real'!$1:$1048576,'History and Forecast'!CG$7,'History and Forecast'!$H30),INDEX('Forecast Prices'!$1:$1048576,'History and Forecast'!$G30,'History and Forecast'!CG$6))</f>
        <v>#N/A</v>
      </c>
      <c r="CH30" s="17" t="e">
        <f>IF(CH$9,INDEX('Annual Real'!$1:$1048576,'History and Forecast'!CH$7,'History and Forecast'!$H30),INDEX('Forecast Prices'!$1:$1048576,'History and Forecast'!$G30,'History and Forecast'!CH$6))</f>
        <v>#N/A</v>
      </c>
      <c r="CI30" s="17" t="e">
        <f>IF(CI$9,INDEX('Annual Real'!$1:$1048576,'History and Forecast'!CI$7,'History and Forecast'!$H30),INDEX('Forecast Prices'!$1:$1048576,'History and Forecast'!$G30,'History and Forecast'!CI$6))</f>
        <v>#N/A</v>
      </c>
    </row>
    <row r="31" spans="2:87">
      <c r="B31" t="str">
        <f t="shared" si="4"/>
        <v>CHICKEN</v>
      </c>
      <c r="C31" s="34" t="s">
        <v>1076</v>
      </c>
      <c r="D31" t="str">
        <f t="shared" si="5"/>
        <v>KCHICKEN</v>
      </c>
      <c r="E31" s="34" t="str">
        <f t="shared" si="6"/>
        <v>KFCHICKEN</v>
      </c>
      <c r="F31">
        <f>MATCH(C31,'Forecast Prices'!A:A,0)</f>
        <v>37</v>
      </c>
      <c r="G31">
        <f>MATCH(E31,'Forecast Prices'!A:A,0)</f>
        <v>119</v>
      </c>
      <c r="H31" t="e">
        <f>MATCH(D31,'Annual Real'!$9:$9,0)</f>
        <v>#N/A</v>
      </c>
      <c r="I31" t="str">
        <f>INDEX('Forecast Prices'!B:B,'History and Forecast'!F31)&amp;INDEX('Forecast Prices'!C:C,'History and Forecast'!F31)&amp;INDEX('Forecast Prices'!D:D,'History and Forecast'!F31)&amp;INDEX('Forecast Prices'!E:E,'History and Forecast'!F31)</f>
        <v>Meat, chicken</v>
      </c>
      <c r="J31" t="str">
        <f>INDEX('Forecast Prices'!H:H,'History and Forecast'!F31)</f>
        <v>$/kg</v>
      </c>
      <c r="K31" s="17" t="e">
        <f>IF(K$9,INDEX('Annual Real'!$1:$1048576,'History and Forecast'!K$7,'History and Forecast'!$H31),INDEX('Forecast Prices'!$1:$1048576,'History and Forecast'!$G31,'History and Forecast'!K$6))</f>
        <v>#N/A</v>
      </c>
      <c r="L31" s="17" t="e">
        <f>IF(L$9,INDEX('Annual Real'!$1:$1048576,'History and Forecast'!L$7,'History and Forecast'!$H31),INDEX('Forecast Prices'!$1:$1048576,'History and Forecast'!$G31,'History and Forecast'!L$6))</f>
        <v>#N/A</v>
      </c>
      <c r="M31" s="17" t="e">
        <f>IF(M$9,INDEX('Annual Real'!$1:$1048576,'History and Forecast'!M$7,'History and Forecast'!$H31),INDEX('Forecast Prices'!$1:$1048576,'History and Forecast'!$G31,'History and Forecast'!M$6))</f>
        <v>#N/A</v>
      </c>
      <c r="N31" s="17" t="e">
        <f>IF(N$9,INDEX('Annual Real'!$1:$1048576,'History and Forecast'!N$7,'History and Forecast'!$H31),INDEX('Forecast Prices'!$1:$1048576,'History and Forecast'!$G31,'History and Forecast'!N$6))</f>
        <v>#N/A</v>
      </c>
      <c r="O31" s="17" t="e">
        <f>IF(O$9,INDEX('Annual Real'!$1:$1048576,'History and Forecast'!O$7,'History and Forecast'!$H31),INDEX('Forecast Prices'!$1:$1048576,'History and Forecast'!$G31,'History and Forecast'!O$6))</f>
        <v>#N/A</v>
      </c>
      <c r="P31" s="17" t="e">
        <f>IF(P$9,INDEX('Annual Real'!$1:$1048576,'History and Forecast'!P$7,'History and Forecast'!$H31),INDEX('Forecast Prices'!$1:$1048576,'History and Forecast'!$G31,'History and Forecast'!P$6))</f>
        <v>#N/A</v>
      </c>
      <c r="Q31" s="17" t="e">
        <f>IF(Q$9,INDEX('Annual Real'!$1:$1048576,'History and Forecast'!Q$7,'History and Forecast'!$H31),INDEX('Forecast Prices'!$1:$1048576,'History and Forecast'!$G31,'History and Forecast'!Q$6))</f>
        <v>#N/A</v>
      </c>
      <c r="R31" s="17" t="e">
        <f>IF(R$9,INDEX('Annual Real'!$1:$1048576,'History and Forecast'!R$7,'History and Forecast'!$H31),INDEX('Forecast Prices'!$1:$1048576,'History and Forecast'!$G31,'History and Forecast'!R$6))</f>
        <v>#N/A</v>
      </c>
      <c r="S31" s="17" t="e">
        <f>IF(S$9,INDEX('Annual Real'!$1:$1048576,'History and Forecast'!S$7,'History and Forecast'!$H31),INDEX('Forecast Prices'!$1:$1048576,'History and Forecast'!$G31,'History and Forecast'!S$6))</f>
        <v>#N/A</v>
      </c>
      <c r="T31" s="17" t="e">
        <f>IF(T$9,INDEX('Annual Real'!$1:$1048576,'History and Forecast'!T$7,'History and Forecast'!$H31),INDEX('Forecast Prices'!$1:$1048576,'History and Forecast'!$G31,'History and Forecast'!T$6))</f>
        <v>#N/A</v>
      </c>
      <c r="U31" s="17" t="e">
        <f>IF(U$9,INDEX('Annual Real'!$1:$1048576,'History and Forecast'!U$7,'History and Forecast'!$H31),INDEX('Forecast Prices'!$1:$1048576,'History and Forecast'!$G31,'History and Forecast'!U$6))</f>
        <v>#N/A</v>
      </c>
      <c r="V31" s="17" t="e">
        <f>IF(V$9,INDEX('Annual Real'!$1:$1048576,'History and Forecast'!V$7,'History and Forecast'!$H31),INDEX('Forecast Prices'!$1:$1048576,'History and Forecast'!$G31,'History and Forecast'!V$6))</f>
        <v>#N/A</v>
      </c>
      <c r="W31" s="17" t="e">
        <f>IF(W$9,INDEX('Annual Real'!$1:$1048576,'History and Forecast'!W$7,'History and Forecast'!$H31),INDEX('Forecast Prices'!$1:$1048576,'History and Forecast'!$G31,'History and Forecast'!W$6))</f>
        <v>#N/A</v>
      </c>
      <c r="X31" s="17" t="e">
        <f>IF(X$9,INDEX('Annual Real'!$1:$1048576,'History and Forecast'!X$7,'History and Forecast'!$H31),INDEX('Forecast Prices'!$1:$1048576,'History and Forecast'!$G31,'History and Forecast'!X$6))</f>
        <v>#N/A</v>
      </c>
      <c r="Y31" s="17" t="e">
        <f>IF(Y$9,INDEX('Annual Real'!$1:$1048576,'History and Forecast'!Y$7,'History and Forecast'!$H31),INDEX('Forecast Prices'!$1:$1048576,'History and Forecast'!$G31,'History and Forecast'!Y$6))</f>
        <v>#N/A</v>
      </c>
      <c r="Z31" s="17" t="e">
        <f>IF(Z$9,INDEX('Annual Real'!$1:$1048576,'History and Forecast'!Z$7,'History and Forecast'!$H31),INDEX('Forecast Prices'!$1:$1048576,'History and Forecast'!$G31,'History and Forecast'!Z$6))</f>
        <v>#N/A</v>
      </c>
      <c r="AA31" s="17" t="e">
        <f>IF(AA$9,INDEX('Annual Real'!$1:$1048576,'History and Forecast'!AA$7,'History and Forecast'!$H31),INDEX('Forecast Prices'!$1:$1048576,'History and Forecast'!$G31,'History and Forecast'!AA$6))</f>
        <v>#N/A</v>
      </c>
      <c r="AB31" s="17" t="e">
        <f>IF(AB$9,INDEX('Annual Real'!$1:$1048576,'History and Forecast'!AB$7,'History and Forecast'!$H31),INDEX('Forecast Prices'!$1:$1048576,'History and Forecast'!$G31,'History and Forecast'!AB$6))</f>
        <v>#N/A</v>
      </c>
      <c r="AC31" s="17" t="e">
        <f>IF(AC$9,INDEX('Annual Real'!$1:$1048576,'History and Forecast'!AC$7,'History and Forecast'!$H31),INDEX('Forecast Prices'!$1:$1048576,'History and Forecast'!$G31,'History and Forecast'!AC$6))</f>
        <v>#N/A</v>
      </c>
      <c r="AD31" s="17" t="e">
        <f>IF(AD$9,INDEX('Annual Real'!$1:$1048576,'History and Forecast'!AD$7,'History and Forecast'!$H31),INDEX('Forecast Prices'!$1:$1048576,'History and Forecast'!$G31,'History and Forecast'!AD$6))</f>
        <v>#N/A</v>
      </c>
      <c r="AE31" s="17" t="e">
        <f>IF(AE$9,INDEX('Annual Real'!$1:$1048576,'History and Forecast'!AE$7,'History and Forecast'!$H31),INDEX('Forecast Prices'!$1:$1048576,'History and Forecast'!$G31,'History and Forecast'!AE$6))</f>
        <v>#N/A</v>
      </c>
      <c r="AF31" s="17" t="e">
        <f>IF(AF$9,INDEX('Annual Real'!$1:$1048576,'History and Forecast'!AF$7,'History and Forecast'!$H31),INDEX('Forecast Prices'!$1:$1048576,'History and Forecast'!$G31,'History and Forecast'!AF$6))</f>
        <v>#N/A</v>
      </c>
      <c r="AG31" s="17" t="e">
        <f>IF(AG$9,INDEX('Annual Real'!$1:$1048576,'History and Forecast'!AG$7,'History and Forecast'!$H31),INDEX('Forecast Prices'!$1:$1048576,'History and Forecast'!$G31,'History and Forecast'!AG$6))</f>
        <v>#N/A</v>
      </c>
      <c r="AH31" s="17" t="e">
        <f>IF(AH$9,INDEX('Annual Real'!$1:$1048576,'History and Forecast'!AH$7,'History and Forecast'!$H31),INDEX('Forecast Prices'!$1:$1048576,'History and Forecast'!$G31,'History and Forecast'!AH$6))</f>
        <v>#N/A</v>
      </c>
      <c r="AI31" s="17" t="e">
        <f>IF(AI$9,INDEX('Annual Real'!$1:$1048576,'History and Forecast'!AI$7,'History and Forecast'!$H31),INDEX('Forecast Prices'!$1:$1048576,'History and Forecast'!$G31,'History and Forecast'!AI$6))</f>
        <v>#N/A</v>
      </c>
      <c r="AJ31" s="17" t="e">
        <f>IF(AJ$9,INDEX('Annual Real'!$1:$1048576,'History and Forecast'!AJ$7,'History and Forecast'!$H31),INDEX('Forecast Prices'!$1:$1048576,'History and Forecast'!$G31,'History and Forecast'!AJ$6))</f>
        <v>#N/A</v>
      </c>
      <c r="AK31" s="17" t="e">
        <f>IF(AK$9,INDEX('Annual Real'!$1:$1048576,'History and Forecast'!AK$7,'History and Forecast'!$H31),INDEX('Forecast Prices'!$1:$1048576,'History and Forecast'!$G31,'History and Forecast'!AK$6))</f>
        <v>#N/A</v>
      </c>
      <c r="AL31" s="17" t="e">
        <f>IF(AL$9,INDEX('Annual Real'!$1:$1048576,'History and Forecast'!AL$7,'History and Forecast'!$H31),INDEX('Forecast Prices'!$1:$1048576,'History and Forecast'!$G31,'History and Forecast'!AL$6))</f>
        <v>#N/A</v>
      </c>
      <c r="AM31" s="17" t="e">
        <f>IF(AM$9,INDEX('Annual Real'!$1:$1048576,'History and Forecast'!AM$7,'History and Forecast'!$H31),INDEX('Forecast Prices'!$1:$1048576,'History and Forecast'!$G31,'History and Forecast'!AM$6))</f>
        <v>#N/A</v>
      </c>
      <c r="AN31" s="17" t="e">
        <f>IF(AN$9,INDEX('Annual Real'!$1:$1048576,'History and Forecast'!AN$7,'History and Forecast'!$H31),INDEX('Forecast Prices'!$1:$1048576,'History and Forecast'!$G31,'History and Forecast'!AN$6))</f>
        <v>#N/A</v>
      </c>
      <c r="AO31" s="17" t="e">
        <f>IF(AO$9,INDEX('Annual Real'!$1:$1048576,'History and Forecast'!AO$7,'History and Forecast'!$H31),INDEX('Forecast Prices'!$1:$1048576,'History and Forecast'!$G31,'History and Forecast'!AO$6))</f>
        <v>#N/A</v>
      </c>
      <c r="AP31" s="17" t="e">
        <f>IF(AP$9,INDEX('Annual Real'!$1:$1048576,'History and Forecast'!AP$7,'History and Forecast'!$H31),INDEX('Forecast Prices'!$1:$1048576,'History and Forecast'!$G31,'History and Forecast'!AP$6))</f>
        <v>#N/A</v>
      </c>
      <c r="AQ31" s="17" t="e">
        <f>IF(AQ$9,INDEX('Annual Real'!$1:$1048576,'History and Forecast'!AQ$7,'History and Forecast'!$H31),INDEX('Forecast Prices'!$1:$1048576,'History and Forecast'!$G31,'History and Forecast'!AQ$6))</f>
        <v>#N/A</v>
      </c>
      <c r="AR31" s="17" t="e">
        <f>IF(AR$9,INDEX('Annual Real'!$1:$1048576,'History and Forecast'!AR$7,'History and Forecast'!$H31),INDEX('Forecast Prices'!$1:$1048576,'History and Forecast'!$G31,'History and Forecast'!AR$6))</f>
        <v>#N/A</v>
      </c>
      <c r="AS31" s="17" t="e">
        <f>IF(AS$9,INDEX('Annual Real'!$1:$1048576,'History and Forecast'!AS$7,'History and Forecast'!$H31),INDEX('Forecast Prices'!$1:$1048576,'History and Forecast'!$G31,'History and Forecast'!AS$6))</f>
        <v>#N/A</v>
      </c>
      <c r="AT31" s="17" t="e">
        <f>IF(AT$9,INDEX('Annual Real'!$1:$1048576,'History and Forecast'!AT$7,'History and Forecast'!$H31),INDEX('Forecast Prices'!$1:$1048576,'History and Forecast'!$G31,'History and Forecast'!AT$6))</f>
        <v>#N/A</v>
      </c>
      <c r="AU31" s="17" t="e">
        <f>IF(AU$9,INDEX('Annual Real'!$1:$1048576,'History and Forecast'!AU$7,'History and Forecast'!$H31),INDEX('Forecast Prices'!$1:$1048576,'History and Forecast'!$G31,'History and Forecast'!AU$6))</f>
        <v>#N/A</v>
      </c>
      <c r="AV31" s="17" t="e">
        <f>IF(AV$9,INDEX('Annual Real'!$1:$1048576,'History and Forecast'!AV$7,'History and Forecast'!$H31),INDEX('Forecast Prices'!$1:$1048576,'History and Forecast'!$G31,'History and Forecast'!AV$6))</f>
        <v>#N/A</v>
      </c>
      <c r="AW31" s="17" t="e">
        <f>IF(AW$9,INDEX('Annual Real'!$1:$1048576,'History and Forecast'!AW$7,'History and Forecast'!$H31),INDEX('Forecast Prices'!$1:$1048576,'History and Forecast'!$G31,'History and Forecast'!AW$6))</f>
        <v>#N/A</v>
      </c>
      <c r="AX31" s="17" t="e">
        <f>IF(AX$9,INDEX('Annual Real'!$1:$1048576,'History and Forecast'!AX$7,'History and Forecast'!$H31),INDEX('Forecast Prices'!$1:$1048576,'History and Forecast'!$G31,'History and Forecast'!AX$6))</f>
        <v>#N/A</v>
      </c>
      <c r="AY31" s="17" t="e">
        <f>IF(AY$9,INDEX('Annual Real'!$1:$1048576,'History and Forecast'!AY$7,'History and Forecast'!$H31),INDEX('Forecast Prices'!$1:$1048576,'History and Forecast'!$G31,'History and Forecast'!AY$6))</f>
        <v>#N/A</v>
      </c>
      <c r="AZ31" s="17" t="e">
        <f>IF(AZ$9,INDEX('Annual Real'!$1:$1048576,'History and Forecast'!AZ$7,'History and Forecast'!$H31),INDEX('Forecast Prices'!$1:$1048576,'History and Forecast'!$G31,'History and Forecast'!AZ$6))</f>
        <v>#N/A</v>
      </c>
      <c r="BA31" s="17" t="e">
        <f>IF(BA$9,INDEX('Annual Real'!$1:$1048576,'History and Forecast'!BA$7,'History and Forecast'!$H31),INDEX('Forecast Prices'!$1:$1048576,'History and Forecast'!$G31,'History and Forecast'!BA$6))</f>
        <v>#N/A</v>
      </c>
      <c r="BB31" s="17" t="e">
        <f>IF(BB$9,INDEX('Annual Real'!$1:$1048576,'History and Forecast'!BB$7,'History and Forecast'!$H31),INDEX('Forecast Prices'!$1:$1048576,'History and Forecast'!$G31,'History and Forecast'!BB$6))</f>
        <v>#N/A</v>
      </c>
      <c r="BC31" s="17" t="e">
        <f>IF(BC$9,INDEX('Annual Real'!$1:$1048576,'History and Forecast'!BC$7,'History and Forecast'!$H31),INDEX('Forecast Prices'!$1:$1048576,'History and Forecast'!$G31,'History and Forecast'!BC$6))</f>
        <v>#N/A</v>
      </c>
      <c r="BD31" s="17" t="e">
        <f>IF(BD$9,INDEX('Annual Real'!$1:$1048576,'History and Forecast'!BD$7,'History and Forecast'!$H31),INDEX('Forecast Prices'!$1:$1048576,'History and Forecast'!$G31,'History and Forecast'!BD$6))</f>
        <v>#N/A</v>
      </c>
      <c r="BE31" s="17" t="e">
        <f>IF(BE$9,INDEX('Annual Real'!$1:$1048576,'History and Forecast'!BE$7,'History and Forecast'!$H31),INDEX('Forecast Prices'!$1:$1048576,'History and Forecast'!$G31,'History and Forecast'!BE$6))</f>
        <v>#N/A</v>
      </c>
      <c r="BF31" s="17" t="e">
        <f>IF(BF$9,INDEX('Annual Real'!$1:$1048576,'History and Forecast'!BF$7,'History and Forecast'!$H31),INDEX('Forecast Prices'!$1:$1048576,'History and Forecast'!$G31,'History and Forecast'!BF$6))</f>
        <v>#N/A</v>
      </c>
      <c r="BG31" s="17" t="e">
        <f>IF(BG$9,INDEX('Annual Real'!$1:$1048576,'History and Forecast'!BG$7,'History and Forecast'!$H31),INDEX('Forecast Prices'!$1:$1048576,'History and Forecast'!$G31,'History and Forecast'!BG$6))</f>
        <v>#N/A</v>
      </c>
      <c r="BH31" s="17" t="e">
        <f>IF(BH$9,INDEX('Annual Real'!$1:$1048576,'History and Forecast'!BH$7,'History and Forecast'!$H31),INDEX('Forecast Prices'!$1:$1048576,'History and Forecast'!$G31,'History and Forecast'!BH$6))</f>
        <v>#N/A</v>
      </c>
      <c r="BI31" s="17" t="e">
        <f>IF(BI$9,INDEX('Annual Real'!$1:$1048576,'History and Forecast'!BI$7,'History and Forecast'!$H31),INDEX('Forecast Prices'!$1:$1048576,'History and Forecast'!$G31,'History and Forecast'!BI$6))</f>
        <v>#N/A</v>
      </c>
      <c r="BJ31" s="17" t="e">
        <f>IF(BJ$9,INDEX('Annual Real'!$1:$1048576,'History and Forecast'!BJ$7,'History and Forecast'!$H31),INDEX('Forecast Prices'!$1:$1048576,'History and Forecast'!$G31,'History and Forecast'!BJ$6))</f>
        <v>#N/A</v>
      </c>
      <c r="BK31" s="17" t="e">
        <f>IF(BK$9,INDEX('Annual Real'!$1:$1048576,'History and Forecast'!BK$7,'History and Forecast'!$H31),INDEX('Forecast Prices'!$1:$1048576,'History and Forecast'!$G31,'History and Forecast'!BK$6))</f>
        <v>#N/A</v>
      </c>
      <c r="BL31" s="17" t="e">
        <f>IF(BL$9,INDEX('Annual Real'!$1:$1048576,'History and Forecast'!BL$7,'History and Forecast'!$H31),INDEX('Forecast Prices'!$1:$1048576,'History and Forecast'!$G31,'History and Forecast'!BL$6))</f>
        <v>#N/A</v>
      </c>
      <c r="BM31" s="17" t="e">
        <f>IF(BM$9,INDEX('Annual Real'!$1:$1048576,'History and Forecast'!BM$7,'History and Forecast'!$H31),INDEX('Forecast Prices'!$1:$1048576,'History and Forecast'!$G31,'History and Forecast'!BM$6))</f>
        <v>#N/A</v>
      </c>
      <c r="BN31" s="17" t="e">
        <f>IF(BN$9,INDEX('Annual Real'!$1:$1048576,'History and Forecast'!BN$7,'History and Forecast'!$H31),INDEX('Forecast Prices'!$1:$1048576,'History and Forecast'!$G31,'History and Forecast'!BN$6))</f>
        <v>#N/A</v>
      </c>
      <c r="BO31" s="17">
        <f>IF(BO$9,INDEX('Annual Real'!$1:$1048576,'History and Forecast'!BO$7,'History and Forecast'!$H31),INDEX('Forecast Prices'!$1:$1048576,'History and Forecast'!$G31,'History and Forecast'!BO$6))</f>
        <v>1.9701288154669101</v>
      </c>
      <c r="BP31" s="17">
        <f>IF(BP$9,INDEX('Annual Real'!$1:$1048576,'History and Forecast'!BP$7,'History and Forecast'!$H31),INDEX('Forecast Prices'!$1:$1048576,'History and Forecast'!$G31,'History and Forecast'!BP$6))</f>
        <v>2.1837634182371</v>
      </c>
      <c r="BQ31" s="17">
        <f>IF(BQ$9,INDEX('Annual Real'!$1:$1048576,'History and Forecast'!BQ$7,'History and Forecast'!$H31),INDEX('Forecast Prices'!$1:$1048576,'History and Forecast'!$G31,'History and Forecast'!BQ$6))</f>
        <v>2.2021017975652599</v>
      </c>
      <c r="BR31" s="17">
        <f>IF(BR$9,INDEX('Annual Real'!$1:$1048576,'History and Forecast'!BR$7,'History and Forecast'!$H31),INDEX('Forecast Prices'!$1:$1048576,'History and Forecast'!$G31,'History and Forecast'!BR$6))</f>
        <v>2.02158214587792</v>
      </c>
      <c r="BS31" s="17">
        <f>IF(BS$9,INDEX('Annual Real'!$1:$1048576,'History and Forecast'!BS$7,'History and Forecast'!$H31),INDEX('Forecast Prices'!$1:$1048576,'History and Forecast'!$G31,'History and Forecast'!BS$6))</f>
        <v>2.0042824538810402</v>
      </c>
      <c r="BT31" s="17">
        <f>IF(BT$9,INDEX('Annual Real'!$1:$1048576,'History and Forecast'!BT$7,'History and Forecast'!$H31),INDEX('Forecast Prices'!$1:$1048576,'History and Forecast'!$G31,'History and Forecast'!BT$6))</f>
        <v>1.9876187450109499</v>
      </c>
      <c r="BU31" s="17">
        <f>IF(BU$9,INDEX('Annual Real'!$1:$1048576,'History and Forecast'!BU$7,'History and Forecast'!$H31),INDEX('Forecast Prices'!$1:$1048576,'History and Forecast'!$G31,'History and Forecast'!BU$6))</f>
        <v>1.96951349883308</v>
      </c>
      <c r="BV31" s="17">
        <f>IF(BV$9,INDEX('Annual Real'!$1:$1048576,'History and Forecast'!BV$7,'History and Forecast'!$H31),INDEX('Forecast Prices'!$1:$1048576,'History and Forecast'!$G31,'History and Forecast'!BV$6))</f>
        <v>1.95174540879129</v>
      </c>
      <c r="BW31" s="17">
        <f>IF(BW$9,INDEX('Annual Real'!$1:$1048576,'History and Forecast'!BW$7,'History and Forecast'!$H31),INDEX('Forecast Prices'!$1:$1048576,'History and Forecast'!$G31,'History and Forecast'!BW$6))</f>
        <v>1.93413697329387</v>
      </c>
      <c r="BX31" s="17">
        <f>IF(BX$9,INDEX('Annual Real'!$1:$1048576,'History and Forecast'!BX$7,'History and Forecast'!$H31),INDEX('Forecast Prices'!$1:$1048576,'History and Forecast'!$G31,'History and Forecast'!BX$6))</f>
        <v>1.9165768565135299</v>
      </c>
      <c r="BY31" s="17" t="e">
        <f>IF(BY$9,INDEX('Annual Real'!$1:$1048576,'History and Forecast'!BY$7,'History and Forecast'!$H31),INDEX('Forecast Prices'!$1:$1048576,'History and Forecast'!$G31,'History and Forecast'!BY$6))</f>
        <v>#N/A</v>
      </c>
      <c r="BZ31" s="17" t="e">
        <f>IF(BZ$9,INDEX('Annual Real'!$1:$1048576,'History and Forecast'!BZ$7,'History and Forecast'!$H31),INDEX('Forecast Prices'!$1:$1048576,'History and Forecast'!$G31,'History and Forecast'!BZ$6))</f>
        <v>#N/A</v>
      </c>
      <c r="CA31" s="17" t="e">
        <f>IF(CA$9,INDEX('Annual Real'!$1:$1048576,'History and Forecast'!CA$7,'History and Forecast'!$H31),INDEX('Forecast Prices'!$1:$1048576,'History and Forecast'!$G31,'History and Forecast'!CA$6))</f>
        <v>#N/A</v>
      </c>
      <c r="CB31" s="17" t="e">
        <f>IF(CB$9,INDEX('Annual Real'!$1:$1048576,'History and Forecast'!CB$7,'History and Forecast'!$H31),INDEX('Forecast Prices'!$1:$1048576,'History and Forecast'!$G31,'History and Forecast'!CB$6))</f>
        <v>#N/A</v>
      </c>
      <c r="CC31" s="17">
        <f>IF(CC$9,INDEX('Annual Real'!$1:$1048576,'History and Forecast'!CC$7,'History and Forecast'!$H31),INDEX('Forecast Prices'!$1:$1048576,'History and Forecast'!$G31,'History and Forecast'!CC$6))</f>
        <v>1.82834174304412</v>
      </c>
      <c r="CD31" s="17" t="e">
        <f>IF(CD$9,INDEX('Annual Real'!$1:$1048576,'History and Forecast'!CD$7,'History and Forecast'!$H31),INDEX('Forecast Prices'!$1:$1048576,'History and Forecast'!$G31,'History and Forecast'!CD$6))</f>
        <v>#N/A</v>
      </c>
      <c r="CE31" s="17" t="e">
        <f>IF(CE$9,INDEX('Annual Real'!$1:$1048576,'History and Forecast'!CE$7,'History and Forecast'!$H31),INDEX('Forecast Prices'!$1:$1048576,'History and Forecast'!$G31,'History and Forecast'!CE$6))</f>
        <v>#N/A</v>
      </c>
      <c r="CF31" s="17" t="e">
        <f>IF(CF$9,INDEX('Annual Real'!$1:$1048576,'History and Forecast'!CF$7,'History and Forecast'!$H31),INDEX('Forecast Prices'!$1:$1048576,'History and Forecast'!$G31,'History and Forecast'!CF$6))</f>
        <v>#N/A</v>
      </c>
      <c r="CG31" s="17" t="e">
        <f>IF(CG$9,INDEX('Annual Real'!$1:$1048576,'History and Forecast'!CG$7,'History and Forecast'!$H31),INDEX('Forecast Prices'!$1:$1048576,'History and Forecast'!$G31,'History and Forecast'!CG$6))</f>
        <v>#N/A</v>
      </c>
      <c r="CH31" s="17" t="e">
        <f>IF(CH$9,INDEX('Annual Real'!$1:$1048576,'History and Forecast'!CH$7,'History and Forecast'!$H31),INDEX('Forecast Prices'!$1:$1048576,'History and Forecast'!$G31,'History and Forecast'!CH$6))</f>
        <v>#N/A</v>
      </c>
      <c r="CI31" s="17" t="e">
        <f>IF(CI$9,INDEX('Annual Real'!$1:$1048576,'History and Forecast'!CI$7,'History and Forecast'!$H31),INDEX('Forecast Prices'!$1:$1048576,'History and Forecast'!$G31,'History and Forecast'!CI$6))</f>
        <v>#N/A</v>
      </c>
    </row>
    <row r="32" spans="2:87">
      <c r="B32" t="str">
        <f t="shared" si="4"/>
        <v>ORANGE</v>
      </c>
      <c r="C32" s="34" t="s">
        <v>1077</v>
      </c>
      <c r="D32" t="str">
        <f t="shared" si="5"/>
        <v>KORANGE</v>
      </c>
      <c r="E32" s="34" t="str">
        <f t="shared" si="6"/>
        <v>KFORANGE</v>
      </c>
      <c r="F32">
        <f>MATCH(C32,'Forecast Prices'!A:A,0)</f>
        <v>38</v>
      </c>
      <c r="G32">
        <f>MATCH(E32,'Forecast Prices'!A:A,0)</f>
        <v>120</v>
      </c>
      <c r="H32" t="e">
        <f>MATCH(D32,'Annual Real'!$9:$9,0)</f>
        <v>#N/A</v>
      </c>
      <c r="I32" t="str">
        <f>INDEX('Forecast Prices'!B:B,'History and Forecast'!F32)&amp;INDEX('Forecast Prices'!C:C,'History and Forecast'!F32)&amp;INDEX('Forecast Prices'!D:D,'History and Forecast'!F32)&amp;INDEX('Forecast Prices'!E:E,'History and Forecast'!F32)</f>
        <v>Oranges</v>
      </c>
      <c r="J32" t="str">
        <f>INDEX('Forecast Prices'!H:H,'History and Forecast'!F32)</f>
        <v>$/kg</v>
      </c>
      <c r="K32" s="17" t="e">
        <f>IF(K$9,INDEX('Annual Real'!$1:$1048576,'History and Forecast'!K$7,'History and Forecast'!$H32),INDEX('Forecast Prices'!$1:$1048576,'History and Forecast'!$G32,'History and Forecast'!K$6))</f>
        <v>#N/A</v>
      </c>
      <c r="L32" s="17" t="e">
        <f>IF(L$9,INDEX('Annual Real'!$1:$1048576,'History and Forecast'!L$7,'History and Forecast'!$H32),INDEX('Forecast Prices'!$1:$1048576,'History and Forecast'!$G32,'History and Forecast'!L$6))</f>
        <v>#N/A</v>
      </c>
      <c r="M32" s="17" t="e">
        <f>IF(M$9,INDEX('Annual Real'!$1:$1048576,'History and Forecast'!M$7,'History and Forecast'!$H32),INDEX('Forecast Prices'!$1:$1048576,'History and Forecast'!$G32,'History and Forecast'!M$6))</f>
        <v>#N/A</v>
      </c>
      <c r="N32" s="17" t="e">
        <f>IF(N$9,INDEX('Annual Real'!$1:$1048576,'History and Forecast'!N$7,'History and Forecast'!$H32),INDEX('Forecast Prices'!$1:$1048576,'History and Forecast'!$G32,'History and Forecast'!N$6))</f>
        <v>#N/A</v>
      </c>
      <c r="O32" s="17" t="e">
        <f>IF(O$9,INDEX('Annual Real'!$1:$1048576,'History and Forecast'!O$7,'History and Forecast'!$H32),INDEX('Forecast Prices'!$1:$1048576,'History and Forecast'!$G32,'History and Forecast'!O$6))</f>
        <v>#N/A</v>
      </c>
      <c r="P32" s="17" t="e">
        <f>IF(P$9,INDEX('Annual Real'!$1:$1048576,'History and Forecast'!P$7,'History and Forecast'!$H32),INDEX('Forecast Prices'!$1:$1048576,'History and Forecast'!$G32,'History and Forecast'!P$6))</f>
        <v>#N/A</v>
      </c>
      <c r="Q32" s="17" t="e">
        <f>IF(Q$9,INDEX('Annual Real'!$1:$1048576,'History and Forecast'!Q$7,'History and Forecast'!$H32),INDEX('Forecast Prices'!$1:$1048576,'History and Forecast'!$G32,'History and Forecast'!Q$6))</f>
        <v>#N/A</v>
      </c>
      <c r="R32" s="17" t="e">
        <f>IF(R$9,INDEX('Annual Real'!$1:$1048576,'History and Forecast'!R$7,'History and Forecast'!$H32),INDEX('Forecast Prices'!$1:$1048576,'History and Forecast'!$G32,'History and Forecast'!R$6))</f>
        <v>#N/A</v>
      </c>
      <c r="S32" s="17" t="e">
        <f>IF(S$9,INDEX('Annual Real'!$1:$1048576,'History and Forecast'!S$7,'History and Forecast'!$H32),INDEX('Forecast Prices'!$1:$1048576,'History and Forecast'!$G32,'History and Forecast'!S$6))</f>
        <v>#N/A</v>
      </c>
      <c r="T32" s="17" t="e">
        <f>IF(T$9,INDEX('Annual Real'!$1:$1048576,'History and Forecast'!T$7,'History and Forecast'!$H32),INDEX('Forecast Prices'!$1:$1048576,'History and Forecast'!$G32,'History and Forecast'!T$6))</f>
        <v>#N/A</v>
      </c>
      <c r="U32" s="17" t="e">
        <f>IF(U$9,INDEX('Annual Real'!$1:$1048576,'History and Forecast'!U$7,'History and Forecast'!$H32),INDEX('Forecast Prices'!$1:$1048576,'History and Forecast'!$G32,'History and Forecast'!U$6))</f>
        <v>#N/A</v>
      </c>
      <c r="V32" s="17" t="e">
        <f>IF(V$9,INDEX('Annual Real'!$1:$1048576,'History and Forecast'!V$7,'History and Forecast'!$H32),INDEX('Forecast Prices'!$1:$1048576,'History and Forecast'!$G32,'History and Forecast'!V$6))</f>
        <v>#N/A</v>
      </c>
      <c r="W32" s="17" t="e">
        <f>IF(W$9,INDEX('Annual Real'!$1:$1048576,'History and Forecast'!W$7,'History and Forecast'!$H32),INDEX('Forecast Prices'!$1:$1048576,'History and Forecast'!$G32,'History and Forecast'!W$6))</f>
        <v>#N/A</v>
      </c>
      <c r="X32" s="17" t="e">
        <f>IF(X$9,INDEX('Annual Real'!$1:$1048576,'History and Forecast'!X$7,'History and Forecast'!$H32),INDEX('Forecast Prices'!$1:$1048576,'History and Forecast'!$G32,'History and Forecast'!X$6))</f>
        <v>#N/A</v>
      </c>
      <c r="Y32" s="17" t="e">
        <f>IF(Y$9,INDEX('Annual Real'!$1:$1048576,'History and Forecast'!Y$7,'History and Forecast'!$H32),INDEX('Forecast Prices'!$1:$1048576,'History and Forecast'!$G32,'History and Forecast'!Y$6))</f>
        <v>#N/A</v>
      </c>
      <c r="Z32" s="17" t="e">
        <f>IF(Z$9,INDEX('Annual Real'!$1:$1048576,'History and Forecast'!Z$7,'History and Forecast'!$H32),INDEX('Forecast Prices'!$1:$1048576,'History and Forecast'!$G32,'History and Forecast'!Z$6))</f>
        <v>#N/A</v>
      </c>
      <c r="AA32" s="17" t="e">
        <f>IF(AA$9,INDEX('Annual Real'!$1:$1048576,'History and Forecast'!AA$7,'History and Forecast'!$H32),INDEX('Forecast Prices'!$1:$1048576,'History and Forecast'!$G32,'History and Forecast'!AA$6))</f>
        <v>#N/A</v>
      </c>
      <c r="AB32" s="17" t="e">
        <f>IF(AB$9,INDEX('Annual Real'!$1:$1048576,'History and Forecast'!AB$7,'History and Forecast'!$H32),INDEX('Forecast Prices'!$1:$1048576,'History and Forecast'!$G32,'History and Forecast'!AB$6))</f>
        <v>#N/A</v>
      </c>
      <c r="AC32" s="17" t="e">
        <f>IF(AC$9,INDEX('Annual Real'!$1:$1048576,'History and Forecast'!AC$7,'History and Forecast'!$H32),INDEX('Forecast Prices'!$1:$1048576,'History and Forecast'!$G32,'History and Forecast'!AC$6))</f>
        <v>#N/A</v>
      </c>
      <c r="AD32" s="17" t="e">
        <f>IF(AD$9,INDEX('Annual Real'!$1:$1048576,'History and Forecast'!AD$7,'History and Forecast'!$H32),INDEX('Forecast Prices'!$1:$1048576,'History and Forecast'!$G32,'History and Forecast'!AD$6))</f>
        <v>#N/A</v>
      </c>
      <c r="AE32" s="17" t="e">
        <f>IF(AE$9,INDEX('Annual Real'!$1:$1048576,'History and Forecast'!AE$7,'History and Forecast'!$H32),INDEX('Forecast Prices'!$1:$1048576,'History and Forecast'!$G32,'History and Forecast'!AE$6))</f>
        <v>#N/A</v>
      </c>
      <c r="AF32" s="17" t="e">
        <f>IF(AF$9,INDEX('Annual Real'!$1:$1048576,'History and Forecast'!AF$7,'History and Forecast'!$H32),INDEX('Forecast Prices'!$1:$1048576,'History and Forecast'!$G32,'History and Forecast'!AF$6))</f>
        <v>#N/A</v>
      </c>
      <c r="AG32" s="17" t="e">
        <f>IF(AG$9,INDEX('Annual Real'!$1:$1048576,'History and Forecast'!AG$7,'History and Forecast'!$H32),INDEX('Forecast Prices'!$1:$1048576,'History and Forecast'!$G32,'History and Forecast'!AG$6))</f>
        <v>#N/A</v>
      </c>
      <c r="AH32" s="17" t="e">
        <f>IF(AH$9,INDEX('Annual Real'!$1:$1048576,'History and Forecast'!AH$7,'History and Forecast'!$H32),INDEX('Forecast Prices'!$1:$1048576,'History and Forecast'!$G32,'History and Forecast'!AH$6))</f>
        <v>#N/A</v>
      </c>
      <c r="AI32" s="17" t="e">
        <f>IF(AI$9,INDEX('Annual Real'!$1:$1048576,'History and Forecast'!AI$7,'History and Forecast'!$H32),INDEX('Forecast Prices'!$1:$1048576,'History and Forecast'!$G32,'History and Forecast'!AI$6))</f>
        <v>#N/A</v>
      </c>
      <c r="AJ32" s="17" t="e">
        <f>IF(AJ$9,INDEX('Annual Real'!$1:$1048576,'History and Forecast'!AJ$7,'History and Forecast'!$H32),INDEX('Forecast Prices'!$1:$1048576,'History and Forecast'!$G32,'History and Forecast'!AJ$6))</f>
        <v>#N/A</v>
      </c>
      <c r="AK32" s="17" t="e">
        <f>IF(AK$9,INDEX('Annual Real'!$1:$1048576,'History and Forecast'!AK$7,'History and Forecast'!$H32),INDEX('Forecast Prices'!$1:$1048576,'History and Forecast'!$G32,'History and Forecast'!AK$6))</f>
        <v>#N/A</v>
      </c>
      <c r="AL32" s="17" t="e">
        <f>IF(AL$9,INDEX('Annual Real'!$1:$1048576,'History and Forecast'!AL$7,'History and Forecast'!$H32),INDEX('Forecast Prices'!$1:$1048576,'History and Forecast'!$G32,'History and Forecast'!AL$6))</f>
        <v>#N/A</v>
      </c>
      <c r="AM32" s="17" t="e">
        <f>IF(AM$9,INDEX('Annual Real'!$1:$1048576,'History and Forecast'!AM$7,'History and Forecast'!$H32),INDEX('Forecast Prices'!$1:$1048576,'History and Forecast'!$G32,'History and Forecast'!AM$6))</f>
        <v>#N/A</v>
      </c>
      <c r="AN32" s="17" t="e">
        <f>IF(AN$9,INDEX('Annual Real'!$1:$1048576,'History and Forecast'!AN$7,'History and Forecast'!$H32),INDEX('Forecast Prices'!$1:$1048576,'History and Forecast'!$G32,'History and Forecast'!AN$6))</f>
        <v>#N/A</v>
      </c>
      <c r="AO32" s="17" t="e">
        <f>IF(AO$9,INDEX('Annual Real'!$1:$1048576,'History and Forecast'!AO$7,'History and Forecast'!$H32),INDEX('Forecast Prices'!$1:$1048576,'History and Forecast'!$G32,'History and Forecast'!AO$6))</f>
        <v>#N/A</v>
      </c>
      <c r="AP32" s="17" t="e">
        <f>IF(AP$9,INDEX('Annual Real'!$1:$1048576,'History and Forecast'!AP$7,'History and Forecast'!$H32),INDEX('Forecast Prices'!$1:$1048576,'History and Forecast'!$G32,'History and Forecast'!AP$6))</f>
        <v>#N/A</v>
      </c>
      <c r="AQ32" s="17" t="e">
        <f>IF(AQ$9,INDEX('Annual Real'!$1:$1048576,'History and Forecast'!AQ$7,'History and Forecast'!$H32),INDEX('Forecast Prices'!$1:$1048576,'History and Forecast'!$G32,'History and Forecast'!AQ$6))</f>
        <v>#N/A</v>
      </c>
      <c r="AR32" s="17" t="e">
        <f>IF(AR$9,INDEX('Annual Real'!$1:$1048576,'History and Forecast'!AR$7,'History and Forecast'!$H32),INDEX('Forecast Prices'!$1:$1048576,'History and Forecast'!$G32,'History and Forecast'!AR$6))</f>
        <v>#N/A</v>
      </c>
      <c r="AS32" s="17" t="e">
        <f>IF(AS$9,INDEX('Annual Real'!$1:$1048576,'History and Forecast'!AS$7,'History and Forecast'!$H32),INDEX('Forecast Prices'!$1:$1048576,'History and Forecast'!$G32,'History and Forecast'!AS$6))</f>
        <v>#N/A</v>
      </c>
      <c r="AT32" s="17" t="e">
        <f>IF(AT$9,INDEX('Annual Real'!$1:$1048576,'History and Forecast'!AT$7,'History and Forecast'!$H32),INDEX('Forecast Prices'!$1:$1048576,'History and Forecast'!$G32,'History and Forecast'!AT$6))</f>
        <v>#N/A</v>
      </c>
      <c r="AU32" s="17" t="e">
        <f>IF(AU$9,INDEX('Annual Real'!$1:$1048576,'History and Forecast'!AU$7,'History and Forecast'!$H32),INDEX('Forecast Prices'!$1:$1048576,'History and Forecast'!$G32,'History and Forecast'!AU$6))</f>
        <v>#N/A</v>
      </c>
      <c r="AV32" s="17" t="e">
        <f>IF(AV$9,INDEX('Annual Real'!$1:$1048576,'History and Forecast'!AV$7,'History and Forecast'!$H32),INDEX('Forecast Prices'!$1:$1048576,'History and Forecast'!$G32,'History and Forecast'!AV$6))</f>
        <v>#N/A</v>
      </c>
      <c r="AW32" s="17" t="e">
        <f>IF(AW$9,INDEX('Annual Real'!$1:$1048576,'History and Forecast'!AW$7,'History and Forecast'!$H32),INDEX('Forecast Prices'!$1:$1048576,'History and Forecast'!$G32,'History and Forecast'!AW$6))</f>
        <v>#N/A</v>
      </c>
      <c r="AX32" s="17" t="e">
        <f>IF(AX$9,INDEX('Annual Real'!$1:$1048576,'History and Forecast'!AX$7,'History and Forecast'!$H32),INDEX('Forecast Prices'!$1:$1048576,'History and Forecast'!$G32,'History and Forecast'!AX$6))</f>
        <v>#N/A</v>
      </c>
      <c r="AY32" s="17" t="e">
        <f>IF(AY$9,INDEX('Annual Real'!$1:$1048576,'History and Forecast'!AY$7,'History and Forecast'!$H32),INDEX('Forecast Prices'!$1:$1048576,'History and Forecast'!$G32,'History and Forecast'!AY$6))</f>
        <v>#N/A</v>
      </c>
      <c r="AZ32" s="17" t="e">
        <f>IF(AZ$9,INDEX('Annual Real'!$1:$1048576,'History and Forecast'!AZ$7,'History and Forecast'!$H32),INDEX('Forecast Prices'!$1:$1048576,'History and Forecast'!$G32,'History and Forecast'!AZ$6))</f>
        <v>#N/A</v>
      </c>
      <c r="BA32" s="17" t="e">
        <f>IF(BA$9,INDEX('Annual Real'!$1:$1048576,'History and Forecast'!BA$7,'History and Forecast'!$H32),INDEX('Forecast Prices'!$1:$1048576,'History and Forecast'!$G32,'History and Forecast'!BA$6))</f>
        <v>#N/A</v>
      </c>
      <c r="BB32" s="17" t="e">
        <f>IF(BB$9,INDEX('Annual Real'!$1:$1048576,'History and Forecast'!BB$7,'History and Forecast'!$H32),INDEX('Forecast Prices'!$1:$1048576,'History and Forecast'!$G32,'History and Forecast'!BB$6))</f>
        <v>#N/A</v>
      </c>
      <c r="BC32" s="17" t="e">
        <f>IF(BC$9,INDEX('Annual Real'!$1:$1048576,'History and Forecast'!BC$7,'History and Forecast'!$H32),INDEX('Forecast Prices'!$1:$1048576,'History and Forecast'!$G32,'History and Forecast'!BC$6))</f>
        <v>#N/A</v>
      </c>
      <c r="BD32" s="17" t="e">
        <f>IF(BD$9,INDEX('Annual Real'!$1:$1048576,'History and Forecast'!BD$7,'History and Forecast'!$H32),INDEX('Forecast Prices'!$1:$1048576,'History and Forecast'!$G32,'History and Forecast'!BD$6))</f>
        <v>#N/A</v>
      </c>
      <c r="BE32" s="17" t="e">
        <f>IF(BE$9,INDEX('Annual Real'!$1:$1048576,'History and Forecast'!BE$7,'History and Forecast'!$H32),INDEX('Forecast Prices'!$1:$1048576,'History and Forecast'!$G32,'History and Forecast'!BE$6))</f>
        <v>#N/A</v>
      </c>
      <c r="BF32" s="17" t="e">
        <f>IF(BF$9,INDEX('Annual Real'!$1:$1048576,'History and Forecast'!BF$7,'History and Forecast'!$H32),INDEX('Forecast Prices'!$1:$1048576,'History and Forecast'!$G32,'History and Forecast'!BF$6))</f>
        <v>#N/A</v>
      </c>
      <c r="BG32" s="17" t="e">
        <f>IF(BG$9,INDEX('Annual Real'!$1:$1048576,'History and Forecast'!BG$7,'History and Forecast'!$H32),INDEX('Forecast Prices'!$1:$1048576,'History and Forecast'!$G32,'History and Forecast'!BG$6))</f>
        <v>#N/A</v>
      </c>
      <c r="BH32" s="17" t="e">
        <f>IF(BH$9,INDEX('Annual Real'!$1:$1048576,'History and Forecast'!BH$7,'History and Forecast'!$H32),INDEX('Forecast Prices'!$1:$1048576,'History and Forecast'!$G32,'History and Forecast'!BH$6))</f>
        <v>#N/A</v>
      </c>
      <c r="BI32" s="17" t="e">
        <f>IF(BI$9,INDEX('Annual Real'!$1:$1048576,'History and Forecast'!BI$7,'History and Forecast'!$H32),INDEX('Forecast Prices'!$1:$1048576,'History and Forecast'!$G32,'History and Forecast'!BI$6))</f>
        <v>#N/A</v>
      </c>
      <c r="BJ32" s="17" t="e">
        <f>IF(BJ$9,INDEX('Annual Real'!$1:$1048576,'History and Forecast'!BJ$7,'History and Forecast'!$H32),INDEX('Forecast Prices'!$1:$1048576,'History and Forecast'!$G32,'History and Forecast'!BJ$6))</f>
        <v>#N/A</v>
      </c>
      <c r="BK32" s="17" t="e">
        <f>IF(BK$9,INDEX('Annual Real'!$1:$1048576,'History and Forecast'!BK$7,'History and Forecast'!$H32),INDEX('Forecast Prices'!$1:$1048576,'History and Forecast'!$G32,'History and Forecast'!BK$6))</f>
        <v>#N/A</v>
      </c>
      <c r="BL32" s="17" t="e">
        <f>IF(BL$9,INDEX('Annual Real'!$1:$1048576,'History and Forecast'!BL$7,'History and Forecast'!$H32),INDEX('Forecast Prices'!$1:$1048576,'History and Forecast'!$G32,'History and Forecast'!BL$6))</f>
        <v>#N/A</v>
      </c>
      <c r="BM32" s="17" t="e">
        <f>IF(BM$9,INDEX('Annual Real'!$1:$1048576,'History and Forecast'!BM$7,'History and Forecast'!$H32),INDEX('Forecast Prices'!$1:$1048576,'History and Forecast'!$G32,'History and Forecast'!BM$6))</f>
        <v>#N/A</v>
      </c>
      <c r="BN32" s="17" t="e">
        <f>IF(BN$9,INDEX('Annual Real'!$1:$1048576,'History and Forecast'!BN$7,'History and Forecast'!$H32),INDEX('Forecast Prices'!$1:$1048576,'History and Forecast'!$G32,'History and Forecast'!BN$6))</f>
        <v>#N/A</v>
      </c>
      <c r="BO32" s="17">
        <f>IF(BO$9,INDEX('Annual Real'!$1:$1048576,'History and Forecast'!BO$7,'History and Forecast'!$H32),INDEX('Forecast Prices'!$1:$1048576,'History and Forecast'!$G32,'History and Forecast'!BO$6))</f>
        <v>0.94614265432480205</v>
      </c>
      <c r="BP32" s="17">
        <f>IF(BP$9,INDEX('Annual Real'!$1:$1048576,'History and Forecast'!BP$7,'History and Forecast'!$H32),INDEX('Forecast Prices'!$1:$1048576,'History and Forecast'!$G32,'History and Forecast'!BP$6))</f>
        <v>0.83469615017044396</v>
      </c>
      <c r="BQ32" s="17">
        <f>IF(BQ$9,INDEX('Annual Real'!$1:$1048576,'History and Forecast'!BQ$7,'History and Forecast'!$H32),INDEX('Forecast Prices'!$1:$1048576,'History and Forecast'!$G32,'History and Forecast'!BQ$6))</f>
        <v>0.77544364534716304</v>
      </c>
      <c r="BR32" s="17">
        <f>IF(BR$9,INDEX('Annual Real'!$1:$1048576,'History and Forecast'!BR$7,'History and Forecast'!$H32),INDEX('Forecast Prices'!$1:$1048576,'History and Forecast'!$G32,'History and Forecast'!BR$6))</f>
        <v>0.64498097035152802</v>
      </c>
      <c r="BS32" s="17">
        <f>IF(BS$9,INDEX('Annual Real'!$1:$1048576,'History and Forecast'!BS$7,'History and Forecast'!$H32),INDEX('Forecast Prices'!$1:$1048576,'History and Forecast'!$G32,'History and Forecast'!BS$6))</f>
        <v>0.65143990228112403</v>
      </c>
      <c r="BT32" s="17">
        <f>IF(BT$9,INDEX('Annual Real'!$1:$1048576,'History and Forecast'!BT$7,'History and Forecast'!$H32),INDEX('Forecast Prices'!$1:$1048576,'History and Forecast'!$G32,'History and Forecast'!BT$6))</f>
        <v>0.65812507816003496</v>
      </c>
      <c r="BU32" s="17">
        <f>IF(BU$9,INDEX('Annual Real'!$1:$1048576,'History and Forecast'!BU$7,'History and Forecast'!$H32),INDEX('Forecast Prices'!$1:$1048576,'History and Forecast'!$G32,'History and Forecast'!BU$6))</f>
        <v>0.66434587402432299</v>
      </c>
      <c r="BV32" s="17">
        <f>IF(BV$9,INDEX('Annual Real'!$1:$1048576,'History and Forecast'!BV$7,'History and Forecast'!$H32),INDEX('Forecast Prices'!$1:$1048576,'History and Forecast'!$G32,'History and Forecast'!BV$6))</f>
        <v>0.67068465646491005</v>
      </c>
      <c r="BW32" s="17">
        <f>IF(BW$9,INDEX('Annual Real'!$1:$1048576,'History and Forecast'!BW$7,'History and Forecast'!$H32),INDEX('Forecast Prices'!$1:$1048576,'History and Forecast'!$G32,'History and Forecast'!BW$6))</f>
        <v>0.67708369516021905</v>
      </c>
      <c r="BX32" s="17">
        <f>IF(BX$9,INDEX('Annual Real'!$1:$1048576,'History and Forecast'!BX$7,'History and Forecast'!$H32),INDEX('Forecast Prices'!$1:$1048576,'History and Forecast'!$G32,'History and Forecast'!BX$6))</f>
        <v>0.68350436485130805</v>
      </c>
      <c r="BY32" s="17" t="e">
        <f>IF(BY$9,INDEX('Annual Real'!$1:$1048576,'History and Forecast'!BY$7,'History and Forecast'!$H32),INDEX('Forecast Prices'!$1:$1048576,'History and Forecast'!$G32,'History and Forecast'!BY$6))</f>
        <v>#N/A</v>
      </c>
      <c r="BZ32" s="17" t="e">
        <f>IF(BZ$9,INDEX('Annual Real'!$1:$1048576,'History and Forecast'!BZ$7,'History and Forecast'!$H32),INDEX('Forecast Prices'!$1:$1048576,'History and Forecast'!$G32,'History and Forecast'!BZ$6))</f>
        <v>#N/A</v>
      </c>
      <c r="CA32" s="17" t="e">
        <f>IF(CA$9,INDEX('Annual Real'!$1:$1048576,'History and Forecast'!CA$7,'History and Forecast'!$H32),INDEX('Forecast Prices'!$1:$1048576,'History and Forecast'!$G32,'History and Forecast'!CA$6))</f>
        <v>#N/A</v>
      </c>
      <c r="CB32" s="17" t="e">
        <f>IF(CB$9,INDEX('Annual Real'!$1:$1048576,'History and Forecast'!CB$7,'History and Forecast'!$H32),INDEX('Forecast Prices'!$1:$1048576,'History and Forecast'!$G32,'History and Forecast'!CB$6))</f>
        <v>#N/A</v>
      </c>
      <c r="CC32" s="17">
        <f>IF(CC$9,INDEX('Annual Real'!$1:$1048576,'History and Forecast'!CC$7,'History and Forecast'!$H32),INDEX('Forecast Prices'!$1:$1048576,'History and Forecast'!$G32,'History and Forecast'!CC$6))</f>
        <v>0.71543807336509202</v>
      </c>
      <c r="CD32" s="17" t="e">
        <f>IF(CD$9,INDEX('Annual Real'!$1:$1048576,'History and Forecast'!CD$7,'History and Forecast'!$H32),INDEX('Forecast Prices'!$1:$1048576,'History and Forecast'!$G32,'History and Forecast'!CD$6))</f>
        <v>#N/A</v>
      </c>
      <c r="CE32" s="17" t="e">
        <f>IF(CE$9,INDEX('Annual Real'!$1:$1048576,'History and Forecast'!CE$7,'History and Forecast'!$H32),INDEX('Forecast Prices'!$1:$1048576,'History and Forecast'!$G32,'History and Forecast'!CE$6))</f>
        <v>#N/A</v>
      </c>
      <c r="CF32" s="17" t="e">
        <f>IF(CF$9,INDEX('Annual Real'!$1:$1048576,'History and Forecast'!CF$7,'History and Forecast'!$H32),INDEX('Forecast Prices'!$1:$1048576,'History and Forecast'!$G32,'History and Forecast'!CF$6))</f>
        <v>#N/A</v>
      </c>
      <c r="CG32" s="17" t="e">
        <f>IF(CG$9,INDEX('Annual Real'!$1:$1048576,'History and Forecast'!CG$7,'History and Forecast'!$H32),INDEX('Forecast Prices'!$1:$1048576,'History and Forecast'!$G32,'History and Forecast'!CG$6))</f>
        <v>#N/A</v>
      </c>
      <c r="CH32" s="17" t="e">
        <f>IF(CH$9,INDEX('Annual Real'!$1:$1048576,'History and Forecast'!CH$7,'History and Forecast'!$H32),INDEX('Forecast Prices'!$1:$1048576,'History and Forecast'!$G32,'History and Forecast'!CH$6))</f>
        <v>#N/A</v>
      </c>
      <c r="CI32" s="17" t="e">
        <f>IF(CI$9,INDEX('Annual Real'!$1:$1048576,'History and Forecast'!CI$7,'History and Forecast'!$H32),INDEX('Forecast Prices'!$1:$1048576,'History and Forecast'!$G32,'History and Forecast'!CI$6))</f>
        <v>#N/A</v>
      </c>
    </row>
    <row r="33" spans="2:87">
      <c r="B33" t="str">
        <f t="shared" si="4"/>
        <v>SHRIMP_MEX</v>
      </c>
      <c r="C33" s="34" t="s">
        <v>1079</v>
      </c>
      <c r="D33" t="str">
        <f t="shared" si="5"/>
        <v>KSHRIMP_MEX</v>
      </c>
      <c r="E33" s="34" t="str">
        <f t="shared" si="6"/>
        <v>KFSHRIMP_MEX</v>
      </c>
      <c r="F33">
        <f>MATCH(C33,'Forecast Prices'!A:A,0)</f>
        <v>39</v>
      </c>
      <c r="G33">
        <f>MATCH(E33,'Forecast Prices'!A:A,0)</f>
        <v>121</v>
      </c>
      <c r="H33" t="e">
        <f>MATCH(D33,'Annual Real'!$9:$9,0)</f>
        <v>#N/A</v>
      </c>
      <c r="I33" t="str">
        <f>INDEX('Forecast Prices'!B:B,'History and Forecast'!F33)&amp;INDEX('Forecast Prices'!C:C,'History and Forecast'!F33)&amp;INDEX('Forecast Prices'!D:D,'History and Forecast'!F33)&amp;INDEX('Forecast Prices'!E:E,'History and Forecast'!F33)</f>
        <v>Shrimp, Mexico</v>
      </c>
      <c r="J33" t="str">
        <f>INDEX('Forecast Prices'!H:H,'History and Forecast'!F33)</f>
        <v>$/kg</v>
      </c>
      <c r="K33" s="17" t="e">
        <f>IF(K$9,INDEX('Annual Real'!$1:$1048576,'History and Forecast'!K$7,'History and Forecast'!$H33),INDEX('Forecast Prices'!$1:$1048576,'History and Forecast'!$G33,'History and Forecast'!K$6))</f>
        <v>#N/A</v>
      </c>
      <c r="L33" s="17" t="e">
        <f>IF(L$9,INDEX('Annual Real'!$1:$1048576,'History and Forecast'!L$7,'History and Forecast'!$H33),INDEX('Forecast Prices'!$1:$1048576,'History and Forecast'!$G33,'History and Forecast'!L$6))</f>
        <v>#N/A</v>
      </c>
      <c r="M33" s="17" t="e">
        <f>IF(M$9,INDEX('Annual Real'!$1:$1048576,'History and Forecast'!M$7,'History and Forecast'!$H33),INDEX('Forecast Prices'!$1:$1048576,'History and Forecast'!$G33,'History and Forecast'!M$6))</f>
        <v>#N/A</v>
      </c>
      <c r="N33" s="17" t="e">
        <f>IF(N$9,INDEX('Annual Real'!$1:$1048576,'History and Forecast'!N$7,'History and Forecast'!$H33),INDEX('Forecast Prices'!$1:$1048576,'History and Forecast'!$G33,'History and Forecast'!N$6))</f>
        <v>#N/A</v>
      </c>
      <c r="O33" s="17" t="e">
        <f>IF(O$9,INDEX('Annual Real'!$1:$1048576,'History and Forecast'!O$7,'History and Forecast'!$H33),INDEX('Forecast Prices'!$1:$1048576,'History and Forecast'!$G33,'History and Forecast'!O$6))</f>
        <v>#N/A</v>
      </c>
      <c r="P33" s="17" t="e">
        <f>IF(P$9,INDEX('Annual Real'!$1:$1048576,'History and Forecast'!P$7,'History and Forecast'!$H33),INDEX('Forecast Prices'!$1:$1048576,'History and Forecast'!$G33,'History and Forecast'!P$6))</f>
        <v>#N/A</v>
      </c>
      <c r="Q33" s="17" t="e">
        <f>IF(Q$9,INDEX('Annual Real'!$1:$1048576,'History and Forecast'!Q$7,'History and Forecast'!$H33),INDEX('Forecast Prices'!$1:$1048576,'History and Forecast'!$G33,'History and Forecast'!Q$6))</f>
        <v>#N/A</v>
      </c>
      <c r="R33" s="17" t="e">
        <f>IF(R$9,INDEX('Annual Real'!$1:$1048576,'History and Forecast'!R$7,'History and Forecast'!$H33),INDEX('Forecast Prices'!$1:$1048576,'History and Forecast'!$G33,'History and Forecast'!R$6))</f>
        <v>#N/A</v>
      </c>
      <c r="S33" s="17" t="e">
        <f>IF(S$9,INDEX('Annual Real'!$1:$1048576,'History and Forecast'!S$7,'History and Forecast'!$H33),INDEX('Forecast Prices'!$1:$1048576,'History and Forecast'!$G33,'History and Forecast'!S$6))</f>
        <v>#N/A</v>
      </c>
      <c r="T33" s="17" t="e">
        <f>IF(T$9,INDEX('Annual Real'!$1:$1048576,'History and Forecast'!T$7,'History and Forecast'!$H33),INDEX('Forecast Prices'!$1:$1048576,'History and Forecast'!$G33,'History and Forecast'!T$6))</f>
        <v>#N/A</v>
      </c>
      <c r="U33" s="17" t="e">
        <f>IF(U$9,INDEX('Annual Real'!$1:$1048576,'History and Forecast'!U$7,'History and Forecast'!$H33),INDEX('Forecast Prices'!$1:$1048576,'History and Forecast'!$G33,'History and Forecast'!U$6))</f>
        <v>#N/A</v>
      </c>
      <c r="V33" s="17" t="e">
        <f>IF(V$9,INDEX('Annual Real'!$1:$1048576,'History and Forecast'!V$7,'History and Forecast'!$H33),INDEX('Forecast Prices'!$1:$1048576,'History and Forecast'!$G33,'History and Forecast'!V$6))</f>
        <v>#N/A</v>
      </c>
      <c r="W33" s="17" t="e">
        <f>IF(W$9,INDEX('Annual Real'!$1:$1048576,'History and Forecast'!W$7,'History and Forecast'!$H33),INDEX('Forecast Prices'!$1:$1048576,'History and Forecast'!$G33,'History and Forecast'!W$6))</f>
        <v>#N/A</v>
      </c>
      <c r="X33" s="17" t="e">
        <f>IF(X$9,INDEX('Annual Real'!$1:$1048576,'History and Forecast'!X$7,'History and Forecast'!$H33),INDEX('Forecast Prices'!$1:$1048576,'History and Forecast'!$G33,'History and Forecast'!X$6))</f>
        <v>#N/A</v>
      </c>
      <c r="Y33" s="17" t="e">
        <f>IF(Y$9,INDEX('Annual Real'!$1:$1048576,'History and Forecast'!Y$7,'History and Forecast'!$H33),INDEX('Forecast Prices'!$1:$1048576,'History and Forecast'!$G33,'History and Forecast'!Y$6))</f>
        <v>#N/A</v>
      </c>
      <c r="Z33" s="17" t="e">
        <f>IF(Z$9,INDEX('Annual Real'!$1:$1048576,'History and Forecast'!Z$7,'History and Forecast'!$H33),INDEX('Forecast Prices'!$1:$1048576,'History and Forecast'!$G33,'History and Forecast'!Z$6))</f>
        <v>#N/A</v>
      </c>
      <c r="AA33" s="17" t="e">
        <f>IF(AA$9,INDEX('Annual Real'!$1:$1048576,'History and Forecast'!AA$7,'History and Forecast'!$H33),INDEX('Forecast Prices'!$1:$1048576,'History and Forecast'!$G33,'History and Forecast'!AA$6))</f>
        <v>#N/A</v>
      </c>
      <c r="AB33" s="17" t="e">
        <f>IF(AB$9,INDEX('Annual Real'!$1:$1048576,'History and Forecast'!AB$7,'History and Forecast'!$H33),INDEX('Forecast Prices'!$1:$1048576,'History and Forecast'!$G33,'History and Forecast'!AB$6))</f>
        <v>#N/A</v>
      </c>
      <c r="AC33" s="17" t="e">
        <f>IF(AC$9,INDEX('Annual Real'!$1:$1048576,'History and Forecast'!AC$7,'History and Forecast'!$H33),INDEX('Forecast Prices'!$1:$1048576,'History and Forecast'!$G33,'History and Forecast'!AC$6))</f>
        <v>#N/A</v>
      </c>
      <c r="AD33" s="17" t="e">
        <f>IF(AD$9,INDEX('Annual Real'!$1:$1048576,'History and Forecast'!AD$7,'History and Forecast'!$H33),INDEX('Forecast Prices'!$1:$1048576,'History and Forecast'!$G33,'History and Forecast'!AD$6))</f>
        <v>#N/A</v>
      </c>
      <c r="AE33" s="17" t="e">
        <f>IF(AE$9,INDEX('Annual Real'!$1:$1048576,'History and Forecast'!AE$7,'History and Forecast'!$H33),INDEX('Forecast Prices'!$1:$1048576,'History and Forecast'!$G33,'History and Forecast'!AE$6))</f>
        <v>#N/A</v>
      </c>
      <c r="AF33" s="17" t="e">
        <f>IF(AF$9,INDEX('Annual Real'!$1:$1048576,'History and Forecast'!AF$7,'History and Forecast'!$H33),INDEX('Forecast Prices'!$1:$1048576,'History and Forecast'!$G33,'History and Forecast'!AF$6))</f>
        <v>#N/A</v>
      </c>
      <c r="AG33" s="17" t="e">
        <f>IF(AG$9,INDEX('Annual Real'!$1:$1048576,'History and Forecast'!AG$7,'History and Forecast'!$H33),INDEX('Forecast Prices'!$1:$1048576,'History and Forecast'!$G33,'History and Forecast'!AG$6))</f>
        <v>#N/A</v>
      </c>
      <c r="AH33" s="17" t="e">
        <f>IF(AH$9,INDEX('Annual Real'!$1:$1048576,'History and Forecast'!AH$7,'History and Forecast'!$H33),INDEX('Forecast Prices'!$1:$1048576,'History and Forecast'!$G33,'History and Forecast'!AH$6))</f>
        <v>#N/A</v>
      </c>
      <c r="AI33" s="17" t="e">
        <f>IF(AI$9,INDEX('Annual Real'!$1:$1048576,'History and Forecast'!AI$7,'History and Forecast'!$H33),INDEX('Forecast Prices'!$1:$1048576,'History and Forecast'!$G33,'History and Forecast'!AI$6))</f>
        <v>#N/A</v>
      </c>
      <c r="AJ33" s="17" t="e">
        <f>IF(AJ$9,INDEX('Annual Real'!$1:$1048576,'History and Forecast'!AJ$7,'History and Forecast'!$H33),INDEX('Forecast Prices'!$1:$1048576,'History and Forecast'!$G33,'History and Forecast'!AJ$6))</f>
        <v>#N/A</v>
      </c>
      <c r="AK33" s="17" t="e">
        <f>IF(AK$9,INDEX('Annual Real'!$1:$1048576,'History and Forecast'!AK$7,'History and Forecast'!$H33),INDEX('Forecast Prices'!$1:$1048576,'History and Forecast'!$G33,'History and Forecast'!AK$6))</f>
        <v>#N/A</v>
      </c>
      <c r="AL33" s="17" t="e">
        <f>IF(AL$9,INDEX('Annual Real'!$1:$1048576,'History and Forecast'!AL$7,'History and Forecast'!$H33),INDEX('Forecast Prices'!$1:$1048576,'History and Forecast'!$G33,'History and Forecast'!AL$6))</f>
        <v>#N/A</v>
      </c>
      <c r="AM33" s="17" t="e">
        <f>IF(AM$9,INDEX('Annual Real'!$1:$1048576,'History and Forecast'!AM$7,'History and Forecast'!$H33),INDEX('Forecast Prices'!$1:$1048576,'History and Forecast'!$G33,'History and Forecast'!AM$6))</f>
        <v>#N/A</v>
      </c>
      <c r="AN33" s="17" t="e">
        <f>IF(AN$9,INDEX('Annual Real'!$1:$1048576,'History and Forecast'!AN$7,'History and Forecast'!$H33),INDEX('Forecast Prices'!$1:$1048576,'History and Forecast'!$G33,'History and Forecast'!AN$6))</f>
        <v>#N/A</v>
      </c>
      <c r="AO33" s="17" t="e">
        <f>IF(AO$9,INDEX('Annual Real'!$1:$1048576,'History and Forecast'!AO$7,'History and Forecast'!$H33),INDEX('Forecast Prices'!$1:$1048576,'History and Forecast'!$G33,'History and Forecast'!AO$6))</f>
        <v>#N/A</v>
      </c>
      <c r="AP33" s="17" t="e">
        <f>IF(AP$9,INDEX('Annual Real'!$1:$1048576,'History and Forecast'!AP$7,'History and Forecast'!$H33),INDEX('Forecast Prices'!$1:$1048576,'History and Forecast'!$G33,'History and Forecast'!AP$6))</f>
        <v>#N/A</v>
      </c>
      <c r="AQ33" s="17" t="e">
        <f>IF(AQ$9,INDEX('Annual Real'!$1:$1048576,'History and Forecast'!AQ$7,'History and Forecast'!$H33),INDEX('Forecast Prices'!$1:$1048576,'History and Forecast'!$G33,'History and Forecast'!AQ$6))</f>
        <v>#N/A</v>
      </c>
      <c r="AR33" s="17" t="e">
        <f>IF(AR$9,INDEX('Annual Real'!$1:$1048576,'History and Forecast'!AR$7,'History and Forecast'!$H33),INDEX('Forecast Prices'!$1:$1048576,'History and Forecast'!$G33,'History and Forecast'!AR$6))</f>
        <v>#N/A</v>
      </c>
      <c r="AS33" s="17" t="e">
        <f>IF(AS$9,INDEX('Annual Real'!$1:$1048576,'History and Forecast'!AS$7,'History and Forecast'!$H33),INDEX('Forecast Prices'!$1:$1048576,'History and Forecast'!$G33,'History and Forecast'!AS$6))</f>
        <v>#N/A</v>
      </c>
      <c r="AT33" s="17" t="e">
        <f>IF(AT$9,INDEX('Annual Real'!$1:$1048576,'History and Forecast'!AT$7,'History and Forecast'!$H33),INDEX('Forecast Prices'!$1:$1048576,'History and Forecast'!$G33,'History and Forecast'!AT$6))</f>
        <v>#N/A</v>
      </c>
      <c r="AU33" s="17" t="e">
        <f>IF(AU$9,INDEX('Annual Real'!$1:$1048576,'History and Forecast'!AU$7,'History and Forecast'!$H33),INDEX('Forecast Prices'!$1:$1048576,'History and Forecast'!$G33,'History and Forecast'!AU$6))</f>
        <v>#N/A</v>
      </c>
      <c r="AV33" s="17" t="e">
        <f>IF(AV$9,INDEX('Annual Real'!$1:$1048576,'History and Forecast'!AV$7,'History and Forecast'!$H33),INDEX('Forecast Prices'!$1:$1048576,'History and Forecast'!$G33,'History and Forecast'!AV$6))</f>
        <v>#N/A</v>
      </c>
      <c r="AW33" s="17" t="e">
        <f>IF(AW$9,INDEX('Annual Real'!$1:$1048576,'History and Forecast'!AW$7,'History and Forecast'!$H33),INDEX('Forecast Prices'!$1:$1048576,'History and Forecast'!$G33,'History and Forecast'!AW$6))</f>
        <v>#N/A</v>
      </c>
      <c r="AX33" s="17" t="e">
        <f>IF(AX$9,INDEX('Annual Real'!$1:$1048576,'History and Forecast'!AX$7,'History and Forecast'!$H33),INDEX('Forecast Prices'!$1:$1048576,'History and Forecast'!$G33,'History and Forecast'!AX$6))</f>
        <v>#N/A</v>
      </c>
      <c r="AY33" s="17" t="e">
        <f>IF(AY$9,INDEX('Annual Real'!$1:$1048576,'History and Forecast'!AY$7,'History and Forecast'!$H33),INDEX('Forecast Prices'!$1:$1048576,'History and Forecast'!$G33,'History and Forecast'!AY$6))</f>
        <v>#N/A</v>
      </c>
      <c r="AZ33" s="17" t="e">
        <f>IF(AZ$9,INDEX('Annual Real'!$1:$1048576,'History and Forecast'!AZ$7,'History and Forecast'!$H33),INDEX('Forecast Prices'!$1:$1048576,'History and Forecast'!$G33,'History and Forecast'!AZ$6))</f>
        <v>#N/A</v>
      </c>
      <c r="BA33" s="17" t="e">
        <f>IF(BA$9,INDEX('Annual Real'!$1:$1048576,'History and Forecast'!BA$7,'History and Forecast'!$H33),INDEX('Forecast Prices'!$1:$1048576,'History and Forecast'!$G33,'History and Forecast'!BA$6))</f>
        <v>#N/A</v>
      </c>
      <c r="BB33" s="17" t="e">
        <f>IF(BB$9,INDEX('Annual Real'!$1:$1048576,'History and Forecast'!BB$7,'History and Forecast'!$H33),INDEX('Forecast Prices'!$1:$1048576,'History and Forecast'!$G33,'History and Forecast'!BB$6))</f>
        <v>#N/A</v>
      </c>
      <c r="BC33" s="17" t="e">
        <f>IF(BC$9,INDEX('Annual Real'!$1:$1048576,'History and Forecast'!BC$7,'History and Forecast'!$H33),INDEX('Forecast Prices'!$1:$1048576,'History and Forecast'!$G33,'History and Forecast'!BC$6))</f>
        <v>#N/A</v>
      </c>
      <c r="BD33" s="17" t="e">
        <f>IF(BD$9,INDEX('Annual Real'!$1:$1048576,'History and Forecast'!BD$7,'History and Forecast'!$H33),INDEX('Forecast Prices'!$1:$1048576,'History and Forecast'!$G33,'History and Forecast'!BD$6))</f>
        <v>#N/A</v>
      </c>
      <c r="BE33" s="17" t="e">
        <f>IF(BE$9,INDEX('Annual Real'!$1:$1048576,'History and Forecast'!BE$7,'History and Forecast'!$H33),INDEX('Forecast Prices'!$1:$1048576,'History and Forecast'!$G33,'History and Forecast'!BE$6))</f>
        <v>#N/A</v>
      </c>
      <c r="BF33" s="17" t="e">
        <f>IF(BF$9,INDEX('Annual Real'!$1:$1048576,'History and Forecast'!BF$7,'History and Forecast'!$H33),INDEX('Forecast Prices'!$1:$1048576,'History and Forecast'!$G33,'History and Forecast'!BF$6))</f>
        <v>#N/A</v>
      </c>
      <c r="BG33" s="17" t="e">
        <f>IF(BG$9,INDEX('Annual Real'!$1:$1048576,'History and Forecast'!BG$7,'History and Forecast'!$H33),INDEX('Forecast Prices'!$1:$1048576,'History and Forecast'!$G33,'History and Forecast'!BG$6))</f>
        <v>#N/A</v>
      </c>
      <c r="BH33" s="17" t="e">
        <f>IF(BH$9,INDEX('Annual Real'!$1:$1048576,'History and Forecast'!BH$7,'History and Forecast'!$H33),INDEX('Forecast Prices'!$1:$1048576,'History and Forecast'!$G33,'History and Forecast'!BH$6))</f>
        <v>#N/A</v>
      </c>
      <c r="BI33" s="17" t="e">
        <f>IF(BI$9,INDEX('Annual Real'!$1:$1048576,'History and Forecast'!BI$7,'History and Forecast'!$H33),INDEX('Forecast Prices'!$1:$1048576,'History and Forecast'!$G33,'History and Forecast'!BI$6))</f>
        <v>#N/A</v>
      </c>
      <c r="BJ33" s="17" t="e">
        <f>IF(BJ$9,INDEX('Annual Real'!$1:$1048576,'History and Forecast'!BJ$7,'History and Forecast'!$H33),INDEX('Forecast Prices'!$1:$1048576,'History and Forecast'!$G33,'History and Forecast'!BJ$6))</f>
        <v>#N/A</v>
      </c>
      <c r="BK33" s="17" t="e">
        <f>IF(BK$9,INDEX('Annual Real'!$1:$1048576,'History and Forecast'!BK$7,'History and Forecast'!$H33),INDEX('Forecast Prices'!$1:$1048576,'History and Forecast'!$G33,'History and Forecast'!BK$6))</f>
        <v>#N/A</v>
      </c>
      <c r="BL33" s="17" t="e">
        <f>IF(BL$9,INDEX('Annual Real'!$1:$1048576,'History and Forecast'!BL$7,'History and Forecast'!$H33),INDEX('Forecast Prices'!$1:$1048576,'History and Forecast'!$G33,'History and Forecast'!BL$6))</f>
        <v>#N/A</v>
      </c>
      <c r="BM33" s="17" t="e">
        <f>IF(BM$9,INDEX('Annual Real'!$1:$1048576,'History and Forecast'!BM$7,'History and Forecast'!$H33),INDEX('Forecast Prices'!$1:$1048576,'History and Forecast'!$G33,'History and Forecast'!BM$6))</f>
        <v>#N/A</v>
      </c>
      <c r="BN33" s="17" t="e">
        <f>IF(BN$9,INDEX('Annual Real'!$1:$1048576,'History and Forecast'!BN$7,'History and Forecast'!$H33),INDEX('Forecast Prices'!$1:$1048576,'History and Forecast'!$G33,'History and Forecast'!BN$6))</f>
        <v>#N/A</v>
      </c>
      <c r="BO33" s="17">
        <f>IF(BO$9,INDEX('Annual Real'!$1:$1048576,'History and Forecast'!BO$7,'History and Forecast'!$H33),INDEX('Forecast Prices'!$1:$1048576,'History and Forecast'!$G33,'History and Forecast'!BO$6))</f>
        <v>11.928210428691999</v>
      </c>
      <c r="BP33" s="17">
        <f>IF(BP$9,INDEX('Annual Real'!$1:$1048576,'History and Forecast'!BP$7,'History and Forecast'!$H33),INDEX('Forecast Prices'!$1:$1048576,'History and Forecast'!$G33,'History and Forecast'!BP$6))</f>
        <v>13.6899556555286</v>
      </c>
      <c r="BQ33" s="17">
        <f>IF(BQ$9,INDEX('Annual Real'!$1:$1048576,'History and Forecast'!BQ$7,'History and Forecast'!$H33),INDEX('Forecast Prices'!$1:$1048576,'History and Forecast'!$G33,'History and Forecast'!BQ$6))</f>
        <v>12.0138566669869</v>
      </c>
      <c r="BR33" s="17">
        <f>IF(BR$9,INDEX('Annual Real'!$1:$1048576,'History and Forecast'!BR$7,'History and Forecast'!$H33),INDEX('Forecast Prices'!$1:$1048576,'History and Forecast'!$G33,'History and Forecast'!BR$6))</f>
        <v>11.5518979764453</v>
      </c>
      <c r="BS33" s="17">
        <f>IF(BS$9,INDEX('Annual Real'!$1:$1048576,'History and Forecast'!BS$7,'History and Forecast'!$H33),INDEX('Forecast Prices'!$1:$1048576,'History and Forecast'!$G33,'History and Forecast'!BS$6))</f>
        <v>11.519012831787499</v>
      </c>
      <c r="BT33" s="17">
        <f>IF(BT$9,INDEX('Annual Real'!$1:$1048576,'History and Forecast'!BT$7,'History and Forecast'!$H33),INDEX('Forecast Prices'!$1:$1048576,'History and Forecast'!$G33,'History and Forecast'!BT$6))</f>
        <v>11.4890417498218</v>
      </c>
      <c r="BU33" s="17">
        <f>IF(BU$9,INDEX('Annual Real'!$1:$1048576,'History and Forecast'!BU$7,'History and Forecast'!$H33),INDEX('Forecast Prices'!$1:$1048576,'History and Forecast'!$G33,'History and Forecast'!BU$6))</f>
        <v>11.4499626952275</v>
      </c>
      <c r="BV33" s="17">
        <f>IF(BV$9,INDEX('Annual Real'!$1:$1048576,'History and Forecast'!BV$7,'History and Forecast'!$H33),INDEX('Forecast Prices'!$1:$1048576,'History and Forecast'!$G33,'History and Forecast'!BV$6))</f>
        <v>11.4120236389798</v>
      </c>
      <c r="BW33" s="17">
        <f>IF(BW$9,INDEX('Annual Real'!$1:$1048576,'History and Forecast'!BW$7,'History and Forecast'!$H33),INDEX('Forecast Prices'!$1:$1048576,'History and Forecast'!$G33,'History and Forecast'!BW$6))</f>
        <v>11.37420652057</v>
      </c>
      <c r="BX33" s="17">
        <f>IF(BX$9,INDEX('Annual Real'!$1:$1048576,'History and Forecast'!BX$7,'History and Forecast'!$H33),INDEX('Forecast Prices'!$1:$1048576,'History and Forecast'!$G33,'History and Forecast'!BX$6))</f>
        <v>11.335860900296201</v>
      </c>
      <c r="BY33" s="17" t="e">
        <f>IF(BY$9,INDEX('Annual Real'!$1:$1048576,'History and Forecast'!BY$7,'History and Forecast'!$H33),INDEX('Forecast Prices'!$1:$1048576,'History and Forecast'!$G33,'History and Forecast'!BY$6))</f>
        <v>#N/A</v>
      </c>
      <c r="BZ33" s="17" t="e">
        <f>IF(BZ$9,INDEX('Annual Real'!$1:$1048576,'History and Forecast'!BZ$7,'History and Forecast'!$H33),INDEX('Forecast Prices'!$1:$1048576,'History and Forecast'!$G33,'History and Forecast'!BZ$6))</f>
        <v>#N/A</v>
      </c>
      <c r="CA33" s="17" t="e">
        <f>IF(CA$9,INDEX('Annual Real'!$1:$1048576,'History and Forecast'!CA$7,'History and Forecast'!$H33),INDEX('Forecast Prices'!$1:$1048576,'History and Forecast'!$G33,'History and Forecast'!CA$6))</f>
        <v>#N/A</v>
      </c>
      <c r="CB33" s="17" t="e">
        <f>IF(CB$9,INDEX('Annual Real'!$1:$1048576,'History and Forecast'!CB$7,'History and Forecast'!$H33),INDEX('Forecast Prices'!$1:$1048576,'History and Forecast'!$G33,'History and Forecast'!CB$6))</f>
        <v>#N/A</v>
      </c>
      <c r="CC33" s="17">
        <f>IF(CC$9,INDEX('Annual Real'!$1:$1048576,'History and Forecast'!CC$7,'History and Forecast'!$H33),INDEX('Forecast Prices'!$1:$1048576,'History and Forecast'!$G33,'History and Forecast'!CC$6))</f>
        <v>11.129036696790299</v>
      </c>
      <c r="CD33" s="17" t="e">
        <f>IF(CD$9,INDEX('Annual Real'!$1:$1048576,'History and Forecast'!CD$7,'History and Forecast'!$H33),INDEX('Forecast Prices'!$1:$1048576,'History and Forecast'!$G33,'History and Forecast'!CD$6))</f>
        <v>#N/A</v>
      </c>
      <c r="CE33" s="17" t="e">
        <f>IF(CE$9,INDEX('Annual Real'!$1:$1048576,'History and Forecast'!CE$7,'History and Forecast'!$H33),INDEX('Forecast Prices'!$1:$1048576,'History and Forecast'!$G33,'History and Forecast'!CE$6))</f>
        <v>#N/A</v>
      </c>
      <c r="CF33" s="17" t="e">
        <f>IF(CF$9,INDEX('Annual Real'!$1:$1048576,'History and Forecast'!CF$7,'History and Forecast'!$H33),INDEX('Forecast Prices'!$1:$1048576,'History and Forecast'!$G33,'History and Forecast'!CF$6))</f>
        <v>#N/A</v>
      </c>
      <c r="CG33" s="17" t="e">
        <f>IF(CG$9,INDEX('Annual Real'!$1:$1048576,'History and Forecast'!CG$7,'History and Forecast'!$H33),INDEX('Forecast Prices'!$1:$1048576,'History and Forecast'!$G33,'History and Forecast'!CG$6))</f>
        <v>#N/A</v>
      </c>
      <c r="CH33" s="17" t="e">
        <f>IF(CH$9,INDEX('Annual Real'!$1:$1048576,'History and Forecast'!CH$7,'History and Forecast'!$H33),INDEX('Forecast Prices'!$1:$1048576,'History and Forecast'!$G33,'History and Forecast'!CH$6))</f>
        <v>#N/A</v>
      </c>
      <c r="CI33" s="17" t="e">
        <f>IF(CI$9,INDEX('Annual Real'!$1:$1048576,'History and Forecast'!CI$7,'History and Forecast'!$H33),INDEX('Forecast Prices'!$1:$1048576,'History and Forecast'!$G33,'History and Forecast'!CI$6))</f>
        <v>#N/A</v>
      </c>
    </row>
    <row r="34" spans="2:87">
      <c r="B34" t="str">
        <f t="shared" si="4"/>
        <v>SUGAR_WLD</v>
      </c>
      <c r="C34" s="34" t="s">
        <v>1081</v>
      </c>
      <c r="D34" t="str">
        <f t="shared" si="5"/>
        <v>KSUGAR_WLD</v>
      </c>
      <c r="E34" s="34" t="str">
        <f t="shared" si="6"/>
        <v>KFSUGAR_WLD</v>
      </c>
      <c r="F34">
        <f>MATCH(C34,'Forecast Prices'!A:A,0)</f>
        <v>40</v>
      </c>
      <c r="G34">
        <f>MATCH(E34,'Forecast Prices'!A:A,0)</f>
        <v>122</v>
      </c>
      <c r="H34" t="e">
        <f>MATCH(D34,'Annual Real'!$9:$9,0)</f>
        <v>#N/A</v>
      </c>
      <c r="I34" t="str">
        <f>INDEX('Forecast Prices'!B:B,'History and Forecast'!F34)&amp;INDEX('Forecast Prices'!C:C,'History and Forecast'!F34)&amp;INDEX('Forecast Prices'!D:D,'History and Forecast'!F34)&amp;INDEX('Forecast Prices'!E:E,'History and Forecast'!F34)</f>
        <v>Sugar, World</v>
      </c>
      <c r="J34" t="str">
        <f>INDEX('Forecast Prices'!H:H,'History and Forecast'!F34)</f>
        <v>$/kg</v>
      </c>
      <c r="K34" s="17" t="e">
        <f>IF(K$9,INDEX('Annual Real'!$1:$1048576,'History and Forecast'!K$7,'History and Forecast'!$H34),INDEX('Forecast Prices'!$1:$1048576,'History and Forecast'!$G34,'History and Forecast'!K$6))</f>
        <v>#N/A</v>
      </c>
      <c r="L34" s="17" t="e">
        <f>IF(L$9,INDEX('Annual Real'!$1:$1048576,'History and Forecast'!L$7,'History and Forecast'!$H34),INDEX('Forecast Prices'!$1:$1048576,'History and Forecast'!$G34,'History and Forecast'!L$6))</f>
        <v>#N/A</v>
      </c>
      <c r="M34" s="17" t="e">
        <f>IF(M$9,INDEX('Annual Real'!$1:$1048576,'History and Forecast'!M$7,'History and Forecast'!$H34),INDEX('Forecast Prices'!$1:$1048576,'History and Forecast'!$G34,'History and Forecast'!M$6))</f>
        <v>#N/A</v>
      </c>
      <c r="N34" s="17" t="e">
        <f>IF(N$9,INDEX('Annual Real'!$1:$1048576,'History and Forecast'!N$7,'History and Forecast'!$H34),INDEX('Forecast Prices'!$1:$1048576,'History and Forecast'!$G34,'History and Forecast'!N$6))</f>
        <v>#N/A</v>
      </c>
      <c r="O34" s="17" t="e">
        <f>IF(O$9,INDEX('Annual Real'!$1:$1048576,'History and Forecast'!O$7,'History and Forecast'!$H34),INDEX('Forecast Prices'!$1:$1048576,'History and Forecast'!$G34,'History and Forecast'!O$6))</f>
        <v>#N/A</v>
      </c>
      <c r="P34" s="17" t="e">
        <f>IF(P$9,INDEX('Annual Real'!$1:$1048576,'History and Forecast'!P$7,'History and Forecast'!$H34),INDEX('Forecast Prices'!$1:$1048576,'History and Forecast'!$G34,'History and Forecast'!P$6))</f>
        <v>#N/A</v>
      </c>
      <c r="Q34" s="17" t="e">
        <f>IF(Q$9,INDEX('Annual Real'!$1:$1048576,'History and Forecast'!Q$7,'History and Forecast'!$H34),INDEX('Forecast Prices'!$1:$1048576,'History and Forecast'!$G34,'History and Forecast'!Q$6))</f>
        <v>#N/A</v>
      </c>
      <c r="R34" s="17" t="e">
        <f>IF(R$9,INDEX('Annual Real'!$1:$1048576,'History and Forecast'!R$7,'History and Forecast'!$H34),INDEX('Forecast Prices'!$1:$1048576,'History and Forecast'!$G34,'History and Forecast'!R$6))</f>
        <v>#N/A</v>
      </c>
      <c r="S34" s="17" t="e">
        <f>IF(S$9,INDEX('Annual Real'!$1:$1048576,'History and Forecast'!S$7,'History and Forecast'!$H34),INDEX('Forecast Prices'!$1:$1048576,'History and Forecast'!$G34,'History and Forecast'!S$6))</f>
        <v>#N/A</v>
      </c>
      <c r="T34" s="17" t="e">
        <f>IF(T$9,INDEX('Annual Real'!$1:$1048576,'History and Forecast'!T$7,'History and Forecast'!$H34),INDEX('Forecast Prices'!$1:$1048576,'History and Forecast'!$G34,'History and Forecast'!T$6))</f>
        <v>#N/A</v>
      </c>
      <c r="U34" s="17" t="e">
        <f>IF(U$9,INDEX('Annual Real'!$1:$1048576,'History and Forecast'!U$7,'History and Forecast'!$H34),INDEX('Forecast Prices'!$1:$1048576,'History and Forecast'!$G34,'History and Forecast'!U$6))</f>
        <v>#N/A</v>
      </c>
      <c r="V34" s="17" t="e">
        <f>IF(V$9,INDEX('Annual Real'!$1:$1048576,'History and Forecast'!V$7,'History and Forecast'!$H34),INDEX('Forecast Prices'!$1:$1048576,'History and Forecast'!$G34,'History and Forecast'!V$6))</f>
        <v>#N/A</v>
      </c>
      <c r="W34" s="17" t="e">
        <f>IF(W$9,INDEX('Annual Real'!$1:$1048576,'History and Forecast'!W$7,'History and Forecast'!$H34),INDEX('Forecast Prices'!$1:$1048576,'History and Forecast'!$G34,'History and Forecast'!W$6))</f>
        <v>#N/A</v>
      </c>
      <c r="X34" s="17" t="e">
        <f>IF(X$9,INDEX('Annual Real'!$1:$1048576,'History and Forecast'!X$7,'History and Forecast'!$H34),INDEX('Forecast Prices'!$1:$1048576,'History and Forecast'!$G34,'History and Forecast'!X$6))</f>
        <v>#N/A</v>
      </c>
      <c r="Y34" s="17" t="e">
        <f>IF(Y$9,INDEX('Annual Real'!$1:$1048576,'History and Forecast'!Y$7,'History and Forecast'!$H34),INDEX('Forecast Prices'!$1:$1048576,'History and Forecast'!$G34,'History and Forecast'!Y$6))</f>
        <v>#N/A</v>
      </c>
      <c r="Z34" s="17" t="e">
        <f>IF(Z$9,INDEX('Annual Real'!$1:$1048576,'History and Forecast'!Z$7,'History and Forecast'!$H34),INDEX('Forecast Prices'!$1:$1048576,'History and Forecast'!$G34,'History and Forecast'!Z$6))</f>
        <v>#N/A</v>
      </c>
      <c r="AA34" s="17" t="e">
        <f>IF(AA$9,INDEX('Annual Real'!$1:$1048576,'History and Forecast'!AA$7,'History and Forecast'!$H34),INDEX('Forecast Prices'!$1:$1048576,'History and Forecast'!$G34,'History and Forecast'!AA$6))</f>
        <v>#N/A</v>
      </c>
      <c r="AB34" s="17" t="e">
        <f>IF(AB$9,INDEX('Annual Real'!$1:$1048576,'History and Forecast'!AB$7,'History and Forecast'!$H34),INDEX('Forecast Prices'!$1:$1048576,'History and Forecast'!$G34,'History and Forecast'!AB$6))</f>
        <v>#N/A</v>
      </c>
      <c r="AC34" s="17" t="e">
        <f>IF(AC$9,INDEX('Annual Real'!$1:$1048576,'History and Forecast'!AC$7,'History and Forecast'!$H34),INDEX('Forecast Prices'!$1:$1048576,'History and Forecast'!$G34,'History and Forecast'!AC$6))</f>
        <v>#N/A</v>
      </c>
      <c r="AD34" s="17" t="e">
        <f>IF(AD$9,INDEX('Annual Real'!$1:$1048576,'History and Forecast'!AD$7,'History and Forecast'!$H34),INDEX('Forecast Prices'!$1:$1048576,'History and Forecast'!$G34,'History and Forecast'!AD$6))</f>
        <v>#N/A</v>
      </c>
      <c r="AE34" s="17" t="e">
        <f>IF(AE$9,INDEX('Annual Real'!$1:$1048576,'History and Forecast'!AE$7,'History and Forecast'!$H34),INDEX('Forecast Prices'!$1:$1048576,'History and Forecast'!$G34,'History and Forecast'!AE$6))</f>
        <v>#N/A</v>
      </c>
      <c r="AF34" s="17" t="e">
        <f>IF(AF$9,INDEX('Annual Real'!$1:$1048576,'History and Forecast'!AF$7,'History and Forecast'!$H34),INDEX('Forecast Prices'!$1:$1048576,'History and Forecast'!$G34,'History and Forecast'!AF$6))</f>
        <v>#N/A</v>
      </c>
      <c r="AG34" s="17" t="e">
        <f>IF(AG$9,INDEX('Annual Real'!$1:$1048576,'History and Forecast'!AG$7,'History and Forecast'!$H34),INDEX('Forecast Prices'!$1:$1048576,'History and Forecast'!$G34,'History and Forecast'!AG$6))</f>
        <v>#N/A</v>
      </c>
      <c r="AH34" s="17" t="e">
        <f>IF(AH$9,INDEX('Annual Real'!$1:$1048576,'History and Forecast'!AH$7,'History and Forecast'!$H34),INDEX('Forecast Prices'!$1:$1048576,'History and Forecast'!$G34,'History and Forecast'!AH$6))</f>
        <v>#N/A</v>
      </c>
      <c r="AI34" s="17" t="e">
        <f>IF(AI$9,INDEX('Annual Real'!$1:$1048576,'History and Forecast'!AI$7,'History and Forecast'!$H34),INDEX('Forecast Prices'!$1:$1048576,'History and Forecast'!$G34,'History and Forecast'!AI$6))</f>
        <v>#N/A</v>
      </c>
      <c r="AJ34" s="17" t="e">
        <f>IF(AJ$9,INDEX('Annual Real'!$1:$1048576,'History and Forecast'!AJ$7,'History and Forecast'!$H34),INDEX('Forecast Prices'!$1:$1048576,'History and Forecast'!$G34,'History and Forecast'!AJ$6))</f>
        <v>#N/A</v>
      </c>
      <c r="AK34" s="17" t="e">
        <f>IF(AK$9,INDEX('Annual Real'!$1:$1048576,'History and Forecast'!AK$7,'History and Forecast'!$H34),INDEX('Forecast Prices'!$1:$1048576,'History and Forecast'!$G34,'History and Forecast'!AK$6))</f>
        <v>#N/A</v>
      </c>
      <c r="AL34" s="17" t="e">
        <f>IF(AL$9,INDEX('Annual Real'!$1:$1048576,'History and Forecast'!AL$7,'History and Forecast'!$H34),INDEX('Forecast Prices'!$1:$1048576,'History and Forecast'!$G34,'History and Forecast'!AL$6))</f>
        <v>#N/A</v>
      </c>
      <c r="AM34" s="17" t="e">
        <f>IF(AM$9,INDEX('Annual Real'!$1:$1048576,'History and Forecast'!AM$7,'History and Forecast'!$H34),INDEX('Forecast Prices'!$1:$1048576,'History and Forecast'!$G34,'History and Forecast'!AM$6))</f>
        <v>#N/A</v>
      </c>
      <c r="AN34" s="17" t="e">
        <f>IF(AN$9,INDEX('Annual Real'!$1:$1048576,'History and Forecast'!AN$7,'History and Forecast'!$H34),INDEX('Forecast Prices'!$1:$1048576,'History and Forecast'!$G34,'History and Forecast'!AN$6))</f>
        <v>#N/A</v>
      </c>
      <c r="AO34" s="17" t="e">
        <f>IF(AO$9,INDEX('Annual Real'!$1:$1048576,'History and Forecast'!AO$7,'History and Forecast'!$H34),INDEX('Forecast Prices'!$1:$1048576,'History and Forecast'!$G34,'History and Forecast'!AO$6))</f>
        <v>#N/A</v>
      </c>
      <c r="AP34" s="17" t="e">
        <f>IF(AP$9,INDEX('Annual Real'!$1:$1048576,'History and Forecast'!AP$7,'History and Forecast'!$H34),INDEX('Forecast Prices'!$1:$1048576,'History and Forecast'!$G34,'History and Forecast'!AP$6))</f>
        <v>#N/A</v>
      </c>
      <c r="AQ34" s="17" t="e">
        <f>IF(AQ$9,INDEX('Annual Real'!$1:$1048576,'History and Forecast'!AQ$7,'History and Forecast'!$H34),INDEX('Forecast Prices'!$1:$1048576,'History and Forecast'!$G34,'History and Forecast'!AQ$6))</f>
        <v>#N/A</v>
      </c>
      <c r="AR34" s="17" t="e">
        <f>IF(AR$9,INDEX('Annual Real'!$1:$1048576,'History and Forecast'!AR$7,'History and Forecast'!$H34),INDEX('Forecast Prices'!$1:$1048576,'History and Forecast'!$G34,'History and Forecast'!AR$6))</f>
        <v>#N/A</v>
      </c>
      <c r="AS34" s="17" t="e">
        <f>IF(AS$9,INDEX('Annual Real'!$1:$1048576,'History and Forecast'!AS$7,'History and Forecast'!$H34),INDEX('Forecast Prices'!$1:$1048576,'History and Forecast'!$G34,'History and Forecast'!AS$6))</f>
        <v>#N/A</v>
      </c>
      <c r="AT34" s="17" t="e">
        <f>IF(AT$9,INDEX('Annual Real'!$1:$1048576,'History and Forecast'!AT$7,'History and Forecast'!$H34),INDEX('Forecast Prices'!$1:$1048576,'History and Forecast'!$G34,'History and Forecast'!AT$6))</f>
        <v>#N/A</v>
      </c>
      <c r="AU34" s="17" t="e">
        <f>IF(AU$9,INDEX('Annual Real'!$1:$1048576,'History and Forecast'!AU$7,'History and Forecast'!$H34),INDEX('Forecast Prices'!$1:$1048576,'History and Forecast'!$G34,'History and Forecast'!AU$6))</f>
        <v>#N/A</v>
      </c>
      <c r="AV34" s="17" t="e">
        <f>IF(AV$9,INDEX('Annual Real'!$1:$1048576,'History and Forecast'!AV$7,'History and Forecast'!$H34),INDEX('Forecast Prices'!$1:$1048576,'History and Forecast'!$G34,'History and Forecast'!AV$6))</f>
        <v>#N/A</v>
      </c>
      <c r="AW34" s="17" t="e">
        <f>IF(AW$9,INDEX('Annual Real'!$1:$1048576,'History and Forecast'!AW$7,'History and Forecast'!$H34),INDEX('Forecast Prices'!$1:$1048576,'History and Forecast'!$G34,'History and Forecast'!AW$6))</f>
        <v>#N/A</v>
      </c>
      <c r="AX34" s="17" t="e">
        <f>IF(AX$9,INDEX('Annual Real'!$1:$1048576,'History and Forecast'!AX$7,'History and Forecast'!$H34),INDEX('Forecast Prices'!$1:$1048576,'History and Forecast'!$G34,'History and Forecast'!AX$6))</f>
        <v>#N/A</v>
      </c>
      <c r="AY34" s="17" t="e">
        <f>IF(AY$9,INDEX('Annual Real'!$1:$1048576,'History and Forecast'!AY$7,'History and Forecast'!$H34),INDEX('Forecast Prices'!$1:$1048576,'History and Forecast'!$G34,'History and Forecast'!AY$6))</f>
        <v>#N/A</v>
      </c>
      <c r="AZ34" s="17" t="e">
        <f>IF(AZ$9,INDEX('Annual Real'!$1:$1048576,'History and Forecast'!AZ$7,'History and Forecast'!$H34),INDEX('Forecast Prices'!$1:$1048576,'History and Forecast'!$G34,'History and Forecast'!AZ$6))</f>
        <v>#N/A</v>
      </c>
      <c r="BA34" s="17" t="e">
        <f>IF(BA$9,INDEX('Annual Real'!$1:$1048576,'History and Forecast'!BA$7,'History and Forecast'!$H34),INDEX('Forecast Prices'!$1:$1048576,'History and Forecast'!$G34,'History and Forecast'!BA$6))</f>
        <v>#N/A</v>
      </c>
      <c r="BB34" s="17" t="e">
        <f>IF(BB$9,INDEX('Annual Real'!$1:$1048576,'History and Forecast'!BB$7,'History and Forecast'!$H34),INDEX('Forecast Prices'!$1:$1048576,'History and Forecast'!$G34,'History and Forecast'!BB$6))</f>
        <v>#N/A</v>
      </c>
      <c r="BC34" s="17" t="e">
        <f>IF(BC$9,INDEX('Annual Real'!$1:$1048576,'History and Forecast'!BC$7,'History and Forecast'!$H34),INDEX('Forecast Prices'!$1:$1048576,'History and Forecast'!$G34,'History and Forecast'!BC$6))</f>
        <v>#N/A</v>
      </c>
      <c r="BD34" s="17" t="e">
        <f>IF(BD$9,INDEX('Annual Real'!$1:$1048576,'History and Forecast'!BD$7,'History and Forecast'!$H34),INDEX('Forecast Prices'!$1:$1048576,'History and Forecast'!$G34,'History and Forecast'!BD$6))</f>
        <v>#N/A</v>
      </c>
      <c r="BE34" s="17" t="e">
        <f>IF(BE$9,INDEX('Annual Real'!$1:$1048576,'History and Forecast'!BE$7,'History and Forecast'!$H34),INDEX('Forecast Prices'!$1:$1048576,'History and Forecast'!$G34,'History and Forecast'!BE$6))</f>
        <v>#N/A</v>
      </c>
      <c r="BF34" s="17" t="e">
        <f>IF(BF$9,INDEX('Annual Real'!$1:$1048576,'History and Forecast'!BF$7,'History and Forecast'!$H34),INDEX('Forecast Prices'!$1:$1048576,'History and Forecast'!$G34,'History and Forecast'!BF$6))</f>
        <v>#N/A</v>
      </c>
      <c r="BG34" s="17" t="e">
        <f>IF(BG$9,INDEX('Annual Real'!$1:$1048576,'History and Forecast'!BG$7,'History and Forecast'!$H34),INDEX('Forecast Prices'!$1:$1048576,'History and Forecast'!$G34,'History and Forecast'!BG$6))</f>
        <v>#N/A</v>
      </c>
      <c r="BH34" s="17" t="e">
        <f>IF(BH$9,INDEX('Annual Real'!$1:$1048576,'History and Forecast'!BH$7,'History and Forecast'!$H34),INDEX('Forecast Prices'!$1:$1048576,'History and Forecast'!$G34,'History and Forecast'!BH$6))</f>
        <v>#N/A</v>
      </c>
      <c r="BI34" s="17" t="e">
        <f>IF(BI$9,INDEX('Annual Real'!$1:$1048576,'History and Forecast'!BI$7,'History and Forecast'!$H34),INDEX('Forecast Prices'!$1:$1048576,'History and Forecast'!$G34,'History and Forecast'!BI$6))</f>
        <v>#N/A</v>
      </c>
      <c r="BJ34" s="17" t="e">
        <f>IF(BJ$9,INDEX('Annual Real'!$1:$1048576,'History and Forecast'!BJ$7,'History and Forecast'!$H34),INDEX('Forecast Prices'!$1:$1048576,'History and Forecast'!$G34,'History and Forecast'!BJ$6))</f>
        <v>#N/A</v>
      </c>
      <c r="BK34" s="17" t="e">
        <f>IF(BK$9,INDEX('Annual Real'!$1:$1048576,'History and Forecast'!BK$7,'History and Forecast'!$H34),INDEX('Forecast Prices'!$1:$1048576,'History and Forecast'!$G34,'History and Forecast'!BK$6))</f>
        <v>#N/A</v>
      </c>
      <c r="BL34" s="17" t="e">
        <f>IF(BL$9,INDEX('Annual Real'!$1:$1048576,'History and Forecast'!BL$7,'History and Forecast'!$H34),INDEX('Forecast Prices'!$1:$1048576,'History and Forecast'!$G34,'History and Forecast'!BL$6))</f>
        <v>#N/A</v>
      </c>
      <c r="BM34" s="17" t="e">
        <f>IF(BM$9,INDEX('Annual Real'!$1:$1048576,'History and Forecast'!BM$7,'History and Forecast'!$H34),INDEX('Forecast Prices'!$1:$1048576,'History and Forecast'!$G34,'History and Forecast'!BM$6))</f>
        <v>#N/A</v>
      </c>
      <c r="BN34" s="17" t="e">
        <f>IF(BN$9,INDEX('Annual Real'!$1:$1048576,'History and Forecast'!BN$7,'History and Forecast'!$H34),INDEX('Forecast Prices'!$1:$1048576,'History and Forecast'!$G34,'History and Forecast'!BN$6))</f>
        <v>#N/A</v>
      </c>
      <c r="BO34" s="17">
        <f>IF(BO$9,INDEX('Annual Real'!$1:$1048576,'History and Forecast'!BO$7,'History and Forecast'!$H34),INDEX('Forecast Prices'!$1:$1048576,'History and Forecast'!$G34,'History and Forecast'!BO$6))</f>
        <v>0.42332525610704003</v>
      </c>
      <c r="BP34" s="17">
        <f>IF(BP$9,INDEX('Annual Real'!$1:$1048576,'History and Forecast'!BP$7,'History and Forecast'!$H34),INDEX('Forecast Prices'!$1:$1048576,'History and Forecast'!$G34,'History and Forecast'!BP$6))</f>
        <v>0.362979374084276</v>
      </c>
      <c r="BQ34" s="17">
        <f>IF(BQ$9,INDEX('Annual Real'!$1:$1048576,'History and Forecast'!BQ$7,'History and Forecast'!$H34),INDEX('Forecast Prices'!$1:$1048576,'History and Forecast'!$G34,'History and Forecast'!BQ$6))</f>
        <v>0.27058593219754101</v>
      </c>
      <c r="BR34" s="17">
        <f>IF(BR$9,INDEX('Annual Real'!$1:$1048576,'History and Forecast'!BR$7,'History and Forecast'!$H34),INDEX('Forecast Prices'!$1:$1048576,'History and Forecast'!$G34,'History and Forecast'!BR$6))</f>
        <v>0.269544286117056</v>
      </c>
      <c r="BS34" s="17">
        <f>IF(BS$9,INDEX('Annual Real'!$1:$1048576,'History and Forecast'!BS$7,'History and Forecast'!$H34),INDEX('Forecast Prices'!$1:$1048576,'History and Forecast'!$G34,'History and Forecast'!BS$6))</f>
        <v>0.272497702606804</v>
      </c>
      <c r="BT34" s="17">
        <f>IF(BT$9,INDEX('Annual Real'!$1:$1048576,'History and Forecast'!BT$7,'History and Forecast'!$H34),INDEX('Forecast Prices'!$1:$1048576,'History and Forecast'!$G34,'History and Forecast'!BT$6))</f>
        <v>0.27555112500726098</v>
      </c>
      <c r="BU34" s="17">
        <f>IF(BU$9,INDEX('Annual Real'!$1:$1048576,'History and Forecast'!BU$7,'History and Forecast'!$H34),INDEX('Forecast Prices'!$1:$1048576,'History and Forecast'!$G34,'History and Forecast'!BU$6))</f>
        <v>0.27841539783387997</v>
      </c>
      <c r="BV34" s="17">
        <f>IF(BV$9,INDEX('Annual Real'!$1:$1048576,'History and Forecast'!BV$7,'History and Forecast'!$H34),INDEX('Forecast Prices'!$1:$1048576,'History and Forecast'!$G34,'History and Forecast'!BV$6))</f>
        <v>0.28133427077031098</v>
      </c>
      <c r="BW34" s="17">
        <f>IF(BW$9,INDEX('Annual Real'!$1:$1048576,'History and Forecast'!BW$7,'History and Forecast'!$H34),INDEX('Forecast Prices'!$1:$1048576,'History and Forecast'!$G34,'History and Forecast'!BW$6))</f>
        <v>0.28428365053898602</v>
      </c>
      <c r="BX34" s="17">
        <f>IF(BX$9,INDEX('Annual Real'!$1:$1048576,'History and Forecast'!BX$7,'History and Forecast'!$H34),INDEX('Forecast Prices'!$1:$1048576,'History and Forecast'!$G34,'History and Forecast'!BX$6))</f>
        <v>0.28724738264703398</v>
      </c>
      <c r="BY34" s="17" t="e">
        <f>IF(BY$9,INDEX('Annual Real'!$1:$1048576,'History and Forecast'!BY$7,'History and Forecast'!$H34),INDEX('Forecast Prices'!$1:$1048576,'History and Forecast'!$G34,'History and Forecast'!BY$6))</f>
        <v>#N/A</v>
      </c>
      <c r="BZ34" s="17" t="e">
        <f>IF(BZ$9,INDEX('Annual Real'!$1:$1048576,'History and Forecast'!BZ$7,'History and Forecast'!$H34),INDEX('Forecast Prices'!$1:$1048576,'History and Forecast'!$G34,'History and Forecast'!BZ$6))</f>
        <v>#N/A</v>
      </c>
      <c r="CA34" s="17" t="e">
        <f>IF(CA$9,INDEX('Annual Real'!$1:$1048576,'History and Forecast'!CA$7,'History and Forecast'!$H34),INDEX('Forecast Prices'!$1:$1048576,'History and Forecast'!$G34,'History and Forecast'!CA$6))</f>
        <v>#N/A</v>
      </c>
      <c r="CB34" s="17" t="e">
        <f>IF(CB$9,INDEX('Annual Real'!$1:$1048576,'History and Forecast'!CB$7,'History and Forecast'!$H34),INDEX('Forecast Prices'!$1:$1048576,'History and Forecast'!$G34,'History and Forecast'!CB$6))</f>
        <v>#N/A</v>
      </c>
      <c r="CC34" s="17">
        <f>IF(CC$9,INDEX('Annual Real'!$1:$1048576,'History and Forecast'!CC$7,'History and Forecast'!$H34),INDEX('Forecast Prices'!$1:$1048576,'History and Forecast'!$G34,'History and Forecast'!CC$6))</f>
        <v>0.30207385319859498</v>
      </c>
      <c r="CD34" s="17" t="e">
        <f>IF(CD$9,INDEX('Annual Real'!$1:$1048576,'History and Forecast'!CD$7,'History and Forecast'!$H34),INDEX('Forecast Prices'!$1:$1048576,'History and Forecast'!$G34,'History and Forecast'!CD$6))</f>
        <v>#N/A</v>
      </c>
      <c r="CE34" s="17" t="e">
        <f>IF(CE$9,INDEX('Annual Real'!$1:$1048576,'History and Forecast'!CE$7,'History and Forecast'!$H34),INDEX('Forecast Prices'!$1:$1048576,'History and Forecast'!$G34,'History and Forecast'!CE$6))</f>
        <v>#N/A</v>
      </c>
      <c r="CF34" s="17" t="e">
        <f>IF(CF$9,INDEX('Annual Real'!$1:$1048576,'History and Forecast'!CF$7,'History and Forecast'!$H34),INDEX('Forecast Prices'!$1:$1048576,'History and Forecast'!$G34,'History and Forecast'!CF$6))</f>
        <v>#N/A</v>
      </c>
      <c r="CG34" s="17" t="e">
        <f>IF(CG$9,INDEX('Annual Real'!$1:$1048576,'History and Forecast'!CG$7,'History and Forecast'!$H34),INDEX('Forecast Prices'!$1:$1048576,'History and Forecast'!$G34,'History and Forecast'!CG$6))</f>
        <v>#N/A</v>
      </c>
      <c r="CH34" s="17" t="e">
        <f>IF(CH$9,INDEX('Annual Real'!$1:$1048576,'History and Forecast'!CH$7,'History and Forecast'!$H34),INDEX('Forecast Prices'!$1:$1048576,'History and Forecast'!$G34,'History and Forecast'!CH$6))</f>
        <v>#N/A</v>
      </c>
      <c r="CI34" s="17" t="e">
        <f>IF(CI$9,INDEX('Annual Real'!$1:$1048576,'History and Forecast'!CI$7,'History and Forecast'!$H34),INDEX('Forecast Prices'!$1:$1048576,'History and Forecast'!$G34,'History and Forecast'!CI$6))</f>
        <v>#N/A</v>
      </c>
    </row>
    <row r="35" spans="2:87">
      <c r="B35" t="str">
        <f t="shared" si="4"/>
        <v>LOGS_CMR</v>
      </c>
      <c r="C35" s="34" t="s">
        <v>1083</v>
      </c>
      <c r="D35" t="str">
        <f t="shared" si="5"/>
        <v>KLOGS_CMR</v>
      </c>
      <c r="E35" s="34" t="str">
        <f t="shared" si="6"/>
        <v>KFLOGS_CMR</v>
      </c>
      <c r="F35">
        <f>MATCH(C35,'Forecast Prices'!A:A,0)</f>
        <v>44</v>
      </c>
      <c r="G35">
        <f>MATCH(E35,'Forecast Prices'!A:A,0)</f>
        <v>126</v>
      </c>
      <c r="H35" t="e">
        <f>MATCH(D35,'Annual Real'!$9:$9,0)</f>
        <v>#N/A</v>
      </c>
      <c r="I35" t="str">
        <f>INDEX('Forecast Prices'!B:B,'History and Forecast'!F35)&amp;INDEX('Forecast Prices'!C:C,'History and Forecast'!F35)&amp;INDEX('Forecast Prices'!D:D,'History and Forecast'!F35)&amp;INDEX('Forecast Prices'!E:E,'History and Forecast'!F35)</f>
        <v>Logs, Cameroon</v>
      </c>
      <c r="J35" t="str">
        <f>INDEX('Forecast Prices'!H:H,'History and Forecast'!F35)</f>
        <v>$/cum</v>
      </c>
      <c r="K35" s="17" t="e">
        <f>IF(K$9,INDEX('Annual Real'!$1:$1048576,'History and Forecast'!K$7,'History and Forecast'!$H35),INDEX('Forecast Prices'!$1:$1048576,'History and Forecast'!$G35,'History and Forecast'!K$6))</f>
        <v>#N/A</v>
      </c>
      <c r="L35" s="17" t="e">
        <f>IF(L$9,INDEX('Annual Real'!$1:$1048576,'History and Forecast'!L$7,'History and Forecast'!$H35),INDEX('Forecast Prices'!$1:$1048576,'History and Forecast'!$G35,'History and Forecast'!L$6))</f>
        <v>#N/A</v>
      </c>
      <c r="M35" s="17" t="e">
        <f>IF(M$9,INDEX('Annual Real'!$1:$1048576,'History and Forecast'!M$7,'History and Forecast'!$H35),INDEX('Forecast Prices'!$1:$1048576,'History and Forecast'!$G35,'History and Forecast'!M$6))</f>
        <v>#N/A</v>
      </c>
      <c r="N35" s="17" t="e">
        <f>IF(N$9,INDEX('Annual Real'!$1:$1048576,'History and Forecast'!N$7,'History and Forecast'!$H35),INDEX('Forecast Prices'!$1:$1048576,'History and Forecast'!$G35,'History and Forecast'!N$6))</f>
        <v>#N/A</v>
      </c>
      <c r="O35" s="17" t="e">
        <f>IF(O$9,INDEX('Annual Real'!$1:$1048576,'History and Forecast'!O$7,'History and Forecast'!$H35),INDEX('Forecast Prices'!$1:$1048576,'History and Forecast'!$G35,'History and Forecast'!O$6))</f>
        <v>#N/A</v>
      </c>
      <c r="P35" s="17" t="e">
        <f>IF(P$9,INDEX('Annual Real'!$1:$1048576,'History and Forecast'!P$7,'History and Forecast'!$H35),INDEX('Forecast Prices'!$1:$1048576,'History and Forecast'!$G35,'History and Forecast'!P$6))</f>
        <v>#N/A</v>
      </c>
      <c r="Q35" s="17" t="e">
        <f>IF(Q$9,INDEX('Annual Real'!$1:$1048576,'History and Forecast'!Q$7,'History and Forecast'!$H35),INDEX('Forecast Prices'!$1:$1048576,'History and Forecast'!$G35,'History and Forecast'!Q$6))</f>
        <v>#N/A</v>
      </c>
      <c r="R35" s="17" t="e">
        <f>IF(R$9,INDEX('Annual Real'!$1:$1048576,'History and Forecast'!R$7,'History and Forecast'!$H35),INDEX('Forecast Prices'!$1:$1048576,'History and Forecast'!$G35,'History and Forecast'!R$6))</f>
        <v>#N/A</v>
      </c>
      <c r="S35" s="17" t="e">
        <f>IF(S$9,INDEX('Annual Real'!$1:$1048576,'History and Forecast'!S$7,'History and Forecast'!$H35),INDEX('Forecast Prices'!$1:$1048576,'History and Forecast'!$G35,'History and Forecast'!S$6))</f>
        <v>#N/A</v>
      </c>
      <c r="T35" s="17" t="e">
        <f>IF(T$9,INDEX('Annual Real'!$1:$1048576,'History and Forecast'!T$7,'History and Forecast'!$H35),INDEX('Forecast Prices'!$1:$1048576,'History and Forecast'!$G35,'History and Forecast'!T$6))</f>
        <v>#N/A</v>
      </c>
      <c r="U35" s="17" t="e">
        <f>IF(U$9,INDEX('Annual Real'!$1:$1048576,'History and Forecast'!U$7,'History and Forecast'!$H35),INDEX('Forecast Prices'!$1:$1048576,'History and Forecast'!$G35,'History and Forecast'!U$6))</f>
        <v>#N/A</v>
      </c>
      <c r="V35" s="17" t="e">
        <f>IF(V$9,INDEX('Annual Real'!$1:$1048576,'History and Forecast'!V$7,'History and Forecast'!$H35),INDEX('Forecast Prices'!$1:$1048576,'History and Forecast'!$G35,'History and Forecast'!V$6))</f>
        <v>#N/A</v>
      </c>
      <c r="W35" s="17" t="e">
        <f>IF(W$9,INDEX('Annual Real'!$1:$1048576,'History and Forecast'!W$7,'History and Forecast'!$H35),INDEX('Forecast Prices'!$1:$1048576,'History and Forecast'!$G35,'History and Forecast'!W$6))</f>
        <v>#N/A</v>
      </c>
      <c r="X35" s="17" t="e">
        <f>IF(X$9,INDEX('Annual Real'!$1:$1048576,'History and Forecast'!X$7,'History and Forecast'!$H35),INDEX('Forecast Prices'!$1:$1048576,'History and Forecast'!$G35,'History and Forecast'!X$6))</f>
        <v>#N/A</v>
      </c>
      <c r="Y35" s="17" t="e">
        <f>IF(Y$9,INDEX('Annual Real'!$1:$1048576,'History and Forecast'!Y$7,'History and Forecast'!$H35),INDEX('Forecast Prices'!$1:$1048576,'History and Forecast'!$G35,'History and Forecast'!Y$6))</f>
        <v>#N/A</v>
      </c>
      <c r="Z35" s="17" t="e">
        <f>IF(Z$9,INDEX('Annual Real'!$1:$1048576,'History and Forecast'!Z$7,'History and Forecast'!$H35),INDEX('Forecast Prices'!$1:$1048576,'History and Forecast'!$G35,'History and Forecast'!Z$6))</f>
        <v>#N/A</v>
      </c>
      <c r="AA35" s="17" t="e">
        <f>IF(AA$9,INDEX('Annual Real'!$1:$1048576,'History and Forecast'!AA$7,'History and Forecast'!$H35),INDEX('Forecast Prices'!$1:$1048576,'History and Forecast'!$G35,'History and Forecast'!AA$6))</f>
        <v>#N/A</v>
      </c>
      <c r="AB35" s="17" t="e">
        <f>IF(AB$9,INDEX('Annual Real'!$1:$1048576,'History and Forecast'!AB$7,'History and Forecast'!$H35),INDEX('Forecast Prices'!$1:$1048576,'History and Forecast'!$G35,'History and Forecast'!AB$6))</f>
        <v>#N/A</v>
      </c>
      <c r="AC35" s="17" t="e">
        <f>IF(AC$9,INDEX('Annual Real'!$1:$1048576,'History and Forecast'!AC$7,'History and Forecast'!$H35),INDEX('Forecast Prices'!$1:$1048576,'History and Forecast'!$G35,'History and Forecast'!AC$6))</f>
        <v>#N/A</v>
      </c>
      <c r="AD35" s="17" t="e">
        <f>IF(AD$9,INDEX('Annual Real'!$1:$1048576,'History and Forecast'!AD$7,'History and Forecast'!$H35),INDEX('Forecast Prices'!$1:$1048576,'History and Forecast'!$G35,'History and Forecast'!AD$6))</f>
        <v>#N/A</v>
      </c>
      <c r="AE35" s="17" t="e">
        <f>IF(AE$9,INDEX('Annual Real'!$1:$1048576,'History and Forecast'!AE$7,'History and Forecast'!$H35),INDEX('Forecast Prices'!$1:$1048576,'History and Forecast'!$G35,'History and Forecast'!AE$6))</f>
        <v>#N/A</v>
      </c>
      <c r="AF35" s="17" t="e">
        <f>IF(AF$9,INDEX('Annual Real'!$1:$1048576,'History and Forecast'!AF$7,'History and Forecast'!$H35),INDEX('Forecast Prices'!$1:$1048576,'History and Forecast'!$G35,'History and Forecast'!AF$6))</f>
        <v>#N/A</v>
      </c>
      <c r="AG35" s="17" t="e">
        <f>IF(AG$9,INDEX('Annual Real'!$1:$1048576,'History and Forecast'!AG$7,'History and Forecast'!$H35),INDEX('Forecast Prices'!$1:$1048576,'History and Forecast'!$G35,'History and Forecast'!AG$6))</f>
        <v>#N/A</v>
      </c>
      <c r="AH35" s="17" t="e">
        <f>IF(AH$9,INDEX('Annual Real'!$1:$1048576,'History and Forecast'!AH$7,'History and Forecast'!$H35),INDEX('Forecast Prices'!$1:$1048576,'History and Forecast'!$G35,'History and Forecast'!AH$6))</f>
        <v>#N/A</v>
      </c>
      <c r="AI35" s="17" t="e">
        <f>IF(AI$9,INDEX('Annual Real'!$1:$1048576,'History and Forecast'!AI$7,'History and Forecast'!$H35),INDEX('Forecast Prices'!$1:$1048576,'History and Forecast'!$G35,'History and Forecast'!AI$6))</f>
        <v>#N/A</v>
      </c>
      <c r="AJ35" s="17" t="e">
        <f>IF(AJ$9,INDEX('Annual Real'!$1:$1048576,'History and Forecast'!AJ$7,'History and Forecast'!$H35),INDEX('Forecast Prices'!$1:$1048576,'History and Forecast'!$G35,'History and Forecast'!AJ$6))</f>
        <v>#N/A</v>
      </c>
      <c r="AK35" s="17" t="e">
        <f>IF(AK$9,INDEX('Annual Real'!$1:$1048576,'History and Forecast'!AK$7,'History and Forecast'!$H35),INDEX('Forecast Prices'!$1:$1048576,'History and Forecast'!$G35,'History and Forecast'!AK$6))</f>
        <v>#N/A</v>
      </c>
      <c r="AL35" s="17" t="e">
        <f>IF(AL$9,INDEX('Annual Real'!$1:$1048576,'History and Forecast'!AL$7,'History and Forecast'!$H35),INDEX('Forecast Prices'!$1:$1048576,'History and Forecast'!$G35,'History and Forecast'!AL$6))</f>
        <v>#N/A</v>
      </c>
      <c r="AM35" s="17" t="e">
        <f>IF(AM$9,INDEX('Annual Real'!$1:$1048576,'History and Forecast'!AM$7,'History and Forecast'!$H35),INDEX('Forecast Prices'!$1:$1048576,'History and Forecast'!$G35,'History and Forecast'!AM$6))</f>
        <v>#N/A</v>
      </c>
      <c r="AN35" s="17" t="e">
        <f>IF(AN$9,INDEX('Annual Real'!$1:$1048576,'History and Forecast'!AN$7,'History and Forecast'!$H35),INDEX('Forecast Prices'!$1:$1048576,'History and Forecast'!$G35,'History and Forecast'!AN$6))</f>
        <v>#N/A</v>
      </c>
      <c r="AO35" s="17" t="e">
        <f>IF(AO$9,INDEX('Annual Real'!$1:$1048576,'History and Forecast'!AO$7,'History and Forecast'!$H35),INDEX('Forecast Prices'!$1:$1048576,'History and Forecast'!$G35,'History and Forecast'!AO$6))</f>
        <v>#N/A</v>
      </c>
      <c r="AP35" s="17" t="e">
        <f>IF(AP$9,INDEX('Annual Real'!$1:$1048576,'History and Forecast'!AP$7,'History and Forecast'!$H35),INDEX('Forecast Prices'!$1:$1048576,'History and Forecast'!$G35,'History and Forecast'!AP$6))</f>
        <v>#N/A</v>
      </c>
      <c r="AQ35" s="17" t="e">
        <f>IF(AQ$9,INDEX('Annual Real'!$1:$1048576,'History and Forecast'!AQ$7,'History and Forecast'!$H35),INDEX('Forecast Prices'!$1:$1048576,'History and Forecast'!$G35,'History and Forecast'!AQ$6))</f>
        <v>#N/A</v>
      </c>
      <c r="AR35" s="17" t="e">
        <f>IF(AR$9,INDEX('Annual Real'!$1:$1048576,'History and Forecast'!AR$7,'History and Forecast'!$H35),INDEX('Forecast Prices'!$1:$1048576,'History and Forecast'!$G35,'History and Forecast'!AR$6))</f>
        <v>#N/A</v>
      </c>
      <c r="AS35" s="17" t="e">
        <f>IF(AS$9,INDEX('Annual Real'!$1:$1048576,'History and Forecast'!AS$7,'History and Forecast'!$H35),INDEX('Forecast Prices'!$1:$1048576,'History and Forecast'!$G35,'History and Forecast'!AS$6))</f>
        <v>#N/A</v>
      </c>
      <c r="AT35" s="17" t="e">
        <f>IF(AT$9,INDEX('Annual Real'!$1:$1048576,'History and Forecast'!AT$7,'History and Forecast'!$H35),INDEX('Forecast Prices'!$1:$1048576,'History and Forecast'!$G35,'History and Forecast'!AT$6))</f>
        <v>#N/A</v>
      </c>
      <c r="AU35" s="17" t="e">
        <f>IF(AU$9,INDEX('Annual Real'!$1:$1048576,'History and Forecast'!AU$7,'History and Forecast'!$H35),INDEX('Forecast Prices'!$1:$1048576,'History and Forecast'!$G35,'History and Forecast'!AU$6))</f>
        <v>#N/A</v>
      </c>
      <c r="AV35" s="17" t="e">
        <f>IF(AV$9,INDEX('Annual Real'!$1:$1048576,'History and Forecast'!AV$7,'History and Forecast'!$H35),INDEX('Forecast Prices'!$1:$1048576,'History and Forecast'!$G35,'History and Forecast'!AV$6))</f>
        <v>#N/A</v>
      </c>
      <c r="AW35" s="17" t="e">
        <f>IF(AW$9,INDEX('Annual Real'!$1:$1048576,'History and Forecast'!AW$7,'History and Forecast'!$H35),INDEX('Forecast Prices'!$1:$1048576,'History and Forecast'!$G35,'History and Forecast'!AW$6))</f>
        <v>#N/A</v>
      </c>
      <c r="AX35" s="17" t="e">
        <f>IF(AX$9,INDEX('Annual Real'!$1:$1048576,'History and Forecast'!AX$7,'History and Forecast'!$H35),INDEX('Forecast Prices'!$1:$1048576,'History and Forecast'!$G35,'History and Forecast'!AX$6))</f>
        <v>#N/A</v>
      </c>
      <c r="AY35" s="17" t="e">
        <f>IF(AY$9,INDEX('Annual Real'!$1:$1048576,'History and Forecast'!AY$7,'History and Forecast'!$H35),INDEX('Forecast Prices'!$1:$1048576,'History and Forecast'!$G35,'History and Forecast'!AY$6))</f>
        <v>#N/A</v>
      </c>
      <c r="AZ35" s="17" t="e">
        <f>IF(AZ$9,INDEX('Annual Real'!$1:$1048576,'History and Forecast'!AZ$7,'History and Forecast'!$H35),INDEX('Forecast Prices'!$1:$1048576,'History and Forecast'!$G35,'History and Forecast'!AZ$6))</f>
        <v>#N/A</v>
      </c>
      <c r="BA35" s="17" t="e">
        <f>IF(BA$9,INDEX('Annual Real'!$1:$1048576,'History and Forecast'!BA$7,'History and Forecast'!$H35),INDEX('Forecast Prices'!$1:$1048576,'History and Forecast'!$G35,'History and Forecast'!BA$6))</f>
        <v>#N/A</v>
      </c>
      <c r="BB35" s="17" t="e">
        <f>IF(BB$9,INDEX('Annual Real'!$1:$1048576,'History and Forecast'!BB$7,'History and Forecast'!$H35),INDEX('Forecast Prices'!$1:$1048576,'History and Forecast'!$G35,'History and Forecast'!BB$6))</f>
        <v>#N/A</v>
      </c>
      <c r="BC35" s="17" t="e">
        <f>IF(BC$9,INDEX('Annual Real'!$1:$1048576,'History and Forecast'!BC$7,'History and Forecast'!$H35),INDEX('Forecast Prices'!$1:$1048576,'History and Forecast'!$G35,'History and Forecast'!BC$6))</f>
        <v>#N/A</v>
      </c>
      <c r="BD35" s="17" t="e">
        <f>IF(BD$9,INDEX('Annual Real'!$1:$1048576,'History and Forecast'!BD$7,'History and Forecast'!$H35),INDEX('Forecast Prices'!$1:$1048576,'History and Forecast'!$G35,'History and Forecast'!BD$6))</f>
        <v>#N/A</v>
      </c>
      <c r="BE35" s="17" t="e">
        <f>IF(BE$9,INDEX('Annual Real'!$1:$1048576,'History and Forecast'!BE$7,'History and Forecast'!$H35),INDEX('Forecast Prices'!$1:$1048576,'History and Forecast'!$G35,'History and Forecast'!BE$6))</f>
        <v>#N/A</v>
      </c>
      <c r="BF35" s="17" t="e">
        <f>IF(BF$9,INDEX('Annual Real'!$1:$1048576,'History and Forecast'!BF$7,'History and Forecast'!$H35),INDEX('Forecast Prices'!$1:$1048576,'History and Forecast'!$G35,'History and Forecast'!BF$6))</f>
        <v>#N/A</v>
      </c>
      <c r="BG35" s="17" t="e">
        <f>IF(BG$9,INDEX('Annual Real'!$1:$1048576,'History and Forecast'!BG$7,'History and Forecast'!$H35),INDEX('Forecast Prices'!$1:$1048576,'History and Forecast'!$G35,'History and Forecast'!BG$6))</f>
        <v>#N/A</v>
      </c>
      <c r="BH35" s="17" t="e">
        <f>IF(BH$9,INDEX('Annual Real'!$1:$1048576,'History and Forecast'!BH$7,'History and Forecast'!$H35),INDEX('Forecast Prices'!$1:$1048576,'History and Forecast'!$G35,'History and Forecast'!BH$6))</f>
        <v>#N/A</v>
      </c>
      <c r="BI35" s="17" t="e">
        <f>IF(BI$9,INDEX('Annual Real'!$1:$1048576,'History and Forecast'!BI$7,'History and Forecast'!$H35),INDEX('Forecast Prices'!$1:$1048576,'History and Forecast'!$G35,'History and Forecast'!BI$6))</f>
        <v>#N/A</v>
      </c>
      <c r="BJ35" s="17" t="e">
        <f>IF(BJ$9,INDEX('Annual Real'!$1:$1048576,'History and Forecast'!BJ$7,'History and Forecast'!$H35),INDEX('Forecast Prices'!$1:$1048576,'History and Forecast'!$G35,'History and Forecast'!BJ$6))</f>
        <v>#N/A</v>
      </c>
      <c r="BK35" s="17" t="e">
        <f>IF(BK$9,INDEX('Annual Real'!$1:$1048576,'History and Forecast'!BK$7,'History and Forecast'!$H35),INDEX('Forecast Prices'!$1:$1048576,'History and Forecast'!$G35,'History and Forecast'!BK$6))</f>
        <v>#N/A</v>
      </c>
      <c r="BL35" s="17" t="e">
        <f>IF(BL$9,INDEX('Annual Real'!$1:$1048576,'History and Forecast'!BL$7,'History and Forecast'!$H35),INDEX('Forecast Prices'!$1:$1048576,'History and Forecast'!$G35,'History and Forecast'!BL$6))</f>
        <v>#N/A</v>
      </c>
      <c r="BM35" s="17" t="e">
        <f>IF(BM$9,INDEX('Annual Real'!$1:$1048576,'History and Forecast'!BM$7,'History and Forecast'!$H35),INDEX('Forecast Prices'!$1:$1048576,'History and Forecast'!$G35,'History and Forecast'!BM$6))</f>
        <v>#N/A</v>
      </c>
      <c r="BN35" s="17" t="e">
        <f>IF(BN$9,INDEX('Annual Real'!$1:$1048576,'History and Forecast'!BN$7,'History and Forecast'!$H35),INDEX('Forecast Prices'!$1:$1048576,'History and Forecast'!$G35,'History and Forecast'!BN$6))</f>
        <v>#N/A</v>
      </c>
      <c r="BO35" s="17">
        <f>IF(BO$9,INDEX('Annual Real'!$1:$1048576,'History and Forecast'!BO$7,'History and Forecast'!$H35),INDEX('Forecast Prices'!$1:$1048576,'History and Forecast'!$G35,'History and Forecast'!BO$6))</f>
        <v>411.99270142622902</v>
      </c>
      <c r="BP35" s="17">
        <f>IF(BP$9,INDEX('Annual Real'!$1:$1048576,'History and Forecast'!BP$7,'History and Forecast'!$H35),INDEX('Forecast Prices'!$1:$1048576,'History and Forecast'!$G35,'History and Forecast'!BP$6))</f>
        <v>406.25207352151801</v>
      </c>
      <c r="BQ35" s="17">
        <f>IF(BQ$9,INDEX('Annual Real'!$1:$1048576,'History and Forecast'!BQ$7,'History and Forecast'!$H35),INDEX('Forecast Prices'!$1:$1048576,'History and Forecast'!$G35,'History and Forecast'!BQ$6))</f>
        <v>406.00354972609398</v>
      </c>
      <c r="BR35" s="17">
        <f>IF(BR$9,INDEX('Annual Real'!$1:$1048576,'History and Forecast'!BR$7,'History and Forecast'!$H35),INDEX('Forecast Prices'!$1:$1048576,'History and Forecast'!$G35,'History and Forecast'!BR$6))</f>
        <v>385.06326588151001</v>
      </c>
      <c r="BS35" s="17">
        <f>IF(BS$9,INDEX('Annual Real'!$1:$1048576,'History and Forecast'!BS$7,'History and Forecast'!$H35),INDEX('Forecast Prices'!$1:$1048576,'History and Forecast'!$G35,'History and Forecast'!BS$6))</f>
        <v>382.69973797654899</v>
      </c>
      <c r="BT35" s="17">
        <f>IF(BT$9,INDEX('Annual Real'!$1:$1048576,'History and Forecast'!BT$7,'History and Forecast'!$H35),INDEX('Forecast Prices'!$1:$1048576,'History and Forecast'!$G35,'History and Forecast'!BT$6))</f>
        <v>380.44411277853197</v>
      </c>
      <c r="BU35" s="17">
        <f>IF(BU$9,INDEX('Annual Real'!$1:$1048576,'History and Forecast'!BU$7,'History and Forecast'!$H35),INDEX('Forecast Prices'!$1:$1048576,'History and Forecast'!$G35,'History and Forecast'!BU$6))</f>
        <v>377.89860573693602</v>
      </c>
      <c r="BV35" s="17">
        <f>IF(BV$9,INDEX('Annual Real'!$1:$1048576,'History and Forecast'!BV$7,'History and Forecast'!$H35),INDEX('Forecast Prices'!$1:$1048576,'History and Forecast'!$G35,'History and Forecast'!BV$6))</f>
        <v>375.403258505157</v>
      </c>
      <c r="BW35" s="17">
        <f>IF(BW$9,INDEX('Annual Real'!$1:$1048576,'History and Forecast'!BW$7,'History and Forecast'!$H35),INDEX('Forecast Prices'!$1:$1048576,'History and Forecast'!$G35,'History and Forecast'!BW$6))</f>
        <v>372.924264928296</v>
      </c>
      <c r="BX35" s="17">
        <f>IF(BX$9,INDEX('Annual Real'!$1:$1048576,'History and Forecast'!BX$7,'History and Forecast'!$H35),INDEX('Forecast Prices'!$1:$1048576,'History and Forecast'!$G35,'History and Forecast'!BX$6))</f>
        <v>370.44027556836397</v>
      </c>
      <c r="BY35" s="17" t="e">
        <f>IF(BY$9,INDEX('Annual Real'!$1:$1048576,'History and Forecast'!BY$7,'History and Forecast'!$H35),INDEX('Forecast Prices'!$1:$1048576,'History and Forecast'!$G35,'History and Forecast'!BY$6))</f>
        <v>#N/A</v>
      </c>
      <c r="BZ35" s="17" t="e">
        <f>IF(BZ$9,INDEX('Annual Real'!$1:$1048576,'History and Forecast'!BZ$7,'History and Forecast'!$H35),INDEX('Forecast Prices'!$1:$1048576,'History and Forecast'!$G35,'History and Forecast'!BZ$6))</f>
        <v>#N/A</v>
      </c>
      <c r="CA35" s="17" t="e">
        <f>IF(CA$9,INDEX('Annual Real'!$1:$1048576,'History and Forecast'!CA$7,'History and Forecast'!$H35),INDEX('Forecast Prices'!$1:$1048576,'History and Forecast'!$G35,'History and Forecast'!CA$6))</f>
        <v>#N/A</v>
      </c>
      <c r="CB35" s="17" t="e">
        <f>IF(CB$9,INDEX('Annual Real'!$1:$1048576,'History and Forecast'!CB$7,'History and Forecast'!$H35),INDEX('Forecast Prices'!$1:$1048576,'History and Forecast'!$G35,'History and Forecast'!CB$6))</f>
        <v>#N/A</v>
      </c>
      <c r="CC35" s="17">
        <f>IF(CC$9,INDEX('Annual Real'!$1:$1048576,'History and Forecast'!CC$7,'History and Forecast'!$H35),INDEX('Forecast Prices'!$1:$1048576,'History and Forecast'!$G35,'History and Forecast'!CC$6))</f>
        <v>357.719036682546</v>
      </c>
      <c r="CD35" s="17" t="e">
        <f>IF(CD$9,INDEX('Annual Real'!$1:$1048576,'History and Forecast'!CD$7,'History and Forecast'!$H35),INDEX('Forecast Prices'!$1:$1048576,'History and Forecast'!$G35,'History and Forecast'!CD$6))</f>
        <v>#N/A</v>
      </c>
      <c r="CE35" s="17" t="e">
        <f>IF(CE$9,INDEX('Annual Real'!$1:$1048576,'History and Forecast'!CE$7,'History and Forecast'!$H35),INDEX('Forecast Prices'!$1:$1048576,'History and Forecast'!$G35,'History and Forecast'!CE$6))</f>
        <v>#N/A</v>
      </c>
      <c r="CF35" s="17" t="e">
        <f>IF(CF$9,INDEX('Annual Real'!$1:$1048576,'History and Forecast'!CF$7,'History and Forecast'!$H35),INDEX('Forecast Prices'!$1:$1048576,'History and Forecast'!$G35,'History and Forecast'!CF$6))</f>
        <v>#N/A</v>
      </c>
      <c r="CG35" s="17" t="e">
        <f>IF(CG$9,INDEX('Annual Real'!$1:$1048576,'History and Forecast'!CG$7,'History and Forecast'!$H35),INDEX('Forecast Prices'!$1:$1048576,'History and Forecast'!$G35,'History and Forecast'!CG$6))</f>
        <v>#N/A</v>
      </c>
      <c r="CH35" s="17" t="e">
        <f>IF(CH$9,INDEX('Annual Real'!$1:$1048576,'History and Forecast'!CH$7,'History and Forecast'!$H35),INDEX('Forecast Prices'!$1:$1048576,'History and Forecast'!$G35,'History and Forecast'!CH$6))</f>
        <v>#N/A</v>
      </c>
      <c r="CI35" s="17" t="e">
        <f>IF(CI$9,INDEX('Annual Real'!$1:$1048576,'History and Forecast'!CI$7,'History and Forecast'!$H35),INDEX('Forecast Prices'!$1:$1048576,'History and Forecast'!$G35,'History and Forecast'!CI$6))</f>
        <v>#N/A</v>
      </c>
    </row>
    <row r="36" spans="2:87">
      <c r="B36" t="str">
        <f t="shared" si="4"/>
        <v>LOGS_MYS</v>
      </c>
      <c r="C36" s="36" t="s">
        <v>1085</v>
      </c>
      <c r="D36" t="str">
        <f t="shared" si="5"/>
        <v>KLOGS_MYS</v>
      </c>
      <c r="E36" s="34" t="str">
        <f t="shared" si="6"/>
        <v>KFLOGS_MYS</v>
      </c>
      <c r="F36">
        <f>MATCH(C36,'Forecast Prices'!A:A,0)</f>
        <v>45</v>
      </c>
      <c r="G36">
        <f>MATCH(E36,'Forecast Prices'!A:A,0)</f>
        <v>127</v>
      </c>
      <c r="H36" t="e">
        <f>MATCH(D36,'Annual Real'!$9:$9,0)</f>
        <v>#N/A</v>
      </c>
      <c r="I36" t="str">
        <f>INDEX('Forecast Prices'!B:B,'History and Forecast'!F36)&amp;INDEX('Forecast Prices'!C:C,'History and Forecast'!F36)&amp;INDEX('Forecast Prices'!D:D,'History and Forecast'!F36)&amp;INDEX('Forecast Prices'!E:E,'History and Forecast'!F36)</f>
        <v>Logs, Malaysia</v>
      </c>
      <c r="J36" t="str">
        <f>INDEX('Forecast Prices'!H:H,'History and Forecast'!F36)</f>
        <v>$/cum</v>
      </c>
      <c r="K36" s="17" t="e">
        <f>IF(K$9,INDEX('Annual Real'!$1:$1048576,'History and Forecast'!K$7,'History and Forecast'!$H36),INDEX('Forecast Prices'!$1:$1048576,'History and Forecast'!$G36,'History and Forecast'!K$6))</f>
        <v>#N/A</v>
      </c>
      <c r="L36" s="17" t="e">
        <f>IF(L$9,INDEX('Annual Real'!$1:$1048576,'History and Forecast'!L$7,'History and Forecast'!$H36),INDEX('Forecast Prices'!$1:$1048576,'History and Forecast'!$G36,'History and Forecast'!L$6))</f>
        <v>#N/A</v>
      </c>
      <c r="M36" s="17" t="e">
        <f>IF(M$9,INDEX('Annual Real'!$1:$1048576,'History and Forecast'!M$7,'History and Forecast'!$H36),INDEX('Forecast Prices'!$1:$1048576,'History and Forecast'!$G36,'History and Forecast'!M$6))</f>
        <v>#N/A</v>
      </c>
      <c r="N36" s="17" t="e">
        <f>IF(N$9,INDEX('Annual Real'!$1:$1048576,'History and Forecast'!N$7,'History and Forecast'!$H36),INDEX('Forecast Prices'!$1:$1048576,'History and Forecast'!$G36,'History and Forecast'!N$6))</f>
        <v>#N/A</v>
      </c>
      <c r="O36" s="17" t="e">
        <f>IF(O$9,INDEX('Annual Real'!$1:$1048576,'History and Forecast'!O$7,'History and Forecast'!$H36),INDEX('Forecast Prices'!$1:$1048576,'History and Forecast'!$G36,'History and Forecast'!O$6))</f>
        <v>#N/A</v>
      </c>
      <c r="P36" s="17" t="e">
        <f>IF(P$9,INDEX('Annual Real'!$1:$1048576,'History and Forecast'!P$7,'History and Forecast'!$H36),INDEX('Forecast Prices'!$1:$1048576,'History and Forecast'!$G36,'History and Forecast'!P$6))</f>
        <v>#N/A</v>
      </c>
      <c r="Q36" s="17" t="e">
        <f>IF(Q$9,INDEX('Annual Real'!$1:$1048576,'History and Forecast'!Q$7,'History and Forecast'!$H36),INDEX('Forecast Prices'!$1:$1048576,'History and Forecast'!$G36,'History and Forecast'!Q$6))</f>
        <v>#N/A</v>
      </c>
      <c r="R36" s="17" t="e">
        <f>IF(R$9,INDEX('Annual Real'!$1:$1048576,'History and Forecast'!R$7,'History and Forecast'!$H36),INDEX('Forecast Prices'!$1:$1048576,'History and Forecast'!$G36,'History and Forecast'!R$6))</f>
        <v>#N/A</v>
      </c>
      <c r="S36" s="17" t="e">
        <f>IF(S$9,INDEX('Annual Real'!$1:$1048576,'History and Forecast'!S$7,'History and Forecast'!$H36),INDEX('Forecast Prices'!$1:$1048576,'History and Forecast'!$G36,'History and Forecast'!S$6))</f>
        <v>#N/A</v>
      </c>
      <c r="T36" s="17" t="e">
        <f>IF(T$9,INDEX('Annual Real'!$1:$1048576,'History and Forecast'!T$7,'History and Forecast'!$H36),INDEX('Forecast Prices'!$1:$1048576,'History and Forecast'!$G36,'History and Forecast'!T$6))</f>
        <v>#N/A</v>
      </c>
      <c r="U36" s="17" t="e">
        <f>IF(U$9,INDEX('Annual Real'!$1:$1048576,'History and Forecast'!U$7,'History and Forecast'!$H36),INDEX('Forecast Prices'!$1:$1048576,'History and Forecast'!$G36,'History and Forecast'!U$6))</f>
        <v>#N/A</v>
      </c>
      <c r="V36" s="17" t="e">
        <f>IF(V$9,INDEX('Annual Real'!$1:$1048576,'History and Forecast'!V$7,'History and Forecast'!$H36),INDEX('Forecast Prices'!$1:$1048576,'History and Forecast'!$G36,'History and Forecast'!V$6))</f>
        <v>#N/A</v>
      </c>
      <c r="W36" s="17" t="e">
        <f>IF(W$9,INDEX('Annual Real'!$1:$1048576,'History and Forecast'!W$7,'History and Forecast'!$H36),INDEX('Forecast Prices'!$1:$1048576,'History and Forecast'!$G36,'History and Forecast'!W$6))</f>
        <v>#N/A</v>
      </c>
      <c r="X36" s="17" t="e">
        <f>IF(X$9,INDEX('Annual Real'!$1:$1048576,'History and Forecast'!X$7,'History and Forecast'!$H36),INDEX('Forecast Prices'!$1:$1048576,'History and Forecast'!$G36,'History and Forecast'!X$6))</f>
        <v>#N/A</v>
      </c>
      <c r="Y36" s="17" t="e">
        <f>IF(Y$9,INDEX('Annual Real'!$1:$1048576,'History and Forecast'!Y$7,'History and Forecast'!$H36),INDEX('Forecast Prices'!$1:$1048576,'History and Forecast'!$G36,'History and Forecast'!Y$6))</f>
        <v>#N/A</v>
      </c>
      <c r="Z36" s="17" t="e">
        <f>IF(Z$9,INDEX('Annual Real'!$1:$1048576,'History and Forecast'!Z$7,'History and Forecast'!$H36),INDEX('Forecast Prices'!$1:$1048576,'History and Forecast'!$G36,'History and Forecast'!Z$6))</f>
        <v>#N/A</v>
      </c>
      <c r="AA36" s="17" t="e">
        <f>IF(AA$9,INDEX('Annual Real'!$1:$1048576,'History and Forecast'!AA$7,'History and Forecast'!$H36),INDEX('Forecast Prices'!$1:$1048576,'History and Forecast'!$G36,'History and Forecast'!AA$6))</f>
        <v>#N/A</v>
      </c>
      <c r="AB36" s="17" t="e">
        <f>IF(AB$9,INDEX('Annual Real'!$1:$1048576,'History and Forecast'!AB$7,'History and Forecast'!$H36),INDEX('Forecast Prices'!$1:$1048576,'History and Forecast'!$G36,'History and Forecast'!AB$6))</f>
        <v>#N/A</v>
      </c>
      <c r="AC36" s="17" t="e">
        <f>IF(AC$9,INDEX('Annual Real'!$1:$1048576,'History and Forecast'!AC$7,'History and Forecast'!$H36),INDEX('Forecast Prices'!$1:$1048576,'History and Forecast'!$G36,'History and Forecast'!AC$6))</f>
        <v>#N/A</v>
      </c>
      <c r="AD36" s="17" t="e">
        <f>IF(AD$9,INDEX('Annual Real'!$1:$1048576,'History and Forecast'!AD$7,'History and Forecast'!$H36),INDEX('Forecast Prices'!$1:$1048576,'History and Forecast'!$G36,'History and Forecast'!AD$6))</f>
        <v>#N/A</v>
      </c>
      <c r="AE36" s="17" t="e">
        <f>IF(AE$9,INDEX('Annual Real'!$1:$1048576,'History and Forecast'!AE$7,'History and Forecast'!$H36),INDEX('Forecast Prices'!$1:$1048576,'History and Forecast'!$G36,'History and Forecast'!AE$6))</f>
        <v>#N/A</v>
      </c>
      <c r="AF36" s="17" t="e">
        <f>IF(AF$9,INDEX('Annual Real'!$1:$1048576,'History and Forecast'!AF$7,'History and Forecast'!$H36),INDEX('Forecast Prices'!$1:$1048576,'History and Forecast'!$G36,'History and Forecast'!AF$6))</f>
        <v>#N/A</v>
      </c>
      <c r="AG36" s="17" t="e">
        <f>IF(AG$9,INDEX('Annual Real'!$1:$1048576,'History and Forecast'!AG$7,'History and Forecast'!$H36),INDEX('Forecast Prices'!$1:$1048576,'History and Forecast'!$G36,'History and Forecast'!AG$6))</f>
        <v>#N/A</v>
      </c>
      <c r="AH36" s="17" t="e">
        <f>IF(AH$9,INDEX('Annual Real'!$1:$1048576,'History and Forecast'!AH$7,'History and Forecast'!$H36),INDEX('Forecast Prices'!$1:$1048576,'History and Forecast'!$G36,'History and Forecast'!AH$6))</f>
        <v>#N/A</v>
      </c>
      <c r="AI36" s="17" t="e">
        <f>IF(AI$9,INDEX('Annual Real'!$1:$1048576,'History and Forecast'!AI$7,'History and Forecast'!$H36),INDEX('Forecast Prices'!$1:$1048576,'History and Forecast'!$G36,'History and Forecast'!AI$6))</f>
        <v>#N/A</v>
      </c>
      <c r="AJ36" s="17" t="e">
        <f>IF(AJ$9,INDEX('Annual Real'!$1:$1048576,'History and Forecast'!AJ$7,'History and Forecast'!$H36),INDEX('Forecast Prices'!$1:$1048576,'History and Forecast'!$G36,'History and Forecast'!AJ$6))</f>
        <v>#N/A</v>
      </c>
      <c r="AK36" s="17" t="e">
        <f>IF(AK$9,INDEX('Annual Real'!$1:$1048576,'History and Forecast'!AK$7,'History and Forecast'!$H36),INDEX('Forecast Prices'!$1:$1048576,'History and Forecast'!$G36,'History and Forecast'!AK$6))</f>
        <v>#N/A</v>
      </c>
      <c r="AL36" s="17" t="e">
        <f>IF(AL$9,INDEX('Annual Real'!$1:$1048576,'History and Forecast'!AL$7,'History and Forecast'!$H36),INDEX('Forecast Prices'!$1:$1048576,'History and Forecast'!$G36,'History and Forecast'!AL$6))</f>
        <v>#N/A</v>
      </c>
      <c r="AM36" s="17" t="e">
        <f>IF(AM$9,INDEX('Annual Real'!$1:$1048576,'History and Forecast'!AM$7,'History and Forecast'!$H36),INDEX('Forecast Prices'!$1:$1048576,'History and Forecast'!$G36,'History and Forecast'!AM$6))</f>
        <v>#N/A</v>
      </c>
      <c r="AN36" s="17" t="e">
        <f>IF(AN$9,INDEX('Annual Real'!$1:$1048576,'History and Forecast'!AN$7,'History and Forecast'!$H36),INDEX('Forecast Prices'!$1:$1048576,'History and Forecast'!$G36,'History and Forecast'!AN$6))</f>
        <v>#N/A</v>
      </c>
      <c r="AO36" s="17" t="e">
        <f>IF(AO$9,INDEX('Annual Real'!$1:$1048576,'History and Forecast'!AO$7,'History and Forecast'!$H36),INDEX('Forecast Prices'!$1:$1048576,'History and Forecast'!$G36,'History and Forecast'!AO$6))</f>
        <v>#N/A</v>
      </c>
      <c r="AP36" s="17" t="e">
        <f>IF(AP$9,INDEX('Annual Real'!$1:$1048576,'History and Forecast'!AP$7,'History and Forecast'!$H36),INDEX('Forecast Prices'!$1:$1048576,'History and Forecast'!$G36,'History and Forecast'!AP$6))</f>
        <v>#N/A</v>
      </c>
      <c r="AQ36" s="17" t="e">
        <f>IF(AQ$9,INDEX('Annual Real'!$1:$1048576,'History and Forecast'!AQ$7,'History and Forecast'!$H36),INDEX('Forecast Prices'!$1:$1048576,'History and Forecast'!$G36,'History and Forecast'!AQ$6))</f>
        <v>#N/A</v>
      </c>
      <c r="AR36" s="17" t="e">
        <f>IF(AR$9,INDEX('Annual Real'!$1:$1048576,'History and Forecast'!AR$7,'History and Forecast'!$H36),INDEX('Forecast Prices'!$1:$1048576,'History and Forecast'!$G36,'History and Forecast'!AR$6))</f>
        <v>#N/A</v>
      </c>
      <c r="AS36" s="17" t="e">
        <f>IF(AS$9,INDEX('Annual Real'!$1:$1048576,'History and Forecast'!AS$7,'History and Forecast'!$H36),INDEX('Forecast Prices'!$1:$1048576,'History and Forecast'!$G36,'History and Forecast'!AS$6))</f>
        <v>#N/A</v>
      </c>
      <c r="AT36" s="17" t="e">
        <f>IF(AT$9,INDEX('Annual Real'!$1:$1048576,'History and Forecast'!AT$7,'History and Forecast'!$H36),INDEX('Forecast Prices'!$1:$1048576,'History and Forecast'!$G36,'History and Forecast'!AT$6))</f>
        <v>#N/A</v>
      </c>
      <c r="AU36" s="17" t="e">
        <f>IF(AU$9,INDEX('Annual Real'!$1:$1048576,'History and Forecast'!AU$7,'History and Forecast'!$H36),INDEX('Forecast Prices'!$1:$1048576,'History and Forecast'!$G36,'History and Forecast'!AU$6))</f>
        <v>#N/A</v>
      </c>
      <c r="AV36" s="17" t="e">
        <f>IF(AV$9,INDEX('Annual Real'!$1:$1048576,'History and Forecast'!AV$7,'History and Forecast'!$H36),INDEX('Forecast Prices'!$1:$1048576,'History and Forecast'!$G36,'History and Forecast'!AV$6))</f>
        <v>#N/A</v>
      </c>
      <c r="AW36" s="17" t="e">
        <f>IF(AW$9,INDEX('Annual Real'!$1:$1048576,'History and Forecast'!AW$7,'History and Forecast'!$H36),INDEX('Forecast Prices'!$1:$1048576,'History and Forecast'!$G36,'History and Forecast'!AW$6))</f>
        <v>#N/A</v>
      </c>
      <c r="AX36" s="17" t="e">
        <f>IF(AX$9,INDEX('Annual Real'!$1:$1048576,'History and Forecast'!AX$7,'History and Forecast'!$H36),INDEX('Forecast Prices'!$1:$1048576,'History and Forecast'!$G36,'History and Forecast'!AX$6))</f>
        <v>#N/A</v>
      </c>
      <c r="AY36" s="17" t="e">
        <f>IF(AY$9,INDEX('Annual Real'!$1:$1048576,'History and Forecast'!AY$7,'History and Forecast'!$H36),INDEX('Forecast Prices'!$1:$1048576,'History and Forecast'!$G36,'History and Forecast'!AY$6))</f>
        <v>#N/A</v>
      </c>
      <c r="AZ36" s="17" t="e">
        <f>IF(AZ$9,INDEX('Annual Real'!$1:$1048576,'History and Forecast'!AZ$7,'History and Forecast'!$H36),INDEX('Forecast Prices'!$1:$1048576,'History and Forecast'!$G36,'History and Forecast'!AZ$6))</f>
        <v>#N/A</v>
      </c>
      <c r="BA36" s="17" t="e">
        <f>IF(BA$9,INDEX('Annual Real'!$1:$1048576,'History and Forecast'!BA$7,'History and Forecast'!$H36),INDEX('Forecast Prices'!$1:$1048576,'History and Forecast'!$G36,'History and Forecast'!BA$6))</f>
        <v>#N/A</v>
      </c>
      <c r="BB36" s="17" t="e">
        <f>IF(BB$9,INDEX('Annual Real'!$1:$1048576,'History and Forecast'!BB$7,'History and Forecast'!$H36),INDEX('Forecast Prices'!$1:$1048576,'History and Forecast'!$G36,'History and Forecast'!BB$6))</f>
        <v>#N/A</v>
      </c>
      <c r="BC36" s="17" t="e">
        <f>IF(BC$9,INDEX('Annual Real'!$1:$1048576,'History and Forecast'!BC$7,'History and Forecast'!$H36),INDEX('Forecast Prices'!$1:$1048576,'History and Forecast'!$G36,'History and Forecast'!BC$6))</f>
        <v>#N/A</v>
      </c>
      <c r="BD36" s="17" t="e">
        <f>IF(BD$9,INDEX('Annual Real'!$1:$1048576,'History and Forecast'!BD$7,'History and Forecast'!$H36),INDEX('Forecast Prices'!$1:$1048576,'History and Forecast'!$G36,'History and Forecast'!BD$6))</f>
        <v>#N/A</v>
      </c>
      <c r="BE36" s="17" t="e">
        <f>IF(BE$9,INDEX('Annual Real'!$1:$1048576,'History and Forecast'!BE$7,'History and Forecast'!$H36),INDEX('Forecast Prices'!$1:$1048576,'History and Forecast'!$G36,'History and Forecast'!BE$6))</f>
        <v>#N/A</v>
      </c>
      <c r="BF36" s="17" t="e">
        <f>IF(BF$9,INDEX('Annual Real'!$1:$1048576,'History and Forecast'!BF$7,'History and Forecast'!$H36),INDEX('Forecast Prices'!$1:$1048576,'History and Forecast'!$G36,'History and Forecast'!BF$6))</f>
        <v>#N/A</v>
      </c>
      <c r="BG36" s="17" t="e">
        <f>IF(BG$9,INDEX('Annual Real'!$1:$1048576,'History and Forecast'!BG$7,'History and Forecast'!$H36),INDEX('Forecast Prices'!$1:$1048576,'History and Forecast'!$G36,'History and Forecast'!BG$6))</f>
        <v>#N/A</v>
      </c>
      <c r="BH36" s="17" t="e">
        <f>IF(BH$9,INDEX('Annual Real'!$1:$1048576,'History and Forecast'!BH$7,'History and Forecast'!$H36),INDEX('Forecast Prices'!$1:$1048576,'History and Forecast'!$G36,'History and Forecast'!BH$6))</f>
        <v>#N/A</v>
      </c>
      <c r="BI36" s="17" t="e">
        <f>IF(BI$9,INDEX('Annual Real'!$1:$1048576,'History and Forecast'!BI$7,'History and Forecast'!$H36),INDEX('Forecast Prices'!$1:$1048576,'History and Forecast'!$G36,'History and Forecast'!BI$6))</f>
        <v>#N/A</v>
      </c>
      <c r="BJ36" s="17" t="e">
        <f>IF(BJ$9,INDEX('Annual Real'!$1:$1048576,'History and Forecast'!BJ$7,'History and Forecast'!$H36),INDEX('Forecast Prices'!$1:$1048576,'History and Forecast'!$G36,'History and Forecast'!BJ$6))</f>
        <v>#N/A</v>
      </c>
      <c r="BK36" s="17" t="e">
        <f>IF(BK$9,INDEX('Annual Real'!$1:$1048576,'History and Forecast'!BK$7,'History and Forecast'!$H36),INDEX('Forecast Prices'!$1:$1048576,'History and Forecast'!$G36,'History and Forecast'!BK$6))</f>
        <v>#N/A</v>
      </c>
      <c r="BL36" s="17" t="e">
        <f>IF(BL$9,INDEX('Annual Real'!$1:$1048576,'History and Forecast'!BL$7,'History and Forecast'!$H36),INDEX('Forecast Prices'!$1:$1048576,'History and Forecast'!$G36,'History and Forecast'!BL$6))</f>
        <v>#N/A</v>
      </c>
      <c r="BM36" s="17" t="e">
        <f>IF(BM$9,INDEX('Annual Real'!$1:$1048576,'History and Forecast'!BM$7,'History and Forecast'!$H36),INDEX('Forecast Prices'!$1:$1048576,'History and Forecast'!$G36,'History and Forecast'!BM$6))</f>
        <v>#N/A</v>
      </c>
      <c r="BN36" s="17" t="e">
        <f>IF(BN$9,INDEX('Annual Real'!$1:$1048576,'History and Forecast'!BN$7,'History and Forecast'!$H36),INDEX('Forecast Prices'!$1:$1048576,'History and Forecast'!$G36,'History and Forecast'!BN$6))</f>
        <v>#N/A</v>
      </c>
      <c r="BO36" s="17">
        <f>IF(BO$9,INDEX('Annual Real'!$1:$1048576,'History and Forecast'!BO$7,'History and Forecast'!$H36),INDEX('Forecast Prices'!$1:$1048576,'History and Forecast'!$G36,'History and Forecast'!BO$6))</f>
        <v>291.79000952828801</v>
      </c>
      <c r="BP36" s="17">
        <f>IF(BP$9,INDEX('Annual Real'!$1:$1048576,'History and Forecast'!BP$7,'History and Forecast'!$H36),INDEX('Forecast Prices'!$1:$1048576,'History and Forecast'!$G36,'History and Forecast'!BP$6))</f>
        <v>272.83561755012101</v>
      </c>
      <c r="BQ36" s="17">
        <f>IF(BQ$9,INDEX('Annual Real'!$1:$1048576,'History and Forecast'!BQ$7,'History and Forecast'!$H36),INDEX('Forecast Prices'!$1:$1048576,'History and Forecast'!$G36,'History and Forecast'!BQ$6))</f>
        <v>264.78345446165599</v>
      </c>
      <c r="BR36" s="17">
        <f>IF(BR$9,INDEX('Annual Real'!$1:$1048576,'History and Forecast'!BR$7,'History and Forecast'!$H36),INDEX('Forecast Prices'!$1:$1048576,'History and Forecast'!$G36,'History and Forecast'!BR$6))</f>
        <v>264.730995293538</v>
      </c>
      <c r="BS36" s="17">
        <f>IF(BS$9,INDEX('Annual Real'!$1:$1048576,'History and Forecast'!BS$7,'History and Forecast'!$H36),INDEX('Forecast Prices'!$1:$1048576,'History and Forecast'!$G36,'History and Forecast'!BS$6))</f>
        <v>263.914971360864</v>
      </c>
      <c r="BT36" s="17">
        <f>IF(BT$9,INDEX('Annual Real'!$1:$1048576,'History and Forecast'!BT$7,'History and Forecast'!$H36),INDEX('Forecast Prices'!$1:$1048576,'History and Forecast'!$G36,'History and Forecast'!BT$6))</f>
        <v>263.16606749232</v>
      </c>
      <c r="BU36" s="17">
        <f>IF(BU$9,INDEX('Annual Real'!$1:$1048576,'History and Forecast'!BU$7,'History and Forecast'!$H36),INDEX('Forecast Prices'!$1:$1048576,'History and Forecast'!$G36,'History and Forecast'!BU$6))</f>
        <v>262.208926589741</v>
      </c>
      <c r="BV36" s="17">
        <f>IF(BV$9,INDEX('Annual Real'!$1:$1048576,'History and Forecast'!BV$7,'History and Forecast'!$H36),INDEX('Forecast Prices'!$1:$1048576,'History and Forecast'!$G36,'History and Forecast'!BV$6))</f>
        <v>261.27832379483601</v>
      </c>
      <c r="BW36" s="17">
        <f>IF(BW$9,INDEX('Annual Real'!$1:$1048576,'History and Forecast'!BW$7,'History and Forecast'!$H36),INDEX('Forecast Prices'!$1:$1048576,'History and Forecast'!$G36,'History and Forecast'!BW$6))</f>
        <v>260.35093745438598</v>
      </c>
      <c r="BX36" s="17">
        <f>IF(BX$9,INDEX('Annual Real'!$1:$1048576,'History and Forecast'!BX$7,'History and Forecast'!$H36),INDEX('Forecast Prices'!$1:$1048576,'History and Forecast'!$G36,'History and Forecast'!BX$6))</f>
        <v>259.41188066060198</v>
      </c>
      <c r="BY36" s="17" t="e">
        <f>IF(BY$9,INDEX('Annual Real'!$1:$1048576,'History and Forecast'!BY$7,'History and Forecast'!$H36),INDEX('Forecast Prices'!$1:$1048576,'History and Forecast'!$G36,'History and Forecast'!BY$6))</f>
        <v>#N/A</v>
      </c>
      <c r="BZ36" s="17" t="e">
        <f>IF(BZ$9,INDEX('Annual Real'!$1:$1048576,'History and Forecast'!BZ$7,'History and Forecast'!$H36),INDEX('Forecast Prices'!$1:$1048576,'History and Forecast'!$G36,'History and Forecast'!BZ$6))</f>
        <v>#N/A</v>
      </c>
      <c r="CA36" s="17" t="e">
        <f>IF(CA$9,INDEX('Annual Real'!$1:$1048576,'History and Forecast'!CA$7,'History and Forecast'!$H36),INDEX('Forecast Prices'!$1:$1048576,'History and Forecast'!$G36,'History and Forecast'!CA$6))</f>
        <v>#N/A</v>
      </c>
      <c r="CB36" s="17" t="e">
        <f>IF(CB$9,INDEX('Annual Real'!$1:$1048576,'History and Forecast'!CB$7,'History and Forecast'!$H36),INDEX('Forecast Prices'!$1:$1048576,'History and Forecast'!$G36,'History and Forecast'!CB$6))</f>
        <v>#N/A</v>
      </c>
      <c r="CC36" s="17">
        <f>IF(CC$9,INDEX('Annual Real'!$1:$1048576,'History and Forecast'!CC$7,'History and Forecast'!$H36),INDEX('Forecast Prices'!$1:$1048576,'History and Forecast'!$G36,'History and Forecast'!CC$6))</f>
        <v>254.377981640922</v>
      </c>
      <c r="CD36" s="17" t="e">
        <f>IF(CD$9,INDEX('Annual Real'!$1:$1048576,'History and Forecast'!CD$7,'History and Forecast'!$H36),INDEX('Forecast Prices'!$1:$1048576,'History and Forecast'!$G36,'History and Forecast'!CD$6))</f>
        <v>#N/A</v>
      </c>
      <c r="CE36" s="17" t="e">
        <f>IF(CE$9,INDEX('Annual Real'!$1:$1048576,'History and Forecast'!CE$7,'History and Forecast'!$H36),INDEX('Forecast Prices'!$1:$1048576,'History and Forecast'!$G36,'History and Forecast'!CE$6))</f>
        <v>#N/A</v>
      </c>
      <c r="CF36" s="17" t="e">
        <f>IF(CF$9,INDEX('Annual Real'!$1:$1048576,'History and Forecast'!CF$7,'History and Forecast'!$H36),INDEX('Forecast Prices'!$1:$1048576,'History and Forecast'!$G36,'History and Forecast'!CF$6))</f>
        <v>#N/A</v>
      </c>
      <c r="CG36" s="17" t="e">
        <f>IF(CG$9,INDEX('Annual Real'!$1:$1048576,'History and Forecast'!CG$7,'History and Forecast'!$H36),INDEX('Forecast Prices'!$1:$1048576,'History and Forecast'!$G36,'History and Forecast'!CG$6))</f>
        <v>#N/A</v>
      </c>
      <c r="CH36" s="17" t="e">
        <f>IF(CH$9,INDEX('Annual Real'!$1:$1048576,'History and Forecast'!CH$7,'History and Forecast'!$H36),INDEX('Forecast Prices'!$1:$1048576,'History and Forecast'!$G36,'History and Forecast'!CH$6))</f>
        <v>#N/A</v>
      </c>
      <c r="CI36" s="17" t="e">
        <f>IF(CI$9,INDEX('Annual Real'!$1:$1048576,'History and Forecast'!CI$7,'History and Forecast'!$H36),INDEX('Forecast Prices'!$1:$1048576,'History and Forecast'!$G36,'History and Forecast'!CI$6))</f>
        <v>#N/A</v>
      </c>
    </row>
    <row r="37" spans="2:87">
      <c r="B37" t="str">
        <f t="shared" si="4"/>
        <v>SAWNWD_MYS</v>
      </c>
      <c r="C37" s="34" t="s">
        <v>1087</v>
      </c>
      <c r="D37" t="str">
        <f t="shared" si="5"/>
        <v>KSAWNWD_MYS</v>
      </c>
      <c r="E37" s="34" t="str">
        <f t="shared" si="6"/>
        <v>KFSAWNWD_MYS</v>
      </c>
      <c r="F37">
        <f>MATCH(C37,'Forecast Prices'!A:A,0)</f>
        <v>46</v>
      </c>
      <c r="G37">
        <f>MATCH(E37,'Forecast Prices'!A:A,0)</f>
        <v>128</v>
      </c>
      <c r="H37" t="e">
        <f>MATCH(D37,'Annual Real'!$9:$9,0)</f>
        <v>#N/A</v>
      </c>
      <c r="I37" t="str">
        <f>INDEX('Forecast Prices'!B:B,'History and Forecast'!F37)&amp;INDEX('Forecast Prices'!C:C,'History and Forecast'!F37)&amp;INDEX('Forecast Prices'!D:D,'History and Forecast'!F37)&amp;INDEX('Forecast Prices'!E:E,'History and Forecast'!F37)</f>
        <v>Sawnwood, Malaysia</v>
      </c>
      <c r="J37" t="str">
        <f>INDEX('Forecast Prices'!H:H,'History and Forecast'!F37)</f>
        <v>$/cum</v>
      </c>
      <c r="K37" s="17" t="e">
        <f>IF(K$9,INDEX('Annual Real'!$1:$1048576,'History and Forecast'!K$7,'History and Forecast'!$H37),INDEX('Forecast Prices'!$1:$1048576,'History and Forecast'!$G37,'History and Forecast'!K$6))</f>
        <v>#N/A</v>
      </c>
      <c r="L37" s="17" t="e">
        <f>IF(L$9,INDEX('Annual Real'!$1:$1048576,'History and Forecast'!L$7,'History and Forecast'!$H37),INDEX('Forecast Prices'!$1:$1048576,'History and Forecast'!$G37,'History and Forecast'!L$6))</f>
        <v>#N/A</v>
      </c>
      <c r="M37" s="17" t="e">
        <f>IF(M$9,INDEX('Annual Real'!$1:$1048576,'History and Forecast'!M$7,'History and Forecast'!$H37),INDEX('Forecast Prices'!$1:$1048576,'History and Forecast'!$G37,'History and Forecast'!M$6))</f>
        <v>#N/A</v>
      </c>
      <c r="N37" s="17" t="e">
        <f>IF(N$9,INDEX('Annual Real'!$1:$1048576,'History and Forecast'!N$7,'History and Forecast'!$H37),INDEX('Forecast Prices'!$1:$1048576,'History and Forecast'!$G37,'History and Forecast'!N$6))</f>
        <v>#N/A</v>
      </c>
      <c r="O37" s="17" t="e">
        <f>IF(O$9,INDEX('Annual Real'!$1:$1048576,'History and Forecast'!O$7,'History and Forecast'!$H37),INDEX('Forecast Prices'!$1:$1048576,'History and Forecast'!$G37,'History and Forecast'!O$6))</f>
        <v>#N/A</v>
      </c>
      <c r="P37" s="17" t="e">
        <f>IF(P$9,INDEX('Annual Real'!$1:$1048576,'History and Forecast'!P$7,'History and Forecast'!$H37),INDEX('Forecast Prices'!$1:$1048576,'History and Forecast'!$G37,'History and Forecast'!P$6))</f>
        <v>#N/A</v>
      </c>
      <c r="Q37" s="17" t="e">
        <f>IF(Q$9,INDEX('Annual Real'!$1:$1048576,'History and Forecast'!Q$7,'History and Forecast'!$H37),INDEX('Forecast Prices'!$1:$1048576,'History and Forecast'!$G37,'History and Forecast'!Q$6))</f>
        <v>#N/A</v>
      </c>
      <c r="R37" s="17" t="e">
        <f>IF(R$9,INDEX('Annual Real'!$1:$1048576,'History and Forecast'!R$7,'History and Forecast'!$H37),INDEX('Forecast Prices'!$1:$1048576,'History and Forecast'!$G37,'History and Forecast'!R$6))</f>
        <v>#N/A</v>
      </c>
      <c r="S37" s="17" t="e">
        <f>IF(S$9,INDEX('Annual Real'!$1:$1048576,'History and Forecast'!S$7,'History and Forecast'!$H37),INDEX('Forecast Prices'!$1:$1048576,'History and Forecast'!$G37,'History and Forecast'!S$6))</f>
        <v>#N/A</v>
      </c>
      <c r="T37" s="17" t="e">
        <f>IF(T$9,INDEX('Annual Real'!$1:$1048576,'History and Forecast'!T$7,'History and Forecast'!$H37),INDEX('Forecast Prices'!$1:$1048576,'History and Forecast'!$G37,'History and Forecast'!T$6))</f>
        <v>#N/A</v>
      </c>
      <c r="U37" s="17" t="e">
        <f>IF(U$9,INDEX('Annual Real'!$1:$1048576,'History and Forecast'!U$7,'History and Forecast'!$H37),INDEX('Forecast Prices'!$1:$1048576,'History and Forecast'!$G37,'History and Forecast'!U$6))</f>
        <v>#N/A</v>
      </c>
      <c r="V37" s="17" t="e">
        <f>IF(V$9,INDEX('Annual Real'!$1:$1048576,'History and Forecast'!V$7,'History and Forecast'!$H37),INDEX('Forecast Prices'!$1:$1048576,'History and Forecast'!$G37,'History and Forecast'!V$6))</f>
        <v>#N/A</v>
      </c>
      <c r="W37" s="17" t="e">
        <f>IF(W$9,INDEX('Annual Real'!$1:$1048576,'History and Forecast'!W$7,'History and Forecast'!$H37),INDEX('Forecast Prices'!$1:$1048576,'History and Forecast'!$G37,'History and Forecast'!W$6))</f>
        <v>#N/A</v>
      </c>
      <c r="X37" s="17" t="e">
        <f>IF(X$9,INDEX('Annual Real'!$1:$1048576,'History and Forecast'!X$7,'History and Forecast'!$H37),INDEX('Forecast Prices'!$1:$1048576,'History and Forecast'!$G37,'History and Forecast'!X$6))</f>
        <v>#N/A</v>
      </c>
      <c r="Y37" s="17" t="e">
        <f>IF(Y$9,INDEX('Annual Real'!$1:$1048576,'History and Forecast'!Y$7,'History and Forecast'!$H37),INDEX('Forecast Prices'!$1:$1048576,'History and Forecast'!$G37,'History and Forecast'!Y$6))</f>
        <v>#N/A</v>
      </c>
      <c r="Z37" s="17" t="e">
        <f>IF(Z$9,INDEX('Annual Real'!$1:$1048576,'History and Forecast'!Z$7,'History and Forecast'!$H37),INDEX('Forecast Prices'!$1:$1048576,'History and Forecast'!$G37,'History and Forecast'!Z$6))</f>
        <v>#N/A</v>
      </c>
      <c r="AA37" s="17" t="e">
        <f>IF(AA$9,INDEX('Annual Real'!$1:$1048576,'History and Forecast'!AA$7,'History and Forecast'!$H37),INDEX('Forecast Prices'!$1:$1048576,'History and Forecast'!$G37,'History and Forecast'!AA$6))</f>
        <v>#N/A</v>
      </c>
      <c r="AB37" s="17" t="e">
        <f>IF(AB$9,INDEX('Annual Real'!$1:$1048576,'History and Forecast'!AB$7,'History and Forecast'!$H37),INDEX('Forecast Prices'!$1:$1048576,'History and Forecast'!$G37,'History and Forecast'!AB$6))</f>
        <v>#N/A</v>
      </c>
      <c r="AC37" s="17" t="e">
        <f>IF(AC$9,INDEX('Annual Real'!$1:$1048576,'History and Forecast'!AC$7,'History and Forecast'!$H37),INDEX('Forecast Prices'!$1:$1048576,'History and Forecast'!$G37,'History and Forecast'!AC$6))</f>
        <v>#N/A</v>
      </c>
      <c r="AD37" s="17" t="e">
        <f>IF(AD$9,INDEX('Annual Real'!$1:$1048576,'History and Forecast'!AD$7,'History and Forecast'!$H37),INDEX('Forecast Prices'!$1:$1048576,'History and Forecast'!$G37,'History and Forecast'!AD$6))</f>
        <v>#N/A</v>
      </c>
      <c r="AE37" s="17" t="e">
        <f>IF(AE$9,INDEX('Annual Real'!$1:$1048576,'History and Forecast'!AE$7,'History and Forecast'!$H37),INDEX('Forecast Prices'!$1:$1048576,'History and Forecast'!$G37,'History and Forecast'!AE$6))</f>
        <v>#N/A</v>
      </c>
      <c r="AF37" s="17" t="e">
        <f>IF(AF$9,INDEX('Annual Real'!$1:$1048576,'History and Forecast'!AF$7,'History and Forecast'!$H37),INDEX('Forecast Prices'!$1:$1048576,'History and Forecast'!$G37,'History and Forecast'!AF$6))</f>
        <v>#N/A</v>
      </c>
      <c r="AG37" s="17" t="e">
        <f>IF(AG$9,INDEX('Annual Real'!$1:$1048576,'History and Forecast'!AG$7,'History and Forecast'!$H37),INDEX('Forecast Prices'!$1:$1048576,'History and Forecast'!$G37,'History and Forecast'!AG$6))</f>
        <v>#N/A</v>
      </c>
      <c r="AH37" s="17" t="e">
        <f>IF(AH$9,INDEX('Annual Real'!$1:$1048576,'History and Forecast'!AH$7,'History and Forecast'!$H37),INDEX('Forecast Prices'!$1:$1048576,'History and Forecast'!$G37,'History and Forecast'!AH$6))</f>
        <v>#N/A</v>
      </c>
      <c r="AI37" s="17" t="e">
        <f>IF(AI$9,INDEX('Annual Real'!$1:$1048576,'History and Forecast'!AI$7,'History and Forecast'!$H37),INDEX('Forecast Prices'!$1:$1048576,'History and Forecast'!$G37,'History and Forecast'!AI$6))</f>
        <v>#N/A</v>
      </c>
      <c r="AJ37" s="17" t="e">
        <f>IF(AJ$9,INDEX('Annual Real'!$1:$1048576,'History and Forecast'!AJ$7,'History and Forecast'!$H37),INDEX('Forecast Prices'!$1:$1048576,'History and Forecast'!$G37,'History and Forecast'!AJ$6))</f>
        <v>#N/A</v>
      </c>
      <c r="AK37" s="17" t="e">
        <f>IF(AK$9,INDEX('Annual Real'!$1:$1048576,'History and Forecast'!AK$7,'History and Forecast'!$H37),INDEX('Forecast Prices'!$1:$1048576,'History and Forecast'!$G37,'History and Forecast'!AK$6))</f>
        <v>#N/A</v>
      </c>
      <c r="AL37" s="17" t="e">
        <f>IF(AL$9,INDEX('Annual Real'!$1:$1048576,'History and Forecast'!AL$7,'History and Forecast'!$H37),INDEX('Forecast Prices'!$1:$1048576,'History and Forecast'!$G37,'History and Forecast'!AL$6))</f>
        <v>#N/A</v>
      </c>
      <c r="AM37" s="17" t="e">
        <f>IF(AM$9,INDEX('Annual Real'!$1:$1048576,'History and Forecast'!AM$7,'History and Forecast'!$H37),INDEX('Forecast Prices'!$1:$1048576,'History and Forecast'!$G37,'History and Forecast'!AM$6))</f>
        <v>#N/A</v>
      </c>
      <c r="AN37" s="17" t="e">
        <f>IF(AN$9,INDEX('Annual Real'!$1:$1048576,'History and Forecast'!AN$7,'History and Forecast'!$H37),INDEX('Forecast Prices'!$1:$1048576,'History and Forecast'!$G37,'History and Forecast'!AN$6))</f>
        <v>#N/A</v>
      </c>
      <c r="AO37" s="17" t="e">
        <f>IF(AO$9,INDEX('Annual Real'!$1:$1048576,'History and Forecast'!AO$7,'History and Forecast'!$H37),INDEX('Forecast Prices'!$1:$1048576,'History and Forecast'!$G37,'History and Forecast'!AO$6))</f>
        <v>#N/A</v>
      </c>
      <c r="AP37" s="17" t="e">
        <f>IF(AP$9,INDEX('Annual Real'!$1:$1048576,'History and Forecast'!AP$7,'History and Forecast'!$H37),INDEX('Forecast Prices'!$1:$1048576,'History and Forecast'!$G37,'History and Forecast'!AP$6))</f>
        <v>#N/A</v>
      </c>
      <c r="AQ37" s="17" t="e">
        <f>IF(AQ$9,INDEX('Annual Real'!$1:$1048576,'History and Forecast'!AQ$7,'History and Forecast'!$H37),INDEX('Forecast Prices'!$1:$1048576,'History and Forecast'!$G37,'History and Forecast'!AQ$6))</f>
        <v>#N/A</v>
      </c>
      <c r="AR37" s="17" t="e">
        <f>IF(AR$9,INDEX('Annual Real'!$1:$1048576,'History and Forecast'!AR$7,'History and Forecast'!$H37),INDEX('Forecast Prices'!$1:$1048576,'History and Forecast'!$G37,'History and Forecast'!AR$6))</f>
        <v>#N/A</v>
      </c>
      <c r="AS37" s="17" t="e">
        <f>IF(AS$9,INDEX('Annual Real'!$1:$1048576,'History and Forecast'!AS$7,'History and Forecast'!$H37),INDEX('Forecast Prices'!$1:$1048576,'History and Forecast'!$G37,'History and Forecast'!AS$6))</f>
        <v>#N/A</v>
      </c>
      <c r="AT37" s="17" t="e">
        <f>IF(AT$9,INDEX('Annual Real'!$1:$1048576,'History and Forecast'!AT$7,'History and Forecast'!$H37),INDEX('Forecast Prices'!$1:$1048576,'History and Forecast'!$G37,'History and Forecast'!AT$6))</f>
        <v>#N/A</v>
      </c>
      <c r="AU37" s="17" t="e">
        <f>IF(AU$9,INDEX('Annual Real'!$1:$1048576,'History and Forecast'!AU$7,'History and Forecast'!$H37),INDEX('Forecast Prices'!$1:$1048576,'History and Forecast'!$G37,'History and Forecast'!AU$6))</f>
        <v>#N/A</v>
      </c>
      <c r="AV37" s="17" t="e">
        <f>IF(AV$9,INDEX('Annual Real'!$1:$1048576,'History and Forecast'!AV$7,'History and Forecast'!$H37),INDEX('Forecast Prices'!$1:$1048576,'History and Forecast'!$G37,'History and Forecast'!AV$6))</f>
        <v>#N/A</v>
      </c>
      <c r="AW37" s="17" t="e">
        <f>IF(AW$9,INDEX('Annual Real'!$1:$1048576,'History and Forecast'!AW$7,'History and Forecast'!$H37),INDEX('Forecast Prices'!$1:$1048576,'History and Forecast'!$G37,'History and Forecast'!AW$6))</f>
        <v>#N/A</v>
      </c>
      <c r="AX37" s="17" t="e">
        <f>IF(AX$9,INDEX('Annual Real'!$1:$1048576,'History and Forecast'!AX$7,'History and Forecast'!$H37),INDEX('Forecast Prices'!$1:$1048576,'History and Forecast'!$G37,'History and Forecast'!AX$6))</f>
        <v>#N/A</v>
      </c>
      <c r="AY37" s="17" t="e">
        <f>IF(AY$9,INDEX('Annual Real'!$1:$1048576,'History and Forecast'!AY$7,'History and Forecast'!$H37),INDEX('Forecast Prices'!$1:$1048576,'History and Forecast'!$G37,'History and Forecast'!AY$6))</f>
        <v>#N/A</v>
      </c>
      <c r="AZ37" s="17" t="e">
        <f>IF(AZ$9,INDEX('Annual Real'!$1:$1048576,'History and Forecast'!AZ$7,'History and Forecast'!$H37),INDEX('Forecast Prices'!$1:$1048576,'History and Forecast'!$G37,'History and Forecast'!AZ$6))</f>
        <v>#N/A</v>
      </c>
      <c r="BA37" s="17" t="e">
        <f>IF(BA$9,INDEX('Annual Real'!$1:$1048576,'History and Forecast'!BA$7,'History and Forecast'!$H37),INDEX('Forecast Prices'!$1:$1048576,'History and Forecast'!$G37,'History and Forecast'!BA$6))</f>
        <v>#N/A</v>
      </c>
      <c r="BB37" s="17" t="e">
        <f>IF(BB$9,INDEX('Annual Real'!$1:$1048576,'History and Forecast'!BB$7,'History and Forecast'!$H37),INDEX('Forecast Prices'!$1:$1048576,'History and Forecast'!$G37,'History and Forecast'!BB$6))</f>
        <v>#N/A</v>
      </c>
      <c r="BC37" s="17" t="e">
        <f>IF(BC$9,INDEX('Annual Real'!$1:$1048576,'History and Forecast'!BC$7,'History and Forecast'!$H37),INDEX('Forecast Prices'!$1:$1048576,'History and Forecast'!$G37,'History and Forecast'!BC$6))</f>
        <v>#N/A</v>
      </c>
      <c r="BD37" s="17" t="e">
        <f>IF(BD$9,INDEX('Annual Real'!$1:$1048576,'History and Forecast'!BD$7,'History and Forecast'!$H37),INDEX('Forecast Prices'!$1:$1048576,'History and Forecast'!$G37,'History and Forecast'!BD$6))</f>
        <v>#N/A</v>
      </c>
      <c r="BE37" s="17" t="e">
        <f>IF(BE$9,INDEX('Annual Real'!$1:$1048576,'History and Forecast'!BE$7,'History and Forecast'!$H37),INDEX('Forecast Prices'!$1:$1048576,'History and Forecast'!$G37,'History and Forecast'!BE$6))</f>
        <v>#N/A</v>
      </c>
      <c r="BF37" s="17" t="e">
        <f>IF(BF$9,INDEX('Annual Real'!$1:$1048576,'History and Forecast'!BF$7,'History and Forecast'!$H37),INDEX('Forecast Prices'!$1:$1048576,'History and Forecast'!$G37,'History and Forecast'!BF$6))</f>
        <v>#N/A</v>
      </c>
      <c r="BG37" s="17" t="e">
        <f>IF(BG$9,INDEX('Annual Real'!$1:$1048576,'History and Forecast'!BG$7,'History and Forecast'!$H37),INDEX('Forecast Prices'!$1:$1048576,'History and Forecast'!$G37,'History and Forecast'!BG$6))</f>
        <v>#N/A</v>
      </c>
      <c r="BH37" s="17" t="e">
        <f>IF(BH$9,INDEX('Annual Real'!$1:$1048576,'History and Forecast'!BH$7,'History and Forecast'!$H37),INDEX('Forecast Prices'!$1:$1048576,'History and Forecast'!$G37,'History and Forecast'!BH$6))</f>
        <v>#N/A</v>
      </c>
      <c r="BI37" s="17" t="e">
        <f>IF(BI$9,INDEX('Annual Real'!$1:$1048576,'History and Forecast'!BI$7,'History and Forecast'!$H37),INDEX('Forecast Prices'!$1:$1048576,'History and Forecast'!$G37,'History and Forecast'!BI$6))</f>
        <v>#N/A</v>
      </c>
      <c r="BJ37" s="17" t="e">
        <f>IF(BJ$9,INDEX('Annual Real'!$1:$1048576,'History and Forecast'!BJ$7,'History and Forecast'!$H37),INDEX('Forecast Prices'!$1:$1048576,'History and Forecast'!$G37,'History and Forecast'!BJ$6))</f>
        <v>#N/A</v>
      </c>
      <c r="BK37" s="17" t="e">
        <f>IF(BK$9,INDEX('Annual Real'!$1:$1048576,'History and Forecast'!BK$7,'History and Forecast'!$H37),INDEX('Forecast Prices'!$1:$1048576,'History and Forecast'!$G37,'History and Forecast'!BK$6))</f>
        <v>#N/A</v>
      </c>
      <c r="BL37" s="17" t="e">
        <f>IF(BL$9,INDEX('Annual Real'!$1:$1048576,'History and Forecast'!BL$7,'History and Forecast'!$H37),INDEX('Forecast Prices'!$1:$1048576,'History and Forecast'!$G37,'History and Forecast'!BL$6))</f>
        <v>#N/A</v>
      </c>
      <c r="BM37" s="17" t="e">
        <f>IF(BM$9,INDEX('Annual Real'!$1:$1048576,'History and Forecast'!BM$7,'History and Forecast'!$H37),INDEX('Forecast Prices'!$1:$1048576,'History and Forecast'!$G37,'History and Forecast'!BM$6))</f>
        <v>#N/A</v>
      </c>
      <c r="BN37" s="17" t="e">
        <f>IF(BN$9,INDEX('Annual Real'!$1:$1048576,'History and Forecast'!BN$7,'History and Forecast'!$H37),INDEX('Forecast Prices'!$1:$1048576,'History and Forecast'!$G37,'History and Forecast'!BN$6))</f>
        <v>#N/A</v>
      </c>
      <c r="BO37" s="17">
        <f>IF(BO$9,INDEX('Annual Real'!$1:$1048576,'History and Forecast'!BO$7,'History and Forecast'!$H37),INDEX('Forecast Prices'!$1:$1048576,'History and Forecast'!$G37,'History and Forecast'!BO$6))</f>
        <v>785.77163137900595</v>
      </c>
      <c r="BP37" s="17">
        <f>IF(BP$9,INDEX('Annual Real'!$1:$1048576,'History and Forecast'!BP$7,'History and Forecast'!$H37),INDEX('Forecast Prices'!$1:$1048576,'History and Forecast'!$G37,'History and Forecast'!BP$6))</f>
        <v>721.70307067302895</v>
      </c>
      <c r="BQ37" s="17">
        <f>IF(BQ$9,INDEX('Annual Real'!$1:$1048576,'History and Forecast'!BQ$7,'History and Forecast'!$H37),INDEX('Forecast Prices'!$1:$1048576,'History and Forecast'!$G37,'History and Forecast'!BQ$6))</f>
        <v>714.66227143417802</v>
      </c>
      <c r="BR37" s="17">
        <f>IF(BR$9,INDEX('Annual Real'!$1:$1048576,'History and Forecast'!BR$7,'History and Forecast'!$H37),INDEX('Forecast Prices'!$1:$1048576,'History and Forecast'!$G37,'History and Forecast'!BR$6))</f>
        <v>693.11387858671799</v>
      </c>
      <c r="BS37" s="17">
        <f>IF(BS$9,INDEX('Annual Real'!$1:$1048576,'History and Forecast'!BS$7,'History and Forecast'!$H37),INDEX('Forecast Prices'!$1:$1048576,'History and Forecast'!$G37,'History and Forecast'!BS$6))</f>
        <v>691.88474060043495</v>
      </c>
      <c r="BT37" s="17">
        <f>IF(BT$9,INDEX('Annual Real'!$1:$1048576,'History and Forecast'!BT$7,'History and Forecast'!$H37),INDEX('Forecast Prices'!$1:$1048576,'History and Forecast'!$G37,'History and Forecast'!BT$6))</f>
        <v>690.82737368685002</v>
      </c>
      <c r="BU37" s="17">
        <f>IF(BU$9,INDEX('Annual Real'!$1:$1048576,'History and Forecast'!BU$7,'History and Forecast'!$H37),INDEX('Forecast Prices'!$1:$1048576,'History and Forecast'!$G37,'History and Forecast'!BU$6))</f>
        <v>689.21868368149501</v>
      </c>
      <c r="BV37" s="17">
        <f>IF(BV$9,INDEX('Annual Real'!$1:$1048576,'History and Forecast'!BV$7,'History and Forecast'!$H37),INDEX('Forecast Prices'!$1:$1048576,'History and Forecast'!$G37,'History and Forecast'!BV$6))</f>
        <v>687.67442477783698</v>
      </c>
      <c r="BW37" s="17">
        <f>IF(BW$9,INDEX('Annual Real'!$1:$1048576,'History and Forecast'!BW$7,'History and Forecast'!$H37),INDEX('Forecast Prices'!$1:$1048576,'History and Forecast'!$G37,'History and Forecast'!BW$6))</f>
        <v>686.13339839500202</v>
      </c>
      <c r="BX37" s="17">
        <f>IF(BX$9,INDEX('Annual Real'!$1:$1048576,'History and Forecast'!BX$7,'History and Forecast'!$H37),INDEX('Forecast Prices'!$1:$1048576,'History and Forecast'!$G37,'History and Forecast'!BX$6))</f>
        <v>684.55634208111996</v>
      </c>
      <c r="BY37" s="17" t="e">
        <f>IF(BY$9,INDEX('Annual Real'!$1:$1048576,'History and Forecast'!BY$7,'History and Forecast'!$H37),INDEX('Forecast Prices'!$1:$1048576,'History and Forecast'!$G37,'History and Forecast'!BY$6))</f>
        <v>#N/A</v>
      </c>
      <c r="BZ37" s="17" t="e">
        <f>IF(BZ$9,INDEX('Annual Real'!$1:$1048576,'History and Forecast'!BZ$7,'History and Forecast'!$H37),INDEX('Forecast Prices'!$1:$1048576,'History and Forecast'!$G37,'History and Forecast'!BZ$6))</f>
        <v>#N/A</v>
      </c>
      <c r="CA37" s="17" t="e">
        <f>IF(CA$9,INDEX('Annual Real'!$1:$1048576,'History and Forecast'!CA$7,'History and Forecast'!$H37),INDEX('Forecast Prices'!$1:$1048576,'History and Forecast'!$G37,'History and Forecast'!CA$6))</f>
        <v>#N/A</v>
      </c>
      <c r="CB37" s="17" t="e">
        <f>IF(CB$9,INDEX('Annual Real'!$1:$1048576,'History and Forecast'!CB$7,'History and Forecast'!$H37),INDEX('Forecast Prices'!$1:$1048576,'History and Forecast'!$G37,'History and Forecast'!CB$6))</f>
        <v>#N/A</v>
      </c>
      <c r="CC37" s="17">
        <f>IF(CC$9,INDEX('Annual Real'!$1:$1048576,'History and Forecast'!CC$7,'History and Forecast'!$H37),INDEX('Forecast Prices'!$1:$1048576,'History and Forecast'!$G37,'History and Forecast'!CC$6))</f>
        <v>675.691513733698</v>
      </c>
      <c r="CD37" s="17" t="e">
        <f>IF(CD$9,INDEX('Annual Real'!$1:$1048576,'History and Forecast'!CD$7,'History and Forecast'!$H37),INDEX('Forecast Prices'!$1:$1048576,'History and Forecast'!$G37,'History and Forecast'!CD$6))</f>
        <v>#N/A</v>
      </c>
      <c r="CE37" s="17" t="e">
        <f>IF(CE$9,INDEX('Annual Real'!$1:$1048576,'History and Forecast'!CE$7,'History and Forecast'!$H37),INDEX('Forecast Prices'!$1:$1048576,'History and Forecast'!$G37,'History and Forecast'!CE$6))</f>
        <v>#N/A</v>
      </c>
      <c r="CF37" s="17" t="e">
        <f>IF(CF$9,INDEX('Annual Real'!$1:$1048576,'History and Forecast'!CF$7,'History and Forecast'!$H37),INDEX('Forecast Prices'!$1:$1048576,'History and Forecast'!$G37,'History and Forecast'!CF$6))</f>
        <v>#N/A</v>
      </c>
      <c r="CG37" s="17" t="e">
        <f>IF(CG$9,INDEX('Annual Real'!$1:$1048576,'History and Forecast'!CG$7,'History and Forecast'!$H37),INDEX('Forecast Prices'!$1:$1048576,'History and Forecast'!$G37,'History and Forecast'!CG$6))</f>
        <v>#N/A</v>
      </c>
      <c r="CH37" s="17" t="e">
        <f>IF(CH$9,INDEX('Annual Real'!$1:$1048576,'History and Forecast'!CH$7,'History and Forecast'!$H37),INDEX('Forecast Prices'!$1:$1048576,'History and Forecast'!$G37,'History and Forecast'!CH$6))</f>
        <v>#N/A</v>
      </c>
      <c r="CI37" s="17" t="e">
        <f>IF(CI$9,INDEX('Annual Real'!$1:$1048576,'History and Forecast'!CI$7,'History and Forecast'!$H37),INDEX('Forecast Prices'!$1:$1048576,'History and Forecast'!$G37,'History and Forecast'!CI$6))</f>
        <v>#N/A</v>
      </c>
    </row>
    <row r="38" spans="2:87">
      <c r="B38" t="str">
        <f t="shared" si="4"/>
        <v>COTTON_A_INDX</v>
      </c>
      <c r="C38" s="34" t="s">
        <v>1089</v>
      </c>
      <c r="D38" t="str">
        <f t="shared" si="5"/>
        <v>KCOTTON_A_INDX</v>
      </c>
      <c r="E38" s="34" t="str">
        <f t="shared" si="6"/>
        <v>KFCOTTON_A_INDX</v>
      </c>
      <c r="F38">
        <f>MATCH(C38,'Forecast Prices'!A:A,0)</f>
        <v>49</v>
      </c>
      <c r="G38">
        <f>MATCH(E38,'Forecast Prices'!A:A,0)</f>
        <v>131</v>
      </c>
      <c r="H38" t="e">
        <f>MATCH(D38,'Annual Real'!$9:$9,0)</f>
        <v>#N/A</v>
      </c>
      <c r="I38" t="str">
        <f>INDEX('Forecast Prices'!B:B,'History and Forecast'!F38)&amp;INDEX('Forecast Prices'!C:C,'History and Forecast'!F38)&amp;INDEX('Forecast Prices'!D:D,'History and Forecast'!F38)&amp;INDEX('Forecast Prices'!E:E,'History and Forecast'!F38)</f>
        <v>Cotton A Index</v>
      </c>
      <c r="J38" t="str">
        <f>INDEX('Forecast Prices'!H:H,'History and Forecast'!F38)</f>
        <v>$/kg</v>
      </c>
      <c r="K38" s="17" t="e">
        <f>IF(K$9,INDEX('Annual Real'!$1:$1048576,'History and Forecast'!K$7,'History and Forecast'!$H38),INDEX('Forecast Prices'!$1:$1048576,'History and Forecast'!$G38,'History and Forecast'!K$6))</f>
        <v>#N/A</v>
      </c>
      <c r="L38" s="17" t="e">
        <f>IF(L$9,INDEX('Annual Real'!$1:$1048576,'History and Forecast'!L$7,'History and Forecast'!$H38),INDEX('Forecast Prices'!$1:$1048576,'History and Forecast'!$G38,'History and Forecast'!L$6))</f>
        <v>#N/A</v>
      </c>
      <c r="M38" s="17" t="e">
        <f>IF(M$9,INDEX('Annual Real'!$1:$1048576,'History and Forecast'!M$7,'History and Forecast'!$H38),INDEX('Forecast Prices'!$1:$1048576,'History and Forecast'!$G38,'History and Forecast'!M$6))</f>
        <v>#N/A</v>
      </c>
      <c r="N38" s="17" t="e">
        <f>IF(N$9,INDEX('Annual Real'!$1:$1048576,'History and Forecast'!N$7,'History and Forecast'!$H38),INDEX('Forecast Prices'!$1:$1048576,'History and Forecast'!$G38,'History and Forecast'!N$6))</f>
        <v>#N/A</v>
      </c>
      <c r="O38" s="17" t="e">
        <f>IF(O$9,INDEX('Annual Real'!$1:$1048576,'History and Forecast'!O$7,'History and Forecast'!$H38),INDEX('Forecast Prices'!$1:$1048576,'History and Forecast'!$G38,'History and Forecast'!O$6))</f>
        <v>#N/A</v>
      </c>
      <c r="P38" s="17" t="e">
        <f>IF(P$9,INDEX('Annual Real'!$1:$1048576,'History and Forecast'!P$7,'History and Forecast'!$H38),INDEX('Forecast Prices'!$1:$1048576,'History and Forecast'!$G38,'History and Forecast'!P$6))</f>
        <v>#N/A</v>
      </c>
      <c r="Q38" s="17" t="e">
        <f>IF(Q$9,INDEX('Annual Real'!$1:$1048576,'History and Forecast'!Q$7,'History and Forecast'!$H38),INDEX('Forecast Prices'!$1:$1048576,'History and Forecast'!$G38,'History and Forecast'!Q$6))</f>
        <v>#N/A</v>
      </c>
      <c r="R38" s="17" t="e">
        <f>IF(R$9,INDEX('Annual Real'!$1:$1048576,'History and Forecast'!R$7,'History and Forecast'!$H38),INDEX('Forecast Prices'!$1:$1048576,'History and Forecast'!$G38,'History and Forecast'!R$6))</f>
        <v>#N/A</v>
      </c>
      <c r="S38" s="17" t="e">
        <f>IF(S$9,INDEX('Annual Real'!$1:$1048576,'History and Forecast'!S$7,'History and Forecast'!$H38),INDEX('Forecast Prices'!$1:$1048576,'History and Forecast'!$G38,'History and Forecast'!S$6))</f>
        <v>#N/A</v>
      </c>
      <c r="T38" s="17" t="e">
        <f>IF(T$9,INDEX('Annual Real'!$1:$1048576,'History and Forecast'!T$7,'History and Forecast'!$H38),INDEX('Forecast Prices'!$1:$1048576,'History and Forecast'!$G38,'History and Forecast'!T$6))</f>
        <v>#N/A</v>
      </c>
      <c r="U38" s="17" t="e">
        <f>IF(U$9,INDEX('Annual Real'!$1:$1048576,'History and Forecast'!U$7,'History and Forecast'!$H38),INDEX('Forecast Prices'!$1:$1048576,'History and Forecast'!$G38,'History and Forecast'!U$6))</f>
        <v>#N/A</v>
      </c>
      <c r="V38" s="17" t="e">
        <f>IF(V$9,INDEX('Annual Real'!$1:$1048576,'History and Forecast'!V$7,'History and Forecast'!$H38),INDEX('Forecast Prices'!$1:$1048576,'History and Forecast'!$G38,'History and Forecast'!V$6))</f>
        <v>#N/A</v>
      </c>
      <c r="W38" s="17" t="e">
        <f>IF(W$9,INDEX('Annual Real'!$1:$1048576,'History and Forecast'!W$7,'History and Forecast'!$H38),INDEX('Forecast Prices'!$1:$1048576,'History and Forecast'!$G38,'History and Forecast'!W$6))</f>
        <v>#N/A</v>
      </c>
      <c r="X38" s="17" t="e">
        <f>IF(X$9,INDEX('Annual Real'!$1:$1048576,'History and Forecast'!X$7,'History and Forecast'!$H38),INDEX('Forecast Prices'!$1:$1048576,'History and Forecast'!$G38,'History and Forecast'!X$6))</f>
        <v>#N/A</v>
      </c>
      <c r="Y38" s="17" t="e">
        <f>IF(Y$9,INDEX('Annual Real'!$1:$1048576,'History and Forecast'!Y$7,'History and Forecast'!$H38),INDEX('Forecast Prices'!$1:$1048576,'History and Forecast'!$G38,'History and Forecast'!Y$6))</f>
        <v>#N/A</v>
      </c>
      <c r="Z38" s="17" t="e">
        <f>IF(Z$9,INDEX('Annual Real'!$1:$1048576,'History and Forecast'!Z$7,'History and Forecast'!$H38),INDEX('Forecast Prices'!$1:$1048576,'History and Forecast'!$G38,'History and Forecast'!Z$6))</f>
        <v>#N/A</v>
      </c>
      <c r="AA38" s="17" t="e">
        <f>IF(AA$9,INDEX('Annual Real'!$1:$1048576,'History and Forecast'!AA$7,'History and Forecast'!$H38),INDEX('Forecast Prices'!$1:$1048576,'History and Forecast'!$G38,'History and Forecast'!AA$6))</f>
        <v>#N/A</v>
      </c>
      <c r="AB38" s="17" t="e">
        <f>IF(AB$9,INDEX('Annual Real'!$1:$1048576,'History and Forecast'!AB$7,'History and Forecast'!$H38),INDEX('Forecast Prices'!$1:$1048576,'History and Forecast'!$G38,'History and Forecast'!AB$6))</f>
        <v>#N/A</v>
      </c>
      <c r="AC38" s="17" t="e">
        <f>IF(AC$9,INDEX('Annual Real'!$1:$1048576,'History and Forecast'!AC$7,'History and Forecast'!$H38),INDEX('Forecast Prices'!$1:$1048576,'History and Forecast'!$G38,'History and Forecast'!AC$6))</f>
        <v>#N/A</v>
      </c>
      <c r="AD38" s="17" t="e">
        <f>IF(AD$9,INDEX('Annual Real'!$1:$1048576,'History and Forecast'!AD$7,'History and Forecast'!$H38),INDEX('Forecast Prices'!$1:$1048576,'History and Forecast'!$G38,'History and Forecast'!AD$6))</f>
        <v>#N/A</v>
      </c>
      <c r="AE38" s="17" t="e">
        <f>IF(AE$9,INDEX('Annual Real'!$1:$1048576,'History and Forecast'!AE$7,'History and Forecast'!$H38),INDEX('Forecast Prices'!$1:$1048576,'History and Forecast'!$G38,'History and Forecast'!AE$6))</f>
        <v>#N/A</v>
      </c>
      <c r="AF38" s="17" t="e">
        <f>IF(AF$9,INDEX('Annual Real'!$1:$1048576,'History and Forecast'!AF$7,'History and Forecast'!$H38),INDEX('Forecast Prices'!$1:$1048576,'History and Forecast'!$G38,'History and Forecast'!AF$6))</f>
        <v>#N/A</v>
      </c>
      <c r="AG38" s="17" t="e">
        <f>IF(AG$9,INDEX('Annual Real'!$1:$1048576,'History and Forecast'!AG$7,'History and Forecast'!$H38),INDEX('Forecast Prices'!$1:$1048576,'History and Forecast'!$G38,'History and Forecast'!AG$6))</f>
        <v>#N/A</v>
      </c>
      <c r="AH38" s="17" t="e">
        <f>IF(AH$9,INDEX('Annual Real'!$1:$1048576,'History and Forecast'!AH$7,'History and Forecast'!$H38),INDEX('Forecast Prices'!$1:$1048576,'History and Forecast'!$G38,'History and Forecast'!AH$6))</f>
        <v>#N/A</v>
      </c>
      <c r="AI38" s="17" t="e">
        <f>IF(AI$9,INDEX('Annual Real'!$1:$1048576,'History and Forecast'!AI$7,'History and Forecast'!$H38),INDEX('Forecast Prices'!$1:$1048576,'History and Forecast'!$G38,'History and Forecast'!AI$6))</f>
        <v>#N/A</v>
      </c>
      <c r="AJ38" s="17" t="e">
        <f>IF(AJ$9,INDEX('Annual Real'!$1:$1048576,'History and Forecast'!AJ$7,'History and Forecast'!$H38),INDEX('Forecast Prices'!$1:$1048576,'History and Forecast'!$G38,'History and Forecast'!AJ$6))</f>
        <v>#N/A</v>
      </c>
      <c r="AK38" s="17" t="e">
        <f>IF(AK$9,INDEX('Annual Real'!$1:$1048576,'History and Forecast'!AK$7,'History and Forecast'!$H38),INDEX('Forecast Prices'!$1:$1048576,'History and Forecast'!$G38,'History and Forecast'!AK$6))</f>
        <v>#N/A</v>
      </c>
      <c r="AL38" s="17" t="e">
        <f>IF(AL$9,INDEX('Annual Real'!$1:$1048576,'History and Forecast'!AL$7,'History and Forecast'!$H38),INDEX('Forecast Prices'!$1:$1048576,'History and Forecast'!$G38,'History and Forecast'!AL$6))</f>
        <v>#N/A</v>
      </c>
      <c r="AM38" s="17" t="e">
        <f>IF(AM$9,INDEX('Annual Real'!$1:$1048576,'History and Forecast'!AM$7,'History and Forecast'!$H38),INDEX('Forecast Prices'!$1:$1048576,'History and Forecast'!$G38,'History and Forecast'!AM$6))</f>
        <v>#N/A</v>
      </c>
      <c r="AN38" s="17" t="e">
        <f>IF(AN$9,INDEX('Annual Real'!$1:$1048576,'History and Forecast'!AN$7,'History and Forecast'!$H38),INDEX('Forecast Prices'!$1:$1048576,'History and Forecast'!$G38,'History and Forecast'!AN$6))</f>
        <v>#N/A</v>
      </c>
      <c r="AO38" s="17" t="e">
        <f>IF(AO$9,INDEX('Annual Real'!$1:$1048576,'History and Forecast'!AO$7,'History and Forecast'!$H38),INDEX('Forecast Prices'!$1:$1048576,'History and Forecast'!$G38,'History and Forecast'!AO$6))</f>
        <v>#N/A</v>
      </c>
      <c r="AP38" s="17" t="e">
        <f>IF(AP$9,INDEX('Annual Real'!$1:$1048576,'History and Forecast'!AP$7,'History and Forecast'!$H38),INDEX('Forecast Prices'!$1:$1048576,'History and Forecast'!$G38,'History and Forecast'!AP$6))</f>
        <v>#N/A</v>
      </c>
      <c r="AQ38" s="17" t="e">
        <f>IF(AQ$9,INDEX('Annual Real'!$1:$1048576,'History and Forecast'!AQ$7,'History and Forecast'!$H38),INDEX('Forecast Prices'!$1:$1048576,'History and Forecast'!$G38,'History and Forecast'!AQ$6))</f>
        <v>#N/A</v>
      </c>
      <c r="AR38" s="17" t="e">
        <f>IF(AR$9,INDEX('Annual Real'!$1:$1048576,'History and Forecast'!AR$7,'History and Forecast'!$H38),INDEX('Forecast Prices'!$1:$1048576,'History and Forecast'!$G38,'History and Forecast'!AR$6))</f>
        <v>#N/A</v>
      </c>
      <c r="AS38" s="17" t="e">
        <f>IF(AS$9,INDEX('Annual Real'!$1:$1048576,'History and Forecast'!AS$7,'History and Forecast'!$H38),INDEX('Forecast Prices'!$1:$1048576,'History and Forecast'!$G38,'History and Forecast'!AS$6))</f>
        <v>#N/A</v>
      </c>
      <c r="AT38" s="17" t="e">
        <f>IF(AT$9,INDEX('Annual Real'!$1:$1048576,'History and Forecast'!AT$7,'History and Forecast'!$H38),INDEX('Forecast Prices'!$1:$1048576,'History and Forecast'!$G38,'History and Forecast'!AT$6))</f>
        <v>#N/A</v>
      </c>
      <c r="AU38" s="17" t="e">
        <f>IF(AU$9,INDEX('Annual Real'!$1:$1048576,'History and Forecast'!AU$7,'History and Forecast'!$H38),INDEX('Forecast Prices'!$1:$1048576,'History and Forecast'!$G38,'History and Forecast'!AU$6))</f>
        <v>#N/A</v>
      </c>
      <c r="AV38" s="17" t="e">
        <f>IF(AV$9,INDEX('Annual Real'!$1:$1048576,'History and Forecast'!AV$7,'History and Forecast'!$H38),INDEX('Forecast Prices'!$1:$1048576,'History and Forecast'!$G38,'History and Forecast'!AV$6))</f>
        <v>#N/A</v>
      </c>
      <c r="AW38" s="17" t="e">
        <f>IF(AW$9,INDEX('Annual Real'!$1:$1048576,'History and Forecast'!AW$7,'History and Forecast'!$H38),INDEX('Forecast Prices'!$1:$1048576,'History and Forecast'!$G38,'History and Forecast'!AW$6))</f>
        <v>#N/A</v>
      </c>
      <c r="AX38" s="17" t="e">
        <f>IF(AX$9,INDEX('Annual Real'!$1:$1048576,'History and Forecast'!AX$7,'History and Forecast'!$H38),INDEX('Forecast Prices'!$1:$1048576,'History and Forecast'!$G38,'History and Forecast'!AX$6))</f>
        <v>#N/A</v>
      </c>
      <c r="AY38" s="17" t="e">
        <f>IF(AY$9,INDEX('Annual Real'!$1:$1048576,'History and Forecast'!AY$7,'History and Forecast'!$H38),INDEX('Forecast Prices'!$1:$1048576,'History and Forecast'!$G38,'History and Forecast'!AY$6))</f>
        <v>#N/A</v>
      </c>
      <c r="AZ38" s="17" t="e">
        <f>IF(AZ$9,INDEX('Annual Real'!$1:$1048576,'History and Forecast'!AZ$7,'History and Forecast'!$H38),INDEX('Forecast Prices'!$1:$1048576,'History and Forecast'!$G38,'History and Forecast'!AZ$6))</f>
        <v>#N/A</v>
      </c>
      <c r="BA38" s="17" t="e">
        <f>IF(BA$9,INDEX('Annual Real'!$1:$1048576,'History and Forecast'!BA$7,'History and Forecast'!$H38),INDEX('Forecast Prices'!$1:$1048576,'History and Forecast'!$G38,'History and Forecast'!BA$6))</f>
        <v>#N/A</v>
      </c>
      <c r="BB38" s="17" t="e">
        <f>IF(BB$9,INDEX('Annual Real'!$1:$1048576,'History and Forecast'!BB$7,'History and Forecast'!$H38),INDEX('Forecast Prices'!$1:$1048576,'History and Forecast'!$G38,'History and Forecast'!BB$6))</f>
        <v>#N/A</v>
      </c>
      <c r="BC38" s="17" t="e">
        <f>IF(BC$9,INDEX('Annual Real'!$1:$1048576,'History and Forecast'!BC$7,'History and Forecast'!$H38),INDEX('Forecast Prices'!$1:$1048576,'History and Forecast'!$G38,'History and Forecast'!BC$6))</f>
        <v>#N/A</v>
      </c>
      <c r="BD38" s="17" t="e">
        <f>IF(BD$9,INDEX('Annual Real'!$1:$1048576,'History and Forecast'!BD$7,'History and Forecast'!$H38),INDEX('Forecast Prices'!$1:$1048576,'History and Forecast'!$G38,'History and Forecast'!BD$6))</f>
        <v>#N/A</v>
      </c>
      <c r="BE38" s="17" t="e">
        <f>IF(BE$9,INDEX('Annual Real'!$1:$1048576,'History and Forecast'!BE$7,'History and Forecast'!$H38),INDEX('Forecast Prices'!$1:$1048576,'History and Forecast'!$G38,'History and Forecast'!BE$6))</f>
        <v>#N/A</v>
      </c>
      <c r="BF38" s="17" t="e">
        <f>IF(BF$9,INDEX('Annual Real'!$1:$1048576,'History and Forecast'!BF$7,'History and Forecast'!$H38),INDEX('Forecast Prices'!$1:$1048576,'History and Forecast'!$G38,'History and Forecast'!BF$6))</f>
        <v>#N/A</v>
      </c>
      <c r="BG38" s="17" t="e">
        <f>IF(BG$9,INDEX('Annual Real'!$1:$1048576,'History and Forecast'!BG$7,'History and Forecast'!$H38),INDEX('Forecast Prices'!$1:$1048576,'History and Forecast'!$G38,'History and Forecast'!BG$6))</f>
        <v>#N/A</v>
      </c>
      <c r="BH38" s="17" t="e">
        <f>IF(BH$9,INDEX('Annual Real'!$1:$1048576,'History and Forecast'!BH$7,'History and Forecast'!$H38),INDEX('Forecast Prices'!$1:$1048576,'History and Forecast'!$G38,'History and Forecast'!BH$6))</f>
        <v>#N/A</v>
      </c>
      <c r="BI38" s="17" t="e">
        <f>IF(BI$9,INDEX('Annual Real'!$1:$1048576,'History and Forecast'!BI$7,'History and Forecast'!$H38),INDEX('Forecast Prices'!$1:$1048576,'History and Forecast'!$G38,'History and Forecast'!BI$6))</f>
        <v>#N/A</v>
      </c>
      <c r="BJ38" s="17" t="e">
        <f>IF(BJ$9,INDEX('Annual Real'!$1:$1048576,'History and Forecast'!BJ$7,'History and Forecast'!$H38),INDEX('Forecast Prices'!$1:$1048576,'History and Forecast'!$G38,'History and Forecast'!BJ$6))</f>
        <v>#N/A</v>
      </c>
      <c r="BK38" s="17" t="e">
        <f>IF(BK$9,INDEX('Annual Real'!$1:$1048576,'History and Forecast'!BK$7,'History and Forecast'!$H38),INDEX('Forecast Prices'!$1:$1048576,'History and Forecast'!$G38,'History and Forecast'!BK$6))</f>
        <v>#N/A</v>
      </c>
      <c r="BL38" s="17" t="e">
        <f>IF(BL$9,INDEX('Annual Real'!$1:$1048576,'History and Forecast'!BL$7,'History and Forecast'!$H38),INDEX('Forecast Prices'!$1:$1048576,'History and Forecast'!$G38,'History and Forecast'!BL$6))</f>
        <v>#N/A</v>
      </c>
      <c r="BM38" s="17" t="e">
        <f>IF(BM$9,INDEX('Annual Real'!$1:$1048576,'History and Forecast'!BM$7,'History and Forecast'!$H38),INDEX('Forecast Prices'!$1:$1048576,'History and Forecast'!$G38,'History and Forecast'!BM$6))</f>
        <v>#N/A</v>
      </c>
      <c r="BN38" s="17" t="e">
        <f>IF(BN$9,INDEX('Annual Real'!$1:$1048576,'History and Forecast'!BN$7,'History and Forecast'!$H38),INDEX('Forecast Prices'!$1:$1048576,'History and Forecast'!$G38,'History and Forecast'!BN$6))</f>
        <v>#N/A</v>
      </c>
      <c r="BO38" s="17">
        <f>IF(BO$9,INDEX('Annual Real'!$1:$1048576,'History and Forecast'!BO$7,'History and Forecast'!$H38),INDEX('Forecast Prices'!$1:$1048576,'History and Forecast'!$G38,'History and Forecast'!BO$6))</f>
        <v>1.73995726255912</v>
      </c>
      <c r="BP38" s="17">
        <f>IF(BP$9,INDEX('Annual Real'!$1:$1048576,'History and Forecast'!BP$7,'History and Forecast'!$H38),INDEX('Forecast Prices'!$1:$1048576,'History and Forecast'!$G38,'History and Forecast'!BP$6))</f>
        <v>1.89441958746362</v>
      </c>
      <c r="BQ38" s="17">
        <f>IF(BQ$9,INDEX('Annual Real'!$1:$1048576,'History and Forecast'!BQ$7,'History and Forecast'!$H38),INDEX('Forecast Prices'!$1:$1048576,'History and Forecast'!$G38,'History and Forecast'!BQ$6))</f>
        <v>1.97782768837845</v>
      </c>
      <c r="BR38" s="17">
        <f>IF(BR$9,INDEX('Annual Real'!$1:$1048576,'History and Forecast'!BR$7,'History and Forecast'!$H38),INDEX('Forecast Prices'!$1:$1048576,'History and Forecast'!$G38,'History and Forecast'!BR$6))</f>
        <v>1.8097973496430899</v>
      </c>
      <c r="BS38" s="17">
        <f>IF(BS$9,INDEX('Annual Real'!$1:$1048576,'History and Forecast'!BS$7,'History and Forecast'!$H38),INDEX('Forecast Prices'!$1:$1048576,'History and Forecast'!$G38,'History and Forecast'!BS$6))</f>
        <v>1.80514331459525</v>
      </c>
      <c r="BT38" s="17">
        <f>IF(BT$9,INDEX('Annual Real'!$1:$1048576,'History and Forecast'!BT$7,'History and Forecast'!$H38),INDEX('Forecast Prices'!$1:$1048576,'History and Forecast'!$G38,'History and Forecast'!BT$6))</f>
        <v>1.8009433617669399</v>
      </c>
      <c r="BU38" s="17">
        <f>IF(BU$9,INDEX('Annual Real'!$1:$1048576,'History and Forecast'!BU$7,'History and Forecast'!$H38),INDEX('Forecast Prices'!$1:$1048576,'History and Forecast'!$G38,'History and Forecast'!BU$6))</f>
        <v>1.7953128563745999</v>
      </c>
      <c r="BV38" s="17">
        <f>IF(BV$9,INDEX('Annual Real'!$1:$1048576,'History and Forecast'!BV$7,'History and Forecast'!$H38),INDEX('Forecast Prices'!$1:$1048576,'History and Forecast'!$G38,'History and Forecast'!BV$6))</f>
        <v>1.78985790346219</v>
      </c>
      <c r="BW38" s="17">
        <f>IF(BW$9,INDEX('Annual Real'!$1:$1048576,'History and Forecast'!BW$7,'History and Forecast'!$H38),INDEX('Forecast Prices'!$1:$1048576,'History and Forecast'!$G38,'History and Forecast'!BW$6))</f>
        <v>1.78441893335533</v>
      </c>
      <c r="BX38" s="17">
        <f>IF(BX$9,INDEX('Annual Real'!$1:$1048576,'History and Forecast'!BX$7,'History and Forecast'!$H38),INDEX('Forecast Prices'!$1:$1048576,'History and Forecast'!$G38,'History and Forecast'!BX$6))</f>
        <v>1.7788938895198201</v>
      </c>
      <c r="BY38" s="17" t="e">
        <f>IF(BY$9,INDEX('Annual Real'!$1:$1048576,'History and Forecast'!BY$7,'History and Forecast'!$H38),INDEX('Forecast Prices'!$1:$1048576,'History and Forecast'!$G38,'History and Forecast'!BY$6))</f>
        <v>#N/A</v>
      </c>
      <c r="BZ38" s="17" t="e">
        <f>IF(BZ$9,INDEX('Annual Real'!$1:$1048576,'History and Forecast'!BZ$7,'History and Forecast'!$H38),INDEX('Forecast Prices'!$1:$1048576,'History and Forecast'!$G38,'History and Forecast'!BZ$6))</f>
        <v>#N/A</v>
      </c>
      <c r="CA38" s="17" t="e">
        <f>IF(CA$9,INDEX('Annual Real'!$1:$1048576,'History and Forecast'!CA$7,'History and Forecast'!$H38),INDEX('Forecast Prices'!$1:$1048576,'History and Forecast'!$G38,'History and Forecast'!CA$6))</f>
        <v>#N/A</v>
      </c>
      <c r="CB38" s="17" t="e">
        <f>IF(CB$9,INDEX('Annual Real'!$1:$1048576,'History and Forecast'!CB$7,'History and Forecast'!$H38),INDEX('Forecast Prices'!$1:$1048576,'History and Forecast'!$G38,'History and Forecast'!CB$6))</f>
        <v>#N/A</v>
      </c>
      <c r="CC38" s="17">
        <f>IF(CC$9,INDEX('Annual Real'!$1:$1048576,'History and Forecast'!CC$7,'History and Forecast'!$H38),INDEX('Forecast Prices'!$1:$1048576,'History and Forecast'!$G38,'History and Forecast'!CC$6))</f>
        <v>1.7488486237813401</v>
      </c>
      <c r="CD38" s="17" t="e">
        <f>IF(CD$9,INDEX('Annual Real'!$1:$1048576,'History and Forecast'!CD$7,'History and Forecast'!$H38),INDEX('Forecast Prices'!$1:$1048576,'History and Forecast'!$G38,'History and Forecast'!CD$6))</f>
        <v>#N/A</v>
      </c>
      <c r="CE38" s="17" t="e">
        <f>IF(CE$9,INDEX('Annual Real'!$1:$1048576,'History and Forecast'!CE$7,'History and Forecast'!$H38),INDEX('Forecast Prices'!$1:$1048576,'History and Forecast'!$G38,'History and Forecast'!CE$6))</f>
        <v>#N/A</v>
      </c>
      <c r="CF38" s="17" t="e">
        <f>IF(CF$9,INDEX('Annual Real'!$1:$1048576,'History and Forecast'!CF$7,'History and Forecast'!$H38),INDEX('Forecast Prices'!$1:$1048576,'History and Forecast'!$G38,'History and Forecast'!CF$6))</f>
        <v>#N/A</v>
      </c>
      <c r="CG38" s="17" t="e">
        <f>IF(CG$9,INDEX('Annual Real'!$1:$1048576,'History and Forecast'!CG$7,'History and Forecast'!$H38),INDEX('Forecast Prices'!$1:$1048576,'History and Forecast'!$G38,'History and Forecast'!CG$6))</f>
        <v>#N/A</v>
      </c>
      <c r="CH38" s="17" t="e">
        <f>IF(CH$9,INDEX('Annual Real'!$1:$1048576,'History and Forecast'!CH$7,'History and Forecast'!$H38),INDEX('Forecast Prices'!$1:$1048576,'History and Forecast'!$G38,'History and Forecast'!CH$6))</f>
        <v>#N/A</v>
      </c>
      <c r="CI38" s="17" t="e">
        <f>IF(CI$9,INDEX('Annual Real'!$1:$1048576,'History and Forecast'!CI$7,'History and Forecast'!$H38),INDEX('Forecast Prices'!$1:$1048576,'History and Forecast'!$G38,'History and Forecast'!CI$6))</f>
        <v>#N/A</v>
      </c>
    </row>
    <row r="39" spans="2:87">
      <c r="B39" t="str">
        <f t="shared" si="4"/>
        <v>RUBBER1_MYSG</v>
      </c>
      <c r="C39" s="34" t="s">
        <v>1091</v>
      </c>
      <c r="D39" t="str">
        <f t="shared" si="5"/>
        <v>KRUBBER1_MYSG</v>
      </c>
      <c r="E39" s="34" t="str">
        <f t="shared" si="6"/>
        <v>KFRUBBER1_MYSG</v>
      </c>
      <c r="F39">
        <f>MATCH(C39,'Forecast Prices'!A:A,0)</f>
        <v>50</v>
      </c>
      <c r="G39">
        <f>MATCH(E39,'Forecast Prices'!A:A,0)</f>
        <v>132</v>
      </c>
      <c r="H39" t="e">
        <f>MATCH(D39,'Annual Real'!$9:$9,0)</f>
        <v>#N/A</v>
      </c>
      <c r="I39" t="str">
        <f>INDEX('Forecast Prices'!B:B,'History and Forecast'!F39)&amp;INDEX('Forecast Prices'!C:C,'History and Forecast'!F39)&amp;INDEX('Forecast Prices'!D:D,'History and Forecast'!F39)&amp;INDEX('Forecast Prices'!E:E,'History and Forecast'!F39)</f>
        <v>Rubber, Malaysian</v>
      </c>
      <c r="J39" t="str">
        <f>INDEX('Forecast Prices'!H:H,'History and Forecast'!F39)</f>
        <v>$/kg</v>
      </c>
      <c r="K39" s="17" t="e">
        <f>IF(K$9,INDEX('Annual Real'!$1:$1048576,'History and Forecast'!K$7,'History and Forecast'!$H39),INDEX('Forecast Prices'!$1:$1048576,'History and Forecast'!$G39,'History and Forecast'!K$6))</f>
        <v>#N/A</v>
      </c>
      <c r="L39" s="17" t="e">
        <f>IF(L$9,INDEX('Annual Real'!$1:$1048576,'History and Forecast'!L$7,'History and Forecast'!$H39),INDEX('Forecast Prices'!$1:$1048576,'History and Forecast'!$G39,'History and Forecast'!L$6))</f>
        <v>#N/A</v>
      </c>
      <c r="M39" s="17" t="e">
        <f>IF(M$9,INDEX('Annual Real'!$1:$1048576,'History and Forecast'!M$7,'History and Forecast'!$H39),INDEX('Forecast Prices'!$1:$1048576,'History and Forecast'!$G39,'History and Forecast'!M$6))</f>
        <v>#N/A</v>
      </c>
      <c r="N39" s="17" t="e">
        <f>IF(N$9,INDEX('Annual Real'!$1:$1048576,'History and Forecast'!N$7,'History and Forecast'!$H39),INDEX('Forecast Prices'!$1:$1048576,'History and Forecast'!$G39,'History and Forecast'!N$6))</f>
        <v>#N/A</v>
      </c>
      <c r="O39" s="17" t="e">
        <f>IF(O$9,INDEX('Annual Real'!$1:$1048576,'History and Forecast'!O$7,'History and Forecast'!$H39),INDEX('Forecast Prices'!$1:$1048576,'History and Forecast'!$G39,'History and Forecast'!O$6))</f>
        <v>#N/A</v>
      </c>
      <c r="P39" s="17" t="e">
        <f>IF(P$9,INDEX('Annual Real'!$1:$1048576,'History and Forecast'!P$7,'History and Forecast'!$H39),INDEX('Forecast Prices'!$1:$1048576,'History and Forecast'!$G39,'History and Forecast'!P$6))</f>
        <v>#N/A</v>
      </c>
      <c r="Q39" s="17" t="e">
        <f>IF(Q$9,INDEX('Annual Real'!$1:$1048576,'History and Forecast'!Q$7,'History and Forecast'!$H39),INDEX('Forecast Prices'!$1:$1048576,'History and Forecast'!$G39,'History and Forecast'!Q$6))</f>
        <v>#N/A</v>
      </c>
      <c r="R39" s="17" t="e">
        <f>IF(R$9,INDEX('Annual Real'!$1:$1048576,'History and Forecast'!R$7,'History and Forecast'!$H39),INDEX('Forecast Prices'!$1:$1048576,'History and Forecast'!$G39,'History and Forecast'!R$6))</f>
        <v>#N/A</v>
      </c>
      <c r="S39" s="17" t="e">
        <f>IF(S$9,INDEX('Annual Real'!$1:$1048576,'History and Forecast'!S$7,'History and Forecast'!$H39),INDEX('Forecast Prices'!$1:$1048576,'History and Forecast'!$G39,'History and Forecast'!S$6))</f>
        <v>#N/A</v>
      </c>
      <c r="T39" s="17" t="e">
        <f>IF(T$9,INDEX('Annual Real'!$1:$1048576,'History and Forecast'!T$7,'History and Forecast'!$H39),INDEX('Forecast Prices'!$1:$1048576,'History and Forecast'!$G39,'History and Forecast'!T$6))</f>
        <v>#N/A</v>
      </c>
      <c r="U39" s="17" t="e">
        <f>IF(U$9,INDEX('Annual Real'!$1:$1048576,'History and Forecast'!U$7,'History and Forecast'!$H39),INDEX('Forecast Prices'!$1:$1048576,'History and Forecast'!$G39,'History and Forecast'!U$6))</f>
        <v>#N/A</v>
      </c>
      <c r="V39" s="17" t="e">
        <f>IF(V$9,INDEX('Annual Real'!$1:$1048576,'History and Forecast'!V$7,'History and Forecast'!$H39),INDEX('Forecast Prices'!$1:$1048576,'History and Forecast'!$G39,'History and Forecast'!V$6))</f>
        <v>#N/A</v>
      </c>
      <c r="W39" s="17" t="e">
        <f>IF(W$9,INDEX('Annual Real'!$1:$1048576,'History and Forecast'!W$7,'History and Forecast'!$H39),INDEX('Forecast Prices'!$1:$1048576,'History and Forecast'!$G39,'History and Forecast'!W$6))</f>
        <v>#N/A</v>
      </c>
      <c r="X39" s="17" t="e">
        <f>IF(X$9,INDEX('Annual Real'!$1:$1048576,'History and Forecast'!X$7,'History and Forecast'!$H39),INDEX('Forecast Prices'!$1:$1048576,'History and Forecast'!$G39,'History and Forecast'!X$6))</f>
        <v>#N/A</v>
      </c>
      <c r="Y39" s="17" t="e">
        <f>IF(Y$9,INDEX('Annual Real'!$1:$1048576,'History and Forecast'!Y$7,'History and Forecast'!$H39),INDEX('Forecast Prices'!$1:$1048576,'History and Forecast'!$G39,'History and Forecast'!Y$6))</f>
        <v>#N/A</v>
      </c>
      <c r="Z39" s="17" t="e">
        <f>IF(Z$9,INDEX('Annual Real'!$1:$1048576,'History and Forecast'!Z$7,'History and Forecast'!$H39),INDEX('Forecast Prices'!$1:$1048576,'History and Forecast'!$G39,'History and Forecast'!Z$6))</f>
        <v>#N/A</v>
      </c>
      <c r="AA39" s="17" t="e">
        <f>IF(AA$9,INDEX('Annual Real'!$1:$1048576,'History and Forecast'!AA$7,'History and Forecast'!$H39),INDEX('Forecast Prices'!$1:$1048576,'History and Forecast'!$G39,'History and Forecast'!AA$6))</f>
        <v>#N/A</v>
      </c>
      <c r="AB39" s="17" t="e">
        <f>IF(AB$9,INDEX('Annual Real'!$1:$1048576,'History and Forecast'!AB$7,'History and Forecast'!$H39),INDEX('Forecast Prices'!$1:$1048576,'History and Forecast'!$G39,'History and Forecast'!AB$6))</f>
        <v>#N/A</v>
      </c>
      <c r="AC39" s="17" t="e">
        <f>IF(AC$9,INDEX('Annual Real'!$1:$1048576,'History and Forecast'!AC$7,'History and Forecast'!$H39),INDEX('Forecast Prices'!$1:$1048576,'History and Forecast'!$G39,'History and Forecast'!AC$6))</f>
        <v>#N/A</v>
      </c>
      <c r="AD39" s="17" t="e">
        <f>IF(AD$9,INDEX('Annual Real'!$1:$1048576,'History and Forecast'!AD$7,'History and Forecast'!$H39),INDEX('Forecast Prices'!$1:$1048576,'History and Forecast'!$G39,'History and Forecast'!AD$6))</f>
        <v>#N/A</v>
      </c>
      <c r="AE39" s="17" t="e">
        <f>IF(AE$9,INDEX('Annual Real'!$1:$1048576,'History and Forecast'!AE$7,'History and Forecast'!$H39),INDEX('Forecast Prices'!$1:$1048576,'History and Forecast'!$G39,'History and Forecast'!AE$6))</f>
        <v>#N/A</v>
      </c>
      <c r="AF39" s="17" t="e">
        <f>IF(AF$9,INDEX('Annual Real'!$1:$1048576,'History and Forecast'!AF$7,'History and Forecast'!$H39),INDEX('Forecast Prices'!$1:$1048576,'History and Forecast'!$G39,'History and Forecast'!AF$6))</f>
        <v>#N/A</v>
      </c>
      <c r="AG39" s="17" t="e">
        <f>IF(AG$9,INDEX('Annual Real'!$1:$1048576,'History and Forecast'!AG$7,'History and Forecast'!$H39),INDEX('Forecast Prices'!$1:$1048576,'History and Forecast'!$G39,'History and Forecast'!AG$6))</f>
        <v>#N/A</v>
      </c>
      <c r="AH39" s="17" t="e">
        <f>IF(AH$9,INDEX('Annual Real'!$1:$1048576,'History and Forecast'!AH$7,'History and Forecast'!$H39),INDEX('Forecast Prices'!$1:$1048576,'History and Forecast'!$G39,'History and Forecast'!AH$6))</f>
        <v>#N/A</v>
      </c>
      <c r="AI39" s="17" t="e">
        <f>IF(AI$9,INDEX('Annual Real'!$1:$1048576,'History and Forecast'!AI$7,'History and Forecast'!$H39),INDEX('Forecast Prices'!$1:$1048576,'History and Forecast'!$G39,'History and Forecast'!AI$6))</f>
        <v>#N/A</v>
      </c>
      <c r="AJ39" s="17" t="e">
        <f>IF(AJ$9,INDEX('Annual Real'!$1:$1048576,'History and Forecast'!AJ$7,'History and Forecast'!$H39),INDEX('Forecast Prices'!$1:$1048576,'History and Forecast'!$G39,'History and Forecast'!AJ$6))</f>
        <v>#N/A</v>
      </c>
      <c r="AK39" s="17" t="e">
        <f>IF(AK$9,INDEX('Annual Real'!$1:$1048576,'History and Forecast'!AK$7,'History and Forecast'!$H39),INDEX('Forecast Prices'!$1:$1048576,'History and Forecast'!$G39,'History and Forecast'!AK$6))</f>
        <v>#N/A</v>
      </c>
      <c r="AL39" s="17" t="e">
        <f>IF(AL$9,INDEX('Annual Real'!$1:$1048576,'History and Forecast'!AL$7,'History and Forecast'!$H39),INDEX('Forecast Prices'!$1:$1048576,'History and Forecast'!$G39,'History and Forecast'!AL$6))</f>
        <v>#N/A</v>
      </c>
      <c r="AM39" s="17" t="e">
        <f>IF(AM$9,INDEX('Annual Real'!$1:$1048576,'History and Forecast'!AM$7,'History and Forecast'!$H39),INDEX('Forecast Prices'!$1:$1048576,'History and Forecast'!$G39,'History and Forecast'!AM$6))</f>
        <v>#N/A</v>
      </c>
      <c r="AN39" s="17" t="e">
        <f>IF(AN$9,INDEX('Annual Real'!$1:$1048576,'History and Forecast'!AN$7,'History and Forecast'!$H39),INDEX('Forecast Prices'!$1:$1048576,'History and Forecast'!$G39,'History and Forecast'!AN$6))</f>
        <v>#N/A</v>
      </c>
      <c r="AO39" s="17" t="e">
        <f>IF(AO$9,INDEX('Annual Real'!$1:$1048576,'History and Forecast'!AO$7,'History and Forecast'!$H39),INDEX('Forecast Prices'!$1:$1048576,'History and Forecast'!$G39,'History and Forecast'!AO$6))</f>
        <v>#N/A</v>
      </c>
      <c r="AP39" s="17" t="e">
        <f>IF(AP$9,INDEX('Annual Real'!$1:$1048576,'History and Forecast'!AP$7,'History and Forecast'!$H39),INDEX('Forecast Prices'!$1:$1048576,'History and Forecast'!$G39,'History and Forecast'!AP$6))</f>
        <v>#N/A</v>
      </c>
      <c r="AQ39" s="17" t="e">
        <f>IF(AQ$9,INDEX('Annual Real'!$1:$1048576,'History and Forecast'!AQ$7,'History and Forecast'!$H39),INDEX('Forecast Prices'!$1:$1048576,'History and Forecast'!$G39,'History and Forecast'!AQ$6))</f>
        <v>#N/A</v>
      </c>
      <c r="AR39" s="17" t="e">
        <f>IF(AR$9,INDEX('Annual Real'!$1:$1048576,'History and Forecast'!AR$7,'History and Forecast'!$H39),INDEX('Forecast Prices'!$1:$1048576,'History and Forecast'!$G39,'History and Forecast'!AR$6))</f>
        <v>#N/A</v>
      </c>
      <c r="AS39" s="17" t="e">
        <f>IF(AS$9,INDEX('Annual Real'!$1:$1048576,'History and Forecast'!AS$7,'History and Forecast'!$H39),INDEX('Forecast Prices'!$1:$1048576,'History and Forecast'!$G39,'History and Forecast'!AS$6))</f>
        <v>#N/A</v>
      </c>
      <c r="AT39" s="17" t="e">
        <f>IF(AT$9,INDEX('Annual Real'!$1:$1048576,'History and Forecast'!AT$7,'History and Forecast'!$H39),INDEX('Forecast Prices'!$1:$1048576,'History and Forecast'!$G39,'History and Forecast'!AT$6))</f>
        <v>#N/A</v>
      </c>
      <c r="AU39" s="17" t="e">
        <f>IF(AU$9,INDEX('Annual Real'!$1:$1048576,'History and Forecast'!AU$7,'History and Forecast'!$H39),INDEX('Forecast Prices'!$1:$1048576,'History and Forecast'!$G39,'History and Forecast'!AU$6))</f>
        <v>#N/A</v>
      </c>
      <c r="AV39" s="17" t="e">
        <f>IF(AV$9,INDEX('Annual Real'!$1:$1048576,'History and Forecast'!AV$7,'History and Forecast'!$H39),INDEX('Forecast Prices'!$1:$1048576,'History and Forecast'!$G39,'History and Forecast'!AV$6))</f>
        <v>#N/A</v>
      </c>
      <c r="AW39" s="17" t="e">
        <f>IF(AW$9,INDEX('Annual Real'!$1:$1048576,'History and Forecast'!AW$7,'History and Forecast'!$H39),INDEX('Forecast Prices'!$1:$1048576,'History and Forecast'!$G39,'History and Forecast'!AW$6))</f>
        <v>#N/A</v>
      </c>
      <c r="AX39" s="17" t="e">
        <f>IF(AX$9,INDEX('Annual Real'!$1:$1048576,'History and Forecast'!AX$7,'History and Forecast'!$H39),INDEX('Forecast Prices'!$1:$1048576,'History and Forecast'!$G39,'History and Forecast'!AX$6))</f>
        <v>#N/A</v>
      </c>
      <c r="AY39" s="17" t="e">
        <f>IF(AY$9,INDEX('Annual Real'!$1:$1048576,'History and Forecast'!AY$7,'History and Forecast'!$H39),INDEX('Forecast Prices'!$1:$1048576,'History and Forecast'!$G39,'History and Forecast'!AY$6))</f>
        <v>#N/A</v>
      </c>
      <c r="AZ39" s="17" t="e">
        <f>IF(AZ$9,INDEX('Annual Real'!$1:$1048576,'History and Forecast'!AZ$7,'History and Forecast'!$H39),INDEX('Forecast Prices'!$1:$1048576,'History and Forecast'!$G39,'History and Forecast'!AZ$6))</f>
        <v>#N/A</v>
      </c>
      <c r="BA39" s="17" t="e">
        <f>IF(BA$9,INDEX('Annual Real'!$1:$1048576,'History and Forecast'!BA$7,'History and Forecast'!$H39),INDEX('Forecast Prices'!$1:$1048576,'History and Forecast'!$G39,'History and Forecast'!BA$6))</f>
        <v>#N/A</v>
      </c>
      <c r="BB39" s="17" t="e">
        <f>IF(BB$9,INDEX('Annual Real'!$1:$1048576,'History and Forecast'!BB$7,'History and Forecast'!$H39),INDEX('Forecast Prices'!$1:$1048576,'History and Forecast'!$G39,'History and Forecast'!BB$6))</f>
        <v>#N/A</v>
      </c>
      <c r="BC39" s="17" t="e">
        <f>IF(BC$9,INDEX('Annual Real'!$1:$1048576,'History and Forecast'!BC$7,'History and Forecast'!$H39),INDEX('Forecast Prices'!$1:$1048576,'History and Forecast'!$G39,'History and Forecast'!BC$6))</f>
        <v>#N/A</v>
      </c>
      <c r="BD39" s="17" t="e">
        <f>IF(BD$9,INDEX('Annual Real'!$1:$1048576,'History and Forecast'!BD$7,'History and Forecast'!$H39),INDEX('Forecast Prices'!$1:$1048576,'History and Forecast'!$G39,'History and Forecast'!BD$6))</f>
        <v>#N/A</v>
      </c>
      <c r="BE39" s="17" t="e">
        <f>IF(BE$9,INDEX('Annual Real'!$1:$1048576,'History and Forecast'!BE$7,'History and Forecast'!$H39),INDEX('Forecast Prices'!$1:$1048576,'History and Forecast'!$G39,'History and Forecast'!BE$6))</f>
        <v>#N/A</v>
      </c>
      <c r="BF39" s="17" t="e">
        <f>IF(BF$9,INDEX('Annual Real'!$1:$1048576,'History and Forecast'!BF$7,'History and Forecast'!$H39),INDEX('Forecast Prices'!$1:$1048576,'History and Forecast'!$G39,'History and Forecast'!BF$6))</f>
        <v>#N/A</v>
      </c>
      <c r="BG39" s="17" t="e">
        <f>IF(BG$9,INDEX('Annual Real'!$1:$1048576,'History and Forecast'!BG$7,'History and Forecast'!$H39),INDEX('Forecast Prices'!$1:$1048576,'History and Forecast'!$G39,'History and Forecast'!BG$6))</f>
        <v>#N/A</v>
      </c>
      <c r="BH39" s="17" t="e">
        <f>IF(BH$9,INDEX('Annual Real'!$1:$1048576,'History and Forecast'!BH$7,'History and Forecast'!$H39),INDEX('Forecast Prices'!$1:$1048576,'History and Forecast'!$G39,'History and Forecast'!BH$6))</f>
        <v>#N/A</v>
      </c>
      <c r="BI39" s="17" t="e">
        <f>IF(BI$9,INDEX('Annual Real'!$1:$1048576,'History and Forecast'!BI$7,'History and Forecast'!$H39),INDEX('Forecast Prices'!$1:$1048576,'History and Forecast'!$G39,'History and Forecast'!BI$6))</f>
        <v>#N/A</v>
      </c>
      <c r="BJ39" s="17" t="e">
        <f>IF(BJ$9,INDEX('Annual Real'!$1:$1048576,'History and Forecast'!BJ$7,'History and Forecast'!$H39),INDEX('Forecast Prices'!$1:$1048576,'History and Forecast'!$G39,'History and Forecast'!BJ$6))</f>
        <v>#N/A</v>
      </c>
      <c r="BK39" s="17" t="e">
        <f>IF(BK$9,INDEX('Annual Real'!$1:$1048576,'History and Forecast'!BK$7,'History and Forecast'!$H39),INDEX('Forecast Prices'!$1:$1048576,'History and Forecast'!$G39,'History and Forecast'!BK$6))</f>
        <v>#N/A</v>
      </c>
      <c r="BL39" s="17" t="e">
        <f>IF(BL$9,INDEX('Annual Real'!$1:$1048576,'History and Forecast'!BL$7,'History and Forecast'!$H39),INDEX('Forecast Prices'!$1:$1048576,'History and Forecast'!$G39,'History and Forecast'!BL$6))</f>
        <v>#N/A</v>
      </c>
      <c r="BM39" s="17" t="e">
        <f>IF(BM$9,INDEX('Annual Real'!$1:$1048576,'History and Forecast'!BM$7,'History and Forecast'!$H39),INDEX('Forecast Prices'!$1:$1048576,'History and Forecast'!$G39,'History and Forecast'!BM$6))</f>
        <v>#N/A</v>
      </c>
      <c r="BN39" s="17" t="e">
        <f>IF(BN$9,INDEX('Annual Real'!$1:$1048576,'History and Forecast'!BN$7,'History and Forecast'!$H39),INDEX('Forecast Prices'!$1:$1048576,'History and Forecast'!$G39,'History and Forecast'!BN$6))</f>
        <v>#N/A</v>
      </c>
      <c r="BO39" s="17">
        <f>IF(BO$9,INDEX('Annual Real'!$1:$1048576,'History and Forecast'!BO$7,'History and Forecast'!$H39),INDEX('Forecast Prices'!$1:$1048576,'History and Forecast'!$G39,'History and Forecast'!BO$6))</f>
        <v>1.7070551076147</v>
      </c>
      <c r="BP39" s="17">
        <f>IF(BP$9,INDEX('Annual Real'!$1:$1048576,'History and Forecast'!BP$7,'History and Forecast'!$H39),INDEX('Forecast Prices'!$1:$1048576,'History and Forecast'!$G39,'History and Forecast'!BP$6))</f>
        <v>2.0511267957629</v>
      </c>
      <c r="BQ39" s="17">
        <f>IF(BQ$9,INDEX('Annual Real'!$1:$1048576,'History and Forecast'!BQ$7,'History and Forecast'!$H39),INDEX('Forecast Prices'!$1:$1048576,'History and Forecast'!$G39,'History and Forecast'!BQ$6))</f>
        <v>1.53676718112352</v>
      </c>
      <c r="BR39" s="17">
        <f>IF(BR$9,INDEX('Annual Real'!$1:$1048576,'History and Forecast'!BR$7,'History and Forecast'!$H39),INDEX('Forecast Prices'!$1:$1048576,'History and Forecast'!$G39,'History and Forecast'!BR$6))</f>
        <v>1.6365188799964201</v>
      </c>
      <c r="BS39" s="17">
        <f>IF(BS$9,INDEX('Annual Real'!$1:$1048576,'History and Forecast'!BS$7,'History and Forecast'!$H39),INDEX('Forecast Prices'!$1:$1048576,'History and Forecast'!$G39,'History and Forecast'!BS$6))</f>
        <v>1.6603957841495101</v>
      </c>
      <c r="BT39" s="17">
        <f>IF(BT$9,INDEX('Annual Real'!$1:$1048576,'History and Forecast'!BT$7,'History and Forecast'!$H39),INDEX('Forecast Prices'!$1:$1048576,'History and Forecast'!$G39,'History and Forecast'!BT$6))</f>
        <v>1.6850347132654699</v>
      </c>
      <c r="BU39" s="17">
        <f>IF(BU$9,INDEX('Annual Real'!$1:$1048576,'History and Forecast'!BU$7,'History and Forecast'!$H39),INDEX('Forecast Prices'!$1:$1048576,'History and Forecast'!$G39,'History and Forecast'!BU$6))</f>
        <v>1.7086684518664099</v>
      </c>
      <c r="BV39" s="17">
        <f>IF(BV$9,INDEX('Annual Real'!$1:$1048576,'History and Forecast'!BV$7,'History and Forecast'!$H39),INDEX('Forecast Prices'!$1:$1048576,'History and Forecast'!$G39,'History and Forecast'!BV$6))</f>
        <v>1.73278658225072</v>
      </c>
      <c r="BW39" s="17">
        <f>IF(BW$9,INDEX('Annual Real'!$1:$1048576,'History and Forecast'!BW$7,'History and Forecast'!$H39),INDEX('Forecast Prices'!$1:$1048576,'History and Forecast'!$G39,'History and Forecast'!BW$6))</f>
        <v>1.75724456119207</v>
      </c>
      <c r="BX39" s="17">
        <f>IF(BX$9,INDEX('Annual Real'!$1:$1048576,'History and Forecast'!BX$7,'History and Forecast'!$H39),INDEX('Forecast Prices'!$1:$1048576,'History and Forecast'!$G39,'History and Forecast'!BX$6))</f>
        <v>1.78194498272281</v>
      </c>
      <c r="BY39" s="17" t="e">
        <f>IF(BY$9,INDEX('Annual Real'!$1:$1048576,'History and Forecast'!BY$7,'History and Forecast'!$H39),INDEX('Forecast Prices'!$1:$1048576,'History and Forecast'!$G39,'History and Forecast'!BY$6))</f>
        <v>#N/A</v>
      </c>
      <c r="BZ39" s="17" t="e">
        <f>IF(BZ$9,INDEX('Annual Real'!$1:$1048576,'History and Forecast'!BZ$7,'History and Forecast'!$H39),INDEX('Forecast Prices'!$1:$1048576,'History and Forecast'!$G39,'History and Forecast'!BZ$6))</f>
        <v>#N/A</v>
      </c>
      <c r="CA39" s="17" t="e">
        <f>IF(CA$9,INDEX('Annual Real'!$1:$1048576,'History and Forecast'!CA$7,'History and Forecast'!$H39),INDEX('Forecast Prices'!$1:$1048576,'History and Forecast'!$G39,'History and Forecast'!CA$6))</f>
        <v>#N/A</v>
      </c>
      <c r="CB39" s="17" t="e">
        <f>IF(CB$9,INDEX('Annual Real'!$1:$1048576,'History and Forecast'!CB$7,'History and Forecast'!$H39),INDEX('Forecast Prices'!$1:$1048576,'History and Forecast'!$G39,'History and Forecast'!CB$6))</f>
        <v>#N/A</v>
      </c>
      <c r="CC39" s="17">
        <f>IF(CC$9,INDEX('Annual Real'!$1:$1048576,'History and Forecast'!CC$7,'History and Forecast'!$H39),INDEX('Forecast Prices'!$1:$1048576,'History and Forecast'!$G39,'History and Forecast'!CC$6))</f>
        <v>1.9078348623069099</v>
      </c>
      <c r="CD39" s="17" t="e">
        <f>IF(CD$9,INDEX('Annual Real'!$1:$1048576,'History and Forecast'!CD$7,'History and Forecast'!$H39),INDEX('Forecast Prices'!$1:$1048576,'History and Forecast'!$G39,'History and Forecast'!CD$6))</f>
        <v>#N/A</v>
      </c>
      <c r="CE39" s="17" t="e">
        <f>IF(CE$9,INDEX('Annual Real'!$1:$1048576,'History and Forecast'!CE$7,'History and Forecast'!$H39),INDEX('Forecast Prices'!$1:$1048576,'History and Forecast'!$G39,'History and Forecast'!CE$6))</f>
        <v>#N/A</v>
      </c>
      <c r="CF39" s="17" t="e">
        <f>IF(CF$9,INDEX('Annual Real'!$1:$1048576,'History and Forecast'!CF$7,'History and Forecast'!$H39),INDEX('Forecast Prices'!$1:$1048576,'History and Forecast'!$G39,'History and Forecast'!CF$6))</f>
        <v>#N/A</v>
      </c>
      <c r="CG39" s="17" t="e">
        <f>IF(CG$9,INDEX('Annual Real'!$1:$1048576,'History and Forecast'!CG$7,'History and Forecast'!$H39),INDEX('Forecast Prices'!$1:$1048576,'History and Forecast'!$G39,'History and Forecast'!CG$6))</f>
        <v>#N/A</v>
      </c>
      <c r="CH39" s="17" t="e">
        <f>IF(CH$9,INDEX('Annual Real'!$1:$1048576,'History and Forecast'!CH$7,'History and Forecast'!$H39),INDEX('Forecast Prices'!$1:$1048576,'History and Forecast'!$G39,'History and Forecast'!CH$6))</f>
        <v>#N/A</v>
      </c>
      <c r="CI39" s="17" t="e">
        <f>IF(CI$9,INDEX('Annual Real'!$1:$1048576,'History and Forecast'!CI$7,'History and Forecast'!$H39),INDEX('Forecast Prices'!$1:$1048576,'History and Forecast'!$G39,'History and Forecast'!CI$6))</f>
        <v>#N/A</v>
      </c>
    </row>
    <row r="40" spans="2:87">
      <c r="B40" t="str">
        <f t="shared" si="4"/>
        <v>TOBAC_US</v>
      </c>
      <c r="C40" s="34" t="s">
        <v>1093</v>
      </c>
      <c r="D40" t="str">
        <f t="shared" si="5"/>
        <v>KTOBAC_US</v>
      </c>
      <c r="E40" s="34" t="str">
        <f t="shared" si="6"/>
        <v>KFTOBAC_US</v>
      </c>
      <c r="F40">
        <f>MATCH(C40,'Forecast Prices'!A:A,0)</f>
        <v>51</v>
      </c>
      <c r="G40">
        <f>MATCH(E40,'Forecast Prices'!A:A,0)</f>
        <v>133</v>
      </c>
      <c r="H40" t="e">
        <f>MATCH(D40,'Annual Real'!$9:$9,0)</f>
        <v>#N/A</v>
      </c>
      <c r="I40" t="str">
        <f>INDEX('Forecast Prices'!B:B,'History and Forecast'!F40)&amp;INDEX('Forecast Prices'!C:C,'History and Forecast'!F40)&amp;INDEX('Forecast Prices'!D:D,'History and Forecast'!F40)&amp;INDEX('Forecast Prices'!E:E,'History and Forecast'!F40)</f>
        <v>Tobacco</v>
      </c>
      <c r="J40" t="str">
        <f>INDEX('Forecast Prices'!H:H,'History and Forecast'!F40)</f>
        <v>$/mt</v>
      </c>
      <c r="K40" s="17" t="e">
        <f>IF(K$9,INDEX('Annual Real'!$1:$1048576,'History and Forecast'!K$7,'History and Forecast'!$H40),INDEX('Forecast Prices'!$1:$1048576,'History and Forecast'!$G40,'History and Forecast'!K$6))</f>
        <v>#N/A</v>
      </c>
      <c r="L40" s="17" t="e">
        <f>IF(L$9,INDEX('Annual Real'!$1:$1048576,'History and Forecast'!L$7,'History and Forecast'!$H40),INDEX('Forecast Prices'!$1:$1048576,'History and Forecast'!$G40,'History and Forecast'!L$6))</f>
        <v>#N/A</v>
      </c>
      <c r="M40" s="17" t="e">
        <f>IF(M$9,INDEX('Annual Real'!$1:$1048576,'History and Forecast'!M$7,'History and Forecast'!$H40),INDEX('Forecast Prices'!$1:$1048576,'History and Forecast'!$G40,'History and Forecast'!M$6))</f>
        <v>#N/A</v>
      </c>
      <c r="N40" s="17" t="e">
        <f>IF(N$9,INDEX('Annual Real'!$1:$1048576,'History and Forecast'!N$7,'History and Forecast'!$H40),INDEX('Forecast Prices'!$1:$1048576,'History and Forecast'!$G40,'History and Forecast'!N$6))</f>
        <v>#N/A</v>
      </c>
      <c r="O40" s="17" t="e">
        <f>IF(O$9,INDEX('Annual Real'!$1:$1048576,'History and Forecast'!O$7,'History and Forecast'!$H40),INDEX('Forecast Prices'!$1:$1048576,'History and Forecast'!$G40,'History and Forecast'!O$6))</f>
        <v>#N/A</v>
      </c>
      <c r="P40" s="17" t="e">
        <f>IF(P$9,INDEX('Annual Real'!$1:$1048576,'History and Forecast'!P$7,'History and Forecast'!$H40),INDEX('Forecast Prices'!$1:$1048576,'History and Forecast'!$G40,'History and Forecast'!P$6))</f>
        <v>#N/A</v>
      </c>
      <c r="Q40" s="17" t="e">
        <f>IF(Q$9,INDEX('Annual Real'!$1:$1048576,'History and Forecast'!Q$7,'History and Forecast'!$H40),INDEX('Forecast Prices'!$1:$1048576,'History and Forecast'!$G40,'History and Forecast'!Q$6))</f>
        <v>#N/A</v>
      </c>
      <c r="R40" s="17" t="e">
        <f>IF(R$9,INDEX('Annual Real'!$1:$1048576,'History and Forecast'!R$7,'History and Forecast'!$H40),INDEX('Forecast Prices'!$1:$1048576,'History and Forecast'!$G40,'History and Forecast'!R$6))</f>
        <v>#N/A</v>
      </c>
      <c r="S40" s="17" t="e">
        <f>IF(S$9,INDEX('Annual Real'!$1:$1048576,'History and Forecast'!S$7,'History and Forecast'!$H40),INDEX('Forecast Prices'!$1:$1048576,'History and Forecast'!$G40,'History and Forecast'!S$6))</f>
        <v>#N/A</v>
      </c>
      <c r="T40" s="17" t="e">
        <f>IF(T$9,INDEX('Annual Real'!$1:$1048576,'History and Forecast'!T$7,'History and Forecast'!$H40),INDEX('Forecast Prices'!$1:$1048576,'History and Forecast'!$G40,'History and Forecast'!T$6))</f>
        <v>#N/A</v>
      </c>
      <c r="U40" s="17" t="e">
        <f>IF(U$9,INDEX('Annual Real'!$1:$1048576,'History and Forecast'!U$7,'History and Forecast'!$H40),INDEX('Forecast Prices'!$1:$1048576,'History and Forecast'!$G40,'History and Forecast'!U$6))</f>
        <v>#N/A</v>
      </c>
      <c r="V40" s="17" t="e">
        <f>IF(V$9,INDEX('Annual Real'!$1:$1048576,'History and Forecast'!V$7,'History and Forecast'!$H40),INDEX('Forecast Prices'!$1:$1048576,'History and Forecast'!$G40,'History and Forecast'!V$6))</f>
        <v>#N/A</v>
      </c>
      <c r="W40" s="17" t="e">
        <f>IF(W$9,INDEX('Annual Real'!$1:$1048576,'History and Forecast'!W$7,'History and Forecast'!$H40),INDEX('Forecast Prices'!$1:$1048576,'History and Forecast'!$G40,'History and Forecast'!W$6))</f>
        <v>#N/A</v>
      </c>
      <c r="X40" s="17" t="e">
        <f>IF(X$9,INDEX('Annual Real'!$1:$1048576,'History and Forecast'!X$7,'History and Forecast'!$H40),INDEX('Forecast Prices'!$1:$1048576,'History and Forecast'!$G40,'History and Forecast'!X$6))</f>
        <v>#N/A</v>
      </c>
      <c r="Y40" s="17" t="e">
        <f>IF(Y$9,INDEX('Annual Real'!$1:$1048576,'History and Forecast'!Y$7,'History and Forecast'!$H40),INDEX('Forecast Prices'!$1:$1048576,'History and Forecast'!$G40,'History and Forecast'!Y$6))</f>
        <v>#N/A</v>
      </c>
      <c r="Z40" s="17" t="e">
        <f>IF(Z$9,INDEX('Annual Real'!$1:$1048576,'History and Forecast'!Z$7,'History and Forecast'!$H40),INDEX('Forecast Prices'!$1:$1048576,'History and Forecast'!$G40,'History and Forecast'!Z$6))</f>
        <v>#N/A</v>
      </c>
      <c r="AA40" s="17" t="e">
        <f>IF(AA$9,INDEX('Annual Real'!$1:$1048576,'History and Forecast'!AA$7,'History and Forecast'!$H40),INDEX('Forecast Prices'!$1:$1048576,'History and Forecast'!$G40,'History and Forecast'!AA$6))</f>
        <v>#N/A</v>
      </c>
      <c r="AB40" s="17" t="e">
        <f>IF(AB$9,INDEX('Annual Real'!$1:$1048576,'History and Forecast'!AB$7,'History and Forecast'!$H40),INDEX('Forecast Prices'!$1:$1048576,'History and Forecast'!$G40,'History and Forecast'!AB$6))</f>
        <v>#N/A</v>
      </c>
      <c r="AC40" s="17" t="e">
        <f>IF(AC$9,INDEX('Annual Real'!$1:$1048576,'History and Forecast'!AC$7,'History and Forecast'!$H40),INDEX('Forecast Prices'!$1:$1048576,'History and Forecast'!$G40,'History and Forecast'!AC$6))</f>
        <v>#N/A</v>
      </c>
      <c r="AD40" s="17" t="e">
        <f>IF(AD$9,INDEX('Annual Real'!$1:$1048576,'History and Forecast'!AD$7,'History and Forecast'!$H40),INDEX('Forecast Prices'!$1:$1048576,'History and Forecast'!$G40,'History and Forecast'!AD$6))</f>
        <v>#N/A</v>
      </c>
      <c r="AE40" s="17" t="e">
        <f>IF(AE$9,INDEX('Annual Real'!$1:$1048576,'History and Forecast'!AE$7,'History and Forecast'!$H40),INDEX('Forecast Prices'!$1:$1048576,'History and Forecast'!$G40,'History and Forecast'!AE$6))</f>
        <v>#N/A</v>
      </c>
      <c r="AF40" s="17" t="e">
        <f>IF(AF$9,INDEX('Annual Real'!$1:$1048576,'History and Forecast'!AF$7,'History and Forecast'!$H40),INDEX('Forecast Prices'!$1:$1048576,'History and Forecast'!$G40,'History and Forecast'!AF$6))</f>
        <v>#N/A</v>
      </c>
      <c r="AG40" s="17" t="e">
        <f>IF(AG$9,INDEX('Annual Real'!$1:$1048576,'History and Forecast'!AG$7,'History and Forecast'!$H40),INDEX('Forecast Prices'!$1:$1048576,'History and Forecast'!$G40,'History and Forecast'!AG$6))</f>
        <v>#N/A</v>
      </c>
      <c r="AH40" s="17" t="e">
        <f>IF(AH$9,INDEX('Annual Real'!$1:$1048576,'History and Forecast'!AH$7,'History and Forecast'!$H40),INDEX('Forecast Prices'!$1:$1048576,'History and Forecast'!$G40,'History and Forecast'!AH$6))</f>
        <v>#N/A</v>
      </c>
      <c r="AI40" s="17" t="e">
        <f>IF(AI$9,INDEX('Annual Real'!$1:$1048576,'History and Forecast'!AI$7,'History and Forecast'!$H40),INDEX('Forecast Prices'!$1:$1048576,'History and Forecast'!$G40,'History and Forecast'!AI$6))</f>
        <v>#N/A</v>
      </c>
      <c r="AJ40" s="17" t="e">
        <f>IF(AJ$9,INDEX('Annual Real'!$1:$1048576,'History and Forecast'!AJ$7,'History and Forecast'!$H40),INDEX('Forecast Prices'!$1:$1048576,'History and Forecast'!$G40,'History and Forecast'!AJ$6))</f>
        <v>#N/A</v>
      </c>
      <c r="AK40" s="17" t="e">
        <f>IF(AK$9,INDEX('Annual Real'!$1:$1048576,'History and Forecast'!AK$7,'History and Forecast'!$H40),INDEX('Forecast Prices'!$1:$1048576,'History and Forecast'!$G40,'History and Forecast'!AK$6))</f>
        <v>#N/A</v>
      </c>
      <c r="AL40" s="17" t="e">
        <f>IF(AL$9,INDEX('Annual Real'!$1:$1048576,'History and Forecast'!AL$7,'History and Forecast'!$H40),INDEX('Forecast Prices'!$1:$1048576,'History and Forecast'!$G40,'History and Forecast'!AL$6))</f>
        <v>#N/A</v>
      </c>
      <c r="AM40" s="17" t="e">
        <f>IF(AM$9,INDEX('Annual Real'!$1:$1048576,'History and Forecast'!AM$7,'History and Forecast'!$H40),INDEX('Forecast Prices'!$1:$1048576,'History and Forecast'!$G40,'History and Forecast'!AM$6))</f>
        <v>#N/A</v>
      </c>
      <c r="AN40" s="17" t="e">
        <f>IF(AN$9,INDEX('Annual Real'!$1:$1048576,'History and Forecast'!AN$7,'History and Forecast'!$H40),INDEX('Forecast Prices'!$1:$1048576,'History and Forecast'!$G40,'History and Forecast'!AN$6))</f>
        <v>#N/A</v>
      </c>
      <c r="AO40" s="17" t="e">
        <f>IF(AO$9,INDEX('Annual Real'!$1:$1048576,'History and Forecast'!AO$7,'History and Forecast'!$H40),INDEX('Forecast Prices'!$1:$1048576,'History and Forecast'!$G40,'History and Forecast'!AO$6))</f>
        <v>#N/A</v>
      </c>
      <c r="AP40" s="17" t="e">
        <f>IF(AP$9,INDEX('Annual Real'!$1:$1048576,'History and Forecast'!AP$7,'History and Forecast'!$H40),INDEX('Forecast Prices'!$1:$1048576,'History and Forecast'!$G40,'History and Forecast'!AP$6))</f>
        <v>#N/A</v>
      </c>
      <c r="AQ40" s="17" t="e">
        <f>IF(AQ$9,INDEX('Annual Real'!$1:$1048576,'History and Forecast'!AQ$7,'History and Forecast'!$H40),INDEX('Forecast Prices'!$1:$1048576,'History and Forecast'!$G40,'History and Forecast'!AQ$6))</f>
        <v>#N/A</v>
      </c>
      <c r="AR40" s="17" t="e">
        <f>IF(AR$9,INDEX('Annual Real'!$1:$1048576,'History and Forecast'!AR$7,'History and Forecast'!$H40),INDEX('Forecast Prices'!$1:$1048576,'History and Forecast'!$G40,'History and Forecast'!AR$6))</f>
        <v>#N/A</v>
      </c>
      <c r="AS40" s="17" t="e">
        <f>IF(AS$9,INDEX('Annual Real'!$1:$1048576,'History and Forecast'!AS$7,'History and Forecast'!$H40),INDEX('Forecast Prices'!$1:$1048576,'History and Forecast'!$G40,'History and Forecast'!AS$6))</f>
        <v>#N/A</v>
      </c>
      <c r="AT40" s="17" t="e">
        <f>IF(AT$9,INDEX('Annual Real'!$1:$1048576,'History and Forecast'!AT$7,'History and Forecast'!$H40),INDEX('Forecast Prices'!$1:$1048576,'History and Forecast'!$G40,'History and Forecast'!AT$6))</f>
        <v>#N/A</v>
      </c>
      <c r="AU40" s="17" t="e">
        <f>IF(AU$9,INDEX('Annual Real'!$1:$1048576,'History and Forecast'!AU$7,'History and Forecast'!$H40),INDEX('Forecast Prices'!$1:$1048576,'History and Forecast'!$G40,'History and Forecast'!AU$6))</f>
        <v>#N/A</v>
      </c>
      <c r="AV40" s="17" t="e">
        <f>IF(AV$9,INDEX('Annual Real'!$1:$1048576,'History and Forecast'!AV$7,'History and Forecast'!$H40),INDEX('Forecast Prices'!$1:$1048576,'History and Forecast'!$G40,'History and Forecast'!AV$6))</f>
        <v>#N/A</v>
      </c>
      <c r="AW40" s="17" t="e">
        <f>IF(AW$9,INDEX('Annual Real'!$1:$1048576,'History and Forecast'!AW$7,'History and Forecast'!$H40),INDEX('Forecast Prices'!$1:$1048576,'History and Forecast'!$G40,'History and Forecast'!AW$6))</f>
        <v>#N/A</v>
      </c>
      <c r="AX40" s="17" t="e">
        <f>IF(AX$9,INDEX('Annual Real'!$1:$1048576,'History and Forecast'!AX$7,'History and Forecast'!$H40),INDEX('Forecast Prices'!$1:$1048576,'History and Forecast'!$G40,'History and Forecast'!AX$6))</f>
        <v>#N/A</v>
      </c>
      <c r="AY40" s="17" t="e">
        <f>IF(AY$9,INDEX('Annual Real'!$1:$1048576,'History and Forecast'!AY$7,'History and Forecast'!$H40),INDEX('Forecast Prices'!$1:$1048576,'History and Forecast'!$G40,'History and Forecast'!AY$6))</f>
        <v>#N/A</v>
      </c>
      <c r="AZ40" s="17" t="e">
        <f>IF(AZ$9,INDEX('Annual Real'!$1:$1048576,'History and Forecast'!AZ$7,'History and Forecast'!$H40),INDEX('Forecast Prices'!$1:$1048576,'History and Forecast'!$G40,'History and Forecast'!AZ$6))</f>
        <v>#N/A</v>
      </c>
      <c r="BA40" s="17" t="e">
        <f>IF(BA$9,INDEX('Annual Real'!$1:$1048576,'History and Forecast'!BA$7,'History and Forecast'!$H40),INDEX('Forecast Prices'!$1:$1048576,'History and Forecast'!$G40,'History and Forecast'!BA$6))</f>
        <v>#N/A</v>
      </c>
      <c r="BB40" s="17" t="e">
        <f>IF(BB$9,INDEX('Annual Real'!$1:$1048576,'History and Forecast'!BB$7,'History and Forecast'!$H40),INDEX('Forecast Prices'!$1:$1048576,'History and Forecast'!$G40,'History and Forecast'!BB$6))</f>
        <v>#N/A</v>
      </c>
      <c r="BC40" s="17" t="e">
        <f>IF(BC$9,INDEX('Annual Real'!$1:$1048576,'History and Forecast'!BC$7,'History and Forecast'!$H40),INDEX('Forecast Prices'!$1:$1048576,'History and Forecast'!$G40,'History and Forecast'!BC$6))</f>
        <v>#N/A</v>
      </c>
      <c r="BD40" s="17" t="e">
        <f>IF(BD$9,INDEX('Annual Real'!$1:$1048576,'History and Forecast'!BD$7,'History and Forecast'!$H40),INDEX('Forecast Prices'!$1:$1048576,'History and Forecast'!$G40,'History and Forecast'!BD$6))</f>
        <v>#N/A</v>
      </c>
      <c r="BE40" s="17" t="e">
        <f>IF(BE$9,INDEX('Annual Real'!$1:$1048576,'History and Forecast'!BE$7,'History and Forecast'!$H40),INDEX('Forecast Prices'!$1:$1048576,'History and Forecast'!$G40,'History and Forecast'!BE$6))</f>
        <v>#N/A</v>
      </c>
      <c r="BF40" s="17" t="e">
        <f>IF(BF$9,INDEX('Annual Real'!$1:$1048576,'History and Forecast'!BF$7,'History and Forecast'!$H40),INDEX('Forecast Prices'!$1:$1048576,'History and Forecast'!$G40,'History and Forecast'!BF$6))</f>
        <v>#N/A</v>
      </c>
      <c r="BG40" s="17" t="e">
        <f>IF(BG$9,INDEX('Annual Real'!$1:$1048576,'History and Forecast'!BG$7,'History and Forecast'!$H40),INDEX('Forecast Prices'!$1:$1048576,'History and Forecast'!$G40,'History and Forecast'!BG$6))</f>
        <v>#N/A</v>
      </c>
      <c r="BH40" s="17" t="e">
        <f>IF(BH$9,INDEX('Annual Real'!$1:$1048576,'History and Forecast'!BH$7,'History and Forecast'!$H40),INDEX('Forecast Prices'!$1:$1048576,'History and Forecast'!$G40,'History and Forecast'!BH$6))</f>
        <v>#N/A</v>
      </c>
      <c r="BI40" s="17" t="e">
        <f>IF(BI$9,INDEX('Annual Real'!$1:$1048576,'History and Forecast'!BI$7,'History and Forecast'!$H40),INDEX('Forecast Prices'!$1:$1048576,'History and Forecast'!$G40,'History and Forecast'!BI$6))</f>
        <v>#N/A</v>
      </c>
      <c r="BJ40" s="17" t="e">
        <f>IF(BJ$9,INDEX('Annual Real'!$1:$1048576,'History and Forecast'!BJ$7,'History and Forecast'!$H40),INDEX('Forecast Prices'!$1:$1048576,'History and Forecast'!$G40,'History and Forecast'!BJ$6))</f>
        <v>#N/A</v>
      </c>
      <c r="BK40" s="17" t="e">
        <f>IF(BK$9,INDEX('Annual Real'!$1:$1048576,'History and Forecast'!BK$7,'History and Forecast'!$H40),INDEX('Forecast Prices'!$1:$1048576,'History and Forecast'!$G40,'History and Forecast'!BK$6))</f>
        <v>#N/A</v>
      </c>
      <c r="BL40" s="17" t="e">
        <f>IF(BL$9,INDEX('Annual Real'!$1:$1048576,'History and Forecast'!BL$7,'History and Forecast'!$H40),INDEX('Forecast Prices'!$1:$1048576,'History and Forecast'!$G40,'History and Forecast'!BL$6))</f>
        <v>#N/A</v>
      </c>
      <c r="BM40" s="17" t="e">
        <f>IF(BM$9,INDEX('Annual Real'!$1:$1048576,'History and Forecast'!BM$7,'History and Forecast'!$H40),INDEX('Forecast Prices'!$1:$1048576,'History and Forecast'!$G40,'History and Forecast'!BM$6))</f>
        <v>#N/A</v>
      </c>
      <c r="BN40" s="17" t="e">
        <f>IF(BN$9,INDEX('Annual Real'!$1:$1048576,'History and Forecast'!BN$7,'History and Forecast'!$H40),INDEX('Forecast Prices'!$1:$1048576,'History and Forecast'!$G40,'History and Forecast'!BN$6))</f>
        <v>#N/A</v>
      </c>
      <c r="BO40" s="17">
        <f>IF(BO$9,INDEX('Annual Real'!$1:$1048576,'History and Forecast'!BO$7,'History and Forecast'!$H40),INDEX('Forecast Prices'!$1:$1048576,'History and Forecast'!$G40,'History and Forecast'!BO$6))</f>
        <v>5111.2005150136401</v>
      </c>
      <c r="BP40" s="17">
        <f>IF(BP$9,INDEX('Annual Real'!$1:$1048576,'History and Forecast'!BP$7,'History and Forecast'!$H40),INDEX('Forecast Prices'!$1:$1048576,'History and Forecast'!$G40,'History and Forecast'!BP$6))</f>
        <v>4809.9262997969499</v>
      </c>
      <c r="BQ40" s="17">
        <f>IF(BQ$9,INDEX('Annual Real'!$1:$1048576,'History and Forecast'!BQ$7,'History and Forecast'!$H40),INDEX('Forecast Prices'!$1:$1048576,'History and Forecast'!$G40,'History and Forecast'!BQ$6))</f>
        <v>4774.1907053663799</v>
      </c>
      <c r="BR40" s="17">
        <f>IF(BR$9,INDEX('Annual Real'!$1:$1048576,'History and Forecast'!BR$7,'History and Forecast'!$H40),INDEX('Forecast Prices'!$1:$1048576,'History and Forecast'!$G40,'History and Forecast'!BR$6))</f>
        <v>4717.0250070484899</v>
      </c>
      <c r="BS40" s="17">
        <f>IF(BS$9,INDEX('Annual Real'!$1:$1048576,'History and Forecast'!BS$7,'History and Forecast'!$H40),INDEX('Forecast Prices'!$1:$1048576,'History and Forecast'!$G40,'History and Forecast'!BS$6))</f>
        <v>4602.3737275800904</v>
      </c>
      <c r="BT40" s="17">
        <f>IF(BT$9,INDEX('Annual Real'!$1:$1048576,'History and Forecast'!BT$7,'History and Forecast'!$H40),INDEX('Forecast Prices'!$1:$1048576,'History and Forecast'!$G40,'History and Forecast'!BT$6))</f>
        <v>4491.6117911834999</v>
      </c>
      <c r="BU40" s="17">
        <f>IF(BU$9,INDEX('Annual Real'!$1:$1048576,'History and Forecast'!BU$7,'History and Forecast'!$H40),INDEX('Forecast Prices'!$1:$1048576,'History and Forecast'!$G40,'History and Forecast'!BU$6))</f>
        <v>4380.0015398243604</v>
      </c>
      <c r="BV40" s="17">
        <f>IF(BV$9,INDEX('Annual Real'!$1:$1048576,'History and Forecast'!BV$7,'History and Forecast'!$H40),INDEX('Forecast Prices'!$1:$1048576,'History and Forecast'!$G40,'History and Forecast'!BV$6))</f>
        <v>4271.5415963167297</v>
      </c>
      <c r="BW40" s="17">
        <f>IF(BW$9,INDEX('Annual Real'!$1:$1048576,'History and Forecast'!BW$7,'History and Forecast'!$H40),INDEX('Forecast Prices'!$1:$1048576,'History and Forecast'!$G40,'History and Forecast'!BW$6))</f>
        <v>4165.7660145559303</v>
      </c>
      <c r="BX40" s="17">
        <f>IF(BX$9,INDEX('Annual Real'!$1:$1048576,'History and Forecast'!BX$7,'History and Forecast'!$H40),INDEX('Forecast Prices'!$1:$1048576,'History and Forecast'!$G40,'History and Forecast'!BX$6))</f>
        <v>4062.3754323871999</v>
      </c>
      <c r="BY40" s="17" t="e">
        <f>IF(BY$9,INDEX('Annual Real'!$1:$1048576,'History and Forecast'!BY$7,'History and Forecast'!$H40),INDEX('Forecast Prices'!$1:$1048576,'History and Forecast'!$G40,'History and Forecast'!BY$6))</f>
        <v>#N/A</v>
      </c>
      <c r="BZ40" s="17" t="e">
        <f>IF(BZ$9,INDEX('Annual Real'!$1:$1048576,'History and Forecast'!BZ$7,'History and Forecast'!$H40),INDEX('Forecast Prices'!$1:$1048576,'History and Forecast'!$G40,'History and Forecast'!BZ$6))</f>
        <v>#N/A</v>
      </c>
      <c r="CA40" s="17" t="e">
        <f>IF(CA$9,INDEX('Annual Real'!$1:$1048576,'History and Forecast'!CA$7,'History and Forecast'!$H40),INDEX('Forecast Prices'!$1:$1048576,'History and Forecast'!$G40,'History and Forecast'!CA$6))</f>
        <v>#N/A</v>
      </c>
      <c r="CB40" s="17" t="e">
        <f>IF(CB$9,INDEX('Annual Real'!$1:$1048576,'History and Forecast'!CB$7,'History and Forecast'!$H40),INDEX('Forecast Prices'!$1:$1048576,'History and Forecast'!$G40,'History and Forecast'!CB$6))</f>
        <v>#N/A</v>
      </c>
      <c r="CC40" s="17">
        <f>IF(CC$9,INDEX('Annual Real'!$1:$1048576,'History and Forecast'!CC$7,'History and Forecast'!$H40),INDEX('Forecast Prices'!$1:$1048576,'History and Forecast'!$G40,'History and Forecast'!CC$6))</f>
        <v>3577.1903668254599</v>
      </c>
      <c r="CD40" s="17" t="e">
        <f>IF(CD$9,INDEX('Annual Real'!$1:$1048576,'History and Forecast'!CD$7,'History and Forecast'!$H40),INDEX('Forecast Prices'!$1:$1048576,'History and Forecast'!$G40,'History and Forecast'!CD$6))</f>
        <v>#N/A</v>
      </c>
      <c r="CE40" s="17" t="e">
        <f>IF(CE$9,INDEX('Annual Real'!$1:$1048576,'History and Forecast'!CE$7,'History and Forecast'!$H40),INDEX('Forecast Prices'!$1:$1048576,'History and Forecast'!$G40,'History and Forecast'!CE$6))</f>
        <v>#N/A</v>
      </c>
      <c r="CF40" s="17" t="e">
        <f>IF(CF$9,INDEX('Annual Real'!$1:$1048576,'History and Forecast'!CF$7,'History and Forecast'!$H40),INDEX('Forecast Prices'!$1:$1048576,'History and Forecast'!$G40,'History and Forecast'!CF$6))</f>
        <v>#N/A</v>
      </c>
      <c r="CG40" s="17" t="e">
        <f>IF(CG$9,INDEX('Annual Real'!$1:$1048576,'History and Forecast'!CG$7,'History and Forecast'!$H40),INDEX('Forecast Prices'!$1:$1048576,'History and Forecast'!$G40,'History and Forecast'!CG$6))</f>
        <v>#N/A</v>
      </c>
      <c r="CH40" s="17" t="e">
        <f>IF(CH$9,INDEX('Annual Real'!$1:$1048576,'History and Forecast'!CH$7,'History and Forecast'!$H40),INDEX('Forecast Prices'!$1:$1048576,'History and Forecast'!$G40,'History and Forecast'!CH$6))</f>
        <v>#N/A</v>
      </c>
      <c r="CI40" s="17" t="e">
        <f>IF(CI$9,INDEX('Annual Real'!$1:$1048576,'History and Forecast'!CI$7,'History and Forecast'!$H40),INDEX('Forecast Prices'!$1:$1048576,'History and Forecast'!$G40,'History and Forecast'!CI$6))</f>
        <v>#N/A</v>
      </c>
    </row>
    <row r="41" spans="2:87">
      <c r="B41" t="str">
        <f t="shared" si="4"/>
        <v>DAP</v>
      </c>
      <c r="C41" s="34" t="s">
        <v>1095</v>
      </c>
      <c r="D41" t="str">
        <f t="shared" si="5"/>
        <v>KDAP</v>
      </c>
      <c r="E41" s="34" t="str">
        <f t="shared" si="6"/>
        <v>KFDAP</v>
      </c>
      <c r="F41">
        <f>MATCH(C41,'Forecast Prices'!A:A,0)</f>
        <v>54</v>
      </c>
      <c r="G41">
        <f>MATCH(E41,'Forecast Prices'!A:A,0)</f>
        <v>136</v>
      </c>
      <c r="H41" t="e">
        <f>MATCH(D41,'Annual Real'!$9:$9,0)</f>
        <v>#N/A</v>
      </c>
      <c r="I41" t="str">
        <f>INDEX('Forecast Prices'!B:B,'History and Forecast'!F41)&amp;INDEX('Forecast Prices'!C:C,'History and Forecast'!F41)&amp;INDEX('Forecast Prices'!D:D,'History and Forecast'!F41)&amp;INDEX('Forecast Prices'!E:E,'History and Forecast'!F41)</f>
        <v>DAP</v>
      </c>
      <c r="J41" t="str">
        <f>INDEX('Forecast Prices'!H:H,'History and Forecast'!F41)</f>
        <v>$/mt</v>
      </c>
      <c r="K41" s="17" t="e">
        <f>IF(K$9,INDEX('Annual Real'!$1:$1048576,'History and Forecast'!K$7,'History and Forecast'!$H41),INDEX('Forecast Prices'!$1:$1048576,'History and Forecast'!$G41,'History and Forecast'!K$6))</f>
        <v>#N/A</v>
      </c>
      <c r="L41" s="17" t="e">
        <f>IF(L$9,INDEX('Annual Real'!$1:$1048576,'History and Forecast'!L$7,'History and Forecast'!$H41),INDEX('Forecast Prices'!$1:$1048576,'History and Forecast'!$G41,'History and Forecast'!L$6))</f>
        <v>#N/A</v>
      </c>
      <c r="M41" s="17" t="e">
        <f>IF(M$9,INDEX('Annual Real'!$1:$1048576,'History and Forecast'!M$7,'History and Forecast'!$H41),INDEX('Forecast Prices'!$1:$1048576,'History and Forecast'!$G41,'History and Forecast'!M$6))</f>
        <v>#N/A</v>
      </c>
      <c r="N41" s="17" t="e">
        <f>IF(N$9,INDEX('Annual Real'!$1:$1048576,'History and Forecast'!N$7,'History and Forecast'!$H41),INDEX('Forecast Prices'!$1:$1048576,'History and Forecast'!$G41,'History and Forecast'!N$6))</f>
        <v>#N/A</v>
      </c>
      <c r="O41" s="17" t="e">
        <f>IF(O$9,INDEX('Annual Real'!$1:$1048576,'History and Forecast'!O$7,'History and Forecast'!$H41),INDEX('Forecast Prices'!$1:$1048576,'History and Forecast'!$G41,'History and Forecast'!O$6))</f>
        <v>#N/A</v>
      </c>
      <c r="P41" s="17" t="e">
        <f>IF(P$9,INDEX('Annual Real'!$1:$1048576,'History and Forecast'!P$7,'History and Forecast'!$H41),INDEX('Forecast Prices'!$1:$1048576,'History and Forecast'!$G41,'History and Forecast'!P$6))</f>
        <v>#N/A</v>
      </c>
      <c r="Q41" s="17" t="e">
        <f>IF(Q$9,INDEX('Annual Real'!$1:$1048576,'History and Forecast'!Q$7,'History and Forecast'!$H41),INDEX('Forecast Prices'!$1:$1048576,'History and Forecast'!$G41,'History and Forecast'!Q$6))</f>
        <v>#N/A</v>
      </c>
      <c r="R41" s="17" t="e">
        <f>IF(R$9,INDEX('Annual Real'!$1:$1048576,'History and Forecast'!R$7,'History and Forecast'!$H41),INDEX('Forecast Prices'!$1:$1048576,'History and Forecast'!$G41,'History and Forecast'!R$6))</f>
        <v>#N/A</v>
      </c>
      <c r="S41" s="17" t="e">
        <f>IF(S$9,INDEX('Annual Real'!$1:$1048576,'History and Forecast'!S$7,'History and Forecast'!$H41),INDEX('Forecast Prices'!$1:$1048576,'History and Forecast'!$G41,'History and Forecast'!S$6))</f>
        <v>#N/A</v>
      </c>
      <c r="T41" s="17" t="e">
        <f>IF(T$9,INDEX('Annual Real'!$1:$1048576,'History and Forecast'!T$7,'History and Forecast'!$H41),INDEX('Forecast Prices'!$1:$1048576,'History and Forecast'!$G41,'History and Forecast'!T$6))</f>
        <v>#N/A</v>
      </c>
      <c r="U41" s="17" t="e">
        <f>IF(U$9,INDEX('Annual Real'!$1:$1048576,'History and Forecast'!U$7,'History and Forecast'!$H41),INDEX('Forecast Prices'!$1:$1048576,'History and Forecast'!$G41,'History and Forecast'!U$6))</f>
        <v>#N/A</v>
      </c>
      <c r="V41" s="17" t="e">
        <f>IF(V$9,INDEX('Annual Real'!$1:$1048576,'History and Forecast'!V$7,'History and Forecast'!$H41),INDEX('Forecast Prices'!$1:$1048576,'History and Forecast'!$G41,'History and Forecast'!V$6))</f>
        <v>#N/A</v>
      </c>
      <c r="W41" s="17" t="e">
        <f>IF(W$9,INDEX('Annual Real'!$1:$1048576,'History and Forecast'!W$7,'History and Forecast'!$H41),INDEX('Forecast Prices'!$1:$1048576,'History and Forecast'!$G41,'History and Forecast'!W$6))</f>
        <v>#N/A</v>
      </c>
      <c r="X41" s="17" t="e">
        <f>IF(X$9,INDEX('Annual Real'!$1:$1048576,'History and Forecast'!X$7,'History and Forecast'!$H41),INDEX('Forecast Prices'!$1:$1048576,'History and Forecast'!$G41,'History and Forecast'!X$6))</f>
        <v>#N/A</v>
      </c>
      <c r="Y41" s="17" t="e">
        <f>IF(Y$9,INDEX('Annual Real'!$1:$1048576,'History and Forecast'!Y$7,'History and Forecast'!$H41),INDEX('Forecast Prices'!$1:$1048576,'History and Forecast'!$G41,'History and Forecast'!Y$6))</f>
        <v>#N/A</v>
      </c>
      <c r="Z41" s="17" t="e">
        <f>IF(Z$9,INDEX('Annual Real'!$1:$1048576,'History and Forecast'!Z$7,'History and Forecast'!$H41),INDEX('Forecast Prices'!$1:$1048576,'History and Forecast'!$G41,'History and Forecast'!Z$6))</f>
        <v>#N/A</v>
      </c>
      <c r="AA41" s="17" t="e">
        <f>IF(AA$9,INDEX('Annual Real'!$1:$1048576,'History and Forecast'!AA$7,'History and Forecast'!$H41),INDEX('Forecast Prices'!$1:$1048576,'History and Forecast'!$G41,'History and Forecast'!AA$6))</f>
        <v>#N/A</v>
      </c>
      <c r="AB41" s="17" t="e">
        <f>IF(AB$9,INDEX('Annual Real'!$1:$1048576,'History and Forecast'!AB$7,'History and Forecast'!$H41),INDEX('Forecast Prices'!$1:$1048576,'History and Forecast'!$G41,'History and Forecast'!AB$6))</f>
        <v>#N/A</v>
      </c>
      <c r="AC41" s="17" t="e">
        <f>IF(AC$9,INDEX('Annual Real'!$1:$1048576,'History and Forecast'!AC$7,'History and Forecast'!$H41),INDEX('Forecast Prices'!$1:$1048576,'History and Forecast'!$G41,'History and Forecast'!AC$6))</f>
        <v>#N/A</v>
      </c>
      <c r="AD41" s="17" t="e">
        <f>IF(AD$9,INDEX('Annual Real'!$1:$1048576,'History and Forecast'!AD$7,'History and Forecast'!$H41),INDEX('Forecast Prices'!$1:$1048576,'History and Forecast'!$G41,'History and Forecast'!AD$6))</f>
        <v>#N/A</v>
      </c>
      <c r="AE41" s="17" t="e">
        <f>IF(AE$9,INDEX('Annual Real'!$1:$1048576,'History and Forecast'!AE$7,'History and Forecast'!$H41),INDEX('Forecast Prices'!$1:$1048576,'History and Forecast'!$G41,'History and Forecast'!AE$6))</f>
        <v>#N/A</v>
      </c>
      <c r="AF41" s="17" t="e">
        <f>IF(AF$9,INDEX('Annual Real'!$1:$1048576,'History and Forecast'!AF$7,'History and Forecast'!$H41),INDEX('Forecast Prices'!$1:$1048576,'History and Forecast'!$G41,'History and Forecast'!AF$6))</f>
        <v>#N/A</v>
      </c>
      <c r="AG41" s="17" t="e">
        <f>IF(AG$9,INDEX('Annual Real'!$1:$1048576,'History and Forecast'!AG$7,'History and Forecast'!$H41),INDEX('Forecast Prices'!$1:$1048576,'History and Forecast'!$G41,'History and Forecast'!AG$6))</f>
        <v>#N/A</v>
      </c>
      <c r="AH41" s="17" t="e">
        <f>IF(AH$9,INDEX('Annual Real'!$1:$1048576,'History and Forecast'!AH$7,'History and Forecast'!$H41),INDEX('Forecast Prices'!$1:$1048576,'History and Forecast'!$G41,'History and Forecast'!AH$6))</f>
        <v>#N/A</v>
      </c>
      <c r="AI41" s="17" t="e">
        <f>IF(AI$9,INDEX('Annual Real'!$1:$1048576,'History and Forecast'!AI$7,'History and Forecast'!$H41),INDEX('Forecast Prices'!$1:$1048576,'History and Forecast'!$G41,'History and Forecast'!AI$6))</f>
        <v>#N/A</v>
      </c>
      <c r="AJ41" s="17" t="e">
        <f>IF(AJ$9,INDEX('Annual Real'!$1:$1048576,'History and Forecast'!AJ$7,'History and Forecast'!$H41),INDEX('Forecast Prices'!$1:$1048576,'History and Forecast'!$G41,'History and Forecast'!AJ$6))</f>
        <v>#N/A</v>
      </c>
      <c r="AK41" s="17" t="e">
        <f>IF(AK$9,INDEX('Annual Real'!$1:$1048576,'History and Forecast'!AK$7,'History and Forecast'!$H41),INDEX('Forecast Prices'!$1:$1048576,'History and Forecast'!$G41,'History and Forecast'!AK$6))</f>
        <v>#N/A</v>
      </c>
      <c r="AL41" s="17" t="e">
        <f>IF(AL$9,INDEX('Annual Real'!$1:$1048576,'History and Forecast'!AL$7,'History and Forecast'!$H41),INDEX('Forecast Prices'!$1:$1048576,'History and Forecast'!$G41,'History and Forecast'!AL$6))</f>
        <v>#N/A</v>
      </c>
      <c r="AM41" s="17" t="e">
        <f>IF(AM$9,INDEX('Annual Real'!$1:$1048576,'History and Forecast'!AM$7,'History and Forecast'!$H41),INDEX('Forecast Prices'!$1:$1048576,'History and Forecast'!$G41,'History and Forecast'!AM$6))</f>
        <v>#N/A</v>
      </c>
      <c r="AN41" s="17" t="e">
        <f>IF(AN$9,INDEX('Annual Real'!$1:$1048576,'History and Forecast'!AN$7,'History and Forecast'!$H41),INDEX('Forecast Prices'!$1:$1048576,'History and Forecast'!$G41,'History and Forecast'!AN$6))</f>
        <v>#N/A</v>
      </c>
      <c r="AO41" s="17" t="e">
        <f>IF(AO$9,INDEX('Annual Real'!$1:$1048576,'History and Forecast'!AO$7,'History and Forecast'!$H41),INDEX('Forecast Prices'!$1:$1048576,'History and Forecast'!$G41,'History and Forecast'!AO$6))</f>
        <v>#N/A</v>
      </c>
      <c r="AP41" s="17" t="e">
        <f>IF(AP$9,INDEX('Annual Real'!$1:$1048576,'History and Forecast'!AP$7,'History and Forecast'!$H41),INDEX('Forecast Prices'!$1:$1048576,'History and Forecast'!$G41,'History and Forecast'!AP$6))</f>
        <v>#N/A</v>
      </c>
      <c r="AQ41" s="17" t="e">
        <f>IF(AQ$9,INDEX('Annual Real'!$1:$1048576,'History and Forecast'!AQ$7,'History and Forecast'!$H41),INDEX('Forecast Prices'!$1:$1048576,'History and Forecast'!$G41,'History and Forecast'!AQ$6))</f>
        <v>#N/A</v>
      </c>
      <c r="AR41" s="17" t="e">
        <f>IF(AR$9,INDEX('Annual Real'!$1:$1048576,'History and Forecast'!AR$7,'History and Forecast'!$H41),INDEX('Forecast Prices'!$1:$1048576,'History and Forecast'!$G41,'History and Forecast'!AR$6))</f>
        <v>#N/A</v>
      </c>
      <c r="AS41" s="17" t="e">
        <f>IF(AS$9,INDEX('Annual Real'!$1:$1048576,'History and Forecast'!AS$7,'History and Forecast'!$H41),INDEX('Forecast Prices'!$1:$1048576,'History and Forecast'!$G41,'History and Forecast'!AS$6))</f>
        <v>#N/A</v>
      </c>
      <c r="AT41" s="17" t="e">
        <f>IF(AT$9,INDEX('Annual Real'!$1:$1048576,'History and Forecast'!AT$7,'History and Forecast'!$H41),INDEX('Forecast Prices'!$1:$1048576,'History and Forecast'!$G41,'History and Forecast'!AT$6))</f>
        <v>#N/A</v>
      </c>
      <c r="AU41" s="17" t="e">
        <f>IF(AU$9,INDEX('Annual Real'!$1:$1048576,'History and Forecast'!AU$7,'History and Forecast'!$H41),INDEX('Forecast Prices'!$1:$1048576,'History and Forecast'!$G41,'History and Forecast'!AU$6))</f>
        <v>#N/A</v>
      </c>
      <c r="AV41" s="17" t="e">
        <f>IF(AV$9,INDEX('Annual Real'!$1:$1048576,'History and Forecast'!AV$7,'History and Forecast'!$H41),INDEX('Forecast Prices'!$1:$1048576,'History and Forecast'!$G41,'History and Forecast'!AV$6))</f>
        <v>#N/A</v>
      </c>
      <c r="AW41" s="17" t="e">
        <f>IF(AW$9,INDEX('Annual Real'!$1:$1048576,'History and Forecast'!AW$7,'History and Forecast'!$H41),INDEX('Forecast Prices'!$1:$1048576,'History and Forecast'!$G41,'History and Forecast'!AW$6))</f>
        <v>#N/A</v>
      </c>
      <c r="AX41" s="17" t="e">
        <f>IF(AX$9,INDEX('Annual Real'!$1:$1048576,'History and Forecast'!AX$7,'History and Forecast'!$H41),INDEX('Forecast Prices'!$1:$1048576,'History and Forecast'!$G41,'History and Forecast'!AX$6))</f>
        <v>#N/A</v>
      </c>
      <c r="AY41" s="17" t="e">
        <f>IF(AY$9,INDEX('Annual Real'!$1:$1048576,'History and Forecast'!AY$7,'History and Forecast'!$H41),INDEX('Forecast Prices'!$1:$1048576,'History and Forecast'!$G41,'History and Forecast'!AY$6))</f>
        <v>#N/A</v>
      </c>
      <c r="AZ41" s="17" t="e">
        <f>IF(AZ$9,INDEX('Annual Real'!$1:$1048576,'History and Forecast'!AZ$7,'History and Forecast'!$H41),INDEX('Forecast Prices'!$1:$1048576,'History and Forecast'!$G41,'History and Forecast'!AZ$6))</f>
        <v>#N/A</v>
      </c>
      <c r="BA41" s="17" t="e">
        <f>IF(BA$9,INDEX('Annual Real'!$1:$1048576,'History and Forecast'!BA$7,'History and Forecast'!$H41),INDEX('Forecast Prices'!$1:$1048576,'History and Forecast'!$G41,'History and Forecast'!BA$6))</f>
        <v>#N/A</v>
      </c>
      <c r="BB41" s="17" t="e">
        <f>IF(BB$9,INDEX('Annual Real'!$1:$1048576,'History and Forecast'!BB$7,'History and Forecast'!$H41),INDEX('Forecast Prices'!$1:$1048576,'History and Forecast'!$G41,'History and Forecast'!BB$6))</f>
        <v>#N/A</v>
      </c>
      <c r="BC41" s="17" t="e">
        <f>IF(BC$9,INDEX('Annual Real'!$1:$1048576,'History and Forecast'!BC$7,'History and Forecast'!$H41),INDEX('Forecast Prices'!$1:$1048576,'History and Forecast'!$G41,'History and Forecast'!BC$6))</f>
        <v>#N/A</v>
      </c>
      <c r="BD41" s="17" t="e">
        <f>IF(BD$9,INDEX('Annual Real'!$1:$1048576,'History and Forecast'!BD$7,'History and Forecast'!$H41),INDEX('Forecast Prices'!$1:$1048576,'History and Forecast'!$G41,'History and Forecast'!BD$6))</f>
        <v>#N/A</v>
      </c>
      <c r="BE41" s="17" t="e">
        <f>IF(BE$9,INDEX('Annual Real'!$1:$1048576,'History and Forecast'!BE$7,'History and Forecast'!$H41),INDEX('Forecast Prices'!$1:$1048576,'History and Forecast'!$G41,'History and Forecast'!BE$6))</f>
        <v>#N/A</v>
      </c>
      <c r="BF41" s="17" t="e">
        <f>IF(BF$9,INDEX('Annual Real'!$1:$1048576,'History and Forecast'!BF$7,'History and Forecast'!$H41),INDEX('Forecast Prices'!$1:$1048576,'History and Forecast'!$G41,'History and Forecast'!BF$6))</f>
        <v>#N/A</v>
      </c>
      <c r="BG41" s="17" t="e">
        <f>IF(BG$9,INDEX('Annual Real'!$1:$1048576,'History and Forecast'!BG$7,'History and Forecast'!$H41),INDEX('Forecast Prices'!$1:$1048576,'History and Forecast'!$G41,'History and Forecast'!BG$6))</f>
        <v>#N/A</v>
      </c>
      <c r="BH41" s="17" t="e">
        <f>IF(BH$9,INDEX('Annual Real'!$1:$1048576,'History and Forecast'!BH$7,'History and Forecast'!$H41),INDEX('Forecast Prices'!$1:$1048576,'History and Forecast'!$G41,'History and Forecast'!BH$6))</f>
        <v>#N/A</v>
      </c>
      <c r="BI41" s="17" t="e">
        <f>IF(BI$9,INDEX('Annual Real'!$1:$1048576,'History and Forecast'!BI$7,'History and Forecast'!$H41),INDEX('Forecast Prices'!$1:$1048576,'History and Forecast'!$G41,'History and Forecast'!BI$6))</f>
        <v>#N/A</v>
      </c>
      <c r="BJ41" s="17" t="e">
        <f>IF(BJ$9,INDEX('Annual Real'!$1:$1048576,'History and Forecast'!BJ$7,'History and Forecast'!$H41),INDEX('Forecast Prices'!$1:$1048576,'History and Forecast'!$G41,'History and Forecast'!BJ$6))</f>
        <v>#N/A</v>
      </c>
      <c r="BK41" s="17" t="e">
        <f>IF(BK$9,INDEX('Annual Real'!$1:$1048576,'History and Forecast'!BK$7,'History and Forecast'!$H41),INDEX('Forecast Prices'!$1:$1048576,'History and Forecast'!$G41,'History and Forecast'!BK$6))</f>
        <v>#N/A</v>
      </c>
      <c r="BL41" s="17" t="e">
        <f>IF(BL$9,INDEX('Annual Real'!$1:$1048576,'History and Forecast'!BL$7,'History and Forecast'!$H41),INDEX('Forecast Prices'!$1:$1048576,'History and Forecast'!$G41,'History and Forecast'!BL$6))</f>
        <v>#N/A</v>
      </c>
      <c r="BM41" s="17" t="e">
        <f>IF(BM$9,INDEX('Annual Real'!$1:$1048576,'History and Forecast'!BM$7,'History and Forecast'!$H41),INDEX('Forecast Prices'!$1:$1048576,'History and Forecast'!$G41,'History and Forecast'!BM$6))</f>
        <v>#N/A</v>
      </c>
      <c r="BN41" s="17" t="e">
        <f>IF(BN$9,INDEX('Annual Real'!$1:$1048576,'History and Forecast'!BN$7,'History and Forecast'!$H41),INDEX('Forecast Prices'!$1:$1048576,'History and Forecast'!$G41,'History and Forecast'!BN$6))</f>
        <v>#N/A</v>
      </c>
      <c r="BO41" s="17">
        <f>IF(BO$9,INDEX('Annual Real'!$1:$1048576,'History and Forecast'!BO$7,'History and Forecast'!$H41),INDEX('Forecast Prices'!$1:$1048576,'History and Forecast'!$G41,'History and Forecast'!BO$6))</f>
        <v>335.85641475385302</v>
      </c>
      <c r="BP41" s="17">
        <f>IF(BP$9,INDEX('Annual Real'!$1:$1048576,'History and Forecast'!BP$7,'History and Forecast'!$H41),INDEX('Forecast Prices'!$1:$1048576,'History and Forecast'!$G41,'History and Forecast'!BP$6))</f>
        <v>332.04153118088402</v>
      </c>
      <c r="BQ41" s="17">
        <f>IF(BQ$9,INDEX('Annual Real'!$1:$1048576,'History and Forecast'!BQ$7,'History and Forecast'!$H41),INDEX('Forecast Prices'!$1:$1048576,'History and Forecast'!$G41,'History and Forecast'!BQ$6))</f>
        <v>386.24734686632002</v>
      </c>
      <c r="BR41" s="17">
        <f>IF(BR$9,INDEX('Annual Real'!$1:$1048576,'History and Forecast'!BR$7,'History and Forecast'!$H41),INDEX('Forecast Prices'!$1:$1048576,'History and Forecast'!$G41,'History and Forecast'!BR$6))</f>
        <v>356.18352094039602</v>
      </c>
      <c r="BS41" s="17">
        <f>IF(BS$9,INDEX('Annual Real'!$1:$1048576,'History and Forecast'!BS$7,'History and Forecast'!$H41),INDEX('Forecast Prices'!$1:$1048576,'History and Forecast'!$G41,'History and Forecast'!BS$6))</f>
        <v>356.51509427913601</v>
      </c>
      <c r="BT41" s="17">
        <f>IF(BT$9,INDEX('Annual Real'!$1:$1048576,'History and Forecast'!BT$7,'History and Forecast'!$H41),INDEX('Forecast Prices'!$1:$1048576,'History and Forecast'!$G41,'History and Forecast'!BT$6))</f>
        <v>356.93460023960898</v>
      </c>
      <c r="BU41" s="17">
        <f>IF(BU$9,INDEX('Annual Real'!$1:$1048576,'History and Forecast'!BU$7,'History and Forecast'!$H41),INDEX('Forecast Prices'!$1:$1048576,'History and Forecast'!$G41,'History and Forecast'!BU$6))</f>
        <v>357.06813501710002</v>
      </c>
      <c r="BV41" s="17">
        <f>IF(BV$9,INDEX('Annual Real'!$1:$1048576,'History and Forecast'!BV$7,'History and Forecast'!$H41),INDEX('Forecast Prices'!$1:$1048576,'History and Forecast'!$G41,'History and Forecast'!BV$6))</f>
        <v>357.23324442726999</v>
      </c>
      <c r="BW41" s="17">
        <f>IF(BW$9,INDEX('Annual Real'!$1:$1048576,'History and Forecast'!BW$7,'History and Forecast'!$H41),INDEX('Forecast Prices'!$1:$1048576,'History and Forecast'!$G41,'History and Forecast'!BW$6))</f>
        <v>357.39831166406998</v>
      </c>
      <c r="BX41" s="17">
        <f>IF(BX$9,INDEX('Annual Real'!$1:$1048576,'History and Forecast'!BX$7,'History and Forecast'!$H41),INDEX('Forecast Prices'!$1:$1048576,'History and Forecast'!$G41,'History and Forecast'!BX$6))</f>
        <v>357.54283312427799</v>
      </c>
      <c r="BY41" s="17" t="e">
        <f>IF(BY$9,INDEX('Annual Real'!$1:$1048576,'History and Forecast'!BY$7,'History and Forecast'!$H41),INDEX('Forecast Prices'!$1:$1048576,'History and Forecast'!$G41,'History and Forecast'!BY$6))</f>
        <v>#N/A</v>
      </c>
      <c r="BZ41" s="17" t="e">
        <f>IF(BZ$9,INDEX('Annual Real'!$1:$1048576,'History and Forecast'!BZ$7,'History and Forecast'!$H41),INDEX('Forecast Prices'!$1:$1048576,'History and Forecast'!$G41,'History and Forecast'!BZ$6))</f>
        <v>#N/A</v>
      </c>
      <c r="CA41" s="17" t="e">
        <f>IF(CA$9,INDEX('Annual Real'!$1:$1048576,'History and Forecast'!CA$7,'History and Forecast'!$H41),INDEX('Forecast Prices'!$1:$1048576,'History and Forecast'!$G41,'History and Forecast'!CA$6))</f>
        <v>#N/A</v>
      </c>
      <c r="CB41" s="17" t="e">
        <f>IF(CB$9,INDEX('Annual Real'!$1:$1048576,'History and Forecast'!CB$7,'History and Forecast'!$H41),INDEX('Forecast Prices'!$1:$1048576,'History and Forecast'!$G41,'History and Forecast'!CB$6))</f>
        <v>#N/A</v>
      </c>
      <c r="CC41" s="17">
        <f>IF(CC$9,INDEX('Annual Real'!$1:$1048576,'History and Forecast'!CC$7,'History and Forecast'!$H41),INDEX('Forecast Prices'!$1:$1048576,'History and Forecast'!$G41,'History and Forecast'!CC$6))</f>
        <v>357.719036682546</v>
      </c>
      <c r="CD41" s="17" t="e">
        <f>IF(CD$9,INDEX('Annual Real'!$1:$1048576,'History and Forecast'!CD$7,'History and Forecast'!$H41),INDEX('Forecast Prices'!$1:$1048576,'History and Forecast'!$G41,'History and Forecast'!CD$6))</f>
        <v>#N/A</v>
      </c>
      <c r="CE41" s="17" t="e">
        <f>IF(CE$9,INDEX('Annual Real'!$1:$1048576,'History and Forecast'!CE$7,'History and Forecast'!$H41),INDEX('Forecast Prices'!$1:$1048576,'History and Forecast'!$G41,'History and Forecast'!CE$6))</f>
        <v>#N/A</v>
      </c>
      <c r="CF41" s="17" t="e">
        <f>IF(CF$9,INDEX('Annual Real'!$1:$1048576,'History and Forecast'!CF$7,'History and Forecast'!$H41),INDEX('Forecast Prices'!$1:$1048576,'History and Forecast'!$G41,'History and Forecast'!CF$6))</f>
        <v>#N/A</v>
      </c>
      <c r="CG41" s="17" t="e">
        <f>IF(CG$9,INDEX('Annual Real'!$1:$1048576,'History and Forecast'!CG$7,'History and Forecast'!$H41),INDEX('Forecast Prices'!$1:$1048576,'History and Forecast'!$G41,'History and Forecast'!CG$6))</f>
        <v>#N/A</v>
      </c>
      <c r="CH41" s="17" t="e">
        <f>IF(CH$9,INDEX('Annual Real'!$1:$1048576,'History and Forecast'!CH$7,'History and Forecast'!$H41),INDEX('Forecast Prices'!$1:$1048576,'History and Forecast'!$G41,'History and Forecast'!CH$6))</f>
        <v>#N/A</v>
      </c>
      <c r="CI41" s="17" t="e">
        <f>IF(CI$9,INDEX('Annual Real'!$1:$1048576,'History and Forecast'!CI$7,'History and Forecast'!$H41),INDEX('Forecast Prices'!$1:$1048576,'History and Forecast'!$G41,'History and Forecast'!CI$6))</f>
        <v>#N/A</v>
      </c>
    </row>
    <row r="42" spans="2:87">
      <c r="B42" t="str">
        <f t="shared" ref="B42:B60" si="7">MID(C42,2,25)</f>
        <v>PHOSROCK</v>
      </c>
      <c r="C42" s="34" t="s">
        <v>1096</v>
      </c>
      <c r="D42" t="str">
        <f t="shared" si="5"/>
        <v>KPHOSROCK</v>
      </c>
      <c r="E42" s="34" t="str">
        <f t="shared" si="6"/>
        <v>KFPHOSROCK</v>
      </c>
      <c r="F42">
        <f>MATCH(C42,'Forecast Prices'!A:A,0)</f>
        <v>55</v>
      </c>
      <c r="G42">
        <f>MATCH(E42,'Forecast Prices'!A:A,0)</f>
        <v>137</v>
      </c>
      <c r="H42" t="e">
        <f>MATCH(D42,'Annual Real'!$9:$9,0)</f>
        <v>#N/A</v>
      </c>
      <c r="I42" t="str">
        <f>INDEX('Forecast Prices'!B:B,'History and Forecast'!F42)&amp;INDEX('Forecast Prices'!C:C,'History and Forecast'!F42)&amp;INDEX('Forecast Prices'!D:D,'History and Forecast'!F42)&amp;INDEX('Forecast Prices'!E:E,'History and Forecast'!F42)</f>
        <v>Phosphate rock</v>
      </c>
      <c r="J42" t="str">
        <f>INDEX('Forecast Prices'!H:H,'History and Forecast'!F42)</f>
        <v>$/mt</v>
      </c>
      <c r="K42" s="17" t="e">
        <f>IF(K$9,INDEX('Annual Real'!$1:$1048576,'History and Forecast'!K$7,'History and Forecast'!$H42),INDEX('Forecast Prices'!$1:$1048576,'History and Forecast'!$G42,'History and Forecast'!K$6))</f>
        <v>#N/A</v>
      </c>
      <c r="L42" s="17" t="e">
        <f>IF(L$9,INDEX('Annual Real'!$1:$1048576,'History and Forecast'!L$7,'History and Forecast'!$H42),INDEX('Forecast Prices'!$1:$1048576,'History and Forecast'!$G42,'History and Forecast'!L$6))</f>
        <v>#N/A</v>
      </c>
      <c r="M42" s="17" t="e">
        <f>IF(M$9,INDEX('Annual Real'!$1:$1048576,'History and Forecast'!M$7,'History and Forecast'!$H42),INDEX('Forecast Prices'!$1:$1048576,'History and Forecast'!$G42,'History and Forecast'!M$6))</f>
        <v>#N/A</v>
      </c>
      <c r="N42" s="17" t="e">
        <f>IF(N$9,INDEX('Annual Real'!$1:$1048576,'History and Forecast'!N$7,'History and Forecast'!$H42),INDEX('Forecast Prices'!$1:$1048576,'History and Forecast'!$G42,'History and Forecast'!N$6))</f>
        <v>#N/A</v>
      </c>
      <c r="O42" s="17" t="e">
        <f>IF(O$9,INDEX('Annual Real'!$1:$1048576,'History and Forecast'!O$7,'History and Forecast'!$H42),INDEX('Forecast Prices'!$1:$1048576,'History and Forecast'!$G42,'History and Forecast'!O$6))</f>
        <v>#N/A</v>
      </c>
      <c r="P42" s="17" t="e">
        <f>IF(P$9,INDEX('Annual Real'!$1:$1048576,'History and Forecast'!P$7,'History and Forecast'!$H42),INDEX('Forecast Prices'!$1:$1048576,'History and Forecast'!$G42,'History and Forecast'!P$6))</f>
        <v>#N/A</v>
      </c>
      <c r="Q42" s="17" t="e">
        <f>IF(Q$9,INDEX('Annual Real'!$1:$1048576,'History and Forecast'!Q$7,'History and Forecast'!$H42),INDEX('Forecast Prices'!$1:$1048576,'History and Forecast'!$G42,'History and Forecast'!Q$6))</f>
        <v>#N/A</v>
      </c>
      <c r="R42" s="17" t="e">
        <f>IF(R$9,INDEX('Annual Real'!$1:$1048576,'History and Forecast'!R$7,'History and Forecast'!$H42),INDEX('Forecast Prices'!$1:$1048576,'History and Forecast'!$G42,'History and Forecast'!R$6))</f>
        <v>#N/A</v>
      </c>
      <c r="S42" s="17" t="e">
        <f>IF(S$9,INDEX('Annual Real'!$1:$1048576,'History and Forecast'!S$7,'History and Forecast'!$H42),INDEX('Forecast Prices'!$1:$1048576,'History and Forecast'!$G42,'History and Forecast'!S$6))</f>
        <v>#N/A</v>
      </c>
      <c r="T42" s="17" t="e">
        <f>IF(T$9,INDEX('Annual Real'!$1:$1048576,'History and Forecast'!T$7,'History and Forecast'!$H42),INDEX('Forecast Prices'!$1:$1048576,'History and Forecast'!$G42,'History and Forecast'!T$6))</f>
        <v>#N/A</v>
      </c>
      <c r="U42" s="17" t="e">
        <f>IF(U$9,INDEX('Annual Real'!$1:$1048576,'History and Forecast'!U$7,'History and Forecast'!$H42),INDEX('Forecast Prices'!$1:$1048576,'History and Forecast'!$G42,'History and Forecast'!U$6))</f>
        <v>#N/A</v>
      </c>
      <c r="V42" s="17" t="e">
        <f>IF(V$9,INDEX('Annual Real'!$1:$1048576,'History and Forecast'!V$7,'History and Forecast'!$H42),INDEX('Forecast Prices'!$1:$1048576,'History and Forecast'!$G42,'History and Forecast'!V$6))</f>
        <v>#N/A</v>
      </c>
      <c r="W42" s="17" t="e">
        <f>IF(W$9,INDEX('Annual Real'!$1:$1048576,'History and Forecast'!W$7,'History and Forecast'!$H42),INDEX('Forecast Prices'!$1:$1048576,'History and Forecast'!$G42,'History and Forecast'!W$6))</f>
        <v>#N/A</v>
      </c>
      <c r="X42" s="17" t="e">
        <f>IF(X$9,INDEX('Annual Real'!$1:$1048576,'History and Forecast'!X$7,'History and Forecast'!$H42),INDEX('Forecast Prices'!$1:$1048576,'History and Forecast'!$G42,'History and Forecast'!X$6))</f>
        <v>#N/A</v>
      </c>
      <c r="Y42" s="17" t="e">
        <f>IF(Y$9,INDEX('Annual Real'!$1:$1048576,'History and Forecast'!Y$7,'History and Forecast'!$H42),INDEX('Forecast Prices'!$1:$1048576,'History and Forecast'!$G42,'History and Forecast'!Y$6))</f>
        <v>#N/A</v>
      </c>
      <c r="Z42" s="17" t="e">
        <f>IF(Z$9,INDEX('Annual Real'!$1:$1048576,'History and Forecast'!Z$7,'History and Forecast'!$H42),INDEX('Forecast Prices'!$1:$1048576,'History and Forecast'!$G42,'History and Forecast'!Z$6))</f>
        <v>#N/A</v>
      </c>
      <c r="AA42" s="17" t="e">
        <f>IF(AA$9,INDEX('Annual Real'!$1:$1048576,'History and Forecast'!AA$7,'History and Forecast'!$H42),INDEX('Forecast Prices'!$1:$1048576,'History and Forecast'!$G42,'History and Forecast'!AA$6))</f>
        <v>#N/A</v>
      </c>
      <c r="AB42" s="17" t="e">
        <f>IF(AB$9,INDEX('Annual Real'!$1:$1048576,'History and Forecast'!AB$7,'History and Forecast'!$H42),INDEX('Forecast Prices'!$1:$1048576,'History and Forecast'!$G42,'History and Forecast'!AB$6))</f>
        <v>#N/A</v>
      </c>
      <c r="AC42" s="17" t="e">
        <f>IF(AC$9,INDEX('Annual Real'!$1:$1048576,'History and Forecast'!AC$7,'History and Forecast'!$H42),INDEX('Forecast Prices'!$1:$1048576,'History and Forecast'!$G42,'History and Forecast'!AC$6))</f>
        <v>#N/A</v>
      </c>
      <c r="AD42" s="17" t="e">
        <f>IF(AD$9,INDEX('Annual Real'!$1:$1048576,'History and Forecast'!AD$7,'History and Forecast'!$H42),INDEX('Forecast Prices'!$1:$1048576,'History and Forecast'!$G42,'History and Forecast'!AD$6))</f>
        <v>#N/A</v>
      </c>
      <c r="AE42" s="17" t="e">
        <f>IF(AE$9,INDEX('Annual Real'!$1:$1048576,'History and Forecast'!AE$7,'History and Forecast'!$H42),INDEX('Forecast Prices'!$1:$1048576,'History and Forecast'!$G42,'History and Forecast'!AE$6))</f>
        <v>#N/A</v>
      </c>
      <c r="AF42" s="17" t="e">
        <f>IF(AF$9,INDEX('Annual Real'!$1:$1048576,'History and Forecast'!AF$7,'History and Forecast'!$H42),INDEX('Forecast Prices'!$1:$1048576,'History and Forecast'!$G42,'History and Forecast'!AF$6))</f>
        <v>#N/A</v>
      </c>
      <c r="AG42" s="17" t="e">
        <f>IF(AG$9,INDEX('Annual Real'!$1:$1048576,'History and Forecast'!AG$7,'History and Forecast'!$H42),INDEX('Forecast Prices'!$1:$1048576,'History and Forecast'!$G42,'History and Forecast'!AG$6))</f>
        <v>#N/A</v>
      </c>
      <c r="AH42" s="17" t="e">
        <f>IF(AH$9,INDEX('Annual Real'!$1:$1048576,'History and Forecast'!AH$7,'History and Forecast'!$H42),INDEX('Forecast Prices'!$1:$1048576,'History and Forecast'!$G42,'History and Forecast'!AH$6))</f>
        <v>#N/A</v>
      </c>
      <c r="AI42" s="17" t="e">
        <f>IF(AI$9,INDEX('Annual Real'!$1:$1048576,'History and Forecast'!AI$7,'History and Forecast'!$H42),INDEX('Forecast Prices'!$1:$1048576,'History and Forecast'!$G42,'History and Forecast'!AI$6))</f>
        <v>#N/A</v>
      </c>
      <c r="AJ42" s="17" t="e">
        <f>IF(AJ$9,INDEX('Annual Real'!$1:$1048576,'History and Forecast'!AJ$7,'History and Forecast'!$H42),INDEX('Forecast Prices'!$1:$1048576,'History and Forecast'!$G42,'History and Forecast'!AJ$6))</f>
        <v>#N/A</v>
      </c>
      <c r="AK42" s="17" t="e">
        <f>IF(AK$9,INDEX('Annual Real'!$1:$1048576,'History and Forecast'!AK$7,'History and Forecast'!$H42),INDEX('Forecast Prices'!$1:$1048576,'History and Forecast'!$G42,'History and Forecast'!AK$6))</f>
        <v>#N/A</v>
      </c>
      <c r="AL42" s="17" t="e">
        <f>IF(AL$9,INDEX('Annual Real'!$1:$1048576,'History and Forecast'!AL$7,'History and Forecast'!$H42),INDEX('Forecast Prices'!$1:$1048576,'History and Forecast'!$G42,'History and Forecast'!AL$6))</f>
        <v>#N/A</v>
      </c>
      <c r="AM42" s="17" t="e">
        <f>IF(AM$9,INDEX('Annual Real'!$1:$1048576,'History and Forecast'!AM$7,'History and Forecast'!$H42),INDEX('Forecast Prices'!$1:$1048576,'History and Forecast'!$G42,'History and Forecast'!AM$6))</f>
        <v>#N/A</v>
      </c>
      <c r="AN42" s="17" t="e">
        <f>IF(AN$9,INDEX('Annual Real'!$1:$1048576,'History and Forecast'!AN$7,'History and Forecast'!$H42),INDEX('Forecast Prices'!$1:$1048576,'History and Forecast'!$G42,'History and Forecast'!AN$6))</f>
        <v>#N/A</v>
      </c>
      <c r="AO42" s="17" t="e">
        <f>IF(AO$9,INDEX('Annual Real'!$1:$1048576,'History and Forecast'!AO$7,'History and Forecast'!$H42),INDEX('Forecast Prices'!$1:$1048576,'History and Forecast'!$G42,'History and Forecast'!AO$6))</f>
        <v>#N/A</v>
      </c>
      <c r="AP42" s="17" t="e">
        <f>IF(AP$9,INDEX('Annual Real'!$1:$1048576,'History and Forecast'!AP$7,'History and Forecast'!$H42),INDEX('Forecast Prices'!$1:$1048576,'History and Forecast'!$G42,'History and Forecast'!AP$6))</f>
        <v>#N/A</v>
      </c>
      <c r="AQ42" s="17" t="e">
        <f>IF(AQ$9,INDEX('Annual Real'!$1:$1048576,'History and Forecast'!AQ$7,'History and Forecast'!$H42),INDEX('Forecast Prices'!$1:$1048576,'History and Forecast'!$G42,'History and Forecast'!AQ$6))</f>
        <v>#N/A</v>
      </c>
      <c r="AR42" s="17" t="e">
        <f>IF(AR$9,INDEX('Annual Real'!$1:$1048576,'History and Forecast'!AR$7,'History and Forecast'!$H42),INDEX('Forecast Prices'!$1:$1048576,'History and Forecast'!$G42,'History and Forecast'!AR$6))</f>
        <v>#N/A</v>
      </c>
      <c r="AS42" s="17" t="e">
        <f>IF(AS$9,INDEX('Annual Real'!$1:$1048576,'History and Forecast'!AS$7,'History and Forecast'!$H42),INDEX('Forecast Prices'!$1:$1048576,'History and Forecast'!$G42,'History and Forecast'!AS$6))</f>
        <v>#N/A</v>
      </c>
      <c r="AT42" s="17" t="e">
        <f>IF(AT$9,INDEX('Annual Real'!$1:$1048576,'History and Forecast'!AT$7,'History and Forecast'!$H42),INDEX('Forecast Prices'!$1:$1048576,'History and Forecast'!$G42,'History and Forecast'!AT$6))</f>
        <v>#N/A</v>
      </c>
      <c r="AU42" s="17" t="e">
        <f>IF(AU$9,INDEX('Annual Real'!$1:$1048576,'History and Forecast'!AU$7,'History and Forecast'!$H42),INDEX('Forecast Prices'!$1:$1048576,'History and Forecast'!$G42,'History and Forecast'!AU$6))</f>
        <v>#N/A</v>
      </c>
      <c r="AV42" s="17" t="e">
        <f>IF(AV$9,INDEX('Annual Real'!$1:$1048576,'History and Forecast'!AV$7,'History and Forecast'!$H42),INDEX('Forecast Prices'!$1:$1048576,'History and Forecast'!$G42,'History and Forecast'!AV$6))</f>
        <v>#N/A</v>
      </c>
      <c r="AW42" s="17" t="e">
        <f>IF(AW$9,INDEX('Annual Real'!$1:$1048576,'History and Forecast'!AW$7,'History and Forecast'!$H42),INDEX('Forecast Prices'!$1:$1048576,'History and Forecast'!$G42,'History and Forecast'!AW$6))</f>
        <v>#N/A</v>
      </c>
      <c r="AX42" s="17" t="e">
        <f>IF(AX$9,INDEX('Annual Real'!$1:$1048576,'History and Forecast'!AX$7,'History and Forecast'!$H42),INDEX('Forecast Prices'!$1:$1048576,'History and Forecast'!$G42,'History and Forecast'!AX$6))</f>
        <v>#N/A</v>
      </c>
      <c r="AY42" s="17" t="e">
        <f>IF(AY$9,INDEX('Annual Real'!$1:$1048576,'History and Forecast'!AY$7,'History and Forecast'!$H42),INDEX('Forecast Prices'!$1:$1048576,'History and Forecast'!$G42,'History and Forecast'!AY$6))</f>
        <v>#N/A</v>
      </c>
      <c r="AZ42" s="17" t="e">
        <f>IF(AZ$9,INDEX('Annual Real'!$1:$1048576,'History and Forecast'!AZ$7,'History and Forecast'!$H42),INDEX('Forecast Prices'!$1:$1048576,'History and Forecast'!$G42,'History and Forecast'!AZ$6))</f>
        <v>#N/A</v>
      </c>
      <c r="BA42" s="17" t="e">
        <f>IF(BA$9,INDEX('Annual Real'!$1:$1048576,'History and Forecast'!BA$7,'History and Forecast'!$H42),INDEX('Forecast Prices'!$1:$1048576,'History and Forecast'!$G42,'History and Forecast'!BA$6))</f>
        <v>#N/A</v>
      </c>
      <c r="BB42" s="17" t="e">
        <f>IF(BB$9,INDEX('Annual Real'!$1:$1048576,'History and Forecast'!BB$7,'History and Forecast'!$H42),INDEX('Forecast Prices'!$1:$1048576,'History and Forecast'!$G42,'History and Forecast'!BB$6))</f>
        <v>#N/A</v>
      </c>
      <c r="BC42" s="17" t="e">
        <f>IF(BC$9,INDEX('Annual Real'!$1:$1048576,'History and Forecast'!BC$7,'History and Forecast'!$H42),INDEX('Forecast Prices'!$1:$1048576,'History and Forecast'!$G42,'History and Forecast'!BC$6))</f>
        <v>#N/A</v>
      </c>
      <c r="BD42" s="17" t="e">
        <f>IF(BD$9,INDEX('Annual Real'!$1:$1048576,'History and Forecast'!BD$7,'History and Forecast'!$H42),INDEX('Forecast Prices'!$1:$1048576,'History and Forecast'!$G42,'History and Forecast'!BD$6))</f>
        <v>#N/A</v>
      </c>
      <c r="BE42" s="17" t="e">
        <f>IF(BE$9,INDEX('Annual Real'!$1:$1048576,'History and Forecast'!BE$7,'History and Forecast'!$H42),INDEX('Forecast Prices'!$1:$1048576,'History and Forecast'!$G42,'History and Forecast'!BE$6))</f>
        <v>#N/A</v>
      </c>
      <c r="BF42" s="17" t="e">
        <f>IF(BF$9,INDEX('Annual Real'!$1:$1048576,'History and Forecast'!BF$7,'History and Forecast'!$H42),INDEX('Forecast Prices'!$1:$1048576,'History and Forecast'!$G42,'History and Forecast'!BF$6))</f>
        <v>#N/A</v>
      </c>
      <c r="BG42" s="17" t="e">
        <f>IF(BG$9,INDEX('Annual Real'!$1:$1048576,'History and Forecast'!BG$7,'History and Forecast'!$H42),INDEX('Forecast Prices'!$1:$1048576,'History and Forecast'!$G42,'History and Forecast'!BG$6))</f>
        <v>#N/A</v>
      </c>
      <c r="BH42" s="17" t="e">
        <f>IF(BH$9,INDEX('Annual Real'!$1:$1048576,'History and Forecast'!BH$7,'History and Forecast'!$H42),INDEX('Forecast Prices'!$1:$1048576,'History and Forecast'!$G42,'History and Forecast'!BH$6))</f>
        <v>#N/A</v>
      </c>
      <c r="BI42" s="17" t="e">
        <f>IF(BI$9,INDEX('Annual Real'!$1:$1048576,'History and Forecast'!BI$7,'History and Forecast'!$H42),INDEX('Forecast Prices'!$1:$1048576,'History and Forecast'!$G42,'History and Forecast'!BI$6))</f>
        <v>#N/A</v>
      </c>
      <c r="BJ42" s="17" t="e">
        <f>IF(BJ$9,INDEX('Annual Real'!$1:$1048576,'History and Forecast'!BJ$7,'History and Forecast'!$H42),INDEX('Forecast Prices'!$1:$1048576,'History and Forecast'!$G42,'History and Forecast'!BJ$6))</f>
        <v>#N/A</v>
      </c>
      <c r="BK42" s="17" t="e">
        <f>IF(BK$9,INDEX('Annual Real'!$1:$1048576,'History and Forecast'!BK$7,'History and Forecast'!$H42),INDEX('Forecast Prices'!$1:$1048576,'History and Forecast'!$G42,'History and Forecast'!BK$6))</f>
        <v>#N/A</v>
      </c>
      <c r="BL42" s="17" t="e">
        <f>IF(BL$9,INDEX('Annual Real'!$1:$1048576,'History and Forecast'!BL$7,'History and Forecast'!$H42),INDEX('Forecast Prices'!$1:$1048576,'History and Forecast'!$G42,'History and Forecast'!BL$6))</f>
        <v>#N/A</v>
      </c>
      <c r="BM42" s="17" t="e">
        <f>IF(BM$9,INDEX('Annual Real'!$1:$1048576,'History and Forecast'!BM$7,'History and Forecast'!$H42),INDEX('Forecast Prices'!$1:$1048576,'History and Forecast'!$G42,'History and Forecast'!BM$6))</f>
        <v>#N/A</v>
      </c>
      <c r="BN42" s="17" t="e">
        <f>IF(BN$9,INDEX('Annual Real'!$1:$1048576,'History and Forecast'!BN$7,'History and Forecast'!$H42),INDEX('Forecast Prices'!$1:$1048576,'History and Forecast'!$G42,'History and Forecast'!BN$6))</f>
        <v>#N/A</v>
      </c>
      <c r="BO42" s="17">
        <f>IF(BO$9,INDEX('Annual Real'!$1:$1048576,'History and Forecast'!BO$7,'History and Forecast'!$H42),INDEX('Forecast Prices'!$1:$1048576,'History and Forecast'!$G42,'History and Forecast'!BO$6))</f>
        <v>117.4662742971</v>
      </c>
      <c r="BP42" s="17">
        <f>IF(BP$9,INDEX('Annual Real'!$1:$1048576,'History and Forecast'!BP$7,'History and Forecast'!$H42),INDEX('Forecast Prices'!$1:$1048576,'History and Forecast'!$G42,'History and Forecast'!BP$6))</f>
        <v>92.190334384610793</v>
      </c>
      <c r="BQ42" s="17">
        <f>IF(BQ$9,INDEX('Annual Real'!$1:$1048576,'History and Forecast'!BQ$7,'History and Forecast'!$H42),INDEX('Forecast Prices'!$1:$1048576,'History and Forecast'!$G42,'History and Forecast'!BQ$6))</f>
        <v>86.296350739148593</v>
      </c>
      <c r="BR42" s="17">
        <f>IF(BR$9,INDEX('Annual Real'!$1:$1048576,'History and Forecast'!BR$7,'History and Forecast'!$H42),INDEX('Forecast Prices'!$1:$1048576,'History and Forecast'!$G42,'History and Forecast'!BR$6))</f>
        <v>101.079107293896</v>
      </c>
      <c r="BS42" s="17">
        <f>IF(BS$9,INDEX('Annual Real'!$1:$1048576,'History and Forecast'!BS$7,'History and Forecast'!$H42),INDEX('Forecast Prices'!$1:$1048576,'History and Forecast'!$G42,'History and Forecast'!BS$6))</f>
        <v>100.976646773008</v>
      </c>
      <c r="BT42" s="17">
        <f>IF(BT$9,INDEX('Annual Real'!$1:$1048576,'History and Forecast'!BT$7,'History and Forecast'!$H42),INDEX('Forecast Prices'!$1:$1048576,'History and Forecast'!$G42,'History and Forecast'!BT$6))</f>
        <v>100.89905984663901</v>
      </c>
      <c r="BU42" s="17">
        <f>IF(BU$9,INDEX('Annual Real'!$1:$1048576,'History and Forecast'!BU$7,'History and Forecast'!$H42),INDEX('Forecast Prices'!$1:$1048576,'History and Forecast'!$G42,'History and Forecast'!BU$6))</f>
        <v>100.740711353506</v>
      </c>
      <c r="BV42" s="17">
        <f>IF(BV$9,INDEX('Annual Real'!$1:$1048576,'History and Forecast'!BV$7,'History and Forecast'!$H42),INDEX('Forecast Prices'!$1:$1048576,'History and Forecast'!$G42,'History and Forecast'!BV$6))</f>
        <v>100.591488241189</v>
      </c>
      <c r="BW42" s="17">
        <f>IF(BW$9,INDEX('Annual Real'!$1:$1048576,'History and Forecast'!BW$7,'History and Forecast'!$H42),INDEX('Forecast Prices'!$1:$1048576,'History and Forecast'!$G42,'History and Forecast'!BW$6))</f>
        <v>100.442452858251</v>
      </c>
      <c r="BX42" s="17">
        <f>IF(BX$9,INDEX('Annual Real'!$1:$1048576,'History and Forecast'!BX$7,'History and Forecast'!$H42),INDEX('Forecast Prices'!$1:$1048576,'History and Forecast'!$G42,'History and Forecast'!BX$6))</f>
        <v>100.287853967722</v>
      </c>
      <c r="BY42" s="17" t="e">
        <f>IF(BY$9,INDEX('Annual Real'!$1:$1048576,'History and Forecast'!BY$7,'History and Forecast'!$H42),INDEX('Forecast Prices'!$1:$1048576,'History and Forecast'!$G42,'History and Forecast'!BY$6))</f>
        <v>#N/A</v>
      </c>
      <c r="BZ42" s="17" t="e">
        <f>IF(BZ$9,INDEX('Annual Real'!$1:$1048576,'History and Forecast'!BZ$7,'History and Forecast'!$H42),INDEX('Forecast Prices'!$1:$1048576,'History and Forecast'!$G42,'History and Forecast'!BZ$6))</f>
        <v>#N/A</v>
      </c>
      <c r="CA42" s="17" t="e">
        <f>IF(CA$9,INDEX('Annual Real'!$1:$1048576,'History and Forecast'!CA$7,'History and Forecast'!$H42),INDEX('Forecast Prices'!$1:$1048576,'History and Forecast'!$G42,'History and Forecast'!CA$6))</f>
        <v>#N/A</v>
      </c>
      <c r="CB42" s="17" t="e">
        <f>IF(CB$9,INDEX('Annual Real'!$1:$1048576,'History and Forecast'!CB$7,'History and Forecast'!$H42),INDEX('Forecast Prices'!$1:$1048576,'History and Forecast'!$G42,'History and Forecast'!CB$6))</f>
        <v>#N/A</v>
      </c>
      <c r="CC42" s="17">
        <f>IF(CC$9,INDEX('Annual Real'!$1:$1048576,'History and Forecast'!CC$7,'History and Forecast'!$H42),INDEX('Forecast Prices'!$1:$1048576,'History and Forecast'!$G42,'History and Forecast'!CC$6))</f>
        <v>99.366399078485003</v>
      </c>
      <c r="CD42" s="17" t="e">
        <f>IF(CD$9,INDEX('Annual Real'!$1:$1048576,'History and Forecast'!CD$7,'History and Forecast'!$H42),INDEX('Forecast Prices'!$1:$1048576,'History and Forecast'!$G42,'History and Forecast'!CD$6))</f>
        <v>#N/A</v>
      </c>
      <c r="CE42" s="17" t="e">
        <f>IF(CE$9,INDEX('Annual Real'!$1:$1048576,'History and Forecast'!CE$7,'History and Forecast'!$H42),INDEX('Forecast Prices'!$1:$1048576,'History and Forecast'!$G42,'History and Forecast'!CE$6))</f>
        <v>#N/A</v>
      </c>
      <c r="CF42" s="17" t="e">
        <f>IF(CF$9,INDEX('Annual Real'!$1:$1048576,'History and Forecast'!CF$7,'History and Forecast'!$H42),INDEX('Forecast Prices'!$1:$1048576,'History and Forecast'!$G42,'History and Forecast'!CF$6))</f>
        <v>#N/A</v>
      </c>
      <c r="CG42" s="17" t="e">
        <f>IF(CG$9,INDEX('Annual Real'!$1:$1048576,'History and Forecast'!CG$7,'History and Forecast'!$H42),INDEX('Forecast Prices'!$1:$1048576,'History and Forecast'!$G42,'History and Forecast'!CG$6))</f>
        <v>#N/A</v>
      </c>
      <c r="CH42" s="17" t="e">
        <f>IF(CH$9,INDEX('Annual Real'!$1:$1048576,'History and Forecast'!CH$7,'History and Forecast'!$H42),INDEX('Forecast Prices'!$1:$1048576,'History and Forecast'!$G42,'History and Forecast'!CH$6))</f>
        <v>#N/A</v>
      </c>
      <c r="CI42" s="17" t="e">
        <f>IF(CI$9,INDEX('Annual Real'!$1:$1048576,'History and Forecast'!CI$7,'History and Forecast'!$H42),INDEX('Forecast Prices'!$1:$1048576,'History and Forecast'!$G42,'History and Forecast'!CI$6))</f>
        <v>#N/A</v>
      </c>
    </row>
    <row r="43" spans="2:87">
      <c r="B43" t="str">
        <f t="shared" si="7"/>
        <v>POTASH</v>
      </c>
      <c r="C43" s="34" t="s">
        <v>1097</v>
      </c>
      <c r="D43" t="str">
        <f t="shared" si="5"/>
        <v>KPOTASH</v>
      </c>
      <c r="E43" s="34" t="str">
        <f t="shared" si="6"/>
        <v>KFPOTASH</v>
      </c>
      <c r="F43">
        <f>MATCH(C43,'Forecast Prices'!A:A,0)</f>
        <v>56</v>
      </c>
      <c r="G43">
        <f>MATCH(E43,'Forecast Prices'!A:A,0)</f>
        <v>138</v>
      </c>
      <c r="H43" t="e">
        <f>MATCH(D43,'Annual Real'!$9:$9,0)</f>
        <v>#N/A</v>
      </c>
      <c r="I43" t="str">
        <f>INDEX('Forecast Prices'!B:B,'History and Forecast'!F43)&amp;INDEX('Forecast Prices'!C:C,'History and Forecast'!F43)&amp;INDEX('Forecast Prices'!D:D,'History and Forecast'!F43)&amp;INDEX('Forecast Prices'!E:E,'History and Forecast'!F43)</f>
        <v>Potassium chloride</v>
      </c>
      <c r="J43" t="str">
        <f>INDEX('Forecast Prices'!H:H,'History and Forecast'!F43)</f>
        <v>$/mt</v>
      </c>
      <c r="K43" s="17" t="e">
        <f>IF(K$9,INDEX('Annual Real'!$1:$1048576,'History and Forecast'!K$7,'History and Forecast'!$H43),INDEX('Forecast Prices'!$1:$1048576,'History and Forecast'!$G43,'History and Forecast'!K$6))</f>
        <v>#N/A</v>
      </c>
      <c r="L43" s="17" t="e">
        <f>IF(L$9,INDEX('Annual Real'!$1:$1048576,'History and Forecast'!L$7,'History and Forecast'!$H43),INDEX('Forecast Prices'!$1:$1048576,'History and Forecast'!$G43,'History and Forecast'!L$6))</f>
        <v>#N/A</v>
      </c>
      <c r="M43" s="17" t="e">
        <f>IF(M$9,INDEX('Annual Real'!$1:$1048576,'History and Forecast'!M$7,'History and Forecast'!$H43),INDEX('Forecast Prices'!$1:$1048576,'History and Forecast'!$G43,'History and Forecast'!M$6))</f>
        <v>#N/A</v>
      </c>
      <c r="N43" s="17" t="e">
        <f>IF(N$9,INDEX('Annual Real'!$1:$1048576,'History and Forecast'!N$7,'History and Forecast'!$H43),INDEX('Forecast Prices'!$1:$1048576,'History and Forecast'!$G43,'History and Forecast'!N$6))</f>
        <v>#N/A</v>
      </c>
      <c r="O43" s="17" t="e">
        <f>IF(O$9,INDEX('Annual Real'!$1:$1048576,'History and Forecast'!O$7,'History and Forecast'!$H43),INDEX('Forecast Prices'!$1:$1048576,'History and Forecast'!$G43,'History and Forecast'!O$6))</f>
        <v>#N/A</v>
      </c>
      <c r="P43" s="17" t="e">
        <f>IF(P$9,INDEX('Annual Real'!$1:$1048576,'History and Forecast'!P$7,'History and Forecast'!$H43),INDEX('Forecast Prices'!$1:$1048576,'History and Forecast'!$G43,'History and Forecast'!P$6))</f>
        <v>#N/A</v>
      </c>
      <c r="Q43" s="17" t="e">
        <f>IF(Q$9,INDEX('Annual Real'!$1:$1048576,'History and Forecast'!Q$7,'History and Forecast'!$H43),INDEX('Forecast Prices'!$1:$1048576,'History and Forecast'!$G43,'History and Forecast'!Q$6))</f>
        <v>#N/A</v>
      </c>
      <c r="R43" s="17" t="e">
        <f>IF(R$9,INDEX('Annual Real'!$1:$1048576,'History and Forecast'!R$7,'History and Forecast'!$H43),INDEX('Forecast Prices'!$1:$1048576,'History and Forecast'!$G43,'History and Forecast'!R$6))</f>
        <v>#N/A</v>
      </c>
      <c r="S43" s="17" t="e">
        <f>IF(S$9,INDEX('Annual Real'!$1:$1048576,'History and Forecast'!S$7,'History and Forecast'!$H43),INDEX('Forecast Prices'!$1:$1048576,'History and Forecast'!$G43,'History and Forecast'!S$6))</f>
        <v>#N/A</v>
      </c>
      <c r="T43" s="17" t="e">
        <f>IF(T$9,INDEX('Annual Real'!$1:$1048576,'History and Forecast'!T$7,'History and Forecast'!$H43),INDEX('Forecast Prices'!$1:$1048576,'History and Forecast'!$G43,'History and Forecast'!T$6))</f>
        <v>#N/A</v>
      </c>
      <c r="U43" s="17" t="e">
        <f>IF(U$9,INDEX('Annual Real'!$1:$1048576,'History and Forecast'!U$7,'History and Forecast'!$H43),INDEX('Forecast Prices'!$1:$1048576,'History and Forecast'!$G43,'History and Forecast'!U$6))</f>
        <v>#N/A</v>
      </c>
      <c r="V43" s="17" t="e">
        <f>IF(V$9,INDEX('Annual Real'!$1:$1048576,'History and Forecast'!V$7,'History and Forecast'!$H43),INDEX('Forecast Prices'!$1:$1048576,'History and Forecast'!$G43,'History and Forecast'!V$6))</f>
        <v>#N/A</v>
      </c>
      <c r="W43" s="17" t="e">
        <f>IF(W$9,INDEX('Annual Real'!$1:$1048576,'History and Forecast'!W$7,'History and Forecast'!$H43),INDEX('Forecast Prices'!$1:$1048576,'History and Forecast'!$G43,'History and Forecast'!W$6))</f>
        <v>#N/A</v>
      </c>
      <c r="X43" s="17" t="e">
        <f>IF(X$9,INDEX('Annual Real'!$1:$1048576,'History and Forecast'!X$7,'History and Forecast'!$H43),INDEX('Forecast Prices'!$1:$1048576,'History and Forecast'!$G43,'History and Forecast'!X$6))</f>
        <v>#N/A</v>
      </c>
      <c r="Y43" s="17" t="e">
        <f>IF(Y$9,INDEX('Annual Real'!$1:$1048576,'History and Forecast'!Y$7,'History and Forecast'!$H43),INDEX('Forecast Prices'!$1:$1048576,'History and Forecast'!$G43,'History and Forecast'!Y$6))</f>
        <v>#N/A</v>
      </c>
      <c r="Z43" s="17" t="e">
        <f>IF(Z$9,INDEX('Annual Real'!$1:$1048576,'History and Forecast'!Z$7,'History and Forecast'!$H43),INDEX('Forecast Prices'!$1:$1048576,'History and Forecast'!$G43,'History and Forecast'!Z$6))</f>
        <v>#N/A</v>
      </c>
      <c r="AA43" s="17" t="e">
        <f>IF(AA$9,INDEX('Annual Real'!$1:$1048576,'History and Forecast'!AA$7,'History and Forecast'!$H43),INDEX('Forecast Prices'!$1:$1048576,'History and Forecast'!$G43,'History and Forecast'!AA$6))</f>
        <v>#N/A</v>
      </c>
      <c r="AB43" s="17" t="e">
        <f>IF(AB$9,INDEX('Annual Real'!$1:$1048576,'History and Forecast'!AB$7,'History and Forecast'!$H43),INDEX('Forecast Prices'!$1:$1048576,'History and Forecast'!$G43,'History and Forecast'!AB$6))</f>
        <v>#N/A</v>
      </c>
      <c r="AC43" s="17" t="e">
        <f>IF(AC$9,INDEX('Annual Real'!$1:$1048576,'History and Forecast'!AC$7,'History and Forecast'!$H43),INDEX('Forecast Prices'!$1:$1048576,'History and Forecast'!$G43,'History and Forecast'!AC$6))</f>
        <v>#N/A</v>
      </c>
      <c r="AD43" s="17" t="e">
        <f>IF(AD$9,INDEX('Annual Real'!$1:$1048576,'History and Forecast'!AD$7,'History and Forecast'!$H43),INDEX('Forecast Prices'!$1:$1048576,'History and Forecast'!$G43,'History and Forecast'!AD$6))</f>
        <v>#N/A</v>
      </c>
      <c r="AE43" s="17" t="e">
        <f>IF(AE$9,INDEX('Annual Real'!$1:$1048576,'History and Forecast'!AE$7,'History and Forecast'!$H43),INDEX('Forecast Prices'!$1:$1048576,'History and Forecast'!$G43,'History and Forecast'!AE$6))</f>
        <v>#N/A</v>
      </c>
      <c r="AF43" s="17" t="e">
        <f>IF(AF$9,INDEX('Annual Real'!$1:$1048576,'History and Forecast'!AF$7,'History and Forecast'!$H43),INDEX('Forecast Prices'!$1:$1048576,'History and Forecast'!$G43,'History and Forecast'!AF$6))</f>
        <v>#N/A</v>
      </c>
      <c r="AG43" s="17" t="e">
        <f>IF(AG$9,INDEX('Annual Real'!$1:$1048576,'History and Forecast'!AG$7,'History and Forecast'!$H43),INDEX('Forecast Prices'!$1:$1048576,'History and Forecast'!$G43,'History and Forecast'!AG$6))</f>
        <v>#N/A</v>
      </c>
      <c r="AH43" s="17" t="e">
        <f>IF(AH$9,INDEX('Annual Real'!$1:$1048576,'History and Forecast'!AH$7,'History and Forecast'!$H43),INDEX('Forecast Prices'!$1:$1048576,'History and Forecast'!$G43,'History and Forecast'!AH$6))</f>
        <v>#N/A</v>
      </c>
      <c r="AI43" s="17" t="e">
        <f>IF(AI$9,INDEX('Annual Real'!$1:$1048576,'History and Forecast'!AI$7,'History and Forecast'!$H43),INDEX('Forecast Prices'!$1:$1048576,'History and Forecast'!$G43,'History and Forecast'!AI$6))</f>
        <v>#N/A</v>
      </c>
      <c r="AJ43" s="17" t="e">
        <f>IF(AJ$9,INDEX('Annual Real'!$1:$1048576,'History and Forecast'!AJ$7,'History and Forecast'!$H43),INDEX('Forecast Prices'!$1:$1048576,'History and Forecast'!$G43,'History and Forecast'!AJ$6))</f>
        <v>#N/A</v>
      </c>
      <c r="AK43" s="17" t="e">
        <f>IF(AK$9,INDEX('Annual Real'!$1:$1048576,'History and Forecast'!AK$7,'History and Forecast'!$H43),INDEX('Forecast Prices'!$1:$1048576,'History and Forecast'!$G43,'History and Forecast'!AK$6))</f>
        <v>#N/A</v>
      </c>
      <c r="AL43" s="17" t="e">
        <f>IF(AL$9,INDEX('Annual Real'!$1:$1048576,'History and Forecast'!AL$7,'History and Forecast'!$H43),INDEX('Forecast Prices'!$1:$1048576,'History and Forecast'!$G43,'History and Forecast'!AL$6))</f>
        <v>#N/A</v>
      </c>
      <c r="AM43" s="17" t="e">
        <f>IF(AM$9,INDEX('Annual Real'!$1:$1048576,'History and Forecast'!AM$7,'History and Forecast'!$H43),INDEX('Forecast Prices'!$1:$1048576,'History and Forecast'!$G43,'History and Forecast'!AM$6))</f>
        <v>#N/A</v>
      </c>
      <c r="AN43" s="17" t="e">
        <f>IF(AN$9,INDEX('Annual Real'!$1:$1048576,'History and Forecast'!AN$7,'History and Forecast'!$H43),INDEX('Forecast Prices'!$1:$1048576,'History and Forecast'!$G43,'History and Forecast'!AN$6))</f>
        <v>#N/A</v>
      </c>
      <c r="AO43" s="17" t="e">
        <f>IF(AO$9,INDEX('Annual Real'!$1:$1048576,'History and Forecast'!AO$7,'History and Forecast'!$H43),INDEX('Forecast Prices'!$1:$1048576,'History and Forecast'!$G43,'History and Forecast'!AO$6))</f>
        <v>#N/A</v>
      </c>
      <c r="AP43" s="17" t="e">
        <f>IF(AP$9,INDEX('Annual Real'!$1:$1048576,'History and Forecast'!AP$7,'History and Forecast'!$H43),INDEX('Forecast Prices'!$1:$1048576,'History and Forecast'!$G43,'History and Forecast'!AP$6))</f>
        <v>#N/A</v>
      </c>
      <c r="AQ43" s="17" t="e">
        <f>IF(AQ$9,INDEX('Annual Real'!$1:$1048576,'History and Forecast'!AQ$7,'History and Forecast'!$H43),INDEX('Forecast Prices'!$1:$1048576,'History and Forecast'!$G43,'History and Forecast'!AQ$6))</f>
        <v>#N/A</v>
      </c>
      <c r="AR43" s="17" t="e">
        <f>IF(AR$9,INDEX('Annual Real'!$1:$1048576,'History and Forecast'!AR$7,'History and Forecast'!$H43),INDEX('Forecast Prices'!$1:$1048576,'History and Forecast'!$G43,'History and Forecast'!AR$6))</f>
        <v>#N/A</v>
      </c>
      <c r="AS43" s="17" t="e">
        <f>IF(AS$9,INDEX('Annual Real'!$1:$1048576,'History and Forecast'!AS$7,'History and Forecast'!$H43),INDEX('Forecast Prices'!$1:$1048576,'History and Forecast'!$G43,'History and Forecast'!AS$6))</f>
        <v>#N/A</v>
      </c>
      <c r="AT43" s="17" t="e">
        <f>IF(AT$9,INDEX('Annual Real'!$1:$1048576,'History and Forecast'!AT$7,'History and Forecast'!$H43),INDEX('Forecast Prices'!$1:$1048576,'History and Forecast'!$G43,'History and Forecast'!AT$6))</f>
        <v>#N/A</v>
      </c>
      <c r="AU43" s="17" t="e">
        <f>IF(AU$9,INDEX('Annual Real'!$1:$1048576,'History and Forecast'!AU$7,'History and Forecast'!$H43),INDEX('Forecast Prices'!$1:$1048576,'History and Forecast'!$G43,'History and Forecast'!AU$6))</f>
        <v>#N/A</v>
      </c>
      <c r="AV43" s="17" t="e">
        <f>IF(AV$9,INDEX('Annual Real'!$1:$1048576,'History and Forecast'!AV$7,'History and Forecast'!$H43),INDEX('Forecast Prices'!$1:$1048576,'History and Forecast'!$G43,'History and Forecast'!AV$6))</f>
        <v>#N/A</v>
      </c>
      <c r="AW43" s="17" t="e">
        <f>IF(AW$9,INDEX('Annual Real'!$1:$1048576,'History and Forecast'!AW$7,'History and Forecast'!$H43),INDEX('Forecast Prices'!$1:$1048576,'History and Forecast'!$G43,'History and Forecast'!AW$6))</f>
        <v>#N/A</v>
      </c>
      <c r="AX43" s="17" t="e">
        <f>IF(AX$9,INDEX('Annual Real'!$1:$1048576,'History and Forecast'!AX$7,'History and Forecast'!$H43),INDEX('Forecast Prices'!$1:$1048576,'History and Forecast'!$G43,'History and Forecast'!AX$6))</f>
        <v>#N/A</v>
      </c>
      <c r="AY43" s="17" t="e">
        <f>IF(AY$9,INDEX('Annual Real'!$1:$1048576,'History and Forecast'!AY$7,'History and Forecast'!$H43),INDEX('Forecast Prices'!$1:$1048576,'History and Forecast'!$G43,'History and Forecast'!AY$6))</f>
        <v>#N/A</v>
      </c>
      <c r="AZ43" s="17" t="e">
        <f>IF(AZ$9,INDEX('Annual Real'!$1:$1048576,'History and Forecast'!AZ$7,'History and Forecast'!$H43),INDEX('Forecast Prices'!$1:$1048576,'History and Forecast'!$G43,'History and Forecast'!AZ$6))</f>
        <v>#N/A</v>
      </c>
      <c r="BA43" s="17" t="e">
        <f>IF(BA$9,INDEX('Annual Real'!$1:$1048576,'History and Forecast'!BA$7,'History and Forecast'!$H43),INDEX('Forecast Prices'!$1:$1048576,'History and Forecast'!$G43,'History and Forecast'!BA$6))</f>
        <v>#N/A</v>
      </c>
      <c r="BB43" s="17" t="e">
        <f>IF(BB$9,INDEX('Annual Real'!$1:$1048576,'History and Forecast'!BB$7,'History and Forecast'!$H43),INDEX('Forecast Prices'!$1:$1048576,'History and Forecast'!$G43,'History and Forecast'!BB$6))</f>
        <v>#N/A</v>
      </c>
      <c r="BC43" s="17" t="e">
        <f>IF(BC$9,INDEX('Annual Real'!$1:$1048576,'History and Forecast'!BC$7,'History and Forecast'!$H43),INDEX('Forecast Prices'!$1:$1048576,'History and Forecast'!$G43,'History and Forecast'!BC$6))</f>
        <v>#N/A</v>
      </c>
      <c r="BD43" s="17" t="e">
        <f>IF(BD$9,INDEX('Annual Real'!$1:$1048576,'History and Forecast'!BD$7,'History and Forecast'!$H43),INDEX('Forecast Prices'!$1:$1048576,'History and Forecast'!$G43,'History and Forecast'!BD$6))</f>
        <v>#N/A</v>
      </c>
      <c r="BE43" s="17" t="e">
        <f>IF(BE$9,INDEX('Annual Real'!$1:$1048576,'History and Forecast'!BE$7,'History and Forecast'!$H43),INDEX('Forecast Prices'!$1:$1048576,'History and Forecast'!$G43,'History and Forecast'!BE$6))</f>
        <v>#N/A</v>
      </c>
      <c r="BF43" s="17" t="e">
        <f>IF(BF$9,INDEX('Annual Real'!$1:$1048576,'History and Forecast'!BF$7,'History and Forecast'!$H43),INDEX('Forecast Prices'!$1:$1048576,'History and Forecast'!$G43,'History and Forecast'!BF$6))</f>
        <v>#N/A</v>
      </c>
      <c r="BG43" s="17" t="e">
        <f>IF(BG$9,INDEX('Annual Real'!$1:$1048576,'History and Forecast'!BG$7,'History and Forecast'!$H43),INDEX('Forecast Prices'!$1:$1048576,'History and Forecast'!$G43,'History and Forecast'!BG$6))</f>
        <v>#N/A</v>
      </c>
      <c r="BH43" s="17" t="e">
        <f>IF(BH$9,INDEX('Annual Real'!$1:$1048576,'History and Forecast'!BH$7,'History and Forecast'!$H43),INDEX('Forecast Prices'!$1:$1048576,'History and Forecast'!$G43,'History and Forecast'!BH$6))</f>
        <v>#N/A</v>
      </c>
      <c r="BI43" s="17" t="e">
        <f>IF(BI$9,INDEX('Annual Real'!$1:$1048576,'History and Forecast'!BI$7,'History and Forecast'!$H43),INDEX('Forecast Prices'!$1:$1048576,'History and Forecast'!$G43,'History and Forecast'!BI$6))</f>
        <v>#N/A</v>
      </c>
      <c r="BJ43" s="17" t="e">
        <f>IF(BJ$9,INDEX('Annual Real'!$1:$1048576,'History and Forecast'!BJ$7,'History and Forecast'!$H43),INDEX('Forecast Prices'!$1:$1048576,'History and Forecast'!$G43,'History and Forecast'!BJ$6))</f>
        <v>#N/A</v>
      </c>
      <c r="BK43" s="17" t="e">
        <f>IF(BK$9,INDEX('Annual Real'!$1:$1048576,'History and Forecast'!BK$7,'History and Forecast'!$H43),INDEX('Forecast Prices'!$1:$1048576,'History and Forecast'!$G43,'History and Forecast'!BK$6))</f>
        <v>#N/A</v>
      </c>
      <c r="BL43" s="17" t="e">
        <f>IF(BL$9,INDEX('Annual Real'!$1:$1048576,'History and Forecast'!BL$7,'History and Forecast'!$H43),INDEX('Forecast Prices'!$1:$1048576,'History and Forecast'!$G43,'History and Forecast'!BL$6))</f>
        <v>#N/A</v>
      </c>
      <c r="BM43" s="17" t="e">
        <f>IF(BM$9,INDEX('Annual Real'!$1:$1048576,'History and Forecast'!BM$7,'History and Forecast'!$H43),INDEX('Forecast Prices'!$1:$1048576,'History and Forecast'!$G43,'History and Forecast'!BM$6))</f>
        <v>#N/A</v>
      </c>
      <c r="BN43" s="17" t="e">
        <f>IF(BN$9,INDEX('Annual Real'!$1:$1048576,'History and Forecast'!BN$7,'History and Forecast'!$H43),INDEX('Forecast Prices'!$1:$1048576,'History and Forecast'!$G43,'History and Forecast'!BN$6))</f>
        <v>#N/A</v>
      </c>
      <c r="BO43" s="17">
        <f>IF(BO$9,INDEX('Annual Real'!$1:$1048576,'History and Forecast'!BO$7,'History and Forecast'!$H43),INDEX('Forecast Prices'!$1:$1048576,'History and Forecast'!$G43,'History and Forecast'!BO$6))</f>
        <v>276.85519598946797</v>
      </c>
      <c r="BP43" s="17">
        <f>IF(BP$9,INDEX('Annual Real'!$1:$1048576,'History and Forecast'!BP$7,'History and Forecast'!$H43),INDEX('Forecast Prices'!$1:$1048576,'History and Forecast'!$G43,'History and Forecast'!BP$6))</f>
        <v>224.31910631330999</v>
      </c>
      <c r="BQ43" s="17">
        <f>IF(BQ$9,INDEX('Annual Real'!$1:$1048576,'History and Forecast'!BQ$7,'History and Forecast'!$H43),INDEX('Forecast Prices'!$1:$1048576,'History and Forecast'!$G43,'History and Forecast'!BQ$6))</f>
        <v>211.56841392817401</v>
      </c>
      <c r="BR43" s="17">
        <f>IF(BR$9,INDEX('Annual Real'!$1:$1048576,'History and Forecast'!BR$7,'History and Forecast'!$H43),INDEX('Forecast Prices'!$1:$1048576,'History and Forecast'!$G43,'History and Forecast'!BR$6))</f>
        <v>231.03795952890599</v>
      </c>
      <c r="BS43" s="17">
        <f>IF(BS$9,INDEX('Annual Real'!$1:$1048576,'History and Forecast'!BS$7,'History and Forecast'!$H43),INDEX('Forecast Prices'!$1:$1048576,'History and Forecast'!$G43,'History and Forecast'!BS$6))</f>
        <v>233.19393606260999</v>
      </c>
      <c r="BT43" s="17">
        <f>IF(BT$9,INDEX('Annual Real'!$1:$1048576,'History and Forecast'!BT$7,'History and Forecast'!$H43),INDEX('Forecast Prices'!$1:$1048576,'History and Forecast'!$G43,'History and Forecast'!BT$6))</f>
        <v>235.42782675089401</v>
      </c>
      <c r="BU43" s="17">
        <f>IF(BU$9,INDEX('Annual Real'!$1:$1048576,'History and Forecast'!BU$7,'History and Forecast'!$H43),INDEX('Forecast Prices'!$1:$1048576,'History and Forecast'!$G43,'History and Forecast'!BU$6))</f>
        <v>237.49258407128201</v>
      </c>
      <c r="BV43" s="17">
        <f>IF(BV$9,INDEX('Annual Real'!$1:$1048576,'History and Forecast'!BV$7,'History and Forecast'!$H43),INDEX('Forecast Prices'!$1:$1048576,'History and Forecast'!$G43,'History and Forecast'!BV$6))</f>
        <v>239.59659342049801</v>
      </c>
      <c r="BW43" s="17">
        <f>IF(BW$9,INDEX('Annual Real'!$1:$1048576,'History and Forecast'!BW$7,'History and Forecast'!$H43),INDEX('Forecast Prices'!$1:$1048576,'History and Forecast'!$G43,'History and Forecast'!BW$6))</f>
        <v>241.71916258372099</v>
      </c>
      <c r="BX43" s="17">
        <f>IF(BX$9,INDEX('Annual Real'!$1:$1048576,'History and Forecast'!BX$7,'History and Forecast'!$H43),INDEX('Forecast Prices'!$1:$1048576,'History and Forecast'!$G43,'History and Forecast'!BX$6))</f>
        <v>243.84647106805099</v>
      </c>
      <c r="BY43" s="17" t="e">
        <f>IF(BY$9,INDEX('Annual Real'!$1:$1048576,'History and Forecast'!BY$7,'History and Forecast'!$H43),INDEX('Forecast Prices'!$1:$1048576,'History and Forecast'!$G43,'History and Forecast'!BY$6))</f>
        <v>#N/A</v>
      </c>
      <c r="BZ43" s="17" t="e">
        <f>IF(BZ$9,INDEX('Annual Real'!$1:$1048576,'History and Forecast'!BZ$7,'History and Forecast'!$H43),INDEX('Forecast Prices'!$1:$1048576,'History and Forecast'!$G43,'History and Forecast'!BZ$6))</f>
        <v>#N/A</v>
      </c>
      <c r="CA43" s="17" t="e">
        <f>IF(CA$9,INDEX('Annual Real'!$1:$1048576,'History and Forecast'!CA$7,'History and Forecast'!$H43),INDEX('Forecast Prices'!$1:$1048576,'History and Forecast'!$G43,'History and Forecast'!CA$6))</f>
        <v>#N/A</v>
      </c>
      <c r="CB43" s="17" t="e">
        <f>IF(CB$9,INDEX('Annual Real'!$1:$1048576,'History and Forecast'!CB$7,'History and Forecast'!$H43),INDEX('Forecast Prices'!$1:$1048576,'History and Forecast'!$G43,'History and Forecast'!CB$6))</f>
        <v>#N/A</v>
      </c>
      <c r="CC43" s="17">
        <f>IF(CC$9,INDEX('Annual Real'!$1:$1048576,'History and Forecast'!CC$7,'History and Forecast'!$H43),INDEX('Forecast Prices'!$1:$1048576,'History and Forecast'!$G43,'History and Forecast'!CC$6))</f>
        <v>254.377981640922</v>
      </c>
      <c r="CD43" s="17" t="e">
        <f>IF(CD$9,INDEX('Annual Real'!$1:$1048576,'History and Forecast'!CD$7,'History and Forecast'!$H43),INDEX('Forecast Prices'!$1:$1048576,'History and Forecast'!$G43,'History and Forecast'!CD$6))</f>
        <v>#N/A</v>
      </c>
      <c r="CE43" s="17" t="e">
        <f>IF(CE$9,INDEX('Annual Real'!$1:$1048576,'History and Forecast'!CE$7,'History and Forecast'!$H43),INDEX('Forecast Prices'!$1:$1048576,'History and Forecast'!$G43,'History and Forecast'!CE$6))</f>
        <v>#N/A</v>
      </c>
      <c r="CF43" s="17" t="e">
        <f>IF(CF$9,INDEX('Annual Real'!$1:$1048576,'History and Forecast'!CF$7,'History and Forecast'!$H43),INDEX('Forecast Prices'!$1:$1048576,'History and Forecast'!$G43,'History and Forecast'!CF$6))</f>
        <v>#N/A</v>
      </c>
      <c r="CG43" s="17" t="e">
        <f>IF(CG$9,INDEX('Annual Real'!$1:$1048576,'History and Forecast'!CG$7,'History and Forecast'!$H43),INDEX('Forecast Prices'!$1:$1048576,'History and Forecast'!$G43,'History and Forecast'!CG$6))</f>
        <v>#N/A</v>
      </c>
      <c r="CH43" s="17" t="e">
        <f>IF(CH$9,INDEX('Annual Real'!$1:$1048576,'History and Forecast'!CH$7,'History and Forecast'!$H43),INDEX('Forecast Prices'!$1:$1048576,'History and Forecast'!$G43,'History and Forecast'!CH$6))</f>
        <v>#N/A</v>
      </c>
      <c r="CI43" s="17" t="e">
        <f>IF(CI$9,INDEX('Annual Real'!$1:$1048576,'History and Forecast'!CI$7,'History and Forecast'!$H43),INDEX('Forecast Prices'!$1:$1048576,'History and Forecast'!$G43,'History and Forecast'!CI$6))</f>
        <v>#N/A</v>
      </c>
    </row>
    <row r="44" spans="2:87">
      <c r="B44" t="str">
        <f t="shared" si="7"/>
        <v>TSP</v>
      </c>
      <c r="C44" s="34" t="s">
        <v>1099</v>
      </c>
      <c r="D44" t="str">
        <f t="shared" si="5"/>
        <v>KTSP</v>
      </c>
      <c r="E44" s="34" t="str">
        <f t="shared" si="6"/>
        <v>KFTSP</v>
      </c>
      <c r="F44">
        <f>MATCH(C44,'Forecast Prices'!A:A,0)</f>
        <v>57</v>
      </c>
      <c r="G44">
        <f>MATCH(E44,'Forecast Prices'!A:A,0)</f>
        <v>139</v>
      </c>
      <c r="H44" t="e">
        <f>MATCH(D44,'Annual Real'!$9:$9,0)</f>
        <v>#N/A</v>
      </c>
      <c r="I44" t="str">
        <f>INDEX('Forecast Prices'!B:B,'History and Forecast'!F44)&amp;INDEX('Forecast Prices'!C:C,'History and Forecast'!F44)&amp;INDEX('Forecast Prices'!D:D,'History and Forecast'!F44)&amp;INDEX('Forecast Prices'!E:E,'History and Forecast'!F44)</f>
        <v>TSP</v>
      </c>
      <c r="J44" t="str">
        <f>INDEX('Forecast Prices'!H:H,'History and Forecast'!F44)</f>
        <v>$/mt</v>
      </c>
      <c r="K44" s="17" t="e">
        <f>IF(K$9,INDEX('Annual Real'!$1:$1048576,'History and Forecast'!K$7,'History and Forecast'!$H44),INDEX('Forecast Prices'!$1:$1048576,'History and Forecast'!$G44,'History and Forecast'!K$6))</f>
        <v>#N/A</v>
      </c>
      <c r="L44" s="17" t="e">
        <f>IF(L$9,INDEX('Annual Real'!$1:$1048576,'History and Forecast'!L$7,'History and Forecast'!$H44),INDEX('Forecast Prices'!$1:$1048576,'History and Forecast'!$G44,'History and Forecast'!L$6))</f>
        <v>#N/A</v>
      </c>
      <c r="M44" s="17" t="e">
        <f>IF(M$9,INDEX('Annual Real'!$1:$1048576,'History and Forecast'!M$7,'History and Forecast'!$H44),INDEX('Forecast Prices'!$1:$1048576,'History and Forecast'!$G44,'History and Forecast'!M$6))</f>
        <v>#N/A</v>
      </c>
      <c r="N44" s="17" t="e">
        <f>IF(N$9,INDEX('Annual Real'!$1:$1048576,'History and Forecast'!N$7,'History and Forecast'!$H44),INDEX('Forecast Prices'!$1:$1048576,'History and Forecast'!$G44,'History and Forecast'!N$6))</f>
        <v>#N/A</v>
      </c>
      <c r="O44" s="17" t="e">
        <f>IF(O$9,INDEX('Annual Real'!$1:$1048576,'History and Forecast'!O$7,'History and Forecast'!$H44),INDEX('Forecast Prices'!$1:$1048576,'History and Forecast'!$G44,'History and Forecast'!O$6))</f>
        <v>#N/A</v>
      </c>
      <c r="P44" s="17" t="e">
        <f>IF(P$9,INDEX('Annual Real'!$1:$1048576,'History and Forecast'!P$7,'History and Forecast'!$H44),INDEX('Forecast Prices'!$1:$1048576,'History and Forecast'!$G44,'History and Forecast'!P$6))</f>
        <v>#N/A</v>
      </c>
      <c r="Q44" s="17" t="e">
        <f>IF(Q$9,INDEX('Annual Real'!$1:$1048576,'History and Forecast'!Q$7,'History and Forecast'!$H44),INDEX('Forecast Prices'!$1:$1048576,'History and Forecast'!$G44,'History and Forecast'!Q$6))</f>
        <v>#N/A</v>
      </c>
      <c r="R44" s="17" t="e">
        <f>IF(R$9,INDEX('Annual Real'!$1:$1048576,'History and Forecast'!R$7,'History and Forecast'!$H44),INDEX('Forecast Prices'!$1:$1048576,'History and Forecast'!$G44,'History and Forecast'!R$6))</f>
        <v>#N/A</v>
      </c>
      <c r="S44" s="17" t="e">
        <f>IF(S$9,INDEX('Annual Real'!$1:$1048576,'History and Forecast'!S$7,'History and Forecast'!$H44),INDEX('Forecast Prices'!$1:$1048576,'History and Forecast'!$G44,'History and Forecast'!S$6))</f>
        <v>#N/A</v>
      </c>
      <c r="T44" s="17" t="e">
        <f>IF(T$9,INDEX('Annual Real'!$1:$1048576,'History and Forecast'!T$7,'History and Forecast'!$H44),INDEX('Forecast Prices'!$1:$1048576,'History and Forecast'!$G44,'History and Forecast'!T$6))</f>
        <v>#N/A</v>
      </c>
      <c r="U44" s="17" t="e">
        <f>IF(U$9,INDEX('Annual Real'!$1:$1048576,'History and Forecast'!U$7,'History and Forecast'!$H44),INDEX('Forecast Prices'!$1:$1048576,'History and Forecast'!$G44,'History and Forecast'!U$6))</f>
        <v>#N/A</v>
      </c>
      <c r="V44" s="17" t="e">
        <f>IF(V$9,INDEX('Annual Real'!$1:$1048576,'History and Forecast'!V$7,'History and Forecast'!$H44),INDEX('Forecast Prices'!$1:$1048576,'History and Forecast'!$G44,'History and Forecast'!V$6))</f>
        <v>#N/A</v>
      </c>
      <c r="W44" s="17" t="e">
        <f>IF(W$9,INDEX('Annual Real'!$1:$1048576,'History and Forecast'!W$7,'History and Forecast'!$H44),INDEX('Forecast Prices'!$1:$1048576,'History and Forecast'!$G44,'History and Forecast'!W$6))</f>
        <v>#N/A</v>
      </c>
      <c r="X44" s="17" t="e">
        <f>IF(X$9,INDEX('Annual Real'!$1:$1048576,'History and Forecast'!X$7,'History and Forecast'!$H44),INDEX('Forecast Prices'!$1:$1048576,'History and Forecast'!$G44,'History and Forecast'!X$6))</f>
        <v>#N/A</v>
      </c>
      <c r="Y44" s="17" t="e">
        <f>IF(Y$9,INDEX('Annual Real'!$1:$1048576,'History and Forecast'!Y$7,'History and Forecast'!$H44),INDEX('Forecast Prices'!$1:$1048576,'History and Forecast'!$G44,'History and Forecast'!Y$6))</f>
        <v>#N/A</v>
      </c>
      <c r="Z44" s="17" t="e">
        <f>IF(Z$9,INDEX('Annual Real'!$1:$1048576,'History and Forecast'!Z$7,'History and Forecast'!$H44),INDEX('Forecast Prices'!$1:$1048576,'History and Forecast'!$G44,'History and Forecast'!Z$6))</f>
        <v>#N/A</v>
      </c>
      <c r="AA44" s="17" t="e">
        <f>IF(AA$9,INDEX('Annual Real'!$1:$1048576,'History and Forecast'!AA$7,'History and Forecast'!$H44),INDEX('Forecast Prices'!$1:$1048576,'History and Forecast'!$G44,'History and Forecast'!AA$6))</f>
        <v>#N/A</v>
      </c>
      <c r="AB44" s="17" t="e">
        <f>IF(AB$9,INDEX('Annual Real'!$1:$1048576,'History and Forecast'!AB$7,'History and Forecast'!$H44),INDEX('Forecast Prices'!$1:$1048576,'History and Forecast'!$G44,'History and Forecast'!AB$6))</f>
        <v>#N/A</v>
      </c>
      <c r="AC44" s="17" t="e">
        <f>IF(AC$9,INDEX('Annual Real'!$1:$1048576,'History and Forecast'!AC$7,'History and Forecast'!$H44),INDEX('Forecast Prices'!$1:$1048576,'History and Forecast'!$G44,'History and Forecast'!AC$6))</f>
        <v>#N/A</v>
      </c>
      <c r="AD44" s="17" t="e">
        <f>IF(AD$9,INDEX('Annual Real'!$1:$1048576,'History and Forecast'!AD$7,'History and Forecast'!$H44),INDEX('Forecast Prices'!$1:$1048576,'History and Forecast'!$G44,'History and Forecast'!AD$6))</f>
        <v>#N/A</v>
      </c>
      <c r="AE44" s="17" t="e">
        <f>IF(AE$9,INDEX('Annual Real'!$1:$1048576,'History and Forecast'!AE$7,'History and Forecast'!$H44),INDEX('Forecast Prices'!$1:$1048576,'History and Forecast'!$G44,'History and Forecast'!AE$6))</f>
        <v>#N/A</v>
      </c>
      <c r="AF44" s="17" t="e">
        <f>IF(AF$9,INDEX('Annual Real'!$1:$1048576,'History and Forecast'!AF$7,'History and Forecast'!$H44),INDEX('Forecast Prices'!$1:$1048576,'History and Forecast'!$G44,'History and Forecast'!AF$6))</f>
        <v>#N/A</v>
      </c>
      <c r="AG44" s="17" t="e">
        <f>IF(AG$9,INDEX('Annual Real'!$1:$1048576,'History and Forecast'!AG$7,'History and Forecast'!$H44),INDEX('Forecast Prices'!$1:$1048576,'History and Forecast'!$G44,'History and Forecast'!AG$6))</f>
        <v>#N/A</v>
      </c>
      <c r="AH44" s="17" t="e">
        <f>IF(AH$9,INDEX('Annual Real'!$1:$1048576,'History and Forecast'!AH$7,'History and Forecast'!$H44),INDEX('Forecast Prices'!$1:$1048576,'History and Forecast'!$G44,'History and Forecast'!AH$6))</f>
        <v>#N/A</v>
      </c>
      <c r="AI44" s="17" t="e">
        <f>IF(AI$9,INDEX('Annual Real'!$1:$1048576,'History and Forecast'!AI$7,'History and Forecast'!$H44),INDEX('Forecast Prices'!$1:$1048576,'History and Forecast'!$G44,'History and Forecast'!AI$6))</f>
        <v>#N/A</v>
      </c>
      <c r="AJ44" s="17" t="e">
        <f>IF(AJ$9,INDEX('Annual Real'!$1:$1048576,'History and Forecast'!AJ$7,'History and Forecast'!$H44),INDEX('Forecast Prices'!$1:$1048576,'History and Forecast'!$G44,'History and Forecast'!AJ$6))</f>
        <v>#N/A</v>
      </c>
      <c r="AK44" s="17" t="e">
        <f>IF(AK$9,INDEX('Annual Real'!$1:$1048576,'History and Forecast'!AK$7,'History and Forecast'!$H44),INDEX('Forecast Prices'!$1:$1048576,'History and Forecast'!$G44,'History and Forecast'!AK$6))</f>
        <v>#N/A</v>
      </c>
      <c r="AL44" s="17" t="e">
        <f>IF(AL$9,INDEX('Annual Real'!$1:$1048576,'History and Forecast'!AL$7,'History and Forecast'!$H44),INDEX('Forecast Prices'!$1:$1048576,'History and Forecast'!$G44,'History and Forecast'!AL$6))</f>
        <v>#N/A</v>
      </c>
      <c r="AM44" s="17" t="e">
        <f>IF(AM$9,INDEX('Annual Real'!$1:$1048576,'History and Forecast'!AM$7,'History and Forecast'!$H44),INDEX('Forecast Prices'!$1:$1048576,'History and Forecast'!$G44,'History and Forecast'!AM$6))</f>
        <v>#N/A</v>
      </c>
      <c r="AN44" s="17" t="e">
        <f>IF(AN$9,INDEX('Annual Real'!$1:$1048576,'History and Forecast'!AN$7,'History and Forecast'!$H44),INDEX('Forecast Prices'!$1:$1048576,'History and Forecast'!$G44,'History and Forecast'!AN$6))</f>
        <v>#N/A</v>
      </c>
      <c r="AO44" s="17" t="e">
        <f>IF(AO$9,INDEX('Annual Real'!$1:$1048576,'History and Forecast'!AO$7,'History and Forecast'!$H44),INDEX('Forecast Prices'!$1:$1048576,'History and Forecast'!$G44,'History and Forecast'!AO$6))</f>
        <v>#N/A</v>
      </c>
      <c r="AP44" s="17" t="e">
        <f>IF(AP$9,INDEX('Annual Real'!$1:$1048576,'History and Forecast'!AP$7,'History and Forecast'!$H44),INDEX('Forecast Prices'!$1:$1048576,'History and Forecast'!$G44,'History and Forecast'!AP$6))</f>
        <v>#N/A</v>
      </c>
      <c r="AQ44" s="17" t="e">
        <f>IF(AQ$9,INDEX('Annual Real'!$1:$1048576,'History and Forecast'!AQ$7,'History and Forecast'!$H44),INDEX('Forecast Prices'!$1:$1048576,'History and Forecast'!$G44,'History and Forecast'!AQ$6))</f>
        <v>#N/A</v>
      </c>
      <c r="AR44" s="17" t="e">
        <f>IF(AR$9,INDEX('Annual Real'!$1:$1048576,'History and Forecast'!AR$7,'History and Forecast'!$H44),INDEX('Forecast Prices'!$1:$1048576,'History and Forecast'!$G44,'History and Forecast'!AR$6))</f>
        <v>#N/A</v>
      </c>
      <c r="AS44" s="17" t="e">
        <f>IF(AS$9,INDEX('Annual Real'!$1:$1048576,'History and Forecast'!AS$7,'History and Forecast'!$H44),INDEX('Forecast Prices'!$1:$1048576,'History and Forecast'!$G44,'History and Forecast'!AS$6))</f>
        <v>#N/A</v>
      </c>
      <c r="AT44" s="17" t="e">
        <f>IF(AT$9,INDEX('Annual Real'!$1:$1048576,'History and Forecast'!AT$7,'History and Forecast'!$H44),INDEX('Forecast Prices'!$1:$1048576,'History and Forecast'!$G44,'History and Forecast'!AT$6))</f>
        <v>#N/A</v>
      </c>
      <c r="AU44" s="17" t="e">
        <f>IF(AU$9,INDEX('Annual Real'!$1:$1048576,'History and Forecast'!AU$7,'History and Forecast'!$H44),INDEX('Forecast Prices'!$1:$1048576,'History and Forecast'!$G44,'History and Forecast'!AU$6))</f>
        <v>#N/A</v>
      </c>
      <c r="AV44" s="17" t="e">
        <f>IF(AV$9,INDEX('Annual Real'!$1:$1048576,'History and Forecast'!AV$7,'History and Forecast'!$H44),INDEX('Forecast Prices'!$1:$1048576,'History and Forecast'!$G44,'History and Forecast'!AV$6))</f>
        <v>#N/A</v>
      </c>
      <c r="AW44" s="17" t="e">
        <f>IF(AW$9,INDEX('Annual Real'!$1:$1048576,'History and Forecast'!AW$7,'History and Forecast'!$H44),INDEX('Forecast Prices'!$1:$1048576,'History and Forecast'!$G44,'History and Forecast'!AW$6))</f>
        <v>#N/A</v>
      </c>
      <c r="AX44" s="17" t="e">
        <f>IF(AX$9,INDEX('Annual Real'!$1:$1048576,'History and Forecast'!AX$7,'History and Forecast'!$H44),INDEX('Forecast Prices'!$1:$1048576,'History and Forecast'!$G44,'History and Forecast'!AX$6))</f>
        <v>#N/A</v>
      </c>
      <c r="AY44" s="17" t="e">
        <f>IF(AY$9,INDEX('Annual Real'!$1:$1048576,'History and Forecast'!AY$7,'History and Forecast'!$H44),INDEX('Forecast Prices'!$1:$1048576,'History and Forecast'!$G44,'History and Forecast'!AY$6))</f>
        <v>#N/A</v>
      </c>
      <c r="AZ44" s="17" t="e">
        <f>IF(AZ$9,INDEX('Annual Real'!$1:$1048576,'History and Forecast'!AZ$7,'History and Forecast'!$H44),INDEX('Forecast Prices'!$1:$1048576,'History and Forecast'!$G44,'History and Forecast'!AZ$6))</f>
        <v>#N/A</v>
      </c>
      <c r="BA44" s="17" t="e">
        <f>IF(BA$9,INDEX('Annual Real'!$1:$1048576,'History and Forecast'!BA$7,'History and Forecast'!$H44),INDEX('Forecast Prices'!$1:$1048576,'History and Forecast'!$G44,'History and Forecast'!BA$6))</f>
        <v>#N/A</v>
      </c>
      <c r="BB44" s="17" t="e">
        <f>IF(BB$9,INDEX('Annual Real'!$1:$1048576,'History and Forecast'!BB$7,'History and Forecast'!$H44),INDEX('Forecast Prices'!$1:$1048576,'History and Forecast'!$G44,'History and Forecast'!BB$6))</f>
        <v>#N/A</v>
      </c>
      <c r="BC44" s="17" t="e">
        <f>IF(BC$9,INDEX('Annual Real'!$1:$1048576,'History and Forecast'!BC$7,'History and Forecast'!$H44),INDEX('Forecast Prices'!$1:$1048576,'History and Forecast'!$G44,'History and Forecast'!BC$6))</f>
        <v>#N/A</v>
      </c>
      <c r="BD44" s="17" t="e">
        <f>IF(BD$9,INDEX('Annual Real'!$1:$1048576,'History and Forecast'!BD$7,'History and Forecast'!$H44),INDEX('Forecast Prices'!$1:$1048576,'History and Forecast'!$G44,'History and Forecast'!BD$6))</f>
        <v>#N/A</v>
      </c>
      <c r="BE44" s="17" t="e">
        <f>IF(BE$9,INDEX('Annual Real'!$1:$1048576,'History and Forecast'!BE$7,'History and Forecast'!$H44),INDEX('Forecast Prices'!$1:$1048576,'History and Forecast'!$G44,'History and Forecast'!BE$6))</f>
        <v>#N/A</v>
      </c>
      <c r="BF44" s="17" t="e">
        <f>IF(BF$9,INDEX('Annual Real'!$1:$1048576,'History and Forecast'!BF$7,'History and Forecast'!$H44),INDEX('Forecast Prices'!$1:$1048576,'History and Forecast'!$G44,'History and Forecast'!BF$6))</f>
        <v>#N/A</v>
      </c>
      <c r="BG44" s="17" t="e">
        <f>IF(BG$9,INDEX('Annual Real'!$1:$1048576,'History and Forecast'!BG$7,'History and Forecast'!$H44),INDEX('Forecast Prices'!$1:$1048576,'History and Forecast'!$G44,'History and Forecast'!BG$6))</f>
        <v>#N/A</v>
      </c>
      <c r="BH44" s="17" t="e">
        <f>IF(BH$9,INDEX('Annual Real'!$1:$1048576,'History and Forecast'!BH$7,'History and Forecast'!$H44),INDEX('Forecast Prices'!$1:$1048576,'History and Forecast'!$G44,'History and Forecast'!BH$6))</f>
        <v>#N/A</v>
      </c>
      <c r="BI44" s="17" t="e">
        <f>IF(BI$9,INDEX('Annual Real'!$1:$1048576,'History and Forecast'!BI$7,'History and Forecast'!$H44),INDEX('Forecast Prices'!$1:$1048576,'History and Forecast'!$G44,'History and Forecast'!BI$6))</f>
        <v>#N/A</v>
      </c>
      <c r="BJ44" s="17" t="e">
        <f>IF(BJ$9,INDEX('Annual Real'!$1:$1048576,'History and Forecast'!BJ$7,'History and Forecast'!$H44),INDEX('Forecast Prices'!$1:$1048576,'History and Forecast'!$G44,'History and Forecast'!BJ$6))</f>
        <v>#N/A</v>
      </c>
      <c r="BK44" s="17" t="e">
        <f>IF(BK$9,INDEX('Annual Real'!$1:$1048576,'History and Forecast'!BK$7,'History and Forecast'!$H44),INDEX('Forecast Prices'!$1:$1048576,'History and Forecast'!$G44,'History and Forecast'!BK$6))</f>
        <v>#N/A</v>
      </c>
      <c r="BL44" s="17" t="e">
        <f>IF(BL$9,INDEX('Annual Real'!$1:$1048576,'History and Forecast'!BL$7,'History and Forecast'!$H44),INDEX('Forecast Prices'!$1:$1048576,'History and Forecast'!$G44,'History and Forecast'!BL$6))</f>
        <v>#N/A</v>
      </c>
      <c r="BM44" s="17" t="e">
        <f>IF(BM$9,INDEX('Annual Real'!$1:$1048576,'History and Forecast'!BM$7,'History and Forecast'!$H44),INDEX('Forecast Prices'!$1:$1048576,'History and Forecast'!$G44,'History and Forecast'!BM$6))</f>
        <v>#N/A</v>
      </c>
      <c r="BN44" s="17" t="e">
        <f>IF(BN$9,INDEX('Annual Real'!$1:$1048576,'History and Forecast'!BN$7,'History and Forecast'!$H44),INDEX('Forecast Prices'!$1:$1048576,'History and Forecast'!$G44,'History and Forecast'!BN$6))</f>
        <v>#N/A</v>
      </c>
      <c r="BO44" s="17">
        <f>IF(BO$9,INDEX('Annual Real'!$1:$1048576,'History and Forecast'!BO$7,'History and Forecast'!$H44),INDEX('Forecast Prices'!$1:$1048576,'History and Forecast'!$G44,'History and Forecast'!BO$6))</f>
        <v>309.55672202023402</v>
      </c>
      <c r="BP44" s="17">
        <f>IF(BP$9,INDEX('Annual Real'!$1:$1048576,'History and Forecast'!BP$7,'History and Forecast'!$H44),INDEX('Forecast Prices'!$1:$1048576,'History and Forecast'!$G44,'History and Forecast'!BP$6))</f>
        <v>291.24008075045498</v>
      </c>
      <c r="BQ44" s="17">
        <f>IF(BQ$9,INDEX('Annual Real'!$1:$1048576,'History and Forecast'!BQ$7,'History and Forecast'!$H44),INDEX('Forecast Prices'!$1:$1048576,'History and Forecast'!$G44,'History and Forecast'!BQ$6))</f>
        <v>340.34207344980899</v>
      </c>
      <c r="BR44" s="17">
        <f>IF(BR$9,INDEX('Annual Real'!$1:$1048576,'History and Forecast'!BR$7,'History and Forecast'!$H44),INDEX('Forecast Prices'!$1:$1048576,'History and Forecast'!$G44,'History and Forecast'!BR$6))</f>
        <v>327.303775999283</v>
      </c>
      <c r="BS44" s="17">
        <f>IF(BS$9,INDEX('Annual Real'!$1:$1048576,'History and Forecast'!BS$7,'History and Forecast'!$H44),INDEX('Forecast Prices'!$1:$1048576,'History and Forecast'!$G44,'History and Forecast'!BS$6))</f>
        <v>325.10091796366203</v>
      </c>
      <c r="BT44" s="17">
        <f>IF(BT$9,INDEX('Annual Real'!$1:$1048576,'History and Forecast'!BT$7,'History and Forecast'!$H44),INDEX('Forecast Prices'!$1:$1048576,'History and Forecast'!$G44,'History and Forecast'!BT$6))</f>
        <v>322.99217728487599</v>
      </c>
      <c r="BU44" s="17">
        <f>IF(BU$9,INDEX('Annual Real'!$1:$1048576,'History and Forecast'!BU$7,'History and Forecast'!$H44),INDEX('Forecast Prices'!$1:$1048576,'History and Forecast'!$G44,'History and Forecast'!BU$6))</f>
        <v>320.63987524688798</v>
      </c>
      <c r="BV44" s="17">
        <f>IF(BV$9,INDEX('Annual Real'!$1:$1048576,'History and Forecast'!BV$7,'History and Forecast'!$H44),INDEX('Forecast Prices'!$1:$1048576,'History and Forecast'!$G44,'History and Forecast'!BV$6))</f>
        <v>318.332796497456</v>
      </c>
      <c r="BW44" s="17">
        <f>IF(BW$9,INDEX('Annual Real'!$1:$1048576,'History and Forecast'!BW$7,'History and Forecast'!$H44),INDEX('Forecast Prices'!$1:$1048576,'History and Forecast'!$G44,'History and Forecast'!BW$6))</f>
        <v>316.04221291221103</v>
      </c>
      <c r="BX44" s="17">
        <f>IF(BX$9,INDEX('Annual Real'!$1:$1048576,'History and Forecast'!BX$7,'History and Forecast'!$H44),INDEX('Forecast Prices'!$1:$1048576,'History and Forecast'!$G44,'History and Forecast'!BX$6))</f>
        <v>313.750015159925</v>
      </c>
      <c r="BY44" s="17" t="e">
        <f>IF(BY$9,INDEX('Annual Real'!$1:$1048576,'History and Forecast'!BY$7,'History and Forecast'!$H44),INDEX('Forecast Prices'!$1:$1048576,'History and Forecast'!$G44,'History and Forecast'!BY$6))</f>
        <v>#N/A</v>
      </c>
      <c r="BZ44" s="17" t="e">
        <f>IF(BZ$9,INDEX('Annual Real'!$1:$1048576,'History and Forecast'!BZ$7,'History and Forecast'!$H44),INDEX('Forecast Prices'!$1:$1048576,'History and Forecast'!$G44,'History and Forecast'!BZ$6))</f>
        <v>#N/A</v>
      </c>
      <c r="CA44" s="17" t="e">
        <f>IF(CA$9,INDEX('Annual Real'!$1:$1048576,'History and Forecast'!CA$7,'History and Forecast'!$H44),INDEX('Forecast Prices'!$1:$1048576,'History and Forecast'!$G44,'History and Forecast'!CA$6))</f>
        <v>#N/A</v>
      </c>
      <c r="CB44" s="17" t="e">
        <f>IF(CB$9,INDEX('Annual Real'!$1:$1048576,'History and Forecast'!CB$7,'History and Forecast'!$H44),INDEX('Forecast Prices'!$1:$1048576,'History and Forecast'!$G44,'History and Forecast'!CB$6))</f>
        <v>#N/A</v>
      </c>
      <c r="CC44" s="17">
        <f>IF(CC$9,INDEX('Annual Real'!$1:$1048576,'History and Forecast'!CC$7,'History and Forecast'!$H44),INDEX('Forecast Prices'!$1:$1048576,'History and Forecast'!$G44,'History and Forecast'!CC$6))</f>
        <v>302.07385319859401</v>
      </c>
      <c r="CD44" s="17" t="e">
        <f>IF(CD$9,INDEX('Annual Real'!$1:$1048576,'History and Forecast'!CD$7,'History and Forecast'!$H44),INDEX('Forecast Prices'!$1:$1048576,'History and Forecast'!$G44,'History and Forecast'!CD$6))</f>
        <v>#N/A</v>
      </c>
      <c r="CE44" s="17" t="e">
        <f>IF(CE$9,INDEX('Annual Real'!$1:$1048576,'History and Forecast'!CE$7,'History and Forecast'!$H44),INDEX('Forecast Prices'!$1:$1048576,'History and Forecast'!$G44,'History and Forecast'!CE$6))</f>
        <v>#N/A</v>
      </c>
      <c r="CF44" s="17" t="e">
        <f>IF(CF$9,INDEX('Annual Real'!$1:$1048576,'History and Forecast'!CF$7,'History and Forecast'!$H44),INDEX('Forecast Prices'!$1:$1048576,'History and Forecast'!$G44,'History and Forecast'!CF$6))</f>
        <v>#N/A</v>
      </c>
      <c r="CG44" s="17" t="e">
        <f>IF(CG$9,INDEX('Annual Real'!$1:$1048576,'History and Forecast'!CG$7,'History and Forecast'!$H44),INDEX('Forecast Prices'!$1:$1048576,'History and Forecast'!$G44,'History and Forecast'!CG$6))</f>
        <v>#N/A</v>
      </c>
      <c r="CH44" s="17" t="e">
        <f>IF(CH$9,INDEX('Annual Real'!$1:$1048576,'History and Forecast'!CH$7,'History and Forecast'!$H44),INDEX('Forecast Prices'!$1:$1048576,'History and Forecast'!$G44,'History and Forecast'!CH$6))</f>
        <v>#N/A</v>
      </c>
      <c r="CI44" s="17" t="e">
        <f>IF(CI$9,INDEX('Annual Real'!$1:$1048576,'History and Forecast'!CI$7,'History and Forecast'!$H44),INDEX('Forecast Prices'!$1:$1048576,'History and Forecast'!$G44,'History and Forecast'!CI$6))</f>
        <v>#N/A</v>
      </c>
    </row>
    <row r="45" spans="2:87">
      <c r="B45" t="str">
        <f t="shared" si="7"/>
        <v>UREA_EE_BULK</v>
      </c>
      <c r="C45" s="34" t="s">
        <v>1100</v>
      </c>
      <c r="D45" t="str">
        <f t="shared" si="5"/>
        <v>KUREA_EE_BULK</v>
      </c>
      <c r="E45" s="34" t="str">
        <f t="shared" si="6"/>
        <v>KFUREA_EE_BULK</v>
      </c>
      <c r="F45">
        <f>MATCH(C45,'Forecast Prices'!A:A,0)</f>
        <v>58</v>
      </c>
      <c r="G45">
        <f>MATCH(E45,'Forecast Prices'!A:A,0)</f>
        <v>140</v>
      </c>
      <c r="H45" t="e">
        <f>MATCH(D45,'Annual Real'!$9:$9,0)</f>
        <v>#N/A</v>
      </c>
      <c r="I45" t="str">
        <f>INDEX('Forecast Prices'!B:B,'History and Forecast'!F45)&amp;INDEX('Forecast Prices'!C:C,'History and Forecast'!F45)&amp;INDEX('Forecast Prices'!D:D,'History and Forecast'!F45)&amp;INDEX('Forecast Prices'!E:E,'History and Forecast'!F45)</f>
        <v>Urea, E. Europe, bulk</v>
      </c>
      <c r="J45" t="str">
        <f>INDEX('Forecast Prices'!H:H,'History and Forecast'!F45)</f>
        <v>$/mt</v>
      </c>
      <c r="K45" s="17" t="e">
        <f>IF(K$9,INDEX('Annual Real'!$1:$1048576,'History and Forecast'!K$7,'History and Forecast'!$H45),INDEX('Forecast Prices'!$1:$1048576,'History and Forecast'!$G45,'History and Forecast'!K$6))</f>
        <v>#N/A</v>
      </c>
      <c r="L45" s="17" t="e">
        <f>IF(L$9,INDEX('Annual Real'!$1:$1048576,'History and Forecast'!L$7,'History and Forecast'!$H45),INDEX('Forecast Prices'!$1:$1048576,'History and Forecast'!$G45,'History and Forecast'!L$6))</f>
        <v>#N/A</v>
      </c>
      <c r="M45" s="17" t="e">
        <f>IF(M$9,INDEX('Annual Real'!$1:$1048576,'History and Forecast'!M$7,'History and Forecast'!$H45),INDEX('Forecast Prices'!$1:$1048576,'History and Forecast'!$G45,'History and Forecast'!M$6))</f>
        <v>#N/A</v>
      </c>
      <c r="N45" s="17" t="e">
        <f>IF(N$9,INDEX('Annual Real'!$1:$1048576,'History and Forecast'!N$7,'History and Forecast'!$H45),INDEX('Forecast Prices'!$1:$1048576,'History and Forecast'!$G45,'History and Forecast'!N$6))</f>
        <v>#N/A</v>
      </c>
      <c r="O45" s="17" t="e">
        <f>IF(O$9,INDEX('Annual Real'!$1:$1048576,'History and Forecast'!O$7,'History and Forecast'!$H45),INDEX('Forecast Prices'!$1:$1048576,'History and Forecast'!$G45,'History and Forecast'!O$6))</f>
        <v>#N/A</v>
      </c>
      <c r="P45" s="17" t="e">
        <f>IF(P$9,INDEX('Annual Real'!$1:$1048576,'History and Forecast'!P$7,'History and Forecast'!$H45),INDEX('Forecast Prices'!$1:$1048576,'History and Forecast'!$G45,'History and Forecast'!P$6))</f>
        <v>#N/A</v>
      </c>
      <c r="Q45" s="17" t="e">
        <f>IF(Q$9,INDEX('Annual Real'!$1:$1048576,'History and Forecast'!Q$7,'History and Forecast'!$H45),INDEX('Forecast Prices'!$1:$1048576,'History and Forecast'!$G45,'History and Forecast'!Q$6))</f>
        <v>#N/A</v>
      </c>
      <c r="R45" s="17" t="e">
        <f>IF(R$9,INDEX('Annual Real'!$1:$1048576,'History and Forecast'!R$7,'History and Forecast'!$H45),INDEX('Forecast Prices'!$1:$1048576,'History and Forecast'!$G45,'History and Forecast'!R$6))</f>
        <v>#N/A</v>
      </c>
      <c r="S45" s="17" t="e">
        <f>IF(S$9,INDEX('Annual Real'!$1:$1048576,'History and Forecast'!S$7,'History and Forecast'!$H45),INDEX('Forecast Prices'!$1:$1048576,'History and Forecast'!$G45,'History and Forecast'!S$6))</f>
        <v>#N/A</v>
      </c>
      <c r="T45" s="17" t="e">
        <f>IF(T$9,INDEX('Annual Real'!$1:$1048576,'History and Forecast'!T$7,'History and Forecast'!$H45),INDEX('Forecast Prices'!$1:$1048576,'History and Forecast'!$G45,'History and Forecast'!T$6))</f>
        <v>#N/A</v>
      </c>
      <c r="U45" s="17" t="e">
        <f>IF(U$9,INDEX('Annual Real'!$1:$1048576,'History and Forecast'!U$7,'History and Forecast'!$H45),INDEX('Forecast Prices'!$1:$1048576,'History and Forecast'!$G45,'History and Forecast'!U$6))</f>
        <v>#N/A</v>
      </c>
      <c r="V45" s="17" t="e">
        <f>IF(V$9,INDEX('Annual Real'!$1:$1048576,'History and Forecast'!V$7,'History and Forecast'!$H45),INDEX('Forecast Prices'!$1:$1048576,'History and Forecast'!$G45,'History and Forecast'!V$6))</f>
        <v>#N/A</v>
      </c>
      <c r="W45" s="17" t="e">
        <f>IF(W$9,INDEX('Annual Real'!$1:$1048576,'History and Forecast'!W$7,'History and Forecast'!$H45),INDEX('Forecast Prices'!$1:$1048576,'History and Forecast'!$G45,'History and Forecast'!W$6))</f>
        <v>#N/A</v>
      </c>
      <c r="X45" s="17" t="e">
        <f>IF(X$9,INDEX('Annual Real'!$1:$1048576,'History and Forecast'!X$7,'History and Forecast'!$H45),INDEX('Forecast Prices'!$1:$1048576,'History and Forecast'!$G45,'History and Forecast'!X$6))</f>
        <v>#N/A</v>
      </c>
      <c r="Y45" s="17" t="e">
        <f>IF(Y$9,INDEX('Annual Real'!$1:$1048576,'History and Forecast'!Y$7,'History and Forecast'!$H45),INDEX('Forecast Prices'!$1:$1048576,'History and Forecast'!$G45,'History and Forecast'!Y$6))</f>
        <v>#N/A</v>
      </c>
      <c r="Z45" s="17" t="e">
        <f>IF(Z$9,INDEX('Annual Real'!$1:$1048576,'History and Forecast'!Z$7,'History and Forecast'!$H45),INDEX('Forecast Prices'!$1:$1048576,'History and Forecast'!$G45,'History and Forecast'!Z$6))</f>
        <v>#N/A</v>
      </c>
      <c r="AA45" s="17" t="e">
        <f>IF(AA$9,INDEX('Annual Real'!$1:$1048576,'History and Forecast'!AA$7,'History and Forecast'!$H45),INDEX('Forecast Prices'!$1:$1048576,'History and Forecast'!$G45,'History and Forecast'!AA$6))</f>
        <v>#N/A</v>
      </c>
      <c r="AB45" s="17" t="e">
        <f>IF(AB$9,INDEX('Annual Real'!$1:$1048576,'History and Forecast'!AB$7,'History and Forecast'!$H45),INDEX('Forecast Prices'!$1:$1048576,'History and Forecast'!$G45,'History and Forecast'!AB$6))</f>
        <v>#N/A</v>
      </c>
      <c r="AC45" s="17" t="e">
        <f>IF(AC$9,INDEX('Annual Real'!$1:$1048576,'History and Forecast'!AC$7,'History and Forecast'!$H45),INDEX('Forecast Prices'!$1:$1048576,'History and Forecast'!$G45,'History and Forecast'!AC$6))</f>
        <v>#N/A</v>
      </c>
      <c r="AD45" s="17" t="e">
        <f>IF(AD$9,INDEX('Annual Real'!$1:$1048576,'History and Forecast'!AD$7,'History and Forecast'!$H45),INDEX('Forecast Prices'!$1:$1048576,'History and Forecast'!$G45,'History and Forecast'!AD$6))</f>
        <v>#N/A</v>
      </c>
      <c r="AE45" s="17" t="e">
        <f>IF(AE$9,INDEX('Annual Real'!$1:$1048576,'History and Forecast'!AE$7,'History and Forecast'!$H45),INDEX('Forecast Prices'!$1:$1048576,'History and Forecast'!$G45,'History and Forecast'!AE$6))</f>
        <v>#N/A</v>
      </c>
      <c r="AF45" s="17" t="e">
        <f>IF(AF$9,INDEX('Annual Real'!$1:$1048576,'History and Forecast'!AF$7,'History and Forecast'!$H45),INDEX('Forecast Prices'!$1:$1048576,'History and Forecast'!$G45,'History and Forecast'!AF$6))</f>
        <v>#N/A</v>
      </c>
      <c r="AG45" s="17" t="e">
        <f>IF(AG$9,INDEX('Annual Real'!$1:$1048576,'History and Forecast'!AG$7,'History and Forecast'!$H45),INDEX('Forecast Prices'!$1:$1048576,'History and Forecast'!$G45,'History and Forecast'!AG$6))</f>
        <v>#N/A</v>
      </c>
      <c r="AH45" s="17" t="e">
        <f>IF(AH$9,INDEX('Annual Real'!$1:$1048576,'History and Forecast'!AH$7,'History and Forecast'!$H45),INDEX('Forecast Prices'!$1:$1048576,'History and Forecast'!$G45,'History and Forecast'!AH$6))</f>
        <v>#N/A</v>
      </c>
      <c r="AI45" s="17" t="e">
        <f>IF(AI$9,INDEX('Annual Real'!$1:$1048576,'History and Forecast'!AI$7,'History and Forecast'!$H45),INDEX('Forecast Prices'!$1:$1048576,'History and Forecast'!$G45,'History and Forecast'!AI$6))</f>
        <v>#N/A</v>
      </c>
      <c r="AJ45" s="17" t="e">
        <f>IF(AJ$9,INDEX('Annual Real'!$1:$1048576,'History and Forecast'!AJ$7,'History and Forecast'!$H45),INDEX('Forecast Prices'!$1:$1048576,'History and Forecast'!$G45,'History and Forecast'!AJ$6))</f>
        <v>#N/A</v>
      </c>
      <c r="AK45" s="17" t="e">
        <f>IF(AK$9,INDEX('Annual Real'!$1:$1048576,'History and Forecast'!AK$7,'History and Forecast'!$H45),INDEX('Forecast Prices'!$1:$1048576,'History and Forecast'!$G45,'History and Forecast'!AK$6))</f>
        <v>#N/A</v>
      </c>
      <c r="AL45" s="17" t="e">
        <f>IF(AL$9,INDEX('Annual Real'!$1:$1048576,'History and Forecast'!AL$7,'History and Forecast'!$H45),INDEX('Forecast Prices'!$1:$1048576,'History and Forecast'!$G45,'History and Forecast'!AL$6))</f>
        <v>#N/A</v>
      </c>
      <c r="AM45" s="17" t="e">
        <f>IF(AM$9,INDEX('Annual Real'!$1:$1048576,'History and Forecast'!AM$7,'History and Forecast'!$H45),INDEX('Forecast Prices'!$1:$1048576,'History and Forecast'!$G45,'History and Forecast'!AM$6))</f>
        <v>#N/A</v>
      </c>
      <c r="AN45" s="17" t="e">
        <f>IF(AN$9,INDEX('Annual Real'!$1:$1048576,'History and Forecast'!AN$7,'History and Forecast'!$H45),INDEX('Forecast Prices'!$1:$1048576,'History and Forecast'!$G45,'History and Forecast'!AN$6))</f>
        <v>#N/A</v>
      </c>
      <c r="AO45" s="17" t="e">
        <f>IF(AO$9,INDEX('Annual Real'!$1:$1048576,'History and Forecast'!AO$7,'History and Forecast'!$H45),INDEX('Forecast Prices'!$1:$1048576,'History and Forecast'!$G45,'History and Forecast'!AO$6))</f>
        <v>#N/A</v>
      </c>
      <c r="AP45" s="17" t="e">
        <f>IF(AP$9,INDEX('Annual Real'!$1:$1048576,'History and Forecast'!AP$7,'History and Forecast'!$H45),INDEX('Forecast Prices'!$1:$1048576,'History and Forecast'!$G45,'History and Forecast'!AP$6))</f>
        <v>#N/A</v>
      </c>
      <c r="AQ45" s="17" t="e">
        <f>IF(AQ$9,INDEX('Annual Real'!$1:$1048576,'History and Forecast'!AQ$7,'History and Forecast'!$H45),INDEX('Forecast Prices'!$1:$1048576,'History and Forecast'!$G45,'History and Forecast'!AQ$6))</f>
        <v>#N/A</v>
      </c>
      <c r="AR45" s="17" t="e">
        <f>IF(AR$9,INDEX('Annual Real'!$1:$1048576,'History and Forecast'!AR$7,'History and Forecast'!$H45),INDEX('Forecast Prices'!$1:$1048576,'History and Forecast'!$G45,'History and Forecast'!AR$6))</f>
        <v>#N/A</v>
      </c>
      <c r="AS45" s="17" t="e">
        <f>IF(AS$9,INDEX('Annual Real'!$1:$1048576,'History and Forecast'!AS$7,'History and Forecast'!$H45),INDEX('Forecast Prices'!$1:$1048576,'History and Forecast'!$G45,'History and Forecast'!AS$6))</f>
        <v>#N/A</v>
      </c>
      <c r="AT45" s="17" t="e">
        <f>IF(AT$9,INDEX('Annual Real'!$1:$1048576,'History and Forecast'!AT$7,'History and Forecast'!$H45),INDEX('Forecast Prices'!$1:$1048576,'History and Forecast'!$G45,'History and Forecast'!AT$6))</f>
        <v>#N/A</v>
      </c>
      <c r="AU45" s="17" t="e">
        <f>IF(AU$9,INDEX('Annual Real'!$1:$1048576,'History and Forecast'!AU$7,'History and Forecast'!$H45),INDEX('Forecast Prices'!$1:$1048576,'History and Forecast'!$G45,'History and Forecast'!AU$6))</f>
        <v>#N/A</v>
      </c>
      <c r="AV45" s="17" t="e">
        <f>IF(AV$9,INDEX('Annual Real'!$1:$1048576,'History and Forecast'!AV$7,'History and Forecast'!$H45),INDEX('Forecast Prices'!$1:$1048576,'History and Forecast'!$G45,'History and Forecast'!AV$6))</f>
        <v>#N/A</v>
      </c>
      <c r="AW45" s="17" t="e">
        <f>IF(AW$9,INDEX('Annual Real'!$1:$1048576,'History and Forecast'!AW$7,'History and Forecast'!$H45),INDEX('Forecast Prices'!$1:$1048576,'History and Forecast'!$G45,'History and Forecast'!AW$6))</f>
        <v>#N/A</v>
      </c>
      <c r="AX45" s="17" t="e">
        <f>IF(AX$9,INDEX('Annual Real'!$1:$1048576,'History and Forecast'!AX$7,'History and Forecast'!$H45),INDEX('Forecast Prices'!$1:$1048576,'History and Forecast'!$G45,'History and Forecast'!AX$6))</f>
        <v>#N/A</v>
      </c>
      <c r="AY45" s="17" t="e">
        <f>IF(AY$9,INDEX('Annual Real'!$1:$1048576,'History and Forecast'!AY$7,'History and Forecast'!$H45),INDEX('Forecast Prices'!$1:$1048576,'History and Forecast'!$G45,'History and Forecast'!AY$6))</f>
        <v>#N/A</v>
      </c>
      <c r="AZ45" s="17" t="e">
        <f>IF(AZ$9,INDEX('Annual Real'!$1:$1048576,'History and Forecast'!AZ$7,'History and Forecast'!$H45),INDEX('Forecast Prices'!$1:$1048576,'History and Forecast'!$G45,'History and Forecast'!AZ$6))</f>
        <v>#N/A</v>
      </c>
      <c r="BA45" s="17" t="e">
        <f>IF(BA$9,INDEX('Annual Real'!$1:$1048576,'History and Forecast'!BA$7,'History and Forecast'!$H45),INDEX('Forecast Prices'!$1:$1048576,'History and Forecast'!$G45,'History and Forecast'!BA$6))</f>
        <v>#N/A</v>
      </c>
      <c r="BB45" s="17" t="e">
        <f>IF(BB$9,INDEX('Annual Real'!$1:$1048576,'History and Forecast'!BB$7,'History and Forecast'!$H45),INDEX('Forecast Prices'!$1:$1048576,'History and Forecast'!$G45,'History and Forecast'!BB$6))</f>
        <v>#N/A</v>
      </c>
      <c r="BC45" s="17" t="e">
        <f>IF(BC$9,INDEX('Annual Real'!$1:$1048576,'History and Forecast'!BC$7,'History and Forecast'!$H45),INDEX('Forecast Prices'!$1:$1048576,'History and Forecast'!$G45,'History and Forecast'!BC$6))</f>
        <v>#N/A</v>
      </c>
      <c r="BD45" s="17" t="e">
        <f>IF(BD$9,INDEX('Annual Real'!$1:$1048576,'History and Forecast'!BD$7,'History and Forecast'!$H45),INDEX('Forecast Prices'!$1:$1048576,'History and Forecast'!$G45,'History and Forecast'!BD$6))</f>
        <v>#N/A</v>
      </c>
      <c r="BE45" s="17" t="e">
        <f>IF(BE$9,INDEX('Annual Real'!$1:$1048576,'History and Forecast'!BE$7,'History and Forecast'!$H45),INDEX('Forecast Prices'!$1:$1048576,'History and Forecast'!$G45,'History and Forecast'!BE$6))</f>
        <v>#N/A</v>
      </c>
      <c r="BF45" s="17" t="e">
        <f>IF(BF$9,INDEX('Annual Real'!$1:$1048576,'History and Forecast'!BF$7,'History and Forecast'!$H45),INDEX('Forecast Prices'!$1:$1048576,'History and Forecast'!$G45,'History and Forecast'!BF$6))</f>
        <v>#N/A</v>
      </c>
      <c r="BG45" s="17" t="e">
        <f>IF(BG$9,INDEX('Annual Real'!$1:$1048576,'History and Forecast'!BG$7,'History and Forecast'!$H45),INDEX('Forecast Prices'!$1:$1048576,'History and Forecast'!$G45,'History and Forecast'!BG$6))</f>
        <v>#N/A</v>
      </c>
      <c r="BH45" s="17" t="e">
        <f>IF(BH$9,INDEX('Annual Real'!$1:$1048576,'History and Forecast'!BH$7,'History and Forecast'!$H45),INDEX('Forecast Prices'!$1:$1048576,'History and Forecast'!$G45,'History and Forecast'!BH$6))</f>
        <v>#N/A</v>
      </c>
      <c r="BI45" s="17" t="e">
        <f>IF(BI$9,INDEX('Annual Real'!$1:$1048576,'History and Forecast'!BI$7,'History and Forecast'!$H45),INDEX('Forecast Prices'!$1:$1048576,'History and Forecast'!$G45,'History and Forecast'!BI$6))</f>
        <v>#N/A</v>
      </c>
      <c r="BJ45" s="17" t="e">
        <f>IF(BJ$9,INDEX('Annual Real'!$1:$1048576,'History and Forecast'!BJ$7,'History and Forecast'!$H45),INDEX('Forecast Prices'!$1:$1048576,'History and Forecast'!$G45,'History and Forecast'!BJ$6))</f>
        <v>#N/A</v>
      </c>
      <c r="BK45" s="17" t="e">
        <f>IF(BK$9,INDEX('Annual Real'!$1:$1048576,'History and Forecast'!BK$7,'History and Forecast'!$H45),INDEX('Forecast Prices'!$1:$1048576,'History and Forecast'!$G45,'History and Forecast'!BK$6))</f>
        <v>#N/A</v>
      </c>
      <c r="BL45" s="17" t="e">
        <f>IF(BL$9,INDEX('Annual Real'!$1:$1048576,'History and Forecast'!BL$7,'History and Forecast'!$H45),INDEX('Forecast Prices'!$1:$1048576,'History and Forecast'!$G45,'History and Forecast'!BL$6))</f>
        <v>#N/A</v>
      </c>
      <c r="BM45" s="17" t="e">
        <f>IF(BM$9,INDEX('Annual Real'!$1:$1048576,'History and Forecast'!BM$7,'History and Forecast'!$H45),INDEX('Forecast Prices'!$1:$1048576,'History and Forecast'!$G45,'History and Forecast'!BM$6))</f>
        <v>#N/A</v>
      </c>
      <c r="BN45" s="17" t="e">
        <f>IF(BN$9,INDEX('Annual Real'!$1:$1048576,'History and Forecast'!BN$7,'History and Forecast'!$H45),INDEX('Forecast Prices'!$1:$1048576,'History and Forecast'!$G45,'History and Forecast'!BN$6))</f>
        <v>#N/A</v>
      </c>
      <c r="BO45" s="17">
        <f>IF(BO$9,INDEX('Annual Real'!$1:$1048576,'History and Forecast'!BO$7,'History and Forecast'!$H45),INDEX('Forecast Prices'!$1:$1048576,'History and Forecast'!$G45,'History and Forecast'!BO$6))</f>
        <v>206.44943079938099</v>
      </c>
      <c r="BP45" s="17">
        <f>IF(BP$9,INDEX('Annual Real'!$1:$1048576,'History and Forecast'!BP$7,'History and Forecast'!$H45),INDEX('Forecast Prices'!$1:$1048576,'History and Forecast'!$G45,'History and Forecast'!BP$6))</f>
        <v>219.843431542953</v>
      </c>
      <c r="BQ45" s="17">
        <f>IF(BQ$9,INDEX('Annual Real'!$1:$1048576,'History and Forecast'!BQ$7,'History and Forecast'!$H45),INDEX('Forecast Prices'!$1:$1048576,'History and Forecast'!$G45,'History and Forecast'!BQ$6))</f>
        <v>244.89862042170401</v>
      </c>
      <c r="BR45" s="17">
        <f>IF(BR$9,INDEX('Annual Real'!$1:$1048576,'History and Forecast'!BR$7,'History and Forecast'!$H45),INDEX('Forecast Prices'!$1:$1048576,'History and Forecast'!$G45,'History and Forecast'!BR$6))</f>
        <v>240.66454117594401</v>
      </c>
      <c r="BS45" s="17">
        <f>IF(BS$9,INDEX('Annual Real'!$1:$1048576,'History and Forecast'!BS$7,'History and Forecast'!$H45),INDEX('Forecast Prices'!$1:$1048576,'History and Forecast'!$G45,'History and Forecast'!BS$6))</f>
        <v>240.59480628634401</v>
      </c>
      <c r="BT45" s="17">
        <f>IF(BT$9,INDEX('Annual Real'!$1:$1048576,'History and Forecast'!BT$7,'History and Forecast'!$H45),INDEX('Forecast Prices'!$1:$1048576,'History and Forecast'!$G45,'History and Forecast'!BT$6))</f>
        <v>240.58415266278601</v>
      </c>
      <c r="BU45" s="17">
        <f>IF(BU$9,INDEX('Annual Real'!$1:$1048576,'History and Forecast'!BU$7,'History and Forecast'!$H45),INDEX('Forecast Prices'!$1:$1048576,'History and Forecast'!$G45,'History and Forecast'!BU$6))</f>
        <v>240.38064949111799</v>
      </c>
      <c r="BV45" s="17">
        <f>IF(BV$9,INDEX('Annual Real'!$1:$1048576,'History and Forecast'!BV$7,'History and Forecast'!$H45),INDEX('Forecast Prices'!$1:$1048576,'History and Forecast'!$G45,'History and Forecast'!BV$6))</f>
        <v>240.19851519685</v>
      </c>
      <c r="BW45" s="17">
        <f>IF(BW$9,INDEX('Annual Real'!$1:$1048576,'History and Forecast'!BW$7,'History and Forecast'!$H45),INDEX('Forecast Prices'!$1:$1048576,'History and Forecast'!$G45,'History and Forecast'!BW$6))</f>
        <v>240.01643930984699</v>
      </c>
      <c r="BX45" s="17">
        <f>IF(BX$9,INDEX('Annual Real'!$1:$1048576,'History and Forecast'!BX$7,'History and Forecast'!$H45),INDEX('Forecast Prices'!$1:$1048576,'History and Forecast'!$G45,'History and Forecast'!BX$6))</f>
        <v>239.820669269223</v>
      </c>
      <c r="BY45" s="17" t="e">
        <f>IF(BY$9,INDEX('Annual Real'!$1:$1048576,'History and Forecast'!BY$7,'History and Forecast'!$H45),INDEX('Forecast Prices'!$1:$1048576,'History and Forecast'!$G45,'History and Forecast'!BY$6))</f>
        <v>#N/A</v>
      </c>
      <c r="BZ45" s="17" t="e">
        <f>IF(BZ$9,INDEX('Annual Real'!$1:$1048576,'History and Forecast'!BZ$7,'History and Forecast'!$H45),INDEX('Forecast Prices'!$1:$1048576,'History and Forecast'!$G45,'History and Forecast'!BZ$6))</f>
        <v>#N/A</v>
      </c>
      <c r="CA45" s="17" t="e">
        <f>IF(CA$9,INDEX('Annual Real'!$1:$1048576,'History and Forecast'!CA$7,'History and Forecast'!$H45),INDEX('Forecast Prices'!$1:$1048576,'History and Forecast'!$G45,'History and Forecast'!CA$6))</f>
        <v>#N/A</v>
      </c>
      <c r="CB45" s="17" t="e">
        <f>IF(CB$9,INDEX('Annual Real'!$1:$1048576,'History and Forecast'!CB$7,'History and Forecast'!$H45),INDEX('Forecast Prices'!$1:$1048576,'History and Forecast'!$G45,'History and Forecast'!CB$6))</f>
        <v>#N/A</v>
      </c>
      <c r="CC45" s="17">
        <f>IF(CC$9,INDEX('Annual Real'!$1:$1048576,'History and Forecast'!CC$7,'History and Forecast'!$H45),INDEX('Forecast Prices'!$1:$1048576,'History and Forecast'!$G45,'History and Forecast'!CC$6))</f>
        <v>238.47935778836401</v>
      </c>
      <c r="CD45" s="17" t="e">
        <f>IF(CD$9,INDEX('Annual Real'!$1:$1048576,'History and Forecast'!CD$7,'History and Forecast'!$H45),INDEX('Forecast Prices'!$1:$1048576,'History and Forecast'!$G45,'History and Forecast'!CD$6))</f>
        <v>#N/A</v>
      </c>
      <c r="CE45" s="17" t="e">
        <f>IF(CE$9,INDEX('Annual Real'!$1:$1048576,'History and Forecast'!CE$7,'History and Forecast'!$H45),INDEX('Forecast Prices'!$1:$1048576,'History and Forecast'!$G45,'History and Forecast'!CE$6))</f>
        <v>#N/A</v>
      </c>
      <c r="CF45" s="17" t="e">
        <f>IF(CF$9,INDEX('Annual Real'!$1:$1048576,'History and Forecast'!CF$7,'History and Forecast'!$H45),INDEX('Forecast Prices'!$1:$1048576,'History and Forecast'!$G45,'History and Forecast'!CF$6))</f>
        <v>#N/A</v>
      </c>
      <c r="CG45" s="17" t="e">
        <f>IF(CG$9,INDEX('Annual Real'!$1:$1048576,'History and Forecast'!CG$7,'History and Forecast'!$H45),INDEX('Forecast Prices'!$1:$1048576,'History and Forecast'!$G45,'History and Forecast'!CG$6))</f>
        <v>#N/A</v>
      </c>
      <c r="CH45" s="17" t="e">
        <f>IF(CH$9,INDEX('Annual Real'!$1:$1048576,'History and Forecast'!CH$7,'History and Forecast'!$H45),INDEX('Forecast Prices'!$1:$1048576,'History and Forecast'!$G45,'History and Forecast'!CH$6))</f>
        <v>#N/A</v>
      </c>
      <c r="CI45" s="17" t="e">
        <f>IF(CI$9,INDEX('Annual Real'!$1:$1048576,'History and Forecast'!CI$7,'History and Forecast'!$H45),INDEX('Forecast Prices'!$1:$1048576,'History and Forecast'!$G45,'History and Forecast'!CI$6))</f>
        <v>#N/A</v>
      </c>
    </row>
    <row r="46" spans="2:87">
      <c r="B46" t="str">
        <f t="shared" si="7"/>
        <v>ALUMINUM</v>
      </c>
      <c r="C46" s="34" t="s">
        <v>1102</v>
      </c>
      <c r="D46" t="str">
        <f t="shared" si="5"/>
        <v>KALUMINUM</v>
      </c>
      <c r="E46" s="34" t="str">
        <f t="shared" si="6"/>
        <v>KFALUMINUM</v>
      </c>
      <c r="F46">
        <f>MATCH(C46,'Forecast Prices'!A:A,0)</f>
        <v>61</v>
      </c>
      <c r="G46">
        <f>MATCH(E46,'Forecast Prices'!A:A,0)</f>
        <v>143</v>
      </c>
      <c r="H46" t="e">
        <f>MATCH(D46,'Annual Real'!$9:$9,0)</f>
        <v>#N/A</v>
      </c>
      <c r="I46" t="str">
        <f>INDEX('Forecast Prices'!B:B,'History and Forecast'!F46)&amp;INDEX('Forecast Prices'!C:C,'History and Forecast'!F46)&amp;INDEX('Forecast Prices'!D:D,'History and Forecast'!F46)&amp;INDEX('Forecast Prices'!E:E,'History and Forecast'!F46)</f>
        <v xml:space="preserve">Aluminum </v>
      </c>
      <c r="J46" t="str">
        <f>INDEX('Forecast Prices'!H:H,'History and Forecast'!F46)</f>
        <v>$/mt</v>
      </c>
      <c r="K46" s="17" t="e">
        <f>IF(K$9,INDEX('Annual Real'!$1:$1048576,'History and Forecast'!K$7,'History and Forecast'!$H46),INDEX('Forecast Prices'!$1:$1048576,'History and Forecast'!$G46,'History and Forecast'!K$6))</f>
        <v>#N/A</v>
      </c>
      <c r="L46" s="17" t="e">
        <f>IF(L$9,INDEX('Annual Real'!$1:$1048576,'History and Forecast'!L$7,'History and Forecast'!$H46),INDEX('Forecast Prices'!$1:$1048576,'History and Forecast'!$G46,'History and Forecast'!L$6))</f>
        <v>#N/A</v>
      </c>
      <c r="M46" s="17" t="e">
        <f>IF(M$9,INDEX('Annual Real'!$1:$1048576,'History and Forecast'!M$7,'History and Forecast'!$H46),INDEX('Forecast Prices'!$1:$1048576,'History and Forecast'!$G46,'History and Forecast'!M$6))</f>
        <v>#N/A</v>
      </c>
      <c r="N46" s="17" t="e">
        <f>IF(N$9,INDEX('Annual Real'!$1:$1048576,'History and Forecast'!N$7,'History and Forecast'!$H46),INDEX('Forecast Prices'!$1:$1048576,'History and Forecast'!$G46,'History and Forecast'!N$6))</f>
        <v>#N/A</v>
      </c>
      <c r="O46" s="17" t="e">
        <f>IF(O$9,INDEX('Annual Real'!$1:$1048576,'History and Forecast'!O$7,'History and Forecast'!$H46),INDEX('Forecast Prices'!$1:$1048576,'History and Forecast'!$G46,'History and Forecast'!O$6))</f>
        <v>#N/A</v>
      </c>
      <c r="P46" s="17" t="e">
        <f>IF(P$9,INDEX('Annual Real'!$1:$1048576,'History and Forecast'!P$7,'History and Forecast'!$H46),INDEX('Forecast Prices'!$1:$1048576,'History and Forecast'!$G46,'History and Forecast'!P$6))</f>
        <v>#N/A</v>
      </c>
      <c r="Q46" s="17" t="e">
        <f>IF(Q$9,INDEX('Annual Real'!$1:$1048576,'History and Forecast'!Q$7,'History and Forecast'!$H46),INDEX('Forecast Prices'!$1:$1048576,'History and Forecast'!$G46,'History and Forecast'!Q$6))</f>
        <v>#N/A</v>
      </c>
      <c r="R46" s="17" t="e">
        <f>IF(R$9,INDEX('Annual Real'!$1:$1048576,'History and Forecast'!R$7,'History and Forecast'!$H46),INDEX('Forecast Prices'!$1:$1048576,'History and Forecast'!$G46,'History and Forecast'!R$6))</f>
        <v>#N/A</v>
      </c>
      <c r="S46" s="17" t="e">
        <f>IF(S$9,INDEX('Annual Real'!$1:$1048576,'History and Forecast'!S$7,'History and Forecast'!$H46),INDEX('Forecast Prices'!$1:$1048576,'History and Forecast'!$G46,'History and Forecast'!S$6))</f>
        <v>#N/A</v>
      </c>
      <c r="T46" s="17" t="e">
        <f>IF(T$9,INDEX('Annual Real'!$1:$1048576,'History and Forecast'!T$7,'History and Forecast'!$H46),INDEX('Forecast Prices'!$1:$1048576,'History and Forecast'!$G46,'History and Forecast'!T$6))</f>
        <v>#N/A</v>
      </c>
      <c r="U46" s="17" t="e">
        <f>IF(U$9,INDEX('Annual Real'!$1:$1048576,'History and Forecast'!U$7,'History and Forecast'!$H46),INDEX('Forecast Prices'!$1:$1048576,'History and Forecast'!$G46,'History and Forecast'!U$6))</f>
        <v>#N/A</v>
      </c>
      <c r="V46" s="17" t="e">
        <f>IF(V$9,INDEX('Annual Real'!$1:$1048576,'History and Forecast'!V$7,'History and Forecast'!$H46),INDEX('Forecast Prices'!$1:$1048576,'History and Forecast'!$G46,'History and Forecast'!V$6))</f>
        <v>#N/A</v>
      </c>
      <c r="W46" s="17" t="e">
        <f>IF(W$9,INDEX('Annual Real'!$1:$1048576,'History and Forecast'!W$7,'History and Forecast'!$H46),INDEX('Forecast Prices'!$1:$1048576,'History and Forecast'!$G46,'History and Forecast'!W$6))</f>
        <v>#N/A</v>
      </c>
      <c r="X46" s="17" t="e">
        <f>IF(X$9,INDEX('Annual Real'!$1:$1048576,'History and Forecast'!X$7,'History and Forecast'!$H46),INDEX('Forecast Prices'!$1:$1048576,'History and Forecast'!$G46,'History and Forecast'!X$6))</f>
        <v>#N/A</v>
      </c>
      <c r="Y46" s="17" t="e">
        <f>IF(Y$9,INDEX('Annual Real'!$1:$1048576,'History and Forecast'!Y$7,'History and Forecast'!$H46),INDEX('Forecast Prices'!$1:$1048576,'History and Forecast'!$G46,'History and Forecast'!Y$6))</f>
        <v>#N/A</v>
      </c>
      <c r="Z46" s="17" t="e">
        <f>IF(Z$9,INDEX('Annual Real'!$1:$1048576,'History and Forecast'!Z$7,'History and Forecast'!$H46),INDEX('Forecast Prices'!$1:$1048576,'History and Forecast'!$G46,'History and Forecast'!Z$6))</f>
        <v>#N/A</v>
      </c>
      <c r="AA46" s="17" t="e">
        <f>IF(AA$9,INDEX('Annual Real'!$1:$1048576,'History and Forecast'!AA$7,'History and Forecast'!$H46),INDEX('Forecast Prices'!$1:$1048576,'History and Forecast'!$G46,'History and Forecast'!AA$6))</f>
        <v>#N/A</v>
      </c>
      <c r="AB46" s="17" t="e">
        <f>IF(AB$9,INDEX('Annual Real'!$1:$1048576,'History and Forecast'!AB$7,'History and Forecast'!$H46),INDEX('Forecast Prices'!$1:$1048576,'History and Forecast'!$G46,'History and Forecast'!AB$6))</f>
        <v>#N/A</v>
      </c>
      <c r="AC46" s="17" t="e">
        <f>IF(AC$9,INDEX('Annual Real'!$1:$1048576,'History and Forecast'!AC$7,'History and Forecast'!$H46),INDEX('Forecast Prices'!$1:$1048576,'History and Forecast'!$G46,'History and Forecast'!AC$6))</f>
        <v>#N/A</v>
      </c>
      <c r="AD46" s="17" t="e">
        <f>IF(AD$9,INDEX('Annual Real'!$1:$1048576,'History and Forecast'!AD$7,'History and Forecast'!$H46),INDEX('Forecast Prices'!$1:$1048576,'History and Forecast'!$G46,'History and Forecast'!AD$6))</f>
        <v>#N/A</v>
      </c>
      <c r="AE46" s="17" t="e">
        <f>IF(AE$9,INDEX('Annual Real'!$1:$1048576,'History and Forecast'!AE$7,'History and Forecast'!$H46),INDEX('Forecast Prices'!$1:$1048576,'History and Forecast'!$G46,'History and Forecast'!AE$6))</f>
        <v>#N/A</v>
      </c>
      <c r="AF46" s="17" t="e">
        <f>IF(AF$9,INDEX('Annual Real'!$1:$1048576,'History and Forecast'!AF$7,'History and Forecast'!$H46),INDEX('Forecast Prices'!$1:$1048576,'History and Forecast'!$G46,'History and Forecast'!AF$6))</f>
        <v>#N/A</v>
      </c>
      <c r="AG46" s="17" t="e">
        <f>IF(AG$9,INDEX('Annual Real'!$1:$1048576,'History and Forecast'!AG$7,'History and Forecast'!$H46),INDEX('Forecast Prices'!$1:$1048576,'History and Forecast'!$G46,'History and Forecast'!AG$6))</f>
        <v>#N/A</v>
      </c>
      <c r="AH46" s="17" t="e">
        <f>IF(AH$9,INDEX('Annual Real'!$1:$1048576,'History and Forecast'!AH$7,'History and Forecast'!$H46),INDEX('Forecast Prices'!$1:$1048576,'History and Forecast'!$G46,'History and Forecast'!AH$6))</f>
        <v>#N/A</v>
      </c>
      <c r="AI46" s="17" t="e">
        <f>IF(AI$9,INDEX('Annual Real'!$1:$1048576,'History and Forecast'!AI$7,'History and Forecast'!$H46),INDEX('Forecast Prices'!$1:$1048576,'History and Forecast'!$G46,'History and Forecast'!AI$6))</f>
        <v>#N/A</v>
      </c>
      <c r="AJ46" s="17" t="e">
        <f>IF(AJ$9,INDEX('Annual Real'!$1:$1048576,'History and Forecast'!AJ$7,'History and Forecast'!$H46),INDEX('Forecast Prices'!$1:$1048576,'History and Forecast'!$G46,'History and Forecast'!AJ$6))</f>
        <v>#N/A</v>
      </c>
      <c r="AK46" s="17" t="e">
        <f>IF(AK$9,INDEX('Annual Real'!$1:$1048576,'History and Forecast'!AK$7,'History and Forecast'!$H46),INDEX('Forecast Prices'!$1:$1048576,'History and Forecast'!$G46,'History and Forecast'!AK$6))</f>
        <v>#N/A</v>
      </c>
      <c r="AL46" s="17" t="e">
        <f>IF(AL$9,INDEX('Annual Real'!$1:$1048576,'History and Forecast'!AL$7,'History and Forecast'!$H46),INDEX('Forecast Prices'!$1:$1048576,'History and Forecast'!$G46,'History and Forecast'!AL$6))</f>
        <v>#N/A</v>
      </c>
      <c r="AM46" s="17" t="e">
        <f>IF(AM$9,INDEX('Annual Real'!$1:$1048576,'History and Forecast'!AM$7,'History and Forecast'!$H46),INDEX('Forecast Prices'!$1:$1048576,'History and Forecast'!$G46,'History and Forecast'!AM$6))</f>
        <v>#N/A</v>
      </c>
      <c r="AN46" s="17" t="e">
        <f>IF(AN$9,INDEX('Annual Real'!$1:$1048576,'History and Forecast'!AN$7,'History and Forecast'!$H46),INDEX('Forecast Prices'!$1:$1048576,'History and Forecast'!$G46,'History and Forecast'!AN$6))</f>
        <v>#N/A</v>
      </c>
      <c r="AO46" s="17" t="e">
        <f>IF(AO$9,INDEX('Annual Real'!$1:$1048576,'History and Forecast'!AO$7,'History and Forecast'!$H46),INDEX('Forecast Prices'!$1:$1048576,'History and Forecast'!$G46,'History and Forecast'!AO$6))</f>
        <v>#N/A</v>
      </c>
      <c r="AP46" s="17" t="e">
        <f>IF(AP$9,INDEX('Annual Real'!$1:$1048576,'History and Forecast'!AP$7,'History and Forecast'!$H46),INDEX('Forecast Prices'!$1:$1048576,'History and Forecast'!$G46,'History and Forecast'!AP$6))</f>
        <v>#N/A</v>
      </c>
      <c r="AQ46" s="17" t="e">
        <f>IF(AQ$9,INDEX('Annual Real'!$1:$1048576,'History and Forecast'!AQ$7,'History and Forecast'!$H46),INDEX('Forecast Prices'!$1:$1048576,'History and Forecast'!$G46,'History and Forecast'!AQ$6))</f>
        <v>#N/A</v>
      </c>
      <c r="AR46" s="17" t="e">
        <f>IF(AR$9,INDEX('Annual Real'!$1:$1048576,'History and Forecast'!AR$7,'History and Forecast'!$H46),INDEX('Forecast Prices'!$1:$1048576,'History and Forecast'!$G46,'History and Forecast'!AR$6))</f>
        <v>#N/A</v>
      </c>
      <c r="AS46" s="17" t="e">
        <f>IF(AS$9,INDEX('Annual Real'!$1:$1048576,'History and Forecast'!AS$7,'History and Forecast'!$H46),INDEX('Forecast Prices'!$1:$1048576,'History and Forecast'!$G46,'History and Forecast'!AS$6))</f>
        <v>#N/A</v>
      </c>
      <c r="AT46" s="17" t="e">
        <f>IF(AT$9,INDEX('Annual Real'!$1:$1048576,'History and Forecast'!AT$7,'History and Forecast'!$H46),INDEX('Forecast Prices'!$1:$1048576,'History and Forecast'!$G46,'History and Forecast'!AT$6))</f>
        <v>#N/A</v>
      </c>
      <c r="AU46" s="17" t="e">
        <f>IF(AU$9,INDEX('Annual Real'!$1:$1048576,'History and Forecast'!AU$7,'History and Forecast'!$H46),INDEX('Forecast Prices'!$1:$1048576,'History and Forecast'!$G46,'History and Forecast'!AU$6))</f>
        <v>#N/A</v>
      </c>
      <c r="AV46" s="17" t="e">
        <f>IF(AV$9,INDEX('Annual Real'!$1:$1048576,'History and Forecast'!AV$7,'History and Forecast'!$H46),INDEX('Forecast Prices'!$1:$1048576,'History and Forecast'!$G46,'History and Forecast'!AV$6))</f>
        <v>#N/A</v>
      </c>
      <c r="AW46" s="17" t="e">
        <f>IF(AW$9,INDEX('Annual Real'!$1:$1048576,'History and Forecast'!AW$7,'History and Forecast'!$H46),INDEX('Forecast Prices'!$1:$1048576,'History and Forecast'!$G46,'History and Forecast'!AW$6))</f>
        <v>#N/A</v>
      </c>
      <c r="AX46" s="17" t="e">
        <f>IF(AX$9,INDEX('Annual Real'!$1:$1048576,'History and Forecast'!AX$7,'History and Forecast'!$H46),INDEX('Forecast Prices'!$1:$1048576,'History and Forecast'!$G46,'History and Forecast'!AX$6))</f>
        <v>#N/A</v>
      </c>
      <c r="AY46" s="17" t="e">
        <f>IF(AY$9,INDEX('Annual Real'!$1:$1048576,'History and Forecast'!AY$7,'History and Forecast'!$H46),INDEX('Forecast Prices'!$1:$1048576,'History and Forecast'!$G46,'History and Forecast'!AY$6))</f>
        <v>#N/A</v>
      </c>
      <c r="AZ46" s="17" t="e">
        <f>IF(AZ$9,INDEX('Annual Real'!$1:$1048576,'History and Forecast'!AZ$7,'History and Forecast'!$H46),INDEX('Forecast Prices'!$1:$1048576,'History and Forecast'!$G46,'History and Forecast'!AZ$6))</f>
        <v>#N/A</v>
      </c>
      <c r="BA46" s="17" t="e">
        <f>IF(BA$9,INDEX('Annual Real'!$1:$1048576,'History and Forecast'!BA$7,'History and Forecast'!$H46),INDEX('Forecast Prices'!$1:$1048576,'History and Forecast'!$G46,'History and Forecast'!BA$6))</f>
        <v>#N/A</v>
      </c>
      <c r="BB46" s="17" t="e">
        <f>IF(BB$9,INDEX('Annual Real'!$1:$1048576,'History and Forecast'!BB$7,'History and Forecast'!$H46),INDEX('Forecast Prices'!$1:$1048576,'History and Forecast'!$G46,'History and Forecast'!BB$6))</f>
        <v>#N/A</v>
      </c>
      <c r="BC46" s="17" t="e">
        <f>IF(BC$9,INDEX('Annual Real'!$1:$1048576,'History and Forecast'!BC$7,'History and Forecast'!$H46),INDEX('Forecast Prices'!$1:$1048576,'History and Forecast'!$G46,'History and Forecast'!BC$6))</f>
        <v>#N/A</v>
      </c>
      <c r="BD46" s="17" t="e">
        <f>IF(BD$9,INDEX('Annual Real'!$1:$1048576,'History and Forecast'!BD$7,'History and Forecast'!$H46),INDEX('Forecast Prices'!$1:$1048576,'History and Forecast'!$G46,'History and Forecast'!BD$6))</f>
        <v>#N/A</v>
      </c>
      <c r="BE46" s="17" t="e">
        <f>IF(BE$9,INDEX('Annual Real'!$1:$1048576,'History and Forecast'!BE$7,'History and Forecast'!$H46),INDEX('Forecast Prices'!$1:$1048576,'History and Forecast'!$G46,'History and Forecast'!BE$6))</f>
        <v>#N/A</v>
      </c>
      <c r="BF46" s="17" t="e">
        <f>IF(BF$9,INDEX('Annual Real'!$1:$1048576,'History and Forecast'!BF$7,'History and Forecast'!$H46),INDEX('Forecast Prices'!$1:$1048576,'History and Forecast'!$G46,'History and Forecast'!BF$6))</f>
        <v>#N/A</v>
      </c>
      <c r="BG46" s="17" t="e">
        <f>IF(BG$9,INDEX('Annual Real'!$1:$1048576,'History and Forecast'!BG$7,'History and Forecast'!$H46),INDEX('Forecast Prices'!$1:$1048576,'History and Forecast'!$G46,'History and Forecast'!BG$6))</f>
        <v>#N/A</v>
      </c>
      <c r="BH46" s="17" t="e">
        <f>IF(BH$9,INDEX('Annual Real'!$1:$1048576,'History and Forecast'!BH$7,'History and Forecast'!$H46),INDEX('Forecast Prices'!$1:$1048576,'History and Forecast'!$G46,'History and Forecast'!BH$6))</f>
        <v>#N/A</v>
      </c>
      <c r="BI46" s="17" t="e">
        <f>IF(BI$9,INDEX('Annual Real'!$1:$1048576,'History and Forecast'!BI$7,'History and Forecast'!$H46),INDEX('Forecast Prices'!$1:$1048576,'History and Forecast'!$G46,'History and Forecast'!BI$6))</f>
        <v>#N/A</v>
      </c>
      <c r="BJ46" s="17" t="e">
        <f>IF(BJ$9,INDEX('Annual Real'!$1:$1048576,'History and Forecast'!BJ$7,'History and Forecast'!$H46),INDEX('Forecast Prices'!$1:$1048576,'History and Forecast'!$G46,'History and Forecast'!BJ$6))</f>
        <v>#N/A</v>
      </c>
      <c r="BK46" s="17" t="e">
        <f>IF(BK$9,INDEX('Annual Real'!$1:$1048576,'History and Forecast'!BK$7,'History and Forecast'!$H46),INDEX('Forecast Prices'!$1:$1048576,'History and Forecast'!$G46,'History and Forecast'!BK$6))</f>
        <v>#N/A</v>
      </c>
      <c r="BL46" s="17" t="e">
        <f>IF(BL$9,INDEX('Annual Real'!$1:$1048576,'History and Forecast'!BL$7,'History and Forecast'!$H46),INDEX('Forecast Prices'!$1:$1048576,'History and Forecast'!$G46,'History and Forecast'!BL$6))</f>
        <v>#N/A</v>
      </c>
      <c r="BM46" s="17" t="e">
        <f>IF(BM$9,INDEX('Annual Real'!$1:$1048576,'History and Forecast'!BM$7,'History and Forecast'!$H46),INDEX('Forecast Prices'!$1:$1048576,'History and Forecast'!$G46,'History and Forecast'!BM$6))</f>
        <v>#N/A</v>
      </c>
      <c r="BN46" s="17" t="e">
        <f>IF(BN$9,INDEX('Annual Real'!$1:$1048576,'History and Forecast'!BN$7,'History and Forecast'!$H46),INDEX('Forecast Prices'!$1:$1048576,'History and Forecast'!$G46,'History and Forecast'!BN$6))</f>
        <v>#N/A</v>
      </c>
      <c r="BO46" s="17">
        <f>IF(BO$9,INDEX('Annual Real'!$1:$1048576,'History and Forecast'!BO$7,'History and Forecast'!$H46),INDEX('Forecast Prices'!$1:$1048576,'History and Forecast'!$G46,'History and Forecast'!BO$6))</f>
        <v>1705.9898709131</v>
      </c>
      <c r="BP46" s="17">
        <f>IF(BP$9,INDEX('Annual Real'!$1:$1048576,'History and Forecast'!BP$7,'History and Forecast'!$H46),INDEX('Forecast Prices'!$1:$1048576,'History and Forecast'!$G46,'History and Forecast'!BP$6))</f>
        <v>2022.56385313754</v>
      </c>
      <c r="BQ46" s="17">
        <f>IF(BQ$9,INDEX('Annual Real'!$1:$1048576,'History and Forecast'!BQ$7,'History and Forecast'!$H46),INDEX('Forecast Prices'!$1:$1048576,'History and Forecast'!$G46,'History and Forecast'!BQ$6))</f>
        <v>2070.0079422608201</v>
      </c>
      <c r="BR46" s="17">
        <f>IF(BR$9,INDEX('Annual Real'!$1:$1048576,'History and Forecast'!BR$7,'History and Forecast'!$H46),INDEX('Forecast Prices'!$1:$1048576,'History and Forecast'!$G46,'History and Forecast'!BR$6))</f>
        <v>1867.5568395253199</v>
      </c>
      <c r="BS46" s="17">
        <f>IF(BS$9,INDEX('Annual Real'!$1:$1048576,'History and Forecast'!BS$7,'History and Forecast'!$H46),INDEX('Forecast Prices'!$1:$1048576,'History and Forecast'!$G46,'History and Forecast'!BS$6))</f>
        <v>1864.7223251774899</v>
      </c>
      <c r="BT46" s="17">
        <f>IF(BT$9,INDEX('Annual Real'!$1:$1048576,'History and Forecast'!BT$7,'History and Forecast'!$H46),INDEX('Forecast Prices'!$1:$1048576,'History and Forecast'!$G46,'History and Forecast'!BT$6))</f>
        <v>1854.35248076986</v>
      </c>
      <c r="BU46" s="17">
        <f>IF(BU$9,INDEX('Annual Real'!$1:$1048576,'History and Forecast'!BU$7,'History and Forecast'!$H46),INDEX('Forecast Prices'!$1:$1048576,'History and Forecast'!$G46,'History and Forecast'!BU$6))</f>
        <v>1842.56207273564</v>
      </c>
      <c r="BV46" s="17">
        <f>IF(BV$9,INDEX('Annual Real'!$1:$1048576,'History and Forecast'!BV$7,'History and Forecast'!$H46),INDEX('Forecast Prices'!$1:$1048576,'History and Forecast'!$G46,'History and Forecast'!BV$6))</f>
        <v>1831.00821141764</v>
      </c>
      <c r="BW46" s="17">
        <f>IF(BW$9,INDEX('Annual Real'!$1:$1048576,'History and Forecast'!BW$7,'History and Forecast'!$H46),INDEX('Forecast Prices'!$1:$1048576,'History and Forecast'!$G46,'History and Forecast'!BW$6))</f>
        <v>1819.5261956710999</v>
      </c>
      <c r="BX46" s="17">
        <f>IF(BX$9,INDEX('Annual Real'!$1:$1048576,'History and Forecast'!BX$7,'History and Forecast'!$H46),INDEX('Forecast Prices'!$1:$1048576,'History and Forecast'!$G46,'History and Forecast'!BX$6))</f>
        <v>1808.0119011981401</v>
      </c>
      <c r="BY46" s="17" t="e">
        <f>IF(BY$9,INDEX('Annual Real'!$1:$1048576,'History and Forecast'!BY$7,'History and Forecast'!$H46),INDEX('Forecast Prices'!$1:$1048576,'History and Forecast'!$G46,'History and Forecast'!BY$6))</f>
        <v>#N/A</v>
      </c>
      <c r="BZ46" s="17" t="e">
        <f>IF(BZ$9,INDEX('Annual Real'!$1:$1048576,'History and Forecast'!BZ$7,'History and Forecast'!$H46),INDEX('Forecast Prices'!$1:$1048576,'History and Forecast'!$G46,'History and Forecast'!BZ$6))</f>
        <v>#N/A</v>
      </c>
      <c r="CA46" s="17" t="e">
        <f>IF(CA$9,INDEX('Annual Real'!$1:$1048576,'History and Forecast'!CA$7,'History and Forecast'!$H46),INDEX('Forecast Prices'!$1:$1048576,'History and Forecast'!$G46,'History and Forecast'!CA$6))</f>
        <v>#N/A</v>
      </c>
      <c r="CB46" s="17" t="e">
        <f>IF(CB$9,INDEX('Annual Real'!$1:$1048576,'History and Forecast'!CB$7,'History and Forecast'!$H46),INDEX('Forecast Prices'!$1:$1048576,'History and Forecast'!$G46,'History and Forecast'!CB$6))</f>
        <v>#N/A</v>
      </c>
      <c r="CC46" s="17">
        <f>IF(CC$9,INDEX('Annual Real'!$1:$1048576,'History and Forecast'!CC$7,'History and Forecast'!$H46),INDEX('Forecast Prices'!$1:$1048576,'History and Forecast'!$G46,'History and Forecast'!CC$6))</f>
        <v>1748.8486237813399</v>
      </c>
      <c r="CD46" s="17" t="e">
        <f>IF(CD$9,INDEX('Annual Real'!$1:$1048576,'History and Forecast'!CD$7,'History and Forecast'!$H46),INDEX('Forecast Prices'!$1:$1048576,'History and Forecast'!$G46,'History and Forecast'!CD$6))</f>
        <v>#N/A</v>
      </c>
      <c r="CE46" s="17" t="e">
        <f>IF(CE$9,INDEX('Annual Real'!$1:$1048576,'History and Forecast'!CE$7,'History and Forecast'!$H46),INDEX('Forecast Prices'!$1:$1048576,'History and Forecast'!$G46,'History and Forecast'!CE$6))</f>
        <v>#N/A</v>
      </c>
      <c r="CF46" s="17" t="e">
        <f>IF(CF$9,INDEX('Annual Real'!$1:$1048576,'History and Forecast'!CF$7,'History and Forecast'!$H46),INDEX('Forecast Prices'!$1:$1048576,'History and Forecast'!$G46,'History and Forecast'!CF$6))</f>
        <v>#N/A</v>
      </c>
      <c r="CG46" s="17" t="e">
        <f>IF(CG$9,INDEX('Annual Real'!$1:$1048576,'History and Forecast'!CG$7,'History and Forecast'!$H46),INDEX('Forecast Prices'!$1:$1048576,'History and Forecast'!$G46,'History and Forecast'!CG$6))</f>
        <v>#N/A</v>
      </c>
      <c r="CH46" s="17" t="e">
        <f>IF(CH$9,INDEX('Annual Real'!$1:$1048576,'History and Forecast'!CH$7,'History and Forecast'!$H46),INDEX('Forecast Prices'!$1:$1048576,'History and Forecast'!$G46,'History and Forecast'!CH$6))</f>
        <v>#N/A</v>
      </c>
      <c r="CI46" s="17" t="e">
        <f>IF(CI$9,INDEX('Annual Real'!$1:$1048576,'History and Forecast'!CI$7,'History and Forecast'!$H46),INDEX('Forecast Prices'!$1:$1048576,'History and Forecast'!$G46,'History and Forecast'!CI$6))</f>
        <v>#N/A</v>
      </c>
    </row>
    <row r="47" spans="2:87">
      <c r="B47" t="str">
        <f t="shared" si="7"/>
        <v>COPPER</v>
      </c>
      <c r="C47" s="34" t="s">
        <v>1104</v>
      </c>
      <c r="D47" t="str">
        <f t="shared" si="5"/>
        <v>KCOPPER</v>
      </c>
      <c r="E47" s="34" t="str">
        <f t="shared" si="6"/>
        <v>KFCOPPER</v>
      </c>
      <c r="F47">
        <f>MATCH(C47,'Forecast Prices'!A:A,0)</f>
        <v>62</v>
      </c>
      <c r="G47">
        <f>MATCH(E47,'Forecast Prices'!A:A,0)</f>
        <v>144</v>
      </c>
      <c r="H47" t="e">
        <f>MATCH(D47,'Annual Real'!$9:$9,0)</f>
        <v>#N/A</v>
      </c>
      <c r="I47" t="str">
        <f>INDEX('Forecast Prices'!B:B,'History and Forecast'!F47)&amp;INDEX('Forecast Prices'!C:C,'History and Forecast'!F47)&amp;INDEX('Forecast Prices'!D:D,'History and Forecast'!F47)&amp;INDEX('Forecast Prices'!E:E,'History and Forecast'!F47)</f>
        <v>Copper</v>
      </c>
      <c r="J47" t="str">
        <f>INDEX('Forecast Prices'!H:H,'History and Forecast'!F47)</f>
        <v>$/mt</v>
      </c>
      <c r="K47" s="17" t="e">
        <f>IF(K$9,INDEX('Annual Real'!$1:$1048576,'History and Forecast'!K$7,'History and Forecast'!$H47),INDEX('Forecast Prices'!$1:$1048576,'History and Forecast'!$G47,'History and Forecast'!K$6))</f>
        <v>#N/A</v>
      </c>
      <c r="L47" s="17" t="e">
        <f>IF(L$9,INDEX('Annual Real'!$1:$1048576,'History and Forecast'!L$7,'History and Forecast'!$H47),INDEX('Forecast Prices'!$1:$1048576,'History and Forecast'!$G47,'History and Forecast'!L$6))</f>
        <v>#N/A</v>
      </c>
      <c r="M47" s="17" t="e">
        <f>IF(M$9,INDEX('Annual Real'!$1:$1048576,'History and Forecast'!M$7,'History and Forecast'!$H47),INDEX('Forecast Prices'!$1:$1048576,'History and Forecast'!$G47,'History and Forecast'!M$6))</f>
        <v>#N/A</v>
      </c>
      <c r="N47" s="17" t="e">
        <f>IF(N$9,INDEX('Annual Real'!$1:$1048576,'History and Forecast'!N$7,'History and Forecast'!$H47),INDEX('Forecast Prices'!$1:$1048576,'History and Forecast'!$G47,'History and Forecast'!N$6))</f>
        <v>#N/A</v>
      </c>
      <c r="O47" s="17" t="e">
        <f>IF(O$9,INDEX('Annual Real'!$1:$1048576,'History and Forecast'!O$7,'History and Forecast'!$H47),INDEX('Forecast Prices'!$1:$1048576,'History and Forecast'!$G47,'History and Forecast'!O$6))</f>
        <v>#N/A</v>
      </c>
      <c r="P47" s="17" t="e">
        <f>IF(P$9,INDEX('Annual Real'!$1:$1048576,'History and Forecast'!P$7,'History and Forecast'!$H47),INDEX('Forecast Prices'!$1:$1048576,'History and Forecast'!$G47,'History and Forecast'!P$6))</f>
        <v>#N/A</v>
      </c>
      <c r="Q47" s="17" t="e">
        <f>IF(Q$9,INDEX('Annual Real'!$1:$1048576,'History and Forecast'!Q$7,'History and Forecast'!$H47),INDEX('Forecast Prices'!$1:$1048576,'History and Forecast'!$G47,'History and Forecast'!Q$6))</f>
        <v>#N/A</v>
      </c>
      <c r="R47" s="17" t="e">
        <f>IF(R$9,INDEX('Annual Real'!$1:$1048576,'History and Forecast'!R$7,'History and Forecast'!$H47),INDEX('Forecast Prices'!$1:$1048576,'History and Forecast'!$G47,'History and Forecast'!R$6))</f>
        <v>#N/A</v>
      </c>
      <c r="S47" s="17" t="e">
        <f>IF(S$9,INDEX('Annual Real'!$1:$1048576,'History and Forecast'!S$7,'History and Forecast'!$H47),INDEX('Forecast Prices'!$1:$1048576,'History and Forecast'!$G47,'History and Forecast'!S$6))</f>
        <v>#N/A</v>
      </c>
      <c r="T47" s="17" t="e">
        <f>IF(T$9,INDEX('Annual Real'!$1:$1048576,'History and Forecast'!T$7,'History and Forecast'!$H47),INDEX('Forecast Prices'!$1:$1048576,'History and Forecast'!$G47,'History and Forecast'!T$6))</f>
        <v>#N/A</v>
      </c>
      <c r="U47" s="17" t="e">
        <f>IF(U$9,INDEX('Annual Real'!$1:$1048576,'History and Forecast'!U$7,'History and Forecast'!$H47),INDEX('Forecast Prices'!$1:$1048576,'History and Forecast'!$G47,'History and Forecast'!U$6))</f>
        <v>#N/A</v>
      </c>
      <c r="V47" s="17" t="e">
        <f>IF(V$9,INDEX('Annual Real'!$1:$1048576,'History and Forecast'!V$7,'History and Forecast'!$H47),INDEX('Forecast Prices'!$1:$1048576,'History and Forecast'!$G47,'History and Forecast'!V$6))</f>
        <v>#N/A</v>
      </c>
      <c r="W47" s="17" t="e">
        <f>IF(W$9,INDEX('Annual Real'!$1:$1048576,'History and Forecast'!W$7,'History and Forecast'!$H47),INDEX('Forecast Prices'!$1:$1048576,'History and Forecast'!$G47,'History and Forecast'!W$6))</f>
        <v>#N/A</v>
      </c>
      <c r="X47" s="17" t="e">
        <f>IF(X$9,INDEX('Annual Real'!$1:$1048576,'History and Forecast'!X$7,'History and Forecast'!$H47),INDEX('Forecast Prices'!$1:$1048576,'History and Forecast'!$G47,'History and Forecast'!X$6))</f>
        <v>#N/A</v>
      </c>
      <c r="Y47" s="17" t="e">
        <f>IF(Y$9,INDEX('Annual Real'!$1:$1048576,'History and Forecast'!Y$7,'History and Forecast'!$H47),INDEX('Forecast Prices'!$1:$1048576,'History and Forecast'!$G47,'History and Forecast'!Y$6))</f>
        <v>#N/A</v>
      </c>
      <c r="Z47" s="17" t="e">
        <f>IF(Z$9,INDEX('Annual Real'!$1:$1048576,'History and Forecast'!Z$7,'History and Forecast'!$H47),INDEX('Forecast Prices'!$1:$1048576,'History and Forecast'!$G47,'History and Forecast'!Z$6))</f>
        <v>#N/A</v>
      </c>
      <c r="AA47" s="17" t="e">
        <f>IF(AA$9,INDEX('Annual Real'!$1:$1048576,'History and Forecast'!AA$7,'History and Forecast'!$H47),INDEX('Forecast Prices'!$1:$1048576,'History and Forecast'!$G47,'History and Forecast'!AA$6))</f>
        <v>#N/A</v>
      </c>
      <c r="AB47" s="17" t="e">
        <f>IF(AB$9,INDEX('Annual Real'!$1:$1048576,'History and Forecast'!AB$7,'History and Forecast'!$H47),INDEX('Forecast Prices'!$1:$1048576,'History and Forecast'!$G47,'History and Forecast'!AB$6))</f>
        <v>#N/A</v>
      </c>
      <c r="AC47" s="17" t="e">
        <f>IF(AC$9,INDEX('Annual Real'!$1:$1048576,'History and Forecast'!AC$7,'History and Forecast'!$H47),INDEX('Forecast Prices'!$1:$1048576,'History and Forecast'!$G47,'History and Forecast'!AC$6))</f>
        <v>#N/A</v>
      </c>
      <c r="AD47" s="17" t="e">
        <f>IF(AD$9,INDEX('Annual Real'!$1:$1048576,'History and Forecast'!AD$7,'History and Forecast'!$H47),INDEX('Forecast Prices'!$1:$1048576,'History and Forecast'!$G47,'History and Forecast'!AD$6))</f>
        <v>#N/A</v>
      </c>
      <c r="AE47" s="17" t="e">
        <f>IF(AE$9,INDEX('Annual Real'!$1:$1048576,'History and Forecast'!AE$7,'History and Forecast'!$H47),INDEX('Forecast Prices'!$1:$1048576,'History and Forecast'!$G47,'History and Forecast'!AE$6))</f>
        <v>#N/A</v>
      </c>
      <c r="AF47" s="17" t="e">
        <f>IF(AF$9,INDEX('Annual Real'!$1:$1048576,'History and Forecast'!AF$7,'History and Forecast'!$H47),INDEX('Forecast Prices'!$1:$1048576,'History and Forecast'!$G47,'History and Forecast'!AF$6))</f>
        <v>#N/A</v>
      </c>
      <c r="AG47" s="17" t="e">
        <f>IF(AG$9,INDEX('Annual Real'!$1:$1048576,'History and Forecast'!AG$7,'History and Forecast'!$H47),INDEX('Forecast Prices'!$1:$1048576,'History and Forecast'!$G47,'History and Forecast'!AG$6))</f>
        <v>#N/A</v>
      </c>
      <c r="AH47" s="17" t="e">
        <f>IF(AH$9,INDEX('Annual Real'!$1:$1048576,'History and Forecast'!AH$7,'History and Forecast'!$H47),INDEX('Forecast Prices'!$1:$1048576,'History and Forecast'!$G47,'History and Forecast'!AH$6))</f>
        <v>#N/A</v>
      </c>
      <c r="AI47" s="17" t="e">
        <f>IF(AI$9,INDEX('Annual Real'!$1:$1048576,'History and Forecast'!AI$7,'History and Forecast'!$H47),INDEX('Forecast Prices'!$1:$1048576,'History and Forecast'!$G47,'History and Forecast'!AI$6))</f>
        <v>#N/A</v>
      </c>
      <c r="AJ47" s="17" t="e">
        <f>IF(AJ$9,INDEX('Annual Real'!$1:$1048576,'History and Forecast'!AJ$7,'History and Forecast'!$H47),INDEX('Forecast Prices'!$1:$1048576,'History and Forecast'!$G47,'History and Forecast'!AJ$6))</f>
        <v>#N/A</v>
      </c>
      <c r="AK47" s="17" t="e">
        <f>IF(AK$9,INDEX('Annual Real'!$1:$1048576,'History and Forecast'!AK$7,'History and Forecast'!$H47),INDEX('Forecast Prices'!$1:$1048576,'History and Forecast'!$G47,'History and Forecast'!AK$6))</f>
        <v>#N/A</v>
      </c>
      <c r="AL47" s="17" t="e">
        <f>IF(AL$9,INDEX('Annual Real'!$1:$1048576,'History and Forecast'!AL$7,'History and Forecast'!$H47),INDEX('Forecast Prices'!$1:$1048576,'History and Forecast'!$G47,'History and Forecast'!AL$6))</f>
        <v>#N/A</v>
      </c>
      <c r="AM47" s="17" t="e">
        <f>IF(AM$9,INDEX('Annual Real'!$1:$1048576,'History and Forecast'!AM$7,'History and Forecast'!$H47),INDEX('Forecast Prices'!$1:$1048576,'History and Forecast'!$G47,'History and Forecast'!AM$6))</f>
        <v>#N/A</v>
      </c>
      <c r="AN47" s="17" t="e">
        <f>IF(AN$9,INDEX('Annual Real'!$1:$1048576,'History and Forecast'!AN$7,'History and Forecast'!$H47),INDEX('Forecast Prices'!$1:$1048576,'History and Forecast'!$G47,'History and Forecast'!AN$6))</f>
        <v>#N/A</v>
      </c>
      <c r="AO47" s="17" t="e">
        <f>IF(AO$9,INDEX('Annual Real'!$1:$1048576,'History and Forecast'!AO$7,'History and Forecast'!$H47),INDEX('Forecast Prices'!$1:$1048576,'History and Forecast'!$G47,'History and Forecast'!AO$6))</f>
        <v>#N/A</v>
      </c>
      <c r="AP47" s="17" t="e">
        <f>IF(AP$9,INDEX('Annual Real'!$1:$1048576,'History and Forecast'!AP$7,'History and Forecast'!$H47),INDEX('Forecast Prices'!$1:$1048576,'History and Forecast'!$G47,'History and Forecast'!AP$6))</f>
        <v>#N/A</v>
      </c>
      <c r="AQ47" s="17" t="e">
        <f>IF(AQ$9,INDEX('Annual Real'!$1:$1048576,'History and Forecast'!AQ$7,'History and Forecast'!$H47),INDEX('Forecast Prices'!$1:$1048576,'History and Forecast'!$G47,'History and Forecast'!AQ$6))</f>
        <v>#N/A</v>
      </c>
      <c r="AR47" s="17" t="e">
        <f>IF(AR$9,INDEX('Annual Real'!$1:$1048576,'History and Forecast'!AR$7,'History and Forecast'!$H47),INDEX('Forecast Prices'!$1:$1048576,'History and Forecast'!$G47,'History and Forecast'!AR$6))</f>
        <v>#N/A</v>
      </c>
      <c r="AS47" s="17" t="e">
        <f>IF(AS$9,INDEX('Annual Real'!$1:$1048576,'History and Forecast'!AS$7,'History and Forecast'!$H47),INDEX('Forecast Prices'!$1:$1048576,'History and Forecast'!$G47,'History and Forecast'!AS$6))</f>
        <v>#N/A</v>
      </c>
      <c r="AT47" s="17" t="e">
        <f>IF(AT$9,INDEX('Annual Real'!$1:$1048576,'History and Forecast'!AT$7,'History and Forecast'!$H47),INDEX('Forecast Prices'!$1:$1048576,'History and Forecast'!$G47,'History and Forecast'!AT$6))</f>
        <v>#N/A</v>
      </c>
      <c r="AU47" s="17" t="e">
        <f>IF(AU$9,INDEX('Annual Real'!$1:$1048576,'History and Forecast'!AU$7,'History and Forecast'!$H47),INDEX('Forecast Prices'!$1:$1048576,'History and Forecast'!$G47,'History and Forecast'!AU$6))</f>
        <v>#N/A</v>
      </c>
      <c r="AV47" s="17" t="e">
        <f>IF(AV$9,INDEX('Annual Real'!$1:$1048576,'History and Forecast'!AV$7,'History and Forecast'!$H47),INDEX('Forecast Prices'!$1:$1048576,'History and Forecast'!$G47,'History and Forecast'!AV$6))</f>
        <v>#N/A</v>
      </c>
      <c r="AW47" s="17" t="e">
        <f>IF(AW$9,INDEX('Annual Real'!$1:$1048576,'History and Forecast'!AW$7,'History and Forecast'!$H47),INDEX('Forecast Prices'!$1:$1048576,'History and Forecast'!$G47,'History and Forecast'!AW$6))</f>
        <v>#N/A</v>
      </c>
      <c r="AX47" s="17" t="e">
        <f>IF(AX$9,INDEX('Annual Real'!$1:$1048576,'History and Forecast'!AX$7,'History and Forecast'!$H47),INDEX('Forecast Prices'!$1:$1048576,'History and Forecast'!$G47,'History and Forecast'!AX$6))</f>
        <v>#N/A</v>
      </c>
      <c r="AY47" s="17" t="e">
        <f>IF(AY$9,INDEX('Annual Real'!$1:$1048576,'History and Forecast'!AY$7,'History and Forecast'!$H47),INDEX('Forecast Prices'!$1:$1048576,'History and Forecast'!$G47,'History and Forecast'!AY$6))</f>
        <v>#N/A</v>
      </c>
      <c r="AZ47" s="17" t="e">
        <f>IF(AZ$9,INDEX('Annual Real'!$1:$1048576,'History and Forecast'!AZ$7,'History and Forecast'!$H47),INDEX('Forecast Prices'!$1:$1048576,'History and Forecast'!$G47,'History and Forecast'!AZ$6))</f>
        <v>#N/A</v>
      </c>
      <c r="BA47" s="17" t="e">
        <f>IF(BA$9,INDEX('Annual Real'!$1:$1048576,'History and Forecast'!BA$7,'History and Forecast'!$H47),INDEX('Forecast Prices'!$1:$1048576,'History and Forecast'!$G47,'History and Forecast'!BA$6))</f>
        <v>#N/A</v>
      </c>
      <c r="BB47" s="17" t="e">
        <f>IF(BB$9,INDEX('Annual Real'!$1:$1048576,'History and Forecast'!BB$7,'History and Forecast'!$H47),INDEX('Forecast Prices'!$1:$1048576,'History and Forecast'!$G47,'History and Forecast'!BB$6))</f>
        <v>#N/A</v>
      </c>
      <c r="BC47" s="17" t="e">
        <f>IF(BC$9,INDEX('Annual Real'!$1:$1048576,'History and Forecast'!BC$7,'History and Forecast'!$H47),INDEX('Forecast Prices'!$1:$1048576,'History and Forecast'!$G47,'History and Forecast'!BC$6))</f>
        <v>#N/A</v>
      </c>
      <c r="BD47" s="17" t="e">
        <f>IF(BD$9,INDEX('Annual Real'!$1:$1048576,'History and Forecast'!BD$7,'History and Forecast'!$H47),INDEX('Forecast Prices'!$1:$1048576,'History and Forecast'!$G47,'History and Forecast'!BD$6))</f>
        <v>#N/A</v>
      </c>
      <c r="BE47" s="17" t="e">
        <f>IF(BE$9,INDEX('Annual Real'!$1:$1048576,'History and Forecast'!BE$7,'History and Forecast'!$H47),INDEX('Forecast Prices'!$1:$1048576,'History and Forecast'!$G47,'History and Forecast'!BE$6))</f>
        <v>#N/A</v>
      </c>
      <c r="BF47" s="17" t="e">
        <f>IF(BF$9,INDEX('Annual Real'!$1:$1048576,'History and Forecast'!BF$7,'History and Forecast'!$H47),INDEX('Forecast Prices'!$1:$1048576,'History and Forecast'!$G47,'History and Forecast'!BF$6))</f>
        <v>#N/A</v>
      </c>
      <c r="BG47" s="17" t="e">
        <f>IF(BG$9,INDEX('Annual Real'!$1:$1048576,'History and Forecast'!BG$7,'History and Forecast'!$H47),INDEX('Forecast Prices'!$1:$1048576,'History and Forecast'!$G47,'History and Forecast'!BG$6))</f>
        <v>#N/A</v>
      </c>
      <c r="BH47" s="17" t="e">
        <f>IF(BH$9,INDEX('Annual Real'!$1:$1048576,'History and Forecast'!BH$7,'History and Forecast'!$H47),INDEX('Forecast Prices'!$1:$1048576,'History and Forecast'!$G47,'History and Forecast'!BH$6))</f>
        <v>#N/A</v>
      </c>
      <c r="BI47" s="17" t="e">
        <f>IF(BI$9,INDEX('Annual Real'!$1:$1048576,'History and Forecast'!BI$7,'History and Forecast'!$H47),INDEX('Forecast Prices'!$1:$1048576,'History and Forecast'!$G47,'History and Forecast'!BI$6))</f>
        <v>#N/A</v>
      </c>
      <c r="BJ47" s="17" t="e">
        <f>IF(BJ$9,INDEX('Annual Real'!$1:$1048576,'History and Forecast'!BJ$7,'History and Forecast'!$H47),INDEX('Forecast Prices'!$1:$1048576,'History and Forecast'!$G47,'History and Forecast'!BJ$6))</f>
        <v>#N/A</v>
      </c>
      <c r="BK47" s="17" t="e">
        <f>IF(BK$9,INDEX('Annual Real'!$1:$1048576,'History and Forecast'!BK$7,'History and Forecast'!$H47),INDEX('Forecast Prices'!$1:$1048576,'History and Forecast'!$G47,'History and Forecast'!BK$6))</f>
        <v>#N/A</v>
      </c>
      <c r="BL47" s="17" t="e">
        <f>IF(BL$9,INDEX('Annual Real'!$1:$1048576,'History and Forecast'!BL$7,'History and Forecast'!$H47),INDEX('Forecast Prices'!$1:$1048576,'History and Forecast'!$G47,'History and Forecast'!BL$6))</f>
        <v>#N/A</v>
      </c>
      <c r="BM47" s="17" t="e">
        <f>IF(BM$9,INDEX('Annual Real'!$1:$1048576,'History and Forecast'!BM$7,'History and Forecast'!$H47),INDEX('Forecast Prices'!$1:$1048576,'History and Forecast'!$G47,'History and Forecast'!BM$6))</f>
        <v>#N/A</v>
      </c>
      <c r="BN47" s="17" t="e">
        <f>IF(BN$9,INDEX('Annual Real'!$1:$1048576,'History and Forecast'!BN$7,'History and Forecast'!$H47),INDEX('Forecast Prices'!$1:$1048576,'History and Forecast'!$G47,'History and Forecast'!BN$6))</f>
        <v>#N/A</v>
      </c>
      <c r="BO47" s="17">
        <f>IF(BO$9,INDEX('Annual Real'!$1:$1048576,'History and Forecast'!BO$7,'History and Forecast'!$H47),INDEX('Forecast Prices'!$1:$1048576,'History and Forecast'!$G47,'History and Forecast'!BO$6))</f>
        <v>5176.8350182553404</v>
      </c>
      <c r="BP47" s="17">
        <f>IF(BP$9,INDEX('Annual Real'!$1:$1048576,'History and Forecast'!BP$7,'History and Forecast'!$H47),INDEX('Forecast Prices'!$1:$1048576,'History and Forecast'!$G47,'History and Forecast'!BP$6))</f>
        <v>6342.1193782074997</v>
      </c>
      <c r="BQ47" s="17">
        <f>IF(BQ$9,INDEX('Annual Real'!$1:$1048576,'History and Forecast'!BQ$7,'History and Forecast'!$H47),INDEX('Forecast Prices'!$1:$1048576,'History and Forecast'!$G47,'History and Forecast'!BQ$6))</f>
        <v>6410.66856916088</v>
      </c>
      <c r="BR47" s="17">
        <f>IF(BR$9,INDEX('Annual Real'!$1:$1048576,'History and Forecast'!BR$7,'History and Forecast'!$H47),INDEX('Forecast Prices'!$1:$1048576,'History and Forecast'!$G47,'History and Forecast'!BR$6))</f>
        <v>6247.6514889274904</v>
      </c>
      <c r="BS47" s="17">
        <f>IF(BS$9,INDEX('Annual Real'!$1:$1048576,'History and Forecast'!BS$7,'History and Forecast'!$H47),INDEX('Forecast Prices'!$1:$1048576,'History and Forecast'!$G47,'History and Forecast'!BS$6))</f>
        <v>6323.0178335967803</v>
      </c>
      <c r="BT47" s="17">
        <f>IF(BT$9,INDEX('Annual Real'!$1:$1048576,'History and Forecast'!BT$7,'History and Forecast'!$H47),INDEX('Forecast Prices'!$1:$1048576,'History and Forecast'!$G47,'History and Forecast'!BT$6))</f>
        <v>6247.9714767044197</v>
      </c>
      <c r="BU47" s="17">
        <f>IF(BU$9,INDEX('Annual Real'!$1:$1048576,'History and Forecast'!BU$7,'History and Forecast'!$H47),INDEX('Forecast Prices'!$1:$1048576,'History and Forecast'!$G47,'History and Forecast'!BU$6))</f>
        <v>6168.8667342121098</v>
      </c>
      <c r="BV47" s="17">
        <f>IF(BV$9,INDEX('Annual Real'!$1:$1048576,'History and Forecast'!BV$7,'History and Forecast'!$H47),INDEX('Forecast Prices'!$1:$1048576,'History and Forecast'!$G47,'History and Forecast'!BV$6))</f>
        <v>6091.3010639908398</v>
      </c>
      <c r="BW47" s="17">
        <f>IF(BW$9,INDEX('Annual Real'!$1:$1048576,'History and Forecast'!BW$7,'History and Forecast'!$H47),INDEX('Forecast Prices'!$1:$1048576,'History and Forecast'!$G47,'History and Forecast'!BW$6))</f>
        <v>6014.7086890349301</v>
      </c>
      <c r="BX47" s="17">
        <f>IF(BX$9,INDEX('Annual Real'!$1:$1048576,'History and Forecast'!BX$7,'History and Forecast'!$H47),INDEX('Forecast Prices'!$1:$1048576,'History and Forecast'!$G47,'History and Forecast'!BX$6))</f>
        <v>5938.7368616898302</v>
      </c>
      <c r="BY47" s="17" t="e">
        <f>IF(BY$9,INDEX('Annual Real'!$1:$1048576,'History and Forecast'!BY$7,'History and Forecast'!$H47),INDEX('Forecast Prices'!$1:$1048576,'History and Forecast'!$G47,'History and Forecast'!BY$6))</f>
        <v>#N/A</v>
      </c>
      <c r="BZ47" s="17" t="e">
        <f>IF(BZ$9,INDEX('Annual Real'!$1:$1048576,'History and Forecast'!BZ$7,'History and Forecast'!$H47),INDEX('Forecast Prices'!$1:$1048576,'History and Forecast'!$G47,'History and Forecast'!BZ$6))</f>
        <v>#N/A</v>
      </c>
      <c r="CA47" s="17" t="e">
        <f>IF(CA$9,INDEX('Annual Real'!$1:$1048576,'History and Forecast'!CA$7,'History and Forecast'!$H47),INDEX('Forecast Prices'!$1:$1048576,'History and Forecast'!$G47,'History and Forecast'!CA$6))</f>
        <v>#N/A</v>
      </c>
      <c r="CB47" s="17" t="e">
        <f>IF(CB$9,INDEX('Annual Real'!$1:$1048576,'History and Forecast'!CB$7,'History and Forecast'!$H47),INDEX('Forecast Prices'!$1:$1048576,'History and Forecast'!$G47,'History and Forecast'!CB$6))</f>
        <v>#N/A</v>
      </c>
      <c r="CC47" s="17">
        <f>IF(CC$9,INDEX('Annual Real'!$1:$1048576,'History and Forecast'!CC$7,'History and Forecast'!$H47),INDEX('Forecast Prices'!$1:$1048576,'History and Forecast'!$G47,'History and Forecast'!CC$6))</f>
        <v>5564.5183483951596</v>
      </c>
      <c r="CD47" s="17" t="e">
        <f>IF(CD$9,INDEX('Annual Real'!$1:$1048576,'History and Forecast'!CD$7,'History and Forecast'!$H47),INDEX('Forecast Prices'!$1:$1048576,'History and Forecast'!$G47,'History and Forecast'!CD$6))</f>
        <v>#N/A</v>
      </c>
      <c r="CE47" s="17" t="e">
        <f>IF(CE$9,INDEX('Annual Real'!$1:$1048576,'History and Forecast'!CE$7,'History and Forecast'!$H47),INDEX('Forecast Prices'!$1:$1048576,'History and Forecast'!$G47,'History and Forecast'!CE$6))</f>
        <v>#N/A</v>
      </c>
      <c r="CF47" s="17" t="e">
        <f>IF(CF$9,INDEX('Annual Real'!$1:$1048576,'History and Forecast'!CF$7,'History and Forecast'!$H47),INDEX('Forecast Prices'!$1:$1048576,'History and Forecast'!$G47,'History and Forecast'!CF$6))</f>
        <v>#N/A</v>
      </c>
      <c r="CG47" s="17" t="e">
        <f>IF(CG$9,INDEX('Annual Real'!$1:$1048576,'History and Forecast'!CG$7,'History and Forecast'!$H47),INDEX('Forecast Prices'!$1:$1048576,'History and Forecast'!$G47,'History and Forecast'!CG$6))</f>
        <v>#N/A</v>
      </c>
      <c r="CH47" s="17" t="e">
        <f>IF(CH$9,INDEX('Annual Real'!$1:$1048576,'History and Forecast'!CH$7,'History and Forecast'!$H47),INDEX('Forecast Prices'!$1:$1048576,'History and Forecast'!$G47,'History and Forecast'!CH$6))</f>
        <v>#N/A</v>
      </c>
      <c r="CI47" s="17" t="e">
        <f>IF(CI$9,INDEX('Annual Real'!$1:$1048576,'History and Forecast'!CI$7,'History and Forecast'!$H47),INDEX('Forecast Prices'!$1:$1048576,'History and Forecast'!$G47,'History and Forecast'!CI$6))</f>
        <v>#N/A</v>
      </c>
    </row>
    <row r="48" spans="2:87">
      <c r="B48" t="str">
        <f t="shared" si="7"/>
        <v>IRON_ORE</v>
      </c>
      <c r="C48" s="34" t="s">
        <v>1105</v>
      </c>
      <c r="D48" t="str">
        <f t="shared" si="5"/>
        <v>KIRON_ORE</v>
      </c>
      <c r="E48" s="34" t="str">
        <f t="shared" si="6"/>
        <v>KFIRON_ORE</v>
      </c>
      <c r="F48">
        <f>MATCH(C48,'Forecast Prices'!A:A,0)</f>
        <v>63</v>
      </c>
      <c r="G48">
        <f>MATCH(E48,'Forecast Prices'!A:A,0)</f>
        <v>145</v>
      </c>
      <c r="H48" t="e">
        <f>MATCH(D48,'Annual Real'!$9:$9,0)</f>
        <v>#N/A</v>
      </c>
      <c r="I48" t="str">
        <f>INDEX('Forecast Prices'!B:B,'History and Forecast'!F48)&amp;INDEX('Forecast Prices'!C:C,'History and Forecast'!F48)&amp;INDEX('Forecast Prices'!D:D,'History and Forecast'!F48)&amp;INDEX('Forecast Prices'!E:E,'History and Forecast'!F48)</f>
        <v>Iron ore</v>
      </c>
      <c r="J48" t="str">
        <f>INDEX('Forecast Prices'!H:H,'History and Forecast'!F48)</f>
        <v>$/dmt</v>
      </c>
      <c r="K48" s="17" t="e">
        <f>IF(K$9,INDEX('Annual Real'!$1:$1048576,'History and Forecast'!K$7,'History and Forecast'!$H48),INDEX('Forecast Prices'!$1:$1048576,'History and Forecast'!$G48,'History and Forecast'!K$6))</f>
        <v>#N/A</v>
      </c>
      <c r="L48" s="17" t="e">
        <f>IF(L$9,INDEX('Annual Real'!$1:$1048576,'History and Forecast'!L$7,'History and Forecast'!$H48),INDEX('Forecast Prices'!$1:$1048576,'History and Forecast'!$G48,'History and Forecast'!L$6))</f>
        <v>#N/A</v>
      </c>
      <c r="M48" s="17" t="e">
        <f>IF(M$9,INDEX('Annual Real'!$1:$1048576,'History and Forecast'!M$7,'History and Forecast'!$H48),INDEX('Forecast Prices'!$1:$1048576,'History and Forecast'!$G48,'History and Forecast'!M$6))</f>
        <v>#N/A</v>
      </c>
      <c r="N48" s="17" t="e">
        <f>IF(N$9,INDEX('Annual Real'!$1:$1048576,'History and Forecast'!N$7,'History and Forecast'!$H48),INDEX('Forecast Prices'!$1:$1048576,'History and Forecast'!$G48,'History and Forecast'!N$6))</f>
        <v>#N/A</v>
      </c>
      <c r="O48" s="17" t="e">
        <f>IF(O$9,INDEX('Annual Real'!$1:$1048576,'History and Forecast'!O$7,'History and Forecast'!$H48),INDEX('Forecast Prices'!$1:$1048576,'History and Forecast'!$G48,'History and Forecast'!O$6))</f>
        <v>#N/A</v>
      </c>
      <c r="P48" s="17" t="e">
        <f>IF(P$9,INDEX('Annual Real'!$1:$1048576,'History and Forecast'!P$7,'History and Forecast'!$H48),INDEX('Forecast Prices'!$1:$1048576,'History and Forecast'!$G48,'History and Forecast'!P$6))</f>
        <v>#N/A</v>
      </c>
      <c r="Q48" s="17" t="e">
        <f>IF(Q$9,INDEX('Annual Real'!$1:$1048576,'History and Forecast'!Q$7,'History and Forecast'!$H48),INDEX('Forecast Prices'!$1:$1048576,'History and Forecast'!$G48,'History and Forecast'!Q$6))</f>
        <v>#N/A</v>
      </c>
      <c r="R48" s="17" t="e">
        <f>IF(R$9,INDEX('Annual Real'!$1:$1048576,'History and Forecast'!R$7,'History and Forecast'!$H48),INDEX('Forecast Prices'!$1:$1048576,'History and Forecast'!$G48,'History and Forecast'!R$6))</f>
        <v>#N/A</v>
      </c>
      <c r="S48" s="17" t="e">
        <f>IF(S$9,INDEX('Annual Real'!$1:$1048576,'History and Forecast'!S$7,'History and Forecast'!$H48),INDEX('Forecast Prices'!$1:$1048576,'History and Forecast'!$G48,'History and Forecast'!S$6))</f>
        <v>#N/A</v>
      </c>
      <c r="T48" s="17" t="e">
        <f>IF(T$9,INDEX('Annual Real'!$1:$1048576,'History and Forecast'!T$7,'History and Forecast'!$H48),INDEX('Forecast Prices'!$1:$1048576,'History and Forecast'!$G48,'History and Forecast'!T$6))</f>
        <v>#N/A</v>
      </c>
      <c r="U48" s="17" t="e">
        <f>IF(U$9,INDEX('Annual Real'!$1:$1048576,'History and Forecast'!U$7,'History and Forecast'!$H48),INDEX('Forecast Prices'!$1:$1048576,'History and Forecast'!$G48,'History and Forecast'!U$6))</f>
        <v>#N/A</v>
      </c>
      <c r="V48" s="17" t="e">
        <f>IF(V$9,INDEX('Annual Real'!$1:$1048576,'History and Forecast'!V$7,'History and Forecast'!$H48),INDEX('Forecast Prices'!$1:$1048576,'History and Forecast'!$G48,'History and Forecast'!V$6))</f>
        <v>#N/A</v>
      </c>
      <c r="W48" s="17" t="e">
        <f>IF(W$9,INDEX('Annual Real'!$1:$1048576,'History and Forecast'!W$7,'History and Forecast'!$H48),INDEX('Forecast Prices'!$1:$1048576,'History and Forecast'!$G48,'History and Forecast'!W$6))</f>
        <v>#N/A</v>
      </c>
      <c r="X48" s="17" t="e">
        <f>IF(X$9,INDEX('Annual Real'!$1:$1048576,'History and Forecast'!X$7,'History and Forecast'!$H48),INDEX('Forecast Prices'!$1:$1048576,'History and Forecast'!$G48,'History and Forecast'!X$6))</f>
        <v>#N/A</v>
      </c>
      <c r="Y48" s="17" t="e">
        <f>IF(Y$9,INDEX('Annual Real'!$1:$1048576,'History and Forecast'!Y$7,'History and Forecast'!$H48),INDEX('Forecast Prices'!$1:$1048576,'History and Forecast'!$G48,'History and Forecast'!Y$6))</f>
        <v>#N/A</v>
      </c>
      <c r="Z48" s="17" t="e">
        <f>IF(Z$9,INDEX('Annual Real'!$1:$1048576,'History and Forecast'!Z$7,'History and Forecast'!$H48),INDEX('Forecast Prices'!$1:$1048576,'History and Forecast'!$G48,'History and Forecast'!Z$6))</f>
        <v>#N/A</v>
      </c>
      <c r="AA48" s="17" t="e">
        <f>IF(AA$9,INDEX('Annual Real'!$1:$1048576,'History and Forecast'!AA$7,'History and Forecast'!$H48),INDEX('Forecast Prices'!$1:$1048576,'History and Forecast'!$G48,'History and Forecast'!AA$6))</f>
        <v>#N/A</v>
      </c>
      <c r="AB48" s="17" t="e">
        <f>IF(AB$9,INDEX('Annual Real'!$1:$1048576,'History and Forecast'!AB$7,'History and Forecast'!$H48),INDEX('Forecast Prices'!$1:$1048576,'History and Forecast'!$G48,'History and Forecast'!AB$6))</f>
        <v>#N/A</v>
      </c>
      <c r="AC48" s="17" t="e">
        <f>IF(AC$9,INDEX('Annual Real'!$1:$1048576,'History and Forecast'!AC$7,'History and Forecast'!$H48),INDEX('Forecast Prices'!$1:$1048576,'History and Forecast'!$G48,'History and Forecast'!AC$6))</f>
        <v>#N/A</v>
      </c>
      <c r="AD48" s="17" t="e">
        <f>IF(AD$9,INDEX('Annual Real'!$1:$1048576,'History and Forecast'!AD$7,'History and Forecast'!$H48),INDEX('Forecast Prices'!$1:$1048576,'History and Forecast'!$G48,'History and Forecast'!AD$6))</f>
        <v>#N/A</v>
      </c>
      <c r="AE48" s="17" t="e">
        <f>IF(AE$9,INDEX('Annual Real'!$1:$1048576,'History and Forecast'!AE$7,'History and Forecast'!$H48),INDEX('Forecast Prices'!$1:$1048576,'History and Forecast'!$G48,'History and Forecast'!AE$6))</f>
        <v>#N/A</v>
      </c>
      <c r="AF48" s="17" t="e">
        <f>IF(AF$9,INDEX('Annual Real'!$1:$1048576,'History and Forecast'!AF$7,'History and Forecast'!$H48),INDEX('Forecast Prices'!$1:$1048576,'History and Forecast'!$G48,'History and Forecast'!AF$6))</f>
        <v>#N/A</v>
      </c>
      <c r="AG48" s="17" t="e">
        <f>IF(AG$9,INDEX('Annual Real'!$1:$1048576,'History and Forecast'!AG$7,'History and Forecast'!$H48),INDEX('Forecast Prices'!$1:$1048576,'History and Forecast'!$G48,'History and Forecast'!AG$6))</f>
        <v>#N/A</v>
      </c>
      <c r="AH48" s="17" t="e">
        <f>IF(AH$9,INDEX('Annual Real'!$1:$1048576,'History and Forecast'!AH$7,'History and Forecast'!$H48),INDEX('Forecast Prices'!$1:$1048576,'History and Forecast'!$G48,'History and Forecast'!AH$6))</f>
        <v>#N/A</v>
      </c>
      <c r="AI48" s="17" t="e">
        <f>IF(AI$9,INDEX('Annual Real'!$1:$1048576,'History and Forecast'!AI$7,'History and Forecast'!$H48),INDEX('Forecast Prices'!$1:$1048576,'History and Forecast'!$G48,'History and Forecast'!AI$6))</f>
        <v>#N/A</v>
      </c>
      <c r="AJ48" s="17" t="e">
        <f>IF(AJ$9,INDEX('Annual Real'!$1:$1048576,'History and Forecast'!AJ$7,'History and Forecast'!$H48),INDEX('Forecast Prices'!$1:$1048576,'History and Forecast'!$G48,'History and Forecast'!AJ$6))</f>
        <v>#N/A</v>
      </c>
      <c r="AK48" s="17" t="e">
        <f>IF(AK$9,INDEX('Annual Real'!$1:$1048576,'History and Forecast'!AK$7,'History and Forecast'!$H48),INDEX('Forecast Prices'!$1:$1048576,'History and Forecast'!$G48,'History and Forecast'!AK$6))</f>
        <v>#N/A</v>
      </c>
      <c r="AL48" s="17" t="e">
        <f>IF(AL$9,INDEX('Annual Real'!$1:$1048576,'History and Forecast'!AL$7,'History and Forecast'!$H48),INDEX('Forecast Prices'!$1:$1048576,'History and Forecast'!$G48,'History and Forecast'!AL$6))</f>
        <v>#N/A</v>
      </c>
      <c r="AM48" s="17" t="e">
        <f>IF(AM$9,INDEX('Annual Real'!$1:$1048576,'History and Forecast'!AM$7,'History and Forecast'!$H48),INDEX('Forecast Prices'!$1:$1048576,'History and Forecast'!$G48,'History and Forecast'!AM$6))</f>
        <v>#N/A</v>
      </c>
      <c r="AN48" s="17" t="e">
        <f>IF(AN$9,INDEX('Annual Real'!$1:$1048576,'History and Forecast'!AN$7,'History and Forecast'!$H48),INDEX('Forecast Prices'!$1:$1048576,'History and Forecast'!$G48,'History and Forecast'!AN$6))</f>
        <v>#N/A</v>
      </c>
      <c r="AO48" s="17" t="e">
        <f>IF(AO$9,INDEX('Annual Real'!$1:$1048576,'History and Forecast'!AO$7,'History and Forecast'!$H48),INDEX('Forecast Prices'!$1:$1048576,'History and Forecast'!$G48,'History and Forecast'!AO$6))</f>
        <v>#N/A</v>
      </c>
      <c r="AP48" s="17" t="e">
        <f>IF(AP$9,INDEX('Annual Real'!$1:$1048576,'History and Forecast'!AP$7,'History and Forecast'!$H48),INDEX('Forecast Prices'!$1:$1048576,'History and Forecast'!$G48,'History and Forecast'!AP$6))</f>
        <v>#N/A</v>
      </c>
      <c r="AQ48" s="17" t="e">
        <f>IF(AQ$9,INDEX('Annual Real'!$1:$1048576,'History and Forecast'!AQ$7,'History and Forecast'!$H48),INDEX('Forecast Prices'!$1:$1048576,'History and Forecast'!$G48,'History and Forecast'!AQ$6))</f>
        <v>#N/A</v>
      </c>
      <c r="AR48" s="17" t="e">
        <f>IF(AR$9,INDEX('Annual Real'!$1:$1048576,'History and Forecast'!AR$7,'History and Forecast'!$H48),INDEX('Forecast Prices'!$1:$1048576,'History and Forecast'!$G48,'History and Forecast'!AR$6))</f>
        <v>#N/A</v>
      </c>
      <c r="AS48" s="17" t="e">
        <f>IF(AS$9,INDEX('Annual Real'!$1:$1048576,'History and Forecast'!AS$7,'History and Forecast'!$H48),INDEX('Forecast Prices'!$1:$1048576,'History and Forecast'!$G48,'History and Forecast'!AS$6))</f>
        <v>#N/A</v>
      </c>
      <c r="AT48" s="17" t="e">
        <f>IF(AT$9,INDEX('Annual Real'!$1:$1048576,'History and Forecast'!AT$7,'History and Forecast'!$H48),INDEX('Forecast Prices'!$1:$1048576,'History and Forecast'!$G48,'History and Forecast'!AT$6))</f>
        <v>#N/A</v>
      </c>
      <c r="AU48" s="17" t="e">
        <f>IF(AU$9,INDEX('Annual Real'!$1:$1048576,'History and Forecast'!AU$7,'History and Forecast'!$H48),INDEX('Forecast Prices'!$1:$1048576,'History and Forecast'!$G48,'History and Forecast'!AU$6))</f>
        <v>#N/A</v>
      </c>
      <c r="AV48" s="17" t="e">
        <f>IF(AV$9,INDEX('Annual Real'!$1:$1048576,'History and Forecast'!AV$7,'History and Forecast'!$H48),INDEX('Forecast Prices'!$1:$1048576,'History and Forecast'!$G48,'History and Forecast'!AV$6))</f>
        <v>#N/A</v>
      </c>
      <c r="AW48" s="17" t="e">
        <f>IF(AW$9,INDEX('Annual Real'!$1:$1048576,'History and Forecast'!AW$7,'History and Forecast'!$H48),INDEX('Forecast Prices'!$1:$1048576,'History and Forecast'!$G48,'History and Forecast'!AW$6))</f>
        <v>#N/A</v>
      </c>
      <c r="AX48" s="17" t="e">
        <f>IF(AX$9,INDEX('Annual Real'!$1:$1048576,'History and Forecast'!AX$7,'History and Forecast'!$H48),INDEX('Forecast Prices'!$1:$1048576,'History and Forecast'!$G48,'History and Forecast'!AX$6))</f>
        <v>#N/A</v>
      </c>
      <c r="AY48" s="17" t="e">
        <f>IF(AY$9,INDEX('Annual Real'!$1:$1048576,'History and Forecast'!AY$7,'History and Forecast'!$H48),INDEX('Forecast Prices'!$1:$1048576,'History and Forecast'!$G48,'History and Forecast'!AY$6))</f>
        <v>#N/A</v>
      </c>
      <c r="AZ48" s="17" t="e">
        <f>IF(AZ$9,INDEX('Annual Real'!$1:$1048576,'History and Forecast'!AZ$7,'History and Forecast'!$H48),INDEX('Forecast Prices'!$1:$1048576,'History and Forecast'!$G48,'History and Forecast'!AZ$6))</f>
        <v>#N/A</v>
      </c>
      <c r="BA48" s="17" t="e">
        <f>IF(BA$9,INDEX('Annual Real'!$1:$1048576,'History and Forecast'!BA$7,'History and Forecast'!$H48),INDEX('Forecast Prices'!$1:$1048576,'History and Forecast'!$G48,'History and Forecast'!BA$6))</f>
        <v>#N/A</v>
      </c>
      <c r="BB48" s="17" t="e">
        <f>IF(BB$9,INDEX('Annual Real'!$1:$1048576,'History and Forecast'!BB$7,'History and Forecast'!$H48),INDEX('Forecast Prices'!$1:$1048576,'History and Forecast'!$G48,'History and Forecast'!BB$6))</f>
        <v>#N/A</v>
      </c>
      <c r="BC48" s="17" t="e">
        <f>IF(BC$9,INDEX('Annual Real'!$1:$1048576,'History and Forecast'!BC$7,'History and Forecast'!$H48),INDEX('Forecast Prices'!$1:$1048576,'History and Forecast'!$G48,'History and Forecast'!BC$6))</f>
        <v>#N/A</v>
      </c>
      <c r="BD48" s="17" t="e">
        <f>IF(BD$9,INDEX('Annual Real'!$1:$1048576,'History and Forecast'!BD$7,'History and Forecast'!$H48),INDEX('Forecast Prices'!$1:$1048576,'History and Forecast'!$G48,'History and Forecast'!BD$6))</f>
        <v>#N/A</v>
      </c>
      <c r="BE48" s="17" t="e">
        <f>IF(BE$9,INDEX('Annual Real'!$1:$1048576,'History and Forecast'!BE$7,'History and Forecast'!$H48),INDEX('Forecast Prices'!$1:$1048576,'History and Forecast'!$G48,'History and Forecast'!BE$6))</f>
        <v>#N/A</v>
      </c>
      <c r="BF48" s="17" t="e">
        <f>IF(BF$9,INDEX('Annual Real'!$1:$1048576,'History and Forecast'!BF$7,'History and Forecast'!$H48),INDEX('Forecast Prices'!$1:$1048576,'History and Forecast'!$G48,'History and Forecast'!BF$6))</f>
        <v>#N/A</v>
      </c>
      <c r="BG48" s="17" t="e">
        <f>IF(BG$9,INDEX('Annual Real'!$1:$1048576,'History and Forecast'!BG$7,'History and Forecast'!$H48),INDEX('Forecast Prices'!$1:$1048576,'History and Forecast'!$G48,'History and Forecast'!BG$6))</f>
        <v>#N/A</v>
      </c>
      <c r="BH48" s="17" t="e">
        <f>IF(BH$9,INDEX('Annual Real'!$1:$1048576,'History and Forecast'!BH$7,'History and Forecast'!$H48),INDEX('Forecast Prices'!$1:$1048576,'History and Forecast'!$G48,'History and Forecast'!BH$6))</f>
        <v>#N/A</v>
      </c>
      <c r="BI48" s="17" t="e">
        <f>IF(BI$9,INDEX('Annual Real'!$1:$1048576,'History and Forecast'!BI$7,'History and Forecast'!$H48),INDEX('Forecast Prices'!$1:$1048576,'History and Forecast'!$G48,'History and Forecast'!BI$6))</f>
        <v>#N/A</v>
      </c>
      <c r="BJ48" s="17" t="e">
        <f>IF(BJ$9,INDEX('Annual Real'!$1:$1048576,'History and Forecast'!BJ$7,'History and Forecast'!$H48),INDEX('Forecast Prices'!$1:$1048576,'History and Forecast'!$G48,'History and Forecast'!BJ$6))</f>
        <v>#N/A</v>
      </c>
      <c r="BK48" s="17" t="e">
        <f>IF(BK$9,INDEX('Annual Real'!$1:$1048576,'History and Forecast'!BK$7,'History and Forecast'!$H48),INDEX('Forecast Prices'!$1:$1048576,'History and Forecast'!$G48,'History and Forecast'!BK$6))</f>
        <v>#N/A</v>
      </c>
      <c r="BL48" s="17" t="e">
        <f>IF(BL$9,INDEX('Annual Real'!$1:$1048576,'History and Forecast'!BL$7,'History and Forecast'!$H48),INDEX('Forecast Prices'!$1:$1048576,'History and Forecast'!$G48,'History and Forecast'!BL$6))</f>
        <v>#N/A</v>
      </c>
      <c r="BM48" s="17" t="e">
        <f>IF(BM$9,INDEX('Annual Real'!$1:$1048576,'History and Forecast'!BM$7,'History and Forecast'!$H48),INDEX('Forecast Prices'!$1:$1048576,'History and Forecast'!$G48,'History and Forecast'!BM$6))</f>
        <v>#N/A</v>
      </c>
      <c r="BN48" s="17" t="e">
        <f>IF(BN$9,INDEX('Annual Real'!$1:$1048576,'History and Forecast'!BN$7,'History and Forecast'!$H48),INDEX('Forecast Prices'!$1:$1048576,'History and Forecast'!$G48,'History and Forecast'!BN$6))</f>
        <v>#N/A</v>
      </c>
      <c r="BO48" s="17">
        <f>IF(BO$9,INDEX('Annual Real'!$1:$1048576,'History and Forecast'!BO$7,'History and Forecast'!$H48),INDEX('Forecast Prices'!$1:$1048576,'History and Forecast'!$G48,'History and Forecast'!BO$6))</f>
        <v>62.132013238238201</v>
      </c>
      <c r="BP48" s="17">
        <f>IF(BP$9,INDEX('Annual Real'!$1:$1048576,'History and Forecast'!BP$7,'History and Forecast'!$H48),INDEX('Forecast Prices'!$1:$1048576,'History and Forecast'!$G48,'History and Forecast'!BP$6))</f>
        <v>73.7625465693622</v>
      </c>
      <c r="BQ48" s="17">
        <f>IF(BQ$9,INDEX('Annual Real'!$1:$1048576,'History and Forecast'!BQ$7,'History and Forecast'!$H48),INDEX('Forecast Prices'!$1:$1048576,'History and Forecast'!$G48,'History and Forecast'!BQ$6))</f>
        <v>68.478297812073194</v>
      </c>
      <c r="BR48" s="17">
        <f>IF(BR$9,INDEX('Annual Real'!$1:$1048576,'History and Forecast'!BR$7,'History and Forecast'!$H48),INDEX('Forecast Prices'!$1:$1048576,'History and Forecast'!$G48,'History and Forecast'!BR$6))</f>
        <v>74.798539397483296</v>
      </c>
      <c r="BS48" s="17">
        <f>IF(BS$9,INDEX('Annual Real'!$1:$1048576,'History and Forecast'!BS$7,'History and Forecast'!$H48),INDEX('Forecast Prices'!$1:$1048576,'History and Forecast'!$G48,'History and Forecast'!BS$6))</f>
        <v>69.098847582719301</v>
      </c>
      <c r="BT48" s="17">
        <f>IF(BT$9,INDEX('Annual Real'!$1:$1048576,'History and Forecast'!BT$7,'History and Forecast'!$H48),INDEX('Forecast Prices'!$1:$1048576,'History and Forecast'!$G48,'History and Forecast'!BT$6))</f>
        <v>67.675394504285904</v>
      </c>
      <c r="BU48" s="17">
        <f>IF(BU$9,INDEX('Annual Real'!$1:$1048576,'History and Forecast'!BU$7,'History and Forecast'!$H48),INDEX('Forecast Prices'!$1:$1048576,'History and Forecast'!$G48,'History and Forecast'!BU$6))</f>
        <v>66.228132107314806</v>
      </c>
      <c r="BV48" s="17">
        <f>IF(BV$9,INDEX('Annual Real'!$1:$1048576,'History and Forecast'!BV$7,'History and Forecast'!$H48),INDEX('Forecast Prices'!$1:$1048576,'History and Forecast'!$G48,'History and Forecast'!BV$6))</f>
        <v>64.817539869457505</v>
      </c>
      <c r="BW48" s="17">
        <f>IF(BW$9,INDEX('Annual Real'!$1:$1048576,'History and Forecast'!BW$7,'History and Forecast'!$H48),INDEX('Forecast Prices'!$1:$1048576,'History and Forecast'!$G48,'History and Forecast'!BW$6))</f>
        <v>63.436970782769002</v>
      </c>
      <c r="BX48" s="17">
        <f>IF(BX$9,INDEX('Annual Real'!$1:$1048576,'History and Forecast'!BX$7,'History and Forecast'!$H48),INDEX('Forecast Prices'!$1:$1048576,'History and Forecast'!$G48,'History and Forecast'!BX$6))</f>
        <v>62.082226144051099</v>
      </c>
      <c r="BY48" s="17" t="e">
        <f>IF(BY$9,INDEX('Annual Real'!$1:$1048576,'History and Forecast'!BY$7,'History and Forecast'!$H48),INDEX('Forecast Prices'!$1:$1048576,'History and Forecast'!$G48,'History and Forecast'!BY$6))</f>
        <v>#N/A</v>
      </c>
      <c r="BZ48" s="17" t="e">
        <f>IF(BZ$9,INDEX('Annual Real'!$1:$1048576,'History and Forecast'!BZ$7,'History and Forecast'!$H48),INDEX('Forecast Prices'!$1:$1048576,'History and Forecast'!$G48,'History and Forecast'!BZ$6))</f>
        <v>#N/A</v>
      </c>
      <c r="CA48" s="17" t="e">
        <f>IF(CA$9,INDEX('Annual Real'!$1:$1048576,'History and Forecast'!CA$7,'History and Forecast'!$H48),INDEX('Forecast Prices'!$1:$1048576,'History and Forecast'!$G48,'History and Forecast'!CA$6))</f>
        <v>#N/A</v>
      </c>
      <c r="CB48" s="17" t="e">
        <f>IF(CB$9,INDEX('Annual Real'!$1:$1048576,'History and Forecast'!CB$7,'History and Forecast'!$H48),INDEX('Forecast Prices'!$1:$1048576,'History and Forecast'!$G48,'History and Forecast'!CB$6))</f>
        <v>#N/A</v>
      </c>
      <c r="CC48" s="17">
        <f>IF(CC$9,INDEX('Annual Real'!$1:$1048576,'History and Forecast'!CC$7,'History and Forecast'!$H48),INDEX('Forecast Prices'!$1:$1048576,'History and Forecast'!$G48,'History and Forecast'!CC$6))</f>
        <v>55.645183483951598</v>
      </c>
      <c r="CD48" s="17" t="e">
        <f>IF(CD$9,INDEX('Annual Real'!$1:$1048576,'History and Forecast'!CD$7,'History and Forecast'!$H48),INDEX('Forecast Prices'!$1:$1048576,'History and Forecast'!$G48,'History and Forecast'!CD$6))</f>
        <v>#N/A</v>
      </c>
      <c r="CE48" s="17" t="e">
        <f>IF(CE$9,INDEX('Annual Real'!$1:$1048576,'History and Forecast'!CE$7,'History and Forecast'!$H48),INDEX('Forecast Prices'!$1:$1048576,'History and Forecast'!$G48,'History and Forecast'!CE$6))</f>
        <v>#N/A</v>
      </c>
      <c r="CF48" s="17" t="e">
        <f>IF(CF$9,INDEX('Annual Real'!$1:$1048576,'History and Forecast'!CF$7,'History and Forecast'!$H48),INDEX('Forecast Prices'!$1:$1048576,'History and Forecast'!$G48,'History and Forecast'!CF$6))</f>
        <v>#N/A</v>
      </c>
      <c r="CG48" s="17" t="e">
        <f>IF(CG$9,INDEX('Annual Real'!$1:$1048576,'History and Forecast'!CG$7,'History and Forecast'!$H48),INDEX('Forecast Prices'!$1:$1048576,'History and Forecast'!$G48,'History and Forecast'!CG$6))</f>
        <v>#N/A</v>
      </c>
      <c r="CH48" s="17" t="e">
        <f>IF(CH$9,INDEX('Annual Real'!$1:$1048576,'History and Forecast'!CH$7,'History and Forecast'!$H48),INDEX('Forecast Prices'!$1:$1048576,'History and Forecast'!$G48,'History and Forecast'!CH$6))</f>
        <v>#N/A</v>
      </c>
      <c r="CI48" s="17" t="e">
        <f>IF(CI$9,INDEX('Annual Real'!$1:$1048576,'History and Forecast'!CI$7,'History and Forecast'!$H48),INDEX('Forecast Prices'!$1:$1048576,'History and Forecast'!$G48,'History and Forecast'!CI$6))</f>
        <v>#N/A</v>
      </c>
    </row>
    <row r="49" spans="2:87">
      <c r="B49" t="str">
        <f t="shared" si="7"/>
        <v>LEAD</v>
      </c>
      <c r="C49" s="34" t="s">
        <v>1108</v>
      </c>
      <c r="D49" t="str">
        <f t="shared" si="5"/>
        <v>KLEAD</v>
      </c>
      <c r="E49" s="34" t="str">
        <f t="shared" si="6"/>
        <v>KFLEAD</v>
      </c>
      <c r="F49">
        <f>MATCH(C49,'Forecast Prices'!A:A,0)</f>
        <v>64</v>
      </c>
      <c r="G49">
        <f>MATCH(E49,'Forecast Prices'!A:A,0)</f>
        <v>146</v>
      </c>
      <c r="H49" t="e">
        <f>MATCH(D49,'Annual Real'!$9:$9,0)</f>
        <v>#N/A</v>
      </c>
      <c r="I49" t="str">
        <f>INDEX('Forecast Prices'!B:B,'History and Forecast'!F49)&amp;INDEX('Forecast Prices'!C:C,'History and Forecast'!F49)&amp;INDEX('Forecast Prices'!D:D,'History and Forecast'!F49)&amp;INDEX('Forecast Prices'!E:E,'History and Forecast'!F49)</f>
        <v>Lead</v>
      </c>
      <c r="J49" t="str">
        <f>INDEX('Forecast Prices'!H:H,'History and Forecast'!F49)</f>
        <v>$/mt</v>
      </c>
      <c r="K49" s="17" t="e">
        <f>IF(K$9,INDEX('Annual Real'!$1:$1048576,'History and Forecast'!K$7,'History and Forecast'!$H49),INDEX('Forecast Prices'!$1:$1048576,'History and Forecast'!$G49,'History and Forecast'!K$6))</f>
        <v>#N/A</v>
      </c>
      <c r="L49" s="17" t="e">
        <f>IF(L$9,INDEX('Annual Real'!$1:$1048576,'History and Forecast'!L$7,'History and Forecast'!$H49),INDEX('Forecast Prices'!$1:$1048576,'History and Forecast'!$G49,'History and Forecast'!L$6))</f>
        <v>#N/A</v>
      </c>
      <c r="M49" s="17" t="e">
        <f>IF(M$9,INDEX('Annual Real'!$1:$1048576,'History and Forecast'!M$7,'History and Forecast'!$H49),INDEX('Forecast Prices'!$1:$1048576,'History and Forecast'!$G49,'History and Forecast'!M$6))</f>
        <v>#N/A</v>
      </c>
      <c r="N49" s="17" t="e">
        <f>IF(N$9,INDEX('Annual Real'!$1:$1048576,'History and Forecast'!N$7,'History and Forecast'!$H49),INDEX('Forecast Prices'!$1:$1048576,'History and Forecast'!$G49,'History and Forecast'!N$6))</f>
        <v>#N/A</v>
      </c>
      <c r="O49" s="17" t="e">
        <f>IF(O$9,INDEX('Annual Real'!$1:$1048576,'History and Forecast'!O$7,'History and Forecast'!$H49),INDEX('Forecast Prices'!$1:$1048576,'History and Forecast'!$G49,'History and Forecast'!O$6))</f>
        <v>#N/A</v>
      </c>
      <c r="P49" s="17" t="e">
        <f>IF(P$9,INDEX('Annual Real'!$1:$1048576,'History and Forecast'!P$7,'History and Forecast'!$H49),INDEX('Forecast Prices'!$1:$1048576,'History and Forecast'!$G49,'History and Forecast'!P$6))</f>
        <v>#N/A</v>
      </c>
      <c r="Q49" s="17" t="e">
        <f>IF(Q$9,INDEX('Annual Real'!$1:$1048576,'History and Forecast'!Q$7,'History and Forecast'!$H49),INDEX('Forecast Prices'!$1:$1048576,'History and Forecast'!$G49,'History and Forecast'!Q$6))</f>
        <v>#N/A</v>
      </c>
      <c r="R49" s="17" t="e">
        <f>IF(R$9,INDEX('Annual Real'!$1:$1048576,'History and Forecast'!R$7,'History and Forecast'!$H49),INDEX('Forecast Prices'!$1:$1048576,'History and Forecast'!$G49,'History and Forecast'!R$6))</f>
        <v>#N/A</v>
      </c>
      <c r="S49" s="17" t="e">
        <f>IF(S$9,INDEX('Annual Real'!$1:$1048576,'History and Forecast'!S$7,'History and Forecast'!$H49),INDEX('Forecast Prices'!$1:$1048576,'History and Forecast'!$G49,'History and Forecast'!S$6))</f>
        <v>#N/A</v>
      </c>
      <c r="T49" s="17" t="e">
        <f>IF(T$9,INDEX('Annual Real'!$1:$1048576,'History and Forecast'!T$7,'History and Forecast'!$H49),INDEX('Forecast Prices'!$1:$1048576,'History and Forecast'!$G49,'History and Forecast'!T$6))</f>
        <v>#N/A</v>
      </c>
      <c r="U49" s="17" t="e">
        <f>IF(U$9,INDEX('Annual Real'!$1:$1048576,'History and Forecast'!U$7,'History and Forecast'!$H49),INDEX('Forecast Prices'!$1:$1048576,'History and Forecast'!$G49,'History and Forecast'!U$6))</f>
        <v>#N/A</v>
      </c>
      <c r="V49" s="17" t="e">
        <f>IF(V$9,INDEX('Annual Real'!$1:$1048576,'History and Forecast'!V$7,'History and Forecast'!$H49),INDEX('Forecast Prices'!$1:$1048576,'History and Forecast'!$G49,'History and Forecast'!V$6))</f>
        <v>#N/A</v>
      </c>
      <c r="W49" s="17" t="e">
        <f>IF(W$9,INDEX('Annual Real'!$1:$1048576,'History and Forecast'!W$7,'History and Forecast'!$H49),INDEX('Forecast Prices'!$1:$1048576,'History and Forecast'!$G49,'History and Forecast'!W$6))</f>
        <v>#N/A</v>
      </c>
      <c r="X49" s="17" t="e">
        <f>IF(X$9,INDEX('Annual Real'!$1:$1048576,'History and Forecast'!X$7,'History and Forecast'!$H49),INDEX('Forecast Prices'!$1:$1048576,'History and Forecast'!$G49,'History and Forecast'!X$6))</f>
        <v>#N/A</v>
      </c>
      <c r="Y49" s="17" t="e">
        <f>IF(Y$9,INDEX('Annual Real'!$1:$1048576,'History and Forecast'!Y$7,'History and Forecast'!$H49),INDEX('Forecast Prices'!$1:$1048576,'History and Forecast'!$G49,'History and Forecast'!Y$6))</f>
        <v>#N/A</v>
      </c>
      <c r="Z49" s="17" t="e">
        <f>IF(Z$9,INDEX('Annual Real'!$1:$1048576,'History and Forecast'!Z$7,'History and Forecast'!$H49),INDEX('Forecast Prices'!$1:$1048576,'History and Forecast'!$G49,'History and Forecast'!Z$6))</f>
        <v>#N/A</v>
      </c>
      <c r="AA49" s="17" t="e">
        <f>IF(AA$9,INDEX('Annual Real'!$1:$1048576,'History and Forecast'!AA$7,'History and Forecast'!$H49),INDEX('Forecast Prices'!$1:$1048576,'History and Forecast'!$G49,'History and Forecast'!AA$6))</f>
        <v>#N/A</v>
      </c>
      <c r="AB49" s="17" t="e">
        <f>IF(AB$9,INDEX('Annual Real'!$1:$1048576,'History and Forecast'!AB$7,'History and Forecast'!$H49),INDEX('Forecast Prices'!$1:$1048576,'History and Forecast'!$G49,'History and Forecast'!AB$6))</f>
        <v>#N/A</v>
      </c>
      <c r="AC49" s="17" t="e">
        <f>IF(AC$9,INDEX('Annual Real'!$1:$1048576,'History and Forecast'!AC$7,'History and Forecast'!$H49),INDEX('Forecast Prices'!$1:$1048576,'History and Forecast'!$G49,'History and Forecast'!AC$6))</f>
        <v>#N/A</v>
      </c>
      <c r="AD49" s="17" t="e">
        <f>IF(AD$9,INDEX('Annual Real'!$1:$1048576,'History and Forecast'!AD$7,'History and Forecast'!$H49),INDEX('Forecast Prices'!$1:$1048576,'History and Forecast'!$G49,'History and Forecast'!AD$6))</f>
        <v>#N/A</v>
      </c>
      <c r="AE49" s="17" t="e">
        <f>IF(AE$9,INDEX('Annual Real'!$1:$1048576,'History and Forecast'!AE$7,'History and Forecast'!$H49),INDEX('Forecast Prices'!$1:$1048576,'History and Forecast'!$G49,'History and Forecast'!AE$6))</f>
        <v>#N/A</v>
      </c>
      <c r="AF49" s="17" t="e">
        <f>IF(AF$9,INDEX('Annual Real'!$1:$1048576,'History and Forecast'!AF$7,'History and Forecast'!$H49),INDEX('Forecast Prices'!$1:$1048576,'History and Forecast'!$G49,'History and Forecast'!AF$6))</f>
        <v>#N/A</v>
      </c>
      <c r="AG49" s="17" t="e">
        <f>IF(AG$9,INDEX('Annual Real'!$1:$1048576,'History and Forecast'!AG$7,'History and Forecast'!$H49),INDEX('Forecast Prices'!$1:$1048576,'History and Forecast'!$G49,'History and Forecast'!AG$6))</f>
        <v>#N/A</v>
      </c>
      <c r="AH49" s="17" t="e">
        <f>IF(AH$9,INDEX('Annual Real'!$1:$1048576,'History and Forecast'!AH$7,'History and Forecast'!$H49),INDEX('Forecast Prices'!$1:$1048576,'History and Forecast'!$G49,'History and Forecast'!AH$6))</f>
        <v>#N/A</v>
      </c>
      <c r="AI49" s="17" t="e">
        <f>IF(AI$9,INDEX('Annual Real'!$1:$1048576,'History and Forecast'!AI$7,'History and Forecast'!$H49),INDEX('Forecast Prices'!$1:$1048576,'History and Forecast'!$G49,'History and Forecast'!AI$6))</f>
        <v>#N/A</v>
      </c>
      <c r="AJ49" s="17" t="e">
        <f>IF(AJ$9,INDEX('Annual Real'!$1:$1048576,'History and Forecast'!AJ$7,'History and Forecast'!$H49),INDEX('Forecast Prices'!$1:$1048576,'History and Forecast'!$G49,'History and Forecast'!AJ$6))</f>
        <v>#N/A</v>
      </c>
      <c r="AK49" s="17" t="e">
        <f>IF(AK$9,INDEX('Annual Real'!$1:$1048576,'History and Forecast'!AK$7,'History and Forecast'!$H49),INDEX('Forecast Prices'!$1:$1048576,'History and Forecast'!$G49,'History and Forecast'!AK$6))</f>
        <v>#N/A</v>
      </c>
      <c r="AL49" s="17" t="e">
        <f>IF(AL$9,INDEX('Annual Real'!$1:$1048576,'History and Forecast'!AL$7,'History and Forecast'!$H49),INDEX('Forecast Prices'!$1:$1048576,'History and Forecast'!$G49,'History and Forecast'!AL$6))</f>
        <v>#N/A</v>
      </c>
      <c r="AM49" s="17" t="e">
        <f>IF(AM$9,INDEX('Annual Real'!$1:$1048576,'History and Forecast'!AM$7,'History and Forecast'!$H49),INDEX('Forecast Prices'!$1:$1048576,'History and Forecast'!$G49,'History and Forecast'!AM$6))</f>
        <v>#N/A</v>
      </c>
      <c r="AN49" s="17" t="e">
        <f>IF(AN$9,INDEX('Annual Real'!$1:$1048576,'History and Forecast'!AN$7,'History and Forecast'!$H49),INDEX('Forecast Prices'!$1:$1048576,'History and Forecast'!$G49,'History and Forecast'!AN$6))</f>
        <v>#N/A</v>
      </c>
      <c r="AO49" s="17" t="e">
        <f>IF(AO$9,INDEX('Annual Real'!$1:$1048576,'History and Forecast'!AO$7,'History and Forecast'!$H49),INDEX('Forecast Prices'!$1:$1048576,'History and Forecast'!$G49,'History and Forecast'!AO$6))</f>
        <v>#N/A</v>
      </c>
      <c r="AP49" s="17" t="e">
        <f>IF(AP$9,INDEX('Annual Real'!$1:$1048576,'History and Forecast'!AP$7,'History and Forecast'!$H49),INDEX('Forecast Prices'!$1:$1048576,'History and Forecast'!$G49,'History and Forecast'!AP$6))</f>
        <v>#N/A</v>
      </c>
      <c r="AQ49" s="17" t="e">
        <f>IF(AQ$9,INDEX('Annual Real'!$1:$1048576,'History and Forecast'!AQ$7,'History and Forecast'!$H49),INDEX('Forecast Prices'!$1:$1048576,'History and Forecast'!$G49,'History and Forecast'!AQ$6))</f>
        <v>#N/A</v>
      </c>
      <c r="AR49" s="17" t="e">
        <f>IF(AR$9,INDEX('Annual Real'!$1:$1048576,'History and Forecast'!AR$7,'History and Forecast'!$H49),INDEX('Forecast Prices'!$1:$1048576,'History and Forecast'!$G49,'History and Forecast'!AR$6))</f>
        <v>#N/A</v>
      </c>
      <c r="AS49" s="17" t="e">
        <f>IF(AS$9,INDEX('Annual Real'!$1:$1048576,'History and Forecast'!AS$7,'History and Forecast'!$H49),INDEX('Forecast Prices'!$1:$1048576,'History and Forecast'!$G49,'History and Forecast'!AS$6))</f>
        <v>#N/A</v>
      </c>
      <c r="AT49" s="17" t="e">
        <f>IF(AT$9,INDEX('Annual Real'!$1:$1048576,'History and Forecast'!AT$7,'History and Forecast'!$H49),INDEX('Forecast Prices'!$1:$1048576,'History and Forecast'!$G49,'History and Forecast'!AT$6))</f>
        <v>#N/A</v>
      </c>
      <c r="AU49" s="17" t="e">
        <f>IF(AU$9,INDEX('Annual Real'!$1:$1048576,'History and Forecast'!AU$7,'History and Forecast'!$H49),INDEX('Forecast Prices'!$1:$1048576,'History and Forecast'!$G49,'History and Forecast'!AU$6))</f>
        <v>#N/A</v>
      </c>
      <c r="AV49" s="17" t="e">
        <f>IF(AV$9,INDEX('Annual Real'!$1:$1048576,'History and Forecast'!AV$7,'History and Forecast'!$H49),INDEX('Forecast Prices'!$1:$1048576,'History and Forecast'!$G49,'History and Forecast'!AV$6))</f>
        <v>#N/A</v>
      </c>
      <c r="AW49" s="17" t="e">
        <f>IF(AW$9,INDEX('Annual Real'!$1:$1048576,'History and Forecast'!AW$7,'History and Forecast'!$H49),INDEX('Forecast Prices'!$1:$1048576,'History and Forecast'!$G49,'History and Forecast'!AW$6))</f>
        <v>#N/A</v>
      </c>
      <c r="AX49" s="17" t="e">
        <f>IF(AX$9,INDEX('Annual Real'!$1:$1048576,'History and Forecast'!AX$7,'History and Forecast'!$H49),INDEX('Forecast Prices'!$1:$1048576,'History and Forecast'!$G49,'History and Forecast'!AX$6))</f>
        <v>#N/A</v>
      </c>
      <c r="AY49" s="17" t="e">
        <f>IF(AY$9,INDEX('Annual Real'!$1:$1048576,'History and Forecast'!AY$7,'History and Forecast'!$H49),INDEX('Forecast Prices'!$1:$1048576,'History and Forecast'!$G49,'History and Forecast'!AY$6))</f>
        <v>#N/A</v>
      </c>
      <c r="AZ49" s="17" t="e">
        <f>IF(AZ$9,INDEX('Annual Real'!$1:$1048576,'History and Forecast'!AZ$7,'History and Forecast'!$H49),INDEX('Forecast Prices'!$1:$1048576,'History and Forecast'!$G49,'History and Forecast'!AZ$6))</f>
        <v>#N/A</v>
      </c>
      <c r="BA49" s="17" t="e">
        <f>IF(BA$9,INDEX('Annual Real'!$1:$1048576,'History and Forecast'!BA$7,'History and Forecast'!$H49),INDEX('Forecast Prices'!$1:$1048576,'History and Forecast'!$G49,'History and Forecast'!BA$6))</f>
        <v>#N/A</v>
      </c>
      <c r="BB49" s="17" t="e">
        <f>IF(BB$9,INDEX('Annual Real'!$1:$1048576,'History and Forecast'!BB$7,'History and Forecast'!$H49),INDEX('Forecast Prices'!$1:$1048576,'History and Forecast'!$G49,'History and Forecast'!BB$6))</f>
        <v>#N/A</v>
      </c>
      <c r="BC49" s="17" t="e">
        <f>IF(BC$9,INDEX('Annual Real'!$1:$1048576,'History and Forecast'!BC$7,'History and Forecast'!$H49),INDEX('Forecast Prices'!$1:$1048576,'History and Forecast'!$G49,'History and Forecast'!BC$6))</f>
        <v>#N/A</v>
      </c>
      <c r="BD49" s="17" t="e">
        <f>IF(BD$9,INDEX('Annual Real'!$1:$1048576,'History and Forecast'!BD$7,'History and Forecast'!$H49),INDEX('Forecast Prices'!$1:$1048576,'History and Forecast'!$G49,'History and Forecast'!BD$6))</f>
        <v>#N/A</v>
      </c>
      <c r="BE49" s="17" t="e">
        <f>IF(BE$9,INDEX('Annual Real'!$1:$1048576,'History and Forecast'!BE$7,'History and Forecast'!$H49),INDEX('Forecast Prices'!$1:$1048576,'History and Forecast'!$G49,'History and Forecast'!BE$6))</f>
        <v>#N/A</v>
      </c>
      <c r="BF49" s="17" t="e">
        <f>IF(BF$9,INDEX('Annual Real'!$1:$1048576,'History and Forecast'!BF$7,'History and Forecast'!$H49),INDEX('Forecast Prices'!$1:$1048576,'History and Forecast'!$G49,'History and Forecast'!BF$6))</f>
        <v>#N/A</v>
      </c>
      <c r="BG49" s="17" t="e">
        <f>IF(BG$9,INDEX('Annual Real'!$1:$1048576,'History and Forecast'!BG$7,'History and Forecast'!$H49),INDEX('Forecast Prices'!$1:$1048576,'History and Forecast'!$G49,'History and Forecast'!BG$6))</f>
        <v>#N/A</v>
      </c>
      <c r="BH49" s="17" t="e">
        <f>IF(BH$9,INDEX('Annual Real'!$1:$1048576,'History and Forecast'!BH$7,'History and Forecast'!$H49),INDEX('Forecast Prices'!$1:$1048576,'History and Forecast'!$G49,'History and Forecast'!BH$6))</f>
        <v>#N/A</v>
      </c>
      <c r="BI49" s="17" t="e">
        <f>IF(BI$9,INDEX('Annual Real'!$1:$1048576,'History and Forecast'!BI$7,'History and Forecast'!$H49),INDEX('Forecast Prices'!$1:$1048576,'History and Forecast'!$G49,'History and Forecast'!BI$6))</f>
        <v>#N/A</v>
      </c>
      <c r="BJ49" s="17" t="e">
        <f>IF(BJ$9,INDEX('Annual Real'!$1:$1048576,'History and Forecast'!BJ$7,'History and Forecast'!$H49),INDEX('Forecast Prices'!$1:$1048576,'History and Forecast'!$G49,'History and Forecast'!BJ$6))</f>
        <v>#N/A</v>
      </c>
      <c r="BK49" s="17" t="e">
        <f>IF(BK$9,INDEX('Annual Real'!$1:$1048576,'History and Forecast'!BK$7,'History and Forecast'!$H49),INDEX('Forecast Prices'!$1:$1048576,'History and Forecast'!$G49,'History and Forecast'!BK$6))</f>
        <v>#N/A</v>
      </c>
      <c r="BL49" s="17" t="e">
        <f>IF(BL$9,INDEX('Annual Real'!$1:$1048576,'History and Forecast'!BL$7,'History and Forecast'!$H49),INDEX('Forecast Prices'!$1:$1048576,'History and Forecast'!$G49,'History and Forecast'!BL$6))</f>
        <v>#N/A</v>
      </c>
      <c r="BM49" s="17" t="e">
        <f>IF(BM$9,INDEX('Annual Real'!$1:$1048576,'History and Forecast'!BM$7,'History and Forecast'!$H49),INDEX('Forecast Prices'!$1:$1048576,'History and Forecast'!$G49,'History and Forecast'!BM$6))</f>
        <v>#N/A</v>
      </c>
      <c r="BN49" s="17" t="e">
        <f>IF(BN$9,INDEX('Annual Real'!$1:$1048576,'History and Forecast'!BN$7,'History and Forecast'!$H49),INDEX('Forecast Prices'!$1:$1048576,'History and Forecast'!$G49,'History and Forecast'!BN$6))</f>
        <v>#N/A</v>
      </c>
      <c r="BO49" s="17">
        <f>IF(BO$9,INDEX('Annual Real'!$1:$1048576,'History and Forecast'!BO$7,'History and Forecast'!$H49),INDEX('Forecast Prices'!$1:$1048576,'History and Forecast'!$G49,'History and Forecast'!BO$6))</f>
        <v>1985.1191079810301</v>
      </c>
      <c r="BP49" s="17">
        <f>IF(BP$9,INDEX('Annual Real'!$1:$1048576,'History and Forecast'!BP$7,'History and Forecast'!$H49),INDEX('Forecast Prices'!$1:$1048576,'History and Forecast'!$G49,'History and Forecast'!BP$6))</f>
        <v>2379.25842885971</v>
      </c>
      <c r="BQ49" s="17">
        <f>IF(BQ$9,INDEX('Annual Real'!$1:$1048576,'History and Forecast'!BQ$7,'History and Forecast'!$H49),INDEX('Forecast Prices'!$1:$1048576,'History and Forecast'!$G49,'History and Forecast'!BQ$6))</f>
        <v>2199.5604615274701</v>
      </c>
      <c r="BR49" s="17">
        <f>IF(BR$9,INDEX('Annual Real'!$1:$1048576,'History and Forecast'!BR$7,'History and Forecast'!$H49),INDEX('Forecast Prices'!$1:$1048576,'History and Forecast'!$G49,'History and Forecast'!BR$6))</f>
        <v>1906.0631661134701</v>
      </c>
      <c r="BS49" s="17">
        <f>IF(BS$9,INDEX('Annual Real'!$1:$1048576,'History and Forecast'!BS$7,'History and Forecast'!$H49),INDEX('Forecast Prices'!$1:$1048576,'History and Forecast'!$G49,'History and Forecast'!BS$6))</f>
        <v>1893.1191118553199</v>
      </c>
      <c r="BT49" s="17">
        <f>IF(BT$9,INDEX('Annual Real'!$1:$1048576,'History and Forecast'!BT$7,'History and Forecast'!$H49),INDEX('Forecast Prices'!$1:$1048576,'History and Forecast'!$G49,'History and Forecast'!BT$6))</f>
        <v>1871.0239364632801</v>
      </c>
      <c r="BU49" s="17">
        <f>IF(BU$9,INDEX('Annual Real'!$1:$1048576,'History and Forecast'!BU$7,'History and Forecast'!$H49),INDEX('Forecast Prices'!$1:$1048576,'History and Forecast'!$G49,'History and Forecast'!BU$6))</f>
        <v>1847.70428420179</v>
      </c>
      <c r="BV49" s="17">
        <f>IF(BV$9,INDEX('Annual Real'!$1:$1048576,'History and Forecast'!BV$7,'History and Forecast'!$H49),INDEX('Forecast Prices'!$1:$1048576,'History and Forecast'!$G49,'History and Forecast'!BV$6))</f>
        <v>1824.8363141252501</v>
      </c>
      <c r="BW49" s="17">
        <f>IF(BW$9,INDEX('Annual Real'!$1:$1048576,'History and Forecast'!BW$7,'History and Forecast'!$H49),INDEX('Forecast Prices'!$1:$1048576,'History and Forecast'!$G49,'History and Forecast'!BW$6))</f>
        <v>1802.2507700603401</v>
      </c>
      <c r="BX49" s="17">
        <f>IF(BX$9,INDEX('Annual Real'!$1:$1048576,'History and Forecast'!BX$7,'History and Forecast'!$H49),INDEX('Forecast Prices'!$1:$1048576,'History and Forecast'!$G49,'History and Forecast'!BX$6))</f>
        <v>1779.84210543376</v>
      </c>
      <c r="BY49" s="17" t="e">
        <f>IF(BY$9,INDEX('Annual Real'!$1:$1048576,'History and Forecast'!BY$7,'History and Forecast'!$H49),INDEX('Forecast Prices'!$1:$1048576,'History and Forecast'!$G49,'History and Forecast'!BY$6))</f>
        <v>#N/A</v>
      </c>
      <c r="BZ49" s="17" t="e">
        <f>IF(BZ$9,INDEX('Annual Real'!$1:$1048576,'History and Forecast'!BZ$7,'History and Forecast'!$H49),INDEX('Forecast Prices'!$1:$1048576,'History and Forecast'!$G49,'History and Forecast'!BZ$6))</f>
        <v>#N/A</v>
      </c>
      <c r="CA49" s="17" t="e">
        <f>IF(CA$9,INDEX('Annual Real'!$1:$1048576,'History and Forecast'!CA$7,'History and Forecast'!$H49),INDEX('Forecast Prices'!$1:$1048576,'History and Forecast'!$G49,'History and Forecast'!CA$6))</f>
        <v>#N/A</v>
      </c>
      <c r="CB49" s="17" t="e">
        <f>IF(CB$9,INDEX('Annual Real'!$1:$1048576,'History and Forecast'!CB$7,'History and Forecast'!$H49),INDEX('Forecast Prices'!$1:$1048576,'History and Forecast'!$G49,'History and Forecast'!CB$6))</f>
        <v>#N/A</v>
      </c>
      <c r="CC49" s="17">
        <f>IF(CC$9,INDEX('Annual Real'!$1:$1048576,'History and Forecast'!CC$7,'History and Forecast'!$H49),INDEX('Forecast Prices'!$1:$1048576,'History and Forecast'!$G49,'History and Forecast'!CC$6))</f>
        <v>1669.3555045185501</v>
      </c>
      <c r="CD49" s="17" t="e">
        <f>IF(CD$9,INDEX('Annual Real'!$1:$1048576,'History and Forecast'!CD$7,'History and Forecast'!$H49),INDEX('Forecast Prices'!$1:$1048576,'History and Forecast'!$G49,'History and Forecast'!CD$6))</f>
        <v>#N/A</v>
      </c>
      <c r="CE49" s="17" t="e">
        <f>IF(CE$9,INDEX('Annual Real'!$1:$1048576,'History and Forecast'!CE$7,'History and Forecast'!$H49),INDEX('Forecast Prices'!$1:$1048576,'History and Forecast'!$G49,'History and Forecast'!CE$6))</f>
        <v>#N/A</v>
      </c>
      <c r="CF49" s="17" t="e">
        <f>IF(CF$9,INDEX('Annual Real'!$1:$1048576,'History and Forecast'!CF$7,'History and Forecast'!$H49),INDEX('Forecast Prices'!$1:$1048576,'History and Forecast'!$G49,'History and Forecast'!CF$6))</f>
        <v>#N/A</v>
      </c>
      <c r="CG49" s="17" t="e">
        <f>IF(CG$9,INDEX('Annual Real'!$1:$1048576,'History and Forecast'!CG$7,'History and Forecast'!$H49),INDEX('Forecast Prices'!$1:$1048576,'History and Forecast'!$G49,'History and Forecast'!CG$6))</f>
        <v>#N/A</v>
      </c>
      <c r="CH49" s="17" t="e">
        <f>IF(CH$9,INDEX('Annual Real'!$1:$1048576,'History and Forecast'!CH$7,'History and Forecast'!$H49),INDEX('Forecast Prices'!$1:$1048576,'History and Forecast'!$G49,'History and Forecast'!CH$6))</f>
        <v>#N/A</v>
      </c>
      <c r="CI49" s="17" t="e">
        <f>IF(CI$9,INDEX('Annual Real'!$1:$1048576,'History and Forecast'!CI$7,'History and Forecast'!$H49),INDEX('Forecast Prices'!$1:$1048576,'History and Forecast'!$G49,'History and Forecast'!CI$6))</f>
        <v>#N/A</v>
      </c>
    </row>
    <row r="50" spans="2:87">
      <c r="B50" t="str">
        <f t="shared" si="7"/>
        <v>NICKEL</v>
      </c>
      <c r="C50" s="34" t="s">
        <v>1109</v>
      </c>
      <c r="D50" t="str">
        <f t="shared" si="5"/>
        <v>KNICKEL</v>
      </c>
      <c r="E50" s="34" t="str">
        <f t="shared" si="6"/>
        <v>KFNICKEL</v>
      </c>
      <c r="F50">
        <f>MATCH(C50,'Forecast Prices'!A:A,0)</f>
        <v>65</v>
      </c>
      <c r="G50">
        <f>MATCH(E50,'Forecast Prices'!A:A,0)</f>
        <v>147</v>
      </c>
      <c r="H50" t="e">
        <f>MATCH(D50,'Annual Real'!$9:$9,0)</f>
        <v>#N/A</v>
      </c>
      <c r="I50" t="str">
        <f>INDEX('Forecast Prices'!B:B,'History and Forecast'!F50)&amp;INDEX('Forecast Prices'!C:C,'History and Forecast'!F50)&amp;INDEX('Forecast Prices'!D:D,'History and Forecast'!F50)&amp;INDEX('Forecast Prices'!E:E,'History and Forecast'!F50)</f>
        <v>Nickel</v>
      </c>
      <c r="J50" t="str">
        <f>INDEX('Forecast Prices'!H:H,'History and Forecast'!F50)</f>
        <v>$/mt</v>
      </c>
      <c r="K50" s="17" t="e">
        <f>IF(K$9,INDEX('Annual Real'!$1:$1048576,'History and Forecast'!K$7,'History and Forecast'!$H50),INDEX('Forecast Prices'!$1:$1048576,'History and Forecast'!$G50,'History and Forecast'!K$6))</f>
        <v>#N/A</v>
      </c>
      <c r="L50" s="17" t="e">
        <f>IF(L$9,INDEX('Annual Real'!$1:$1048576,'History and Forecast'!L$7,'History and Forecast'!$H50),INDEX('Forecast Prices'!$1:$1048576,'History and Forecast'!$G50,'History and Forecast'!L$6))</f>
        <v>#N/A</v>
      </c>
      <c r="M50" s="17" t="e">
        <f>IF(M$9,INDEX('Annual Real'!$1:$1048576,'History and Forecast'!M$7,'History and Forecast'!$H50),INDEX('Forecast Prices'!$1:$1048576,'History and Forecast'!$G50,'History and Forecast'!M$6))</f>
        <v>#N/A</v>
      </c>
      <c r="N50" s="17" t="e">
        <f>IF(N$9,INDEX('Annual Real'!$1:$1048576,'History and Forecast'!N$7,'History and Forecast'!$H50),INDEX('Forecast Prices'!$1:$1048576,'History and Forecast'!$G50,'History and Forecast'!N$6))</f>
        <v>#N/A</v>
      </c>
      <c r="O50" s="17" t="e">
        <f>IF(O$9,INDEX('Annual Real'!$1:$1048576,'History and Forecast'!O$7,'History and Forecast'!$H50),INDEX('Forecast Prices'!$1:$1048576,'History and Forecast'!$G50,'History and Forecast'!O$6))</f>
        <v>#N/A</v>
      </c>
      <c r="P50" s="17" t="e">
        <f>IF(P$9,INDEX('Annual Real'!$1:$1048576,'History and Forecast'!P$7,'History and Forecast'!$H50),INDEX('Forecast Prices'!$1:$1048576,'History and Forecast'!$G50,'History and Forecast'!P$6))</f>
        <v>#N/A</v>
      </c>
      <c r="Q50" s="17" t="e">
        <f>IF(Q$9,INDEX('Annual Real'!$1:$1048576,'History and Forecast'!Q$7,'History and Forecast'!$H50),INDEX('Forecast Prices'!$1:$1048576,'History and Forecast'!$G50,'History and Forecast'!Q$6))</f>
        <v>#N/A</v>
      </c>
      <c r="R50" s="17" t="e">
        <f>IF(R$9,INDEX('Annual Real'!$1:$1048576,'History and Forecast'!R$7,'History and Forecast'!$H50),INDEX('Forecast Prices'!$1:$1048576,'History and Forecast'!$G50,'History and Forecast'!R$6))</f>
        <v>#N/A</v>
      </c>
      <c r="S50" s="17" t="e">
        <f>IF(S$9,INDEX('Annual Real'!$1:$1048576,'History and Forecast'!S$7,'History and Forecast'!$H50),INDEX('Forecast Prices'!$1:$1048576,'History and Forecast'!$G50,'History and Forecast'!S$6))</f>
        <v>#N/A</v>
      </c>
      <c r="T50" s="17" t="e">
        <f>IF(T$9,INDEX('Annual Real'!$1:$1048576,'History and Forecast'!T$7,'History and Forecast'!$H50),INDEX('Forecast Prices'!$1:$1048576,'History and Forecast'!$G50,'History and Forecast'!T$6))</f>
        <v>#N/A</v>
      </c>
      <c r="U50" s="17" t="e">
        <f>IF(U$9,INDEX('Annual Real'!$1:$1048576,'History and Forecast'!U$7,'History and Forecast'!$H50),INDEX('Forecast Prices'!$1:$1048576,'History and Forecast'!$G50,'History and Forecast'!U$6))</f>
        <v>#N/A</v>
      </c>
      <c r="V50" s="17" t="e">
        <f>IF(V$9,INDEX('Annual Real'!$1:$1048576,'History and Forecast'!V$7,'History and Forecast'!$H50),INDEX('Forecast Prices'!$1:$1048576,'History and Forecast'!$G50,'History and Forecast'!V$6))</f>
        <v>#N/A</v>
      </c>
      <c r="W50" s="17" t="e">
        <f>IF(W$9,INDEX('Annual Real'!$1:$1048576,'History and Forecast'!W$7,'History and Forecast'!$H50),INDEX('Forecast Prices'!$1:$1048576,'History and Forecast'!$G50,'History and Forecast'!W$6))</f>
        <v>#N/A</v>
      </c>
      <c r="X50" s="17" t="e">
        <f>IF(X$9,INDEX('Annual Real'!$1:$1048576,'History and Forecast'!X$7,'History and Forecast'!$H50),INDEX('Forecast Prices'!$1:$1048576,'History and Forecast'!$G50,'History and Forecast'!X$6))</f>
        <v>#N/A</v>
      </c>
      <c r="Y50" s="17" t="e">
        <f>IF(Y$9,INDEX('Annual Real'!$1:$1048576,'History and Forecast'!Y$7,'History and Forecast'!$H50),INDEX('Forecast Prices'!$1:$1048576,'History and Forecast'!$G50,'History and Forecast'!Y$6))</f>
        <v>#N/A</v>
      </c>
      <c r="Z50" s="17" t="e">
        <f>IF(Z$9,INDEX('Annual Real'!$1:$1048576,'History and Forecast'!Z$7,'History and Forecast'!$H50),INDEX('Forecast Prices'!$1:$1048576,'History and Forecast'!$G50,'History and Forecast'!Z$6))</f>
        <v>#N/A</v>
      </c>
      <c r="AA50" s="17" t="e">
        <f>IF(AA$9,INDEX('Annual Real'!$1:$1048576,'History and Forecast'!AA$7,'History and Forecast'!$H50),INDEX('Forecast Prices'!$1:$1048576,'History and Forecast'!$G50,'History and Forecast'!AA$6))</f>
        <v>#N/A</v>
      </c>
      <c r="AB50" s="17" t="e">
        <f>IF(AB$9,INDEX('Annual Real'!$1:$1048576,'History and Forecast'!AB$7,'History and Forecast'!$H50),INDEX('Forecast Prices'!$1:$1048576,'History and Forecast'!$G50,'History and Forecast'!AB$6))</f>
        <v>#N/A</v>
      </c>
      <c r="AC50" s="17" t="e">
        <f>IF(AC$9,INDEX('Annual Real'!$1:$1048576,'History and Forecast'!AC$7,'History and Forecast'!$H50),INDEX('Forecast Prices'!$1:$1048576,'History and Forecast'!$G50,'History and Forecast'!AC$6))</f>
        <v>#N/A</v>
      </c>
      <c r="AD50" s="17" t="e">
        <f>IF(AD$9,INDEX('Annual Real'!$1:$1048576,'History and Forecast'!AD$7,'History and Forecast'!$H50),INDEX('Forecast Prices'!$1:$1048576,'History and Forecast'!$G50,'History and Forecast'!AD$6))</f>
        <v>#N/A</v>
      </c>
      <c r="AE50" s="17" t="e">
        <f>IF(AE$9,INDEX('Annual Real'!$1:$1048576,'History and Forecast'!AE$7,'History and Forecast'!$H50),INDEX('Forecast Prices'!$1:$1048576,'History and Forecast'!$G50,'History and Forecast'!AE$6))</f>
        <v>#N/A</v>
      </c>
      <c r="AF50" s="17" t="e">
        <f>IF(AF$9,INDEX('Annual Real'!$1:$1048576,'History and Forecast'!AF$7,'History and Forecast'!$H50),INDEX('Forecast Prices'!$1:$1048576,'History and Forecast'!$G50,'History and Forecast'!AF$6))</f>
        <v>#N/A</v>
      </c>
      <c r="AG50" s="17" t="e">
        <f>IF(AG$9,INDEX('Annual Real'!$1:$1048576,'History and Forecast'!AG$7,'History and Forecast'!$H50),INDEX('Forecast Prices'!$1:$1048576,'History and Forecast'!$G50,'History and Forecast'!AG$6))</f>
        <v>#N/A</v>
      </c>
      <c r="AH50" s="17" t="e">
        <f>IF(AH$9,INDEX('Annual Real'!$1:$1048576,'History and Forecast'!AH$7,'History and Forecast'!$H50),INDEX('Forecast Prices'!$1:$1048576,'History and Forecast'!$G50,'History and Forecast'!AH$6))</f>
        <v>#N/A</v>
      </c>
      <c r="AI50" s="17" t="e">
        <f>IF(AI$9,INDEX('Annual Real'!$1:$1048576,'History and Forecast'!AI$7,'History and Forecast'!$H50),INDEX('Forecast Prices'!$1:$1048576,'History and Forecast'!$G50,'History and Forecast'!AI$6))</f>
        <v>#N/A</v>
      </c>
      <c r="AJ50" s="17" t="e">
        <f>IF(AJ$9,INDEX('Annual Real'!$1:$1048576,'History and Forecast'!AJ$7,'History and Forecast'!$H50),INDEX('Forecast Prices'!$1:$1048576,'History and Forecast'!$G50,'History and Forecast'!AJ$6))</f>
        <v>#N/A</v>
      </c>
      <c r="AK50" s="17" t="e">
        <f>IF(AK$9,INDEX('Annual Real'!$1:$1048576,'History and Forecast'!AK$7,'History and Forecast'!$H50),INDEX('Forecast Prices'!$1:$1048576,'History and Forecast'!$G50,'History and Forecast'!AK$6))</f>
        <v>#N/A</v>
      </c>
      <c r="AL50" s="17" t="e">
        <f>IF(AL$9,INDEX('Annual Real'!$1:$1048576,'History and Forecast'!AL$7,'History and Forecast'!$H50),INDEX('Forecast Prices'!$1:$1048576,'History and Forecast'!$G50,'History and Forecast'!AL$6))</f>
        <v>#N/A</v>
      </c>
      <c r="AM50" s="17" t="e">
        <f>IF(AM$9,INDEX('Annual Real'!$1:$1048576,'History and Forecast'!AM$7,'History and Forecast'!$H50),INDEX('Forecast Prices'!$1:$1048576,'History and Forecast'!$G50,'History and Forecast'!AM$6))</f>
        <v>#N/A</v>
      </c>
      <c r="AN50" s="17" t="e">
        <f>IF(AN$9,INDEX('Annual Real'!$1:$1048576,'History and Forecast'!AN$7,'History and Forecast'!$H50),INDEX('Forecast Prices'!$1:$1048576,'History and Forecast'!$G50,'History and Forecast'!AN$6))</f>
        <v>#N/A</v>
      </c>
      <c r="AO50" s="17" t="e">
        <f>IF(AO$9,INDEX('Annual Real'!$1:$1048576,'History and Forecast'!AO$7,'History and Forecast'!$H50),INDEX('Forecast Prices'!$1:$1048576,'History and Forecast'!$G50,'History and Forecast'!AO$6))</f>
        <v>#N/A</v>
      </c>
      <c r="AP50" s="17" t="e">
        <f>IF(AP$9,INDEX('Annual Real'!$1:$1048576,'History and Forecast'!AP$7,'History and Forecast'!$H50),INDEX('Forecast Prices'!$1:$1048576,'History and Forecast'!$G50,'History and Forecast'!AP$6))</f>
        <v>#N/A</v>
      </c>
      <c r="AQ50" s="17" t="e">
        <f>IF(AQ$9,INDEX('Annual Real'!$1:$1048576,'History and Forecast'!AQ$7,'History and Forecast'!$H50),INDEX('Forecast Prices'!$1:$1048576,'History and Forecast'!$G50,'History and Forecast'!AQ$6))</f>
        <v>#N/A</v>
      </c>
      <c r="AR50" s="17" t="e">
        <f>IF(AR$9,INDEX('Annual Real'!$1:$1048576,'History and Forecast'!AR$7,'History and Forecast'!$H50),INDEX('Forecast Prices'!$1:$1048576,'History and Forecast'!$G50,'History and Forecast'!AR$6))</f>
        <v>#N/A</v>
      </c>
      <c r="AS50" s="17" t="e">
        <f>IF(AS$9,INDEX('Annual Real'!$1:$1048576,'History and Forecast'!AS$7,'History and Forecast'!$H50),INDEX('Forecast Prices'!$1:$1048576,'History and Forecast'!$G50,'History and Forecast'!AS$6))</f>
        <v>#N/A</v>
      </c>
      <c r="AT50" s="17" t="e">
        <f>IF(AT$9,INDEX('Annual Real'!$1:$1048576,'History and Forecast'!AT$7,'History and Forecast'!$H50),INDEX('Forecast Prices'!$1:$1048576,'History and Forecast'!$G50,'History and Forecast'!AT$6))</f>
        <v>#N/A</v>
      </c>
      <c r="AU50" s="17" t="e">
        <f>IF(AU$9,INDEX('Annual Real'!$1:$1048576,'History and Forecast'!AU$7,'History and Forecast'!$H50),INDEX('Forecast Prices'!$1:$1048576,'History and Forecast'!$G50,'History and Forecast'!AU$6))</f>
        <v>#N/A</v>
      </c>
      <c r="AV50" s="17" t="e">
        <f>IF(AV$9,INDEX('Annual Real'!$1:$1048576,'History and Forecast'!AV$7,'History and Forecast'!$H50),INDEX('Forecast Prices'!$1:$1048576,'History and Forecast'!$G50,'History and Forecast'!AV$6))</f>
        <v>#N/A</v>
      </c>
      <c r="AW50" s="17" t="e">
        <f>IF(AW$9,INDEX('Annual Real'!$1:$1048576,'History and Forecast'!AW$7,'History and Forecast'!$H50),INDEX('Forecast Prices'!$1:$1048576,'History and Forecast'!$G50,'History and Forecast'!AW$6))</f>
        <v>#N/A</v>
      </c>
      <c r="AX50" s="17" t="e">
        <f>IF(AX$9,INDEX('Annual Real'!$1:$1048576,'History and Forecast'!AX$7,'History and Forecast'!$H50),INDEX('Forecast Prices'!$1:$1048576,'History and Forecast'!$G50,'History and Forecast'!AX$6))</f>
        <v>#N/A</v>
      </c>
      <c r="AY50" s="17" t="e">
        <f>IF(AY$9,INDEX('Annual Real'!$1:$1048576,'History and Forecast'!AY$7,'History and Forecast'!$H50),INDEX('Forecast Prices'!$1:$1048576,'History and Forecast'!$G50,'History and Forecast'!AY$6))</f>
        <v>#N/A</v>
      </c>
      <c r="AZ50" s="17" t="e">
        <f>IF(AZ$9,INDEX('Annual Real'!$1:$1048576,'History and Forecast'!AZ$7,'History and Forecast'!$H50),INDEX('Forecast Prices'!$1:$1048576,'History and Forecast'!$G50,'History and Forecast'!AZ$6))</f>
        <v>#N/A</v>
      </c>
      <c r="BA50" s="17" t="e">
        <f>IF(BA$9,INDEX('Annual Real'!$1:$1048576,'History and Forecast'!BA$7,'History and Forecast'!$H50),INDEX('Forecast Prices'!$1:$1048576,'History and Forecast'!$G50,'History and Forecast'!BA$6))</f>
        <v>#N/A</v>
      </c>
      <c r="BB50" s="17" t="e">
        <f>IF(BB$9,INDEX('Annual Real'!$1:$1048576,'History and Forecast'!BB$7,'History and Forecast'!$H50),INDEX('Forecast Prices'!$1:$1048576,'History and Forecast'!$G50,'History and Forecast'!BB$6))</f>
        <v>#N/A</v>
      </c>
      <c r="BC50" s="17" t="e">
        <f>IF(BC$9,INDEX('Annual Real'!$1:$1048576,'History and Forecast'!BC$7,'History and Forecast'!$H50),INDEX('Forecast Prices'!$1:$1048576,'History and Forecast'!$G50,'History and Forecast'!BC$6))</f>
        <v>#N/A</v>
      </c>
      <c r="BD50" s="17" t="e">
        <f>IF(BD$9,INDEX('Annual Real'!$1:$1048576,'History and Forecast'!BD$7,'History and Forecast'!$H50),INDEX('Forecast Prices'!$1:$1048576,'History and Forecast'!$G50,'History and Forecast'!BD$6))</f>
        <v>#N/A</v>
      </c>
      <c r="BE50" s="17" t="e">
        <f>IF(BE$9,INDEX('Annual Real'!$1:$1048576,'History and Forecast'!BE$7,'History and Forecast'!$H50),INDEX('Forecast Prices'!$1:$1048576,'History and Forecast'!$G50,'History and Forecast'!BE$6))</f>
        <v>#N/A</v>
      </c>
      <c r="BF50" s="17" t="e">
        <f>IF(BF$9,INDEX('Annual Real'!$1:$1048576,'History and Forecast'!BF$7,'History and Forecast'!$H50),INDEX('Forecast Prices'!$1:$1048576,'History and Forecast'!$G50,'History and Forecast'!BF$6))</f>
        <v>#N/A</v>
      </c>
      <c r="BG50" s="17" t="e">
        <f>IF(BG$9,INDEX('Annual Real'!$1:$1048576,'History and Forecast'!BG$7,'History and Forecast'!$H50),INDEX('Forecast Prices'!$1:$1048576,'History and Forecast'!$G50,'History and Forecast'!BG$6))</f>
        <v>#N/A</v>
      </c>
      <c r="BH50" s="17" t="e">
        <f>IF(BH$9,INDEX('Annual Real'!$1:$1048576,'History and Forecast'!BH$7,'History and Forecast'!$H50),INDEX('Forecast Prices'!$1:$1048576,'History and Forecast'!$G50,'History and Forecast'!BH$6))</f>
        <v>#N/A</v>
      </c>
      <c r="BI50" s="17" t="e">
        <f>IF(BI$9,INDEX('Annual Real'!$1:$1048576,'History and Forecast'!BI$7,'History and Forecast'!$H50),INDEX('Forecast Prices'!$1:$1048576,'History and Forecast'!$G50,'History and Forecast'!BI$6))</f>
        <v>#N/A</v>
      </c>
      <c r="BJ50" s="17" t="e">
        <f>IF(BJ$9,INDEX('Annual Real'!$1:$1048576,'History and Forecast'!BJ$7,'History and Forecast'!$H50),INDEX('Forecast Prices'!$1:$1048576,'History and Forecast'!$G50,'History and Forecast'!BJ$6))</f>
        <v>#N/A</v>
      </c>
      <c r="BK50" s="17" t="e">
        <f>IF(BK$9,INDEX('Annual Real'!$1:$1048576,'History and Forecast'!BK$7,'History and Forecast'!$H50),INDEX('Forecast Prices'!$1:$1048576,'History and Forecast'!$G50,'History and Forecast'!BK$6))</f>
        <v>#N/A</v>
      </c>
      <c r="BL50" s="17" t="e">
        <f>IF(BL$9,INDEX('Annual Real'!$1:$1048576,'History and Forecast'!BL$7,'History and Forecast'!$H50),INDEX('Forecast Prices'!$1:$1048576,'History and Forecast'!$G50,'History and Forecast'!BL$6))</f>
        <v>#N/A</v>
      </c>
      <c r="BM50" s="17" t="e">
        <f>IF(BM$9,INDEX('Annual Real'!$1:$1048576,'History and Forecast'!BM$7,'History and Forecast'!$H50),INDEX('Forecast Prices'!$1:$1048576,'History and Forecast'!$G50,'History and Forecast'!BM$6))</f>
        <v>#N/A</v>
      </c>
      <c r="BN50" s="17" t="e">
        <f>IF(BN$9,INDEX('Annual Real'!$1:$1048576,'History and Forecast'!BN$7,'History and Forecast'!$H50),INDEX('Forecast Prices'!$1:$1048576,'History and Forecast'!$G50,'History and Forecast'!BN$6))</f>
        <v>#N/A</v>
      </c>
      <c r="BO50" s="17">
        <f>IF(BO$9,INDEX('Annual Real'!$1:$1048576,'History and Forecast'!BO$7,'History and Forecast'!$H50),INDEX('Forecast Prices'!$1:$1048576,'History and Forecast'!$G50,'History and Forecast'!BO$6))</f>
        <v>10204.130123207</v>
      </c>
      <c r="BP50" s="17">
        <f>IF(BP$9,INDEX('Annual Real'!$1:$1048576,'History and Forecast'!BP$7,'History and Forecast'!$H50),INDEX('Forecast Prices'!$1:$1048576,'History and Forecast'!$G50,'History and Forecast'!BP$6))</f>
        <v>10700.128016409701</v>
      </c>
      <c r="BQ50" s="17">
        <f>IF(BQ$9,INDEX('Annual Real'!$1:$1048576,'History and Forecast'!BQ$7,'History and Forecast'!$H50),INDEX('Forecast Prices'!$1:$1048576,'History and Forecast'!$G50,'History and Forecast'!BQ$6))</f>
        <v>12874.810932222599</v>
      </c>
      <c r="BR50" s="17">
        <f>IF(BR$9,INDEX('Annual Real'!$1:$1048576,'History and Forecast'!BR$7,'History and Forecast'!$H50),INDEX('Forecast Prices'!$1:$1048576,'History and Forecast'!$G50,'History and Forecast'!BR$6))</f>
        <v>12399.0371613846</v>
      </c>
      <c r="BS50" s="17">
        <f>IF(BS$9,INDEX('Annual Real'!$1:$1048576,'History and Forecast'!BS$7,'History and Forecast'!$H50),INDEX('Forecast Prices'!$1:$1048576,'History and Forecast'!$G50,'History and Forecast'!BS$6))</f>
        <v>12967.865916209001</v>
      </c>
      <c r="BT50" s="17">
        <f>IF(BT$9,INDEX('Annual Real'!$1:$1048576,'History and Forecast'!BT$7,'History and Forecast'!$H50),INDEX('Forecast Prices'!$1:$1048576,'History and Forecast'!$G50,'History and Forecast'!BT$6))</f>
        <v>13107.086904186701</v>
      </c>
      <c r="BU50" s="17">
        <f>IF(BU$9,INDEX('Annual Real'!$1:$1048576,'History and Forecast'!BU$7,'History and Forecast'!$H50),INDEX('Forecast Prices'!$1:$1048576,'History and Forecast'!$G50,'History and Forecast'!BU$6))</f>
        <v>13237.1827614064</v>
      </c>
      <c r="BV50" s="17">
        <f>IF(BV$9,INDEX('Annual Real'!$1:$1048576,'History and Forecast'!BV$7,'History and Forecast'!$H50),INDEX('Forecast Prices'!$1:$1048576,'History and Forecast'!$G50,'History and Forecast'!BV$6))</f>
        <v>13369.749736663</v>
      </c>
      <c r="BW50" s="17">
        <f>IF(BW$9,INDEX('Annual Real'!$1:$1048576,'History and Forecast'!BW$7,'History and Forecast'!$H50),INDEX('Forecast Prices'!$1:$1048576,'History and Forecast'!$G50,'History and Forecast'!BW$6))</f>
        <v>13503.639857946901</v>
      </c>
      <c r="BX50" s="17">
        <f>IF(BX$9,INDEX('Annual Real'!$1:$1048576,'History and Forecast'!BX$7,'History and Forecast'!$H50),INDEX('Forecast Prices'!$1:$1048576,'History and Forecast'!$G50,'History and Forecast'!BX$6))</f>
        <v>13638.084203713101</v>
      </c>
      <c r="BY50" s="17" t="e">
        <f>IF(BY$9,INDEX('Annual Real'!$1:$1048576,'History and Forecast'!BY$7,'History and Forecast'!$H50),INDEX('Forecast Prices'!$1:$1048576,'History and Forecast'!$G50,'History and Forecast'!BY$6))</f>
        <v>#N/A</v>
      </c>
      <c r="BZ50" s="17" t="e">
        <f>IF(BZ$9,INDEX('Annual Real'!$1:$1048576,'History and Forecast'!BZ$7,'History and Forecast'!$H50),INDEX('Forecast Prices'!$1:$1048576,'History and Forecast'!$G50,'History and Forecast'!BZ$6))</f>
        <v>#N/A</v>
      </c>
      <c r="CA50" s="17" t="e">
        <f>IF(CA$9,INDEX('Annual Real'!$1:$1048576,'History and Forecast'!CA$7,'History and Forecast'!$H50),INDEX('Forecast Prices'!$1:$1048576,'History and Forecast'!$G50,'History and Forecast'!CA$6))</f>
        <v>#N/A</v>
      </c>
      <c r="CB50" s="17" t="e">
        <f>IF(CB$9,INDEX('Annual Real'!$1:$1048576,'History and Forecast'!CB$7,'History and Forecast'!$H50),INDEX('Forecast Prices'!$1:$1048576,'History and Forecast'!$G50,'History and Forecast'!CB$6))</f>
        <v>#N/A</v>
      </c>
      <c r="CC50" s="17">
        <f>IF(CC$9,INDEX('Annual Real'!$1:$1048576,'History and Forecast'!CC$7,'History and Forecast'!$H50),INDEX('Forecast Prices'!$1:$1048576,'History and Forecast'!$G50,'History and Forecast'!CC$6))</f>
        <v>14308.7614673018</v>
      </c>
      <c r="CD50" s="17" t="e">
        <f>IF(CD$9,INDEX('Annual Real'!$1:$1048576,'History and Forecast'!CD$7,'History and Forecast'!$H50),INDEX('Forecast Prices'!$1:$1048576,'History and Forecast'!$G50,'History and Forecast'!CD$6))</f>
        <v>#N/A</v>
      </c>
      <c r="CE50" s="17" t="e">
        <f>IF(CE$9,INDEX('Annual Real'!$1:$1048576,'History and Forecast'!CE$7,'History and Forecast'!$H50),INDEX('Forecast Prices'!$1:$1048576,'History and Forecast'!$G50,'History and Forecast'!CE$6))</f>
        <v>#N/A</v>
      </c>
      <c r="CF50" s="17" t="e">
        <f>IF(CF$9,INDEX('Annual Real'!$1:$1048576,'History and Forecast'!CF$7,'History and Forecast'!$H50),INDEX('Forecast Prices'!$1:$1048576,'History and Forecast'!$G50,'History and Forecast'!CF$6))</f>
        <v>#N/A</v>
      </c>
      <c r="CG50" s="17" t="e">
        <f>IF(CG$9,INDEX('Annual Real'!$1:$1048576,'History and Forecast'!CG$7,'History and Forecast'!$H50),INDEX('Forecast Prices'!$1:$1048576,'History and Forecast'!$G50,'History and Forecast'!CG$6))</f>
        <v>#N/A</v>
      </c>
      <c r="CH50" s="17" t="e">
        <f>IF(CH$9,INDEX('Annual Real'!$1:$1048576,'History and Forecast'!CH$7,'History and Forecast'!$H50),INDEX('Forecast Prices'!$1:$1048576,'History and Forecast'!$G50,'History and Forecast'!CH$6))</f>
        <v>#N/A</v>
      </c>
      <c r="CI50" s="17" t="e">
        <f>IF(CI$9,INDEX('Annual Real'!$1:$1048576,'History and Forecast'!CI$7,'History and Forecast'!$H50),INDEX('Forecast Prices'!$1:$1048576,'History and Forecast'!$G50,'History and Forecast'!CI$6))</f>
        <v>#N/A</v>
      </c>
    </row>
    <row r="51" spans="2:87">
      <c r="B51" t="str">
        <f t="shared" si="7"/>
        <v>TIN</v>
      </c>
      <c r="C51" s="34" t="s">
        <v>1110</v>
      </c>
      <c r="D51" t="str">
        <f t="shared" si="5"/>
        <v>KTIN</v>
      </c>
      <c r="E51" s="34" t="str">
        <f t="shared" si="6"/>
        <v>KFTIN</v>
      </c>
      <c r="F51">
        <f>MATCH(C51,'Forecast Prices'!A:A,0)</f>
        <v>66</v>
      </c>
      <c r="G51">
        <f>MATCH(E51,'Forecast Prices'!A:A,0)</f>
        <v>148</v>
      </c>
      <c r="H51" t="e">
        <f>MATCH(D51,'Annual Real'!$9:$9,0)</f>
        <v>#N/A</v>
      </c>
      <c r="I51" t="str">
        <f>INDEX('Forecast Prices'!B:B,'History and Forecast'!F51)&amp;INDEX('Forecast Prices'!C:C,'History and Forecast'!F51)&amp;INDEX('Forecast Prices'!D:D,'History and Forecast'!F51)&amp;INDEX('Forecast Prices'!E:E,'History and Forecast'!F51)</f>
        <v>Tin</v>
      </c>
      <c r="J51" t="str">
        <f>INDEX('Forecast Prices'!H:H,'History and Forecast'!F51)</f>
        <v>$/mt</v>
      </c>
      <c r="K51" s="17" t="e">
        <f>IF(K$9,INDEX('Annual Real'!$1:$1048576,'History and Forecast'!K$7,'History and Forecast'!$H51),INDEX('Forecast Prices'!$1:$1048576,'History and Forecast'!$G51,'History and Forecast'!K$6))</f>
        <v>#N/A</v>
      </c>
      <c r="L51" s="17" t="e">
        <f>IF(L$9,INDEX('Annual Real'!$1:$1048576,'History and Forecast'!L$7,'History and Forecast'!$H51),INDEX('Forecast Prices'!$1:$1048576,'History and Forecast'!$G51,'History and Forecast'!L$6))</f>
        <v>#N/A</v>
      </c>
      <c r="M51" s="17" t="e">
        <f>IF(M$9,INDEX('Annual Real'!$1:$1048576,'History and Forecast'!M$7,'History and Forecast'!$H51),INDEX('Forecast Prices'!$1:$1048576,'History and Forecast'!$G51,'History and Forecast'!M$6))</f>
        <v>#N/A</v>
      </c>
      <c r="N51" s="17" t="e">
        <f>IF(N$9,INDEX('Annual Real'!$1:$1048576,'History and Forecast'!N$7,'History and Forecast'!$H51),INDEX('Forecast Prices'!$1:$1048576,'History and Forecast'!$G51,'History and Forecast'!N$6))</f>
        <v>#N/A</v>
      </c>
      <c r="O51" s="17" t="e">
        <f>IF(O$9,INDEX('Annual Real'!$1:$1048576,'History and Forecast'!O$7,'History and Forecast'!$H51),INDEX('Forecast Prices'!$1:$1048576,'History and Forecast'!$G51,'History and Forecast'!O$6))</f>
        <v>#N/A</v>
      </c>
      <c r="P51" s="17" t="e">
        <f>IF(P$9,INDEX('Annual Real'!$1:$1048576,'History and Forecast'!P$7,'History and Forecast'!$H51),INDEX('Forecast Prices'!$1:$1048576,'History and Forecast'!$G51,'History and Forecast'!P$6))</f>
        <v>#N/A</v>
      </c>
      <c r="Q51" s="17" t="e">
        <f>IF(Q$9,INDEX('Annual Real'!$1:$1048576,'History and Forecast'!Q$7,'History and Forecast'!$H51),INDEX('Forecast Prices'!$1:$1048576,'History and Forecast'!$G51,'History and Forecast'!Q$6))</f>
        <v>#N/A</v>
      </c>
      <c r="R51" s="17" t="e">
        <f>IF(R$9,INDEX('Annual Real'!$1:$1048576,'History and Forecast'!R$7,'History and Forecast'!$H51),INDEX('Forecast Prices'!$1:$1048576,'History and Forecast'!$G51,'History and Forecast'!R$6))</f>
        <v>#N/A</v>
      </c>
      <c r="S51" s="17" t="e">
        <f>IF(S$9,INDEX('Annual Real'!$1:$1048576,'History and Forecast'!S$7,'History and Forecast'!$H51),INDEX('Forecast Prices'!$1:$1048576,'History and Forecast'!$G51,'History and Forecast'!S$6))</f>
        <v>#N/A</v>
      </c>
      <c r="T51" s="17" t="e">
        <f>IF(T$9,INDEX('Annual Real'!$1:$1048576,'History and Forecast'!T$7,'History and Forecast'!$H51),INDEX('Forecast Prices'!$1:$1048576,'History and Forecast'!$G51,'History and Forecast'!T$6))</f>
        <v>#N/A</v>
      </c>
      <c r="U51" s="17" t="e">
        <f>IF(U$9,INDEX('Annual Real'!$1:$1048576,'History and Forecast'!U$7,'History and Forecast'!$H51),INDEX('Forecast Prices'!$1:$1048576,'History and Forecast'!$G51,'History and Forecast'!U$6))</f>
        <v>#N/A</v>
      </c>
      <c r="V51" s="17" t="e">
        <f>IF(V$9,INDEX('Annual Real'!$1:$1048576,'History and Forecast'!V$7,'History and Forecast'!$H51),INDEX('Forecast Prices'!$1:$1048576,'History and Forecast'!$G51,'History and Forecast'!V$6))</f>
        <v>#N/A</v>
      </c>
      <c r="W51" s="17" t="e">
        <f>IF(W$9,INDEX('Annual Real'!$1:$1048576,'History and Forecast'!W$7,'History and Forecast'!$H51),INDEX('Forecast Prices'!$1:$1048576,'History and Forecast'!$G51,'History and Forecast'!W$6))</f>
        <v>#N/A</v>
      </c>
      <c r="X51" s="17" t="e">
        <f>IF(X$9,INDEX('Annual Real'!$1:$1048576,'History and Forecast'!X$7,'History and Forecast'!$H51),INDEX('Forecast Prices'!$1:$1048576,'History and Forecast'!$G51,'History and Forecast'!X$6))</f>
        <v>#N/A</v>
      </c>
      <c r="Y51" s="17" t="e">
        <f>IF(Y$9,INDEX('Annual Real'!$1:$1048576,'History and Forecast'!Y$7,'History and Forecast'!$H51),INDEX('Forecast Prices'!$1:$1048576,'History and Forecast'!$G51,'History and Forecast'!Y$6))</f>
        <v>#N/A</v>
      </c>
      <c r="Z51" s="17" t="e">
        <f>IF(Z$9,INDEX('Annual Real'!$1:$1048576,'History and Forecast'!Z$7,'History and Forecast'!$H51),INDEX('Forecast Prices'!$1:$1048576,'History and Forecast'!$G51,'History and Forecast'!Z$6))</f>
        <v>#N/A</v>
      </c>
      <c r="AA51" s="17" t="e">
        <f>IF(AA$9,INDEX('Annual Real'!$1:$1048576,'History and Forecast'!AA$7,'History and Forecast'!$H51),INDEX('Forecast Prices'!$1:$1048576,'History and Forecast'!$G51,'History and Forecast'!AA$6))</f>
        <v>#N/A</v>
      </c>
      <c r="AB51" s="17" t="e">
        <f>IF(AB$9,INDEX('Annual Real'!$1:$1048576,'History and Forecast'!AB$7,'History and Forecast'!$H51),INDEX('Forecast Prices'!$1:$1048576,'History and Forecast'!$G51,'History and Forecast'!AB$6))</f>
        <v>#N/A</v>
      </c>
      <c r="AC51" s="17" t="e">
        <f>IF(AC$9,INDEX('Annual Real'!$1:$1048576,'History and Forecast'!AC$7,'History and Forecast'!$H51),INDEX('Forecast Prices'!$1:$1048576,'History and Forecast'!$G51,'History and Forecast'!AC$6))</f>
        <v>#N/A</v>
      </c>
      <c r="AD51" s="17" t="e">
        <f>IF(AD$9,INDEX('Annual Real'!$1:$1048576,'History and Forecast'!AD$7,'History and Forecast'!$H51),INDEX('Forecast Prices'!$1:$1048576,'History and Forecast'!$G51,'History and Forecast'!AD$6))</f>
        <v>#N/A</v>
      </c>
      <c r="AE51" s="17" t="e">
        <f>IF(AE$9,INDEX('Annual Real'!$1:$1048576,'History and Forecast'!AE$7,'History and Forecast'!$H51),INDEX('Forecast Prices'!$1:$1048576,'History and Forecast'!$G51,'History and Forecast'!AE$6))</f>
        <v>#N/A</v>
      </c>
      <c r="AF51" s="17" t="e">
        <f>IF(AF$9,INDEX('Annual Real'!$1:$1048576,'History and Forecast'!AF$7,'History and Forecast'!$H51),INDEX('Forecast Prices'!$1:$1048576,'History and Forecast'!$G51,'History and Forecast'!AF$6))</f>
        <v>#N/A</v>
      </c>
      <c r="AG51" s="17" t="e">
        <f>IF(AG$9,INDEX('Annual Real'!$1:$1048576,'History and Forecast'!AG$7,'History and Forecast'!$H51),INDEX('Forecast Prices'!$1:$1048576,'History and Forecast'!$G51,'History and Forecast'!AG$6))</f>
        <v>#N/A</v>
      </c>
      <c r="AH51" s="17" t="e">
        <f>IF(AH$9,INDEX('Annual Real'!$1:$1048576,'History and Forecast'!AH$7,'History and Forecast'!$H51),INDEX('Forecast Prices'!$1:$1048576,'History and Forecast'!$G51,'History and Forecast'!AH$6))</f>
        <v>#N/A</v>
      </c>
      <c r="AI51" s="17" t="e">
        <f>IF(AI$9,INDEX('Annual Real'!$1:$1048576,'History and Forecast'!AI$7,'History and Forecast'!$H51),INDEX('Forecast Prices'!$1:$1048576,'History and Forecast'!$G51,'History and Forecast'!AI$6))</f>
        <v>#N/A</v>
      </c>
      <c r="AJ51" s="17" t="e">
        <f>IF(AJ$9,INDEX('Annual Real'!$1:$1048576,'History and Forecast'!AJ$7,'History and Forecast'!$H51),INDEX('Forecast Prices'!$1:$1048576,'History and Forecast'!$G51,'History and Forecast'!AJ$6))</f>
        <v>#N/A</v>
      </c>
      <c r="AK51" s="17" t="e">
        <f>IF(AK$9,INDEX('Annual Real'!$1:$1048576,'History and Forecast'!AK$7,'History and Forecast'!$H51),INDEX('Forecast Prices'!$1:$1048576,'History and Forecast'!$G51,'History and Forecast'!AK$6))</f>
        <v>#N/A</v>
      </c>
      <c r="AL51" s="17" t="e">
        <f>IF(AL$9,INDEX('Annual Real'!$1:$1048576,'History and Forecast'!AL$7,'History and Forecast'!$H51),INDEX('Forecast Prices'!$1:$1048576,'History and Forecast'!$G51,'History and Forecast'!AL$6))</f>
        <v>#N/A</v>
      </c>
      <c r="AM51" s="17" t="e">
        <f>IF(AM$9,INDEX('Annual Real'!$1:$1048576,'History and Forecast'!AM$7,'History and Forecast'!$H51),INDEX('Forecast Prices'!$1:$1048576,'History and Forecast'!$G51,'History and Forecast'!AM$6))</f>
        <v>#N/A</v>
      </c>
      <c r="AN51" s="17" t="e">
        <f>IF(AN$9,INDEX('Annual Real'!$1:$1048576,'History and Forecast'!AN$7,'History and Forecast'!$H51),INDEX('Forecast Prices'!$1:$1048576,'History and Forecast'!$G51,'History and Forecast'!AN$6))</f>
        <v>#N/A</v>
      </c>
      <c r="AO51" s="17" t="e">
        <f>IF(AO$9,INDEX('Annual Real'!$1:$1048576,'History and Forecast'!AO$7,'History and Forecast'!$H51),INDEX('Forecast Prices'!$1:$1048576,'History and Forecast'!$G51,'History and Forecast'!AO$6))</f>
        <v>#N/A</v>
      </c>
      <c r="AP51" s="17" t="e">
        <f>IF(AP$9,INDEX('Annual Real'!$1:$1048576,'History and Forecast'!AP$7,'History and Forecast'!$H51),INDEX('Forecast Prices'!$1:$1048576,'History and Forecast'!$G51,'History and Forecast'!AP$6))</f>
        <v>#N/A</v>
      </c>
      <c r="AQ51" s="17" t="e">
        <f>IF(AQ$9,INDEX('Annual Real'!$1:$1048576,'History and Forecast'!AQ$7,'History and Forecast'!$H51),INDEX('Forecast Prices'!$1:$1048576,'History and Forecast'!$G51,'History and Forecast'!AQ$6))</f>
        <v>#N/A</v>
      </c>
      <c r="AR51" s="17" t="e">
        <f>IF(AR$9,INDEX('Annual Real'!$1:$1048576,'History and Forecast'!AR$7,'History and Forecast'!$H51),INDEX('Forecast Prices'!$1:$1048576,'History and Forecast'!$G51,'History and Forecast'!AR$6))</f>
        <v>#N/A</v>
      </c>
      <c r="AS51" s="17" t="e">
        <f>IF(AS$9,INDEX('Annual Real'!$1:$1048576,'History and Forecast'!AS$7,'History and Forecast'!$H51),INDEX('Forecast Prices'!$1:$1048576,'History and Forecast'!$G51,'History and Forecast'!AS$6))</f>
        <v>#N/A</v>
      </c>
      <c r="AT51" s="17" t="e">
        <f>IF(AT$9,INDEX('Annual Real'!$1:$1048576,'History and Forecast'!AT$7,'History and Forecast'!$H51),INDEX('Forecast Prices'!$1:$1048576,'History and Forecast'!$G51,'History and Forecast'!AT$6))</f>
        <v>#N/A</v>
      </c>
      <c r="AU51" s="17" t="e">
        <f>IF(AU$9,INDEX('Annual Real'!$1:$1048576,'History and Forecast'!AU$7,'History and Forecast'!$H51),INDEX('Forecast Prices'!$1:$1048576,'History and Forecast'!$G51,'History and Forecast'!AU$6))</f>
        <v>#N/A</v>
      </c>
      <c r="AV51" s="17" t="e">
        <f>IF(AV$9,INDEX('Annual Real'!$1:$1048576,'History and Forecast'!AV$7,'History and Forecast'!$H51),INDEX('Forecast Prices'!$1:$1048576,'History and Forecast'!$G51,'History and Forecast'!AV$6))</f>
        <v>#N/A</v>
      </c>
      <c r="AW51" s="17" t="e">
        <f>IF(AW$9,INDEX('Annual Real'!$1:$1048576,'History and Forecast'!AW$7,'History and Forecast'!$H51),INDEX('Forecast Prices'!$1:$1048576,'History and Forecast'!$G51,'History and Forecast'!AW$6))</f>
        <v>#N/A</v>
      </c>
      <c r="AX51" s="17" t="e">
        <f>IF(AX$9,INDEX('Annual Real'!$1:$1048576,'History and Forecast'!AX$7,'History and Forecast'!$H51),INDEX('Forecast Prices'!$1:$1048576,'History and Forecast'!$G51,'History and Forecast'!AX$6))</f>
        <v>#N/A</v>
      </c>
      <c r="AY51" s="17" t="e">
        <f>IF(AY$9,INDEX('Annual Real'!$1:$1048576,'History and Forecast'!AY$7,'History and Forecast'!$H51),INDEX('Forecast Prices'!$1:$1048576,'History and Forecast'!$G51,'History and Forecast'!AY$6))</f>
        <v>#N/A</v>
      </c>
      <c r="AZ51" s="17" t="e">
        <f>IF(AZ$9,INDEX('Annual Real'!$1:$1048576,'History and Forecast'!AZ$7,'History and Forecast'!$H51),INDEX('Forecast Prices'!$1:$1048576,'History and Forecast'!$G51,'History and Forecast'!AZ$6))</f>
        <v>#N/A</v>
      </c>
      <c r="BA51" s="17" t="e">
        <f>IF(BA$9,INDEX('Annual Real'!$1:$1048576,'History and Forecast'!BA$7,'History and Forecast'!$H51),INDEX('Forecast Prices'!$1:$1048576,'History and Forecast'!$G51,'History and Forecast'!BA$6))</f>
        <v>#N/A</v>
      </c>
      <c r="BB51" s="17" t="e">
        <f>IF(BB$9,INDEX('Annual Real'!$1:$1048576,'History and Forecast'!BB$7,'History and Forecast'!$H51),INDEX('Forecast Prices'!$1:$1048576,'History and Forecast'!$G51,'History and Forecast'!BB$6))</f>
        <v>#N/A</v>
      </c>
      <c r="BC51" s="17" t="e">
        <f>IF(BC$9,INDEX('Annual Real'!$1:$1048576,'History and Forecast'!BC$7,'History and Forecast'!$H51),INDEX('Forecast Prices'!$1:$1048576,'History and Forecast'!$G51,'History and Forecast'!BC$6))</f>
        <v>#N/A</v>
      </c>
      <c r="BD51" s="17" t="e">
        <f>IF(BD$9,INDEX('Annual Real'!$1:$1048576,'History and Forecast'!BD$7,'History and Forecast'!$H51),INDEX('Forecast Prices'!$1:$1048576,'History and Forecast'!$G51,'History and Forecast'!BD$6))</f>
        <v>#N/A</v>
      </c>
      <c r="BE51" s="17" t="e">
        <f>IF(BE$9,INDEX('Annual Real'!$1:$1048576,'History and Forecast'!BE$7,'History and Forecast'!$H51),INDEX('Forecast Prices'!$1:$1048576,'History and Forecast'!$G51,'History and Forecast'!BE$6))</f>
        <v>#N/A</v>
      </c>
      <c r="BF51" s="17" t="e">
        <f>IF(BF$9,INDEX('Annual Real'!$1:$1048576,'History and Forecast'!BF$7,'History and Forecast'!$H51),INDEX('Forecast Prices'!$1:$1048576,'History and Forecast'!$G51,'History and Forecast'!BF$6))</f>
        <v>#N/A</v>
      </c>
      <c r="BG51" s="17" t="e">
        <f>IF(BG$9,INDEX('Annual Real'!$1:$1048576,'History and Forecast'!BG$7,'History and Forecast'!$H51),INDEX('Forecast Prices'!$1:$1048576,'History and Forecast'!$G51,'History and Forecast'!BG$6))</f>
        <v>#N/A</v>
      </c>
      <c r="BH51" s="17" t="e">
        <f>IF(BH$9,INDEX('Annual Real'!$1:$1048576,'History and Forecast'!BH$7,'History and Forecast'!$H51),INDEX('Forecast Prices'!$1:$1048576,'History and Forecast'!$G51,'History and Forecast'!BH$6))</f>
        <v>#N/A</v>
      </c>
      <c r="BI51" s="17" t="e">
        <f>IF(BI$9,INDEX('Annual Real'!$1:$1048576,'History and Forecast'!BI$7,'History and Forecast'!$H51),INDEX('Forecast Prices'!$1:$1048576,'History and Forecast'!$G51,'History and Forecast'!BI$6))</f>
        <v>#N/A</v>
      </c>
      <c r="BJ51" s="17" t="e">
        <f>IF(BJ$9,INDEX('Annual Real'!$1:$1048576,'History and Forecast'!BJ$7,'History and Forecast'!$H51),INDEX('Forecast Prices'!$1:$1048576,'History and Forecast'!$G51,'History and Forecast'!BJ$6))</f>
        <v>#N/A</v>
      </c>
      <c r="BK51" s="17" t="e">
        <f>IF(BK$9,INDEX('Annual Real'!$1:$1048576,'History and Forecast'!BK$7,'History and Forecast'!$H51),INDEX('Forecast Prices'!$1:$1048576,'History and Forecast'!$G51,'History and Forecast'!BK$6))</f>
        <v>#N/A</v>
      </c>
      <c r="BL51" s="17" t="e">
        <f>IF(BL$9,INDEX('Annual Real'!$1:$1048576,'History and Forecast'!BL$7,'History and Forecast'!$H51),INDEX('Forecast Prices'!$1:$1048576,'History and Forecast'!$G51,'History and Forecast'!BL$6))</f>
        <v>#N/A</v>
      </c>
      <c r="BM51" s="17" t="e">
        <f>IF(BM$9,INDEX('Annual Real'!$1:$1048576,'History and Forecast'!BM$7,'History and Forecast'!$H51),INDEX('Forecast Prices'!$1:$1048576,'History and Forecast'!$G51,'History and Forecast'!BM$6))</f>
        <v>#N/A</v>
      </c>
      <c r="BN51" s="17" t="e">
        <f>IF(BN$9,INDEX('Annual Real'!$1:$1048576,'History and Forecast'!BN$7,'History and Forecast'!$H51),INDEX('Forecast Prices'!$1:$1048576,'History and Forecast'!$G51,'History and Forecast'!BN$6))</f>
        <v>#N/A</v>
      </c>
      <c r="BO51" s="17">
        <f>IF(BO$9,INDEX('Annual Real'!$1:$1048576,'History and Forecast'!BO$7,'History and Forecast'!$H51),INDEX('Forecast Prices'!$1:$1048576,'History and Forecast'!$G51,'History and Forecast'!BO$6))</f>
        <v>19071.9146007173</v>
      </c>
      <c r="BP51" s="17">
        <f>IF(BP$9,INDEX('Annual Real'!$1:$1048576,'History and Forecast'!BP$7,'History and Forecast'!$H51),INDEX('Forecast Prices'!$1:$1048576,'History and Forecast'!$G51,'History and Forecast'!BP$6))</f>
        <v>20620.999510759499</v>
      </c>
      <c r="BQ51" s="17">
        <f>IF(BQ$9,INDEX('Annual Real'!$1:$1048576,'History and Forecast'!BQ$7,'History and Forecast'!$H51),INDEX('Forecast Prices'!$1:$1048576,'History and Forecast'!$G51,'History and Forecast'!BQ$6))</f>
        <v>19777.676317470701</v>
      </c>
      <c r="BR51" s="17">
        <f>IF(BR$9,INDEX('Annual Real'!$1:$1048576,'History and Forecast'!BR$7,'History and Forecast'!$H51),INDEX('Forecast Prices'!$1:$1048576,'History and Forecast'!$G51,'History and Forecast'!BR$6))</f>
        <v>20417.979673367001</v>
      </c>
      <c r="BS51" s="17">
        <f>IF(BS$9,INDEX('Annual Real'!$1:$1048576,'History and Forecast'!BS$7,'History and Forecast'!$H51),INDEX('Forecast Prices'!$1:$1048576,'History and Forecast'!$G51,'History and Forecast'!BS$6))</f>
        <v>20426.7552169189</v>
      </c>
      <c r="BT51" s="17">
        <f>IF(BT$9,INDEX('Annual Real'!$1:$1048576,'History and Forecast'!BT$7,'History and Forecast'!$H51),INDEX('Forecast Prices'!$1:$1048576,'History and Forecast'!$G51,'History and Forecast'!BT$6))</f>
        <v>20218.526328855001</v>
      </c>
      <c r="BU51" s="17">
        <f>IF(BU$9,INDEX('Annual Real'!$1:$1048576,'History and Forecast'!BU$7,'History and Forecast'!$H51),INDEX('Forecast Prices'!$1:$1048576,'History and Forecast'!$G51,'History and Forecast'!BU$6))</f>
        <v>19996.377630992502</v>
      </c>
      <c r="BV51" s="17">
        <f>IF(BV$9,INDEX('Annual Real'!$1:$1048576,'History and Forecast'!BV$7,'History and Forecast'!$H51),INDEX('Forecast Prices'!$1:$1048576,'History and Forecast'!$G51,'History and Forecast'!BV$6))</f>
        <v>19778.415147007301</v>
      </c>
      <c r="BW51" s="17">
        <f>IF(BW$9,INDEX('Annual Real'!$1:$1048576,'History and Forecast'!BW$7,'History and Forecast'!$H51),INDEX('Forecast Prices'!$1:$1048576,'History and Forecast'!$G51,'History and Forecast'!BW$6))</f>
        <v>19562.821988121301</v>
      </c>
      <c r="BX51" s="17">
        <f>IF(BX$9,INDEX('Annual Real'!$1:$1048576,'History and Forecast'!BX$7,'History and Forecast'!$H51),INDEX('Forecast Prices'!$1:$1048576,'History and Forecast'!$G51,'History and Forecast'!BX$6))</f>
        <v>19348.462922519298</v>
      </c>
      <c r="BY51" s="17" t="e">
        <f>IF(BY$9,INDEX('Annual Real'!$1:$1048576,'History and Forecast'!BY$7,'History and Forecast'!$H51),INDEX('Forecast Prices'!$1:$1048576,'History and Forecast'!$G51,'History and Forecast'!BY$6))</f>
        <v>#N/A</v>
      </c>
      <c r="BZ51" s="17" t="e">
        <f>IF(BZ$9,INDEX('Annual Real'!$1:$1048576,'History and Forecast'!BZ$7,'History and Forecast'!$H51),INDEX('Forecast Prices'!$1:$1048576,'History and Forecast'!$G51,'History and Forecast'!BZ$6))</f>
        <v>#N/A</v>
      </c>
      <c r="CA51" s="17" t="e">
        <f>IF(CA$9,INDEX('Annual Real'!$1:$1048576,'History and Forecast'!CA$7,'History and Forecast'!$H51),INDEX('Forecast Prices'!$1:$1048576,'History and Forecast'!$G51,'History and Forecast'!CA$6))</f>
        <v>#N/A</v>
      </c>
      <c r="CB51" s="17" t="e">
        <f>IF(CB$9,INDEX('Annual Real'!$1:$1048576,'History and Forecast'!CB$7,'History and Forecast'!$H51),INDEX('Forecast Prices'!$1:$1048576,'History and Forecast'!$G51,'History and Forecast'!CB$6))</f>
        <v>#N/A</v>
      </c>
      <c r="CC51" s="17">
        <f>IF(CC$9,INDEX('Annual Real'!$1:$1048576,'History and Forecast'!CC$7,'History and Forecast'!$H51),INDEX('Forecast Prices'!$1:$1048576,'History and Forecast'!$G51,'History and Forecast'!CC$6))</f>
        <v>18283.417430441201</v>
      </c>
      <c r="CD51" s="17" t="e">
        <f>IF(CD$9,INDEX('Annual Real'!$1:$1048576,'History and Forecast'!CD$7,'History and Forecast'!$H51),INDEX('Forecast Prices'!$1:$1048576,'History and Forecast'!$G51,'History and Forecast'!CD$6))</f>
        <v>#N/A</v>
      </c>
      <c r="CE51" s="17" t="e">
        <f>IF(CE$9,INDEX('Annual Real'!$1:$1048576,'History and Forecast'!CE$7,'History and Forecast'!$H51),INDEX('Forecast Prices'!$1:$1048576,'History and Forecast'!$G51,'History and Forecast'!CE$6))</f>
        <v>#N/A</v>
      </c>
      <c r="CF51" s="17" t="e">
        <f>IF(CF$9,INDEX('Annual Real'!$1:$1048576,'History and Forecast'!CF$7,'History and Forecast'!$H51),INDEX('Forecast Prices'!$1:$1048576,'History and Forecast'!$G51,'History and Forecast'!CF$6))</f>
        <v>#N/A</v>
      </c>
      <c r="CG51" s="17" t="e">
        <f>IF(CG$9,INDEX('Annual Real'!$1:$1048576,'History and Forecast'!CG$7,'History and Forecast'!$H51),INDEX('Forecast Prices'!$1:$1048576,'History and Forecast'!$G51,'History and Forecast'!CG$6))</f>
        <v>#N/A</v>
      </c>
      <c r="CH51" s="17" t="e">
        <f>IF(CH$9,INDEX('Annual Real'!$1:$1048576,'History and Forecast'!CH$7,'History and Forecast'!$H51),INDEX('Forecast Prices'!$1:$1048576,'History and Forecast'!$G51,'History and Forecast'!CH$6))</f>
        <v>#N/A</v>
      </c>
      <c r="CI51" s="17" t="e">
        <f>IF(CI$9,INDEX('Annual Real'!$1:$1048576,'History and Forecast'!CI$7,'History and Forecast'!$H51),INDEX('Forecast Prices'!$1:$1048576,'History and Forecast'!$G51,'History and Forecast'!CI$6))</f>
        <v>#N/A</v>
      </c>
    </row>
    <row r="52" spans="2:87">
      <c r="B52" t="str">
        <f t="shared" si="7"/>
        <v>ZINC</v>
      </c>
      <c r="C52" s="34" t="s">
        <v>1111</v>
      </c>
      <c r="D52" t="str">
        <f t="shared" si="5"/>
        <v>KZINC</v>
      </c>
      <c r="E52" s="34" t="str">
        <f t="shared" si="6"/>
        <v>KFZINC</v>
      </c>
      <c r="F52">
        <f>MATCH(C52,'Forecast Prices'!A:A,0)</f>
        <v>67</v>
      </c>
      <c r="G52">
        <f>MATCH(E52,'Forecast Prices'!A:A,0)</f>
        <v>149</v>
      </c>
      <c r="H52" t="e">
        <f>MATCH(D52,'Annual Real'!$9:$9,0)</f>
        <v>#N/A</v>
      </c>
      <c r="I52" t="str">
        <f>INDEX('Forecast Prices'!B:B,'History and Forecast'!F52)&amp;INDEX('Forecast Prices'!C:C,'History and Forecast'!F52)&amp;INDEX('Forecast Prices'!D:D,'History and Forecast'!F52)&amp;INDEX('Forecast Prices'!E:E,'History and Forecast'!F52)</f>
        <v>Zinc</v>
      </c>
      <c r="J52" t="str">
        <f>INDEX('Forecast Prices'!H:H,'History and Forecast'!F52)</f>
        <v>$/mt</v>
      </c>
      <c r="K52" s="17" t="e">
        <f>IF(K$9,INDEX('Annual Real'!$1:$1048576,'History and Forecast'!K$7,'History and Forecast'!$H52),INDEX('Forecast Prices'!$1:$1048576,'History and Forecast'!$G52,'History and Forecast'!K$6))</f>
        <v>#N/A</v>
      </c>
      <c r="L52" s="17" t="e">
        <f>IF(L$9,INDEX('Annual Real'!$1:$1048576,'History and Forecast'!L$7,'History and Forecast'!$H52),INDEX('Forecast Prices'!$1:$1048576,'History and Forecast'!$G52,'History and Forecast'!L$6))</f>
        <v>#N/A</v>
      </c>
      <c r="M52" s="17" t="e">
        <f>IF(M$9,INDEX('Annual Real'!$1:$1048576,'History and Forecast'!M$7,'History and Forecast'!$H52),INDEX('Forecast Prices'!$1:$1048576,'History and Forecast'!$G52,'History and Forecast'!M$6))</f>
        <v>#N/A</v>
      </c>
      <c r="N52" s="17" t="e">
        <f>IF(N$9,INDEX('Annual Real'!$1:$1048576,'History and Forecast'!N$7,'History and Forecast'!$H52),INDEX('Forecast Prices'!$1:$1048576,'History and Forecast'!$G52,'History and Forecast'!N$6))</f>
        <v>#N/A</v>
      </c>
      <c r="O52" s="17" t="e">
        <f>IF(O$9,INDEX('Annual Real'!$1:$1048576,'History and Forecast'!O$7,'History and Forecast'!$H52),INDEX('Forecast Prices'!$1:$1048576,'History and Forecast'!$G52,'History and Forecast'!O$6))</f>
        <v>#N/A</v>
      </c>
      <c r="P52" s="17" t="e">
        <f>IF(P$9,INDEX('Annual Real'!$1:$1048576,'History and Forecast'!P$7,'History and Forecast'!$H52),INDEX('Forecast Prices'!$1:$1048576,'History and Forecast'!$G52,'History and Forecast'!P$6))</f>
        <v>#N/A</v>
      </c>
      <c r="Q52" s="17" t="e">
        <f>IF(Q$9,INDEX('Annual Real'!$1:$1048576,'History and Forecast'!Q$7,'History and Forecast'!$H52),INDEX('Forecast Prices'!$1:$1048576,'History and Forecast'!$G52,'History and Forecast'!Q$6))</f>
        <v>#N/A</v>
      </c>
      <c r="R52" s="17" t="e">
        <f>IF(R$9,INDEX('Annual Real'!$1:$1048576,'History and Forecast'!R$7,'History and Forecast'!$H52),INDEX('Forecast Prices'!$1:$1048576,'History and Forecast'!$G52,'History and Forecast'!R$6))</f>
        <v>#N/A</v>
      </c>
      <c r="S52" s="17" t="e">
        <f>IF(S$9,INDEX('Annual Real'!$1:$1048576,'History and Forecast'!S$7,'History and Forecast'!$H52),INDEX('Forecast Prices'!$1:$1048576,'History and Forecast'!$G52,'History and Forecast'!S$6))</f>
        <v>#N/A</v>
      </c>
      <c r="T52" s="17" t="e">
        <f>IF(T$9,INDEX('Annual Real'!$1:$1048576,'History and Forecast'!T$7,'History and Forecast'!$H52),INDEX('Forecast Prices'!$1:$1048576,'History and Forecast'!$G52,'History and Forecast'!T$6))</f>
        <v>#N/A</v>
      </c>
      <c r="U52" s="17" t="e">
        <f>IF(U$9,INDEX('Annual Real'!$1:$1048576,'History and Forecast'!U$7,'History and Forecast'!$H52),INDEX('Forecast Prices'!$1:$1048576,'History and Forecast'!$G52,'History and Forecast'!U$6))</f>
        <v>#N/A</v>
      </c>
      <c r="V52" s="17" t="e">
        <f>IF(V$9,INDEX('Annual Real'!$1:$1048576,'History and Forecast'!V$7,'History and Forecast'!$H52),INDEX('Forecast Prices'!$1:$1048576,'History and Forecast'!$G52,'History and Forecast'!V$6))</f>
        <v>#N/A</v>
      </c>
      <c r="W52" s="17" t="e">
        <f>IF(W$9,INDEX('Annual Real'!$1:$1048576,'History and Forecast'!W$7,'History and Forecast'!$H52),INDEX('Forecast Prices'!$1:$1048576,'History and Forecast'!$G52,'History and Forecast'!W$6))</f>
        <v>#N/A</v>
      </c>
      <c r="X52" s="17" t="e">
        <f>IF(X$9,INDEX('Annual Real'!$1:$1048576,'History and Forecast'!X$7,'History and Forecast'!$H52),INDEX('Forecast Prices'!$1:$1048576,'History and Forecast'!$G52,'History and Forecast'!X$6))</f>
        <v>#N/A</v>
      </c>
      <c r="Y52" s="17" t="e">
        <f>IF(Y$9,INDEX('Annual Real'!$1:$1048576,'History and Forecast'!Y$7,'History and Forecast'!$H52),INDEX('Forecast Prices'!$1:$1048576,'History and Forecast'!$G52,'History and Forecast'!Y$6))</f>
        <v>#N/A</v>
      </c>
      <c r="Z52" s="17" t="e">
        <f>IF(Z$9,INDEX('Annual Real'!$1:$1048576,'History and Forecast'!Z$7,'History and Forecast'!$H52),INDEX('Forecast Prices'!$1:$1048576,'History and Forecast'!$G52,'History and Forecast'!Z$6))</f>
        <v>#N/A</v>
      </c>
      <c r="AA52" s="17" t="e">
        <f>IF(AA$9,INDEX('Annual Real'!$1:$1048576,'History and Forecast'!AA$7,'History and Forecast'!$H52),INDEX('Forecast Prices'!$1:$1048576,'History and Forecast'!$G52,'History and Forecast'!AA$6))</f>
        <v>#N/A</v>
      </c>
      <c r="AB52" s="17" t="e">
        <f>IF(AB$9,INDEX('Annual Real'!$1:$1048576,'History and Forecast'!AB$7,'History and Forecast'!$H52),INDEX('Forecast Prices'!$1:$1048576,'History and Forecast'!$G52,'History and Forecast'!AB$6))</f>
        <v>#N/A</v>
      </c>
      <c r="AC52" s="17" t="e">
        <f>IF(AC$9,INDEX('Annual Real'!$1:$1048576,'History and Forecast'!AC$7,'History and Forecast'!$H52),INDEX('Forecast Prices'!$1:$1048576,'History and Forecast'!$G52,'History and Forecast'!AC$6))</f>
        <v>#N/A</v>
      </c>
      <c r="AD52" s="17" t="e">
        <f>IF(AD$9,INDEX('Annual Real'!$1:$1048576,'History and Forecast'!AD$7,'History and Forecast'!$H52),INDEX('Forecast Prices'!$1:$1048576,'History and Forecast'!$G52,'History and Forecast'!AD$6))</f>
        <v>#N/A</v>
      </c>
      <c r="AE52" s="17" t="e">
        <f>IF(AE$9,INDEX('Annual Real'!$1:$1048576,'History and Forecast'!AE$7,'History and Forecast'!$H52),INDEX('Forecast Prices'!$1:$1048576,'History and Forecast'!$G52,'History and Forecast'!AE$6))</f>
        <v>#N/A</v>
      </c>
      <c r="AF52" s="17" t="e">
        <f>IF(AF$9,INDEX('Annual Real'!$1:$1048576,'History and Forecast'!AF$7,'History and Forecast'!$H52),INDEX('Forecast Prices'!$1:$1048576,'History and Forecast'!$G52,'History and Forecast'!AF$6))</f>
        <v>#N/A</v>
      </c>
      <c r="AG52" s="17" t="e">
        <f>IF(AG$9,INDEX('Annual Real'!$1:$1048576,'History and Forecast'!AG$7,'History and Forecast'!$H52),INDEX('Forecast Prices'!$1:$1048576,'History and Forecast'!$G52,'History and Forecast'!AG$6))</f>
        <v>#N/A</v>
      </c>
      <c r="AH52" s="17" t="e">
        <f>IF(AH$9,INDEX('Annual Real'!$1:$1048576,'History and Forecast'!AH$7,'History and Forecast'!$H52),INDEX('Forecast Prices'!$1:$1048576,'History and Forecast'!$G52,'History and Forecast'!AH$6))</f>
        <v>#N/A</v>
      </c>
      <c r="AI52" s="17" t="e">
        <f>IF(AI$9,INDEX('Annual Real'!$1:$1048576,'History and Forecast'!AI$7,'History and Forecast'!$H52),INDEX('Forecast Prices'!$1:$1048576,'History and Forecast'!$G52,'History and Forecast'!AI$6))</f>
        <v>#N/A</v>
      </c>
      <c r="AJ52" s="17" t="e">
        <f>IF(AJ$9,INDEX('Annual Real'!$1:$1048576,'History and Forecast'!AJ$7,'History and Forecast'!$H52),INDEX('Forecast Prices'!$1:$1048576,'History and Forecast'!$G52,'History and Forecast'!AJ$6))</f>
        <v>#N/A</v>
      </c>
      <c r="AK52" s="17" t="e">
        <f>IF(AK$9,INDEX('Annual Real'!$1:$1048576,'History and Forecast'!AK$7,'History and Forecast'!$H52),INDEX('Forecast Prices'!$1:$1048576,'History and Forecast'!$G52,'History and Forecast'!AK$6))</f>
        <v>#N/A</v>
      </c>
      <c r="AL52" s="17" t="e">
        <f>IF(AL$9,INDEX('Annual Real'!$1:$1048576,'History and Forecast'!AL$7,'History and Forecast'!$H52),INDEX('Forecast Prices'!$1:$1048576,'History and Forecast'!$G52,'History and Forecast'!AL$6))</f>
        <v>#N/A</v>
      </c>
      <c r="AM52" s="17" t="e">
        <f>IF(AM$9,INDEX('Annual Real'!$1:$1048576,'History and Forecast'!AM$7,'History and Forecast'!$H52),INDEX('Forecast Prices'!$1:$1048576,'History and Forecast'!$G52,'History and Forecast'!AM$6))</f>
        <v>#N/A</v>
      </c>
      <c r="AN52" s="17" t="e">
        <f>IF(AN$9,INDEX('Annual Real'!$1:$1048576,'History and Forecast'!AN$7,'History and Forecast'!$H52),INDEX('Forecast Prices'!$1:$1048576,'History and Forecast'!$G52,'History and Forecast'!AN$6))</f>
        <v>#N/A</v>
      </c>
      <c r="AO52" s="17" t="e">
        <f>IF(AO$9,INDEX('Annual Real'!$1:$1048576,'History and Forecast'!AO$7,'History and Forecast'!$H52),INDEX('Forecast Prices'!$1:$1048576,'History and Forecast'!$G52,'History and Forecast'!AO$6))</f>
        <v>#N/A</v>
      </c>
      <c r="AP52" s="17" t="e">
        <f>IF(AP$9,INDEX('Annual Real'!$1:$1048576,'History and Forecast'!AP$7,'History and Forecast'!$H52),INDEX('Forecast Prices'!$1:$1048576,'History and Forecast'!$G52,'History and Forecast'!AP$6))</f>
        <v>#N/A</v>
      </c>
      <c r="AQ52" s="17" t="e">
        <f>IF(AQ$9,INDEX('Annual Real'!$1:$1048576,'History and Forecast'!AQ$7,'History and Forecast'!$H52),INDEX('Forecast Prices'!$1:$1048576,'History and Forecast'!$G52,'History and Forecast'!AQ$6))</f>
        <v>#N/A</v>
      </c>
      <c r="AR52" s="17" t="e">
        <f>IF(AR$9,INDEX('Annual Real'!$1:$1048576,'History and Forecast'!AR$7,'History and Forecast'!$H52),INDEX('Forecast Prices'!$1:$1048576,'History and Forecast'!$G52,'History and Forecast'!AR$6))</f>
        <v>#N/A</v>
      </c>
      <c r="AS52" s="17" t="e">
        <f>IF(AS$9,INDEX('Annual Real'!$1:$1048576,'History and Forecast'!AS$7,'History and Forecast'!$H52),INDEX('Forecast Prices'!$1:$1048576,'History and Forecast'!$G52,'History and Forecast'!AS$6))</f>
        <v>#N/A</v>
      </c>
      <c r="AT52" s="17" t="e">
        <f>IF(AT$9,INDEX('Annual Real'!$1:$1048576,'History and Forecast'!AT$7,'History and Forecast'!$H52),INDEX('Forecast Prices'!$1:$1048576,'History and Forecast'!$G52,'History and Forecast'!AT$6))</f>
        <v>#N/A</v>
      </c>
      <c r="AU52" s="17" t="e">
        <f>IF(AU$9,INDEX('Annual Real'!$1:$1048576,'History and Forecast'!AU$7,'History and Forecast'!$H52),INDEX('Forecast Prices'!$1:$1048576,'History and Forecast'!$G52,'History and Forecast'!AU$6))</f>
        <v>#N/A</v>
      </c>
      <c r="AV52" s="17" t="e">
        <f>IF(AV$9,INDEX('Annual Real'!$1:$1048576,'History and Forecast'!AV$7,'History and Forecast'!$H52),INDEX('Forecast Prices'!$1:$1048576,'History and Forecast'!$G52,'History and Forecast'!AV$6))</f>
        <v>#N/A</v>
      </c>
      <c r="AW52" s="17" t="e">
        <f>IF(AW$9,INDEX('Annual Real'!$1:$1048576,'History and Forecast'!AW$7,'History and Forecast'!$H52),INDEX('Forecast Prices'!$1:$1048576,'History and Forecast'!$G52,'History and Forecast'!AW$6))</f>
        <v>#N/A</v>
      </c>
      <c r="AX52" s="17" t="e">
        <f>IF(AX$9,INDEX('Annual Real'!$1:$1048576,'History and Forecast'!AX$7,'History and Forecast'!$H52),INDEX('Forecast Prices'!$1:$1048576,'History and Forecast'!$G52,'History and Forecast'!AX$6))</f>
        <v>#N/A</v>
      </c>
      <c r="AY52" s="17" t="e">
        <f>IF(AY$9,INDEX('Annual Real'!$1:$1048576,'History and Forecast'!AY$7,'History and Forecast'!$H52),INDEX('Forecast Prices'!$1:$1048576,'History and Forecast'!$G52,'History and Forecast'!AY$6))</f>
        <v>#N/A</v>
      </c>
      <c r="AZ52" s="17" t="e">
        <f>IF(AZ$9,INDEX('Annual Real'!$1:$1048576,'History and Forecast'!AZ$7,'History and Forecast'!$H52),INDEX('Forecast Prices'!$1:$1048576,'History and Forecast'!$G52,'History and Forecast'!AZ$6))</f>
        <v>#N/A</v>
      </c>
      <c r="BA52" s="17" t="e">
        <f>IF(BA$9,INDEX('Annual Real'!$1:$1048576,'History and Forecast'!BA$7,'History and Forecast'!$H52),INDEX('Forecast Prices'!$1:$1048576,'History and Forecast'!$G52,'History and Forecast'!BA$6))</f>
        <v>#N/A</v>
      </c>
      <c r="BB52" s="17" t="e">
        <f>IF(BB$9,INDEX('Annual Real'!$1:$1048576,'History and Forecast'!BB$7,'History and Forecast'!$H52),INDEX('Forecast Prices'!$1:$1048576,'History and Forecast'!$G52,'History and Forecast'!BB$6))</f>
        <v>#N/A</v>
      </c>
      <c r="BC52" s="17" t="e">
        <f>IF(BC$9,INDEX('Annual Real'!$1:$1048576,'History and Forecast'!BC$7,'History and Forecast'!$H52),INDEX('Forecast Prices'!$1:$1048576,'History and Forecast'!$G52,'History and Forecast'!BC$6))</f>
        <v>#N/A</v>
      </c>
      <c r="BD52" s="17" t="e">
        <f>IF(BD$9,INDEX('Annual Real'!$1:$1048576,'History and Forecast'!BD$7,'History and Forecast'!$H52),INDEX('Forecast Prices'!$1:$1048576,'History and Forecast'!$G52,'History and Forecast'!BD$6))</f>
        <v>#N/A</v>
      </c>
      <c r="BE52" s="17" t="e">
        <f>IF(BE$9,INDEX('Annual Real'!$1:$1048576,'History and Forecast'!BE$7,'History and Forecast'!$H52),INDEX('Forecast Prices'!$1:$1048576,'History and Forecast'!$G52,'History and Forecast'!BE$6))</f>
        <v>#N/A</v>
      </c>
      <c r="BF52" s="17" t="e">
        <f>IF(BF$9,INDEX('Annual Real'!$1:$1048576,'History and Forecast'!BF$7,'History and Forecast'!$H52),INDEX('Forecast Prices'!$1:$1048576,'History and Forecast'!$G52,'History and Forecast'!BF$6))</f>
        <v>#N/A</v>
      </c>
      <c r="BG52" s="17" t="e">
        <f>IF(BG$9,INDEX('Annual Real'!$1:$1048576,'History and Forecast'!BG$7,'History and Forecast'!$H52),INDEX('Forecast Prices'!$1:$1048576,'History and Forecast'!$G52,'History and Forecast'!BG$6))</f>
        <v>#N/A</v>
      </c>
      <c r="BH52" s="17" t="e">
        <f>IF(BH$9,INDEX('Annual Real'!$1:$1048576,'History and Forecast'!BH$7,'History and Forecast'!$H52),INDEX('Forecast Prices'!$1:$1048576,'History and Forecast'!$G52,'History and Forecast'!BH$6))</f>
        <v>#N/A</v>
      </c>
      <c r="BI52" s="17" t="e">
        <f>IF(BI$9,INDEX('Annual Real'!$1:$1048576,'History and Forecast'!BI$7,'History and Forecast'!$H52),INDEX('Forecast Prices'!$1:$1048576,'History and Forecast'!$G52,'History and Forecast'!BI$6))</f>
        <v>#N/A</v>
      </c>
      <c r="BJ52" s="17" t="e">
        <f>IF(BJ$9,INDEX('Annual Real'!$1:$1048576,'History and Forecast'!BJ$7,'History and Forecast'!$H52),INDEX('Forecast Prices'!$1:$1048576,'History and Forecast'!$G52,'History and Forecast'!BJ$6))</f>
        <v>#N/A</v>
      </c>
      <c r="BK52" s="17" t="e">
        <f>IF(BK$9,INDEX('Annual Real'!$1:$1048576,'History and Forecast'!BK$7,'History and Forecast'!$H52),INDEX('Forecast Prices'!$1:$1048576,'History and Forecast'!$G52,'History and Forecast'!BK$6))</f>
        <v>#N/A</v>
      </c>
      <c r="BL52" s="17" t="e">
        <f>IF(BL$9,INDEX('Annual Real'!$1:$1048576,'History and Forecast'!BL$7,'History and Forecast'!$H52),INDEX('Forecast Prices'!$1:$1048576,'History and Forecast'!$G52,'History and Forecast'!BL$6))</f>
        <v>#N/A</v>
      </c>
      <c r="BM52" s="17" t="e">
        <f>IF(BM$9,INDEX('Annual Real'!$1:$1048576,'History and Forecast'!BM$7,'History and Forecast'!$H52),INDEX('Forecast Prices'!$1:$1048576,'History and Forecast'!$G52,'History and Forecast'!BM$6))</f>
        <v>#N/A</v>
      </c>
      <c r="BN52" s="17" t="e">
        <f>IF(BN$9,INDEX('Annual Real'!$1:$1048576,'History and Forecast'!BN$7,'History and Forecast'!$H52),INDEX('Forecast Prices'!$1:$1048576,'History and Forecast'!$G52,'History and Forecast'!BN$6))</f>
        <v>#N/A</v>
      </c>
      <c r="BO52" s="17">
        <f>IF(BO$9,INDEX('Annual Real'!$1:$1048576,'History and Forecast'!BO$7,'History and Forecast'!$H52),INDEX('Forecast Prices'!$1:$1048576,'History and Forecast'!$G52,'History and Forecast'!BO$6))</f>
        <v>2222.61371922441</v>
      </c>
      <c r="BP52" s="17">
        <f>IF(BP$9,INDEX('Annual Real'!$1:$1048576,'History and Forecast'!BP$7,'History and Forecast'!$H52),INDEX('Forecast Prices'!$1:$1048576,'History and Forecast'!$G52,'History and Forecast'!BP$6))</f>
        <v>2971.5396756663399</v>
      </c>
      <c r="BQ52" s="17">
        <f>IF(BQ$9,INDEX('Annual Real'!$1:$1048576,'History and Forecast'!BQ$7,'History and Forecast'!$H52),INDEX('Forecast Prices'!$1:$1048576,'History and Forecast'!$G52,'History and Forecast'!BQ$6))</f>
        <v>2869.0632259322801</v>
      </c>
      <c r="BR52" s="17">
        <f>IF(BR$9,INDEX('Annual Real'!$1:$1048576,'History and Forecast'!BR$7,'History and Forecast'!$H52),INDEX('Forecast Prices'!$1:$1048576,'History and Forecast'!$G52,'History and Forecast'!BR$6))</f>
        <v>2762.8289326998301</v>
      </c>
      <c r="BS52" s="17">
        <f>IF(BS$9,INDEX('Annual Real'!$1:$1048576,'History and Forecast'!BS$7,'History and Forecast'!$H52),INDEX('Forecast Prices'!$1:$1048576,'History and Forecast'!$G52,'History and Forecast'!BS$6))</f>
        <v>2508.3828232083001</v>
      </c>
      <c r="BT52" s="17">
        <f>IF(BT$9,INDEX('Annual Real'!$1:$1048576,'History and Forecast'!BT$7,'History and Forecast'!$H52),INDEX('Forecast Prices'!$1:$1048576,'History and Forecast'!$G52,'History and Forecast'!BT$6))</f>
        <v>2452.70719685426</v>
      </c>
      <c r="BU52" s="17">
        <f>IF(BU$9,INDEX('Annual Real'!$1:$1048576,'History and Forecast'!BU$7,'History and Forecast'!$H52),INDEX('Forecast Prices'!$1:$1048576,'History and Forecast'!$G52,'History and Forecast'!BU$6))</f>
        <v>2396.3448230353401</v>
      </c>
      <c r="BV52" s="17">
        <f>IF(BV$9,INDEX('Annual Real'!$1:$1048576,'History and Forecast'!BV$7,'History and Forecast'!$H52),INDEX('Forecast Prices'!$1:$1048576,'History and Forecast'!$G52,'History and Forecast'!BV$6))</f>
        <v>2341.48426571239</v>
      </c>
      <c r="BW52" s="17">
        <f>IF(BW$9,INDEX('Annual Real'!$1:$1048576,'History and Forecast'!BW$7,'History and Forecast'!$H52),INDEX('Forecast Prices'!$1:$1048576,'History and Forecast'!$G52,'History and Forecast'!BW$6))</f>
        <v>2287.8788961228802</v>
      </c>
      <c r="BX52" s="17">
        <f>IF(BX$9,INDEX('Annual Real'!$1:$1048576,'History and Forecast'!BX$7,'History and Forecast'!$H52),INDEX('Forecast Prices'!$1:$1048576,'History and Forecast'!$G52,'History and Forecast'!BX$6))</f>
        <v>2235.3718249256999</v>
      </c>
      <c r="BY52" s="17" t="e">
        <f>IF(BY$9,INDEX('Annual Real'!$1:$1048576,'History and Forecast'!BY$7,'History and Forecast'!$H52),INDEX('Forecast Prices'!$1:$1048576,'History and Forecast'!$G52,'History and Forecast'!BY$6))</f>
        <v>#N/A</v>
      </c>
      <c r="BZ52" s="17" t="e">
        <f>IF(BZ$9,INDEX('Annual Real'!$1:$1048576,'History and Forecast'!BZ$7,'History and Forecast'!$H52),INDEX('Forecast Prices'!$1:$1048576,'History and Forecast'!$G52,'History and Forecast'!BZ$6))</f>
        <v>#N/A</v>
      </c>
      <c r="CA52" s="17" t="e">
        <f>IF(CA$9,INDEX('Annual Real'!$1:$1048576,'History and Forecast'!CA$7,'History and Forecast'!$H52),INDEX('Forecast Prices'!$1:$1048576,'History and Forecast'!$G52,'History and Forecast'!CA$6))</f>
        <v>#N/A</v>
      </c>
      <c r="CB52" s="17" t="e">
        <f>IF(CB$9,INDEX('Annual Real'!$1:$1048576,'History and Forecast'!CB$7,'History and Forecast'!$H52),INDEX('Forecast Prices'!$1:$1048576,'History and Forecast'!$G52,'History and Forecast'!CB$6))</f>
        <v>#N/A</v>
      </c>
      <c r="CC52" s="17">
        <f>IF(CC$9,INDEX('Annual Real'!$1:$1048576,'History and Forecast'!CC$7,'History and Forecast'!$H52),INDEX('Forecast Prices'!$1:$1048576,'History and Forecast'!$G52,'History and Forecast'!CC$6))</f>
        <v>1987.3279815696999</v>
      </c>
      <c r="CD52" s="17" t="e">
        <f>IF(CD$9,INDEX('Annual Real'!$1:$1048576,'History and Forecast'!CD$7,'History and Forecast'!$H52),INDEX('Forecast Prices'!$1:$1048576,'History and Forecast'!$G52,'History and Forecast'!CD$6))</f>
        <v>#N/A</v>
      </c>
      <c r="CE52" s="17" t="e">
        <f>IF(CE$9,INDEX('Annual Real'!$1:$1048576,'History and Forecast'!CE$7,'History and Forecast'!$H52),INDEX('Forecast Prices'!$1:$1048576,'History and Forecast'!$G52,'History and Forecast'!CE$6))</f>
        <v>#N/A</v>
      </c>
      <c r="CF52" s="17" t="e">
        <f>IF(CF$9,INDEX('Annual Real'!$1:$1048576,'History and Forecast'!CF$7,'History and Forecast'!$H52),INDEX('Forecast Prices'!$1:$1048576,'History and Forecast'!$G52,'History and Forecast'!CF$6))</f>
        <v>#N/A</v>
      </c>
      <c r="CG52" s="17" t="e">
        <f>IF(CG$9,INDEX('Annual Real'!$1:$1048576,'History and Forecast'!CG$7,'History and Forecast'!$H52),INDEX('Forecast Prices'!$1:$1048576,'History and Forecast'!$G52,'History and Forecast'!CG$6))</f>
        <v>#N/A</v>
      </c>
      <c r="CH52" s="17" t="e">
        <f>IF(CH$9,INDEX('Annual Real'!$1:$1048576,'History and Forecast'!CH$7,'History and Forecast'!$H52),INDEX('Forecast Prices'!$1:$1048576,'History and Forecast'!$G52,'History and Forecast'!CH$6))</f>
        <v>#N/A</v>
      </c>
      <c r="CI52" s="17" t="e">
        <f>IF(CI$9,INDEX('Annual Real'!$1:$1048576,'History and Forecast'!CI$7,'History and Forecast'!$H52),INDEX('Forecast Prices'!$1:$1048576,'History and Forecast'!$G52,'History and Forecast'!CI$6))</f>
        <v>#N/A</v>
      </c>
    </row>
    <row r="53" spans="2:87">
      <c r="B53" t="str">
        <f t="shared" si="7"/>
        <v>GOLD</v>
      </c>
      <c r="C53" s="34" t="s">
        <v>1112</v>
      </c>
      <c r="D53" t="str">
        <f t="shared" si="5"/>
        <v>KGOLD</v>
      </c>
      <c r="E53" s="34" t="str">
        <f t="shared" si="6"/>
        <v>KFGOLD</v>
      </c>
      <c r="F53">
        <f>MATCH(C53,'Forecast Prices'!A:A,0)</f>
        <v>70</v>
      </c>
      <c r="G53">
        <f>MATCH(E53,'Forecast Prices'!A:A,0)</f>
        <v>152</v>
      </c>
      <c r="H53" t="e">
        <f>MATCH(D53,'Annual Real'!$9:$9,0)</f>
        <v>#N/A</v>
      </c>
      <c r="I53" t="str">
        <f>INDEX('Forecast Prices'!B:B,'History and Forecast'!F53)&amp;INDEX('Forecast Prices'!C:C,'History and Forecast'!F53)&amp;INDEX('Forecast Prices'!D:D,'History and Forecast'!F53)&amp;INDEX('Forecast Prices'!E:E,'History and Forecast'!F53)</f>
        <v>Gold</v>
      </c>
      <c r="J53" t="str">
        <f>INDEX('Forecast Prices'!H:H,'History and Forecast'!F53)</f>
        <v>$/toz</v>
      </c>
      <c r="K53" s="17" t="e">
        <f>IF(K$9,INDEX('Annual Real'!$1:$1048576,'History and Forecast'!K$7,'History and Forecast'!$H53),INDEX('Forecast Prices'!$1:$1048576,'History and Forecast'!$G53,'History and Forecast'!K$6))</f>
        <v>#N/A</v>
      </c>
      <c r="L53" s="17" t="e">
        <f>IF(L$9,INDEX('Annual Real'!$1:$1048576,'History and Forecast'!L$7,'History and Forecast'!$H53),INDEX('Forecast Prices'!$1:$1048576,'History and Forecast'!$G53,'History and Forecast'!L$6))</f>
        <v>#N/A</v>
      </c>
      <c r="M53" s="17" t="e">
        <f>IF(M$9,INDEX('Annual Real'!$1:$1048576,'History and Forecast'!M$7,'History and Forecast'!$H53),INDEX('Forecast Prices'!$1:$1048576,'History and Forecast'!$G53,'History and Forecast'!M$6))</f>
        <v>#N/A</v>
      </c>
      <c r="N53" s="17" t="e">
        <f>IF(N$9,INDEX('Annual Real'!$1:$1048576,'History and Forecast'!N$7,'History and Forecast'!$H53),INDEX('Forecast Prices'!$1:$1048576,'History and Forecast'!$G53,'History and Forecast'!N$6))</f>
        <v>#N/A</v>
      </c>
      <c r="O53" s="17" t="e">
        <f>IF(O$9,INDEX('Annual Real'!$1:$1048576,'History and Forecast'!O$7,'History and Forecast'!$H53),INDEX('Forecast Prices'!$1:$1048576,'History and Forecast'!$G53,'History and Forecast'!O$6))</f>
        <v>#N/A</v>
      </c>
      <c r="P53" s="17" t="e">
        <f>IF(P$9,INDEX('Annual Real'!$1:$1048576,'History and Forecast'!P$7,'History and Forecast'!$H53),INDEX('Forecast Prices'!$1:$1048576,'History and Forecast'!$G53,'History and Forecast'!P$6))</f>
        <v>#N/A</v>
      </c>
      <c r="Q53" s="17" t="e">
        <f>IF(Q$9,INDEX('Annual Real'!$1:$1048576,'History and Forecast'!Q$7,'History and Forecast'!$H53),INDEX('Forecast Prices'!$1:$1048576,'History and Forecast'!$G53,'History and Forecast'!Q$6))</f>
        <v>#N/A</v>
      </c>
      <c r="R53" s="17" t="e">
        <f>IF(R$9,INDEX('Annual Real'!$1:$1048576,'History and Forecast'!R$7,'History and Forecast'!$H53),INDEX('Forecast Prices'!$1:$1048576,'History and Forecast'!$G53,'History and Forecast'!R$6))</f>
        <v>#N/A</v>
      </c>
      <c r="S53" s="17" t="e">
        <f>IF(S$9,INDEX('Annual Real'!$1:$1048576,'History and Forecast'!S$7,'History and Forecast'!$H53),INDEX('Forecast Prices'!$1:$1048576,'History and Forecast'!$G53,'History and Forecast'!S$6))</f>
        <v>#N/A</v>
      </c>
      <c r="T53" s="17" t="e">
        <f>IF(T$9,INDEX('Annual Real'!$1:$1048576,'History and Forecast'!T$7,'History and Forecast'!$H53),INDEX('Forecast Prices'!$1:$1048576,'History and Forecast'!$G53,'History and Forecast'!T$6))</f>
        <v>#N/A</v>
      </c>
      <c r="U53" s="17" t="e">
        <f>IF(U$9,INDEX('Annual Real'!$1:$1048576,'History and Forecast'!U$7,'History and Forecast'!$H53),INDEX('Forecast Prices'!$1:$1048576,'History and Forecast'!$G53,'History and Forecast'!U$6))</f>
        <v>#N/A</v>
      </c>
      <c r="V53" s="17" t="e">
        <f>IF(V$9,INDEX('Annual Real'!$1:$1048576,'History and Forecast'!V$7,'History and Forecast'!$H53),INDEX('Forecast Prices'!$1:$1048576,'History and Forecast'!$G53,'History and Forecast'!V$6))</f>
        <v>#N/A</v>
      </c>
      <c r="W53" s="17" t="e">
        <f>IF(W$9,INDEX('Annual Real'!$1:$1048576,'History and Forecast'!W$7,'History and Forecast'!$H53),INDEX('Forecast Prices'!$1:$1048576,'History and Forecast'!$G53,'History and Forecast'!W$6))</f>
        <v>#N/A</v>
      </c>
      <c r="X53" s="17" t="e">
        <f>IF(X$9,INDEX('Annual Real'!$1:$1048576,'History and Forecast'!X$7,'History and Forecast'!$H53),INDEX('Forecast Prices'!$1:$1048576,'History and Forecast'!$G53,'History and Forecast'!X$6))</f>
        <v>#N/A</v>
      </c>
      <c r="Y53" s="17" t="e">
        <f>IF(Y$9,INDEX('Annual Real'!$1:$1048576,'History and Forecast'!Y$7,'History and Forecast'!$H53),INDEX('Forecast Prices'!$1:$1048576,'History and Forecast'!$G53,'History and Forecast'!Y$6))</f>
        <v>#N/A</v>
      </c>
      <c r="Z53" s="17" t="e">
        <f>IF(Z$9,INDEX('Annual Real'!$1:$1048576,'History and Forecast'!Z$7,'History and Forecast'!$H53),INDEX('Forecast Prices'!$1:$1048576,'History and Forecast'!$G53,'History and Forecast'!Z$6))</f>
        <v>#N/A</v>
      </c>
      <c r="AA53" s="17" t="e">
        <f>IF(AA$9,INDEX('Annual Real'!$1:$1048576,'History and Forecast'!AA$7,'History and Forecast'!$H53),INDEX('Forecast Prices'!$1:$1048576,'History and Forecast'!$G53,'History and Forecast'!AA$6))</f>
        <v>#N/A</v>
      </c>
      <c r="AB53" s="17" t="e">
        <f>IF(AB$9,INDEX('Annual Real'!$1:$1048576,'History and Forecast'!AB$7,'History and Forecast'!$H53),INDEX('Forecast Prices'!$1:$1048576,'History and Forecast'!$G53,'History and Forecast'!AB$6))</f>
        <v>#N/A</v>
      </c>
      <c r="AC53" s="17" t="e">
        <f>IF(AC$9,INDEX('Annual Real'!$1:$1048576,'History and Forecast'!AC$7,'History and Forecast'!$H53),INDEX('Forecast Prices'!$1:$1048576,'History and Forecast'!$G53,'History and Forecast'!AC$6))</f>
        <v>#N/A</v>
      </c>
      <c r="AD53" s="17" t="e">
        <f>IF(AD$9,INDEX('Annual Real'!$1:$1048576,'History and Forecast'!AD$7,'History and Forecast'!$H53),INDEX('Forecast Prices'!$1:$1048576,'History and Forecast'!$G53,'History and Forecast'!AD$6))</f>
        <v>#N/A</v>
      </c>
      <c r="AE53" s="17" t="e">
        <f>IF(AE$9,INDEX('Annual Real'!$1:$1048576,'History and Forecast'!AE$7,'History and Forecast'!$H53),INDEX('Forecast Prices'!$1:$1048576,'History and Forecast'!$G53,'History and Forecast'!AE$6))</f>
        <v>#N/A</v>
      </c>
      <c r="AF53" s="17" t="e">
        <f>IF(AF$9,INDEX('Annual Real'!$1:$1048576,'History and Forecast'!AF$7,'History and Forecast'!$H53),INDEX('Forecast Prices'!$1:$1048576,'History and Forecast'!$G53,'History and Forecast'!AF$6))</f>
        <v>#N/A</v>
      </c>
      <c r="AG53" s="17" t="e">
        <f>IF(AG$9,INDEX('Annual Real'!$1:$1048576,'History and Forecast'!AG$7,'History and Forecast'!$H53),INDEX('Forecast Prices'!$1:$1048576,'History and Forecast'!$G53,'History and Forecast'!AG$6))</f>
        <v>#N/A</v>
      </c>
      <c r="AH53" s="17" t="e">
        <f>IF(AH$9,INDEX('Annual Real'!$1:$1048576,'History and Forecast'!AH$7,'History and Forecast'!$H53),INDEX('Forecast Prices'!$1:$1048576,'History and Forecast'!$G53,'History and Forecast'!AH$6))</f>
        <v>#N/A</v>
      </c>
      <c r="AI53" s="17" t="e">
        <f>IF(AI$9,INDEX('Annual Real'!$1:$1048576,'History and Forecast'!AI$7,'History and Forecast'!$H53),INDEX('Forecast Prices'!$1:$1048576,'History and Forecast'!$G53,'History and Forecast'!AI$6))</f>
        <v>#N/A</v>
      </c>
      <c r="AJ53" s="17" t="e">
        <f>IF(AJ$9,INDEX('Annual Real'!$1:$1048576,'History and Forecast'!AJ$7,'History and Forecast'!$H53),INDEX('Forecast Prices'!$1:$1048576,'History and Forecast'!$G53,'History and Forecast'!AJ$6))</f>
        <v>#N/A</v>
      </c>
      <c r="AK53" s="17" t="e">
        <f>IF(AK$9,INDEX('Annual Real'!$1:$1048576,'History and Forecast'!AK$7,'History and Forecast'!$H53),INDEX('Forecast Prices'!$1:$1048576,'History and Forecast'!$G53,'History and Forecast'!AK$6))</f>
        <v>#N/A</v>
      </c>
      <c r="AL53" s="17" t="e">
        <f>IF(AL$9,INDEX('Annual Real'!$1:$1048576,'History and Forecast'!AL$7,'History and Forecast'!$H53),INDEX('Forecast Prices'!$1:$1048576,'History and Forecast'!$G53,'History and Forecast'!AL$6))</f>
        <v>#N/A</v>
      </c>
      <c r="AM53" s="17" t="e">
        <f>IF(AM$9,INDEX('Annual Real'!$1:$1048576,'History and Forecast'!AM$7,'History and Forecast'!$H53),INDEX('Forecast Prices'!$1:$1048576,'History and Forecast'!$G53,'History and Forecast'!AM$6))</f>
        <v>#N/A</v>
      </c>
      <c r="AN53" s="17" t="e">
        <f>IF(AN$9,INDEX('Annual Real'!$1:$1048576,'History and Forecast'!AN$7,'History and Forecast'!$H53),INDEX('Forecast Prices'!$1:$1048576,'History and Forecast'!$G53,'History and Forecast'!AN$6))</f>
        <v>#N/A</v>
      </c>
      <c r="AO53" s="17" t="e">
        <f>IF(AO$9,INDEX('Annual Real'!$1:$1048576,'History and Forecast'!AO$7,'History and Forecast'!$H53),INDEX('Forecast Prices'!$1:$1048576,'History and Forecast'!$G53,'History and Forecast'!AO$6))</f>
        <v>#N/A</v>
      </c>
      <c r="AP53" s="17" t="e">
        <f>IF(AP$9,INDEX('Annual Real'!$1:$1048576,'History and Forecast'!AP$7,'History and Forecast'!$H53),INDEX('Forecast Prices'!$1:$1048576,'History and Forecast'!$G53,'History and Forecast'!AP$6))</f>
        <v>#N/A</v>
      </c>
      <c r="AQ53" s="17" t="e">
        <f>IF(AQ$9,INDEX('Annual Real'!$1:$1048576,'History and Forecast'!AQ$7,'History and Forecast'!$H53),INDEX('Forecast Prices'!$1:$1048576,'History and Forecast'!$G53,'History and Forecast'!AQ$6))</f>
        <v>#N/A</v>
      </c>
      <c r="AR53" s="17" t="e">
        <f>IF(AR$9,INDEX('Annual Real'!$1:$1048576,'History and Forecast'!AR$7,'History and Forecast'!$H53),INDEX('Forecast Prices'!$1:$1048576,'History and Forecast'!$G53,'History and Forecast'!AR$6))</f>
        <v>#N/A</v>
      </c>
      <c r="AS53" s="17" t="e">
        <f>IF(AS$9,INDEX('Annual Real'!$1:$1048576,'History and Forecast'!AS$7,'History and Forecast'!$H53),INDEX('Forecast Prices'!$1:$1048576,'History and Forecast'!$G53,'History and Forecast'!AS$6))</f>
        <v>#N/A</v>
      </c>
      <c r="AT53" s="17" t="e">
        <f>IF(AT$9,INDEX('Annual Real'!$1:$1048576,'History and Forecast'!AT$7,'History and Forecast'!$H53),INDEX('Forecast Prices'!$1:$1048576,'History and Forecast'!$G53,'History and Forecast'!AT$6))</f>
        <v>#N/A</v>
      </c>
      <c r="AU53" s="17" t="e">
        <f>IF(AU$9,INDEX('Annual Real'!$1:$1048576,'History and Forecast'!AU$7,'History and Forecast'!$H53),INDEX('Forecast Prices'!$1:$1048576,'History and Forecast'!$G53,'History and Forecast'!AU$6))</f>
        <v>#N/A</v>
      </c>
      <c r="AV53" s="17" t="e">
        <f>IF(AV$9,INDEX('Annual Real'!$1:$1048576,'History and Forecast'!AV$7,'History and Forecast'!$H53),INDEX('Forecast Prices'!$1:$1048576,'History and Forecast'!$G53,'History and Forecast'!AV$6))</f>
        <v>#N/A</v>
      </c>
      <c r="AW53" s="17" t="e">
        <f>IF(AW$9,INDEX('Annual Real'!$1:$1048576,'History and Forecast'!AW$7,'History and Forecast'!$H53),INDEX('Forecast Prices'!$1:$1048576,'History and Forecast'!$G53,'History and Forecast'!AW$6))</f>
        <v>#N/A</v>
      </c>
      <c r="AX53" s="17" t="e">
        <f>IF(AX$9,INDEX('Annual Real'!$1:$1048576,'History and Forecast'!AX$7,'History and Forecast'!$H53),INDEX('Forecast Prices'!$1:$1048576,'History and Forecast'!$G53,'History and Forecast'!AX$6))</f>
        <v>#N/A</v>
      </c>
      <c r="AY53" s="17" t="e">
        <f>IF(AY$9,INDEX('Annual Real'!$1:$1048576,'History and Forecast'!AY$7,'History and Forecast'!$H53),INDEX('Forecast Prices'!$1:$1048576,'History and Forecast'!$G53,'History and Forecast'!AY$6))</f>
        <v>#N/A</v>
      </c>
      <c r="AZ53" s="17" t="e">
        <f>IF(AZ$9,INDEX('Annual Real'!$1:$1048576,'History and Forecast'!AZ$7,'History and Forecast'!$H53),INDEX('Forecast Prices'!$1:$1048576,'History and Forecast'!$G53,'History and Forecast'!AZ$6))</f>
        <v>#N/A</v>
      </c>
      <c r="BA53" s="17" t="e">
        <f>IF(BA$9,INDEX('Annual Real'!$1:$1048576,'History and Forecast'!BA$7,'History and Forecast'!$H53),INDEX('Forecast Prices'!$1:$1048576,'History and Forecast'!$G53,'History and Forecast'!BA$6))</f>
        <v>#N/A</v>
      </c>
      <c r="BB53" s="17" t="e">
        <f>IF(BB$9,INDEX('Annual Real'!$1:$1048576,'History and Forecast'!BB$7,'History and Forecast'!$H53),INDEX('Forecast Prices'!$1:$1048576,'History and Forecast'!$G53,'History and Forecast'!BB$6))</f>
        <v>#N/A</v>
      </c>
      <c r="BC53" s="17" t="e">
        <f>IF(BC$9,INDEX('Annual Real'!$1:$1048576,'History and Forecast'!BC$7,'History and Forecast'!$H53),INDEX('Forecast Prices'!$1:$1048576,'History and Forecast'!$G53,'History and Forecast'!BC$6))</f>
        <v>#N/A</v>
      </c>
      <c r="BD53" s="17" t="e">
        <f>IF(BD$9,INDEX('Annual Real'!$1:$1048576,'History and Forecast'!BD$7,'History and Forecast'!$H53),INDEX('Forecast Prices'!$1:$1048576,'History and Forecast'!$G53,'History and Forecast'!BD$6))</f>
        <v>#N/A</v>
      </c>
      <c r="BE53" s="17" t="e">
        <f>IF(BE$9,INDEX('Annual Real'!$1:$1048576,'History and Forecast'!BE$7,'History and Forecast'!$H53),INDEX('Forecast Prices'!$1:$1048576,'History and Forecast'!$G53,'History and Forecast'!BE$6))</f>
        <v>#N/A</v>
      </c>
      <c r="BF53" s="17" t="e">
        <f>IF(BF$9,INDEX('Annual Real'!$1:$1048576,'History and Forecast'!BF$7,'History and Forecast'!$H53),INDEX('Forecast Prices'!$1:$1048576,'History and Forecast'!$G53,'History and Forecast'!BF$6))</f>
        <v>#N/A</v>
      </c>
      <c r="BG53" s="17" t="e">
        <f>IF(BG$9,INDEX('Annual Real'!$1:$1048576,'History and Forecast'!BG$7,'History and Forecast'!$H53),INDEX('Forecast Prices'!$1:$1048576,'History and Forecast'!$G53,'History and Forecast'!BG$6))</f>
        <v>#N/A</v>
      </c>
      <c r="BH53" s="17" t="e">
        <f>IF(BH$9,INDEX('Annual Real'!$1:$1048576,'History and Forecast'!BH$7,'History and Forecast'!$H53),INDEX('Forecast Prices'!$1:$1048576,'History and Forecast'!$G53,'History and Forecast'!BH$6))</f>
        <v>#N/A</v>
      </c>
      <c r="BI53" s="17" t="e">
        <f>IF(BI$9,INDEX('Annual Real'!$1:$1048576,'History and Forecast'!BI$7,'History and Forecast'!$H53),INDEX('Forecast Prices'!$1:$1048576,'History and Forecast'!$G53,'History and Forecast'!BI$6))</f>
        <v>#N/A</v>
      </c>
      <c r="BJ53" s="17" t="e">
        <f>IF(BJ$9,INDEX('Annual Real'!$1:$1048576,'History and Forecast'!BJ$7,'History and Forecast'!$H53),INDEX('Forecast Prices'!$1:$1048576,'History and Forecast'!$G53,'History and Forecast'!BJ$6))</f>
        <v>#N/A</v>
      </c>
      <c r="BK53" s="17" t="e">
        <f>IF(BK$9,INDEX('Annual Real'!$1:$1048576,'History and Forecast'!BK$7,'History and Forecast'!$H53),INDEX('Forecast Prices'!$1:$1048576,'History and Forecast'!$G53,'History and Forecast'!BK$6))</f>
        <v>#N/A</v>
      </c>
      <c r="BL53" s="17" t="e">
        <f>IF(BL$9,INDEX('Annual Real'!$1:$1048576,'History and Forecast'!BL$7,'History and Forecast'!$H53),INDEX('Forecast Prices'!$1:$1048576,'History and Forecast'!$G53,'History and Forecast'!BL$6))</f>
        <v>#N/A</v>
      </c>
      <c r="BM53" s="17" t="e">
        <f>IF(BM$9,INDEX('Annual Real'!$1:$1048576,'History and Forecast'!BM$7,'History and Forecast'!$H53),INDEX('Forecast Prices'!$1:$1048576,'History and Forecast'!$G53,'History and Forecast'!BM$6))</f>
        <v>#N/A</v>
      </c>
      <c r="BN53" s="17" t="e">
        <f>IF(BN$9,INDEX('Annual Real'!$1:$1048576,'History and Forecast'!BN$7,'History and Forecast'!$H53),INDEX('Forecast Prices'!$1:$1048576,'History and Forecast'!$G53,'History and Forecast'!BN$6))</f>
        <v>#N/A</v>
      </c>
      <c r="BO53" s="17">
        <f>IF(BO$9,INDEX('Annual Real'!$1:$1048576,'History and Forecast'!BO$7,'History and Forecast'!$H53),INDEX('Forecast Prices'!$1:$1048576,'History and Forecast'!$G53,'History and Forecast'!BO$6))</f>
        <v>1328.2544551097001</v>
      </c>
      <c r="BP53" s="17">
        <f>IF(BP$9,INDEX('Annual Real'!$1:$1048576,'History and Forecast'!BP$7,'History and Forecast'!$H53),INDEX('Forecast Prices'!$1:$1048576,'History and Forecast'!$G53,'History and Forecast'!BP$6))</f>
        <v>1292.6528232299099</v>
      </c>
      <c r="BQ53" s="17">
        <f>IF(BQ$9,INDEX('Annual Real'!$1:$1048576,'History and Forecast'!BQ$7,'History and Forecast'!$H53),INDEX('Forecast Prices'!$1:$1048576,'History and Forecast'!$G53,'History and Forecast'!BQ$6))</f>
        <v>1246.0708713782401</v>
      </c>
      <c r="BR53" s="17">
        <f>IF(BR$9,INDEX('Annual Real'!$1:$1048576,'History and Forecast'!BR$7,'History and Forecast'!$H53),INDEX('Forecast Prices'!$1:$1048576,'History and Forecast'!$G53,'History and Forecast'!BR$6))</f>
        <v>1261.0821957619401</v>
      </c>
      <c r="BS53" s="17">
        <f>IF(BS$9,INDEX('Annual Real'!$1:$1048576,'History and Forecast'!BS$7,'History and Forecast'!$H53),INDEX('Forecast Prices'!$1:$1048576,'History and Forecast'!$G53,'History and Forecast'!BS$6))</f>
        <v>1287.32099606162</v>
      </c>
      <c r="BT53" s="17">
        <f>IF(BT$9,INDEX('Annual Real'!$1:$1048576,'History and Forecast'!BT$7,'History and Forecast'!$H53),INDEX('Forecast Prices'!$1:$1048576,'History and Forecast'!$G53,'History and Forecast'!BT$6))</f>
        <v>1260.40399416164</v>
      </c>
      <c r="BU53" s="17">
        <f>IF(BU$9,INDEX('Annual Real'!$1:$1048576,'History and Forecast'!BU$7,'History and Forecast'!$H53),INDEX('Forecast Prices'!$1:$1048576,'History and Forecast'!$G53,'History and Forecast'!BU$6))</f>
        <v>1233.06056171197</v>
      </c>
      <c r="BV53" s="17">
        <f>IF(BV$9,INDEX('Annual Real'!$1:$1048576,'History and Forecast'!BV$7,'History and Forecast'!$H53),INDEX('Forecast Prices'!$1:$1048576,'History and Forecast'!$G53,'History and Forecast'!BV$6))</f>
        <v>1206.4167850051099</v>
      </c>
      <c r="BW53" s="17">
        <f>IF(BW$9,INDEX('Annual Real'!$1:$1048576,'History and Forecast'!BW$7,'History and Forecast'!$H53),INDEX('Forecast Prices'!$1:$1048576,'History and Forecast'!$G53,'History and Forecast'!BW$6))</f>
        <v>1180.3483313648801</v>
      </c>
      <c r="BX53" s="17">
        <f>IF(BX$9,INDEX('Annual Real'!$1:$1048576,'History and Forecast'!BX$7,'History and Forecast'!$H53),INDEX('Forecast Prices'!$1:$1048576,'History and Forecast'!$G53,'History and Forecast'!BX$6))</f>
        <v>1154.77656497304</v>
      </c>
      <c r="BY53" s="17" t="e">
        <f>IF(BY$9,INDEX('Annual Real'!$1:$1048576,'History and Forecast'!BY$7,'History and Forecast'!$H53),INDEX('Forecast Prices'!$1:$1048576,'History and Forecast'!$G53,'History and Forecast'!BY$6))</f>
        <v>#N/A</v>
      </c>
      <c r="BZ53" s="17" t="e">
        <f>IF(BZ$9,INDEX('Annual Real'!$1:$1048576,'History and Forecast'!BZ$7,'History and Forecast'!$H53),INDEX('Forecast Prices'!$1:$1048576,'History and Forecast'!$G53,'History and Forecast'!BZ$6))</f>
        <v>#N/A</v>
      </c>
      <c r="CA53" s="17" t="e">
        <f>IF(CA$9,INDEX('Annual Real'!$1:$1048576,'History and Forecast'!CA$7,'History and Forecast'!$H53),INDEX('Forecast Prices'!$1:$1048576,'History and Forecast'!$G53,'History and Forecast'!CA$6))</f>
        <v>#N/A</v>
      </c>
      <c r="CB53" s="17" t="e">
        <f>IF(CB$9,INDEX('Annual Real'!$1:$1048576,'History and Forecast'!CB$7,'History and Forecast'!$H53),INDEX('Forecast Prices'!$1:$1048576,'History and Forecast'!$G53,'History and Forecast'!CB$6))</f>
        <v>#N/A</v>
      </c>
      <c r="CC53" s="17">
        <f>IF(CC$9,INDEX('Annual Real'!$1:$1048576,'History and Forecast'!CC$7,'History and Forecast'!$H53),INDEX('Forecast Prices'!$1:$1048576,'History and Forecast'!$G53,'History and Forecast'!CC$6))</f>
        <v>1033.4105504162401</v>
      </c>
      <c r="CD53" s="17" t="e">
        <f>IF(CD$9,INDEX('Annual Real'!$1:$1048576,'History and Forecast'!CD$7,'History and Forecast'!$H53),INDEX('Forecast Prices'!$1:$1048576,'History and Forecast'!$G53,'History and Forecast'!CD$6))</f>
        <v>#N/A</v>
      </c>
      <c r="CE53" s="17" t="e">
        <f>IF(CE$9,INDEX('Annual Real'!$1:$1048576,'History and Forecast'!CE$7,'History and Forecast'!$H53),INDEX('Forecast Prices'!$1:$1048576,'History and Forecast'!$G53,'History and Forecast'!CE$6))</f>
        <v>#N/A</v>
      </c>
      <c r="CF53" s="17" t="e">
        <f>IF(CF$9,INDEX('Annual Real'!$1:$1048576,'History and Forecast'!CF$7,'History and Forecast'!$H53),INDEX('Forecast Prices'!$1:$1048576,'History and Forecast'!$G53,'History and Forecast'!CF$6))</f>
        <v>#N/A</v>
      </c>
      <c r="CG53" s="17" t="e">
        <f>IF(CG$9,INDEX('Annual Real'!$1:$1048576,'History and Forecast'!CG$7,'History and Forecast'!$H53),INDEX('Forecast Prices'!$1:$1048576,'History and Forecast'!$G53,'History and Forecast'!CG$6))</f>
        <v>#N/A</v>
      </c>
      <c r="CH53" s="17" t="e">
        <f>IF(CH$9,INDEX('Annual Real'!$1:$1048576,'History and Forecast'!CH$7,'History and Forecast'!$H53),INDEX('Forecast Prices'!$1:$1048576,'History and Forecast'!$G53,'History and Forecast'!CH$6))</f>
        <v>#N/A</v>
      </c>
      <c r="CI53" s="17" t="e">
        <f>IF(CI$9,INDEX('Annual Real'!$1:$1048576,'History and Forecast'!CI$7,'History and Forecast'!$H53),INDEX('Forecast Prices'!$1:$1048576,'History and Forecast'!$G53,'History and Forecast'!CI$6))</f>
        <v>#N/A</v>
      </c>
    </row>
    <row r="54" spans="2:87">
      <c r="B54" t="str">
        <f t="shared" si="7"/>
        <v>SILVER</v>
      </c>
      <c r="C54" s="34" t="s">
        <v>1114</v>
      </c>
      <c r="D54" t="str">
        <f t="shared" si="5"/>
        <v>KSILVER</v>
      </c>
      <c r="E54" s="34" t="str">
        <f t="shared" si="6"/>
        <v>KFSILVER</v>
      </c>
      <c r="F54">
        <f>MATCH(C54,'Forecast Prices'!A:A,0)</f>
        <v>71</v>
      </c>
      <c r="G54">
        <f>MATCH(E54,'Forecast Prices'!A:A,0)</f>
        <v>153</v>
      </c>
      <c r="H54" t="e">
        <f>MATCH(D54,'Annual Real'!$9:$9,0)</f>
        <v>#N/A</v>
      </c>
      <c r="I54" t="str">
        <f>INDEX('Forecast Prices'!B:B,'History and Forecast'!F54)&amp;INDEX('Forecast Prices'!C:C,'History and Forecast'!F54)&amp;INDEX('Forecast Prices'!D:D,'History and Forecast'!F54)&amp;INDEX('Forecast Prices'!E:E,'History and Forecast'!F54)</f>
        <v>Silver</v>
      </c>
      <c r="J54" t="str">
        <f>INDEX('Forecast Prices'!H:H,'History and Forecast'!F54)</f>
        <v>$/toz</v>
      </c>
      <c r="K54" s="17" t="e">
        <f>IF(K$9,INDEX('Annual Real'!$1:$1048576,'History and Forecast'!K$7,'History and Forecast'!$H54),INDEX('Forecast Prices'!$1:$1048576,'History and Forecast'!$G54,'History and Forecast'!K$6))</f>
        <v>#N/A</v>
      </c>
      <c r="L54" s="17" t="e">
        <f>IF(L$9,INDEX('Annual Real'!$1:$1048576,'History and Forecast'!L$7,'History and Forecast'!$H54),INDEX('Forecast Prices'!$1:$1048576,'History and Forecast'!$G54,'History and Forecast'!L$6))</f>
        <v>#N/A</v>
      </c>
      <c r="M54" s="17" t="e">
        <f>IF(M$9,INDEX('Annual Real'!$1:$1048576,'History and Forecast'!M$7,'History and Forecast'!$H54),INDEX('Forecast Prices'!$1:$1048576,'History and Forecast'!$G54,'History and Forecast'!M$6))</f>
        <v>#N/A</v>
      </c>
      <c r="N54" s="17" t="e">
        <f>IF(N$9,INDEX('Annual Real'!$1:$1048576,'History and Forecast'!N$7,'History and Forecast'!$H54),INDEX('Forecast Prices'!$1:$1048576,'History and Forecast'!$G54,'History and Forecast'!N$6))</f>
        <v>#N/A</v>
      </c>
      <c r="O54" s="17" t="e">
        <f>IF(O$9,INDEX('Annual Real'!$1:$1048576,'History and Forecast'!O$7,'History and Forecast'!$H54),INDEX('Forecast Prices'!$1:$1048576,'History and Forecast'!$G54,'History and Forecast'!O$6))</f>
        <v>#N/A</v>
      </c>
      <c r="P54" s="17" t="e">
        <f>IF(P$9,INDEX('Annual Real'!$1:$1048576,'History and Forecast'!P$7,'History and Forecast'!$H54),INDEX('Forecast Prices'!$1:$1048576,'History and Forecast'!$G54,'History and Forecast'!P$6))</f>
        <v>#N/A</v>
      </c>
      <c r="Q54" s="17" t="e">
        <f>IF(Q$9,INDEX('Annual Real'!$1:$1048576,'History and Forecast'!Q$7,'History and Forecast'!$H54),INDEX('Forecast Prices'!$1:$1048576,'History and Forecast'!$G54,'History and Forecast'!Q$6))</f>
        <v>#N/A</v>
      </c>
      <c r="R54" s="17" t="e">
        <f>IF(R$9,INDEX('Annual Real'!$1:$1048576,'History and Forecast'!R$7,'History and Forecast'!$H54),INDEX('Forecast Prices'!$1:$1048576,'History and Forecast'!$G54,'History and Forecast'!R$6))</f>
        <v>#N/A</v>
      </c>
      <c r="S54" s="17" t="e">
        <f>IF(S$9,INDEX('Annual Real'!$1:$1048576,'History and Forecast'!S$7,'History and Forecast'!$H54),INDEX('Forecast Prices'!$1:$1048576,'History and Forecast'!$G54,'History and Forecast'!S$6))</f>
        <v>#N/A</v>
      </c>
      <c r="T54" s="17" t="e">
        <f>IF(T$9,INDEX('Annual Real'!$1:$1048576,'History and Forecast'!T$7,'History and Forecast'!$H54),INDEX('Forecast Prices'!$1:$1048576,'History and Forecast'!$G54,'History and Forecast'!T$6))</f>
        <v>#N/A</v>
      </c>
      <c r="U54" s="17" t="e">
        <f>IF(U$9,INDEX('Annual Real'!$1:$1048576,'History and Forecast'!U$7,'History and Forecast'!$H54),INDEX('Forecast Prices'!$1:$1048576,'History and Forecast'!$G54,'History and Forecast'!U$6))</f>
        <v>#N/A</v>
      </c>
      <c r="V54" s="17" t="e">
        <f>IF(V$9,INDEX('Annual Real'!$1:$1048576,'History and Forecast'!V$7,'History and Forecast'!$H54),INDEX('Forecast Prices'!$1:$1048576,'History and Forecast'!$G54,'History and Forecast'!V$6))</f>
        <v>#N/A</v>
      </c>
      <c r="W54" s="17" t="e">
        <f>IF(W$9,INDEX('Annual Real'!$1:$1048576,'History and Forecast'!W$7,'History and Forecast'!$H54),INDEX('Forecast Prices'!$1:$1048576,'History and Forecast'!$G54,'History and Forecast'!W$6))</f>
        <v>#N/A</v>
      </c>
      <c r="X54" s="17" t="e">
        <f>IF(X$9,INDEX('Annual Real'!$1:$1048576,'History and Forecast'!X$7,'History and Forecast'!$H54),INDEX('Forecast Prices'!$1:$1048576,'History and Forecast'!$G54,'History and Forecast'!X$6))</f>
        <v>#N/A</v>
      </c>
      <c r="Y54" s="17" t="e">
        <f>IF(Y$9,INDEX('Annual Real'!$1:$1048576,'History and Forecast'!Y$7,'History and Forecast'!$H54),INDEX('Forecast Prices'!$1:$1048576,'History and Forecast'!$G54,'History and Forecast'!Y$6))</f>
        <v>#N/A</v>
      </c>
      <c r="Z54" s="17" t="e">
        <f>IF(Z$9,INDEX('Annual Real'!$1:$1048576,'History and Forecast'!Z$7,'History and Forecast'!$H54),INDEX('Forecast Prices'!$1:$1048576,'History and Forecast'!$G54,'History and Forecast'!Z$6))</f>
        <v>#N/A</v>
      </c>
      <c r="AA54" s="17" t="e">
        <f>IF(AA$9,INDEX('Annual Real'!$1:$1048576,'History and Forecast'!AA$7,'History and Forecast'!$H54),INDEX('Forecast Prices'!$1:$1048576,'History and Forecast'!$G54,'History and Forecast'!AA$6))</f>
        <v>#N/A</v>
      </c>
      <c r="AB54" s="17" t="e">
        <f>IF(AB$9,INDEX('Annual Real'!$1:$1048576,'History and Forecast'!AB$7,'History and Forecast'!$H54),INDEX('Forecast Prices'!$1:$1048576,'History and Forecast'!$G54,'History and Forecast'!AB$6))</f>
        <v>#N/A</v>
      </c>
      <c r="AC54" s="17" t="e">
        <f>IF(AC$9,INDEX('Annual Real'!$1:$1048576,'History and Forecast'!AC$7,'History and Forecast'!$H54),INDEX('Forecast Prices'!$1:$1048576,'History and Forecast'!$G54,'History and Forecast'!AC$6))</f>
        <v>#N/A</v>
      </c>
      <c r="AD54" s="17" t="e">
        <f>IF(AD$9,INDEX('Annual Real'!$1:$1048576,'History and Forecast'!AD$7,'History and Forecast'!$H54),INDEX('Forecast Prices'!$1:$1048576,'History and Forecast'!$G54,'History and Forecast'!AD$6))</f>
        <v>#N/A</v>
      </c>
      <c r="AE54" s="17" t="e">
        <f>IF(AE$9,INDEX('Annual Real'!$1:$1048576,'History and Forecast'!AE$7,'History and Forecast'!$H54),INDEX('Forecast Prices'!$1:$1048576,'History and Forecast'!$G54,'History and Forecast'!AE$6))</f>
        <v>#N/A</v>
      </c>
      <c r="AF54" s="17" t="e">
        <f>IF(AF$9,INDEX('Annual Real'!$1:$1048576,'History and Forecast'!AF$7,'History and Forecast'!$H54),INDEX('Forecast Prices'!$1:$1048576,'History and Forecast'!$G54,'History and Forecast'!AF$6))</f>
        <v>#N/A</v>
      </c>
      <c r="AG54" s="17" t="e">
        <f>IF(AG$9,INDEX('Annual Real'!$1:$1048576,'History and Forecast'!AG$7,'History and Forecast'!$H54),INDEX('Forecast Prices'!$1:$1048576,'History and Forecast'!$G54,'History and Forecast'!AG$6))</f>
        <v>#N/A</v>
      </c>
      <c r="AH54" s="17" t="e">
        <f>IF(AH$9,INDEX('Annual Real'!$1:$1048576,'History and Forecast'!AH$7,'History and Forecast'!$H54),INDEX('Forecast Prices'!$1:$1048576,'History and Forecast'!$G54,'History and Forecast'!AH$6))</f>
        <v>#N/A</v>
      </c>
      <c r="AI54" s="17" t="e">
        <f>IF(AI$9,INDEX('Annual Real'!$1:$1048576,'History and Forecast'!AI$7,'History and Forecast'!$H54),INDEX('Forecast Prices'!$1:$1048576,'History and Forecast'!$G54,'History and Forecast'!AI$6))</f>
        <v>#N/A</v>
      </c>
      <c r="AJ54" s="17" t="e">
        <f>IF(AJ$9,INDEX('Annual Real'!$1:$1048576,'History and Forecast'!AJ$7,'History and Forecast'!$H54),INDEX('Forecast Prices'!$1:$1048576,'History and Forecast'!$G54,'History and Forecast'!AJ$6))</f>
        <v>#N/A</v>
      </c>
      <c r="AK54" s="17" t="e">
        <f>IF(AK$9,INDEX('Annual Real'!$1:$1048576,'History and Forecast'!AK$7,'History and Forecast'!$H54),INDEX('Forecast Prices'!$1:$1048576,'History and Forecast'!$G54,'History and Forecast'!AK$6))</f>
        <v>#N/A</v>
      </c>
      <c r="AL54" s="17" t="e">
        <f>IF(AL$9,INDEX('Annual Real'!$1:$1048576,'History and Forecast'!AL$7,'History and Forecast'!$H54),INDEX('Forecast Prices'!$1:$1048576,'History and Forecast'!$G54,'History and Forecast'!AL$6))</f>
        <v>#N/A</v>
      </c>
      <c r="AM54" s="17" t="e">
        <f>IF(AM$9,INDEX('Annual Real'!$1:$1048576,'History and Forecast'!AM$7,'History and Forecast'!$H54),INDEX('Forecast Prices'!$1:$1048576,'History and Forecast'!$G54,'History and Forecast'!AM$6))</f>
        <v>#N/A</v>
      </c>
      <c r="AN54" s="17" t="e">
        <f>IF(AN$9,INDEX('Annual Real'!$1:$1048576,'History and Forecast'!AN$7,'History and Forecast'!$H54),INDEX('Forecast Prices'!$1:$1048576,'History and Forecast'!$G54,'History and Forecast'!AN$6))</f>
        <v>#N/A</v>
      </c>
      <c r="AO54" s="17" t="e">
        <f>IF(AO$9,INDEX('Annual Real'!$1:$1048576,'History and Forecast'!AO$7,'History and Forecast'!$H54),INDEX('Forecast Prices'!$1:$1048576,'History and Forecast'!$G54,'History and Forecast'!AO$6))</f>
        <v>#N/A</v>
      </c>
      <c r="AP54" s="17" t="e">
        <f>IF(AP$9,INDEX('Annual Real'!$1:$1048576,'History and Forecast'!AP$7,'History and Forecast'!$H54),INDEX('Forecast Prices'!$1:$1048576,'History and Forecast'!$G54,'History and Forecast'!AP$6))</f>
        <v>#N/A</v>
      </c>
      <c r="AQ54" s="17" t="e">
        <f>IF(AQ$9,INDEX('Annual Real'!$1:$1048576,'History and Forecast'!AQ$7,'History and Forecast'!$H54),INDEX('Forecast Prices'!$1:$1048576,'History and Forecast'!$G54,'History and Forecast'!AQ$6))</f>
        <v>#N/A</v>
      </c>
      <c r="AR54" s="17" t="e">
        <f>IF(AR$9,INDEX('Annual Real'!$1:$1048576,'History and Forecast'!AR$7,'History and Forecast'!$H54),INDEX('Forecast Prices'!$1:$1048576,'History and Forecast'!$G54,'History and Forecast'!AR$6))</f>
        <v>#N/A</v>
      </c>
      <c r="AS54" s="17" t="e">
        <f>IF(AS$9,INDEX('Annual Real'!$1:$1048576,'History and Forecast'!AS$7,'History and Forecast'!$H54),INDEX('Forecast Prices'!$1:$1048576,'History and Forecast'!$G54,'History and Forecast'!AS$6))</f>
        <v>#N/A</v>
      </c>
      <c r="AT54" s="17" t="e">
        <f>IF(AT$9,INDEX('Annual Real'!$1:$1048576,'History and Forecast'!AT$7,'History and Forecast'!$H54),INDEX('Forecast Prices'!$1:$1048576,'History and Forecast'!$G54,'History and Forecast'!AT$6))</f>
        <v>#N/A</v>
      </c>
      <c r="AU54" s="17" t="e">
        <f>IF(AU$9,INDEX('Annual Real'!$1:$1048576,'History and Forecast'!AU$7,'History and Forecast'!$H54),INDEX('Forecast Prices'!$1:$1048576,'History and Forecast'!$G54,'History and Forecast'!AU$6))</f>
        <v>#N/A</v>
      </c>
      <c r="AV54" s="17" t="e">
        <f>IF(AV$9,INDEX('Annual Real'!$1:$1048576,'History and Forecast'!AV$7,'History and Forecast'!$H54),INDEX('Forecast Prices'!$1:$1048576,'History and Forecast'!$G54,'History and Forecast'!AV$6))</f>
        <v>#N/A</v>
      </c>
      <c r="AW54" s="17" t="e">
        <f>IF(AW$9,INDEX('Annual Real'!$1:$1048576,'History and Forecast'!AW$7,'History and Forecast'!$H54),INDEX('Forecast Prices'!$1:$1048576,'History and Forecast'!$G54,'History and Forecast'!AW$6))</f>
        <v>#N/A</v>
      </c>
      <c r="AX54" s="17" t="e">
        <f>IF(AX$9,INDEX('Annual Real'!$1:$1048576,'History and Forecast'!AX$7,'History and Forecast'!$H54),INDEX('Forecast Prices'!$1:$1048576,'History and Forecast'!$G54,'History and Forecast'!AX$6))</f>
        <v>#N/A</v>
      </c>
      <c r="AY54" s="17" t="e">
        <f>IF(AY$9,INDEX('Annual Real'!$1:$1048576,'History and Forecast'!AY$7,'History and Forecast'!$H54),INDEX('Forecast Prices'!$1:$1048576,'History and Forecast'!$G54,'History and Forecast'!AY$6))</f>
        <v>#N/A</v>
      </c>
      <c r="AZ54" s="17" t="e">
        <f>IF(AZ$9,INDEX('Annual Real'!$1:$1048576,'History and Forecast'!AZ$7,'History and Forecast'!$H54),INDEX('Forecast Prices'!$1:$1048576,'History and Forecast'!$G54,'History and Forecast'!AZ$6))</f>
        <v>#N/A</v>
      </c>
      <c r="BA54" s="17" t="e">
        <f>IF(BA$9,INDEX('Annual Real'!$1:$1048576,'History and Forecast'!BA$7,'History and Forecast'!$H54),INDEX('Forecast Prices'!$1:$1048576,'History and Forecast'!$G54,'History and Forecast'!BA$6))</f>
        <v>#N/A</v>
      </c>
      <c r="BB54" s="17" t="e">
        <f>IF(BB$9,INDEX('Annual Real'!$1:$1048576,'History and Forecast'!BB$7,'History and Forecast'!$H54),INDEX('Forecast Prices'!$1:$1048576,'History and Forecast'!$G54,'History and Forecast'!BB$6))</f>
        <v>#N/A</v>
      </c>
      <c r="BC54" s="17" t="e">
        <f>IF(BC$9,INDEX('Annual Real'!$1:$1048576,'History and Forecast'!BC$7,'History and Forecast'!$H54),INDEX('Forecast Prices'!$1:$1048576,'History and Forecast'!$G54,'History and Forecast'!BC$6))</f>
        <v>#N/A</v>
      </c>
      <c r="BD54" s="17" t="e">
        <f>IF(BD$9,INDEX('Annual Real'!$1:$1048576,'History and Forecast'!BD$7,'History and Forecast'!$H54),INDEX('Forecast Prices'!$1:$1048576,'History and Forecast'!$G54,'History and Forecast'!BD$6))</f>
        <v>#N/A</v>
      </c>
      <c r="BE54" s="17" t="e">
        <f>IF(BE$9,INDEX('Annual Real'!$1:$1048576,'History and Forecast'!BE$7,'History and Forecast'!$H54),INDEX('Forecast Prices'!$1:$1048576,'History and Forecast'!$G54,'History and Forecast'!BE$6))</f>
        <v>#N/A</v>
      </c>
      <c r="BF54" s="17" t="e">
        <f>IF(BF$9,INDEX('Annual Real'!$1:$1048576,'History and Forecast'!BF$7,'History and Forecast'!$H54),INDEX('Forecast Prices'!$1:$1048576,'History and Forecast'!$G54,'History and Forecast'!BF$6))</f>
        <v>#N/A</v>
      </c>
      <c r="BG54" s="17" t="e">
        <f>IF(BG$9,INDEX('Annual Real'!$1:$1048576,'History and Forecast'!BG$7,'History and Forecast'!$H54),INDEX('Forecast Prices'!$1:$1048576,'History and Forecast'!$G54,'History and Forecast'!BG$6))</f>
        <v>#N/A</v>
      </c>
      <c r="BH54" s="17" t="e">
        <f>IF(BH$9,INDEX('Annual Real'!$1:$1048576,'History and Forecast'!BH$7,'History and Forecast'!$H54),INDEX('Forecast Prices'!$1:$1048576,'History and Forecast'!$G54,'History and Forecast'!BH$6))</f>
        <v>#N/A</v>
      </c>
      <c r="BI54" s="17" t="e">
        <f>IF(BI$9,INDEX('Annual Real'!$1:$1048576,'History and Forecast'!BI$7,'History and Forecast'!$H54),INDEX('Forecast Prices'!$1:$1048576,'History and Forecast'!$G54,'History and Forecast'!BI$6))</f>
        <v>#N/A</v>
      </c>
      <c r="BJ54" s="17" t="e">
        <f>IF(BJ$9,INDEX('Annual Real'!$1:$1048576,'History and Forecast'!BJ$7,'History and Forecast'!$H54),INDEX('Forecast Prices'!$1:$1048576,'History and Forecast'!$G54,'History and Forecast'!BJ$6))</f>
        <v>#N/A</v>
      </c>
      <c r="BK54" s="17" t="e">
        <f>IF(BK$9,INDEX('Annual Real'!$1:$1048576,'History and Forecast'!BK$7,'History and Forecast'!$H54),INDEX('Forecast Prices'!$1:$1048576,'History and Forecast'!$G54,'History and Forecast'!BK$6))</f>
        <v>#N/A</v>
      </c>
      <c r="BL54" s="17" t="e">
        <f>IF(BL$9,INDEX('Annual Real'!$1:$1048576,'History and Forecast'!BL$7,'History and Forecast'!$H54),INDEX('Forecast Prices'!$1:$1048576,'History and Forecast'!$G54,'History and Forecast'!BL$6))</f>
        <v>#N/A</v>
      </c>
      <c r="BM54" s="17" t="e">
        <f>IF(BM$9,INDEX('Annual Real'!$1:$1048576,'History and Forecast'!BM$7,'History and Forecast'!$H54),INDEX('Forecast Prices'!$1:$1048576,'History and Forecast'!$G54,'History and Forecast'!BM$6))</f>
        <v>#N/A</v>
      </c>
      <c r="BN54" s="17" t="e">
        <f>IF(BN$9,INDEX('Annual Real'!$1:$1048576,'History and Forecast'!BN$7,'History and Forecast'!$H54),INDEX('Forecast Prices'!$1:$1048576,'History and Forecast'!$G54,'History and Forecast'!BN$6))</f>
        <v>#N/A</v>
      </c>
      <c r="BO54" s="17">
        <f>IF(BO$9,INDEX('Annual Real'!$1:$1048576,'History and Forecast'!BO$7,'History and Forecast'!$H54),INDEX('Forecast Prices'!$1:$1048576,'History and Forecast'!$G54,'History and Forecast'!BO$6))</f>
        <v>18.2349558200989</v>
      </c>
      <c r="BP54" s="17">
        <f>IF(BP$9,INDEX('Annual Real'!$1:$1048576,'History and Forecast'!BP$7,'History and Forecast'!$H54),INDEX('Forecast Prices'!$1:$1048576,'History and Forecast'!$G54,'History and Forecast'!BP$6))</f>
        <v>17.5424179697672</v>
      </c>
      <c r="BQ54" s="17">
        <f>IF(BQ$9,INDEX('Annual Real'!$1:$1048576,'History and Forecast'!BQ$7,'History and Forecast'!$H54),INDEX('Forecast Prices'!$1:$1048576,'History and Forecast'!$G54,'History and Forecast'!BQ$6))</f>
        <v>15.427068048092099</v>
      </c>
      <c r="BR54" s="17">
        <f>IF(BR$9,INDEX('Annual Real'!$1:$1048576,'History and Forecast'!BR$7,'History and Forecast'!$H54),INDEX('Forecast Prices'!$1:$1048576,'History and Forecast'!$G54,'History and Forecast'!BR$6))</f>
        <v>15.1137331858493</v>
      </c>
      <c r="BS54" s="17">
        <f>IF(BS$9,INDEX('Annual Real'!$1:$1048576,'History and Forecast'!BS$7,'History and Forecast'!$H54),INDEX('Forecast Prices'!$1:$1048576,'History and Forecast'!$G54,'History and Forecast'!BS$6))</f>
        <v>14.7663290724715</v>
      </c>
      <c r="BT54" s="17">
        <f>IF(BT$9,INDEX('Annual Real'!$1:$1048576,'History and Forecast'!BT$7,'History and Forecast'!$H54),INDEX('Forecast Prices'!$1:$1048576,'History and Forecast'!$G54,'History and Forecast'!BT$6))</f>
        <v>14.6483075160589</v>
      </c>
      <c r="BU54" s="17">
        <f>IF(BU$9,INDEX('Annual Real'!$1:$1048576,'History and Forecast'!BU$7,'History and Forecast'!$H54),INDEX('Forecast Prices'!$1:$1048576,'History and Forecast'!$G54,'History and Forecast'!BU$6))</f>
        <v>14.5195806462236</v>
      </c>
      <c r="BV54" s="17">
        <f>IF(BV$9,INDEX('Annual Real'!$1:$1048576,'History and Forecast'!BV$7,'History and Forecast'!$H54),INDEX('Forecast Prices'!$1:$1048576,'History and Forecast'!$G54,'History and Forecast'!BV$6))</f>
        <v>14.3932551646202</v>
      </c>
      <c r="BW54" s="17">
        <f>IF(BW$9,INDEX('Annual Real'!$1:$1048576,'History and Forecast'!BW$7,'History and Forecast'!$H54),INDEX('Forecast Prices'!$1:$1048576,'History and Forecast'!$G54,'History and Forecast'!BW$6))</f>
        <v>14.2680240277757</v>
      </c>
      <c r="BX54" s="17">
        <f>IF(BX$9,INDEX('Annual Real'!$1:$1048576,'History and Forecast'!BX$7,'History and Forecast'!$H54),INDEX('Forecast Prices'!$1:$1048576,'History and Forecast'!$G54,'History and Forecast'!BX$6))</f>
        <v>14.1430667555393</v>
      </c>
      <c r="BY54" s="17" t="e">
        <f>IF(BY$9,INDEX('Annual Real'!$1:$1048576,'History and Forecast'!BY$7,'History and Forecast'!$H54),INDEX('Forecast Prices'!$1:$1048576,'History and Forecast'!$G54,'History and Forecast'!BY$6))</f>
        <v>#N/A</v>
      </c>
      <c r="BZ54" s="17" t="e">
        <f>IF(BZ$9,INDEX('Annual Real'!$1:$1048576,'History and Forecast'!BZ$7,'History and Forecast'!$H54),INDEX('Forecast Prices'!$1:$1048576,'History and Forecast'!$G54,'History and Forecast'!BZ$6))</f>
        <v>#N/A</v>
      </c>
      <c r="CA54" s="17" t="e">
        <f>IF(CA$9,INDEX('Annual Real'!$1:$1048576,'History and Forecast'!CA$7,'History and Forecast'!$H54),INDEX('Forecast Prices'!$1:$1048576,'History and Forecast'!$G54,'History and Forecast'!CA$6))</f>
        <v>#N/A</v>
      </c>
      <c r="CB54" s="17" t="e">
        <f>IF(CB$9,INDEX('Annual Real'!$1:$1048576,'History and Forecast'!CB$7,'History and Forecast'!$H54),INDEX('Forecast Prices'!$1:$1048576,'History and Forecast'!$G54,'History and Forecast'!CB$6))</f>
        <v>#N/A</v>
      </c>
      <c r="CC54" s="17">
        <f>IF(CC$9,INDEX('Annual Real'!$1:$1048576,'History and Forecast'!CC$7,'History and Forecast'!$H54),INDEX('Forecast Prices'!$1:$1048576,'History and Forecast'!$G54,'History and Forecast'!CC$6))</f>
        <v>13.513830274674</v>
      </c>
      <c r="CD54" s="17" t="e">
        <f>IF(CD$9,INDEX('Annual Real'!$1:$1048576,'History and Forecast'!CD$7,'History and Forecast'!$H54),INDEX('Forecast Prices'!$1:$1048576,'History and Forecast'!$G54,'History and Forecast'!CD$6))</f>
        <v>#N/A</v>
      </c>
      <c r="CE54" s="17" t="e">
        <f>IF(CE$9,INDEX('Annual Real'!$1:$1048576,'History and Forecast'!CE$7,'History and Forecast'!$H54),INDEX('Forecast Prices'!$1:$1048576,'History and Forecast'!$G54,'History and Forecast'!CE$6))</f>
        <v>#N/A</v>
      </c>
      <c r="CF54" s="17" t="e">
        <f>IF(CF$9,INDEX('Annual Real'!$1:$1048576,'History and Forecast'!CF$7,'History and Forecast'!$H54),INDEX('Forecast Prices'!$1:$1048576,'History and Forecast'!$G54,'History and Forecast'!CF$6))</f>
        <v>#N/A</v>
      </c>
      <c r="CG54" s="17" t="e">
        <f>IF(CG$9,INDEX('Annual Real'!$1:$1048576,'History and Forecast'!CG$7,'History and Forecast'!$H54),INDEX('Forecast Prices'!$1:$1048576,'History and Forecast'!$G54,'History and Forecast'!CG$6))</f>
        <v>#N/A</v>
      </c>
      <c r="CH54" s="17" t="e">
        <f>IF(CH$9,INDEX('Annual Real'!$1:$1048576,'History and Forecast'!CH$7,'History and Forecast'!$H54),INDEX('Forecast Prices'!$1:$1048576,'History and Forecast'!$G54,'History and Forecast'!CH$6))</f>
        <v>#N/A</v>
      </c>
      <c r="CI54" s="17" t="e">
        <f>IF(CI$9,INDEX('Annual Real'!$1:$1048576,'History and Forecast'!CI$7,'History and Forecast'!$H54),INDEX('Forecast Prices'!$1:$1048576,'History and Forecast'!$G54,'History and Forecast'!CI$6))</f>
        <v>#N/A</v>
      </c>
    </row>
    <row r="55" spans="2:87">
      <c r="B55" t="str">
        <f t="shared" si="7"/>
        <v>PLATINUM</v>
      </c>
      <c r="C55" s="34" t="s">
        <v>1115</v>
      </c>
      <c r="D55" t="str">
        <f t="shared" si="5"/>
        <v>KPLATINUM</v>
      </c>
      <c r="E55" s="34" t="str">
        <f t="shared" si="6"/>
        <v>KFPLATINUM</v>
      </c>
      <c r="F55">
        <f>MATCH(C55,'Forecast Prices'!A:A,0)</f>
        <v>72</v>
      </c>
      <c r="G55">
        <f>MATCH(E55,'Forecast Prices'!A:A,0)</f>
        <v>154</v>
      </c>
      <c r="H55" t="e">
        <f>MATCH(D55,'Annual Real'!$9:$9,0)</f>
        <v>#N/A</v>
      </c>
      <c r="I55" t="str">
        <f>INDEX('Forecast Prices'!B:B,'History and Forecast'!F55)&amp;INDEX('Forecast Prices'!C:C,'History and Forecast'!F55)&amp;INDEX('Forecast Prices'!D:D,'History and Forecast'!F55)&amp;INDEX('Forecast Prices'!E:E,'History and Forecast'!F55)</f>
        <v>Platinum</v>
      </c>
      <c r="J55" t="str">
        <f>INDEX('Forecast Prices'!H:H,'History and Forecast'!F55)</f>
        <v>$/toz</v>
      </c>
      <c r="K55" s="17" t="e">
        <f>IF(K$9,INDEX('Annual Real'!$1:$1048576,'History and Forecast'!K$7,'History and Forecast'!$H55),INDEX('Forecast Prices'!$1:$1048576,'History and Forecast'!$G55,'History and Forecast'!K$6))</f>
        <v>#N/A</v>
      </c>
      <c r="L55" s="17" t="e">
        <f>IF(L$9,INDEX('Annual Real'!$1:$1048576,'History and Forecast'!L$7,'History and Forecast'!$H55),INDEX('Forecast Prices'!$1:$1048576,'History and Forecast'!$G55,'History and Forecast'!L$6))</f>
        <v>#N/A</v>
      </c>
      <c r="M55" s="17" t="e">
        <f>IF(M$9,INDEX('Annual Real'!$1:$1048576,'History and Forecast'!M$7,'History and Forecast'!$H55),INDEX('Forecast Prices'!$1:$1048576,'History and Forecast'!$G55,'History and Forecast'!M$6))</f>
        <v>#N/A</v>
      </c>
      <c r="N55" s="17" t="e">
        <f>IF(N$9,INDEX('Annual Real'!$1:$1048576,'History and Forecast'!N$7,'History and Forecast'!$H55),INDEX('Forecast Prices'!$1:$1048576,'History and Forecast'!$G55,'History and Forecast'!N$6))</f>
        <v>#N/A</v>
      </c>
      <c r="O55" s="17" t="e">
        <f>IF(O$9,INDEX('Annual Real'!$1:$1048576,'History and Forecast'!O$7,'History and Forecast'!$H55),INDEX('Forecast Prices'!$1:$1048576,'History and Forecast'!$G55,'History and Forecast'!O$6))</f>
        <v>#N/A</v>
      </c>
      <c r="P55" s="17" t="e">
        <f>IF(P$9,INDEX('Annual Real'!$1:$1048576,'History and Forecast'!P$7,'History and Forecast'!$H55),INDEX('Forecast Prices'!$1:$1048576,'History and Forecast'!$G55,'History and Forecast'!P$6))</f>
        <v>#N/A</v>
      </c>
      <c r="Q55" s="17" t="e">
        <f>IF(Q$9,INDEX('Annual Real'!$1:$1048576,'History and Forecast'!Q$7,'History and Forecast'!$H55),INDEX('Forecast Prices'!$1:$1048576,'History and Forecast'!$G55,'History and Forecast'!Q$6))</f>
        <v>#N/A</v>
      </c>
      <c r="R55" s="17" t="e">
        <f>IF(R$9,INDEX('Annual Real'!$1:$1048576,'History and Forecast'!R$7,'History and Forecast'!$H55),INDEX('Forecast Prices'!$1:$1048576,'History and Forecast'!$G55,'History and Forecast'!R$6))</f>
        <v>#N/A</v>
      </c>
      <c r="S55" s="17" t="e">
        <f>IF(S$9,INDEX('Annual Real'!$1:$1048576,'History and Forecast'!S$7,'History and Forecast'!$H55),INDEX('Forecast Prices'!$1:$1048576,'History and Forecast'!$G55,'History and Forecast'!S$6))</f>
        <v>#N/A</v>
      </c>
      <c r="T55" s="17" t="e">
        <f>IF(T$9,INDEX('Annual Real'!$1:$1048576,'History and Forecast'!T$7,'History and Forecast'!$H55),INDEX('Forecast Prices'!$1:$1048576,'History and Forecast'!$G55,'History and Forecast'!T$6))</f>
        <v>#N/A</v>
      </c>
      <c r="U55" s="17" t="e">
        <f>IF(U$9,INDEX('Annual Real'!$1:$1048576,'History and Forecast'!U$7,'History and Forecast'!$H55),INDEX('Forecast Prices'!$1:$1048576,'History and Forecast'!$G55,'History and Forecast'!U$6))</f>
        <v>#N/A</v>
      </c>
      <c r="V55" s="17" t="e">
        <f>IF(V$9,INDEX('Annual Real'!$1:$1048576,'History and Forecast'!V$7,'History and Forecast'!$H55),INDEX('Forecast Prices'!$1:$1048576,'History and Forecast'!$G55,'History and Forecast'!V$6))</f>
        <v>#N/A</v>
      </c>
      <c r="W55" s="17" t="e">
        <f>IF(W$9,INDEX('Annual Real'!$1:$1048576,'History and Forecast'!W$7,'History and Forecast'!$H55),INDEX('Forecast Prices'!$1:$1048576,'History and Forecast'!$G55,'History and Forecast'!W$6))</f>
        <v>#N/A</v>
      </c>
      <c r="X55" s="17" t="e">
        <f>IF(X$9,INDEX('Annual Real'!$1:$1048576,'History and Forecast'!X$7,'History and Forecast'!$H55),INDEX('Forecast Prices'!$1:$1048576,'History and Forecast'!$G55,'History and Forecast'!X$6))</f>
        <v>#N/A</v>
      </c>
      <c r="Y55" s="17" t="e">
        <f>IF(Y$9,INDEX('Annual Real'!$1:$1048576,'History and Forecast'!Y$7,'History and Forecast'!$H55),INDEX('Forecast Prices'!$1:$1048576,'History and Forecast'!$G55,'History and Forecast'!Y$6))</f>
        <v>#N/A</v>
      </c>
      <c r="Z55" s="17" t="e">
        <f>IF(Z$9,INDEX('Annual Real'!$1:$1048576,'History and Forecast'!Z$7,'History and Forecast'!$H55),INDEX('Forecast Prices'!$1:$1048576,'History and Forecast'!$G55,'History and Forecast'!Z$6))</f>
        <v>#N/A</v>
      </c>
      <c r="AA55" s="17" t="e">
        <f>IF(AA$9,INDEX('Annual Real'!$1:$1048576,'History and Forecast'!AA$7,'History and Forecast'!$H55),INDEX('Forecast Prices'!$1:$1048576,'History and Forecast'!$G55,'History and Forecast'!AA$6))</f>
        <v>#N/A</v>
      </c>
      <c r="AB55" s="17" t="e">
        <f>IF(AB$9,INDEX('Annual Real'!$1:$1048576,'History and Forecast'!AB$7,'History and Forecast'!$H55),INDEX('Forecast Prices'!$1:$1048576,'History and Forecast'!$G55,'History and Forecast'!AB$6))</f>
        <v>#N/A</v>
      </c>
      <c r="AC55" s="17" t="e">
        <f>IF(AC$9,INDEX('Annual Real'!$1:$1048576,'History and Forecast'!AC$7,'History and Forecast'!$H55),INDEX('Forecast Prices'!$1:$1048576,'History and Forecast'!$G55,'History and Forecast'!AC$6))</f>
        <v>#N/A</v>
      </c>
      <c r="AD55" s="17" t="e">
        <f>IF(AD$9,INDEX('Annual Real'!$1:$1048576,'History and Forecast'!AD$7,'History and Forecast'!$H55),INDEX('Forecast Prices'!$1:$1048576,'History and Forecast'!$G55,'History and Forecast'!AD$6))</f>
        <v>#N/A</v>
      </c>
      <c r="AE55" s="17" t="e">
        <f>IF(AE$9,INDEX('Annual Real'!$1:$1048576,'History and Forecast'!AE$7,'History and Forecast'!$H55),INDEX('Forecast Prices'!$1:$1048576,'History and Forecast'!$G55,'History and Forecast'!AE$6))</f>
        <v>#N/A</v>
      </c>
      <c r="AF55" s="17" t="e">
        <f>IF(AF$9,INDEX('Annual Real'!$1:$1048576,'History and Forecast'!AF$7,'History and Forecast'!$H55),INDEX('Forecast Prices'!$1:$1048576,'History and Forecast'!$G55,'History and Forecast'!AF$6))</f>
        <v>#N/A</v>
      </c>
      <c r="AG55" s="17" t="e">
        <f>IF(AG$9,INDEX('Annual Real'!$1:$1048576,'History and Forecast'!AG$7,'History and Forecast'!$H55),INDEX('Forecast Prices'!$1:$1048576,'History and Forecast'!$G55,'History and Forecast'!AG$6))</f>
        <v>#N/A</v>
      </c>
      <c r="AH55" s="17" t="e">
        <f>IF(AH$9,INDEX('Annual Real'!$1:$1048576,'History and Forecast'!AH$7,'History and Forecast'!$H55),INDEX('Forecast Prices'!$1:$1048576,'History and Forecast'!$G55,'History and Forecast'!AH$6))</f>
        <v>#N/A</v>
      </c>
      <c r="AI55" s="17" t="e">
        <f>IF(AI$9,INDEX('Annual Real'!$1:$1048576,'History and Forecast'!AI$7,'History and Forecast'!$H55),INDEX('Forecast Prices'!$1:$1048576,'History and Forecast'!$G55,'History and Forecast'!AI$6))</f>
        <v>#N/A</v>
      </c>
      <c r="AJ55" s="17" t="e">
        <f>IF(AJ$9,INDEX('Annual Real'!$1:$1048576,'History and Forecast'!AJ$7,'History and Forecast'!$H55),INDEX('Forecast Prices'!$1:$1048576,'History and Forecast'!$G55,'History and Forecast'!AJ$6))</f>
        <v>#N/A</v>
      </c>
      <c r="AK55" s="17" t="e">
        <f>IF(AK$9,INDEX('Annual Real'!$1:$1048576,'History and Forecast'!AK$7,'History and Forecast'!$H55),INDEX('Forecast Prices'!$1:$1048576,'History and Forecast'!$G55,'History and Forecast'!AK$6))</f>
        <v>#N/A</v>
      </c>
      <c r="AL55" s="17" t="e">
        <f>IF(AL$9,INDEX('Annual Real'!$1:$1048576,'History and Forecast'!AL$7,'History and Forecast'!$H55),INDEX('Forecast Prices'!$1:$1048576,'History and Forecast'!$G55,'History and Forecast'!AL$6))</f>
        <v>#N/A</v>
      </c>
      <c r="AM55" s="17" t="e">
        <f>IF(AM$9,INDEX('Annual Real'!$1:$1048576,'History and Forecast'!AM$7,'History and Forecast'!$H55),INDEX('Forecast Prices'!$1:$1048576,'History and Forecast'!$G55,'History and Forecast'!AM$6))</f>
        <v>#N/A</v>
      </c>
      <c r="AN55" s="17" t="e">
        <f>IF(AN$9,INDEX('Annual Real'!$1:$1048576,'History and Forecast'!AN$7,'History and Forecast'!$H55),INDEX('Forecast Prices'!$1:$1048576,'History and Forecast'!$G55,'History and Forecast'!AN$6))</f>
        <v>#N/A</v>
      </c>
      <c r="AO55" s="17" t="e">
        <f>IF(AO$9,INDEX('Annual Real'!$1:$1048576,'History and Forecast'!AO$7,'History and Forecast'!$H55),INDEX('Forecast Prices'!$1:$1048576,'History and Forecast'!$G55,'History and Forecast'!AO$6))</f>
        <v>#N/A</v>
      </c>
      <c r="AP55" s="17" t="e">
        <f>IF(AP$9,INDEX('Annual Real'!$1:$1048576,'History and Forecast'!AP$7,'History and Forecast'!$H55),INDEX('Forecast Prices'!$1:$1048576,'History and Forecast'!$G55,'History and Forecast'!AP$6))</f>
        <v>#N/A</v>
      </c>
      <c r="AQ55" s="17" t="e">
        <f>IF(AQ$9,INDEX('Annual Real'!$1:$1048576,'History and Forecast'!AQ$7,'History and Forecast'!$H55),INDEX('Forecast Prices'!$1:$1048576,'History and Forecast'!$G55,'History and Forecast'!AQ$6))</f>
        <v>#N/A</v>
      </c>
      <c r="AR55" s="17" t="e">
        <f>IF(AR$9,INDEX('Annual Real'!$1:$1048576,'History and Forecast'!AR$7,'History and Forecast'!$H55),INDEX('Forecast Prices'!$1:$1048576,'History and Forecast'!$G55,'History and Forecast'!AR$6))</f>
        <v>#N/A</v>
      </c>
      <c r="AS55" s="17" t="e">
        <f>IF(AS$9,INDEX('Annual Real'!$1:$1048576,'History and Forecast'!AS$7,'History and Forecast'!$H55),INDEX('Forecast Prices'!$1:$1048576,'History and Forecast'!$G55,'History and Forecast'!AS$6))</f>
        <v>#N/A</v>
      </c>
      <c r="AT55" s="17" t="e">
        <f>IF(AT$9,INDEX('Annual Real'!$1:$1048576,'History and Forecast'!AT$7,'History and Forecast'!$H55),INDEX('Forecast Prices'!$1:$1048576,'History and Forecast'!$G55,'History and Forecast'!AT$6))</f>
        <v>#N/A</v>
      </c>
      <c r="AU55" s="17" t="e">
        <f>IF(AU$9,INDEX('Annual Real'!$1:$1048576,'History and Forecast'!AU$7,'History and Forecast'!$H55),INDEX('Forecast Prices'!$1:$1048576,'History and Forecast'!$G55,'History and Forecast'!AU$6))</f>
        <v>#N/A</v>
      </c>
      <c r="AV55" s="17" t="e">
        <f>IF(AV$9,INDEX('Annual Real'!$1:$1048576,'History and Forecast'!AV$7,'History and Forecast'!$H55),INDEX('Forecast Prices'!$1:$1048576,'History and Forecast'!$G55,'History and Forecast'!AV$6))</f>
        <v>#N/A</v>
      </c>
      <c r="AW55" s="17" t="e">
        <f>IF(AW$9,INDEX('Annual Real'!$1:$1048576,'History and Forecast'!AW$7,'History and Forecast'!$H55),INDEX('Forecast Prices'!$1:$1048576,'History and Forecast'!$G55,'History and Forecast'!AW$6))</f>
        <v>#N/A</v>
      </c>
      <c r="AX55" s="17" t="e">
        <f>IF(AX$9,INDEX('Annual Real'!$1:$1048576,'History and Forecast'!AX$7,'History and Forecast'!$H55),INDEX('Forecast Prices'!$1:$1048576,'History and Forecast'!$G55,'History and Forecast'!AX$6))</f>
        <v>#N/A</v>
      </c>
      <c r="AY55" s="17" t="e">
        <f>IF(AY$9,INDEX('Annual Real'!$1:$1048576,'History and Forecast'!AY$7,'History and Forecast'!$H55),INDEX('Forecast Prices'!$1:$1048576,'History and Forecast'!$G55,'History and Forecast'!AY$6))</f>
        <v>#N/A</v>
      </c>
      <c r="AZ55" s="17" t="e">
        <f>IF(AZ$9,INDEX('Annual Real'!$1:$1048576,'History and Forecast'!AZ$7,'History and Forecast'!$H55),INDEX('Forecast Prices'!$1:$1048576,'History and Forecast'!$G55,'History and Forecast'!AZ$6))</f>
        <v>#N/A</v>
      </c>
      <c r="BA55" s="17" t="e">
        <f>IF(BA$9,INDEX('Annual Real'!$1:$1048576,'History and Forecast'!BA$7,'History and Forecast'!$H55),INDEX('Forecast Prices'!$1:$1048576,'History and Forecast'!$G55,'History and Forecast'!BA$6))</f>
        <v>#N/A</v>
      </c>
      <c r="BB55" s="17" t="e">
        <f>IF(BB$9,INDEX('Annual Real'!$1:$1048576,'History and Forecast'!BB$7,'History and Forecast'!$H55),INDEX('Forecast Prices'!$1:$1048576,'History and Forecast'!$G55,'History and Forecast'!BB$6))</f>
        <v>#N/A</v>
      </c>
      <c r="BC55" s="17" t="e">
        <f>IF(BC$9,INDEX('Annual Real'!$1:$1048576,'History and Forecast'!BC$7,'History and Forecast'!$H55),INDEX('Forecast Prices'!$1:$1048576,'History and Forecast'!$G55,'History and Forecast'!BC$6))</f>
        <v>#N/A</v>
      </c>
      <c r="BD55" s="17" t="e">
        <f>IF(BD$9,INDEX('Annual Real'!$1:$1048576,'History and Forecast'!BD$7,'History and Forecast'!$H55),INDEX('Forecast Prices'!$1:$1048576,'History and Forecast'!$G55,'History and Forecast'!BD$6))</f>
        <v>#N/A</v>
      </c>
      <c r="BE55" s="17" t="e">
        <f>IF(BE$9,INDEX('Annual Real'!$1:$1048576,'History and Forecast'!BE$7,'History and Forecast'!$H55),INDEX('Forecast Prices'!$1:$1048576,'History and Forecast'!$G55,'History and Forecast'!BE$6))</f>
        <v>#N/A</v>
      </c>
      <c r="BF55" s="17" t="e">
        <f>IF(BF$9,INDEX('Annual Real'!$1:$1048576,'History and Forecast'!BF$7,'History and Forecast'!$H55),INDEX('Forecast Prices'!$1:$1048576,'History and Forecast'!$G55,'History and Forecast'!BF$6))</f>
        <v>#N/A</v>
      </c>
      <c r="BG55" s="17" t="e">
        <f>IF(BG$9,INDEX('Annual Real'!$1:$1048576,'History and Forecast'!BG$7,'History and Forecast'!$H55),INDEX('Forecast Prices'!$1:$1048576,'History and Forecast'!$G55,'History and Forecast'!BG$6))</f>
        <v>#N/A</v>
      </c>
      <c r="BH55" s="17" t="e">
        <f>IF(BH$9,INDEX('Annual Real'!$1:$1048576,'History and Forecast'!BH$7,'History and Forecast'!$H55),INDEX('Forecast Prices'!$1:$1048576,'History and Forecast'!$G55,'History and Forecast'!BH$6))</f>
        <v>#N/A</v>
      </c>
      <c r="BI55" s="17" t="e">
        <f>IF(BI$9,INDEX('Annual Real'!$1:$1048576,'History and Forecast'!BI$7,'History and Forecast'!$H55),INDEX('Forecast Prices'!$1:$1048576,'History and Forecast'!$G55,'History and Forecast'!BI$6))</f>
        <v>#N/A</v>
      </c>
      <c r="BJ55" s="17" t="e">
        <f>IF(BJ$9,INDEX('Annual Real'!$1:$1048576,'History and Forecast'!BJ$7,'History and Forecast'!$H55),INDEX('Forecast Prices'!$1:$1048576,'History and Forecast'!$G55,'History and Forecast'!BJ$6))</f>
        <v>#N/A</v>
      </c>
      <c r="BK55" s="17" t="e">
        <f>IF(BK$9,INDEX('Annual Real'!$1:$1048576,'History and Forecast'!BK$7,'History and Forecast'!$H55),INDEX('Forecast Prices'!$1:$1048576,'History and Forecast'!$G55,'History and Forecast'!BK$6))</f>
        <v>#N/A</v>
      </c>
      <c r="BL55" s="17" t="e">
        <f>IF(BL$9,INDEX('Annual Real'!$1:$1048576,'History and Forecast'!BL$7,'History and Forecast'!$H55),INDEX('Forecast Prices'!$1:$1048576,'History and Forecast'!$G55,'History and Forecast'!BL$6))</f>
        <v>#N/A</v>
      </c>
      <c r="BM55" s="17" t="e">
        <f>IF(BM$9,INDEX('Annual Real'!$1:$1048576,'History and Forecast'!BM$7,'History and Forecast'!$H55),INDEX('Forecast Prices'!$1:$1048576,'History and Forecast'!$G55,'History and Forecast'!BM$6))</f>
        <v>#N/A</v>
      </c>
      <c r="BN55" s="17" t="e">
        <f>IF(BN$9,INDEX('Annual Real'!$1:$1048576,'History and Forecast'!BN$7,'History and Forecast'!$H55),INDEX('Forecast Prices'!$1:$1048576,'History and Forecast'!$G55,'History and Forecast'!BN$6))</f>
        <v>#N/A</v>
      </c>
      <c r="BO55" s="17">
        <f>IF(BO$9,INDEX('Annual Real'!$1:$1048576,'History and Forecast'!BO$7,'History and Forecast'!$H55),INDEX('Forecast Prices'!$1:$1048576,'History and Forecast'!$G55,'History and Forecast'!BO$6))</f>
        <v>1049.7313926706399</v>
      </c>
      <c r="BP55" s="17">
        <f>IF(BP$9,INDEX('Annual Real'!$1:$1048576,'History and Forecast'!BP$7,'History and Forecast'!$H55),INDEX('Forecast Prices'!$1:$1048576,'History and Forecast'!$G55,'History and Forecast'!BP$6))</f>
        <v>974.92103078131004</v>
      </c>
      <c r="BQ55" s="17">
        <f>IF(BQ$9,INDEX('Annual Real'!$1:$1048576,'History and Forecast'!BQ$7,'History and Forecast'!$H55),INDEX('Forecast Prices'!$1:$1048576,'History and Forecast'!$G55,'History and Forecast'!BQ$6))</f>
        <v>863.49938253117296</v>
      </c>
      <c r="BR55" s="17">
        <f>IF(BR$9,INDEX('Annual Real'!$1:$1048576,'History and Forecast'!BR$7,'History and Forecast'!$H55),INDEX('Forecast Prices'!$1:$1048576,'History and Forecast'!$G55,'History and Forecast'!BR$6))</f>
        <v>808.63285835116994</v>
      </c>
      <c r="BS55" s="17">
        <f>IF(BS$9,INDEX('Annual Real'!$1:$1048576,'History and Forecast'!BS$7,'History and Forecast'!$H55),INDEX('Forecast Prices'!$1:$1048576,'History and Forecast'!$G55,'History and Forecast'!BS$6))</f>
        <v>804.57562253851199</v>
      </c>
      <c r="BT55" s="17">
        <f>IF(BT$9,INDEX('Annual Real'!$1:$1048576,'History and Forecast'!BT$7,'History and Forecast'!$H55),INDEX('Forecast Prices'!$1:$1048576,'History and Forecast'!$G55,'History and Forecast'!BT$6))</f>
        <v>825.66102878557103</v>
      </c>
      <c r="BU55" s="17">
        <f>IF(BU$9,INDEX('Annual Real'!$1:$1048576,'History and Forecast'!BU$7,'History and Forecast'!$H55),INDEX('Forecast Prices'!$1:$1048576,'History and Forecast'!$G55,'History and Forecast'!BU$6))</f>
        <v>846.61980037727699</v>
      </c>
      <c r="BV55" s="17">
        <f>IF(BV$9,INDEX('Annual Real'!$1:$1048576,'History and Forecast'!BV$7,'History and Forecast'!$H55),INDEX('Forecast Prices'!$1:$1048576,'History and Forecast'!$G55,'History and Forecast'!BV$6))</f>
        <v>868.18720900727601</v>
      </c>
      <c r="BW55" s="17">
        <f>IF(BW$9,INDEX('Annual Real'!$1:$1048576,'History and Forecast'!BW$7,'History and Forecast'!$H55),INDEX('Forecast Prices'!$1:$1048576,'History and Forecast'!$G55,'History and Forecast'!BW$6))</f>
        <v>890.303746250318</v>
      </c>
      <c r="BX55" s="17">
        <f>IF(BX$9,INDEX('Annual Real'!$1:$1048576,'History and Forecast'!BX$7,'History and Forecast'!$H55),INDEX('Forecast Prices'!$1:$1048576,'History and Forecast'!$G55,'History and Forecast'!BX$6))</f>
        <v>912.93103347505803</v>
      </c>
      <c r="BY55" s="17" t="e">
        <f>IF(BY$9,INDEX('Annual Real'!$1:$1048576,'History and Forecast'!BY$7,'History and Forecast'!$H55),INDEX('Forecast Prices'!$1:$1048576,'History and Forecast'!$G55,'History and Forecast'!BY$6))</f>
        <v>#N/A</v>
      </c>
      <c r="BZ55" s="17" t="e">
        <f>IF(BZ$9,INDEX('Annual Real'!$1:$1048576,'History and Forecast'!BZ$7,'History and Forecast'!$H55),INDEX('Forecast Prices'!$1:$1048576,'History and Forecast'!$G55,'History and Forecast'!BZ$6))</f>
        <v>#N/A</v>
      </c>
      <c r="CA55" s="17" t="e">
        <f>IF(CA$9,INDEX('Annual Real'!$1:$1048576,'History and Forecast'!CA$7,'History and Forecast'!$H55),INDEX('Forecast Prices'!$1:$1048576,'History and Forecast'!$G55,'History and Forecast'!CA$6))</f>
        <v>#N/A</v>
      </c>
      <c r="CB55" s="17" t="e">
        <f>IF(CB$9,INDEX('Annual Real'!$1:$1048576,'History and Forecast'!CB$7,'History and Forecast'!$H55),INDEX('Forecast Prices'!$1:$1048576,'History and Forecast'!$G55,'History and Forecast'!CB$6))</f>
        <v>#N/A</v>
      </c>
      <c r="CC55" s="17">
        <f>IF(CC$9,INDEX('Annual Real'!$1:$1048576,'History and Forecast'!CC$7,'History and Forecast'!$H55),INDEX('Forecast Prices'!$1:$1048576,'History and Forecast'!$G55,'History and Forecast'!CC$6))</f>
        <v>1033.4105504162401</v>
      </c>
      <c r="CD55" s="17" t="e">
        <f>IF(CD$9,INDEX('Annual Real'!$1:$1048576,'History and Forecast'!CD$7,'History and Forecast'!$H55),INDEX('Forecast Prices'!$1:$1048576,'History and Forecast'!$G55,'History and Forecast'!CD$6))</f>
        <v>#N/A</v>
      </c>
      <c r="CE55" s="17" t="e">
        <f>IF(CE$9,INDEX('Annual Real'!$1:$1048576,'History and Forecast'!CE$7,'History and Forecast'!$H55),INDEX('Forecast Prices'!$1:$1048576,'History and Forecast'!$G55,'History and Forecast'!CE$6))</f>
        <v>#N/A</v>
      </c>
      <c r="CF55" s="17" t="e">
        <f>IF(CF$9,INDEX('Annual Real'!$1:$1048576,'History and Forecast'!CF$7,'History and Forecast'!$H55),INDEX('Forecast Prices'!$1:$1048576,'History and Forecast'!$G55,'History and Forecast'!CF$6))</f>
        <v>#N/A</v>
      </c>
      <c r="CG55" s="17" t="e">
        <f>IF(CG$9,INDEX('Annual Real'!$1:$1048576,'History and Forecast'!CG$7,'History and Forecast'!$H55),INDEX('Forecast Prices'!$1:$1048576,'History and Forecast'!$G55,'History and Forecast'!CG$6))</f>
        <v>#N/A</v>
      </c>
      <c r="CH55" s="17" t="e">
        <f>IF(CH$9,INDEX('Annual Real'!$1:$1048576,'History and Forecast'!CH$7,'History and Forecast'!$H55),INDEX('Forecast Prices'!$1:$1048576,'History and Forecast'!$G55,'History and Forecast'!CH$6))</f>
        <v>#N/A</v>
      </c>
      <c r="CI55" s="17" t="e">
        <f>IF(CI$9,INDEX('Annual Real'!$1:$1048576,'History and Forecast'!CI$7,'History and Forecast'!$H55),INDEX('Forecast Prices'!$1:$1048576,'History and Forecast'!$G55,'History and Forecast'!CI$6))</f>
        <v>#N/A</v>
      </c>
    </row>
    <row r="56" spans="2:87">
      <c r="B56" t="str">
        <f t="shared" si="7"/>
        <v/>
      </c>
      <c r="E56" s="34"/>
    </row>
    <row r="57" spans="2:87">
      <c r="B57" t="str">
        <f t="shared" si="7"/>
        <v/>
      </c>
      <c r="E57" s="34"/>
      <c r="I57" s="7" t="s">
        <v>1042</v>
      </c>
      <c r="J57">
        <v>4</v>
      </c>
    </row>
    <row r="58" spans="2:87">
      <c r="B58" t="str">
        <f t="shared" si="7"/>
        <v/>
      </c>
      <c r="C58" s="34">
        <v>0</v>
      </c>
      <c r="E58" s="34"/>
      <c r="H58" s="7" t="s">
        <v>1244</v>
      </c>
    </row>
    <row r="59" spans="2:87">
      <c r="B59" t="str">
        <f t="shared" si="7"/>
        <v/>
      </c>
      <c r="E59" s="34"/>
      <c r="H59">
        <f>C62</f>
        <v>2</v>
      </c>
      <c r="I59" t="str">
        <f>INDEX(I$10:I$55,$H59)</f>
        <v>Crude oil, avg</v>
      </c>
      <c r="J59" t="str">
        <f>INDEX(J$10:J$55,$H59)</f>
        <v>$/bbl</v>
      </c>
      <c r="K59" t="e">
        <f t="shared" ref="K59:K68" si="8">IF(ISNUMBER(INDEX(K$10:K$55,$H59)),INDEX(K$10:K$55,$H59),NA())</f>
        <v>#N/A</v>
      </c>
      <c r="L59" t="e">
        <f t="shared" ref="L59:BW62" si="9">IF(ISNUMBER(INDEX(L$10:L$55,$H59)),INDEX(L$10:L$55,$H59),NA())</f>
        <v>#N/A</v>
      </c>
      <c r="M59" t="e">
        <f t="shared" si="9"/>
        <v>#N/A</v>
      </c>
      <c r="N59" t="e">
        <f t="shared" si="9"/>
        <v>#N/A</v>
      </c>
      <c r="O59" t="e">
        <f t="shared" si="9"/>
        <v>#N/A</v>
      </c>
      <c r="P59" t="e">
        <f t="shared" si="9"/>
        <v>#N/A</v>
      </c>
      <c r="Q59" t="e">
        <f t="shared" si="9"/>
        <v>#N/A</v>
      </c>
      <c r="R59" t="e">
        <f t="shared" si="9"/>
        <v>#N/A</v>
      </c>
      <c r="S59" t="e">
        <f t="shared" si="9"/>
        <v>#N/A</v>
      </c>
      <c r="T59" t="e">
        <f t="shared" si="9"/>
        <v>#N/A</v>
      </c>
      <c r="U59" t="e">
        <f t="shared" si="9"/>
        <v>#N/A</v>
      </c>
      <c r="V59" t="e">
        <f t="shared" si="9"/>
        <v>#N/A</v>
      </c>
      <c r="W59" t="e">
        <f t="shared" si="9"/>
        <v>#N/A</v>
      </c>
      <c r="X59" t="e">
        <f t="shared" si="9"/>
        <v>#N/A</v>
      </c>
      <c r="Y59" t="e">
        <f t="shared" si="9"/>
        <v>#N/A</v>
      </c>
      <c r="Z59" t="e">
        <f t="shared" si="9"/>
        <v>#N/A</v>
      </c>
      <c r="AA59" t="e">
        <f t="shared" si="9"/>
        <v>#N/A</v>
      </c>
      <c r="AB59" t="e">
        <f t="shared" si="9"/>
        <v>#N/A</v>
      </c>
      <c r="AC59" t="e">
        <f t="shared" si="9"/>
        <v>#N/A</v>
      </c>
      <c r="AD59" t="e">
        <f t="shared" si="9"/>
        <v>#N/A</v>
      </c>
      <c r="AE59" t="e">
        <f t="shared" si="9"/>
        <v>#N/A</v>
      </c>
      <c r="AF59" t="e">
        <f t="shared" si="9"/>
        <v>#N/A</v>
      </c>
      <c r="AG59" t="e">
        <f t="shared" si="9"/>
        <v>#N/A</v>
      </c>
      <c r="AH59" t="e">
        <f t="shared" si="9"/>
        <v>#N/A</v>
      </c>
      <c r="AI59" t="e">
        <f t="shared" si="9"/>
        <v>#N/A</v>
      </c>
      <c r="AJ59" t="e">
        <f t="shared" si="9"/>
        <v>#N/A</v>
      </c>
      <c r="AK59" t="e">
        <f t="shared" si="9"/>
        <v>#N/A</v>
      </c>
      <c r="AL59" t="e">
        <f t="shared" si="9"/>
        <v>#N/A</v>
      </c>
      <c r="AM59" t="e">
        <f t="shared" si="9"/>
        <v>#N/A</v>
      </c>
      <c r="AN59" t="e">
        <f t="shared" si="9"/>
        <v>#N/A</v>
      </c>
      <c r="AO59" t="e">
        <f t="shared" si="9"/>
        <v>#N/A</v>
      </c>
      <c r="AP59" t="e">
        <f t="shared" si="9"/>
        <v>#N/A</v>
      </c>
      <c r="AQ59" t="e">
        <f t="shared" si="9"/>
        <v>#N/A</v>
      </c>
      <c r="AR59" t="e">
        <f t="shared" si="9"/>
        <v>#N/A</v>
      </c>
      <c r="AS59" t="e">
        <f t="shared" si="9"/>
        <v>#N/A</v>
      </c>
      <c r="AT59" t="e">
        <f t="shared" si="9"/>
        <v>#N/A</v>
      </c>
      <c r="AU59" t="e">
        <f t="shared" si="9"/>
        <v>#N/A</v>
      </c>
      <c r="AV59" t="e">
        <f t="shared" si="9"/>
        <v>#N/A</v>
      </c>
      <c r="AW59" t="e">
        <f t="shared" si="9"/>
        <v>#N/A</v>
      </c>
      <c r="AX59" t="e">
        <f t="shared" si="9"/>
        <v>#N/A</v>
      </c>
      <c r="AY59" t="e">
        <f t="shared" si="9"/>
        <v>#N/A</v>
      </c>
      <c r="AZ59" t="e">
        <f t="shared" si="9"/>
        <v>#N/A</v>
      </c>
      <c r="BA59" t="e">
        <f t="shared" si="9"/>
        <v>#N/A</v>
      </c>
      <c r="BB59" t="e">
        <f t="shared" si="9"/>
        <v>#N/A</v>
      </c>
      <c r="BC59" t="e">
        <f t="shared" si="9"/>
        <v>#N/A</v>
      </c>
      <c r="BD59" t="e">
        <f t="shared" si="9"/>
        <v>#N/A</v>
      </c>
      <c r="BE59" t="e">
        <f t="shared" si="9"/>
        <v>#N/A</v>
      </c>
      <c r="BF59" t="e">
        <f t="shared" si="9"/>
        <v>#N/A</v>
      </c>
      <c r="BG59" t="e">
        <f t="shared" si="9"/>
        <v>#N/A</v>
      </c>
      <c r="BH59" t="e">
        <f t="shared" si="9"/>
        <v>#N/A</v>
      </c>
      <c r="BI59" t="e">
        <f t="shared" si="9"/>
        <v>#N/A</v>
      </c>
      <c r="BJ59" t="e">
        <f t="shared" si="9"/>
        <v>#N/A</v>
      </c>
      <c r="BK59" t="e">
        <f t="shared" si="9"/>
        <v>#N/A</v>
      </c>
      <c r="BL59" t="e">
        <f t="shared" si="9"/>
        <v>#N/A</v>
      </c>
      <c r="BM59" t="e">
        <f t="shared" si="9"/>
        <v>#N/A</v>
      </c>
      <c r="BN59" t="e">
        <f t="shared" si="9"/>
        <v>#N/A</v>
      </c>
      <c r="BO59">
        <f t="shared" si="9"/>
        <v>45.5289728675681</v>
      </c>
      <c r="BP59">
        <f t="shared" si="9"/>
        <v>54.278585167156798</v>
      </c>
      <c r="BQ59">
        <f t="shared" si="9"/>
        <v>67.100566918588896</v>
      </c>
      <c r="BR59">
        <f t="shared" si="9"/>
        <v>63.535438870449099</v>
      </c>
      <c r="BS59">
        <f t="shared" si="9"/>
        <v>61.526371135298</v>
      </c>
      <c r="BT59">
        <f t="shared" si="9"/>
        <v>60.962426218009902</v>
      </c>
      <c r="BU59">
        <f t="shared" si="9"/>
        <v>60.355229218052102</v>
      </c>
      <c r="BV59">
        <f t="shared" si="9"/>
        <v>59.759353581257201</v>
      </c>
      <c r="BW59">
        <f t="shared" si="9"/>
        <v>59.169341288935499</v>
      </c>
      <c r="BX59">
        <f t="shared" ref="BX59:CI68" si="10">IF(ISNUMBER(INDEX(BX$10:BX$55,$H59)),INDEX(BX$10:BX$55,$H59),NA())</f>
        <v>58.581775439389901</v>
      </c>
      <c r="BY59" t="e">
        <f t="shared" si="10"/>
        <v>#N/A</v>
      </c>
      <c r="BZ59" t="e">
        <f t="shared" si="10"/>
        <v>#N/A</v>
      </c>
      <c r="CA59" t="e">
        <f t="shared" si="10"/>
        <v>#N/A</v>
      </c>
      <c r="CB59" t="e">
        <f t="shared" si="10"/>
        <v>#N/A</v>
      </c>
      <c r="CC59">
        <f t="shared" si="10"/>
        <v>55.645183483951598</v>
      </c>
      <c r="CD59" t="e">
        <f t="shared" si="10"/>
        <v>#N/A</v>
      </c>
      <c r="CE59" t="e">
        <f t="shared" si="10"/>
        <v>#N/A</v>
      </c>
      <c r="CF59" t="e">
        <f t="shared" si="10"/>
        <v>#N/A</v>
      </c>
      <c r="CG59" t="e">
        <f t="shared" si="10"/>
        <v>#N/A</v>
      </c>
      <c r="CH59" t="e">
        <f t="shared" si="10"/>
        <v>#N/A</v>
      </c>
      <c r="CI59" t="e">
        <f t="shared" si="10"/>
        <v>#N/A</v>
      </c>
    </row>
    <row r="60" spans="2:87">
      <c r="B60" t="str">
        <f t="shared" si="7"/>
        <v/>
      </c>
      <c r="E60" s="34"/>
      <c r="H60">
        <f t="shared" ref="H60:H68" si="11">C63</f>
        <v>12</v>
      </c>
      <c r="I60" t="str">
        <f t="shared" ref="I60:I68" si="12">INDEX(I$10:I$55,$H60)</f>
        <v>Palm oil</v>
      </c>
      <c r="J60" t="str">
        <f t="shared" ref="J60:J68" si="13">INDEX(J$10:J$55,$H60)</f>
        <v>$/mt</v>
      </c>
      <c r="K60" t="e">
        <f t="shared" si="8"/>
        <v>#N/A</v>
      </c>
      <c r="L60" t="e">
        <f t="shared" si="9"/>
        <v>#N/A</v>
      </c>
      <c r="M60" t="e">
        <f t="shared" si="9"/>
        <v>#N/A</v>
      </c>
      <c r="N60" t="e">
        <f t="shared" si="9"/>
        <v>#N/A</v>
      </c>
      <c r="O60" t="e">
        <f t="shared" si="9"/>
        <v>#N/A</v>
      </c>
      <c r="P60" t="e">
        <f t="shared" si="9"/>
        <v>#N/A</v>
      </c>
      <c r="Q60" t="e">
        <f t="shared" si="9"/>
        <v>#N/A</v>
      </c>
      <c r="R60" t="e">
        <f t="shared" si="9"/>
        <v>#N/A</v>
      </c>
      <c r="S60" t="e">
        <f t="shared" si="9"/>
        <v>#N/A</v>
      </c>
      <c r="T60" t="e">
        <f t="shared" si="9"/>
        <v>#N/A</v>
      </c>
      <c r="U60" t="e">
        <f t="shared" si="9"/>
        <v>#N/A</v>
      </c>
      <c r="V60" t="e">
        <f t="shared" si="9"/>
        <v>#N/A</v>
      </c>
      <c r="W60" t="e">
        <f t="shared" si="9"/>
        <v>#N/A</v>
      </c>
      <c r="X60" t="e">
        <f t="shared" si="9"/>
        <v>#N/A</v>
      </c>
      <c r="Y60" t="e">
        <f t="shared" si="9"/>
        <v>#N/A</v>
      </c>
      <c r="Z60" t="e">
        <f t="shared" si="9"/>
        <v>#N/A</v>
      </c>
      <c r="AA60" t="e">
        <f t="shared" si="9"/>
        <v>#N/A</v>
      </c>
      <c r="AB60" t="e">
        <f t="shared" si="9"/>
        <v>#N/A</v>
      </c>
      <c r="AC60" t="e">
        <f t="shared" si="9"/>
        <v>#N/A</v>
      </c>
      <c r="AD60" t="e">
        <f t="shared" si="9"/>
        <v>#N/A</v>
      </c>
      <c r="AE60" t="e">
        <f t="shared" si="9"/>
        <v>#N/A</v>
      </c>
      <c r="AF60" t="e">
        <f t="shared" si="9"/>
        <v>#N/A</v>
      </c>
      <c r="AG60" t="e">
        <f t="shared" si="9"/>
        <v>#N/A</v>
      </c>
      <c r="AH60" t="e">
        <f t="shared" si="9"/>
        <v>#N/A</v>
      </c>
      <c r="AI60" t="e">
        <f t="shared" si="9"/>
        <v>#N/A</v>
      </c>
      <c r="AJ60" t="e">
        <f t="shared" si="9"/>
        <v>#N/A</v>
      </c>
      <c r="AK60" t="e">
        <f t="shared" si="9"/>
        <v>#N/A</v>
      </c>
      <c r="AL60" t="e">
        <f t="shared" si="9"/>
        <v>#N/A</v>
      </c>
      <c r="AM60" t="e">
        <f t="shared" si="9"/>
        <v>#N/A</v>
      </c>
      <c r="AN60" t="e">
        <f t="shared" si="9"/>
        <v>#N/A</v>
      </c>
      <c r="AO60" t="e">
        <f t="shared" si="9"/>
        <v>#N/A</v>
      </c>
      <c r="AP60" t="e">
        <f t="shared" si="9"/>
        <v>#N/A</v>
      </c>
      <c r="AQ60" t="e">
        <f t="shared" si="9"/>
        <v>#N/A</v>
      </c>
      <c r="AR60" t="e">
        <f t="shared" si="9"/>
        <v>#N/A</v>
      </c>
      <c r="AS60" t="e">
        <f t="shared" si="9"/>
        <v>#N/A</v>
      </c>
      <c r="AT60" t="e">
        <f t="shared" si="9"/>
        <v>#N/A</v>
      </c>
      <c r="AU60" t="e">
        <f t="shared" si="9"/>
        <v>#N/A</v>
      </c>
      <c r="AV60" t="e">
        <f t="shared" si="9"/>
        <v>#N/A</v>
      </c>
      <c r="AW60" t="e">
        <f t="shared" si="9"/>
        <v>#N/A</v>
      </c>
      <c r="AX60" t="e">
        <f t="shared" si="9"/>
        <v>#N/A</v>
      </c>
      <c r="AY60" t="e">
        <f t="shared" si="9"/>
        <v>#N/A</v>
      </c>
      <c r="AZ60" t="e">
        <f t="shared" si="9"/>
        <v>#N/A</v>
      </c>
      <c r="BA60" t="e">
        <f t="shared" si="9"/>
        <v>#N/A</v>
      </c>
      <c r="BB60" t="e">
        <f t="shared" si="9"/>
        <v>#N/A</v>
      </c>
      <c r="BC60" t="e">
        <f t="shared" si="9"/>
        <v>#N/A</v>
      </c>
      <c r="BD60" t="e">
        <f t="shared" si="9"/>
        <v>#N/A</v>
      </c>
      <c r="BE60" t="e">
        <f t="shared" si="9"/>
        <v>#N/A</v>
      </c>
      <c r="BF60" t="e">
        <f t="shared" si="9"/>
        <v>#N/A</v>
      </c>
      <c r="BG60" t="e">
        <f t="shared" si="9"/>
        <v>#N/A</v>
      </c>
      <c r="BH60" t="e">
        <f t="shared" si="9"/>
        <v>#N/A</v>
      </c>
      <c r="BI60" t="e">
        <f t="shared" si="9"/>
        <v>#N/A</v>
      </c>
      <c r="BJ60" t="e">
        <f t="shared" si="9"/>
        <v>#N/A</v>
      </c>
      <c r="BK60" t="e">
        <f t="shared" si="9"/>
        <v>#N/A</v>
      </c>
      <c r="BL60" t="e">
        <f t="shared" si="9"/>
        <v>#N/A</v>
      </c>
      <c r="BM60" t="e">
        <f t="shared" si="9"/>
        <v>#N/A</v>
      </c>
      <c r="BN60" t="e">
        <f t="shared" si="9"/>
        <v>#N/A</v>
      </c>
      <c r="BO60">
        <f t="shared" si="9"/>
        <v>782.39420181858497</v>
      </c>
      <c r="BP60">
        <f t="shared" si="9"/>
        <v>771.85388447805599</v>
      </c>
      <c r="BQ60">
        <f t="shared" si="9"/>
        <v>627.00500237272104</v>
      </c>
      <c r="BR60">
        <f t="shared" si="9"/>
        <v>577.59489882226399</v>
      </c>
      <c r="BS60">
        <f t="shared" si="9"/>
        <v>589.26071839597205</v>
      </c>
      <c r="BT60">
        <f t="shared" si="9"/>
        <v>601.30977093809599</v>
      </c>
      <c r="BU60">
        <f t="shared" si="9"/>
        <v>613.11331742325694</v>
      </c>
      <c r="BV60">
        <f t="shared" si="9"/>
        <v>625.20373650248598</v>
      </c>
      <c r="BW60">
        <f t="shared" si="9"/>
        <v>637.532363765794</v>
      </c>
      <c r="BX60">
        <f t="shared" si="10"/>
        <v>650.06660987449698</v>
      </c>
      <c r="BY60" t="e">
        <f t="shared" si="10"/>
        <v>#N/A</v>
      </c>
      <c r="BZ60" t="e">
        <f t="shared" si="10"/>
        <v>#N/A</v>
      </c>
      <c r="CA60" t="e">
        <f t="shared" si="10"/>
        <v>#N/A</v>
      </c>
      <c r="CB60" t="e">
        <f t="shared" si="10"/>
        <v>#N/A</v>
      </c>
      <c r="CC60">
        <f t="shared" si="10"/>
        <v>715.43807336509201</v>
      </c>
      <c r="CD60" t="e">
        <f t="shared" si="10"/>
        <v>#N/A</v>
      </c>
      <c r="CE60" t="e">
        <f t="shared" si="10"/>
        <v>#N/A</v>
      </c>
      <c r="CF60" t="e">
        <f t="shared" si="10"/>
        <v>#N/A</v>
      </c>
      <c r="CG60" t="e">
        <f t="shared" si="10"/>
        <v>#N/A</v>
      </c>
      <c r="CH60" t="e">
        <f t="shared" si="10"/>
        <v>#N/A</v>
      </c>
      <c r="CI60" t="e">
        <f t="shared" si="10"/>
        <v>#N/A</v>
      </c>
    </row>
    <row r="61" spans="2:87">
      <c r="B61"/>
      <c r="C61" s="7" t="s">
        <v>1239</v>
      </c>
      <c r="D61" s="7" t="s">
        <v>1258</v>
      </c>
      <c r="E61" s="34"/>
      <c r="H61" t="e">
        <f t="shared" si="11"/>
        <v>#N/A</v>
      </c>
      <c r="I61" t="e">
        <f t="shared" si="12"/>
        <v>#N/A</v>
      </c>
      <c r="J61" t="e">
        <f t="shared" si="13"/>
        <v>#N/A</v>
      </c>
      <c r="K61" t="e">
        <f t="shared" si="8"/>
        <v>#N/A</v>
      </c>
      <c r="L61" t="e">
        <f t="shared" si="9"/>
        <v>#N/A</v>
      </c>
      <c r="M61" t="e">
        <f t="shared" si="9"/>
        <v>#N/A</v>
      </c>
      <c r="N61" t="e">
        <f t="shared" si="9"/>
        <v>#N/A</v>
      </c>
      <c r="O61" t="e">
        <f t="shared" si="9"/>
        <v>#N/A</v>
      </c>
      <c r="P61" t="e">
        <f t="shared" si="9"/>
        <v>#N/A</v>
      </c>
      <c r="Q61" t="e">
        <f t="shared" si="9"/>
        <v>#N/A</v>
      </c>
      <c r="R61" t="e">
        <f t="shared" si="9"/>
        <v>#N/A</v>
      </c>
      <c r="S61" t="e">
        <f t="shared" si="9"/>
        <v>#N/A</v>
      </c>
      <c r="T61" t="e">
        <f t="shared" si="9"/>
        <v>#N/A</v>
      </c>
      <c r="U61" t="e">
        <f t="shared" si="9"/>
        <v>#N/A</v>
      </c>
      <c r="V61" t="e">
        <f t="shared" si="9"/>
        <v>#N/A</v>
      </c>
      <c r="W61" t="e">
        <f t="shared" si="9"/>
        <v>#N/A</v>
      </c>
      <c r="X61" t="e">
        <f t="shared" si="9"/>
        <v>#N/A</v>
      </c>
      <c r="Y61" t="e">
        <f t="shared" si="9"/>
        <v>#N/A</v>
      </c>
      <c r="Z61" t="e">
        <f t="shared" si="9"/>
        <v>#N/A</v>
      </c>
      <c r="AA61" t="e">
        <f t="shared" si="9"/>
        <v>#N/A</v>
      </c>
      <c r="AB61" t="e">
        <f t="shared" si="9"/>
        <v>#N/A</v>
      </c>
      <c r="AC61" t="e">
        <f t="shared" si="9"/>
        <v>#N/A</v>
      </c>
      <c r="AD61" t="e">
        <f t="shared" si="9"/>
        <v>#N/A</v>
      </c>
      <c r="AE61" t="e">
        <f t="shared" si="9"/>
        <v>#N/A</v>
      </c>
      <c r="AF61" t="e">
        <f t="shared" si="9"/>
        <v>#N/A</v>
      </c>
      <c r="AG61" t="e">
        <f t="shared" si="9"/>
        <v>#N/A</v>
      </c>
      <c r="AH61" t="e">
        <f t="shared" si="9"/>
        <v>#N/A</v>
      </c>
      <c r="AI61" t="e">
        <f t="shared" si="9"/>
        <v>#N/A</v>
      </c>
      <c r="AJ61" t="e">
        <f t="shared" si="9"/>
        <v>#N/A</v>
      </c>
      <c r="AK61" t="e">
        <f t="shared" si="9"/>
        <v>#N/A</v>
      </c>
      <c r="AL61" t="e">
        <f t="shared" si="9"/>
        <v>#N/A</v>
      </c>
      <c r="AM61" t="e">
        <f t="shared" si="9"/>
        <v>#N/A</v>
      </c>
      <c r="AN61" t="e">
        <f t="shared" si="9"/>
        <v>#N/A</v>
      </c>
      <c r="AO61" t="e">
        <f t="shared" si="9"/>
        <v>#N/A</v>
      </c>
      <c r="AP61" t="e">
        <f t="shared" si="9"/>
        <v>#N/A</v>
      </c>
      <c r="AQ61" t="e">
        <f t="shared" si="9"/>
        <v>#N/A</v>
      </c>
      <c r="AR61" t="e">
        <f t="shared" si="9"/>
        <v>#N/A</v>
      </c>
      <c r="AS61" t="e">
        <f t="shared" si="9"/>
        <v>#N/A</v>
      </c>
      <c r="AT61" t="e">
        <f t="shared" si="9"/>
        <v>#N/A</v>
      </c>
      <c r="AU61" t="e">
        <f t="shared" si="9"/>
        <v>#N/A</v>
      </c>
      <c r="AV61" t="e">
        <f t="shared" si="9"/>
        <v>#N/A</v>
      </c>
      <c r="AW61" t="e">
        <f t="shared" si="9"/>
        <v>#N/A</v>
      </c>
      <c r="AX61" t="e">
        <f t="shared" si="9"/>
        <v>#N/A</v>
      </c>
      <c r="AY61" t="e">
        <f t="shared" si="9"/>
        <v>#N/A</v>
      </c>
      <c r="AZ61" t="e">
        <f t="shared" si="9"/>
        <v>#N/A</v>
      </c>
      <c r="BA61" t="e">
        <f t="shared" si="9"/>
        <v>#N/A</v>
      </c>
      <c r="BB61" t="e">
        <f t="shared" si="9"/>
        <v>#N/A</v>
      </c>
      <c r="BC61" t="e">
        <f t="shared" si="9"/>
        <v>#N/A</v>
      </c>
      <c r="BD61" t="e">
        <f t="shared" si="9"/>
        <v>#N/A</v>
      </c>
      <c r="BE61" t="e">
        <f t="shared" si="9"/>
        <v>#N/A</v>
      </c>
      <c r="BF61" t="e">
        <f t="shared" si="9"/>
        <v>#N/A</v>
      </c>
      <c r="BG61" t="e">
        <f t="shared" si="9"/>
        <v>#N/A</v>
      </c>
      <c r="BH61" t="e">
        <f t="shared" si="9"/>
        <v>#N/A</v>
      </c>
      <c r="BI61" t="e">
        <f t="shared" si="9"/>
        <v>#N/A</v>
      </c>
      <c r="BJ61" t="e">
        <f t="shared" si="9"/>
        <v>#N/A</v>
      </c>
      <c r="BK61" t="e">
        <f t="shared" si="9"/>
        <v>#N/A</v>
      </c>
      <c r="BL61" t="e">
        <f t="shared" si="9"/>
        <v>#N/A</v>
      </c>
      <c r="BM61" t="e">
        <f t="shared" si="9"/>
        <v>#N/A</v>
      </c>
      <c r="BN61" t="e">
        <f t="shared" si="9"/>
        <v>#N/A</v>
      </c>
      <c r="BO61" t="e">
        <f t="shared" si="9"/>
        <v>#N/A</v>
      </c>
      <c r="BP61" t="e">
        <f t="shared" si="9"/>
        <v>#N/A</v>
      </c>
      <c r="BQ61" t="e">
        <f t="shared" si="9"/>
        <v>#N/A</v>
      </c>
      <c r="BR61" t="e">
        <f t="shared" si="9"/>
        <v>#N/A</v>
      </c>
      <c r="BS61" t="e">
        <f t="shared" si="9"/>
        <v>#N/A</v>
      </c>
      <c r="BT61" t="e">
        <f t="shared" si="9"/>
        <v>#N/A</v>
      </c>
      <c r="BU61" t="e">
        <f t="shared" si="9"/>
        <v>#N/A</v>
      </c>
      <c r="BV61" t="e">
        <f t="shared" si="9"/>
        <v>#N/A</v>
      </c>
      <c r="BW61" t="e">
        <f t="shared" si="9"/>
        <v>#N/A</v>
      </c>
      <c r="BX61" t="e">
        <f t="shared" si="10"/>
        <v>#N/A</v>
      </c>
      <c r="BY61" t="e">
        <f t="shared" si="10"/>
        <v>#N/A</v>
      </c>
      <c r="BZ61" t="e">
        <f t="shared" si="10"/>
        <v>#N/A</v>
      </c>
      <c r="CA61" t="e">
        <f t="shared" si="10"/>
        <v>#N/A</v>
      </c>
      <c r="CB61" t="e">
        <f t="shared" si="10"/>
        <v>#N/A</v>
      </c>
      <c r="CC61" t="e">
        <f t="shared" si="10"/>
        <v>#N/A</v>
      </c>
      <c r="CD61" t="e">
        <f t="shared" si="10"/>
        <v>#N/A</v>
      </c>
      <c r="CE61" t="e">
        <f t="shared" si="10"/>
        <v>#N/A</v>
      </c>
      <c r="CF61" t="e">
        <f t="shared" si="10"/>
        <v>#N/A</v>
      </c>
      <c r="CG61" t="e">
        <f t="shared" si="10"/>
        <v>#N/A</v>
      </c>
      <c r="CH61" t="e">
        <f t="shared" si="10"/>
        <v>#N/A</v>
      </c>
      <c r="CI61" t="e">
        <f t="shared" si="10"/>
        <v>#N/A</v>
      </c>
    </row>
    <row r="62" spans="2:87">
      <c r="B62"/>
      <c r="C62" s="34">
        <f t="shared" ref="C62:C71" si="14">MATCH(D62,fa_name,0)</f>
        <v>2</v>
      </c>
      <c r="D62" s="3" t="str">
        <f>'History and Forecast Chart'!Q3</f>
        <v>Crude oil, avg</v>
      </c>
      <c r="E62" s="34" t="str">
        <f>IF(ISNA(D62),"",D62)</f>
        <v>Crude oil, avg</v>
      </c>
      <c r="H62" t="e">
        <f t="shared" si="11"/>
        <v>#N/A</v>
      </c>
      <c r="I62" t="e">
        <f t="shared" si="12"/>
        <v>#N/A</v>
      </c>
      <c r="J62" t="e">
        <f t="shared" si="13"/>
        <v>#N/A</v>
      </c>
      <c r="K62" t="e">
        <f t="shared" si="8"/>
        <v>#N/A</v>
      </c>
      <c r="L62" t="e">
        <f t="shared" si="9"/>
        <v>#N/A</v>
      </c>
      <c r="M62" t="e">
        <f t="shared" si="9"/>
        <v>#N/A</v>
      </c>
      <c r="N62" t="e">
        <f t="shared" si="9"/>
        <v>#N/A</v>
      </c>
      <c r="O62" t="e">
        <f t="shared" si="9"/>
        <v>#N/A</v>
      </c>
      <c r="P62" t="e">
        <f t="shared" si="9"/>
        <v>#N/A</v>
      </c>
      <c r="Q62" t="e">
        <f t="shared" si="9"/>
        <v>#N/A</v>
      </c>
      <c r="R62" t="e">
        <f t="shared" si="9"/>
        <v>#N/A</v>
      </c>
      <c r="S62" t="e">
        <f t="shared" si="9"/>
        <v>#N/A</v>
      </c>
      <c r="T62" t="e">
        <f t="shared" si="9"/>
        <v>#N/A</v>
      </c>
      <c r="U62" t="e">
        <f t="shared" si="9"/>
        <v>#N/A</v>
      </c>
      <c r="V62" t="e">
        <f t="shared" si="9"/>
        <v>#N/A</v>
      </c>
      <c r="W62" t="e">
        <f t="shared" si="9"/>
        <v>#N/A</v>
      </c>
      <c r="X62" t="e">
        <f t="shared" si="9"/>
        <v>#N/A</v>
      </c>
      <c r="Y62" t="e">
        <f t="shared" si="9"/>
        <v>#N/A</v>
      </c>
      <c r="Z62" t="e">
        <f t="shared" si="9"/>
        <v>#N/A</v>
      </c>
      <c r="AA62" t="e">
        <f t="shared" si="9"/>
        <v>#N/A</v>
      </c>
      <c r="AB62" t="e">
        <f t="shared" si="9"/>
        <v>#N/A</v>
      </c>
      <c r="AC62" t="e">
        <f t="shared" si="9"/>
        <v>#N/A</v>
      </c>
      <c r="AD62" t="e">
        <f t="shared" si="9"/>
        <v>#N/A</v>
      </c>
      <c r="AE62" t="e">
        <f t="shared" si="9"/>
        <v>#N/A</v>
      </c>
      <c r="AF62" t="e">
        <f t="shared" si="9"/>
        <v>#N/A</v>
      </c>
      <c r="AG62" t="e">
        <f t="shared" si="9"/>
        <v>#N/A</v>
      </c>
      <c r="AH62" t="e">
        <f t="shared" si="9"/>
        <v>#N/A</v>
      </c>
      <c r="AI62" t="e">
        <f t="shared" si="9"/>
        <v>#N/A</v>
      </c>
      <c r="AJ62" t="e">
        <f t="shared" si="9"/>
        <v>#N/A</v>
      </c>
      <c r="AK62" t="e">
        <f t="shared" si="9"/>
        <v>#N/A</v>
      </c>
      <c r="AL62" t="e">
        <f t="shared" si="9"/>
        <v>#N/A</v>
      </c>
      <c r="AM62" t="e">
        <f t="shared" si="9"/>
        <v>#N/A</v>
      </c>
      <c r="AN62" t="e">
        <f t="shared" si="9"/>
        <v>#N/A</v>
      </c>
      <c r="AO62" t="e">
        <f t="shared" si="9"/>
        <v>#N/A</v>
      </c>
      <c r="AP62" t="e">
        <f t="shared" si="9"/>
        <v>#N/A</v>
      </c>
      <c r="AQ62" t="e">
        <f t="shared" si="9"/>
        <v>#N/A</v>
      </c>
      <c r="AR62" t="e">
        <f t="shared" si="9"/>
        <v>#N/A</v>
      </c>
      <c r="AS62" t="e">
        <f t="shared" si="9"/>
        <v>#N/A</v>
      </c>
      <c r="AT62" t="e">
        <f t="shared" si="9"/>
        <v>#N/A</v>
      </c>
      <c r="AU62" t="e">
        <f t="shared" si="9"/>
        <v>#N/A</v>
      </c>
      <c r="AV62" t="e">
        <f t="shared" si="9"/>
        <v>#N/A</v>
      </c>
      <c r="AW62" t="e">
        <f t="shared" si="9"/>
        <v>#N/A</v>
      </c>
      <c r="AX62" t="e">
        <f t="shared" si="9"/>
        <v>#N/A</v>
      </c>
      <c r="AY62" t="e">
        <f t="shared" si="9"/>
        <v>#N/A</v>
      </c>
      <c r="AZ62" t="e">
        <f t="shared" si="9"/>
        <v>#N/A</v>
      </c>
      <c r="BA62" t="e">
        <f t="shared" si="9"/>
        <v>#N/A</v>
      </c>
      <c r="BB62" t="e">
        <f t="shared" si="9"/>
        <v>#N/A</v>
      </c>
      <c r="BC62" t="e">
        <f t="shared" si="9"/>
        <v>#N/A</v>
      </c>
      <c r="BD62" t="e">
        <f t="shared" si="9"/>
        <v>#N/A</v>
      </c>
      <c r="BE62" t="e">
        <f t="shared" si="9"/>
        <v>#N/A</v>
      </c>
      <c r="BF62" t="e">
        <f t="shared" si="9"/>
        <v>#N/A</v>
      </c>
      <c r="BG62" t="e">
        <f t="shared" si="9"/>
        <v>#N/A</v>
      </c>
      <c r="BH62" t="e">
        <f t="shared" si="9"/>
        <v>#N/A</v>
      </c>
      <c r="BI62" t="e">
        <f t="shared" si="9"/>
        <v>#N/A</v>
      </c>
      <c r="BJ62" t="e">
        <f t="shared" si="9"/>
        <v>#N/A</v>
      </c>
      <c r="BK62" t="e">
        <f t="shared" si="9"/>
        <v>#N/A</v>
      </c>
      <c r="BL62" t="e">
        <f t="shared" si="9"/>
        <v>#N/A</v>
      </c>
      <c r="BM62" t="e">
        <f t="shared" si="9"/>
        <v>#N/A</v>
      </c>
      <c r="BN62" t="e">
        <f t="shared" si="9"/>
        <v>#N/A</v>
      </c>
      <c r="BO62" t="e">
        <f t="shared" si="9"/>
        <v>#N/A</v>
      </c>
      <c r="BP62" t="e">
        <f t="shared" si="9"/>
        <v>#N/A</v>
      </c>
      <c r="BQ62" t="e">
        <f t="shared" si="9"/>
        <v>#N/A</v>
      </c>
      <c r="BR62" t="e">
        <f t="shared" si="9"/>
        <v>#N/A</v>
      </c>
      <c r="BS62" t="e">
        <f t="shared" si="9"/>
        <v>#N/A</v>
      </c>
      <c r="BT62" t="e">
        <f t="shared" si="9"/>
        <v>#N/A</v>
      </c>
      <c r="BU62" t="e">
        <f t="shared" si="9"/>
        <v>#N/A</v>
      </c>
      <c r="BV62" t="e">
        <f t="shared" si="9"/>
        <v>#N/A</v>
      </c>
      <c r="BW62" t="e">
        <f t="shared" ref="L62:BW66" si="15">IF(ISNUMBER(INDEX(BW$10:BW$55,$H62)),INDEX(BW$10:BW$55,$H62),NA())</f>
        <v>#N/A</v>
      </c>
      <c r="BX62" t="e">
        <f t="shared" si="10"/>
        <v>#N/A</v>
      </c>
      <c r="BY62" t="e">
        <f t="shared" si="10"/>
        <v>#N/A</v>
      </c>
      <c r="BZ62" t="e">
        <f t="shared" si="10"/>
        <v>#N/A</v>
      </c>
      <c r="CA62" t="e">
        <f t="shared" si="10"/>
        <v>#N/A</v>
      </c>
      <c r="CB62" t="e">
        <f t="shared" si="10"/>
        <v>#N/A</v>
      </c>
      <c r="CC62" t="e">
        <f t="shared" si="10"/>
        <v>#N/A</v>
      </c>
      <c r="CD62" t="e">
        <f t="shared" si="10"/>
        <v>#N/A</v>
      </c>
      <c r="CE62" t="e">
        <f t="shared" si="10"/>
        <v>#N/A</v>
      </c>
      <c r="CF62" t="e">
        <f t="shared" si="10"/>
        <v>#N/A</v>
      </c>
      <c r="CG62" t="e">
        <f t="shared" si="10"/>
        <v>#N/A</v>
      </c>
      <c r="CH62" t="e">
        <f t="shared" si="10"/>
        <v>#N/A</v>
      </c>
      <c r="CI62" t="e">
        <f t="shared" si="10"/>
        <v>#N/A</v>
      </c>
    </row>
    <row r="63" spans="2:87">
      <c r="B63"/>
      <c r="C63" s="34">
        <f t="shared" si="14"/>
        <v>12</v>
      </c>
      <c r="D63" s="3" t="str">
        <f>'History and Forecast Chart'!Q4</f>
        <v>Palm oil</v>
      </c>
      <c r="E63" s="34" t="str">
        <f t="shared" ref="E63:E93" si="16">IF(ISNA(D63),"",D63)</f>
        <v>Palm oil</v>
      </c>
      <c r="H63" t="e">
        <f t="shared" si="11"/>
        <v>#N/A</v>
      </c>
      <c r="I63" t="e">
        <f t="shared" si="12"/>
        <v>#N/A</v>
      </c>
      <c r="J63" t="e">
        <f t="shared" si="13"/>
        <v>#N/A</v>
      </c>
      <c r="K63" t="e">
        <f t="shared" si="8"/>
        <v>#N/A</v>
      </c>
      <c r="L63" t="e">
        <f t="shared" si="15"/>
        <v>#N/A</v>
      </c>
      <c r="M63" t="e">
        <f t="shared" si="15"/>
        <v>#N/A</v>
      </c>
      <c r="N63" t="e">
        <f t="shared" si="15"/>
        <v>#N/A</v>
      </c>
      <c r="O63" t="e">
        <f t="shared" si="15"/>
        <v>#N/A</v>
      </c>
      <c r="P63" t="e">
        <f t="shared" si="15"/>
        <v>#N/A</v>
      </c>
      <c r="Q63" t="e">
        <f t="shared" si="15"/>
        <v>#N/A</v>
      </c>
      <c r="R63" t="e">
        <f t="shared" si="15"/>
        <v>#N/A</v>
      </c>
      <c r="S63" t="e">
        <f t="shared" si="15"/>
        <v>#N/A</v>
      </c>
      <c r="T63" t="e">
        <f t="shared" si="15"/>
        <v>#N/A</v>
      </c>
      <c r="U63" t="e">
        <f t="shared" si="15"/>
        <v>#N/A</v>
      </c>
      <c r="V63" t="e">
        <f t="shared" si="15"/>
        <v>#N/A</v>
      </c>
      <c r="W63" t="e">
        <f t="shared" si="15"/>
        <v>#N/A</v>
      </c>
      <c r="X63" t="e">
        <f t="shared" si="15"/>
        <v>#N/A</v>
      </c>
      <c r="Y63" t="e">
        <f t="shared" si="15"/>
        <v>#N/A</v>
      </c>
      <c r="Z63" t="e">
        <f t="shared" si="15"/>
        <v>#N/A</v>
      </c>
      <c r="AA63" t="e">
        <f t="shared" si="15"/>
        <v>#N/A</v>
      </c>
      <c r="AB63" t="e">
        <f t="shared" si="15"/>
        <v>#N/A</v>
      </c>
      <c r="AC63" t="e">
        <f t="shared" si="15"/>
        <v>#N/A</v>
      </c>
      <c r="AD63" t="e">
        <f t="shared" si="15"/>
        <v>#N/A</v>
      </c>
      <c r="AE63" t="e">
        <f t="shared" si="15"/>
        <v>#N/A</v>
      </c>
      <c r="AF63" t="e">
        <f t="shared" si="15"/>
        <v>#N/A</v>
      </c>
      <c r="AG63" t="e">
        <f t="shared" si="15"/>
        <v>#N/A</v>
      </c>
      <c r="AH63" t="e">
        <f t="shared" si="15"/>
        <v>#N/A</v>
      </c>
      <c r="AI63" t="e">
        <f t="shared" si="15"/>
        <v>#N/A</v>
      </c>
      <c r="AJ63" t="e">
        <f t="shared" si="15"/>
        <v>#N/A</v>
      </c>
      <c r="AK63" t="e">
        <f t="shared" si="15"/>
        <v>#N/A</v>
      </c>
      <c r="AL63" t="e">
        <f t="shared" si="15"/>
        <v>#N/A</v>
      </c>
      <c r="AM63" t="e">
        <f t="shared" si="15"/>
        <v>#N/A</v>
      </c>
      <c r="AN63" t="e">
        <f t="shared" si="15"/>
        <v>#N/A</v>
      </c>
      <c r="AO63" t="e">
        <f t="shared" si="15"/>
        <v>#N/A</v>
      </c>
      <c r="AP63" t="e">
        <f t="shared" si="15"/>
        <v>#N/A</v>
      </c>
      <c r="AQ63" t="e">
        <f t="shared" si="15"/>
        <v>#N/A</v>
      </c>
      <c r="AR63" t="e">
        <f t="shared" si="15"/>
        <v>#N/A</v>
      </c>
      <c r="AS63" t="e">
        <f t="shared" si="15"/>
        <v>#N/A</v>
      </c>
      <c r="AT63" t="e">
        <f t="shared" si="15"/>
        <v>#N/A</v>
      </c>
      <c r="AU63" t="e">
        <f t="shared" si="15"/>
        <v>#N/A</v>
      </c>
      <c r="AV63" t="e">
        <f t="shared" si="15"/>
        <v>#N/A</v>
      </c>
      <c r="AW63" t="e">
        <f t="shared" si="15"/>
        <v>#N/A</v>
      </c>
      <c r="AX63" t="e">
        <f t="shared" si="15"/>
        <v>#N/A</v>
      </c>
      <c r="AY63" t="e">
        <f t="shared" si="15"/>
        <v>#N/A</v>
      </c>
      <c r="AZ63" t="e">
        <f t="shared" si="15"/>
        <v>#N/A</v>
      </c>
      <c r="BA63" t="e">
        <f t="shared" si="15"/>
        <v>#N/A</v>
      </c>
      <c r="BB63" t="e">
        <f t="shared" si="15"/>
        <v>#N/A</v>
      </c>
      <c r="BC63" t="e">
        <f t="shared" si="15"/>
        <v>#N/A</v>
      </c>
      <c r="BD63" t="e">
        <f t="shared" si="15"/>
        <v>#N/A</v>
      </c>
      <c r="BE63" t="e">
        <f t="shared" si="15"/>
        <v>#N/A</v>
      </c>
      <c r="BF63" t="e">
        <f t="shared" si="15"/>
        <v>#N/A</v>
      </c>
      <c r="BG63" t="e">
        <f t="shared" si="15"/>
        <v>#N/A</v>
      </c>
      <c r="BH63" t="e">
        <f t="shared" si="15"/>
        <v>#N/A</v>
      </c>
      <c r="BI63" t="e">
        <f t="shared" si="15"/>
        <v>#N/A</v>
      </c>
      <c r="BJ63" t="e">
        <f t="shared" si="15"/>
        <v>#N/A</v>
      </c>
      <c r="BK63" t="e">
        <f t="shared" si="15"/>
        <v>#N/A</v>
      </c>
      <c r="BL63" t="e">
        <f t="shared" si="15"/>
        <v>#N/A</v>
      </c>
      <c r="BM63" t="e">
        <f t="shared" si="15"/>
        <v>#N/A</v>
      </c>
      <c r="BN63" t="e">
        <f t="shared" si="15"/>
        <v>#N/A</v>
      </c>
      <c r="BO63" t="e">
        <f t="shared" si="15"/>
        <v>#N/A</v>
      </c>
      <c r="BP63" t="e">
        <f t="shared" si="15"/>
        <v>#N/A</v>
      </c>
      <c r="BQ63" t="e">
        <f t="shared" si="15"/>
        <v>#N/A</v>
      </c>
      <c r="BR63" t="e">
        <f t="shared" si="15"/>
        <v>#N/A</v>
      </c>
      <c r="BS63" t="e">
        <f t="shared" si="15"/>
        <v>#N/A</v>
      </c>
      <c r="BT63" t="e">
        <f t="shared" si="15"/>
        <v>#N/A</v>
      </c>
      <c r="BU63" t="e">
        <f t="shared" si="15"/>
        <v>#N/A</v>
      </c>
      <c r="BV63" t="e">
        <f t="shared" si="15"/>
        <v>#N/A</v>
      </c>
      <c r="BW63" t="e">
        <f t="shared" si="15"/>
        <v>#N/A</v>
      </c>
      <c r="BX63" t="e">
        <f t="shared" si="10"/>
        <v>#N/A</v>
      </c>
      <c r="BY63" t="e">
        <f t="shared" si="10"/>
        <v>#N/A</v>
      </c>
      <c r="BZ63" t="e">
        <f t="shared" si="10"/>
        <v>#N/A</v>
      </c>
      <c r="CA63" t="e">
        <f t="shared" si="10"/>
        <v>#N/A</v>
      </c>
      <c r="CB63" t="e">
        <f t="shared" si="10"/>
        <v>#N/A</v>
      </c>
      <c r="CC63" t="e">
        <f t="shared" si="10"/>
        <v>#N/A</v>
      </c>
      <c r="CD63" t="e">
        <f t="shared" si="10"/>
        <v>#N/A</v>
      </c>
      <c r="CE63" t="e">
        <f t="shared" si="10"/>
        <v>#N/A</v>
      </c>
      <c r="CF63" t="e">
        <f t="shared" si="10"/>
        <v>#N/A</v>
      </c>
      <c r="CG63" t="e">
        <f t="shared" si="10"/>
        <v>#N/A</v>
      </c>
      <c r="CH63" t="e">
        <f t="shared" si="10"/>
        <v>#N/A</v>
      </c>
      <c r="CI63" t="e">
        <f t="shared" si="10"/>
        <v>#N/A</v>
      </c>
    </row>
    <row r="64" spans="2:87">
      <c r="B64" s="7" t="s">
        <v>1249</v>
      </c>
      <c r="C64" s="34" t="e">
        <f t="shared" si="14"/>
        <v>#N/A</v>
      </c>
      <c r="D64" s="3" t="e">
        <f>'History and Forecast Chart'!Q5</f>
        <v>#N/A</v>
      </c>
      <c r="E64" s="34" t="str">
        <f t="shared" si="16"/>
        <v/>
      </c>
      <c r="H64" t="e">
        <f t="shared" si="11"/>
        <v>#N/A</v>
      </c>
      <c r="I64" t="e">
        <f t="shared" si="12"/>
        <v>#N/A</v>
      </c>
      <c r="J64" t="e">
        <f t="shared" si="13"/>
        <v>#N/A</v>
      </c>
      <c r="K64" t="e">
        <f t="shared" si="8"/>
        <v>#N/A</v>
      </c>
      <c r="L64" t="e">
        <f t="shared" si="15"/>
        <v>#N/A</v>
      </c>
      <c r="M64" t="e">
        <f t="shared" si="15"/>
        <v>#N/A</v>
      </c>
      <c r="N64" t="e">
        <f t="shared" si="15"/>
        <v>#N/A</v>
      </c>
      <c r="O64" t="e">
        <f t="shared" si="15"/>
        <v>#N/A</v>
      </c>
      <c r="P64" t="e">
        <f t="shared" si="15"/>
        <v>#N/A</v>
      </c>
      <c r="Q64" t="e">
        <f t="shared" si="15"/>
        <v>#N/A</v>
      </c>
      <c r="R64" t="e">
        <f t="shared" si="15"/>
        <v>#N/A</v>
      </c>
      <c r="S64" t="e">
        <f t="shared" si="15"/>
        <v>#N/A</v>
      </c>
      <c r="T64" t="e">
        <f t="shared" si="15"/>
        <v>#N/A</v>
      </c>
      <c r="U64" t="e">
        <f t="shared" si="15"/>
        <v>#N/A</v>
      </c>
      <c r="V64" t="e">
        <f t="shared" si="15"/>
        <v>#N/A</v>
      </c>
      <c r="W64" t="e">
        <f t="shared" si="15"/>
        <v>#N/A</v>
      </c>
      <c r="X64" t="e">
        <f t="shared" si="15"/>
        <v>#N/A</v>
      </c>
      <c r="Y64" t="e">
        <f t="shared" si="15"/>
        <v>#N/A</v>
      </c>
      <c r="Z64" t="e">
        <f t="shared" si="15"/>
        <v>#N/A</v>
      </c>
      <c r="AA64" t="e">
        <f t="shared" si="15"/>
        <v>#N/A</v>
      </c>
      <c r="AB64" t="e">
        <f t="shared" si="15"/>
        <v>#N/A</v>
      </c>
      <c r="AC64" t="e">
        <f t="shared" si="15"/>
        <v>#N/A</v>
      </c>
      <c r="AD64" t="e">
        <f t="shared" si="15"/>
        <v>#N/A</v>
      </c>
      <c r="AE64" t="e">
        <f t="shared" si="15"/>
        <v>#N/A</v>
      </c>
      <c r="AF64" t="e">
        <f t="shared" si="15"/>
        <v>#N/A</v>
      </c>
      <c r="AG64" t="e">
        <f t="shared" si="15"/>
        <v>#N/A</v>
      </c>
      <c r="AH64" t="e">
        <f t="shared" si="15"/>
        <v>#N/A</v>
      </c>
      <c r="AI64" t="e">
        <f t="shared" si="15"/>
        <v>#N/A</v>
      </c>
      <c r="AJ64" t="e">
        <f t="shared" si="15"/>
        <v>#N/A</v>
      </c>
      <c r="AK64" t="e">
        <f t="shared" si="15"/>
        <v>#N/A</v>
      </c>
      <c r="AL64" t="e">
        <f t="shared" si="15"/>
        <v>#N/A</v>
      </c>
      <c r="AM64" t="e">
        <f t="shared" si="15"/>
        <v>#N/A</v>
      </c>
      <c r="AN64" t="e">
        <f t="shared" si="15"/>
        <v>#N/A</v>
      </c>
      <c r="AO64" t="e">
        <f t="shared" si="15"/>
        <v>#N/A</v>
      </c>
      <c r="AP64" t="e">
        <f t="shared" si="15"/>
        <v>#N/A</v>
      </c>
      <c r="AQ64" t="e">
        <f t="shared" si="15"/>
        <v>#N/A</v>
      </c>
      <c r="AR64" t="e">
        <f t="shared" si="15"/>
        <v>#N/A</v>
      </c>
      <c r="AS64" t="e">
        <f t="shared" si="15"/>
        <v>#N/A</v>
      </c>
      <c r="AT64" t="e">
        <f t="shared" si="15"/>
        <v>#N/A</v>
      </c>
      <c r="AU64" t="e">
        <f t="shared" si="15"/>
        <v>#N/A</v>
      </c>
      <c r="AV64" t="e">
        <f t="shared" si="15"/>
        <v>#N/A</v>
      </c>
      <c r="AW64" t="e">
        <f t="shared" si="15"/>
        <v>#N/A</v>
      </c>
      <c r="AX64" t="e">
        <f t="shared" si="15"/>
        <v>#N/A</v>
      </c>
      <c r="AY64" t="e">
        <f t="shared" si="15"/>
        <v>#N/A</v>
      </c>
      <c r="AZ64" t="e">
        <f t="shared" si="15"/>
        <v>#N/A</v>
      </c>
      <c r="BA64" t="e">
        <f t="shared" si="15"/>
        <v>#N/A</v>
      </c>
      <c r="BB64" t="e">
        <f t="shared" si="15"/>
        <v>#N/A</v>
      </c>
      <c r="BC64" t="e">
        <f t="shared" si="15"/>
        <v>#N/A</v>
      </c>
      <c r="BD64" t="e">
        <f t="shared" si="15"/>
        <v>#N/A</v>
      </c>
      <c r="BE64" t="e">
        <f t="shared" si="15"/>
        <v>#N/A</v>
      </c>
      <c r="BF64" t="e">
        <f t="shared" si="15"/>
        <v>#N/A</v>
      </c>
      <c r="BG64" t="e">
        <f t="shared" si="15"/>
        <v>#N/A</v>
      </c>
      <c r="BH64" t="e">
        <f t="shared" si="15"/>
        <v>#N/A</v>
      </c>
      <c r="BI64" t="e">
        <f t="shared" si="15"/>
        <v>#N/A</v>
      </c>
      <c r="BJ64" t="e">
        <f t="shared" si="15"/>
        <v>#N/A</v>
      </c>
      <c r="BK64" t="e">
        <f t="shared" si="15"/>
        <v>#N/A</v>
      </c>
      <c r="BL64" t="e">
        <f t="shared" si="15"/>
        <v>#N/A</v>
      </c>
      <c r="BM64" t="e">
        <f t="shared" si="15"/>
        <v>#N/A</v>
      </c>
      <c r="BN64" t="e">
        <f t="shared" si="15"/>
        <v>#N/A</v>
      </c>
      <c r="BO64" t="e">
        <f t="shared" si="15"/>
        <v>#N/A</v>
      </c>
      <c r="BP64" t="e">
        <f t="shared" si="15"/>
        <v>#N/A</v>
      </c>
      <c r="BQ64" t="e">
        <f t="shared" si="15"/>
        <v>#N/A</v>
      </c>
      <c r="BR64" t="e">
        <f t="shared" si="15"/>
        <v>#N/A</v>
      </c>
      <c r="BS64" t="e">
        <f t="shared" si="15"/>
        <v>#N/A</v>
      </c>
      <c r="BT64" t="e">
        <f t="shared" si="15"/>
        <v>#N/A</v>
      </c>
      <c r="BU64" t="e">
        <f t="shared" si="15"/>
        <v>#N/A</v>
      </c>
      <c r="BV64" t="e">
        <f t="shared" si="15"/>
        <v>#N/A</v>
      </c>
      <c r="BW64" t="e">
        <f t="shared" si="15"/>
        <v>#N/A</v>
      </c>
      <c r="BX64" t="e">
        <f t="shared" si="10"/>
        <v>#N/A</v>
      </c>
      <c r="BY64" t="e">
        <f t="shared" si="10"/>
        <v>#N/A</v>
      </c>
      <c r="BZ64" t="e">
        <f t="shared" si="10"/>
        <v>#N/A</v>
      </c>
      <c r="CA64" t="e">
        <f t="shared" si="10"/>
        <v>#N/A</v>
      </c>
      <c r="CB64" t="e">
        <f t="shared" si="10"/>
        <v>#N/A</v>
      </c>
      <c r="CC64" t="e">
        <f t="shared" si="10"/>
        <v>#N/A</v>
      </c>
      <c r="CD64" t="e">
        <f t="shared" si="10"/>
        <v>#N/A</v>
      </c>
      <c r="CE64" t="e">
        <f t="shared" si="10"/>
        <v>#N/A</v>
      </c>
      <c r="CF64" t="e">
        <f t="shared" si="10"/>
        <v>#N/A</v>
      </c>
      <c r="CG64" t="e">
        <f t="shared" si="10"/>
        <v>#N/A</v>
      </c>
      <c r="CH64" t="e">
        <f t="shared" si="10"/>
        <v>#N/A</v>
      </c>
      <c r="CI64" t="e">
        <f t="shared" si="10"/>
        <v>#N/A</v>
      </c>
    </row>
    <row r="65" spans="2:87">
      <c r="B65" s="7" t="s">
        <v>1245</v>
      </c>
      <c r="C65" s="34" t="e">
        <f t="shared" si="14"/>
        <v>#N/A</v>
      </c>
      <c r="D65" s="3" t="e">
        <f>'History and Forecast Chart'!Q6</f>
        <v>#N/A</v>
      </c>
      <c r="E65" s="34" t="str">
        <f t="shared" si="16"/>
        <v/>
      </c>
      <c r="H65" t="e">
        <f t="shared" si="11"/>
        <v>#N/A</v>
      </c>
      <c r="I65" t="e">
        <f t="shared" si="12"/>
        <v>#N/A</v>
      </c>
      <c r="J65" t="e">
        <f t="shared" si="13"/>
        <v>#N/A</v>
      </c>
      <c r="K65" t="e">
        <f t="shared" si="8"/>
        <v>#N/A</v>
      </c>
      <c r="L65" t="e">
        <f t="shared" si="15"/>
        <v>#N/A</v>
      </c>
      <c r="M65" t="e">
        <f t="shared" si="15"/>
        <v>#N/A</v>
      </c>
      <c r="N65" t="e">
        <f t="shared" si="15"/>
        <v>#N/A</v>
      </c>
      <c r="O65" t="e">
        <f t="shared" si="15"/>
        <v>#N/A</v>
      </c>
      <c r="P65" t="e">
        <f t="shared" si="15"/>
        <v>#N/A</v>
      </c>
      <c r="Q65" t="e">
        <f t="shared" si="15"/>
        <v>#N/A</v>
      </c>
      <c r="R65" t="e">
        <f t="shared" si="15"/>
        <v>#N/A</v>
      </c>
      <c r="S65" t="e">
        <f t="shared" si="15"/>
        <v>#N/A</v>
      </c>
      <c r="T65" t="e">
        <f t="shared" si="15"/>
        <v>#N/A</v>
      </c>
      <c r="U65" t="e">
        <f t="shared" si="15"/>
        <v>#N/A</v>
      </c>
      <c r="V65" t="e">
        <f t="shared" si="15"/>
        <v>#N/A</v>
      </c>
      <c r="W65" t="e">
        <f t="shared" si="15"/>
        <v>#N/A</v>
      </c>
      <c r="X65" t="e">
        <f t="shared" si="15"/>
        <v>#N/A</v>
      </c>
      <c r="Y65" t="e">
        <f t="shared" si="15"/>
        <v>#N/A</v>
      </c>
      <c r="Z65" t="e">
        <f t="shared" si="15"/>
        <v>#N/A</v>
      </c>
      <c r="AA65" t="e">
        <f t="shared" si="15"/>
        <v>#N/A</v>
      </c>
      <c r="AB65" t="e">
        <f t="shared" si="15"/>
        <v>#N/A</v>
      </c>
      <c r="AC65" t="e">
        <f t="shared" si="15"/>
        <v>#N/A</v>
      </c>
      <c r="AD65" t="e">
        <f t="shared" si="15"/>
        <v>#N/A</v>
      </c>
      <c r="AE65" t="e">
        <f t="shared" si="15"/>
        <v>#N/A</v>
      </c>
      <c r="AF65" t="e">
        <f t="shared" si="15"/>
        <v>#N/A</v>
      </c>
      <c r="AG65" t="e">
        <f t="shared" si="15"/>
        <v>#N/A</v>
      </c>
      <c r="AH65" t="e">
        <f t="shared" si="15"/>
        <v>#N/A</v>
      </c>
      <c r="AI65" t="e">
        <f t="shared" si="15"/>
        <v>#N/A</v>
      </c>
      <c r="AJ65" t="e">
        <f t="shared" si="15"/>
        <v>#N/A</v>
      </c>
      <c r="AK65" t="e">
        <f t="shared" si="15"/>
        <v>#N/A</v>
      </c>
      <c r="AL65" t="e">
        <f t="shared" si="15"/>
        <v>#N/A</v>
      </c>
      <c r="AM65" t="e">
        <f t="shared" si="15"/>
        <v>#N/A</v>
      </c>
      <c r="AN65" t="e">
        <f t="shared" si="15"/>
        <v>#N/A</v>
      </c>
      <c r="AO65" t="e">
        <f t="shared" si="15"/>
        <v>#N/A</v>
      </c>
      <c r="AP65" t="e">
        <f t="shared" si="15"/>
        <v>#N/A</v>
      </c>
      <c r="AQ65" t="e">
        <f t="shared" si="15"/>
        <v>#N/A</v>
      </c>
      <c r="AR65" t="e">
        <f t="shared" si="15"/>
        <v>#N/A</v>
      </c>
      <c r="AS65" t="e">
        <f t="shared" si="15"/>
        <v>#N/A</v>
      </c>
      <c r="AT65" t="e">
        <f t="shared" si="15"/>
        <v>#N/A</v>
      </c>
      <c r="AU65" t="e">
        <f t="shared" si="15"/>
        <v>#N/A</v>
      </c>
      <c r="AV65" t="e">
        <f t="shared" si="15"/>
        <v>#N/A</v>
      </c>
      <c r="AW65" t="e">
        <f t="shared" si="15"/>
        <v>#N/A</v>
      </c>
      <c r="AX65" t="e">
        <f t="shared" si="15"/>
        <v>#N/A</v>
      </c>
      <c r="AY65" t="e">
        <f t="shared" si="15"/>
        <v>#N/A</v>
      </c>
      <c r="AZ65" t="e">
        <f t="shared" si="15"/>
        <v>#N/A</v>
      </c>
      <c r="BA65" t="e">
        <f t="shared" si="15"/>
        <v>#N/A</v>
      </c>
      <c r="BB65" t="e">
        <f t="shared" si="15"/>
        <v>#N/A</v>
      </c>
      <c r="BC65" t="e">
        <f t="shared" si="15"/>
        <v>#N/A</v>
      </c>
      <c r="BD65" t="e">
        <f t="shared" si="15"/>
        <v>#N/A</v>
      </c>
      <c r="BE65" t="e">
        <f t="shared" si="15"/>
        <v>#N/A</v>
      </c>
      <c r="BF65" t="e">
        <f t="shared" si="15"/>
        <v>#N/A</v>
      </c>
      <c r="BG65" t="e">
        <f t="shared" si="15"/>
        <v>#N/A</v>
      </c>
      <c r="BH65" t="e">
        <f t="shared" si="15"/>
        <v>#N/A</v>
      </c>
      <c r="BI65" t="e">
        <f t="shared" si="15"/>
        <v>#N/A</v>
      </c>
      <c r="BJ65" t="e">
        <f t="shared" si="15"/>
        <v>#N/A</v>
      </c>
      <c r="BK65" t="e">
        <f t="shared" si="15"/>
        <v>#N/A</v>
      </c>
      <c r="BL65" t="e">
        <f t="shared" si="15"/>
        <v>#N/A</v>
      </c>
      <c r="BM65" t="e">
        <f t="shared" si="15"/>
        <v>#N/A</v>
      </c>
      <c r="BN65" t="e">
        <f t="shared" si="15"/>
        <v>#N/A</v>
      </c>
      <c r="BO65" t="e">
        <f t="shared" si="15"/>
        <v>#N/A</v>
      </c>
      <c r="BP65" t="e">
        <f t="shared" si="15"/>
        <v>#N/A</v>
      </c>
      <c r="BQ65" t="e">
        <f t="shared" si="15"/>
        <v>#N/A</v>
      </c>
      <c r="BR65" t="e">
        <f t="shared" si="15"/>
        <v>#N/A</v>
      </c>
      <c r="BS65" t="e">
        <f t="shared" si="15"/>
        <v>#N/A</v>
      </c>
      <c r="BT65" t="e">
        <f t="shared" si="15"/>
        <v>#N/A</v>
      </c>
      <c r="BU65" t="e">
        <f t="shared" si="15"/>
        <v>#N/A</v>
      </c>
      <c r="BV65" t="e">
        <f t="shared" si="15"/>
        <v>#N/A</v>
      </c>
      <c r="BW65" t="e">
        <f t="shared" si="15"/>
        <v>#N/A</v>
      </c>
      <c r="BX65" t="e">
        <f t="shared" si="10"/>
        <v>#N/A</v>
      </c>
      <c r="BY65" t="e">
        <f t="shared" si="10"/>
        <v>#N/A</v>
      </c>
      <c r="BZ65" t="e">
        <f t="shared" si="10"/>
        <v>#N/A</v>
      </c>
      <c r="CA65" t="e">
        <f t="shared" si="10"/>
        <v>#N/A</v>
      </c>
      <c r="CB65" t="e">
        <f t="shared" si="10"/>
        <v>#N/A</v>
      </c>
      <c r="CC65" t="e">
        <f t="shared" si="10"/>
        <v>#N/A</v>
      </c>
      <c r="CD65" t="e">
        <f t="shared" si="10"/>
        <v>#N/A</v>
      </c>
      <c r="CE65" t="e">
        <f t="shared" si="10"/>
        <v>#N/A</v>
      </c>
      <c r="CF65" t="e">
        <f t="shared" si="10"/>
        <v>#N/A</v>
      </c>
      <c r="CG65" t="e">
        <f t="shared" si="10"/>
        <v>#N/A</v>
      </c>
      <c r="CH65" t="e">
        <f t="shared" si="10"/>
        <v>#N/A</v>
      </c>
      <c r="CI65" t="e">
        <f t="shared" si="10"/>
        <v>#N/A</v>
      </c>
    </row>
    <row r="66" spans="2:87">
      <c r="B66" s="7" t="s">
        <v>1246</v>
      </c>
      <c r="C66" s="34" t="e">
        <f t="shared" si="14"/>
        <v>#N/A</v>
      </c>
      <c r="D66" s="3" t="e">
        <f>'History and Forecast Chart'!Q7</f>
        <v>#N/A</v>
      </c>
      <c r="E66" s="34" t="str">
        <f t="shared" si="16"/>
        <v/>
      </c>
      <c r="H66" t="e">
        <f t="shared" si="11"/>
        <v>#N/A</v>
      </c>
      <c r="I66" t="e">
        <f t="shared" si="12"/>
        <v>#N/A</v>
      </c>
      <c r="J66" t="e">
        <f t="shared" si="13"/>
        <v>#N/A</v>
      </c>
      <c r="K66" t="e">
        <f t="shared" si="8"/>
        <v>#N/A</v>
      </c>
      <c r="L66" t="e">
        <f t="shared" si="15"/>
        <v>#N/A</v>
      </c>
      <c r="M66" t="e">
        <f t="shared" si="15"/>
        <v>#N/A</v>
      </c>
      <c r="N66" t="e">
        <f t="shared" si="15"/>
        <v>#N/A</v>
      </c>
      <c r="O66" t="e">
        <f t="shared" si="15"/>
        <v>#N/A</v>
      </c>
      <c r="P66" t="e">
        <f t="shared" si="15"/>
        <v>#N/A</v>
      </c>
      <c r="Q66" t="e">
        <f t="shared" si="15"/>
        <v>#N/A</v>
      </c>
      <c r="R66" t="e">
        <f t="shared" si="15"/>
        <v>#N/A</v>
      </c>
      <c r="S66" t="e">
        <f t="shared" si="15"/>
        <v>#N/A</v>
      </c>
      <c r="T66" t="e">
        <f t="shared" si="15"/>
        <v>#N/A</v>
      </c>
      <c r="U66" t="e">
        <f t="shared" si="15"/>
        <v>#N/A</v>
      </c>
      <c r="V66" t="e">
        <f t="shared" si="15"/>
        <v>#N/A</v>
      </c>
      <c r="W66" t="e">
        <f t="shared" si="15"/>
        <v>#N/A</v>
      </c>
      <c r="X66" t="e">
        <f t="shared" si="15"/>
        <v>#N/A</v>
      </c>
      <c r="Y66" t="e">
        <f t="shared" si="15"/>
        <v>#N/A</v>
      </c>
      <c r="Z66" t="e">
        <f t="shared" si="15"/>
        <v>#N/A</v>
      </c>
      <c r="AA66" t="e">
        <f t="shared" si="15"/>
        <v>#N/A</v>
      </c>
      <c r="AB66" t="e">
        <f t="shared" si="15"/>
        <v>#N/A</v>
      </c>
      <c r="AC66" t="e">
        <f t="shared" si="15"/>
        <v>#N/A</v>
      </c>
      <c r="AD66" t="e">
        <f t="shared" si="15"/>
        <v>#N/A</v>
      </c>
      <c r="AE66" t="e">
        <f t="shared" si="15"/>
        <v>#N/A</v>
      </c>
      <c r="AF66" t="e">
        <f t="shared" si="15"/>
        <v>#N/A</v>
      </c>
      <c r="AG66" t="e">
        <f t="shared" si="15"/>
        <v>#N/A</v>
      </c>
      <c r="AH66" t="e">
        <f t="shared" si="15"/>
        <v>#N/A</v>
      </c>
      <c r="AI66" t="e">
        <f t="shared" si="15"/>
        <v>#N/A</v>
      </c>
      <c r="AJ66" t="e">
        <f t="shared" si="15"/>
        <v>#N/A</v>
      </c>
      <c r="AK66" t="e">
        <f t="shared" si="15"/>
        <v>#N/A</v>
      </c>
      <c r="AL66" t="e">
        <f t="shared" si="15"/>
        <v>#N/A</v>
      </c>
      <c r="AM66" t="e">
        <f t="shared" si="15"/>
        <v>#N/A</v>
      </c>
      <c r="AN66" t="e">
        <f t="shared" si="15"/>
        <v>#N/A</v>
      </c>
      <c r="AO66" t="e">
        <f t="shared" si="15"/>
        <v>#N/A</v>
      </c>
      <c r="AP66" t="e">
        <f t="shared" si="15"/>
        <v>#N/A</v>
      </c>
      <c r="AQ66" t="e">
        <f t="shared" si="15"/>
        <v>#N/A</v>
      </c>
      <c r="AR66" t="e">
        <f t="shared" si="15"/>
        <v>#N/A</v>
      </c>
      <c r="AS66" t="e">
        <f t="shared" si="15"/>
        <v>#N/A</v>
      </c>
      <c r="AT66" t="e">
        <f t="shared" si="15"/>
        <v>#N/A</v>
      </c>
      <c r="AU66" t="e">
        <f t="shared" si="15"/>
        <v>#N/A</v>
      </c>
      <c r="AV66" t="e">
        <f t="shared" si="15"/>
        <v>#N/A</v>
      </c>
      <c r="AW66" t="e">
        <f t="shared" si="15"/>
        <v>#N/A</v>
      </c>
      <c r="AX66" t="e">
        <f t="shared" si="15"/>
        <v>#N/A</v>
      </c>
      <c r="AY66" t="e">
        <f t="shared" si="15"/>
        <v>#N/A</v>
      </c>
      <c r="AZ66" t="e">
        <f t="shared" si="15"/>
        <v>#N/A</v>
      </c>
      <c r="BA66" t="e">
        <f t="shared" si="15"/>
        <v>#N/A</v>
      </c>
      <c r="BB66" t="e">
        <f t="shared" si="15"/>
        <v>#N/A</v>
      </c>
      <c r="BC66" t="e">
        <f t="shared" si="15"/>
        <v>#N/A</v>
      </c>
      <c r="BD66" t="e">
        <f t="shared" si="15"/>
        <v>#N/A</v>
      </c>
      <c r="BE66" t="e">
        <f t="shared" si="15"/>
        <v>#N/A</v>
      </c>
      <c r="BF66" t="e">
        <f t="shared" si="15"/>
        <v>#N/A</v>
      </c>
      <c r="BG66" t="e">
        <f t="shared" si="15"/>
        <v>#N/A</v>
      </c>
      <c r="BH66" t="e">
        <f t="shared" si="15"/>
        <v>#N/A</v>
      </c>
      <c r="BI66" t="e">
        <f t="shared" si="15"/>
        <v>#N/A</v>
      </c>
      <c r="BJ66" t="e">
        <f t="shared" si="15"/>
        <v>#N/A</v>
      </c>
      <c r="BK66" t="e">
        <f t="shared" si="15"/>
        <v>#N/A</v>
      </c>
      <c r="BL66" t="e">
        <f t="shared" si="15"/>
        <v>#N/A</v>
      </c>
      <c r="BM66" t="e">
        <f t="shared" si="15"/>
        <v>#N/A</v>
      </c>
      <c r="BN66" t="e">
        <f t="shared" si="15"/>
        <v>#N/A</v>
      </c>
      <c r="BO66" t="e">
        <f t="shared" si="15"/>
        <v>#N/A</v>
      </c>
      <c r="BP66" t="e">
        <f t="shared" si="15"/>
        <v>#N/A</v>
      </c>
      <c r="BQ66" t="e">
        <f t="shared" si="15"/>
        <v>#N/A</v>
      </c>
      <c r="BR66" t="e">
        <f t="shared" si="15"/>
        <v>#N/A</v>
      </c>
      <c r="BS66" t="e">
        <f t="shared" si="15"/>
        <v>#N/A</v>
      </c>
      <c r="BT66" t="e">
        <f t="shared" si="15"/>
        <v>#N/A</v>
      </c>
      <c r="BU66" t="e">
        <f t="shared" si="15"/>
        <v>#N/A</v>
      </c>
      <c r="BV66" t="e">
        <f t="shared" ref="BV66:BW68" si="17">IF(ISNUMBER(INDEX(BV$10:BV$55,$H66)),INDEX(BV$10:BV$55,$H66),NA())</f>
        <v>#N/A</v>
      </c>
      <c r="BW66" t="e">
        <f t="shared" si="17"/>
        <v>#N/A</v>
      </c>
      <c r="BX66" t="e">
        <f t="shared" si="10"/>
        <v>#N/A</v>
      </c>
      <c r="BY66" t="e">
        <f t="shared" si="10"/>
        <v>#N/A</v>
      </c>
      <c r="BZ66" t="e">
        <f t="shared" si="10"/>
        <v>#N/A</v>
      </c>
      <c r="CA66" t="e">
        <f t="shared" si="10"/>
        <v>#N/A</v>
      </c>
      <c r="CB66" t="e">
        <f t="shared" si="10"/>
        <v>#N/A</v>
      </c>
      <c r="CC66" t="e">
        <f t="shared" si="10"/>
        <v>#N/A</v>
      </c>
      <c r="CD66" t="e">
        <f t="shared" si="10"/>
        <v>#N/A</v>
      </c>
      <c r="CE66" t="e">
        <f t="shared" si="10"/>
        <v>#N/A</v>
      </c>
      <c r="CF66" t="e">
        <f t="shared" si="10"/>
        <v>#N/A</v>
      </c>
      <c r="CG66" t="e">
        <f t="shared" si="10"/>
        <v>#N/A</v>
      </c>
      <c r="CH66" t="e">
        <f t="shared" si="10"/>
        <v>#N/A</v>
      </c>
      <c r="CI66" t="e">
        <f t="shared" si="10"/>
        <v>#N/A</v>
      </c>
    </row>
    <row r="67" spans="2:87">
      <c r="B67"/>
      <c r="C67" s="34" t="e">
        <f t="shared" si="14"/>
        <v>#N/A</v>
      </c>
      <c r="D67" s="3" t="e">
        <f>'History and Forecast Chart'!Q8</f>
        <v>#N/A</v>
      </c>
      <c r="E67" s="34" t="str">
        <f t="shared" si="16"/>
        <v/>
      </c>
      <c r="H67" t="e">
        <f t="shared" si="11"/>
        <v>#N/A</v>
      </c>
      <c r="I67" t="e">
        <f t="shared" si="12"/>
        <v>#N/A</v>
      </c>
      <c r="J67" t="e">
        <f t="shared" si="13"/>
        <v>#N/A</v>
      </c>
      <c r="K67" t="e">
        <f t="shared" si="8"/>
        <v>#N/A</v>
      </c>
      <c r="L67" t="e">
        <f t="shared" ref="L67:Z68" si="18">IF(ISNUMBER(INDEX(L$10:L$55,$H67)),INDEX(L$10:L$55,$H67),NA())</f>
        <v>#N/A</v>
      </c>
      <c r="M67" t="e">
        <f t="shared" si="18"/>
        <v>#N/A</v>
      </c>
      <c r="N67" t="e">
        <f t="shared" si="18"/>
        <v>#N/A</v>
      </c>
      <c r="O67" t="e">
        <f t="shared" si="18"/>
        <v>#N/A</v>
      </c>
      <c r="P67" t="e">
        <f t="shared" si="18"/>
        <v>#N/A</v>
      </c>
      <c r="Q67" t="e">
        <f t="shared" si="18"/>
        <v>#N/A</v>
      </c>
      <c r="R67" t="e">
        <f t="shared" si="18"/>
        <v>#N/A</v>
      </c>
      <c r="S67" t="e">
        <f t="shared" si="18"/>
        <v>#N/A</v>
      </c>
      <c r="T67" t="e">
        <f t="shared" si="18"/>
        <v>#N/A</v>
      </c>
      <c r="U67" t="e">
        <f t="shared" si="18"/>
        <v>#N/A</v>
      </c>
      <c r="V67" t="e">
        <f t="shared" si="18"/>
        <v>#N/A</v>
      </c>
      <c r="W67" t="e">
        <f t="shared" si="18"/>
        <v>#N/A</v>
      </c>
      <c r="X67" t="e">
        <f t="shared" si="18"/>
        <v>#N/A</v>
      </c>
      <c r="Y67" t="e">
        <f t="shared" si="18"/>
        <v>#N/A</v>
      </c>
      <c r="Z67" t="e">
        <f t="shared" si="18"/>
        <v>#N/A</v>
      </c>
      <c r="AA67" t="e">
        <f t="shared" ref="AA67:AP68" si="19">IF(ISNUMBER(INDEX(AA$10:AA$55,$H67)),INDEX(AA$10:AA$55,$H67),NA())</f>
        <v>#N/A</v>
      </c>
      <c r="AB67" t="e">
        <f t="shared" si="19"/>
        <v>#N/A</v>
      </c>
      <c r="AC67" t="e">
        <f t="shared" si="19"/>
        <v>#N/A</v>
      </c>
      <c r="AD67" t="e">
        <f t="shared" si="19"/>
        <v>#N/A</v>
      </c>
      <c r="AE67" t="e">
        <f t="shared" si="19"/>
        <v>#N/A</v>
      </c>
      <c r="AF67" t="e">
        <f t="shared" si="19"/>
        <v>#N/A</v>
      </c>
      <c r="AG67" t="e">
        <f t="shared" si="19"/>
        <v>#N/A</v>
      </c>
      <c r="AH67" t="e">
        <f t="shared" si="19"/>
        <v>#N/A</v>
      </c>
      <c r="AI67" t="e">
        <f t="shared" si="19"/>
        <v>#N/A</v>
      </c>
      <c r="AJ67" t="e">
        <f t="shared" si="19"/>
        <v>#N/A</v>
      </c>
      <c r="AK67" t="e">
        <f t="shared" si="19"/>
        <v>#N/A</v>
      </c>
      <c r="AL67" t="e">
        <f t="shared" si="19"/>
        <v>#N/A</v>
      </c>
      <c r="AM67" t="e">
        <f t="shared" si="19"/>
        <v>#N/A</v>
      </c>
      <c r="AN67" t="e">
        <f t="shared" si="19"/>
        <v>#N/A</v>
      </c>
      <c r="AO67" t="e">
        <f t="shared" si="19"/>
        <v>#N/A</v>
      </c>
      <c r="AP67" t="e">
        <f t="shared" si="19"/>
        <v>#N/A</v>
      </c>
      <c r="AQ67" t="e">
        <f t="shared" ref="AQ67:BF68" si="20">IF(ISNUMBER(INDEX(AQ$10:AQ$55,$H67)),INDEX(AQ$10:AQ$55,$H67),NA())</f>
        <v>#N/A</v>
      </c>
      <c r="AR67" t="e">
        <f t="shared" si="20"/>
        <v>#N/A</v>
      </c>
      <c r="AS67" t="e">
        <f t="shared" si="20"/>
        <v>#N/A</v>
      </c>
      <c r="AT67" t="e">
        <f t="shared" si="20"/>
        <v>#N/A</v>
      </c>
      <c r="AU67" t="e">
        <f t="shared" si="20"/>
        <v>#N/A</v>
      </c>
      <c r="AV67" t="e">
        <f t="shared" si="20"/>
        <v>#N/A</v>
      </c>
      <c r="AW67" t="e">
        <f t="shared" si="20"/>
        <v>#N/A</v>
      </c>
      <c r="AX67" t="e">
        <f t="shared" si="20"/>
        <v>#N/A</v>
      </c>
      <c r="AY67" t="e">
        <f t="shared" si="20"/>
        <v>#N/A</v>
      </c>
      <c r="AZ67" t="e">
        <f t="shared" si="20"/>
        <v>#N/A</v>
      </c>
      <c r="BA67" t="e">
        <f t="shared" si="20"/>
        <v>#N/A</v>
      </c>
      <c r="BB67" t="e">
        <f t="shared" si="20"/>
        <v>#N/A</v>
      </c>
      <c r="BC67" t="e">
        <f t="shared" si="20"/>
        <v>#N/A</v>
      </c>
      <c r="BD67" t="e">
        <f t="shared" si="20"/>
        <v>#N/A</v>
      </c>
      <c r="BE67" t="e">
        <f t="shared" si="20"/>
        <v>#N/A</v>
      </c>
      <c r="BF67" t="e">
        <f t="shared" si="20"/>
        <v>#N/A</v>
      </c>
      <c r="BG67" t="e">
        <f t="shared" ref="BG67:BV68" si="21">IF(ISNUMBER(INDEX(BG$10:BG$55,$H67)),INDEX(BG$10:BG$55,$H67),NA())</f>
        <v>#N/A</v>
      </c>
      <c r="BH67" t="e">
        <f t="shared" si="21"/>
        <v>#N/A</v>
      </c>
      <c r="BI67" t="e">
        <f t="shared" si="21"/>
        <v>#N/A</v>
      </c>
      <c r="BJ67" t="e">
        <f t="shared" si="21"/>
        <v>#N/A</v>
      </c>
      <c r="BK67" t="e">
        <f t="shared" si="21"/>
        <v>#N/A</v>
      </c>
      <c r="BL67" t="e">
        <f t="shared" si="21"/>
        <v>#N/A</v>
      </c>
      <c r="BM67" t="e">
        <f t="shared" si="21"/>
        <v>#N/A</v>
      </c>
      <c r="BN67" t="e">
        <f t="shared" si="21"/>
        <v>#N/A</v>
      </c>
      <c r="BO67" t="e">
        <f t="shared" si="21"/>
        <v>#N/A</v>
      </c>
      <c r="BP67" t="e">
        <f t="shared" si="21"/>
        <v>#N/A</v>
      </c>
      <c r="BQ67" t="e">
        <f t="shared" si="21"/>
        <v>#N/A</v>
      </c>
      <c r="BR67" t="e">
        <f t="shared" si="21"/>
        <v>#N/A</v>
      </c>
      <c r="BS67" t="e">
        <f t="shared" si="21"/>
        <v>#N/A</v>
      </c>
      <c r="BT67" t="e">
        <f t="shared" si="21"/>
        <v>#N/A</v>
      </c>
      <c r="BU67" t="e">
        <f t="shared" si="21"/>
        <v>#N/A</v>
      </c>
      <c r="BV67" t="e">
        <f t="shared" si="21"/>
        <v>#N/A</v>
      </c>
      <c r="BW67" t="e">
        <f t="shared" si="17"/>
        <v>#N/A</v>
      </c>
      <c r="BX67" t="e">
        <f t="shared" si="10"/>
        <v>#N/A</v>
      </c>
      <c r="BY67" t="e">
        <f t="shared" si="10"/>
        <v>#N/A</v>
      </c>
      <c r="BZ67" t="e">
        <f t="shared" si="10"/>
        <v>#N/A</v>
      </c>
      <c r="CA67" t="e">
        <f t="shared" si="10"/>
        <v>#N/A</v>
      </c>
      <c r="CB67" t="e">
        <f t="shared" si="10"/>
        <v>#N/A</v>
      </c>
      <c r="CC67" t="e">
        <f t="shared" si="10"/>
        <v>#N/A</v>
      </c>
      <c r="CD67" t="e">
        <f t="shared" si="10"/>
        <v>#N/A</v>
      </c>
      <c r="CE67" t="e">
        <f t="shared" si="10"/>
        <v>#N/A</v>
      </c>
      <c r="CF67" t="e">
        <f t="shared" si="10"/>
        <v>#N/A</v>
      </c>
      <c r="CG67" t="e">
        <f t="shared" si="10"/>
        <v>#N/A</v>
      </c>
      <c r="CH67" t="e">
        <f t="shared" si="10"/>
        <v>#N/A</v>
      </c>
      <c r="CI67" t="e">
        <f t="shared" si="10"/>
        <v>#N/A</v>
      </c>
    </row>
    <row r="68" spans="2:87">
      <c r="B68">
        <v>1</v>
      </c>
      <c r="C68" s="34" t="e">
        <f t="shared" si="14"/>
        <v>#N/A</v>
      </c>
      <c r="D68" s="3" t="e">
        <f>'History and Forecast Chart'!Q9</f>
        <v>#N/A</v>
      </c>
      <c r="E68" s="34" t="str">
        <f t="shared" si="16"/>
        <v/>
      </c>
      <c r="H68" t="e">
        <f t="shared" si="11"/>
        <v>#N/A</v>
      </c>
      <c r="I68" t="e">
        <f t="shared" si="12"/>
        <v>#N/A</v>
      </c>
      <c r="J68" t="e">
        <f t="shared" si="13"/>
        <v>#N/A</v>
      </c>
      <c r="K68" t="e">
        <f t="shared" si="8"/>
        <v>#N/A</v>
      </c>
      <c r="L68" t="e">
        <f t="shared" si="18"/>
        <v>#N/A</v>
      </c>
      <c r="M68" t="e">
        <f t="shared" si="18"/>
        <v>#N/A</v>
      </c>
      <c r="N68" t="e">
        <f t="shared" si="18"/>
        <v>#N/A</v>
      </c>
      <c r="O68" t="e">
        <f t="shared" si="18"/>
        <v>#N/A</v>
      </c>
      <c r="P68" t="e">
        <f t="shared" si="18"/>
        <v>#N/A</v>
      </c>
      <c r="Q68" t="e">
        <f t="shared" si="18"/>
        <v>#N/A</v>
      </c>
      <c r="R68" t="e">
        <f t="shared" si="18"/>
        <v>#N/A</v>
      </c>
      <c r="S68" t="e">
        <f t="shared" si="18"/>
        <v>#N/A</v>
      </c>
      <c r="T68" t="e">
        <f t="shared" si="18"/>
        <v>#N/A</v>
      </c>
      <c r="U68" t="e">
        <f t="shared" si="18"/>
        <v>#N/A</v>
      </c>
      <c r="V68" t="e">
        <f t="shared" si="18"/>
        <v>#N/A</v>
      </c>
      <c r="W68" t="e">
        <f t="shared" si="18"/>
        <v>#N/A</v>
      </c>
      <c r="X68" t="e">
        <f t="shared" si="18"/>
        <v>#N/A</v>
      </c>
      <c r="Y68" t="e">
        <f t="shared" si="18"/>
        <v>#N/A</v>
      </c>
      <c r="Z68" t="e">
        <f t="shared" si="18"/>
        <v>#N/A</v>
      </c>
      <c r="AA68" t="e">
        <f t="shared" si="19"/>
        <v>#N/A</v>
      </c>
      <c r="AB68" t="e">
        <f t="shared" si="19"/>
        <v>#N/A</v>
      </c>
      <c r="AC68" t="e">
        <f t="shared" si="19"/>
        <v>#N/A</v>
      </c>
      <c r="AD68" t="e">
        <f t="shared" si="19"/>
        <v>#N/A</v>
      </c>
      <c r="AE68" t="e">
        <f t="shared" si="19"/>
        <v>#N/A</v>
      </c>
      <c r="AF68" t="e">
        <f t="shared" si="19"/>
        <v>#N/A</v>
      </c>
      <c r="AG68" t="e">
        <f t="shared" si="19"/>
        <v>#N/A</v>
      </c>
      <c r="AH68" t="e">
        <f t="shared" si="19"/>
        <v>#N/A</v>
      </c>
      <c r="AI68" t="e">
        <f t="shared" si="19"/>
        <v>#N/A</v>
      </c>
      <c r="AJ68" t="e">
        <f t="shared" si="19"/>
        <v>#N/A</v>
      </c>
      <c r="AK68" t="e">
        <f t="shared" si="19"/>
        <v>#N/A</v>
      </c>
      <c r="AL68" t="e">
        <f t="shared" si="19"/>
        <v>#N/A</v>
      </c>
      <c r="AM68" t="e">
        <f t="shared" si="19"/>
        <v>#N/A</v>
      </c>
      <c r="AN68" t="e">
        <f t="shared" si="19"/>
        <v>#N/A</v>
      </c>
      <c r="AO68" t="e">
        <f t="shared" si="19"/>
        <v>#N/A</v>
      </c>
      <c r="AP68" t="e">
        <f t="shared" si="19"/>
        <v>#N/A</v>
      </c>
      <c r="AQ68" t="e">
        <f t="shared" si="20"/>
        <v>#N/A</v>
      </c>
      <c r="AR68" t="e">
        <f t="shared" si="20"/>
        <v>#N/A</v>
      </c>
      <c r="AS68" t="e">
        <f t="shared" si="20"/>
        <v>#N/A</v>
      </c>
      <c r="AT68" t="e">
        <f t="shared" si="20"/>
        <v>#N/A</v>
      </c>
      <c r="AU68" t="e">
        <f t="shared" si="20"/>
        <v>#N/A</v>
      </c>
      <c r="AV68" t="e">
        <f t="shared" si="20"/>
        <v>#N/A</v>
      </c>
      <c r="AW68" t="e">
        <f t="shared" si="20"/>
        <v>#N/A</v>
      </c>
      <c r="AX68" t="e">
        <f t="shared" si="20"/>
        <v>#N/A</v>
      </c>
      <c r="AY68" t="e">
        <f t="shared" si="20"/>
        <v>#N/A</v>
      </c>
      <c r="AZ68" t="e">
        <f t="shared" si="20"/>
        <v>#N/A</v>
      </c>
      <c r="BA68" t="e">
        <f t="shared" si="20"/>
        <v>#N/A</v>
      </c>
      <c r="BB68" t="e">
        <f t="shared" si="20"/>
        <v>#N/A</v>
      </c>
      <c r="BC68" t="e">
        <f t="shared" si="20"/>
        <v>#N/A</v>
      </c>
      <c r="BD68" t="e">
        <f t="shared" si="20"/>
        <v>#N/A</v>
      </c>
      <c r="BE68" t="e">
        <f t="shared" si="20"/>
        <v>#N/A</v>
      </c>
      <c r="BF68" t="e">
        <f t="shared" si="20"/>
        <v>#N/A</v>
      </c>
      <c r="BG68" t="e">
        <f t="shared" si="21"/>
        <v>#N/A</v>
      </c>
      <c r="BH68" t="e">
        <f t="shared" si="21"/>
        <v>#N/A</v>
      </c>
      <c r="BI68" t="e">
        <f t="shared" si="21"/>
        <v>#N/A</v>
      </c>
      <c r="BJ68" t="e">
        <f t="shared" si="21"/>
        <v>#N/A</v>
      </c>
      <c r="BK68" t="e">
        <f t="shared" si="21"/>
        <v>#N/A</v>
      </c>
      <c r="BL68" t="e">
        <f t="shared" si="21"/>
        <v>#N/A</v>
      </c>
      <c r="BM68" t="e">
        <f t="shared" si="21"/>
        <v>#N/A</v>
      </c>
      <c r="BN68" t="e">
        <f t="shared" si="21"/>
        <v>#N/A</v>
      </c>
      <c r="BO68" t="e">
        <f t="shared" si="21"/>
        <v>#N/A</v>
      </c>
      <c r="BP68" t="e">
        <f t="shared" si="21"/>
        <v>#N/A</v>
      </c>
      <c r="BQ68" t="e">
        <f t="shared" si="21"/>
        <v>#N/A</v>
      </c>
      <c r="BR68" t="e">
        <f t="shared" si="21"/>
        <v>#N/A</v>
      </c>
      <c r="BS68" t="e">
        <f t="shared" si="21"/>
        <v>#N/A</v>
      </c>
      <c r="BT68" t="e">
        <f t="shared" si="21"/>
        <v>#N/A</v>
      </c>
      <c r="BU68" t="e">
        <f t="shared" si="21"/>
        <v>#N/A</v>
      </c>
      <c r="BV68" t="e">
        <f t="shared" si="21"/>
        <v>#N/A</v>
      </c>
      <c r="BW68" t="e">
        <f t="shared" si="17"/>
        <v>#N/A</v>
      </c>
      <c r="BX68" t="e">
        <f t="shared" si="10"/>
        <v>#N/A</v>
      </c>
      <c r="BY68" t="e">
        <f t="shared" si="10"/>
        <v>#N/A</v>
      </c>
      <c r="BZ68" t="e">
        <f t="shared" si="10"/>
        <v>#N/A</v>
      </c>
      <c r="CA68" t="e">
        <f t="shared" si="10"/>
        <v>#N/A</v>
      </c>
      <c r="CB68" t="e">
        <f t="shared" si="10"/>
        <v>#N/A</v>
      </c>
      <c r="CC68" t="e">
        <f t="shared" si="10"/>
        <v>#N/A</v>
      </c>
      <c r="CD68" t="e">
        <f t="shared" si="10"/>
        <v>#N/A</v>
      </c>
      <c r="CE68" t="e">
        <f t="shared" si="10"/>
        <v>#N/A</v>
      </c>
      <c r="CF68" t="e">
        <f t="shared" si="10"/>
        <v>#N/A</v>
      </c>
      <c r="CG68" t="e">
        <f t="shared" si="10"/>
        <v>#N/A</v>
      </c>
      <c r="CH68" t="e">
        <f t="shared" si="10"/>
        <v>#N/A</v>
      </c>
      <c r="CI68" t="e">
        <f t="shared" si="10"/>
        <v>#N/A</v>
      </c>
    </row>
    <row r="69" spans="2:87">
      <c r="B69"/>
      <c r="C69" s="34" t="e">
        <f t="shared" si="14"/>
        <v>#N/A</v>
      </c>
      <c r="D69" s="3" t="e">
        <f>'History and Forecast Chart'!Q10</f>
        <v>#N/A</v>
      </c>
      <c r="E69" s="34" t="str">
        <f t="shared" si="16"/>
        <v/>
      </c>
    </row>
    <row r="70" spans="2:87">
      <c r="B70"/>
      <c r="C70" s="34" t="e">
        <f t="shared" si="14"/>
        <v>#N/A</v>
      </c>
      <c r="D70" s="3" t="e">
        <f>'History and Forecast Chart'!Q11</f>
        <v>#N/A</v>
      </c>
      <c r="E70" s="34" t="str">
        <f t="shared" si="16"/>
        <v/>
      </c>
      <c r="H70" s="7" t="s">
        <v>1245</v>
      </c>
    </row>
    <row r="71" spans="2:87">
      <c r="B71"/>
      <c r="C71" s="34" t="e">
        <f t="shared" si="14"/>
        <v>#N/A</v>
      </c>
      <c r="D71" s="3" t="e">
        <f>'History and Forecast Chart'!Q12</f>
        <v>#N/A</v>
      </c>
      <c r="E71" s="34" t="str">
        <f t="shared" si="16"/>
        <v/>
      </c>
      <c r="I71" t="str">
        <f t="shared" ref="I71:J80" si="22">I59</f>
        <v>Crude oil, avg</v>
      </c>
      <c r="J71" t="str">
        <f t="shared" si="22"/>
        <v>$/bbl</v>
      </c>
      <c r="K71" t="e">
        <f>NA()</f>
        <v>#N/A</v>
      </c>
      <c r="L71" t="e">
        <f t="shared" ref="L71:L80" si="23">IFERROR(L59/K59-1,NA())</f>
        <v>#N/A</v>
      </c>
      <c r="M71" t="e">
        <f t="shared" ref="M71:BX72" si="24">IFERROR(M59/L59-1,NA())</f>
        <v>#N/A</v>
      </c>
      <c r="N71" t="e">
        <f t="shared" si="24"/>
        <v>#N/A</v>
      </c>
      <c r="O71" t="e">
        <f t="shared" si="24"/>
        <v>#N/A</v>
      </c>
      <c r="P71" t="e">
        <f t="shared" si="24"/>
        <v>#N/A</v>
      </c>
      <c r="Q71" t="e">
        <f t="shared" si="24"/>
        <v>#N/A</v>
      </c>
      <c r="R71" t="e">
        <f t="shared" si="24"/>
        <v>#N/A</v>
      </c>
      <c r="S71" t="e">
        <f t="shared" si="24"/>
        <v>#N/A</v>
      </c>
      <c r="T71" t="e">
        <f t="shared" si="24"/>
        <v>#N/A</v>
      </c>
      <c r="U71" t="e">
        <f t="shared" si="24"/>
        <v>#N/A</v>
      </c>
      <c r="V71" t="e">
        <f t="shared" si="24"/>
        <v>#N/A</v>
      </c>
      <c r="W71" t="e">
        <f t="shared" si="24"/>
        <v>#N/A</v>
      </c>
      <c r="X71" t="e">
        <f t="shared" si="24"/>
        <v>#N/A</v>
      </c>
      <c r="Y71" t="e">
        <f t="shared" si="24"/>
        <v>#N/A</v>
      </c>
      <c r="Z71" t="e">
        <f t="shared" si="24"/>
        <v>#N/A</v>
      </c>
      <c r="AA71" t="e">
        <f t="shared" si="24"/>
        <v>#N/A</v>
      </c>
      <c r="AB71" t="e">
        <f t="shared" si="24"/>
        <v>#N/A</v>
      </c>
      <c r="AC71" t="e">
        <f t="shared" si="24"/>
        <v>#N/A</v>
      </c>
      <c r="AD71" t="e">
        <f t="shared" si="24"/>
        <v>#N/A</v>
      </c>
      <c r="AE71" t="e">
        <f t="shared" si="24"/>
        <v>#N/A</v>
      </c>
      <c r="AF71" t="e">
        <f t="shared" si="24"/>
        <v>#N/A</v>
      </c>
      <c r="AG71" t="e">
        <f t="shared" si="24"/>
        <v>#N/A</v>
      </c>
      <c r="AH71" t="e">
        <f t="shared" si="24"/>
        <v>#N/A</v>
      </c>
      <c r="AI71" t="e">
        <f t="shared" si="24"/>
        <v>#N/A</v>
      </c>
      <c r="AJ71" t="e">
        <f t="shared" si="24"/>
        <v>#N/A</v>
      </c>
      <c r="AK71" t="e">
        <f t="shared" si="24"/>
        <v>#N/A</v>
      </c>
      <c r="AL71" t="e">
        <f t="shared" si="24"/>
        <v>#N/A</v>
      </c>
      <c r="AM71" t="e">
        <f t="shared" si="24"/>
        <v>#N/A</v>
      </c>
      <c r="AN71" t="e">
        <f t="shared" si="24"/>
        <v>#N/A</v>
      </c>
      <c r="AO71" t="e">
        <f t="shared" si="24"/>
        <v>#N/A</v>
      </c>
      <c r="AP71" t="e">
        <f t="shared" si="24"/>
        <v>#N/A</v>
      </c>
      <c r="AQ71" t="e">
        <f t="shared" si="24"/>
        <v>#N/A</v>
      </c>
      <c r="AR71" t="e">
        <f t="shared" si="24"/>
        <v>#N/A</v>
      </c>
      <c r="AS71" t="e">
        <f t="shared" si="24"/>
        <v>#N/A</v>
      </c>
      <c r="AT71" t="e">
        <f t="shared" si="24"/>
        <v>#N/A</v>
      </c>
      <c r="AU71" t="e">
        <f t="shared" si="24"/>
        <v>#N/A</v>
      </c>
      <c r="AV71" t="e">
        <f t="shared" si="24"/>
        <v>#N/A</v>
      </c>
      <c r="AW71" t="e">
        <f t="shared" si="24"/>
        <v>#N/A</v>
      </c>
      <c r="AX71" t="e">
        <f t="shared" si="24"/>
        <v>#N/A</v>
      </c>
      <c r="AY71" t="e">
        <f t="shared" si="24"/>
        <v>#N/A</v>
      </c>
      <c r="AZ71" t="e">
        <f t="shared" si="24"/>
        <v>#N/A</v>
      </c>
      <c r="BA71" t="e">
        <f t="shared" si="24"/>
        <v>#N/A</v>
      </c>
      <c r="BB71" t="e">
        <f t="shared" si="24"/>
        <v>#N/A</v>
      </c>
      <c r="BC71" t="e">
        <f t="shared" si="24"/>
        <v>#N/A</v>
      </c>
      <c r="BD71" t="e">
        <f t="shared" si="24"/>
        <v>#N/A</v>
      </c>
      <c r="BE71" t="e">
        <f t="shared" si="24"/>
        <v>#N/A</v>
      </c>
      <c r="BF71" t="e">
        <f t="shared" si="24"/>
        <v>#N/A</v>
      </c>
      <c r="BG71" t="e">
        <f t="shared" si="24"/>
        <v>#N/A</v>
      </c>
      <c r="BH71" t="e">
        <f t="shared" si="24"/>
        <v>#N/A</v>
      </c>
      <c r="BI71" t="e">
        <f t="shared" si="24"/>
        <v>#N/A</v>
      </c>
      <c r="BJ71" t="e">
        <f t="shared" si="24"/>
        <v>#N/A</v>
      </c>
      <c r="BK71" t="e">
        <f t="shared" si="24"/>
        <v>#N/A</v>
      </c>
      <c r="BL71" t="e">
        <f t="shared" si="24"/>
        <v>#N/A</v>
      </c>
      <c r="BM71" t="e">
        <f t="shared" si="24"/>
        <v>#N/A</v>
      </c>
      <c r="BN71" t="e">
        <f t="shared" si="24"/>
        <v>#N/A</v>
      </c>
      <c r="BO71" t="e">
        <f t="shared" si="24"/>
        <v>#N/A</v>
      </c>
      <c r="BP71">
        <f t="shared" si="24"/>
        <v>0.19217679970595936</v>
      </c>
      <c r="BQ71">
        <f t="shared" si="24"/>
        <v>0.23622542319305873</v>
      </c>
      <c r="BR71">
        <f t="shared" si="24"/>
        <v>-5.3131116648615806E-2</v>
      </c>
      <c r="BS71">
        <f t="shared" si="24"/>
        <v>-3.1621214409924159E-2</v>
      </c>
      <c r="BT71">
        <f t="shared" si="24"/>
        <v>-9.1659057227342355E-3</v>
      </c>
      <c r="BU71">
        <f t="shared" si="24"/>
        <v>-9.9601842909988747E-3</v>
      </c>
      <c r="BV71">
        <f t="shared" si="24"/>
        <v>-9.8728087775479256E-3</v>
      </c>
      <c r="BW71">
        <f t="shared" si="24"/>
        <v>-9.8731371235373233E-3</v>
      </c>
      <c r="BX71">
        <f t="shared" si="24"/>
        <v>-9.9302415194449933E-3</v>
      </c>
      <c r="BY71" t="e">
        <f t="shared" ref="BY71:CI75" si="25">IFERROR(BY59/BX59-1,NA())</f>
        <v>#N/A</v>
      </c>
      <c r="BZ71" t="e">
        <f t="shared" si="25"/>
        <v>#N/A</v>
      </c>
      <c r="CA71" t="e">
        <f t="shared" si="25"/>
        <v>#N/A</v>
      </c>
      <c r="CB71" t="e">
        <f t="shared" si="25"/>
        <v>#N/A</v>
      </c>
      <c r="CC71" t="e">
        <f t="shared" si="25"/>
        <v>#N/A</v>
      </c>
      <c r="CD71" t="e">
        <f t="shared" si="25"/>
        <v>#N/A</v>
      </c>
      <c r="CE71" t="e">
        <f t="shared" si="25"/>
        <v>#N/A</v>
      </c>
      <c r="CF71" t="e">
        <f t="shared" si="25"/>
        <v>#N/A</v>
      </c>
      <c r="CG71" t="e">
        <f t="shared" si="25"/>
        <v>#N/A</v>
      </c>
      <c r="CH71" t="e">
        <f t="shared" si="25"/>
        <v>#N/A</v>
      </c>
      <c r="CI71" t="e">
        <f t="shared" si="25"/>
        <v>#N/A</v>
      </c>
    </row>
    <row r="72" spans="2:87">
      <c r="B72"/>
      <c r="D72" s="3" t="e">
        <f>'History and Forecast Chart'!Q13</f>
        <v>#N/A</v>
      </c>
      <c r="E72" s="34" t="str">
        <f t="shared" si="16"/>
        <v/>
      </c>
      <c r="I72" t="str">
        <f t="shared" si="22"/>
        <v>Palm oil</v>
      </c>
      <c r="J72" t="str">
        <f t="shared" si="22"/>
        <v>$/mt</v>
      </c>
      <c r="K72" t="e">
        <f>NA()</f>
        <v>#N/A</v>
      </c>
      <c r="L72" t="e">
        <f t="shared" si="23"/>
        <v>#N/A</v>
      </c>
      <c r="M72" t="e">
        <f t="shared" ref="M72:AA72" si="26">IFERROR(M60/L60-1,NA())</f>
        <v>#N/A</v>
      </c>
      <c r="N72" t="e">
        <f t="shared" si="26"/>
        <v>#N/A</v>
      </c>
      <c r="O72" t="e">
        <f t="shared" si="26"/>
        <v>#N/A</v>
      </c>
      <c r="P72" t="e">
        <f t="shared" si="26"/>
        <v>#N/A</v>
      </c>
      <c r="Q72" t="e">
        <f t="shared" si="26"/>
        <v>#N/A</v>
      </c>
      <c r="R72" t="e">
        <f t="shared" si="26"/>
        <v>#N/A</v>
      </c>
      <c r="S72" t="e">
        <f t="shared" si="26"/>
        <v>#N/A</v>
      </c>
      <c r="T72" t="e">
        <f t="shared" si="26"/>
        <v>#N/A</v>
      </c>
      <c r="U72" t="e">
        <f t="shared" si="26"/>
        <v>#N/A</v>
      </c>
      <c r="V72" t="e">
        <f t="shared" si="26"/>
        <v>#N/A</v>
      </c>
      <c r="W72" t="e">
        <f t="shared" si="26"/>
        <v>#N/A</v>
      </c>
      <c r="X72" t="e">
        <f t="shared" si="26"/>
        <v>#N/A</v>
      </c>
      <c r="Y72" t="e">
        <f t="shared" si="26"/>
        <v>#N/A</v>
      </c>
      <c r="Z72" t="e">
        <f t="shared" si="26"/>
        <v>#N/A</v>
      </c>
      <c r="AA72" t="e">
        <f t="shared" si="26"/>
        <v>#N/A</v>
      </c>
      <c r="AB72" t="e">
        <f t="shared" si="24"/>
        <v>#N/A</v>
      </c>
      <c r="AC72" t="e">
        <f t="shared" si="24"/>
        <v>#N/A</v>
      </c>
      <c r="AD72" t="e">
        <f t="shared" si="24"/>
        <v>#N/A</v>
      </c>
      <c r="AE72" t="e">
        <f t="shared" si="24"/>
        <v>#N/A</v>
      </c>
      <c r="AF72" t="e">
        <f t="shared" si="24"/>
        <v>#N/A</v>
      </c>
      <c r="AG72" t="e">
        <f t="shared" si="24"/>
        <v>#N/A</v>
      </c>
      <c r="AH72" t="e">
        <f t="shared" si="24"/>
        <v>#N/A</v>
      </c>
      <c r="AI72" t="e">
        <f t="shared" si="24"/>
        <v>#N/A</v>
      </c>
      <c r="AJ72" t="e">
        <f t="shared" si="24"/>
        <v>#N/A</v>
      </c>
      <c r="AK72" t="e">
        <f t="shared" si="24"/>
        <v>#N/A</v>
      </c>
      <c r="AL72" t="e">
        <f t="shared" si="24"/>
        <v>#N/A</v>
      </c>
      <c r="AM72" t="e">
        <f t="shared" si="24"/>
        <v>#N/A</v>
      </c>
      <c r="AN72" t="e">
        <f t="shared" si="24"/>
        <v>#N/A</v>
      </c>
      <c r="AO72" t="e">
        <f t="shared" si="24"/>
        <v>#N/A</v>
      </c>
      <c r="AP72" t="e">
        <f t="shared" si="24"/>
        <v>#N/A</v>
      </c>
      <c r="AQ72" t="e">
        <f t="shared" si="24"/>
        <v>#N/A</v>
      </c>
      <c r="AR72" t="e">
        <f t="shared" si="24"/>
        <v>#N/A</v>
      </c>
      <c r="AS72" t="e">
        <f t="shared" si="24"/>
        <v>#N/A</v>
      </c>
      <c r="AT72" t="e">
        <f t="shared" si="24"/>
        <v>#N/A</v>
      </c>
      <c r="AU72" t="e">
        <f t="shared" si="24"/>
        <v>#N/A</v>
      </c>
      <c r="AV72" t="e">
        <f t="shared" si="24"/>
        <v>#N/A</v>
      </c>
      <c r="AW72" t="e">
        <f t="shared" si="24"/>
        <v>#N/A</v>
      </c>
      <c r="AX72" t="e">
        <f t="shared" si="24"/>
        <v>#N/A</v>
      </c>
      <c r="AY72" t="e">
        <f t="shared" si="24"/>
        <v>#N/A</v>
      </c>
      <c r="AZ72" t="e">
        <f t="shared" si="24"/>
        <v>#N/A</v>
      </c>
      <c r="BA72" t="e">
        <f t="shared" si="24"/>
        <v>#N/A</v>
      </c>
      <c r="BB72" t="e">
        <f t="shared" si="24"/>
        <v>#N/A</v>
      </c>
      <c r="BC72" t="e">
        <f t="shared" si="24"/>
        <v>#N/A</v>
      </c>
      <c r="BD72" t="e">
        <f t="shared" si="24"/>
        <v>#N/A</v>
      </c>
      <c r="BE72" t="e">
        <f t="shared" si="24"/>
        <v>#N/A</v>
      </c>
      <c r="BF72" t="e">
        <f t="shared" si="24"/>
        <v>#N/A</v>
      </c>
      <c r="BG72" t="e">
        <f t="shared" si="24"/>
        <v>#N/A</v>
      </c>
      <c r="BH72" t="e">
        <f t="shared" si="24"/>
        <v>#N/A</v>
      </c>
      <c r="BI72" t="e">
        <f t="shared" si="24"/>
        <v>#N/A</v>
      </c>
      <c r="BJ72" t="e">
        <f t="shared" si="24"/>
        <v>#N/A</v>
      </c>
      <c r="BK72" t="e">
        <f t="shared" si="24"/>
        <v>#N/A</v>
      </c>
      <c r="BL72" t="e">
        <f t="shared" si="24"/>
        <v>#N/A</v>
      </c>
      <c r="BM72" t="e">
        <f t="shared" si="24"/>
        <v>#N/A</v>
      </c>
      <c r="BN72" t="e">
        <f t="shared" si="24"/>
        <v>#N/A</v>
      </c>
      <c r="BO72" t="e">
        <f t="shared" si="24"/>
        <v>#N/A</v>
      </c>
      <c r="BP72">
        <f t="shared" si="24"/>
        <v>-1.3471875578869641E-2</v>
      </c>
      <c r="BQ72">
        <f t="shared" si="24"/>
        <v>-0.18766360449592712</v>
      </c>
      <c r="BR72">
        <f t="shared" si="24"/>
        <v>-7.8803364189246716E-2</v>
      </c>
      <c r="BS72">
        <f t="shared" si="24"/>
        <v>2.0197234424152777E-2</v>
      </c>
      <c r="BT72">
        <f t="shared" si="24"/>
        <v>2.0447744378621957E-2</v>
      </c>
      <c r="BU72">
        <f t="shared" si="24"/>
        <v>1.9629726732606434E-2</v>
      </c>
      <c r="BV72">
        <f t="shared" si="24"/>
        <v>1.9719713690189655E-2</v>
      </c>
      <c r="BW72">
        <f t="shared" si="24"/>
        <v>1.9719375530729888E-2</v>
      </c>
      <c r="BX72">
        <f t="shared" si="24"/>
        <v>1.9660564421648097E-2</v>
      </c>
      <c r="BY72" t="e">
        <f t="shared" si="25"/>
        <v>#N/A</v>
      </c>
      <c r="BZ72" t="e">
        <f t="shared" si="25"/>
        <v>#N/A</v>
      </c>
      <c r="CA72" t="e">
        <f t="shared" si="25"/>
        <v>#N/A</v>
      </c>
      <c r="CB72" t="e">
        <f t="shared" si="25"/>
        <v>#N/A</v>
      </c>
      <c r="CC72" t="e">
        <f t="shared" si="25"/>
        <v>#N/A</v>
      </c>
      <c r="CD72" t="e">
        <f t="shared" si="25"/>
        <v>#N/A</v>
      </c>
      <c r="CE72" t="e">
        <f t="shared" si="25"/>
        <v>#N/A</v>
      </c>
      <c r="CF72" t="e">
        <f t="shared" si="25"/>
        <v>#N/A</v>
      </c>
      <c r="CG72" t="e">
        <f t="shared" si="25"/>
        <v>#N/A</v>
      </c>
      <c r="CH72" t="e">
        <f t="shared" si="25"/>
        <v>#N/A</v>
      </c>
      <c r="CI72" t="e">
        <f t="shared" si="25"/>
        <v>#N/A</v>
      </c>
    </row>
    <row r="73" spans="2:87">
      <c r="B73"/>
      <c r="D73" s="3" t="e">
        <f>'History and Forecast Chart'!Q14</f>
        <v>#N/A</v>
      </c>
      <c r="E73" s="34" t="str">
        <f t="shared" si="16"/>
        <v/>
      </c>
      <c r="I73" t="e">
        <f t="shared" si="22"/>
        <v>#N/A</v>
      </c>
      <c r="J73" t="e">
        <f t="shared" si="22"/>
        <v>#N/A</v>
      </c>
      <c r="K73" t="e">
        <f>NA()</f>
        <v>#N/A</v>
      </c>
      <c r="L73" t="e">
        <f t="shared" si="23"/>
        <v>#N/A</v>
      </c>
      <c r="M73" t="e">
        <f t="shared" ref="M73:BX76" si="27">IFERROR(M61/L61-1,NA())</f>
        <v>#N/A</v>
      </c>
      <c r="N73" t="e">
        <f t="shared" si="27"/>
        <v>#N/A</v>
      </c>
      <c r="O73" t="e">
        <f t="shared" si="27"/>
        <v>#N/A</v>
      </c>
      <c r="P73" t="e">
        <f t="shared" si="27"/>
        <v>#N/A</v>
      </c>
      <c r="Q73" t="e">
        <f t="shared" si="27"/>
        <v>#N/A</v>
      </c>
      <c r="R73" t="e">
        <f t="shared" si="27"/>
        <v>#N/A</v>
      </c>
      <c r="S73" t="e">
        <f t="shared" si="27"/>
        <v>#N/A</v>
      </c>
      <c r="T73" t="e">
        <f t="shared" si="27"/>
        <v>#N/A</v>
      </c>
      <c r="U73" t="e">
        <f t="shared" si="27"/>
        <v>#N/A</v>
      </c>
      <c r="V73" t="e">
        <f t="shared" si="27"/>
        <v>#N/A</v>
      </c>
      <c r="W73" t="e">
        <f t="shared" si="27"/>
        <v>#N/A</v>
      </c>
      <c r="X73" t="e">
        <f t="shared" si="27"/>
        <v>#N/A</v>
      </c>
      <c r="Y73" t="e">
        <f t="shared" si="27"/>
        <v>#N/A</v>
      </c>
      <c r="Z73" t="e">
        <f t="shared" si="27"/>
        <v>#N/A</v>
      </c>
      <c r="AA73" t="e">
        <f t="shared" si="27"/>
        <v>#N/A</v>
      </c>
      <c r="AB73" t="e">
        <f t="shared" si="27"/>
        <v>#N/A</v>
      </c>
      <c r="AC73" t="e">
        <f t="shared" si="27"/>
        <v>#N/A</v>
      </c>
      <c r="AD73" t="e">
        <f t="shared" si="27"/>
        <v>#N/A</v>
      </c>
      <c r="AE73" t="e">
        <f t="shared" si="27"/>
        <v>#N/A</v>
      </c>
      <c r="AF73" t="e">
        <f t="shared" si="27"/>
        <v>#N/A</v>
      </c>
      <c r="AG73" t="e">
        <f t="shared" si="27"/>
        <v>#N/A</v>
      </c>
      <c r="AH73" t="e">
        <f t="shared" si="27"/>
        <v>#N/A</v>
      </c>
      <c r="AI73" t="e">
        <f t="shared" si="27"/>
        <v>#N/A</v>
      </c>
      <c r="AJ73" t="e">
        <f t="shared" si="27"/>
        <v>#N/A</v>
      </c>
      <c r="AK73" t="e">
        <f t="shared" si="27"/>
        <v>#N/A</v>
      </c>
      <c r="AL73" t="e">
        <f t="shared" si="27"/>
        <v>#N/A</v>
      </c>
      <c r="AM73" t="e">
        <f t="shared" si="27"/>
        <v>#N/A</v>
      </c>
      <c r="AN73" t="e">
        <f t="shared" si="27"/>
        <v>#N/A</v>
      </c>
      <c r="AO73" t="e">
        <f t="shared" si="27"/>
        <v>#N/A</v>
      </c>
      <c r="AP73" t="e">
        <f t="shared" si="27"/>
        <v>#N/A</v>
      </c>
      <c r="AQ73" t="e">
        <f t="shared" si="27"/>
        <v>#N/A</v>
      </c>
      <c r="AR73" t="e">
        <f t="shared" si="27"/>
        <v>#N/A</v>
      </c>
      <c r="AS73" t="e">
        <f t="shared" si="27"/>
        <v>#N/A</v>
      </c>
      <c r="AT73" t="e">
        <f t="shared" si="27"/>
        <v>#N/A</v>
      </c>
      <c r="AU73" t="e">
        <f t="shared" si="27"/>
        <v>#N/A</v>
      </c>
      <c r="AV73" t="e">
        <f t="shared" si="27"/>
        <v>#N/A</v>
      </c>
      <c r="AW73" t="e">
        <f t="shared" si="27"/>
        <v>#N/A</v>
      </c>
      <c r="AX73" t="e">
        <f t="shared" si="27"/>
        <v>#N/A</v>
      </c>
      <c r="AY73" t="e">
        <f t="shared" si="27"/>
        <v>#N/A</v>
      </c>
      <c r="AZ73" t="e">
        <f t="shared" si="27"/>
        <v>#N/A</v>
      </c>
      <c r="BA73" t="e">
        <f t="shared" si="27"/>
        <v>#N/A</v>
      </c>
      <c r="BB73" t="e">
        <f t="shared" si="27"/>
        <v>#N/A</v>
      </c>
      <c r="BC73" t="e">
        <f t="shared" si="27"/>
        <v>#N/A</v>
      </c>
      <c r="BD73" t="e">
        <f t="shared" si="27"/>
        <v>#N/A</v>
      </c>
      <c r="BE73" t="e">
        <f t="shared" si="27"/>
        <v>#N/A</v>
      </c>
      <c r="BF73" t="e">
        <f t="shared" si="27"/>
        <v>#N/A</v>
      </c>
      <c r="BG73" t="e">
        <f t="shared" si="27"/>
        <v>#N/A</v>
      </c>
      <c r="BH73" t="e">
        <f t="shared" si="27"/>
        <v>#N/A</v>
      </c>
      <c r="BI73" t="e">
        <f t="shared" si="27"/>
        <v>#N/A</v>
      </c>
      <c r="BJ73" t="e">
        <f t="shared" si="27"/>
        <v>#N/A</v>
      </c>
      <c r="BK73" t="e">
        <f t="shared" si="27"/>
        <v>#N/A</v>
      </c>
      <c r="BL73" t="e">
        <f t="shared" si="27"/>
        <v>#N/A</v>
      </c>
      <c r="BM73" t="e">
        <f t="shared" si="27"/>
        <v>#N/A</v>
      </c>
      <c r="BN73" t="e">
        <f t="shared" si="27"/>
        <v>#N/A</v>
      </c>
      <c r="BO73" t="e">
        <f t="shared" si="27"/>
        <v>#N/A</v>
      </c>
      <c r="BP73" t="e">
        <f t="shared" si="27"/>
        <v>#N/A</v>
      </c>
      <c r="BQ73" t="e">
        <f t="shared" si="27"/>
        <v>#N/A</v>
      </c>
      <c r="BR73" t="e">
        <f t="shared" si="27"/>
        <v>#N/A</v>
      </c>
      <c r="BS73" t="e">
        <f t="shared" si="27"/>
        <v>#N/A</v>
      </c>
      <c r="BT73" t="e">
        <f t="shared" si="27"/>
        <v>#N/A</v>
      </c>
      <c r="BU73" t="e">
        <f t="shared" si="27"/>
        <v>#N/A</v>
      </c>
      <c r="BV73" t="e">
        <f t="shared" si="27"/>
        <v>#N/A</v>
      </c>
      <c r="BW73" t="e">
        <f t="shared" si="27"/>
        <v>#N/A</v>
      </c>
      <c r="BX73" t="e">
        <f t="shared" si="27"/>
        <v>#N/A</v>
      </c>
      <c r="BY73" t="e">
        <f t="shared" si="25"/>
        <v>#N/A</v>
      </c>
      <c r="BZ73" t="e">
        <f t="shared" si="25"/>
        <v>#N/A</v>
      </c>
      <c r="CA73" t="e">
        <f t="shared" si="25"/>
        <v>#N/A</v>
      </c>
      <c r="CB73" t="e">
        <f t="shared" si="25"/>
        <v>#N/A</v>
      </c>
      <c r="CC73" t="e">
        <f t="shared" si="25"/>
        <v>#N/A</v>
      </c>
      <c r="CD73" t="e">
        <f t="shared" si="25"/>
        <v>#N/A</v>
      </c>
      <c r="CE73" t="e">
        <f t="shared" si="25"/>
        <v>#N/A</v>
      </c>
      <c r="CF73" t="e">
        <f t="shared" si="25"/>
        <v>#N/A</v>
      </c>
      <c r="CG73" t="e">
        <f t="shared" si="25"/>
        <v>#N/A</v>
      </c>
      <c r="CH73" t="e">
        <f t="shared" si="25"/>
        <v>#N/A</v>
      </c>
      <c r="CI73" t="e">
        <f t="shared" si="25"/>
        <v>#N/A</v>
      </c>
    </row>
    <row r="74" spans="2:87">
      <c r="B74"/>
      <c r="D74" s="3" t="e">
        <f>'History and Forecast Chart'!Q15</f>
        <v>#N/A</v>
      </c>
      <c r="E74" s="34" t="str">
        <f t="shared" si="16"/>
        <v/>
      </c>
      <c r="I74" t="e">
        <f t="shared" si="22"/>
        <v>#N/A</v>
      </c>
      <c r="J74" t="e">
        <f t="shared" si="22"/>
        <v>#N/A</v>
      </c>
      <c r="K74" t="e">
        <f>NA()</f>
        <v>#N/A</v>
      </c>
      <c r="L74" t="e">
        <f t="shared" si="23"/>
        <v>#N/A</v>
      </c>
      <c r="M74" t="e">
        <f t="shared" si="27"/>
        <v>#N/A</v>
      </c>
      <c r="N74" t="e">
        <f t="shared" si="27"/>
        <v>#N/A</v>
      </c>
      <c r="O74" t="e">
        <f t="shared" si="27"/>
        <v>#N/A</v>
      </c>
      <c r="P74" t="e">
        <f t="shared" si="27"/>
        <v>#N/A</v>
      </c>
      <c r="Q74" t="e">
        <f t="shared" si="27"/>
        <v>#N/A</v>
      </c>
      <c r="R74" t="e">
        <f t="shared" si="27"/>
        <v>#N/A</v>
      </c>
      <c r="S74" t="e">
        <f t="shared" si="27"/>
        <v>#N/A</v>
      </c>
      <c r="T74" t="e">
        <f t="shared" si="27"/>
        <v>#N/A</v>
      </c>
      <c r="U74" t="e">
        <f t="shared" si="27"/>
        <v>#N/A</v>
      </c>
      <c r="V74" t="e">
        <f t="shared" si="27"/>
        <v>#N/A</v>
      </c>
      <c r="W74" t="e">
        <f t="shared" si="27"/>
        <v>#N/A</v>
      </c>
      <c r="X74" t="e">
        <f t="shared" si="27"/>
        <v>#N/A</v>
      </c>
      <c r="Y74" t="e">
        <f t="shared" si="27"/>
        <v>#N/A</v>
      </c>
      <c r="Z74" t="e">
        <f t="shared" si="27"/>
        <v>#N/A</v>
      </c>
      <c r="AA74" t="e">
        <f t="shared" si="27"/>
        <v>#N/A</v>
      </c>
      <c r="AB74" t="e">
        <f t="shared" si="27"/>
        <v>#N/A</v>
      </c>
      <c r="AC74" t="e">
        <f t="shared" si="27"/>
        <v>#N/A</v>
      </c>
      <c r="AD74" t="e">
        <f t="shared" si="27"/>
        <v>#N/A</v>
      </c>
      <c r="AE74" t="e">
        <f t="shared" si="27"/>
        <v>#N/A</v>
      </c>
      <c r="AF74" t="e">
        <f t="shared" si="27"/>
        <v>#N/A</v>
      </c>
      <c r="AG74" t="e">
        <f t="shared" si="27"/>
        <v>#N/A</v>
      </c>
      <c r="AH74" t="e">
        <f t="shared" si="27"/>
        <v>#N/A</v>
      </c>
      <c r="AI74" t="e">
        <f t="shared" si="27"/>
        <v>#N/A</v>
      </c>
      <c r="AJ74" t="e">
        <f t="shared" si="27"/>
        <v>#N/A</v>
      </c>
      <c r="AK74" t="e">
        <f t="shared" si="27"/>
        <v>#N/A</v>
      </c>
      <c r="AL74" t="e">
        <f t="shared" si="27"/>
        <v>#N/A</v>
      </c>
      <c r="AM74" t="e">
        <f t="shared" si="27"/>
        <v>#N/A</v>
      </c>
      <c r="AN74" t="e">
        <f t="shared" si="27"/>
        <v>#N/A</v>
      </c>
      <c r="AO74" t="e">
        <f t="shared" si="27"/>
        <v>#N/A</v>
      </c>
      <c r="AP74" t="e">
        <f t="shared" si="27"/>
        <v>#N/A</v>
      </c>
      <c r="AQ74" t="e">
        <f t="shared" si="27"/>
        <v>#N/A</v>
      </c>
      <c r="AR74" t="e">
        <f t="shared" si="27"/>
        <v>#N/A</v>
      </c>
      <c r="AS74" t="e">
        <f t="shared" si="27"/>
        <v>#N/A</v>
      </c>
      <c r="AT74" t="e">
        <f t="shared" si="27"/>
        <v>#N/A</v>
      </c>
      <c r="AU74" t="e">
        <f t="shared" si="27"/>
        <v>#N/A</v>
      </c>
      <c r="AV74" t="e">
        <f t="shared" si="27"/>
        <v>#N/A</v>
      </c>
      <c r="AW74" t="e">
        <f t="shared" si="27"/>
        <v>#N/A</v>
      </c>
      <c r="AX74" t="e">
        <f t="shared" si="27"/>
        <v>#N/A</v>
      </c>
      <c r="AY74" t="e">
        <f t="shared" si="27"/>
        <v>#N/A</v>
      </c>
      <c r="AZ74" t="e">
        <f t="shared" si="27"/>
        <v>#N/A</v>
      </c>
      <c r="BA74" t="e">
        <f t="shared" si="27"/>
        <v>#N/A</v>
      </c>
      <c r="BB74" t="e">
        <f t="shared" si="27"/>
        <v>#N/A</v>
      </c>
      <c r="BC74" t="e">
        <f t="shared" si="27"/>
        <v>#N/A</v>
      </c>
      <c r="BD74" t="e">
        <f t="shared" si="27"/>
        <v>#N/A</v>
      </c>
      <c r="BE74" t="e">
        <f t="shared" si="27"/>
        <v>#N/A</v>
      </c>
      <c r="BF74" t="e">
        <f t="shared" si="27"/>
        <v>#N/A</v>
      </c>
      <c r="BG74" t="e">
        <f t="shared" si="27"/>
        <v>#N/A</v>
      </c>
      <c r="BH74" t="e">
        <f t="shared" si="27"/>
        <v>#N/A</v>
      </c>
      <c r="BI74" t="e">
        <f t="shared" si="27"/>
        <v>#N/A</v>
      </c>
      <c r="BJ74" t="e">
        <f t="shared" si="27"/>
        <v>#N/A</v>
      </c>
      <c r="BK74" t="e">
        <f t="shared" si="27"/>
        <v>#N/A</v>
      </c>
      <c r="BL74" t="e">
        <f t="shared" si="27"/>
        <v>#N/A</v>
      </c>
      <c r="BM74" t="e">
        <f t="shared" si="27"/>
        <v>#N/A</v>
      </c>
      <c r="BN74" t="e">
        <f t="shared" si="27"/>
        <v>#N/A</v>
      </c>
      <c r="BO74" t="e">
        <f t="shared" si="27"/>
        <v>#N/A</v>
      </c>
      <c r="BP74" t="e">
        <f t="shared" si="27"/>
        <v>#N/A</v>
      </c>
      <c r="BQ74" t="e">
        <f t="shared" si="27"/>
        <v>#N/A</v>
      </c>
      <c r="BR74" t="e">
        <f t="shared" si="27"/>
        <v>#N/A</v>
      </c>
      <c r="BS74" t="e">
        <f t="shared" si="27"/>
        <v>#N/A</v>
      </c>
      <c r="BT74" t="e">
        <f t="shared" si="27"/>
        <v>#N/A</v>
      </c>
      <c r="BU74" t="e">
        <f t="shared" si="27"/>
        <v>#N/A</v>
      </c>
      <c r="BV74" t="e">
        <f t="shared" si="27"/>
        <v>#N/A</v>
      </c>
      <c r="BW74" t="e">
        <f t="shared" si="27"/>
        <v>#N/A</v>
      </c>
      <c r="BX74" t="e">
        <f t="shared" si="27"/>
        <v>#N/A</v>
      </c>
      <c r="BY74" t="e">
        <f t="shared" si="25"/>
        <v>#N/A</v>
      </c>
      <c r="BZ74" t="e">
        <f t="shared" si="25"/>
        <v>#N/A</v>
      </c>
      <c r="CA74" t="e">
        <f t="shared" si="25"/>
        <v>#N/A</v>
      </c>
      <c r="CB74" t="e">
        <f t="shared" si="25"/>
        <v>#N/A</v>
      </c>
      <c r="CC74" t="e">
        <f t="shared" si="25"/>
        <v>#N/A</v>
      </c>
      <c r="CD74" t="e">
        <f t="shared" si="25"/>
        <v>#N/A</v>
      </c>
      <c r="CE74" t="e">
        <f t="shared" si="25"/>
        <v>#N/A</v>
      </c>
      <c r="CF74" t="e">
        <f t="shared" si="25"/>
        <v>#N/A</v>
      </c>
      <c r="CG74" t="e">
        <f t="shared" si="25"/>
        <v>#N/A</v>
      </c>
      <c r="CH74" t="e">
        <f t="shared" si="25"/>
        <v>#N/A</v>
      </c>
      <c r="CI74" t="e">
        <f t="shared" si="25"/>
        <v>#N/A</v>
      </c>
    </row>
    <row r="75" spans="2:87">
      <c r="B75"/>
      <c r="D75" s="3" t="e">
        <f>'History and Forecast Chart'!Q16</f>
        <v>#N/A</v>
      </c>
      <c r="E75" s="34" t="str">
        <f t="shared" si="16"/>
        <v/>
      </c>
      <c r="I75" t="e">
        <f t="shared" si="22"/>
        <v>#N/A</v>
      </c>
      <c r="J75" t="e">
        <f t="shared" si="22"/>
        <v>#N/A</v>
      </c>
      <c r="K75" t="e">
        <f>NA()</f>
        <v>#N/A</v>
      </c>
      <c r="L75" t="e">
        <f t="shared" si="23"/>
        <v>#N/A</v>
      </c>
      <c r="M75" t="e">
        <f t="shared" si="27"/>
        <v>#N/A</v>
      </c>
      <c r="N75" t="e">
        <f t="shared" si="27"/>
        <v>#N/A</v>
      </c>
      <c r="O75" t="e">
        <f t="shared" si="27"/>
        <v>#N/A</v>
      </c>
      <c r="P75" t="e">
        <f t="shared" si="27"/>
        <v>#N/A</v>
      </c>
      <c r="Q75" t="e">
        <f t="shared" si="27"/>
        <v>#N/A</v>
      </c>
      <c r="R75" t="e">
        <f t="shared" si="27"/>
        <v>#N/A</v>
      </c>
      <c r="S75" t="e">
        <f t="shared" si="27"/>
        <v>#N/A</v>
      </c>
      <c r="T75" t="e">
        <f t="shared" si="27"/>
        <v>#N/A</v>
      </c>
      <c r="U75" t="e">
        <f t="shared" si="27"/>
        <v>#N/A</v>
      </c>
      <c r="V75" t="e">
        <f t="shared" si="27"/>
        <v>#N/A</v>
      </c>
      <c r="W75" t="e">
        <f t="shared" si="27"/>
        <v>#N/A</v>
      </c>
      <c r="X75" t="e">
        <f t="shared" si="27"/>
        <v>#N/A</v>
      </c>
      <c r="Y75" t="e">
        <f t="shared" si="27"/>
        <v>#N/A</v>
      </c>
      <c r="Z75" t="e">
        <f t="shared" si="27"/>
        <v>#N/A</v>
      </c>
      <c r="AA75" t="e">
        <f t="shared" si="27"/>
        <v>#N/A</v>
      </c>
      <c r="AB75" t="e">
        <f t="shared" si="27"/>
        <v>#N/A</v>
      </c>
      <c r="AC75" t="e">
        <f t="shared" si="27"/>
        <v>#N/A</v>
      </c>
      <c r="AD75" t="e">
        <f t="shared" si="27"/>
        <v>#N/A</v>
      </c>
      <c r="AE75" t="e">
        <f t="shared" si="27"/>
        <v>#N/A</v>
      </c>
      <c r="AF75" t="e">
        <f t="shared" si="27"/>
        <v>#N/A</v>
      </c>
      <c r="AG75" t="e">
        <f t="shared" si="27"/>
        <v>#N/A</v>
      </c>
      <c r="AH75" t="e">
        <f t="shared" si="27"/>
        <v>#N/A</v>
      </c>
      <c r="AI75" t="e">
        <f t="shared" si="27"/>
        <v>#N/A</v>
      </c>
      <c r="AJ75" t="e">
        <f t="shared" si="27"/>
        <v>#N/A</v>
      </c>
      <c r="AK75" t="e">
        <f t="shared" si="27"/>
        <v>#N/A</v>
      </c>
      <c r="AL75" t="e">
        <f t="shared" si="27"/>
        <v>#N/A</v>
      </c>
      <c r="AM75" t="e">
        <f t="shared" si="27"/>
        <v>#N/A</v>
      </c>
      <c r="AN75" t="e">
        <f t="shared" si="27"/>
        <v>#N/A</v>
      </c>
      <c r="AO75" t="e">
        <f t="shared" si="27"/>
        <v>#N/A</v>
      </c>
      <c r="AP75" t="e">
        <f t="shared" si="27"/>
        <v>#N/A</v>
      </c>
      <c r="AQ75" t="e">
        <f t="shared" si="27"/>
        <v>#N/A</v>
      </c>
      <c r="AR75" t="e">
        <f t="shared" si="27"/>
        <v>#N/A</v>
      </c>
      <c r="AS75" t="e">
        <f t="shared" si="27"/>
        <v>#N/A</v>
      </c>
      <c r="AT75" t="e">
        <f t="shared" si="27"/>
        <v>#N/A</v>
      </c>
      <c r="AU75" t="e">
        <f t="shared" si="27"/>
        <v>#N/A</v>
      </c>
      <c r="AV75" t="e">
        <f t="shared" si="27"/>
        <v>#N/A</v>
      </c>
      <c r="AW75" t="e">
        <f t="shared" si="27"/>
        <v>#N/A</v>
      </c>
      <c r="AX75" t="e">
        <f t="shared" si="27"/>
        <v>#N/A</v>
      </c>
      <c r="AY75" t="e">
        <f t="shared" si="27"/>
        <v>#N/A</v>
      </c>
      <c r="AZ75" t="e">
        <f t="shared" si="27"/>
        <v>#N/A</v>
      </c>
      <c r="BA75" t="e">
        <f t="shared" si="27"/>
        <v>#N/A</v>
      </c>
      <c r="BB75" t="e">
        <f t="shared" si="27"/>
        <v>#N/A</v>
      </c>
      <c r="BC75" t="e">
        <f t="shared" si="27"/>
        <v>#N/A</v>
      </c>
      <c r="BD75" t="e">
        <f t="shared" si="27"/>
        <v>#N/A</v>
      </c>
      <c r="BE75" t="e">
        <f t="shared" si="27"/>
        <v>#N/A</v>
      </c>
      <c r="BF75" t="e">
        <f t="shared" si="27"/>
        <v>#N/A</v>
      </c>
      <c r="BG75" t="e">
        <f t="shared" si="27"/>
        <v>#N/A</v>
      </c>
      <c r="BH75" t="e">
        <f t="shared" si="27"/>
        <v>#N/A</v>
      </c>
      <c r="BI75" t="e">
        <f t="shared" si="27"/>
        <v>#N/A</v>
      </c>
      <c r="BJ75" t="e">
        <f t="shared" si="27"/>
        <v>#N/A</v>
      </c>
      <c r="BK75" t="e">
        <f t="shared" si="27"/>
        <v>#N/A</v>
      </c>
      <c r="BL75" t="e">
        <f t="shared" si="27"/>
        <v>#N/A</v>
      </c>
      <c r="BM75" t="e">
        <f t="shared" si="27"/>
        <v>#N/A</v>
      </c>
      <c r="BN75" t="e">
        <f t="shared" si="27"/>
        <v>#N/A</v>
      </c>
      <c r="BO75" t="e">
        <f t="shared" si="27"/>
        <v>#N/A</v>
      </c>
      <c r="BP75" t="e">
        <f t="shared" si="27"/>
        <v>#N/A</v>
      </c>
      <c r="BQ75" t="e">
        <f t="shared" si="27"/>
        <v>#N/A</v>
      </c>
      <c r="BR75" t="e">
        <f t="shared" si="27"/>
        <v>#N/A</v>
      </c>
      <c r="BS75" t="e">
        <f t="shared" si="27"/>
        <v>#N/A</v>
      </c>
      <c r="BT75" t="e">
        <f t="shared" si="27"/>
        <v>#N/A</v>
      </c>
      <c r="BU75" t="e">
        <f t="shared" si="27"/>
        <v>#N/A</v>
      </c>
      <c r="BV75" t="e">
        <f t="shared" si="27"/>
        <v>#N/A</v>
      </c>
      <c r="BW75" t="e">
        <f t="shared" si="27"/>
        <v>#N/A</v>
      </c>
      <c r="BX75" t="e">
        <f t="shared" si="27"/>
        <v>#N/A</v>
      </c>
      <c r="BY75" t="e">
        <f t="shared" si="25"/>
        <v>#N/A</v>
      </c>
      <c r="BZ75" t="e">
        <f t="shared" si="25"/>
        <v>#N/A</v>
      </c>
      <c r="CA75" t="e">
        <f t="shared" si="25"/>
        <v>#N/A</v>
      </c>
      <c r="CB75" t="e">
        <f t="shared" si="25"/>
        <v>#N/A</v>
      </c>
      <c r="CC75" t="e">
        <f t="shared" si="25"/>
        <v>#N/A</v>
      </c>
      <c r="CD75" t="e">
        <f t="shared" si="25"/>
        <v>#N/A</v>
      </c>
      <c r="CE75" t="e">
        <f t="shared" si="25"/>
        <v>#N/A</v>
      </c>
      <c r="CF75" t="e">
        <f t="shared" si="25"/>
        <v>#N/A</v>
      </c>
      <c r="CG75" t="e">
        <f t="shared" si="25"/>
        <v>#N/A</v>
      </c>
      <c r="CH75" t="e">
        <f t="shared" si="25"/>
        <v>#N/A</v>
      </c>
      <c r="CI75" t="e">
        <f t="shared" si="25"/>
        <v>#N/A</v>
      </c>
    </row>
    <row r="76" spans="2:87">
      <c r="B76" t="str">
        <f t="shared" ref="B76:B81" si="28">MID(C76,2,25)</f>
        <v/>
      </c>
      <c r="D76" s="3" t="e">
        <f>'History and Forecast Chart'!Q17</f>
        <v>#N/A</v>
      </c>
      <c r="E76" s="34" t="str">
        <f t="shared" si="16"/>
        <v/>
      </c>
      <c r="I76" t="e">
        <f t="shared" si="22"/>
        <v>#N/A</v>
      </c>
      <c r="J76" t="e">
        <f t="shared" si="22"/>
        <v>#N/A</v>
      </c>
      <c r="K76" t="e">
        <f>NA()</f>
        <v>#N/A</v>
      </c>
      <c r="L76" t="e">
        <f t="shared" si="23"/>
        <v>#N/A</v>
      </c>
      <c r="M76" t="e">
        <f t="shared" si="27"/>
        <v>#N/A</v>
      </c>
      <c r="N76" t="e">
        <f t="shared" si="27"/>
        <v>#N/A</v>
      </c>
      <c r="O76" t="e">
        <f t="shared" si="27"/>
        <v>#N/A</v>
      </c>
      <c r="P76" t="e">
        <f t="shared" si="27"/>
        <v>#N/A</v>
      </c>
      <c r="Q76" t="e">
        <f t="shared" si="27"/>
        <v>#N/A</v>
      </c>
      <c r="R76" t="e">
        <f t="shared" si="27"/>
        <v>#N/A</v>
      </c>
      <c r="S76" t="e">
        <f t="shared" si="27"/>
        <v>#N/A</v>
      </c>
      <c r="T76" t="e">
        <f t="shared" si="27"/>
        <v>#N/A</v>
      </c>
      <c r="U76" t="e">
        <f t="shared" si="27"/>
        <v>#N/A</v>
      </c>
      <c r="V76" t="e">
        <f t="shared" si="27"/>
        <v>#N/A</v>
      </c>
      <c r="W76" t="e">
        <f t="shared" si="27"/>
        <v>#N/A</v>
      </c>
      <c r="X76" t="e">
        <f t="shared" si="27"/>
        <v>#N/A</v>
      </c>
      <c r="Y76" t="e">
        <f t="shared" si="27"/>
        <v>#N/A</v>
      </c>
      <c r="Z76" t="e">
        <f t="shared" si="27"/>
        <v>#N/A</v>
      </c>
      <c r="AA76" t="e">
        <f t="shared" si="27"/>
        <v>#N/A</v>
      </c>
      <c r="AB76" t="e">
        <f t="shared" si="27"/>
        <v>#N/A</v>
      </c>
      <c r="AC76" t="e">
        <f t="shared" si="27"/>
        <v>#N/A</v>
      </c>
      <c r="AD76" t="e">
        <f t="shared" si="27"/>
        <v>#N/A</v>
      </c>
      <c r="AE76" t="e">
        <f t="shared" si="27"/>
        <v>#N/A</v>
      </c>
      <c r="AF76" t="e">
        <f t="shared" si="27"/>
        <v>#N/A</v>
      </c>
      <c r="AG76" t="e">
        <f t="shared" si="27"/>
        <v>#N/A</v>
      </c>
      <c r="AH76" t="e">
        <f t="shared" si="27"/>
        <v>#N/A</v>
      </c>
      <c r="AI76" t="e">
        <f t="shared" si="27"/>
        <v>#N/A</v>
      </c>
      <c r="AJ76" t="e">
        <f t="shared" si="27"/>
        <v>#N/A</v>
      </c>
      <c r="AK76" t="e">
        <f t="shared" si="27"/>
        <v>#N/A</v>
      </c>
      <c r="AL76" t="e">
        <f t="shared" si="27"/>
        <v>#N/A</v>
      </c>
      <c r="AM76" t="e">
        <f t="shared" si="27"/>
        <v>#N/A</v>
      </c>
      <c r="AN76" t="e">
        <f t="shared" si="27"/>
        <v>#N/A</v>
      </c>
      <c r="AO76" t="e">
        <f t="shared" si="27"/>
        <v>#N/A</v>
      </c>
      <c r="AP76" t="e">
        <f t="shared" si="27"/>
        <v>#N/A</v>
      </c>
      <c r="AQ76" t="e">
        <f t="shared" si="27"/>
        <v>#N/A</v>
      </c>
      <c r="AR76" t="e">
        <f t="shared" si="27"/>
        <v>#N/A</v>
      </c>
      <c r="AS76" t="e">
        <f t="shared" si="27"/>
        <v>#N/A</v>
      </c>
      <c r="AT76" t="e">
        <f t="shared" si="27"/>
        <v>#N/A</v>
      </c>
      <c r="AU76" t="e">
        <f t="shared" si="27"/>
        <v>#N/A</v>
      </c>
      <c r="AV76" t="e">
        <f t="shared" si="27"/>
        <v>#N/A</v>
      </c>
      <c r="AW76" t="e">
        <f t="shared" si="27"/>
        <v>#N/A</v>
      </c>
      <c r="AX76" t="e">
        <f t="shared" si="27"/>
        <v>#N/A</v>
      </c>
      <c r="AY76" t="e">
        <f t="shared" si="27"/>
        <v>#N/A</v>
      </c>
      <c r="AZ76" t="e">
        <f t="shared" si="27"/>
        <v>#N/A</v>
      </c>
      <c r="BA76" t="e">
        <f t="shared" si="27"/>
        <v>#N/A</v>
      </c>
      <c r="BB76" t="e">
        <f t="shared" si="27"/>
        <v>#N/A</v>
      </c>
      <c r="BC76" t="e">
        <f t="shared" si="27"/>
        <v>#N/A</v>
      </c>
      <c r="BD76" t="e">
        <f t="shared" si="27"/>
        <v>#N/A</v>
      </c>
      <c r="BE76" t="e">
        <f t="shared" si="27"/>
        <v>#N/A</v>
      </c>
      <c r="BF76" t="e">
        <f t="shared" si="27"/>
        <v>#N/A</v>
      </c>
      <c r="BG76" t="e">
        <f t="shared" si="27"/>
        <v>#N/A</v>
      </c>
      <c r="BH76" t="e">
        <f t="shared" si="27"/>
        <v>#N/A</v>
      </c>
      <c r="BI76" t="e">
        <f t="shared" si="27"/>
        <v>#N/A</v>
      </c>
      <c r="BJ76" t="e">
        <f t="shared" si="27"/>
        <v>#N/A</v>
      </c>
      <c r="BK76" t="e">
        <f t="shared" si="27"/>
        <v>#N/A</v>
      </c>
      <c r="BL76" t="e">
        <f t="shared" si="27"/>
        <v>#N/A</v>
      </c>
      <c r="BM76" t="e">
        <f t="shared" si="27"/>
        <v>#N/A</v>
      </c>
      <c r="BN76" t="e">
        <f t="shared" si="27"/>
        <v>#N/A</v>
      </c>
      <c r="BO76" t="e">
        <f t="shared" si="27"/>
        <v>#N/A</v>
      </c>
      <c r="BP76" t="e">
        <f t="shared" si="27"/>
        <v>#N/A</v>
      </c>
      <c r="BQ76" t="e">
        <f t="shared" si="27"/>
        <v>#N/A</v>
      </c>
      <c r="BR76" t="e">
        <f t="shared" si="27"/>
        <v>#N/A</v>
      </c>
      <c r="BS76" t="e">
        <f t="shared" si="27"/>
        <v>#N/A</v>
      </c>
      <c r="BT76" t="e">
        <f t="shared" si="27"/>
        <v>#N/A</v>
      </c>
      <c r="BU76" t="e">
        <f t="shared" si="27"/>
        <v>#N/A</v>
      </c>
      <c r="BV76" t="e">
        <f t="shared" si="27"/>
        <v>#N/A</v>
      </c>
      <c r="BW76" t="e">
        <f t="shared" si="27"/>
        <v>#N/A</v>
      </c>
      <c r="BX76" t="e">
        <f t="shared" ref="BX76:CI79" si="29">IFERROR(BX64/BW64-1,NA())</f>
        <v>#N/A</v>
      </c>
      <c r="BY76" t="e">
        <f t="shared" si="29"/>
        <v>#N/A</v>
      </c>
      <c r="BZ76" t="e">
        <f t="shared" si="29"/>
        <v>#N/A</v>
      </c>
      <c r="CA76" t="e">
        <f t="shared" si="29"/>
        <v>#N/A</v>
      </c>
      <c r="CB76" t="e">
        <f t="shared" si="29"/>
        <v>#N/A</v>
      </c>
      <c r="CC76" t="e">
        <f t="shared" si="29"/>
        <v>#N/A</v>
      </c>
      <c r="CD76" t="e">
        <f t="shared" si="29"/>
        <v>#N/A</v>
      </c>
      <c r="CE76" t="e">
        <f t="shared" si="29"/>
        <v>#N/A</v>
      </c>
      <c r="CF76" t="e">
        <f t="shared" si="29"/>
        <v>#N/A</v>
      </c>
      <c r="CG76" t="e">
        <f t="shared" si="29"/>
        <v>#N/A</v>
      </c>
      <c r="CH76" t="e">
        <f t="shared" si="29"/>
        <v>#N/A</v>
      </c>
      <c r="CI76" t="e">
        <f t="shared" si="29"/>
        <v>#N/A</v>
      </c>
    </row>
    <row r="77" spans="2:87">
      <c r="B77" t="str">
        <f t="shared" si="28"/>
        <v/>
      </c>
      <c r="D77" s="3" t="e">
        <f>'History and Forecast Chart'!Q18</f>
        <v>#N/A</v>
      </c>
      <c r="E77" s="34" t="str">
        <f t="shared" si="16"/>
        <v/>
      </c>
      <c r="I77" t="e">
        <f t="shared" si="22"/>
        <v>#N/A</v>
      </c>
      <c r="J77" t="e">
        <f t="shared" si="22"/>
        <v>#N/A</v>
      </c>
      <c r="K77" t="e">
        <f>NA()</f>
        <v>#N/A</v>
      </c>
      <c r="L77" t="e">
        <f t="shared" si="23"/>
        <v>#N/A</v>
      </c>
      <c r="M77" t="e">
        <f t="shared" ref="M77:BX80" si="30">IFERROR(M65/L65-1,NA())</f>
        <v>#N/A</v>
      </c>
      <c r="N77" t="e">
        <f t="shared" si="30"/>
        <v>#N/A</v>
      </c>
      <c r="O77" t="e">
        <f t="shared" si="30"/>
        <v>#N/A</v>
      </c>
      <c r="P77" t="e">
        <f t="shared" si="30"/>
        <v>#N/A</v>
      </c>
      <c r="Q77" t="e">
        <f t="shared" si="30"/>
        <v>#N/A</v>
      </c>
      <c r="R77" t="e">
        <f t="shared" si="30"/>
        <v>#N/A</v>
      </c>
      <c r="S77" t="e">
        <f t="shared" si="30"/>
        <v>#N/A</v>
      </c>
      <c r="T77" t="e">
        <f t="shared" si="30"/>
        <v>#N/A</v>
      </c>
      <c r="U77" t="e">
        <f t="shared" si="30"/>
        <v>#N/A</v>
      </c>
      <c r="V77" t="e">
        <f t="shared" si="30"/>
        <v>#N/A</v>
      </c>
      <c r="W77" t="e">
        <f t="shared" si="30"/>
        <v>#N/A</v>
      </c>
      <c r="X77" t="e">
        <f t="shared" si="30"/>
        <v>#N/A</v>
      </c>
      <c r="Y77" t="e">
        <f t="shared" si="30"/>
        <v>#N/A</v>
      </c>
      <c r="Z77" t="e">
        <f t="shared" si="30"/>
        <v>#N/A</v>
      </c>
      <c r="AA77" t="e">
        <f t="shared" si="30"/>
        <v>#N/A</v>
      </c>
      <c r="AB77" t="e">
        <f t="shared" si="30"/>
        <v>#N/A</v>
      </c>
      <c r="AC77" t="e">
        <f t="shared" si="30"/>
        <v>#N/A</v>
      </c>
      <c r="AD77" t="e">
        <f t="shared" si="30"/>
        <v>#N/A</v>
      </c>
      <c r="AE77" t="e">
        <f t="shared" si="30"/>
        <v>#N/A</v>
      </c>
      <c r="AF77" t="e">
        <f t="shared" si="30"/>
        <v>#N/A</v>
      </c>
      <c r="AG77" t="e">
        <f t="shared" si="30"/>
        <v>#N/A</v>
      </c>
      <c r="AH77" t="e">
        <f t="shared" si="30"/>
        <v>#N/A</v>
      </c>
      <c r="AI77" t="e">
        <f t="shared" si="30"/>
        <v>#N/A</v>
      </c>
      <c r="AJ77" t="e">
        <f t="shared" si="30"/>
        <v>#N/A</v>
      </c>
      <c r="AK77" t="e">
        <f t="shared" si="30"/>
        <v>#N/A</v>
      </c>
      <c r="AL77" t="e">
        <f t="shared" si="30"/>
        <v>#N/A</v>
      </c>
      <c r="AM77" t="e">
        <f t="shared" si="30"/>
        <v>#N/A</v>
      </c>
      <c r="AN77" t="e">
        <f t="shared" si="30"/>
        <v>#N/A</v>
      </c>
      <c r="AO77" t="e">
        <f t="shared" si="30"/>
        <v>#N/A</v>
      </c>
      <c r="AP77" t="e">
        <f t="shared" si="30"/>
        <v>#N/A</v>
      </c>
      <c r="AQ77" t="e">
        <f t="shared" si="30"/>
        <v>#N/A</v>
      </c>
      <c r="AR77" t="e">
        <f t="shared" si="30"/>
        <v>#N/A</v>
      </c>
      <c r="AS77" t="e">
        <f t="shared" si="30"/>
        <v>#N/A</v>
      </c>
      <c r="AT77" t="e">
        <f t="shared" si="30"/>
        <v>#N/A</v>
      </c>
      <c r="AU77" t="e">
        <f t="shared" si="30"/>
        <v>#N/A</v>
      </c>
      <c r="AV77" t="e">
        <f t="shared" si="30"/>
        <v>#N/A</v>
      </c>
      <c r="AW77" t="e">
        <f t="shared" si="30"/>
        <v>#N/A</v>
      </c>
      <c r="AX77" t="e">
        <f t="shared" si="30"/>
        <v>#N/A</v>
      </c>
      <c r="AY77" t="e">
        <f t="shared" si="30"/>
        <v>#N/A</v>
      </c>
      <c r="AZ77" t="e">
        <f t="shared" si="30"/>
        <v>#N/A</v>
      </c>
      <c r="BA77" t="e">
        <f t="shared" si="30"/>
        <v>#N/A</v>
      </c>
      <c r="BB77" t="e">
        <f t="shared" si="30"/>
        <v>#N/A</v>
      </c>
      <c r="BC77" t="e">
        <f t="shared" si="30"/>
        <v>#N/A</v>
      </c>
      <c r="BD77" t="e">
        <f t="shared" si="30"/>
        <v>#N/A</v>
      </c>
      <c r="BE77" t="e">
        <f t="shared" si="30"/>
        <v>#N/A</v>
      </c>
      <c r="BF77" t="e">
        <f t="shared" si="30"/>
        <v>#N/A</v>
      </c>
      <c r="BG77" t="e">
        <f t="shared" si="30"/>
        <v>#N/A</v>
      </c>
      <c r="BH77" t="e">
        <f t="shared" si="30"/>
        <v>#N/A</v>
      </c>
      <c r="BI77" t="e">
        <f t="shared" si="30"/>
        <v>#N/A</v>
      </c>
      <c r="BJ77" t="e">
        <f t="shared" si="30"/>
        <v>#N/A</v>
      </c>
      <c r="BK77" t="e">
        <f t="shared" si="30"/>
        <v>#N/A</v>
      </c>
      <c r="BL77" t="e">
        <f t="shared" si="30"/>
        <v>#N/A</v>
      </c>
      <c r="BM77" t="e">
        <f t="shared" si="30"/>
        <v>#N/A</v>
      </c>
      <c r="BN77" t="e">
        <f t="shared" si="30"/>
        <v>#N/A</v>
      </c>
      <c r="BO77" t="e">
        <f t="shared" si="30"/>
        <v>#N/A</v>
      </c>
      <c r="BP77" t="e">
        <f t="shared" si="30"/>
        <v>#N/A</v>
      </c>
      <c r="BQ77" t="e">
        <f t="shared" si="30"/>
        <v>#N/A</v>
      </c>
      <c r="BR77" t="e">
        <f t="shared" si="30"/>
        <v>#N/A</v>
      </c>
      <c r="BS77" t="e">
        <f t="shared" si="30"/>
        <v>#N/A</v>
      </c>
      <c r="BT77" t="e">
        <f t="shared" si="30"/>
        <v>#N/A</v>
      </c>
      <c r="BU77" t="e">
        <f t="shared" si="30"/>
        <v>#N/A</v>
      </c>
      <c r="BV77" t="e">
        <f t="shared" si="30"/>
        <v>#N/A</v>
      </c>
      <c r="BW77" t="e">
        <f t="shared" si="30"/>
        <v>#N/A</v>
      </c>
      <c r="BX77" t="e">
        <f t="shared" si="30"/>
        <v>#N/A</v>
      </c>
      <c r="BY77" t="e">
        <f t="shared" si="29"/>
        <v>#N/A</v>
      </c>
      <c r="BZ77" t="e">
        <f t="shared" si="29"/>
        <v>#N/A</v>
      </c>
      <c r="CA77" t="e">
        <f t="shared" si="29"/>
        <v>#N/A</v>
      </c>
      <c r="CB77" t="e">
        <f t="shared" si="29"/>
        <v>#N/A</v>
      </c>
      <c r="CC77" t="e">
        <f t="shared" si="29"/>
        <v>#N/A</v>
      </c>
      <c r="CD77" t="e">
        <f t="shared" si="29"/>
        <v>#N/A</v>
      </c>
      <c r="CE77" t="e">
        <f t="shared" si="29"/>
        <v>#N/A</v>
      </c>
      <c r="CF77" t="e">
        <f t="shared" si="29"/>
        <v>#N/A</v>
      </c>
      <c r="CG77" t="e">
        <f t="shared" si="29"/>
        <v>#N/A</v>
      </c>
      <c r="CH77" t="e">
        <f t="shared" si="29"/>
        <v>#N/A</v>
      </c>
      <c r="CI77" t="e">
        <f t="shared" si="29"/>
        <v>#N/A</v>
      </c>
    </row>
    <row r="78" spans="2:87">
      <c r="B78" t="str">
        <f t="shared" si="28"/>
        <v/>
      </c>
      <c r="D78" s="3" t="e">
        <f>'History and Forecast Chart'!Q19</f>
        <v>#N/A</v>
      </c>
      <c r="E78" s="34" t="str">
        <f t="shared" si="16"/>
        <v/>
      </c>
      <c r="I78" t="e">
        <f t="shared" si="22"/>
        <v>#N/A</v>
      </c>
      <c r="J78" t="e">
        <f t="shared" si="22"/>
        <v>#N/A</v>
      </c>
      <c r="K78" t="e">
        <f>NA()</f>
        <v>#N/A</v>
      </c>
      <c r="L78" t="e">
        <f t="shared" si="23"/>
        <v>#N/A</v>
      </c>
      <c r="M78" t="e">
        <f t="shared" si="30"/>
        <v>#N/A</v>
      </c>
      <c r="N78" t="e">
        <f t="shared" si="30"/>
        <v>#N/A</v>
      </c>
      <c r="O78" t="e">
        <f t="shared" si="30"/>
        <v>#N/A</v>
      </c>
      <c r="P78" t="e">
        <f t="shared" si="30"/>
        <v>#N/A</v>
      </c>
      <c r="Q78" t="e">
        <f t="shared" si="30"/>
        <v>#N/A</v>
      </c>
      <c r="R78" t="e">
        <f t="shared" si="30"/>
        <v>#N/A</v>
      </c>
      <c r="S78" t="e">
        <f t="shared" si="30"/>
        <v>#N/A</v>
      </c>
      <c r="T78" t="e">
        <f t="shared" si="30"/>
        <v>#N/A</v>
      </c>
      <c r="U78" t="e">
        <f t="shared" si="30"/>
        <v>#N/A</v>
      </c>
      <c r="V78" t="e">
        <f t="shared" si="30"/>
        <v>#N/A</v>
      </c>
      <c r="W78" t="e">
        <f t="shared" si="30"/>
        <v>#N/A</v>
      </c>
      <c r="X78" t="e">
        <f t="shared" si="30"/>
        <v>#N/A</v>
      </c>
      <c r="Y78" t="e">
        <f t="shared" si="30"/>
        <v>#N/A</v>
      </c>
      <c r="Z78" t="e">
        <f t="shared" si="30"/>
        <v>#N/A</v>
      </c>
      <c r="AA78" t="e">
        <f t="shared" si="30"/>
        <v>#N/A</v>
      </c>
      <c r="AB78" t="e">
        <f t="shared" si="30"/>
        <v>#N/A</v>
      </c>
      <c r="AC78" t="e">
        <f t="shared" si="30"/>
        <v>#N/A</v>
      </c>
      <c r="AD78" t="e">
        <f t="shared" si="30"/>
        <v>#N/A</v>
      </c>
      <c r="AE78" t="e">
        <f t="shared" si="30"/>
        <v>#N/A</v>
      </c>
      <c r="AF78" t="e">
        <f t="shared" si="30"/>
        <v>#N/A</v>
      </c>
      <c r="AG78" t="e">
        <f t="shared" si="30"/>
        <v>#N/A</v>
      </c>
      <c r="AH78" t="e">
        <f t="shared" si="30"/>
        <v>#N/A</v>
      </c>
      <c r="AI78" t="e">
        <f t="shared" si="30"/>
        <v>#N/A</v>
      </c>
      <c r="AJ78" t="e">
        <f t="shared" si="30"/>
        <v>#N/A</v>
      </c>
      <c r="AK78" t="e">
        <f t="shared" si="30"/>
        <v>#N/A</v>
      </c>
      <c r="AL78" t="e">
        <f t="shared" si="30"/>
        <v>#N/A</v>
      </c>
      <c r="AM78" t="e">
        <f t="shared" si="30"/>
        <v>#N/A</v>
      </c>
      <c r="AN78" t="e">
        <f t="shared" si="30"/>
        <v>#N/A</v>
      </c>
      <c r="AO78" t="e">
        <f t="shared" si="30"/>
        <v>#N/A</v>
      </c>
      <c r="AP78" t="e">
        <f t="shared" si="30"/>
        <v>#N/A</v>
      </c>
      <c r="AQ78" t="e">
        <f t="shared" si="30"/>
        <v>#N/A</v>
      </c>
      <c r="AR78" t="e">
        <f t="shared" si="30"/>
        <v>#N/A</v>
      </c>
      <c r="AS78" t="e">
        <f t="shared" si="30"/>
        <v>#N/A</v>
      </c>
      <c r="AT78" t="e">
        <f t="shared" si="30"/>
        <v>#N/A</v>
      </c>
      <c r="AU78" t="e">
        <f t="shared" si="30"/>
        <v>#N/A</v>
      </c>
      <c r="AV78" t="e">
        <f t="shared" si="30"/>
        <v>#N/A</v>
      </c>
      <c r="AW78" t="e">
        <f t="shared" si="30"/>
        <v>#N/A</v>
      </c>
      <c r="AX78" t="e">
        <f t="shared" si="30"/>
        <v>#N/A</v>
      </c>
      <c r="AY78" t="e">
        <f t="shared" si="30"/>
        <v>#N/A</v>
      </c>
      <c r="AZ78" t="e">
        <f t="shared" si="30"/>
        <v>#N/A</v>
      </c>
      <c r="BA78" t="e">
        <f t="shared" si="30"/>
        <v>#N/A</v>
      </c>
      <c r="BB78" t="e">
        <f t="shared" si="30"/>
        <v>#N/A</v>
      </c>
      <c r="BC78" t="e">
        <f t="shared" si="30"/>
        <v>#N/A</v>
      </c>
      <c r="BD78" t="e">
        <f t="shared" si="30"/>
        <v>#N/A</v>
      </c>
      <c r="BE78" t="e">
        <f t="shared" si="30"/>
        <v>#N/A</v>
      </c>
      <c r="BF78" t="e">
        <f t="shared" si="30"/>
        <v>#N/A</v>
      </c>
      <c r="BG78" t="e">
        <f t="shared" si="30"/>
        <v>#N/A</v>
      </c>
      <c r="BH78" t="e">
        <f t="shared" si="30"/>
        <v>#N/A</v>
      </c>
      <c r="BI78" t="e">
        <f t="shared" si="30"/>
        <v>#N/A</v>
      </c>
      <c r="BJ78" t="e">
        <f t="shared" si="30"/>
        <v>#N/A</v>
      </c>
      <c r="BK78" t="e">
        <f t="shared" si="30"/>
        <v>#N/A</v>
      </c>
      <c r="BL78" t="e">
        <f t="shared" si="30"/>
        <v>#N/A</v>
      </c>
      <c r="BM78" t="e">
        <f t="shared" si="30"/>
        <v>#N/A</v>
      </c>
      <c r="BN78" t="e">
        <f t="shared" si="30"/>
        <v>#N/A</v>
      </c>
      <c r="BO78" t="e">
        <f t="shared" si="30"/>
        <v>#N/A</v>
      </c>
      <c r="BP78" t="e">
        <f t="shared" si="30"/>
        <v>#N/A</v>
      </c>
      <c r="BQ78" t="e">
        <f t="shared" si="30"/>
        <v>#N/A</v>
      </c>
      <c r="BR78" t="e">
        <f t="shared" si="30"/>
        <v>#N/A</v>
      </c>
      <c r="BS78" t="e">
        <f t="shared" si="30"/>
        <v>#N/A</v>
      </c>
      <c r="BT78" t="e">
        <f t="shared" si="30"/>
        <v>#N/A</v>
      </c>
      <c r="BU78" t="e">
        <f t="shared" si="30"/>
        <v>#N/A</v>
      </c>
      <c r="BV78" t="e">
        <f t="shared" si="30"/>
        <v>#N/A</v>
      </c>
      <c r="BW78" t="e">
        <f t="shared" si="30"/>
        <v>#N/A</v>
      </c>
      <c r="BX78" t="e">
        <f t="shared" si="30"/>
        <v>#N/A</v>
      </c>
      <c r="BY78" t="e">
        <f t="shared" si="29"/>
        <v>#N/A</v>
      </c>
      <c r="BZ78" t="e">
        <f t="shared" si="29"/>
        <v>#N/A</v>
      </c>
      <c r="CA78" t="e">
        <f t="shared" si="29"/>
        <v>#N/A</v>
      </c>
      <c r="CB78" t="e">
        <f t="shared" si="29"/>
        <v>#N/A</v>
      </c>
      <c r="CC78" t="e">
        <f t="shared" si="29"/>
        <v>#N/A</v>
      </c>
      <c r="CD78" t="e">
        <f t="shared" si="29"/>
        <v>#N/A</v>
      </c>
      <c r="CE78" t="e">
        <f t="shared" si="29"/>
        <v>#N/A</v>
      </c>
      <c r="CF78" t="e">
        <f t="shared" si="29"/>
        <v>#N/A</v>
      </c>
      <c r="CG78" t="e">
        <f t="shared" si="29"/>
        <v>#N/A</v>
      </c>
      <c r="CH78" t="e">
        <f t="shared" si="29"/>
        <v>#N/A</v>
      </c>
      <c r="CI78" t="e">
        <f t="shared" si="29"/>
        <v>#N/A</v>
      </c>
    </row>
    <row r="79" spans="2:87">
      <c r="B79" t="str">
        <f t="shared" si="28"/>
        <v/>
      </c>
      <c r="D79" s="3" t="e">
        <f>'History and Forecast Chart'!Q20</f>
        <v>#N/A</v>
      </c>
      <c r="E79" s="34" t="str">
        <f t="shared" si="16"/>
        <v/>
      </c>
      <c r="I79" t="e">
        <f t="shared" si="22"/>
        <v>#N/A</v>
      </c>
      <c r="J79" t="e">
        <f t="shared" si="22"/>
        <v>#N/A</v>
      </c>
      <c r="K79" t="e">
        <f>NA()</f>
        <v>#N/A</v>
      </c>
      <c r="L79" t="e">
        <f t="shared" si="23"/>
        <v>#N/A</v>
      </c>
      <c r="M79" t="e">
        <f t="shared" si="30"/>
        <v>#N/A</v>
      </c>
      <c r="N79" t="e">
        <f t="shared" si="30"/>
        <v>#N/A</v>
      </c>
      <c r="O79" t="e">
        <f t="shared" si="30"/>
        <v>#N/A</v>
      </c>
      <c r="P79" t="e">
        <f t="shared" si="30"/>
        <v>#N/A</v>
      </c>
      <c r="Q79" t="e">
        <f t="shared" si="30"/>
        <v>#N/A</v>
      </c>
      <c r="R79" t="e">
        <f t="shared" si="30"/>
        <v>#N/A</v>
      </c>
      <c r="S79" t="e">
        <f t="shared" si="30"/>
        <v>#N/A</v>
      </c>
      <c r="T79" t="e">
        <f t="shared" si="30"/>
        <v>#N/A</v>
      </c>
      <c r="U79" t="e">
        <f t="shared" si="30"/>
        <v>#N/A</v>
      </c>
      <c r="V79" t="e">
        <f t="shared" si="30"/>
        <v>#N/A</v>
      </c>
      <c r="W79" t="e">
        <f t="shared" si="30"/>
        <v>#N/A</v>
      </c>
      <c r="X79" t="e">
        <f t="shared" si="30"/>
        <v>#N/A</v>
      </c>
      <c r="Y79" t="e">
        <f t="shared" si="30"/>
        <v>#N/A</v>
      </c>
      <c r="Z79" t="e">
        <f t="shared" si="30"/>
        <v>#N/A</v>
      </c>
      <c r="AA79" t="e">
        <f t="shared" si="30"/>
        <v>#N/A</v>
      </c>
      <c r="AB79" t="e">
        <f t="shared" si="30"/>
        <v>#N/A</v>
      </c>
      <c r="AC79" t="e">
        <f t="shared" si="30"/>
        <v>#N/A</v>
      </c>
      <c r="AD79" t="e">
        <f t="shared" si="30"/>
        <v>#N/A</v>
      </c>
      <c r="AE79" t="e">
        <f t="shared" si="30"/>
        <v>#N/A</v>
      </c>
      <c r="AF79" t="e">
        <f t="shared" si="30"/>
        <v>#N/A</v>
      </c>
      <c r="AG79" t="e">
        <f t="shared" si="30"/>
        <v>#N/A</v>
      </c>
      <c r="AH79" t="e">
        <f t="shared" si="30"/>
        <v>#N/A</v>
      </c>
      <c r="AI79" t="e">
        <f t="shared" si="30"/>
        <v>#N/A</v>
      </c>
      <c r="AJ79" t="e">
        <f t="shared" si="30"/>
        <v>#N/A</v>
      </c>
      <c r="AK79" t="e">
        <f t="shared" si="30"/>
        <v>#N/A</v>
      </c>
      <c r="AL79" t="e">
        <f t="shared" si="30"/>
        <v>#N/A</v>
      </c>
      <c r="AM79" t="e">
        <f t="shared" si="30"/>
        <v>#N/A</v>
      </c>
      <c r="AN79" t="e">
        <f t="shared" si="30"/>
        <v>#N/A</v>
      </c>
      <c r="AO79" t="e">
        <f t="shared" si="30"/>
        <v>#N/A</v>
      </c>
      <c r="AP79" t="e">
        <f t="shared" si="30"/>
        <v>#N/A</v>
      </c>
      <c r="AQ79" t="e">
        <f t="shared" si="30"/>
        <v>#N/A</v>
      </c>
      <c r="AR79" t="e">
        <f t="shared" si="30"/>
        <v>#N/A</v>
      </c>
      <c r="AS79" t="e">
        <f t="shared" si="30"/>
        <v>#N/A</v>
      </c>
      <c r="AT79" t="e">
        <f t="shared" si="30"/>
        <v>#N/A</v>
      </c>
      <c r="AU79" t="e">
        <f t="shared" si="30"/>
        <v>#N/A</v>
      </c>
      <c r="AV79" t="e">
        <f t="shared" si="30"/>
        <v>#N/A</v>
      </c>
      <c r="AW79" t="e">
        <f t="shared" si="30"/>
        <v>#N/A</v>
      </c>
      <c r="AX79" t="e">
        <f t="shared" si="30"/>
        <v>#N/A</v>
      </c>
      <c r="AY79" t="e">
        <f t="shared" si="30"/>
        <v>#N/A</v>
      </c>
      <c r="AZ79" t="e">
        <f t="shared" si="30"/>
        <v>#N/A</v>
      </c>
      <c r="BA79" t="e">
        <f t="shared" si="30"/>
        <v>#N/A</v>
      </c>
      <c r="BB79" t="e">
        <f t="shared" si="30"/>
        <v>#N/A</v>
      </c>
      <c r="BC79" t="e">
        <f t="shared" si="30"/>
        <v>#N/A</v>
      </c>
      <c r="BD79" t="e">
        <f t="shared" si="30"/>
        <v>#N/A</v>
      </c>
      <c r="BE79" t="e">
        <f t="shared" si="30"/>
        <v>#N/A</v>
      </c>
      <c r="BF79" t="e">
        <f t="shared" si="30"/>
        <v>#N/A</v>
      </c>
      <c r="BG79" t="e">
        <f t="shared" si="30"/>
        <v>#N/A</v>
      </c>
      <c r="BH79" t="e">
        <f t="shared" si="30"/>
        <v>#N/A</v>
      </c>
      <c r="BI79" t="e">
        <f t="shared" si="30"/>
        <v>#N/A</v>
      </c>
      <c r="BJ79" t="e">
        <f t="shared" si="30"/>
        <v>#N/A</v>
      </c>
      <c r="BK79" t="e">
        <f t="shared" si="30"/>
        <v>#N/A</v>
      </c>
      <c r="BL79" t="e">
        <f t="shared" si="30"/>
        <v>#N/A</v>
      </c>
      <c r="BM79" t="e">
        <f t="shared" si="30"/>
        <v>#N/A</v>
      </c>
      <c r="BN79" t="e">
        <f t="shared" si="30"/>
        <v>#N/A</v>
      </c>
      <c r="BO79" t="e">
        <f t="shared" si="30"/>
        <v>#N/A</v>
      </c>
      <c r="BP79" t="e">
        <f t="shared" si="30"/>
        <v>#N/A</v>
      </c>
      <c r="BQ79" t="e">
        <f t="shared" si="30"/>
        <v>#N/A</v>
      </c>
      <c r="BR79" t="e">
        <f t="shared" si="30"/>
        <v>#N/A</v>
      </c>
      <c r="BS79" t="e">
        <f t="shared" si="30"/>
        <v>#N/A</v>
      </c>
      <c r="BT79" t="e">
        <f t="shared" si="30"/>
        <v>#N/A</v>
      </c>
      <c r="BU79" t="e">
        <f t="shared" si="30"/>
        <v>#N/A</v>
      </c>
      <c r="BV79" t="e">
        <f t="shared" si="30"/>
        <v>#N/A</v>
      </c>
      <c r="BW79" t="e">
        <f t="shared" si="30"/>
        <v>#N/A</v>
      </c>
      <c r="BX79" t="e">
        <f t="shared" si="30"/>
        <v>#N/A</v>
      </c>
      <c r="BY79" t="e">
        <f t="shared" si="29"/>
        <v>#N/A</v>
      </c>
      <c r="BZ79" t="e">
        <f t="shared" si="29"/>
        <v>#N/A</v>
      </c>
      <c r="CA79" t="e">
        <f t="shared" si="29"/>
        <v>#N/A</v>
      </c>
      <c r="CB79" t="e">
        <f t="shared" si="29"/>
        <v>#N/A</v>
      </c>
      <c r="CC79" t="e">
        <f t="shared" si="29"/>
        <v>#N/A</v>
      </c>
      <c r="CD79" t="e">
        <f t="shared" si="29"/>
        <v>#N/A</v>
      </c>
      <c r="CE79" t="e">
        <f t="shared" si="29"/>
        <v>#N/A</v>
      </c>
      <c r="CF79" t="e">
        <f t="shared" si="29"/>
        <v>#N/A</v>
      </c>
      <c r="CG79" t="e">
        <f t="shared" si="29"/>
        <v>#N/A</v>
      </c>
      <c r="CH79" t="e">
        <f t="shared" si="29"/>
        <v>#N/A</v>
      </c>
      <c r="CI79" t="e">
        <f t="shared" si="29"/>
        <v>#N/A</v>
      </c>
    </row>
    <row r="80" spans="2:87">
      <c r="B80" t="str">
        <f t="shared" si="28"/>
        <v/>
      </c>
      <c r="D80" s="3" t="e">
        <f>'History and Forecast Chart'!Q21</f>
        <v>#N/A</v>
      </c>
      <c r="E80" s="34" t="str">
        <f t="shared" si="16"/>
        <v/>
      </c>
      <c r="I80" t="e">
        <f t="shared" si="22"/>
        <v>#N/A</v>
      </c>
      <c r="J80" t="e">
        <f t="shared" si="22"/>
        <v>#N/A</v>
      </c>
      <c r="K80" t="e">
        <f>NA()</f>
        <v>#N/A</v>
      </c>
      <c r="L80" t="e">
        <f t="shared" si="23"/>
        <v>#N/A</v>
      </c>
      <c r="M80" t="e">
        <f t="shared" si="30"/>
        <v>#N/A</v>
      </c>
      <c r="N80" t="e">
        <f t="shared" si="30"/>
        <v>#N/A</v>
      </c>
      <c r="O80" t="e">
        <f t="shared" si="30"/>
        <v>#N/A</v>
      </c>
      <c r="P80" t="e">
        <f t="shared" si="30"/>
        <v>#N/A</v>
      </c>
      <c r="Q80" t="e">
        <f t="shared" si="30"/>
        <v>#N/A</v>
      </c>
      <c r="R80" t="e">
        <f t="shared" si="30"/>
        <v>#N/A</v>
      </c>
      <c r="S80" t="e">
        <f t="shared" si="30"/>
        <v>#N/A</v>
      </c>
      <c r="T80" t="e">
        <f t="shared" si="30"/>
        <v>#N/A</v>
      </c>
      <c r="U80" t="e">
        <f t="shared" si="30"/>
        <v>#N/A</v>
      </c>
      <c r="V80" t="e">
        <f t="shared" si="30"/>
        <v>#N/A</v>
      </c>
      <c r="W80" t="e">
        <f t="shared" si="30"/>
        <v>#N/A</v>
      </c>
      <c r="X80" t="e">
        <f t="shared" si="30"/>
        <v>#N/A</v>
      </c>
      <c r="Y80" t="e">
        <f t="shared" si="30"/>
        <v>#N/A</v>
      </c>
      <c r="Z80" t="e">
        <f t="shared" si="30"/>
        <v>#N/A</v>
      </c>
      <c r="AA80" t="e">
        <f t="shared" si="30"/>
        <v>#N/A</v>
      </c>
      <c r="AB80" t="e">
        <f t="shared" si="30"/>
        <v>#N/A</v>
      </c>
      <c r="AC80" t="e">
        <f t="shared" si="30"/>
        <v>#N/A</v>
      </c>
      <c r="AD80" t="e">
        <f t="shared" si="30"/>
        <v>#N/A</v>
      </c>
      <c r="AE80" t="e">
        <f t="shared" si="30"/>
        <v>#N/A</v>
      </c>
      <c r="AF80" t="e">
        <f t="shared" si="30"/>
        <v>#N/A</v>
      </c>
      <c r="AG80" t="e">
        <f t="shared" si="30"/>
        <v>#N/A</v>
      </c>
      <c r="AH80" t="e">
        <f t="shared" si="30"/>
        <v>#N/A</v>
      </c>
      <c r="AI80" t="e">
        <f t="shared" si="30"/>
        <v>#N/A</v>
      </c>
      <c r="AJ80" t="e">
        <f t="shared" si="30"/>
        <v>#N/A</v>
      </c>
      <c r="AK80" t="e">
        <f t="shared" si="30"/>
        <v>#N/A</v>
      </c>
      <c r="AL80" t="e">
        <f t="shared" si="30"/>
        <v>#N/A</v>
      </c>
      <c r="AM80" t="e">
        <f t="shared" si="30"/>
        <v>#N/A</v>
      </c>
      <c r="AN80" t="e">
        <f t="shared" si="30"/>
        <v>#N/A</v>
      </c>
      <c r="AO80" t="e">
        <f t="shared" si="30"/>
        <v>#N/A</v>
      </c>
      <c r="AP80" t="e">
        <f t="shared" si="30"/>
        <v>#N/A</v>
      </c>
      <c r="AQ80" t="e">
        <f t="shared" si="30"/>
        <v>#N/A</v>
      </c>
      <c r="AR80" t="e">
        <f t="shared" si="30"/>
        <v>#N/A</v>
      </c>
      <c r="AS80" t="e">
        <f t="shared" si="30"/>
        <v>#N/A</v>
      </c>
      <c r="AT80" t="e">
        <f t="shared" si="30"/>
        <v>#N/A</v>
      </c>
      <c r="AU80" t="e">
        <f t="shared" si="30"/>
        <v>#N/A</v>
      </c>
      <c r="AV80" t="e">
        <f t="shared" si="30"/>
        <v>#N/A</v>
      </c>
      <c r="AW80" t="e">
        <f t="shared" si="30"/>
        <v>#N/A</v>
      </c>
      <c r="AX80" t="e">
        <f t="shared" si="30"/>
        <v>#N/A</v>
      </c>
      <c r="AY80" t="e">
        <f t="shared" si="30"/>
        <v>#N/A</v>
      </c>
      <c r="AZ80" t="e">
        <f t="shared" si="30"/>
        <v>#N/A</v>
      </c>
      <c r="BA80" t="e">
        <f t="shared" si="30"/>
        <v>#N/A</v>
      </c>
      <c r="BB80" t="e">
        <f t="shared" si="30"/>
        <v>#N/A</v>
      </c>
      <c r="BC80" t="e">
        <f t="shared" si="30"/>
        <v>#N/A</v>
      </c>
      <c r="BD80" t="e">
        <f t="shared" si="30"/>
        <v>#N/A</v>
      </c>
      <c r="BE80" t="e">
        <f t="shared" si="30"/>
        <v>#N/A</v>
      </c>
      <c r="BF80" t="e">
        <f t="shared" si="30"/>
        <v>#N/A</v>
      </c>
      <c r="BG80" t="e">
        <f t="shared" si="30"/>
        <v>#N/A</v>
      </c>
      <c r="BH80" t="e">
        <f t="shared" si="30"/>
        <v>#N/A</v>
      </c>
      <c r="BI80" t="e">
        <f t="shared" si="30"/>
        <v>#N/A</v>
      </c>
      <c r="BJ80" t="e">
        <f t="shared" si="30"/>
        <v>#N/A</v>
      </c>
      <c r="BK80" t="e">
        <f t="shared" si="30"/>
        <v>#N/A</v>
      </c>
      <c r="BL80" t="e">
        <f t="shared" si="30"/>
        <v>#N/A</v>
      </c>
      <c r="BM80" t="e">
        <f t="shared" si="30"/>
        <v>#N/A</v>
      </c>
      <c r="BN80" t="e">
        <f t="shared" si="30"/>
        <v>#N/A</v>
      </c>
      <c r="BO80" t="e">
        <f t="shared" si="30"/>
        <v>#N/A</v>
      </c>
      <c r="BP80" t="e">
        <f t="shared" si="30"/>
        <v>#N/A</v>
      </c>
      <c r="BQ80" t="e">
        <f t="shared" si="30"/>
        <v>#N/A</v>
      </c>
      <c r="BR80" t="e">
        <f t="shared" si="30"/>
        <v>#N/A</v>
      </c>
      <c r="BS80" t="e">
        <f t="shared" si="30"/>
        <v>#N/A</v>
      </c>
      <c r="BT80" t="e">
        <f t="shared" si="30"/>
        <v>#N/A</v>
      </c>
      <c r="BU80" t="e">
        <f t="shared" si="30"/>
        <v>#N/A</v>
      </c>
      <c r="BV80" t="e">
        <f t="shared" si="30"/>
        <v>#N/A</v>
      </c>
      <c r="BW80" t="e">
        <f t="shared" si="30"/>
        <v>#N/A</v>
      </c>
      <c r="BX80" t="e">
        <f t="shared" ref="BX80:CI80" si="31">IFERROR(BX68/BW68-1,NA())</f>
        <v>#N/A</v>
      </c>
      <c r="BY80" t="e">
        <f t="shared" si="31"/>
        <v>#N/A</v>
      </c>
      <c r="BZ80" t="e">
        <f t="shared" si="31"/>
        <v>#N/A</v>
      </c>
      <c r="CA80" t="e">
        <f t="shared" si="31"/>
        <v>#N/A</v>
      </c>
      <c r="CB80" t="e">
        <f t="shared" si="31"/>
        <v>#N/A</v>
      </c>
      <c r="CC80" t="e">
        <f t="shared" si="31"/>
        <v>#N/A</v>
      </c>
      <c r="CD80" t="e">
        <f t="shared" si="31"/>
        <v>#N/A</v>
      </c>
      <c r="CE80" t="e">
        <f t="shared" si="31"/>
        <v>#N/A</v>
      </c>
      <c r="CF80" t="e">
        <f t="shared" si="31"/>
        <v>#N/A</v>
      </c>
      <c r="CG80" t="e">
        <f t="shared" si="31"/>
        <v>#N/A</v>
      </c>
      <c r="CH80" t="e">
        <f t="shared" si="31"/>
        <v>#N/A</v>
      </c>
      <c r="CI80" t="e">
        <f t="shared" si="31"/>
        <v>#N/A</v>
      </c>
    </row>
    <row r="81" spans="2:87">
      <c r="B81" t="str">
        <f t="shared" si="28"/>
        <v/>
      </c>
      <c r="D81" s="3" t="e">
        <f>'History and Forecast Chart'!Q22</f>
        <v>#N/A</v>
      </c>
      <c r="E81" s="34" t="str">
        <f t="shared" si="16"/>
        <v/>
      </c>
    </row>
    <row r="82" spans="2:87">
      <c r="B82"/>
      <c r="D82" s="3" t="e">
        <f>'History and Forecast Chart'!Q23</f>
        <v>#N/A</v>
      </c>
      <c r="E82" s="34" t="str">
        <f t="shared" si="16"/>
        <v/>
      </c>
      <c r="K82">
        <f>K8</f>
        <v>1960</v>
      </c>
      <c r="L82">
        <f t="shared" ref="L82:BW82" si="32">L8</f>
        <v>1961</v>
      </c>
      <c r="M82">
        <f t="shared" si="32"/>
        <v>1962</v>
      </c>
      <c r="N82">
        <f t="shared" si="32"/>
        <v>1963</v>
      </c>
      <c r="O82">
        <f t="shared" si="32"/>
        <v>1964</v>
      </c>
      <c r="P82">
        <f t="shared" si="32"/>
        <v>1965</v>
      </c>
      <c r="Q82">
        <f t="shared" si="32"/>
        <v>1966</v>
      </c>
      <c r="R82">
        <f t="shared" si="32"/>
        <v>1967</v>
      </c>
      <c r="S82">
        <f t="shared" si="32"/>
        <v>1968</v>
      </c>
      <c r="T82">
        <f t="shared" si="32"/>
        <v>1969</v>
      </c>
      <c r="U82">
        <f t="shared" si="32"/>
        <v>1970</v>
      </c>
      <c r="V82">
        <f t="shared" si="32"/>
        <v>1971</v>
      </c>
      <c r="W82">
        <f t="shared" si="32"/>
        <v>1972</v>
      </c>
      <c r="X82">
        <f t="shared" si="32"/>
        <v>1973</v>
      </c>
      <c r="Y82">
        <f t="shared" si="32"/>
        <v>1974</v>
      </c>
      <c r="Z82">
        <f t="shared" si="32"/>
        <v>1975</v>
      </c>
      <c r="AA82">
        <f t="shared" si="32"/>
        <v>1976</v>
      </c>
      <c r="AB82">
        <f t="shared" si="32"/>
        <v>1977</v>
      </c>
      <c r="AC82">
        <f t="shared" si="32"/>
        <v>1978</v>
      </c>
      <c r="AD82">
        <f t="shared" si="32"/>
        <v>1979</v>
      </c>
      <c r="AE82">
        <f t="shared" si="32"/>
        <v>1980</v>
      </c>
      <c r="AF82">
        <f t="shared" si="32"/>
        <v>1981</v>
      </c>
      <c r="AG82">
        <f t="shared" si="32"/>
        <v>1982</v>
      </c>
      <c r="AH82">
        <f t="shared" si="32"/>
        <v>1983</v>
      </c>
      <c r="AI82">
        <f t="shared" si="32"/>
        <v>1984</v>
      </c>
      <c r="AJ82">
        <f t="shared" si="32"/>
        <v>1985</v>
      </c>
      <c r="AK82">
        <f t="shared" si="32"/>
        <v>1986</v>
      </c>
      <c r="AL82">
        <f t="shared" si="32"/>
        <v>1987</v>
      </c>
      <c r="AM82">
        <f t="shared" si="32"/>
        <v>1988</v>
      </c>
      <c r="AN82">
        <f t="shared" si="32"/>
        <v>1989</v>
      </c>
      <c r="AO82">
        <f t="shared" si="32"/>
        <v>1990</v>
      </c>
      <c r="AP82">
        <f t="shared" si="32"/>
        <v>1991</v>
      </c>
      <c r="AQ82">
        <f t="shared" si="32"/>
        <v>1992</v>
      </c>
      <c r="AR82">
        <f t="shared" si="32"/>
        <v>1993</v>
      </c>
      <c r="AS82">
        <f t="shared" si="32"/>
        <v>1994</v>
      </c>
      <c r="AT82">
        <f t="shared" si="32"/>
        <v>1995</v>
      </c>
      <c r="AU82">
        <f t="shared" si="32"/>
        <v>1996</v>
      </c>
      <c r="AV82">
        <f t="shared" si="32"/>
        <v>1997</v>
      </c>
      <c r="AW82">
        <f t="shared" si="32"/>
        <v>1998</v>
      </c>
      <c r="AX82">
        <f t="shared" si="32"/>
        <v>1999</v>
      </c>
      <c r="AY82">
        <f t="shared" si="32"/>
        <v>2000</v>
      </c>
      <c r="AZ82">
        <f t="shared" si="32"/>
        <v>2001</v>
      </c>
      <c r="BA82">
        <f t="shared" si="32"/>
        <v>2002</v>
      </c>
      <c r="BB82">
        <f t="shared" si="32"/>
        <v>2003</v>
      </c>
      <c r="BC82">
        <f t="shared" si="32"/>
        <v>2004</v>
      </c>
      <c r="BD82">
        <f t="shared" si="32"/>
        <v>2005</v>
      </c>
      <c r="BE82">
        <f t="shared" si="32"/>
        <v>2006</v>
      </c>
      <c r="BF82">
        <f t="shared" si="32"/>
        <v>2007</v>
      </c>
      <c r="BG82">
        <f t="shared" si="32"/>
        <v>2008</v>
      </c>
      <c r="BH82">
        <f t="shared" si="32"/>
        <v>2009</v>
      </c>
      <c r="BI82">
        <f t="shared" si="32"/>
        <v>2010</v>
      </c>
      <c r="BJ82">
        <f t="shared" si="32"/>
        <v>2011</v>
      </c>
      <c r="BK82">
        <f t="shared" si="32"/>
        <v>2012</v>
      </c>
      <c r="BL82">
        <f t="shared" si="32"/>
        <v>2013</v>
      </c>
      <c r="BM82">
        <f t="shared" si="32"/>
        <v>2014</v>
      </c>
      <c r="BN82">
        <f t="shared" si="32"/>
        <v>2015</v>
      </c>
      <c r="BO82">
        <f t="shared" si="32"/>
        <v>2016</v>
      </c>
      <c r="BP82">
        <f t="shared" si="32"/>
        <v>2017</v>
      </c>
      <c r="BQ82">
        <f t="shared" si="32"/>
        <v>2018</v>
      </c>
      <c r="BR82">
        <f t="shared" si="32"/>
        <v>2019</v>
      </c>
      <c r="BS82">
        <f t="shared" si="32"/>
        <v>2020</v>
      </c>
      <c r="BT82">
        <f t="shared" si="32"/>
        <v>2021</v>
      </c>
      <c r="BU82">
        <f t="shared" si="32"/>
        <v>2022</v>
      </c>
      <c r="BV82">
        <f t="shared" si="32"/>
        <v>2023</v>
      </c>
      <c r="BW82">
        <f t="shared" si="32"/>
        <v>2024</v>
      </c>
      <c r="BX82">
        <f t="shared" ref="BX82:CI82" si="33">BX8</f>
        <v>2025</v>
      </c>
      <c r="BY82">
        <f t="shared" si="33"/>
        <v>2026</v>
      </c>
      <c r="BZ82">
        <f t="shared" si="33"/>
        <v>2027</v>
      </c>
      <c r="CA82">
        <f t="shared" si="33"/>
        <v>2028</v>
      </c>
      <c r="CB82">
        <f t="shared" si="33"/>
        <v>2029</v>
      </c>
      <c r="CC82">
        <f t="shared" si="33"/>
        <v>2030</v>
      </c>
      <c r="CD82">
        <f t="shared" si="33"/>
        <v>2031</v>
      </c>
      <c r="CE82">
        <f t="shared" si="33"/>
        <v>2032</v>
      </c>
      <c r="CF82">
        <f t="shared" si="33"/>
        <v>2033</v>
      </c>
      <c r="CG82">
        <f t="shared" si="33"/>
        <v>2034</v>
      </c>
      <c r="CH82">
        <f t="shared" si="33"/>
        <v>2035</v>
      </c>
      <c r="CI82">
        <f t="shared" si="33"/>
        <v>2036</v>
      </c>
    </row>
    <row r="83" spans="2:87">
      <c r="B83"/>
      <c r="D83" s="3" t="e">
        <f>'History and Forecast Chart'!Q24</f>
        <v>#N/A</v>
      </c>
      <c r="E83" s="34" t="str">
        <f t="shared" si="16"/>
        <v/>
      </c>
      <c r="H83" s="7" t="s">
        <v>1247</v>
      </c>
      <c r="J83">
        <f>C4</f>
        <v>2019</v>
      </c>
      <c r="K83">
        <f>IF(K82&lt;$J$83,1,IF(K82&gt;$J$83,2,3))</f>
        <v>1</v>
      </c>
      <c r="L83">
        <f t="shared" ref="L83:BW83" si="34">IF(L82&lt;$J$83,1,IF(L82&gt;$J$83,2,3))</f>
        <v>1</v>
      </c>
      <c r="M83">
        <f t="shared" si="34"/>
        <v>1</v>
      </c>
      <c r="N83">
        <f t="shared" si="34"/>
        <v>1</v>
      </c>
      <c r="O83">
        <f t="shared" si="34"/>
        <v>1</v>
      </c>
      <c r="P83">
        <f t="shared" si="34"/>
        <v>1</v>
      </c>
      <c r="Q83">
        <f t="shared" si="34"/>
        <v>1</v>
      </c>
      <c r="R83">
        <f t="shared" si="34"/>
        <v>1</v>
      </c>
      <c r="S83">
        <f t="shared" si="34"/>
        <v>1</v>
      </c>
      <c r="T83">
        <f t="shared" si="34"/>
        <v>1</v>
      </c>
      <c r="U83">
        <f t="shared" si="34"/>
        <v>1</v>
      </c>
      <c r="V83">
        <f t="shared" si="34"/>
        <v>1</v>
      </c>
      <c r="W83">
        <f t="shared" si="34"/>
        <v>1</v>
      </c>
      <c r="X83">
        <f t="shared" si="34"/>
        <v>1</v>
      </c>
      <c r="Y83">
        <f t="shared" si="34"/>
        <v>1</v>
      </c>
      <c r="Z83">
        <f t="shared" si="34"/>
        <v>1</v>
      </c>
      <c r="AA83">
        <f t="shared" si="34"/>
        <v>1</v>
      </c>
      <c r="AB83">
        <f t="shared" si="34"/>
        <v>1</v>
      </c>
      <c r="AC83">
        <f t="shared" si="34"/>
        <v>1</v>
      </c>
      <c r="AD83">
        <f t="shared" si="34"/>
        <v>1</v>
      </c>
      <c r="AE83">
        <f t="shared" si="34"/>
        <v>1</v>
      </c>
      <c r="AF83">
        <f t="shared" si="34"/>
        <v>1</v>
      </c>
      <c r="AG83">
        <f t="shared" si="34"/>
        <v>1</v>
      </c>
      <c r="AH83">
        <f t="shared" si="34"/>
        <v>1</v>
      </c>
      <c r="AI83">
        <f t="shared" si="34"/>
        <v>1</v>
      </c>
      <c r="AJ83">
        <f t="shared" si="34"/>
        <v>1</v>
      </c>
      <c r="AK83">
        <f t="shared" si="34"/>
        <v>1</v>
      </c>
      <c r="AL83">
        <f t="shared" si="34"/>
        <v>1</v>
      </c>
      <c r="AM83">
        <f t="shared" si="34"/>
        <v>1</v>
      </c>
      <c r="AN83">
        <f t="shared" si="34"/>
        <v>1</v>
      </c>
      <c r="AO83">
        <f t="shared" si="34"/>
        <v>1</v>
      </c>
      <c r="AP83">
        <f t="shared" si="34"/>
        <v>1</v>
      </c>
      <c r="AQ83">
        <f t="shared" si="34"/>
        <v>1</v>
      </c>
      <c r="AR83">
        <f t="shared" si="34"/>
        <v>1</v>
      </c>
      <c r="AS83">
        <f t="shared" si="34"/>
        <v>1</v>
      </c>
      <c r="AT83">
        <f t="shared" si="34"/>
        <v>1</v>
      </c>
      <c r="AU83">
        <f t="shared" si="34"/>
        <v>1</v>
      </c>
      <c r="AV83">
        <f t="shared" si="34"/>
        <v>1</v>
      </c>
      <c r="AW83">
        <f t="shared" si="34"/>
        <v>1</v>
      </c>
      <c r="AX83">
        <f t="shared" si="34"/>
        <v>1</v>
      </c>
      <c r="AY83">
        <f t="shared" si="34"/>
        <v>1</v>
      </c>
      <c r="AZ83">
        <f t="shared" si="34"/>
        <v>1</v>
      </c>
      <c r="BA83">
        <f t="shared" si="34"/>
        <v>1</v>
      </c>
      <c r="BB83">
        <f t="shared" si="34"/>
        <v>1</v>
      </c>
      <c r="BC83">
        <f t="shared" si="34"/>
        <v>1</v>
      </c>
      <c r="BD83">
        <f t="shared" si="34"/>
        <v>1</v>
      </c>
      <c r="BE83">
        <f t="shared" si="34"/>
        <v>1</v>
      </c>
      <c r="BF83">
        <f t="shared" si="34"/>
        <v>1</v>
      </c>
      <c r="BG83">
        <f t="shared" si="34"/>
        <v>1</v>
      </c>
      <c r="BH83">
        <f t="shared" si="34"/>
        <v>1</v>
      </c>
      <c r="BI83">
        <f t="shared" si="34"/>
        <v>1</v>
      </c>
      <c r="BJ83">
        <f t="shared" si="34"/>
        <v>1</v>
      </c>
      <c r="BK83">
        <f t="shared" si="34"/>
        <v>1</v>
      </c>
      <c r="BL83">
        <f t="shared" si="34"/>
        <v>1</v>
      </c>
      <c r="BM83">
        <f t="shared" si="34"/>
        <v>1</v>
      </c>
      <c r="BN83">
        <f t="shared" si="34"/>
        <v>1</v>
      </c>
      <c r="BO83">
        <f t="shared" si="34"/>
        <v>1</v>
      </c>
      <c r="BP83">
        <f t="shared" si="34"/>
        <v>1</v>
      </c>
      <c r="BQ83">
        <f t="shared" si="34"/>
        <v>1</v>
      </c>
      <c r="BR83">
        <f t="shared" si="34"/>
        <v>3</v>
      </c>
      <c r="BS83">
        <f t="shared" si="34"/>
        <v>2</v>
      </c>
      <c r="BT83">
        <f t="shared" si="34"/>
        <v>2</v>
      </c>
      <c r="BU83">
        <f t="shared" si="34"/>
        <v>2</v>
      </c>
      <c r="BV83">
        <f t="shared" si="34"/>
        <v>2</v>
      </c>
      <c r="BW83">
        <f t="shared" si="34"/>
        <v>2</v>
      </c>
      <c r="BX83">
        <f t="shared" ref="BX83:CI83" si="35">IF(BX82&lt;$J$83,1,IF(BX82&gt;$J$83,2,3))</f>
        <v>2</v>
      </c>
      <c r="BY83">
        <f t="shared" si="35"/>
        <v>2</v>
      </c>
      <c r="BZ83">
        <f t="shared" si="35"/>
        <v>2</v>
      </c>
      <c r="CA83">
        <f t="shared" si="35"/>
        <v>2</v>
      </c>
      <c r="CB83">
        <f t="shared" si="35"/>
        <v>2</v>
      </c>
      <c r="CC83">
        <f t="shared" si="35"/>
        <v>2</v>
      </c>
      <c r="CD83">
        <f t="shared" si="35"/>
        <v>2</v>
      </c>
      <c r="CE83">
        <f t="shared" si="35"/>
        <v>2</v>
      </c>
      <c r="CF83">
        <f t="shared" si="35"/>
        <v>2</v>
      </c>
      <c r="CG83">
        <f t="shared" si="35"/>
        <v>2</v>
      </c>
      <c r="CH83">
        <f t="shared" si="35"/>
        <v>2</v>
      </c>
      <c r="CI83">
        <f t="shared" si="35"/>
        <v>2</v>
      </c>
    </row>
    <row r="84" spans="2:87">
      <c r="B84" t="str">
        <f>MID(C84,2,25)</f>
        <v/>
      </c>
      <c r="D84" s="3" t="e">
        <f>'History and Forecast Chart'!Q25</f>
        <v>#N/A</v>
      </c>
      <c r="E84" s="34" t="str">
        <f t="shared" si="16"/>
        <v/>
      </c>
      <c r="H84" s="7" t="s">
        <v>1246</v>
      </c>
      <c r="I84" t="str">
        <f>I71</f>
        <v>Crude oil, avg</v>
      </c>
      <c r="K84" t="e">
        <f>IFERROR(CHOOSE(K$83,L84*(K59/L59),J84*(K59/J59),1),NA())</f>
        <v>#N/A</v>
      </c>
      <c r="L84" t="e">
        <f>IFERROR(CHOOSE(L$83,M84*(L59/M59),K84*(L59/K59),1),NA())</f>
        <v>#N/A</v>
      </c>
      <c r="M84" t="e">
        <f t="shared" ref="M84:BX84" si="36">IFERROR(CHOOSE(M$83,N84*(M59/N59),L84*(M59/L59),1),NA())</f>
        <v>#N/A</v>
      </c>
      <c r="N84" t="e">
        <f t="shared" si="36"/>
        <v>#N/A</v>
      </c>
      <c r="O84" t="e">
        <f t="shared" si="36"/>
        <v>#N/A</v>
      </c>
      <c r="P84" t="e">
        <f t="shared" si="36"/>
        <v>#N/A</v>
      </c>
      <c r="Q84" t="e">
        <f t="shared" si="36"/>
        <v>#N/A</v>
      </c>
      <c r="R84" t="e">
        <f t="shared" si="36"/>
        <v>#N/A</v>
      </c>
      <c r="S84" t="e">
        <f t="shared" si="36"/>
        <v>#N/A</v>
      </c>
      <c r="T84" t="e">
        <f t="shared" si="36"/>
        <v>#N/A</v>
      </c>
      <c r="U84" t="e">
        <f t="shared" si="36"/>
        <v>#N/A</v>
      </c>
      <c r="V84" t="e">
        <f t="shared" si="36"/>
        <v>#N/A</v>
      </c>
      <c r="W84" t="e">
        <f t="shared" si="36"/>
        <v>#N/A</v>
      </c>
      <c r="X84" t="e">
        <f t="shared" si="36"/>
        <v>#N/A</v>
      </c>
      <c r="Y84" t="e">
        <f t="shared" si="36"/>
        <v>#N/A</v>
      </c>
      <c r="Z84" t="e">
        <f t="shared" si="36"/>
        <v>#N/A</v>
      </c>
      <c r="AA84" t="e">
        <f t="shared" si="36"/>
        <v>#N/A</v>
      </c>
      <c r="AB84" t="e">
        <f t="shared" si="36"/>
        <v>#N/A</v>
      </c>
      <c r="AC84" t="e">
        <f t="shared" si="36"/>
        <v>#N/A</v>
      </c>
      <c r="AD84" t="e">
        <f t="shared" si="36"/>
        <v>#N/A</v>
      </c>
      <c r="AE84" t="e">
        <f t="shared" si="36"/>
        <v>#N/A</v>
      </c>
      <c r="AF84" t="e">
        <f t="shared" si="36"/>
        <v>#N/A</v>
      </c>
      <c r="AG84" t="e">
        <f t="shared" si="36"/>
        <v>#N/A</v>
      </c>
      <c r="AH84" t="e">
        <f t="shared" si="36"/>
        <v>#N/A</v>
      </c>
      <c r="AI84" t="e">
        <f t="shared" si="36"/>
        <v>#N/A</v>
      </c>
      <c r="AJ84" t="e">
        <f t="shared" si="36"/>
        <v>#N/A</v>
      </c>
      <c r="AK84" t="e">
        <f t="shared" si="36"/>
        <v>#N/A</v>
      </c>
      <c r="AL84" t="e">
        <f t="shared" si="36"/>
        <v>#N/A</v>
      </c>
      <c r="AM84" t="e">
        <f t="shared" si="36"/>
        <v>#N/A</v>
      </c>
      <c r="AN84" t="e">
        <f t="shared" si="36"/>
        <v>#N/A</v>
      </c>
      <c r="AO84" t="e">
        <f t="shared" si="36"/>
        <v>#N/A</v>
      </c>
      <c r="AP84" t="e">
        <f t="shared" si="36"/>
        <v>#N/A</v>
      </c>
      <c r="AQ84" t="e">
        <f t="shared" si="36"/>
        <v>#N/A</v>
      </c>
      <c r="AR84" t="e">
        <f t="shared" si="36"/>
        <v>#N/A</v>
      </c>
      <c r="AS84" t="e">
        <f t="shared" si="36"/>
        <v>#N/A</v>
      </c>
      <c r="AT84" t="e">
        <f t="shared" si="36"/>
        <v>#N/A</v>
      </c>
      <c r="AU84" t="e">
        <f t="shared" si="36"/>
        <v>#N/A</v>
      </c>
      <c r="AV84" t="e">
        <f t="shared" si="36"/>
        <v>#N/A</v>
      </c>
      <c r="AW84" t="e">
        <f t="shared" si="36"/>
        <v>#N/A</v>
      </c>
      <c r="AX84" t="e">
        <f t="shared" si="36"/>
        <v>#N/A</v>
      </c>
      <c r="AY84" t="e">
        <f t="shared" si="36"/>
        <v>#N/A</v>
      </c>
      <c r="AZ84" t="e">
        <f t="shared" si="36"/>
        <v>#N/A</v>
      </c>
      <c r="BA84" t="e">
        <f t="shared" si="36"/>
        <v>#N/A</v>
      </c>
      <c r="BB84" t="e">
        <f t="shared" si="36"/>
        <v>#N/A</v>
      </c>
      <c r="BC84" t="e">
        <f t="shared" si="36"/>
        <v>#N/A</v>
      </c>
      <c r="BD84" t="e">
        <f t="shared" si="36"/>
        <v>#N/A</v>
      </c>
      <c r="BE84" t="e">
        <f t="shared" si="36"/>
        <v>#N/A</v>
      </c>
      <c r="BF84" t="e">
        <f t="shared" si="36"/>
        <v>#N/A</v>
      </c>
      <c r="BG84" t="e">
        <f t="shared" si="36"/>
        <v>#N/A</v>
      </c>
      <c r="BH84" t="e">
        <f t="shared" si="36"/>
        <v>#N/A</v>
      </c>
      <c r="BI84" t="e">
        <f t="shared" si="36"/>
        <v>#N/A</v>
      </c>
      <c r="BJ84" t="e">
        <f t="shared" si="36"/>
        <v>#N/A</v>
      </c>
      <c r="BK84" t="e">
        <f t="shared" si="36"/>
        <v>#N/A</v>
      </c>
      <c r="BL84" t="e">
        <f t="shared" si="36"/>
        <v>#N/A</v>
      </c>
      <c r="BM84" t="e">
        <f t="shared" si="36"/>
        <v>#N/A</v>
      </c>
      <c r="BN84" t="e">
        <f t="shared" si="36"/>
        <v>#N/A</v>
      </c>
      <c r="BO84">
        <f t="shared" si="36"/>
        <v>0.71659177424434262</v>
      </c>
      <c r="BP84">
        <f t="shared" si="36"/>
        <v>0.85430408811423586</v>
      </c>
      <c r="BQ84">
        <f t="shared" si="36"/>
        <v>1.0561124328645815</v>
      </c>
      <c r="BR84">
        <f t="shared" si="36"/>
        <v>1</v>
      </c>
      <c r="BS84">
        <f t="shared" si="36"/>
        <v>0.96837878559007584</v>
      </c>
      <c r="BT84">
        <f t="shared" si="36"/>
        <v>0.95950271693746136</v>
      </c>
      <c r="BU84">
        <f t="shared" si="36"/>
        <v>0.94994589304905008</v>
      </c>
      <c r="BV84">
        <f t="shared" si="36"/>
        <v>0.94056725889795978</v>
      </c>
      <c r="BW84">
        <f t="shared" si="36"/>
        <v>0.93128090937695063</v>
      </c>
      <c r="BX84">
        <f t="shared" si="36"/>
        <v>0.92203306502438909</v>
      </c>
      <c r="BY84" t="e">
        <f t="shared" ref="BY84:CI84" si="37">IFERROR(CHOOSE(BY$83,BZ84*(BY59/BZ59),BX84*(BY59/BX59),1),NA())</f>
        <v>#N/A</v>
      </c>
      <c r="BZ84" t="e">
        <f t="shared" si="37"/>
        <v>#N/A</v>
      </c>
      <c r="CA84" t="e">
        <f t="shared" si="37"/>
        <v>#N/A</v>
      </c>
      <c r="CB84" t="e">
        <f t="shared" si="37"/>
        <v>#N/A</v>
      </c>
      <c r="CC84" t="e">
        <f t="shared" si="37"/>
        <v>#N/A</v>
      </c>
      <c r="CD84" t="e">
        <f t="shared" si="37"/>
        <v>#N/A</v>
      </c>
      <c r="CE84" t="e">
        <f t="shared" si="37"/>
        <v>#N/A</v>
      </c>
      <c r="CF84" t="e">
        <f t="shared" si="37"/>
        <v>#N/A</v>
      </c>
      <c r="CG84" t="e">
        <f t="shared" si="37"/>
        <v>#N/A</v>
      </c>
      <c r="CH84" t="e">
        <f t="shared" si="37"/>
        <v>#N/A</v>
      </c>
      <c r="CI84" t="e">
        <f t="shared" si="37"/>
        <v>#N/A</v>
      </c>
    </row>
    <row r="85" spans="2:87">
      <c r="B85"/>
      <c r="D85" s="3" t="e">
        <f>'History and Forecast Chart'!Q26</f>
        <v>#N/A</v>
      </c>
      <c r="E85" s="34" t="str">
        <f t="shared" si="16"/>
        <v/>
      </c>
      <c r="H85" s="7"/>
      <c r="I85" t="str">
        <f t="shared" ref="I85:I93" si="38">I72</f>
        <v>Palm oil</v>
      </c>
      <c r="K85" t="e">
        <f t="shared" ref="K85:K93" si="39">IFERROR(CHOOSE(K$83,L85*(K60/L60),J85*(K60/J60),1),NA())</f>
        <v>#N/A</v>
      </c>
      <c r="L85" t="e">
        <f t="shared" ref="L85:BW85" si="40">IFERROR(CHOOSE(L$83,M85*(L60/M60),K85*(L60/K60),1),NA())</f>
        <v>#N/A</v>
      </c>
      <c r="M85" t="e">
        <f t="shared" si="40"/>
        <v>#N/A</v>
      </c>
      <c r="N85" t="e">
        <f t="shared" si="40"/>
        <v>#N/A</v>
      </c>
      <c r="O85" t="e">
        <f t="shared" si="40"/>
        <v>#N/A</v>
      </c>
      <c r="P85" t="e">
        <f t="shared" si="40"/>
        <v>#N/A</v>
      </c>
      <c r="Q85" t="e">
        <f t="shared" si="40"/>
        <v>#N/A</v>
      </c>
      <c r="R85" t="e">
        <f t="shared" si="40"/>
        <v>#N/A</v>
      </c>
      <c r="S85" t="e">
        <f t="shared" si="40"/>
        <v>#N/A</v>
      </c>
      <c r="T85" t="e">
        <f t="shared" si="40"/>
        <v>#N/A</v>
      </c>
      <c r="U85" t="e">
        <f t="shared" si="40"/>
        <v>#N/A</v>
      </c>
      <c r="V85" t="e">
        <f t="shared" si="40"/>
        <v>#N/A</v>
      </c>
      <c r="W85" t="e">
        <f t="shared" si="40"/>
        <v>#N/A</v>
      </c>
      <c r="X85" t="e">
        <f t="shared" si="40"/>
        <v>#N/A</v>
      </c>
      <c r="Y85" t="e">
        <f t="shared" si="40"/>
        <v>#N/A</v>
      </c>
      <c r="Z85" t="e">
        <f t="shared" si="40"/>
        <v>#N/A</v>
      </c>
      <c r="AA85" t="e">
        <f t="shared" si="40"/>
        <v>#N/A</v>
      </c>
      <c r="AB85" t="e">
        <f t="shared" si="40"/>
        <v>#N/A</v>
      </c>
      <c r="AC85" t="e">
        <f t="shared" si="40"/>
        <v>#N/A</v>
      </c>
      <c r="AD85" t="e">
        <f t="shared" si="40"/>
        <v>#N/A</v>
      </c>
      <c r="AE85" t="e">
        <f t="shared" si="40"/>
        <v>#N/A</v>
      </c>
      <c r="AF85" t="e">
        <f t="shared" si="40"/>
        <v>#N/A</v>
      </c>
      <c r="AG85" t="e">
        <f t="shared" si="40"/>
        <v>#N/A</v>
      </c>
      <c r="AH85" t="e">
        <f t="shared" si="40"/>
        <v>#N/A</v>
      </c>
      <c r="AI85" t="e">
        <f t="shared" si="40"/>
        <v>#N/A</v>
      </c>
      <c r="AJ85" t="e">
        <f t="shared" si="40"/>
        <v>#N/A</v>
      </c>
      <c r="AK85" t="e">
        <f t="shared" si="40"/>
        <v>#N/A</v>
      </c>
      <c r="AL85" t="e">
        <f t="shared" si="40"/>
        <v>#N/A</v>
      </c>
      <c r="AM85" t="e">
        <f t="shared" si="40"/>
        <v>#N/A</v>
      </c>
      <c r="AN85" t="e">
        <f t="shared" si="40"/>
        <v>#N/A</v>
      </c>
      <c r="AO85" t="e">
        <f t="shared" si="40"/>
        <v>#N/A</v>
      </c>
      <c r="AP85" t="e">
        <f t="shared" si="40"/>
        <v>#N/A</v>
      </c>
      <c r="AQ85" t="e">
        <f t="shared" si="40"/>
        <v>#N/A</v>
      </c>
      <c r="AR85" t="e">
        <f t="shared" si="40"/>
        <v>#N/A</v>
      </c>
      <c r="AS85" t="e">
        <f t="shared" si="40"/>
        <v>#N/A</v>
      </c>
      <c r="AT85" t="e">
        <f t="shared" si="40"/>
        <v>#N/A</v>
      </c>
      <c r="AU85" t="e">
        <f t="shared" si="40"/>
        <v>#N/A</v>
      </c>
      <c r="AV85" t="e">
        <f t="shared" si="40"/>
        <v>#N/A</v>
      </c>
      <c r="AW85" t="e">
        <f t="shared" si="40"/>
        <v>#N/A</v>
      </c>
      <c r="AX85" t="e">
        <f t="shared" si="40"/>
        <v>#N/A</v>
      </c>
      <c r="AY85" t="e">
        <f t="shared" si="40"/>
        <v>#N/A</v>
      </c>
      <c r="AZ85" t="e">
        <f t="shared" si="40"/>
        <v>#N/A</v>
      </c>
      <c r="BA85" t="e">
        <f t="shared" si="40"/>
        <v>#N/A</v>
      </c>
      <c r="BB85" t="e">
        <f t="shared" si="40"/>
        <v>#N/A</v>
      </c>
      <c r="BC85" t="e">
        <f t="shared" si="40"/>
        <v>#N/A</v>
      </c>
      <c r="BD85" t="e">
        <f t="shared" si="40"/>
        <v>#N/A</v>
      </c>
      <c r="BE85" t="e">
        <f t="shared" si="40"/>
        <v>#N/A</v>
      </c>
      <c r="BF85" t="e">
        <f t="shared" si="40"/>
        <v>#N/A</v>
      </c>
      <c r="BG85" t="e">
        <f t="shared" si="40"/>
        <v>#N/A</v>
      </c>
      <c r="BH85" t="e">
        <f t="shared" si="40"/>
        <v>#N/A</v>
      </c>
      <c r="BI85" t="e">
        <f t="shared" si="40"/>
        <v>#N/A</v>
      </c>
      <c r="BJ85" t="e">
        <f t="shared" si="40"/>
        <v>#N/A</v>
      </c>
      <c r="BK85" t="e">
        <f t="shared" si="40"/>
        <v>#N/A</v>
      </c>
      <c r="BL85" t="e">
        <f t="shared" si="40"/>
        <v>#N/A</v>
      </c>
      <c r="BM85" t="e">
        <f t="shared" si="40"/>
        <v>#N/A</v>
      </c>
      <c r="BN85" t="e">
        <f t="shared" si="40"/>
        <v>#N/A</v>
      </c>
      <c r="BO85">
        <f t="shared" si="40"/>
        <v>1.3545725618663078</v>
      </c>
      <c r="BP85">
        <f t="shared" si="40"/>
        <v>1.3363239288502942</v>
      </c>
      <c r="BQ85">
        <f t="shared" si="40"/>
        <v>1.0855445635880892</v>
      </c>
      <c r="BR85">
        <f t="shared" si="40"/>
        <v>1</v>
      </c>
      <c r="BS85">
        <f t="shared" si="40"/>
        <v>1.0201972344241528</v>
      </c>
      <c r="BT85">
        <f t="shared" si="40"/>
        <v>1.0410579666894348</v>
      </c>
      <c r="BU85">
        <f t="shared" si="40"/>
        <v>1.0614936500883514</v>
      </c>
      <c r="BV85">
        <f t="shared" si="40"/>
        <v>1.0824260009520481</v>
      </c>
      <c r="BW85">
        <f t="shared" si="40"/>
        <v>1.1037707657490476</v>
      </c>
      <c r="BX85">
        <f t="shared" ref="BX85:CI85" si="41">IFERROR(CHOOSE(BX$83,BY85*(BX60/BY60),BW85*(BX60/BW60),1),NA())</f>
        <v>1.1254715219957887</v>
      </c>
      <c r="BY85" t="e">
        <f t="shared" si="41"/>
        <v>#N/A</v>
      </c>
      <c r="BZ85" t="e">
        <f t="shared" si="41"/>
        <v>#N/A</v>
      </c>
      <c r="CA85" t="e">
        <f t="shared" si="41"/>
        <v>#N/A</v>
      </c>
      <c r="CB85" t="e">
        <f t="shared" si="41"/>
        <v>#N/A</v>
      </c>
      <c r="CC85" t="e">
        <f t="shared" si="41"/>
        <v>#N/A</v>
      </c>
      <c r="CD85" t="e">
        <f t="shared" si="41"/>
        <v>#N/A</v>
      </c>
      <c r="CE85" t="e">
        <f t="shared" si="41"/>
        <v>#N/A</v>
      </c>
      <c r="CF85" t="e">
        <f t="shared" si="41"/>
        <v>#N/A</v>
      </c>
      <c r="CG85" t="e">
        <f t="shared" si="41"/>
        <v>#N/A</v>
      </c>
      <c r="CH85" t="e">
        <f t="shared" si="41"/>
        <v>#N/A</v>
      </c>
      <c r="CI85" t="e">
        <f t="shared" si="41"/>
        <v>#N/A</v>
      </c>
    </row>
    <row r="86" spans="2:87">
      <c r="B86"/>
      <c r="D86" s="3" t="e">
        <f>'History and Forecast Chart'!Q27</f>
        <v>#N/A</v>
      </c>
      <c r="E86" s="34" t="str">
        <f t="shared" si="16"/>
        <v/>
      </c>
      <c r="H86" s="7"/>
      <c r="I86" t="e">
        <f t="shared" si="38"/>
        <v>#N/A</v>
      </c>
      <c r="K86" t="e">
        <f t="shared" si="39"/>
        <v>#N/A</v>
      </c>
      <c r="L86" t="e">
        <f t="shared" ref="L86:BW86" si="42">IFERROR(CHOOSE(L$83,M86*(L61/M61),K86*(L61/K61),1),NA())</f>
        <v>#N/A</v>
      </c>
      <c r="M86" t="e">
        <f t="shared" si="42"/>
        <v>#N/A</v>
      </c>
      <c r="N86" t="e">
        <f t="shared" si="42"/>
        <v>#N/A</v>
      </c>
      <c r="O86" t="e">
        <f t="shared" si="42"/>
        <v>#N/A</v>
      </c>
      <c r="P86" t="e">
        <f t="shared" si="42"/>
        <v>#N/A</v>
      </c>
      <c r="Q86" t="e">
        <f t="shared" si="42"/>
        <v>#N/A</v>
      </c>
      <c r="R86" t="e">
        <f t="shared" si="42"/>
        <v>#N/A</v>
      </c>
      <c r="S86" t="e">
        <f t="shared" si="42"/>
        <v>#N/A</v>
      </c>
      <c r="T86" t="e">
        <f t="shared" si="42"/>
        <v>#N/A</v>
      </c>
      <c r="U86" t="e">
        <f t="shared" si="42"/>
        <v>#N/A</v>
      </c>
      <c r="V86" t="e">
        <f t="shared" si="42"/>
        <v>#N/A</v>
      </c>
      <c r="W86" t="e">
        <f t="shared" si="42"/>
        <v>#N/A</v>
      </c>
      <c r="X86" t="e">
        <f t="shared" si="42"/>
        <v>#N/A</v>
      </c>
      <c r="Y86" t="e">
        <f t="shared" si="42"/>
        <v>#N/A</v>
      </c>
      <c r="Z86" t="e">
        <f t="shared" si="42"/>
        <v>#N/A</v>
      </c>
      <c r="AA86" t="e">
        <f t="shared" si="42"/>
        <v>#N/A</v>
      </c>
      <c r="AB86" t="e">
        <f t="shared" si="42"/>
        <v>#N/A</v>
      </c>
      <c r="AC86" t="e">
        <f t="shared" si="42"/>
        <v>#N/A</v>
      </c>
      <c r="AD86" t="e">
        <f t="shared" si="42"/>
        <v>#N/A</v>
      </c>
      <c r="AE86" t="e">
        <f t="shared" si="42"/>
        <v>#N/A</v>
      </c>
      <c r="AF86" t="e">
        <f t="shared" si="42"/>
        <v>#N/A</v>
      </c>
      <c r="AG86" t="e">
        <f t="shared" si="42"/>
        <v>#N/A</v>
      </c>
      <c r="AH86" t="e">
        <f t="shared" si="42"/>
        <v>#N/A</v>
      </c>
      <c r="AI86" t="e">
        <f t="shared" si="42"/>
        <v>#N/A</v>
      </c>
      <c r="AJ86" t="e">
        <f t="shared" si="42"/>
        <v>#N/A</v>
      </c>
      <c r="AK86" t="e">
        <f t="shared" si="42"/>
        <v>#N/A</v>
      </c>
      <c r="AL86" t="e">
        <f t="shared" si="42"/>
        <v>#N/A</v>
      </c>
      <c r="AM86" t="e">
        <f t="shared" si="42"/>
        <v>#N/A</v>
      </c>
      <c r="AN86" t="e">
        <f t="shared" si="42"/>
        <v>#N/A</v>
      </c>
      <c r="AO86" t="e">
        <f t="shared" si="42"/>
        <v>#N/A</v>
      </c>
      <c r="AP86" t="e">
        <f t="shared" si="42"/>
        <v>#N/A</v>
      </c>
      <c r="AQ86" t="e">
        <f t="shared" si="42"/>
        <v>#N/A</v>
      </c>
      <c r="AR86" t="e">
        <f t="shared" si="42"/>
        <v>#N/A</v>
      </c>
      <c r="AS86" t="e">
        <f t="shared" si="42"/>
        <v>#N/A</v>
      </c>
      <c r="AT86" t="e">
        <f t="shared" si="42"/>
        <v>#N/A</v>
      </c>
      <c r="AU86" t="e">
        <f t="shared" si="42"/>
        <v>#N/A</v>
      </c>
      <c r="AV86" t="e">
        <f t="shared" si="42"/>
        <v>#N/A</v>
      </c>
      <c r="AW86" t="e">
        <f t="shared" si="42"/>
        <v>#N/A</v>
      </c>
      <c r="AX86" t="e">
        <f t="shared" si="42"/>
        <v>#N/A</v>
      </c>
      <c r="AY86" t="e">
        <f t="shared" si="42"/>
        <v>#N/A</v>
      </c>
      <c r="AZ86" t="e">
        <f t="shared" si="42"/>
        <v>#N/A</v>
      </c>
      <c r="BA86" t="e">
        <f t="shared" si="42"/>
        <v>#N/A</v>
      </c>
      <c r="BB86" t="e">
        <f t="shared" si="42"/>
        <v>#N/A</v>
      </c>
      <c r="BC86" t="e">
        <f t="shared" si="42"/>
        <v>#N/A</v>
      </c>
      <c r="BD86" t="e">
        <f t="shared" si="42"/>
        <v>#N/A</v>
      </c>
      <c r="BE86" t="e">
        <f t="shared" si="42"/>
        <v>#N/A</v>
      </c>
      <c r="BF86" t="e">
        <f t="shared" si="42"/>
        <v>#N/A</v>
      </c>
      <c r="BG86" t="e">
        <f t="shared" si="42"/>
        <v>#N/A</v>
      </c>
      <c r="BH86" t="e">
        <f t="shared" si="42"/>
        <v>#N/A</v>
      </c>
      <c r="BI86" t="e">
        <f t="shared" si="42"/>
        <v>#N/A</v>
      </c>
      <c r="BJ86" t="e">
        <f t="shared" si="42"/>
        <v>#N/A</v>
      </c>
      <c r="BK86" t="e">
        <f t="shared" si="42"/>
        <v>#N/A</v>
      </c>
      <c r="BL86" t="e">
        <f t="shared" si="42"/>
        <v>#N/A</v>
      </c>
      <c r="BM86" t="e">
        <f t="shared" si="42"/>
        <v>#N/A</v>
      </c>
      <c r="BN86" t="e">
        <f t="shared" si="42"/>
        <v>#N/A</v>
      </c>
      <c r="BO86" t="e">
        <f t="shared" si="42"/>
        <v>#N/A</v>
      </c>
      <c r="BP86" t="e">
        <f t="shared" si="42"/>
        <v>#N/A</v>
      </c>
      <c r="BQ86" t="e">
        <f t="shared" si="42"/>
        <v>#N/A</v>
      </c>
      <c r="BR86">
        <f t="shared" si="42"/>
        <v>1</v>
      </c>
      <c r="BS86" t="e">
        <f t="shared" si="42"/>
        <v>#N/A</v>
      </c>
      <c r="BT86" t="e">
        <f t="shared" si="42"/>
        <v>#N/A</v>
      </c>
      <c r="BU86" t="e">
        <f t="shared" si="42"/>
        <v>#N/A</v>
      </c>
      <c r="BV86" t="e">
        <f t="shared" si="42"/>
        <v>#N/A</v>
      </c>
      <c r="BW86" t="e">
        <f t="shared" si="42"/>
        <v>#N/A</v>
      </c>
      <c r="BX86" t="e">
        <f t="shared" ref="BX86:CI86" si="43">IFERROR(CHOOSE(BX$83,BY86*(BX61/BY61),BW86*(BX61/BW61),1),NA())</f>
        <v>#N/A</v>
      </c>
      <c r="BY86" t="e">
        <f t="shared" si="43"/>
        <v>#N/A</v>
      </c>
      <c r="BZ86" t="e">
        <f t="shared" si="43"/>
        <v>#N/A</v>
      </c>
      <c r="CA86" t="e">
        <f t="shared" si="43"/>
        <v>#N/A</v>
      </c>
      <c r="CB86" t="e">
        <f t="shared" si="43"/>
        <v>#N/A</v>
      </c>
      <c r="CC86" t="e">
        <f t="shared" si="43"/>
        <v>#N/A</v>
      </c>
      <c r="CD86" t="e">
        <f t="shared" si="43"/>
        <v>#N/A</v>
      </c>
      <c r="CE86" t="e">
        <f t="shared" si="43"/>
        <v>#N/A</v>
      </c>
      <c r="CF86" t="e">
        <f t="shared" si="43"/>
        <v>#N/A</v>
      </c>
      <c r="CG86" t="e">
        <f t="shared" si="43"/>
        <v>#N/A</v>
      </c>
      <c r="CH86" t="e">
        <f t="shared" si="43"/>
        <v>#N/A</v>
      </c>
      <c r="CI86" t="e">
        <f t="shared" si="43"/>
        <v>#N/A</v>
      </c>
    </row>
    <row r="87" spans="2:87">
      <c r="B87"/>
      <c r="D87" s="3" t="e">
        <f>'History and Forecast Chart'!Q28</f>
        <v>#N/A</v>
      </c>
      <c r="E87" s="34" t="str">
        <f t="shared" si="16"/>
        <v/>
      </c>
      <c r="H87" s="7"/>
      <c r="I87" t="e">
        <f t="shared" si="38"/>
        <v>#N/A</v>
      </c>
      <c r="K87" t="e">
        <f t="shared" si="39"/>
        <v>#N/A</v>
      </c>
      <c r="L87" t="e">
        <f t="shared" ref="L87:BW87" si="44">IFERROR(CHOOSE(L$83,M87*(L62/M62),K87*(L62/K62),1),NA())</f>
        <v>#N/A</v>
      </c>
      <c r="M87" t="e">
        <f t="shared" si="44"/>
        <v>#N/A</v>
      </c>
      <c r="N87" t="e">
        <f t="shared" si="44"/>
        <v>#N/A</v>
      </c>
      <c r="O87" t="e">
        <f t="shared" si="44"/>
        <v>#N/A</v>
      </c>
      <c r="P87" t="e">
        <f t="shared" si="44"/>
        <v>#N/A</v>
      </c>
      <c r="Q87" t="e">
        <f t="shared" si="44"/>
        <v>#N/A</v>
      </c>
      <c r="R87" t="e">
        <f t="shared" si="44"/>
        <v>#N/A</v>
      </c>
      <c r="S87" t="e">
        <f t="shared" si="44"/>
        <v>#N/A</v>
      </c>
      <c r="T87" t="e">
        <f t="shared" si="44"/>
        <v>#N/A</v>
      </c>
      <c r="U87" t="e">
        <f t="shared" si="44"/>
        <v>#N/A</v>
      </c>
      <c r="V87" t="e">
        <f t="shared" si="44"/>
        <v>#N/A</v>
      </c>
      <c r="W87" t="e">
        <f t="shared" si="44"/>
        <v>#N/A</v>
      </c>
      <c r="X87" t="e">
        <f t="shared" si="44"/>
        <v>#N/A</v>
      </c>
      <c r="Y87" t="e">
        <f t="shared" si="44"/>
        <v>#N/A</v>
      </c>
      <c r="Z87" t="e">
        <f t="shared" si="44"/>
        <v>#N/A</v>
      </c>
      <c r="AA87" t="e">
        <f t="shared" si="44"/>
        <v>#N/A</v>
      </c>
      <c r="AB87" t="e">
        <f t="shared" si="44"/>
        <v>#N/A</v>
      </c>
      <c r="AC87" t="e">
        <f t="shared" si="44"/>
        <v>#N/A</v>
      </c>
      <c r="AD87" t="e">
        <f t="shared" si="44"/>
        <v>#N/A</v>
      </c>
      <c r="AE87" t="e">
        <f t="shared" si="44"/>
        <v>#N/A</v>
      </c>
      <c r="AF87" t="e">
        <f t="shared" si="44"/>
        <v>#N/A</v>
      </c>
      <c r="AG87" t="e">
        <f t="shared" si="44"/>
        <v>#N/A</v>
      </c>
      <c r="AH87" t="e">
        <f t="shared" si="44"/>
        <v>#N/A</v>
      </c>
      <c r="AI87" t="e">
        <f t="shared" si="44"/>
        <v>#N/A</v>
      </c>
      <c r="AJ87" t="e">
        <f t="shared" si="44"/>
        <v>#N/A</v>
      </c>
      <c r="AK87" t="e">
        <f t="shared" si="44"/>
        <v>#N/A</v>
      </c>
      <c r="AL87" t="e">
        <f t="shared" si="44"/>
        <v>#N/A</v>
      </c>
      <c r="AM87" t="e">
        <f t="shared" si="44"/>
        <v>#N/A</v>
      </c>
      <c r="AN87" t="e">
        <f t="shared" si="44"/>
        <v>#N/A</v>
      </c>
      <c r="AO87" t="e">
        <f t="shared" si="44"/>
        <v>#N/A</v>
      </c>
      <c r="AP87" t="e">
        <f t="shared" si="44"/>
        <v>#N/A</v>
      </c>
      <c r="AQ87" t="e">
        <f t="shared" si="44"/>
        <v>#N/A</v>
      </c>
      <c r="AR87" t="e">
        <f t="shared" si="44"/>
        <v>#N/A</v>
      </c>
      <c r="AS87" t="e">
        <f t="shared" si="44"/>
        <v>#N/A</v>
      </c>
      <c r="AT87" t="e">
        <f t="shared" si="44"/>
        <v>#N/A</v>
      </c>
      <c r="AU87" t="e">
        <f t="shared" si="44"/>
        <v>#N/A</v>
      </c>
      <c r="AV87" t="e">
        <f t="shared" si="44"/>
        <v>#N/A</v>
      </c>
      <c r="AW87" t="e">
        <f t="shared" si="44"/>
        <v>#N/A</v>
      </c>
      <c r="AX87" t="e">
        <f t="shared" si="44"/>
        <v>#N/A</v>
      </c>
      <c r="AY87" t="e">
        <f t="shared" si="44"/>
        <v>#N/A</v>
      </c>
      <c r="AZ87" t="e">
        <f t="shared" si="44"/>
        <v>#N/A</v>
      </c>
      <c r="BA87" t="e">
        <f t="shared" si="44"/>
        <v>#N/A</v>
      </c>
      <c r="BB87" t="e">
        <f t="shared" si="44"/>
        <v>#N/A</v>
      </c>
      <c r="BC87" t="e">
        <f t="shared" si="44"/>
        <v>#N/A</v>
      </c>
      <c r="BD87" t="e">
        <f t="shared" si="44"/>
        <v>#N/A</v>
      </c>
      <c r="BE87" t="e">
        <f t="shared" si="44"/>
        <v>#N/A</v>
      </c>
      <c r="BF87" t="e">
        <f t="shared" si="44"/>
        <v>#N/A</v>
      </c>
      <c r="BG87" t="e">
        <f t="shared" si="44"/>
        <v>#N/A</v>
      </c>
      <c r="BH87" t="e">
        <f t="shared" si="44"/>
        <v>#N/A</v>
      </c>
      <c r="BI87" t="e">
        <f t="shared" si="44"/>
        <v>#N/A</v>
      </c>
      <c r="BJ87" t="e">
        <f t="shared" si="44"/>
        <v>#N/A</v>
      </c>
      <c r="BK87" t="e">
        <f t="shared" si="44"/>
        <v>#N/A</v>
      </c>
      <c r="BL87" t="e">
        <f t="shared" si="44"/>
        <v>#N/A</v>
      </c>
      <c r="BM87" t="e">
        <f t="shared" si="44"/>
        <v>#N/A</v>
      </c>
      <c r="BN87" t="e">
        <f t="shared" si="44"/>
        <v>#N/A</v>
      </c>
      <c r="BO87" t="e">
        <f t="shared" si="44"/>
        <v>#N/A</v>
      </c>
      <c r="BP87" t="e">
        <f t="shared" si="44"/>
        <v>#N/A</v>
      </c>
      <c r="BQ87" t="e">
        <f t="shared" si="44"/>
        <v>#N/A</v>
      </c>
      <c r="BR87">
        <f t="shared" si="44"/>
        <v>1</v>
      </c>
      <c r="BS87" t="e">
        <f t="shared" si="44"/>
        <v>#N/A</v>
      </c>
      <c r="BT87" t="e">
        <f t="shared" si="44"/>
        <v>#N/A</v>
      </c>
      <c r="BU87" t="e">
        <f t="shared" si="44"/>
        <v>#N/A</v>
      </c>
      <c r="BV87" t="e">
        <f t="shared" si="44"/>
        <v>#N/A</v>
      </c>
      <c r="BW87" t="e">
        <f t="shared" si="44"/>
        <v>#N/A</v>
      </c>
      <c r="BX87" t="e">
        <f t="shared" ref="BX87:CI87" si="45">IFERROR(CHOOSE(BX$83,BY87*(BX62/BY62),BW87*(BX62/BW62),1),NA())</f>
        <v>#N/A</v>
      </c>
      <c r="BY87" t="e">
        <f t="shared" si="45"/>
        <v>#N/A</v>
      </c>
      <c r="BZ87" t="e">
        <f t="shared" si="45"/>
        <v>#N/A</v>
      </c>
      <c r="CA87" t="e">
        <f t="shared" si="45"/>
        <v>#N/A</v>
      </c>
      <c r="CB87" t="e">
        <f t="shared" si="45"/>
        <v>#N/A</v>
      </c>
      <c r="CC87" t="e">
        <f t="shared" si="45"/>
        <v>#N/A</v>
      </c>
      <c r="CD87" t="e">
        <f t="shared" si="45"/>
        <v>#N/A</v>
      </c>
      <c r="CE87" t="e">
        <f t="shared" si="45"/>
        <v>#N/A</v>
      </c>
      <c r="CF87" t="e">
        <f t="shared" si="45"/>
        <v>#N/A</v>
      </c>
      <c r="CG87" t="e">
        <f t="shared" si="45"/>
        <v>#N/A</v>
      </c>
      <c r="CH87" t="e">
        <f t="shared" si="45"/>
        <v>#N/A</v>
      </c>
      <c r="CI87" t="e">
        <f t="shared" si="45"/>
        <v>#N/A</v>
      </c>
    </row>
    <row r="88" spans="2:87">
      <c r="B88"/>
      <c r="D88" s="3" t="e">
        <f>'History and Forecast Chart'!Q29</f>
        <v>#N/A</v>
      </c>
      <c r="E88" s="34" t="str">
        <f t="shared" si="16"/>
        <v/>
      </c>
      <c r="H88" s="7"/>
      <c r="I88" t="e">
        <f t="shared" si="38"/>
        <v>#N/A</v>
      </c>
      <c r="K88" t="e">
        <f t="shared" si="39"/>
        <v>#N/A</v>
      </c>
      <c r="L88" t="e">
        <f t="shared" ref="L88:BW88" si="46">IFERROR(CHOOSE(L$83,M88*(L63/M63),K88*(L63/K63),1),NA())</f>
        <v>#N/A</v>
      </c>
      <c r="M88" t="e">
        <f t="shared" si="46"/>
        <v>#N/A</v>
      </c>
      <c r="N88" t="e">
        <f t="shared" si="46"/>
        <v>#N/A</v>
      </c>
      <c r="O88" t="e">
        <f t="shared" si="46"/>
        <v>#N/A</v>
      </c>
      <c r="P88" t="e">
        <f t="shared" si="46"/>
        <v>#N/A</v>
      </c>
      <c r="Q88" t="e">
        <f t="shared" si="46"/>
        <v>#N/A</v>
      </c>
      <c r="R88" t="e">
        <f t="shared" si="46"/>
        <v>#N/A</v>
      </c>
      <c r="S88" t="e">
        <f t="shared" si="46"/>
        <v>#N/A</v>
      </c>
      <c r="T88" t="e">
        <f t="shared" si="46"/>
        <v>#N/A</v>
      </c>
      <c r="U88" t="e">
        <f t="shared" si="46"/>
        <v>#N/A</v>
      </c>
      <c r="V88" t="e">
        <f t="shared" si="46"/>
        <v>#N/A</v>
      </c>
      <c r="W88" t="e">
        <f t="shared" si="46"/>
        <v>#N/A</v>
      </c>
      <c r="X88" t="e">
        <f t="shared" si="46"/>
        <v>#N/A</v>
      </c>
      <c r="Y88" t="e">
        <f t="shared" si="46"/>
        <v>#N/A</v>
      </c>
      <c r="Z88" t="e">
        <f t="shared" si="46"/>
        <v>#N/A</v>
      </c>
      <c r="AA88" t="e">
        <f t="shared" si="46"/>
        <v>#N/A</v>
      </c>
      <c r="AB88" t="e">
        <f t="shared" si="46"/>
        <v>#N/A</v>
      </c>
      <c r="AC88" t="e">
        <f t="shared" si="46"/>
        <v>#N/A</v>
      </c>
      <c r="AD88" t="e">
        <f t="shared" si="46"/>
        <v>#N/A</v>
      </c>
      <c r="AE88" t="e">
        <f t="shared" si="46"/>
        <v>#N/A</v>
      </c>
      <c r="AF88" t="e">
        <f t="shared" si="46"/>
        <v>#N/A</v>
      </c>
      <c r="AG88" t="e">
        <f t="shared" si="46"/>
        <v>#N/A</v>
      </c>
      <c r="AH88" t="e">
        <f t="shared" si="46"/>
        <v>#N/A</v>
      </c>
      <c r="AI88" t="e">
        <f t="shared" si="46"/>
        <v>#N/A</v>
      </c>
      <c r="AJ88" t="e">
        <f t="shared" si="46"/>
        <v>#N/A</v>
      </c>
      <c r="AK88" t="e">
        <f t="shared" si="46"/>
        <v>#N/A</v>
      </c>
      <c r="AL88" t="e">
        <f t="shared" si="46"/>
        <v>#N/A</v>
      </c>
      <c r="AM88" t="e">
        <f t="shared" si="46"/>
        <v>#N/A</v>
      </c>
      <c r="AN88" t="e">
        <f t="shared" si="46"/>
        <v>#N/A</v>
      </c>
      <c r="AO88" t="e">
        <f t="shared" si="46"/>
        <v>#N/A</v>
      </c>
      <c r="AP88" t="e">
        <f t="shared" si="46"/>
        <v>#N/A</v>
      </c>
      <c r="AQ88" t="e">
        <f t="shared" si="46"/>
        <v>#N/A</v>
      </c>
      <c r="AR88" t="e">
        <f t="shared" si="46"/>
        <v>#N/A</v>
      </c>
      <c r="AS88" t="e">
        <f t="shared" si="46"/>
        <v>#N/A</v>
      </c>
      <c r="AT88" t="e">
        <f t="shared" si="46"/>
        <v>#N/A</v>
      </c>
      <c r="AU88" t="e">
        <f t="shared" si="46"/>
        <v>#N/A</v>
      </c>
      <c r="AV88" t="e">
        <f t="shared" si="46"/>
        <v>#N/A</v>
      </c>
      <c r="AW88" t="e">
        <f t="shared" si="46"/>
        <v>#N/A</v>
      </c>
      <c r="AX88" t="e">
        <f t="shared" si="46"/>
        <v>#N/A</v>
      </c>
      <c r="AY88" t="e">
        <f t="shared" si="46"/>
        <v>#N/A</v>
      </c>
      <c r="AZ88" t="e">
        <f t="shared" si="46"/>
        <v>#N/A</v>
      </c>
      <c r="BA88" t="e">
        <f t="shared" si="46"/>
        <v>#N/A</v>
      </c>
      <c r="BB88" t="e">
        <f t="shared" si="46"/>
        <v>#N/A</v>
      </c>
      <c r="BC88" t="e">
        <f t="shared" si="46"/>
        <v>#N/A</v>
      </c>
      <c r="BD88" t="e">
        <f t="shared" si="46"/>
        <v>#N/A</v>
      </c>
      <c r="BE88" t="e">
        <f t="shared" si="46"/>
        <v>#N/A</v>
      </c>
      <c r="BF88" t="e">
        <f t="shared" si="46"/>
        <v>#N/A</v>
      </c>
      <c r="BG88" t="e">
        <f t="shared" si="46"/>
        <v>#N/A</v>
      </c>
      <c r="BH88" t="e">
        <f t="shared" si="46"/>
        <v>#N/A</v>
      </c>
      <c r="BI88" t="e">
        <f t="shared" si="46"/>
        <v>#N/A</v>
      </c>
      <c r="BJ88" t="e">
        <f t="shared" si="46"/>
        <v>#N/A</v>
      </c>
      <c r="BK88" t="e">
        <f t="shared" si="46"/>
        <v>#N/A</v>
      </c>
      <c r="BL88" t="e">
        <f t="shared" si="46"/>
        <v>#N/A</v>
      </c>
      <c r="BM88" t="e">
        <f t="shared" si="46"/>
        <v>#N/A</v>
      </c>
      <c r="BN88" t="e">
        <f t="shared" si="46"/>
        <v>#N/A</v>
      </c>
      <c r="BO88" t="e">
        <f t="shared" si="46"/>
        <v>#N/A</v>
      </c>
      <c r="BP88" t="e">
        <f t="shared" si="46"/>
        <v>#N/A</v>
      </c>
      <c r="BQ88" t="e">
        <f t="shared" si="46"/>
        <v>#N/A</v>
      </c>
      <c r="BR88">
        <f t="shared" si="46"/>
        <v>1</v>
      </c>
      <c r="BS88" t="e">
        <f t="shared" si="46"/>
        <v>#N/A</v>
      </c>
      <c r="BT88" t="e">
        <f t="shared" si="46"/>
        <v>#N/A</v>
      </c>
      <c r="BU88" t="e">
        <f t="shared" si="46"/>
        <v>#N/A</v>
      </c>
      <c r="BV88" t="e">
        <f t="shared" si="46"/>
        <v>#N/A</v>
      </c>
      <c r="BW88" t="e">
        <f t="shared" si="46"/>
        <v>#N/A</v>
      </c>
      <c r="BX88" t="e">
        <f t="shared" ref="BX88:CI88" si="47">IFERROR(CHOOSE(BX$83,BY88*(BX63/BY63),BW88*(BX63/BW63),1),NA())</f>
        <v>#N/A</v>
      </c>
      <c r="BY88" t="e">
        <f t="shared" si="47"/>
        <v>#N/A</v>
      </c>
      <c r="BZ88" t="e">
        <f t="shared" si="47"/>
        <v>#N/A</v>
      </c>
      <c r="CA88" t="e">
        <f t="shared" si="47"/>
        <v>#N/A</v>
      </c>
      <c r="CB88" t="e">
        <f t="shared" si="47"/>
        <v>#N/A</v>
      </c>
      <c r="CC88" t="e">
        <f t="shared" si="47"/>
        <v>#N/A</v>
      </c>
      <c r="CD88" t="e">
        <f t="shared" si="47"/>
        <v>#N/A</v>
      </c>
      <c r="CE88" t="e">
        <f t="shared" si="47"/>
        <v>#N/A</v>
      </c>
      <c r="CF88" t="e">
        <f t="shared" si="47"/>
        <v>#N/A</v>
      </c>
      <c r="CG88" t="e">
        <f t="shared" si="47"/>
        <v>#N/A</v>
      </c>
      <c r="CH88" t="e">
        <f t="shared" si="47"/>
        <v>#N/A</v>
      </c>
      <c r="CI88" t="e">
        <f t="shared" si="47"/>
        <v>#N/A</v>
      </c>
    </row>
    <row r="89" spans="2:87">
      <c r="B89"/>
      <c r="D89" s="3" t="e">
        <f>'History and Forecast Chart'!Q30</f>
        <v>#N/A</v>
      </c>
      <c r="E89" s="34" t="str">
        <f t="shared" si="16"/>
        <v/>
      </c>
      <c r="H89" s="7"/>
      <c r="I89" t="e">
        <f t="shared" si="38"/>
        <v>#N/A</v>
      </c>
      <c r="K89" t="e">
        <f t="shared" si="39"/>
        <v>#N/A</v>
      </c>
      <c r="L89" t="e">
        <f t="shared" ref="L89:BW89" si="48">IFERROR(CHOOSE(L$83,M89*(L64/M64),K89*(L64/K64),1),NA())</f>
        <v>#N/A</v>
      </c>
      <c r="M89" t="e">
        <f t="shared" si="48"/>
        <v>#N/A</v>
      </c>
      <c r="N89" t="e">
        <f t="shared" si="48"/>
        <v>#N/A</v>
      </c>
      <c r="O89" t="e">
        <f t="shared" si="48"/>
        <v>#N/A</v>
      </c>
      <c r="P89" t="e">
        <f t="shared" si="48"/>
        <v>#N/A</v>
      </c>
      <c r="Q89" t="e">
        <f t="shared" si="48"/>
        <v>#N/A</v>
      </c>
      <c r="R89" t="e">
        <f t="shared" si="48"/>
        <v>#N/A</v>
      </c>
      <c r="S89" t="e">
        <f t="shared" si="48"/>
        <v>#N/A</v>
      </c>
      <c r="T89" t="e">
        <f t="shared" si="48"/>
        <v>#N/A</v>
      </c>
      <c r="U89" t="e">
        <f t="shared" si="48"/>
        <v>#N/A</v>
      </c>
      <c r="V89" t="e">
        <f t="shared" si="48"/>
        <v>#N/A</v>
      </c>
      <c r="W89" t="e">
        <f t="shared" si="48"/>
        <v>#N/A</v>
      </c>
      <c r="X89" t="e">
        <f t="shared" si="48"/>
        <v>#N/A</v>
      </c>
      <c r="Y89" t="e">
        <f t="shared" si="48"/>
        <v>#N/A</v>
      </c>
      <c r="Z89" t="e">
        <f t="shared" si="48"/>
        <v>#N/A</v>
      </c>
      <c r="AA89" t="e">
        <f t="shared" si="48"/>
        <v>#N/A</v>
      </c>
      <c r="AB89" t="e">
        <f t="shared" si="48"/>
        <v>#N/A</v>
      </c>
      <c r="AC89" t="e">
        <f t="shared" si="48"/>
        <v>#N/A</v>
      </c>
      <c r="AD89" t="e">
        <f t="shared" si="48"/>
        <v>#N/A</v>
      </c>
      <c r="AE89" t="e">
        <f t="shared" si="48"/>
        <v>#N/A</v>
      </c>
      <c r="AF89" t="e">
        <f t="shared" si="48"/>
        <v>#N/A</v>
      </c>
      <c r="AG89" t="e">
        <f t="shared" si="48"/>
        <v>#N/A</v>
      </c>
      <c r="AH89" t="e">
        <f t="shared" si="48"/>
        <v>#N/A</v>
      </c>
      <c r="AI89" t="e">
        <f t="shared" si="48"/>
        <v>#N/A</v>
      </c>
      <c r="AJ89" t="e">
        <f t="shared" si="48"/>
        <v>#N/A</v>
      </c>
      <c r="AK89" t="e">
        <f t="shared" si="48"/>
        <v>#N/A</v>
      </c>
      <c r="AL89" t="e">
        <f t="shared" si="48"/>
        <v>#N/A</v>
      </c>
      <c r="AM89" t="e">
        <f t="shared" si="48"/>
        <v>#N/A</v>
      </c>
      <c r="AN89" t="e">
        <f t="shared" si="48"/>
        <v>#N/A</v>
      </c>
      <c r="AO89" t="e">
        <f t="shared" si="48"/>
        <v>#N/A</v>
      </c>
      <c r="AP89" t="e">
        <f t="shared" si="48"/>
        <v>#N/A</v>
      </c>
      <c r="AQ89" t="e">
        <f t="shared" si="48"/>
        <v>#N/A</v>
      </c>
      <c r="AR89" t="e">
        <f t="shared" si="48"/>
        <v>#N/A</v>
      </c>
      <c r="AS89" t="e">
        <f t="shared" si="48"/>
        <v>#N/A</v>
      </c>
      <c r="AT89" t="e">
        <f t="shared" si="48"/>
        <v>#N/A</v>
      </c>
      <c r="AU89" t="e">
        <f t="shared" si="48"/>
        <v>#N/A</v>
      </c>
      <c r="AV89" t="e">
        <f t="shared" si="48"/>
        <v>#N/A</v>
      </c>
      <c r="AW89" t="e">
        <f t="shared" si="48"/>
        <v>#N/A</v>
      </c>
      <c r="AX89" t="e">
        <f t="shared" si="48"/>
        <v>#N/A</v>
      </c>
      <c r="AY89" t="e">
        <f t="shared" si="48"/>
        <v>#N/A</v>
      </c>
      <c r="AZ89" t="e">
        <f t="shared" si="48"/>
        <v>#N/A</v>
      </c>
      <c r="BA89" t="e">
        <f t="shared" si="48"/>
        <v>#N/A</v>
      </c>
      <c r="BB89" t="e">
        <f t="shared" si="48"/>
        <v>#N/A</v>
      </c>
      <c r="BC89" t="e">
        <f t="shared" si="48"/>
        <v>#N/A</v>
      </c>
      <c r="BD89" t="e">
        <f t="shared" si="48"/>
        <v>#N/A</v>
      </c>
      <c r="BE89" t="e">
        <f t="shared" si="48"/>
        <v>#N/A</v>
      </c>
      <c r="BF89" t="e">
        <f t="shared" si="48"/>
        <v>#N/A</v>
      </c>
      <c r="BG89" t="e">
        <f t="shared" si="48"/>
        <v>#N/A</v>
      </c>
      <c r="BH89" t="e">
        <f t="shared" si="48"/>
        <v>#N/A</v>
      </c>
      <c r="BI89" t="e">
        <f t="shared" si="48"/>
        <v>#N/A</v>
      </c>
      <c r="BJ89" t="e">
        <f t="shared" si="48"/>
        <v>#N/A</v>
      </c>
      <c r="BK89" t="e">
        <f t="shared" si="48"/>
        <v>#N/A</v>
      </c>
      <c r="BL89" t="e">
        <f t="shared" si="48"/>
        <v>#N/A</v>
      </c>
      <c r="BM89" t="e">
        <f t="shared" si="48"/>
        <v>#N/A</v>
      </c>
      <c r="BN89" t="e">
        <f t="shared" si="48"/>
        <v>#N/A</v>
      </c>
      <c r="BO89" t="e">
        <f t="shared" si="48"/>
        <v>#N/A</v>
      </c>
      <c r="BP89" t="e">
        <f t="shared" si="48"/>
        <v>#N/A</v>
      </c>
      <c r="BQ89" t="e">
        <f t="shared" si="48"/>
        <v>#N/A</v>
      </c>
      <c r="BR89">
        <f t="shared" si="48"/>
        <v>1</v>
      </c>
      <c r="BS89" t="e">
        <f t="shared" si="48"/>
        <v>#N/A</v>
      </c>
      <c r="BT89" t="e">
        <f t="shared" si="48"/>
        <v>#N/A</v>
      </c>
      <c r="BU89" t="e">
        <f t="shared" si="48"/>
        <v>#N/A</v>
      </c>
      <c r="BV89" t="e">
        <f t="shared" si="48"/>
        <v>#N/A</v>
      </c>
      <c r="BW89" t="e">
        <f t="shared" si="48"/>
        <v>#N/A</v>
      </c>
      <c r="BX89" t="e">
        <f t="shared" ref="BX89:CI89" si="49">IFERROR(CHOOSE(BX$83,BY89*(BX64/BY64),BW89*(BX64/BW64),1),NA())</f>
        <v>#N/A</v>
      </c>
      <c r="BY89" t="e">
        <f t="shared" si="49"/>
        <v>#N/A</v>
      </c>
      <c r="BZ89" t="e">
        <f t="shared" si="49"/>
        <v>#N/A</v>
      </c>
      <c r="CA89" t="e">
        <f t="shared" si="49"/>
        <v>#N/A</v>
      </c>
      <c r="CB89" t="e">
        <f t="shared" si="49"/>
        <v>#N/A</v>
      </c>
      <c r="CC89" t="e">
        <f t="shared" si="49"/>
        <v>#N/A</v>
      </c>
      <c r="CD89" t="e">
        <f t="shared" si="49"/>
        <v>#N/A</v>
      </c>
      <c r="CE89" t="e">
        <f t="shared" si="49"/>
        <v>#N/A</v>
      </c>
      <c r="CF89" t="e">
        <f t="shared" si="49"/>
        <v>#N/A</v>
      </c>
      <c r="CG89" t="e">
        <f t="shared" si="49"/>
        <v>#N/A</v>
      </c>
      <c r="CH89" t="e">
        <f t="shared" si="49"/>
        <v>#N/A</v>
      </c>
      <c r="CI89" t="e">
        <f t="shared" si="49"/>
        <v>#N/A</v>
      </c>
    </row>
    <row r="90" spans="2:87">
      <c r="B90"/>
      <c r="D90" s="3" t="e">
        <f>'History and Forecast Chart'!Q31</f>
        <v>#N/A</v>
      </c>
      <c r="E90" s="34" t="str">
        <f t="shared" si="16"/>
        <v/>
      </c>
      <c r="H90" s="7"/>
      <c r="I90" t="e">
        <f t="shared" si="38"/>
        <v>#N/A</v>
      </c>
      <c r="K90" t="e">
        <f t="shared" si="39"/>
        <v>#N/A</v>
      </c>
      <c r="L90" t="e">
        <f t="shared" ref="L90:BW90" si="50">IFERROR(CHOOSE(L$83,M90*(L65/M65),K90*(L65/K65),1),NA())</f>
        <v>#N/A</v>
      </c>
      <c r="M90" t="e">
        <f t="shared" si="50"/>
        <v>#N/A</v>
      </c>
      <c r="N90" t="e">
        <f t="shared" si="50"/>
        <v>#N/A</v>
      </c>
      <c r="O90" t="e">
        <f t="shared" si="50"/>
        <v>#N/A</v>
      </c>
      <c r="P90" t="e">
        <f t="shared" si="50"/>
        <v>#N/A</v>
      </c>
      <c r="Q90" t="e">
        <f t="shared" si="50"/>
        <v>#N/A</v>
      </c>
      <c r="R90" t="e">
        <f t="shared" si="50"/>
        <v>#N/A</v>
      </c>
      <c r="S90" t="e">
        <f t="shared" si="50"/>
        <v>#N/A</v>
      </c>
      <c r="T90" t="e">
        <f t="shared" si="50"/>
        <v>#N/A</v>
      </c>
      <c r="U90" t="e">
        <f t="shared" si="50"/>
        <v>#N/A</v>
      </c>
      <c r="V90" t="e">
        <f t="shared" si="50"/>
        <v>#N/A</v>
      </c>
      <c r="W90" t="e">
        <f t="shared" si="50"/>
        <v>#N/A</v>
      </c>
      <c r="X90" t="e">
        <f t="shared" si="50"/>
        <v>#N/A</v>
      </c>
      <c r="Y90" t="e">
        <f t="shared" si="50"/>
        <v>#N/A</v>
      </c>
      <c r="Z90" t="e">
        <f t="shared" si="50"/>
        <v>#N/A</v>
      </c>
      <c r="AA90" t="e">
        <f t="shared" si="50"/>
        <v>#N/A</v>
      </c>
      <c r="AB90" t="e">
        <f t="shared" si="50"/>
        <v>#N/A</v>
      </c>
      <c r="AC90" t="e">
        <f t="shared" si="50"/>
        <v>#N/A</v>
      </c>
      <c r="AD90" t="e">
        <f t="shared" si="50"/>
        <v>#N/A</v>
      </c>
      <c r="AE90" t="e">
        <f t="shared" si="50"/>
        <v>#N/A</v>
      </c>
      <c r="AF90" t="e">
        <f t="shared" si="50"/>
        <v>#N/A</v>
      </c>
      <c r="AG90" t="e">
        <f t="shared" si="50"/>
        <v>#N/A</v>
      </c>
      <c r="AH90" t="e">
        <f t="shared" si="50"/>
        <v>#N/A</v>
      </c>
      <c r="AI90" t="e">
        <f t="shared" si="50"/>
        <v>#N/A</v>
      </c>
      <c r="AJ90" t="e">
        <f t="shared" si="50"/>
        <v>#N/A</v>
      </c>
      <c r="AK90" t="e">
        <f t="shared" si="50"/>
        <v>#N/A</v>
      </c>
      <c r="AL90" t="e">
        <f t="shared" si="50"/>
        <v>#N/A</v>
      </c>
      <c r="AM90" t="e">
        <f t="shared" si="50"/>
        <v>#N/A</v>
      </c>
      <c r="AN90" t="e">
        <f t="shared" si="50"/>
        <v>#N/A</v>
      </c>
      <c r="AO90" t="e">
        <f t="shared" si="50"/>
        <v>#N/A</v>
      </c>
      <c r="AP90" t="e">
        <f t="shared" si="50"/>
        <v>#N/A</v>
      </c>
      <c r="AQ90" t="e">
        <f t="shared" si="50"/>
        <v>#N/A</v>
      </c>
      <c r="AR90" t="e">
        <f t="shared" si="50"/>
        <v>#N/A</v>
      </c>
      <c r="AS90" t="e">
        <f t="shared" si="50"/>
        <v>#N/A</v>
      </c>
      <c r="AT90" t="e">
        <f t="shared" si="50"/>
        <v>#N/A</v>
      </c>
      <c r="AU90" t="e">
        <f t="shared" si="50"/>
        <v>#N/A</v>
      </c>
      <c r="AV90" t="e">
        <f t="shared" si="50"/>
        <v>#N/A</v>
      </c>
      <c r="AW90" t="e">
        <f t="shared" si="50"/>
        <v>#N/A</v>
      </c>
      <c r="AX90" t="e">
        <f t="shared" si="50"/>
        <v>#N/A</v>
      </c>
      <c r="AY90" t="e">
        <f t="shared" si="50"/>
        <v>#N/A</v>
      </c>
      <c r="AZ90" t="e">
        <f t="shared" si="50"/>
        <v>#N/A</v>
      </c>
      <c r="BA90" t="e">
        <f t="shared" si="50"/>
        <v>#N/A</v>
      </c>
      <c r="BB90" t="e">
        <f t="shared" si="50"/>
        <v>#N/A</v>
      </c>
      <c r="BC90" t="e">
        <f t="shared" si="50"/>
        <v>#N/A</v>
      </c>
      <c r="BD90" t="e">
        <f t="shared" si="50"/>
        <v>#N/A</v>
      </c>
      <c r="BE90" t="e">
        <f t="shared" si="50"/>
        <v>#N/A</v>
      </c>
      <c r="BF90" t="e">
        <f t="shared" si="50"/>
        <v>#N/A</v>
      </c>
      <c r="BG90" t="e">
        <f t="shared" si="50"/>
        <v>#N/A</v>
      </c>
      <c r="BH90" t="e">
        <f t="shared" si="50"/>
        <v>#N/A</v>
      </c>
      <c r="BI90" t="e">
        <f t="shared" si="50"/>
        <v>#N/A</v>
      </c>
      <c r="BJ90" t="e">
        <f t="shared" si="50"/>
        <v>#N/A</v>
      </c>
      <c r="BK90" t="e">
        <f t="shared" si="50"/>
        <v>#N/A</v>
      </c>
      <c r="BL90" t="e">
        <f t="shared" si="50"/>
        <v>#N/A</v>
      </c>
      <c r="BM90" t="e">
        <f t="shared" si="50"/>
        <v>#N/A</v>
      </c>
      <c r="BN90" t="e">
        <f t="shared" si="50"/>
        <v>#N/A</v>
      </c>
      <c r="BO90" t="e">
        <f t="shared" si="50"/>
        <v>#N/A</v>
      </c>
      <c r="BP90" t="e">
        <f t="shared" si="50"/>
        <v>#N/A</v>
      </c>
      <c r="BQ90" t="e">
        <f t="shared" si="50"/>
        <v>#N/A</v>
      </c>
      <c r="BR90">
        <f t="shared" si="50"/>
        <v>1</v>
      </c>
      <c r="BS90" t="e">
        <f t="shared" si="50"/>
        <v>#N/A</v>
      </c>
      <c r="BT90" t="e">
        <f t="shared" si="50"/>
        <v>#N/A</v>
      </c>
      <c r="BU90" t="e">
        <f t="shared" si="50"/>
        <v>#N/A</v>
      </c>
      <c r="BV90" t="e">
        <f t="shared" si="50"/>
        <v>#N/A</v>
      </c>
      <c r="BW90" t="e">
        <f t="shared" si="50"/>
        <v>#N/A</v>
      </c>
      <c r="BX90" t="e">
        <f t="shared" ref="BX90:CI90" si="51">IFERROR(CHOOSE(BX$83,BY90*(BX65/BY65),BW90*(BX65/BW65),1),NA())</f>
        <v>#N/A</v>
      </c>
      <c r="BY90" t="e">
        <f t="shared" si="51"/>
        <v>#N/A</v>
      </c>
      <c r="BZ90" t="e">
        <f t="shared" si="51"/>
        <v>#N/A</v>
      </c>
      <c r="CA90" t="e">
        <f t="shared" si="51"/>
        <v>#N/A</v>
      </c>
      <c r="CB90" t="e">
        <f t="shared" si="51"/>
        <v>#N/A</v>
      </c>
      <c r="CC90" t="e">
        <f t="shared" si="51"/>
        <v>#N/A</v>
      </c>
      <c r="CD90" t="e">
        <f t="shared" si="51"/>
        <v>#N/A</v>
      </c>
      <c r="CE90" t="e">
        <f t="shared" si="51"/>
        <v>#N/A</v>
      </c>
      <c r="CF90" t="e">
        <f t="shared" si="51"/>
        <v>#N/A</v>
      </c>
      <c r="CG90" t="e">
        <f t="shared" si="51"/>
        <v>#N/A</v>
      </c>
      <c r="CH90" t="e">
        <f t="shared" si="51"/>
        <v>#N/A</v>
      </c>
      <c r="CI90" t="e">
        <f t="shared" si="51"/>
        <v>#N/A</v>
      </c>
    </row>
    <row r="91" spans="2:87">
      <c r="B91"/>
      <c r="D91" s="3" t="e">
        <f>'History and Forecast Chart'!Q32</f>
        <v>#N/A</v>
      </c>
      <c r="E91" s="34" t="str">
        <f t="shared" si="16"/>
        <v/>
      </c>
      <c r="H91" s="7"/>
      <c r="I91" t="e">
        <f t="shared" si="38"/>
        <v>#N/A</v>
      </c>
      <c r="K91" t="e">
        <f t="shared" si="39"/>
        <v>#N/A</v>
      </c>
      <c r="L91" t="e">
        <f t="shared" ref="L91:BW91" si="52">IFERROR(CHOOSE(L$83,M91*(L66/M66),K91*(L66/K66),1),NA())</f>
        <v>#N/A</v>
      </c>
      <c r="M91" t="e">
        <f t="shared" si="52"/>
        <v>#N/A</v>
      </c>
      <c r="N91" t="e">
        <f t="shared" si="52"/>
        <v>#N/A</v>
      </c>
      <c r="O91" t="e">
        <f t="shared" si="52"/>
        <v>#N/A</v>
      </c>
      <c r="P91" t="e">
        <f t="shared" si="52"/>
        <v>#N/A</v>
      </c>
      <c r="Q91" t="e">
        <f t="shared" si="52"/>
        <v>#N/A</v>
      </c>
      <c r="R91" t="e">
        <f t="shared" si="52"/>
        <v>#N/A</v>
      </c>
      <c r="S91" t="e">
        <f t="shared" si="52"/>
        <v>#N/A</v>
      </c>
      <c r="T91" t="e">
        <f t="shared" si="52"/>
        <v>#N/A</v>
      </c>
      <c r="U91" t="e">
        <f t="shared" si="52"/>
        <v>#N/A</v>
      </c>
      <c r="V91" t="e">
        <f t="shared" si="52"/>
        <v>#N/A</v>
      </c>
      <c r="W91" t="e">
        <f t="shared" si="52"/>
        <v>#N/A</v>
      </c>
      <c r="X91" t="e">
        <f t="shared" si="52"/>
        <v>#N/A</v>
      </c>
      <c r="Y91" t="e">
        <f t="shared" si="52"/>
        <v>#N/A</v>
      </c>
      <c r="Z91" t="e">
        <f t="shared" si="52"/>
        <v>#N/A</v>
      </c>
      <c r="AA91" t="e">
        <f t="shared" si="52"/>
        <v>#N/A</v>
      </c>
      <c r="AB91" t="e">
        <f t="shared" si="52"/>
        <v>#N/A</v>
      </c>
      <c r="AC91" t="e">
        <f t="shared" si="52"/>
        <v>#N/A</v>
      </c>
      <c r="AD91" t="e">
        <f t="shared" si="52"/>
        <v>#N/A</v>
      </c>
      <c r="AE91" t="e">
        <f t="shared" si="52"/>
        <v>#N/A</v>
      </c>
      <c r="AF91" t="e">
        <f t="shared" si="52"/>
        <v>#N/A</v>
      </c>
      <c r="AG91" t="e">
        <f t="shared" si="52"/>
        <v>#N/A</v>
      </c>
      <c r="AH91" t="e">
        <f t="shared" si="52"/>
        <v>#N/A</v>
      </c>
      <c r="AI91" t="e">
        <f t="shared" si="52"/>
        <v>#N/A</v>
      </c>
      <c r="AJ91" t="e">
        <f t="shared" si="52"/>
        <v>#N/A</v>
      </c>
      <c r="AK91" t="e">
        <f t="shared" si="52"/>
        <v>#N/A</v>
      </c>
      <c r="AL91" t="e">
        <f t="shared" si="52"/>
        <v>#N/A</v>
      </c>
      <c r="AM91" t="e">
        <f t="shared" si="52"/>
        <v>#N/A</v>
      </c>
      <c r="AN91" t="e">
        <f t="shared" si="52"/>
        <v>#N/A</v>
      </c>
      <c r="AO91" t="e">
        <f t="shared" si="52"/>
        <v>#N/A</v>
      </c>
      <c r="AP91" t="e">
        <f t="shared" si="52"/>
        <v>#N/A</v>
      </c>
      <c r="AQ91" t="e">
        <f t="shared" si="52"/>
        <v>#N/A</v>
      </c>
      <c r="AR91" t="e">
        <f t="shared" si="52"/>
        <v>#N/A</v>
      </c>
      <c r="AS91" t="e">
        <f t="shared" si="52"/>
        <v>#N/A</v>
      </c>
      <c r="AT91" t="e">
        <f t="shared" si="52"/>
        <v>#N/A</v>
      </c>
      <c r="AU91" t="e">
        <f t="shared" si="52"/>
        <v>#N/A</v>
      </c>
      <c r="AV91" t="e">
        <f t="shared" si="52"/>
        <v>#N/A</v>
      </c>
      <c r="AW91" t="e">
        <f t="shared" si="52"/>
        <v>#N/A</v>
      </c>
      <c r="AX91" t="e">
        <f t="shared" si="52"/>
        <v>#N/A</v>
      </c>
      <c r="AY91" t="e">
        <f t="shared" si="52"/>
        <v>#N/A</v>
      </c>
      <c r="AZ91" t="e">
        <f t="shared" si="52"/>
        <v>#N/A</v>
      </c>
      <c r="BA91" t="e">
        <f t="shared" si="52"/>
        <v>#N/A</v>
      </c>
      <c r="BB91" t="e">
        <f t="shared" si="52"/>
        <v>#N/A</v>
      </c>
      <c r="BC91" t="e">
        <f t="shared" si="52"/>
        <v>#N/A</v>
      </c>
      <c r="BD91" t="e">
        <f t="shared" si="52"/>
        <v>#N/A</v>
      </c>
      <c r="BE91" t="e">
        <f t="shared" si="52"/>
        <v>#N/A</v>
      </c>
      <c r="BF91" t="e">
        <f t="shared" si="52"/>
        <v>#N/A</v>
      </c>
      <c r="BG91" t="e">
        <f t="shared" si="52"/>
        <v>#N/A</v>
      </c>
      <c r="BH91" t="e">
        <f t="shared" si="52"/>
        <v>#N/A</v>
      </c>
      <c r="BI91" t="e">
        <f t="shared" si="52"/>
        <v>#N/A</v>
      </c>
      <c r="BJ91" t="e">
        <f t="shared" si="52"/>
        <v>#N/A</v>
      </c>
      <c r="BK91" t="e">
        <f t="shared" si="52"/>
        <v>#N/A</v>
      </c>
      <c r="BL91" t="e">
        <f t="shared" si="52"/>
        <v>#N/A</v>
      </c>
      <c r="BM91" t="e">
        <f t="shared" si="52"/>
        <v>#N/A</v>
      </c>
      <c r="BN91" t="e">
        <f t="shared" si="52"/>
        <v>#N/A</v>
      </c>
      <c r="BO91" t="e">
        <f t="shared" si="52"/>
        <v>#N/A</v>
      </c>
      <c r="BP91" t="e">
        <f t="shared" si="52"/>
        <v>#N/A</v>
      </c>
      <c r="BQ91" t="e">
        <f t="shared" si="52"/>
        <v>#N/A</v>
      </c>
      <c r="BR91">
        <f t="shared" si="52"/>
        <v>1</v>
      </c>
      <c r="BS91" t="e">
        <f t="shared" si="52"/>
        <v>#N/A</v>
      </c>
      <c r="BT91" t="e">
        <f t="shared" si="52"/>
        <v>#N/A</v>
      </c>
      <c r="BU91" t="e">
        <f t="shared" si="52"/>
        <v>#N/A</v>
      </c>
      <c r="BV91" t="e">
        <f t="shared" si="52"/>
        <v>#N/A</v>
      </c>
      <c r="BW91" t="e">
        <f t="shared" si="52"/>
        <v>#N/A</v>
      </c>
      <c r="BX91" t="e">
        <f t="shared" ref="BX91:CI91" si="53">IFERROR(CHOOSE(BX$83,BY91*(BX66/BY66),BW91*(BX66/BW66),1),NA())</f>
        <v>#N/A</v>
      </c>
      <c r="BY91" t="e">
        <f t="shared" si="53"/>
        <v>#N/A</v>
      </c>
      <c r="BZ91" t="e">
        <f t="shared" si="53"/>
        <v>#N/A</v>
      </c>
      <c r="CA91" t="e">
        <f t="shared" si="53"/>
        <v>#N/A</v>
      </c>
      <c r="CB91" t="e">
        <f t="shared" si="53"/>
        <v>#N/A</v>
      </c>
      <c r="CC91" t="e">
        <f t="shared" si="53"/>
        <v>#N/A</v>
      </c>
      <c r="CD91" t="e">
        <f t="shared" si="53"/>
        <v>#N/A</v>
      </c>
      <c r="CE91" t="e">
        <f t="shared" si="53"/>
        <v>#N/A</v>
      </c>
      <c r="CF91" t="e">
        <f t="shared" si="53"/>
        <v>#N/A</v>
      </c>
      <c r="CG91" t="e">
        <f t="shared" si="53"/>
        <v>#N/A</v>
      </c>
      <c r="CH91" t="e">
        <f t="shared" si="53"/>
        <v>#N/A</v>
      </c>
      <c r="CI91" t="e">
        <f t="shared" si="53"/>
        <v>#N/A</v>
      </c>
    </row>
    <row r="92" spans="2:87">
      <c r="B92"/>
      <c r="E92" s="34">
        <f t="shared" si="16"/>
        <v>0</v>
      </c>
      <c r="H92" s="7"/>
      <c r="I92" t="e">
        <f t="shared" si="38"/>
        <v>#N/A</v>
      </c>
      <c r="K92" t="e">
        <f t="shared" si="39"/>
        <v>#N/A</v>
      </c>
      <c r="L92" t="e">
        <f t="shared" ref="L92:BW92" si="54">IFERROR(CHOOSE(L$83,M92*(L67/M67),K92*(L67/K67),1),NA())</f>
        <v>#N/A</v>
      </c>
      <c r="M92" t="e">
        <f t="shared" si="54"/>
        <v>#N/A</v>
      </c>
      <c r="N92" t="e">
        <f t="shared" si="54"/>
        <v>#N/A</v>
      </c>
      <c r="O92" t="e">
        <f t="shared" si="54"/>
        <v>#N/A</v>
      </c>
      <c r="P92" t="e">
        <f t="shared" si="54"/>
        <v>#N/A</v>
      </c>
      <c r="Q92" t="e">
        <f t="shared" si="54"/>
        <v>#N/A</v>
      </c>
      <c r="R92" t="e">
        <f t="shared" si="54"/>
        <v>#N/A</v>
      </c>
      <c r="S92" t="e">
        <f t="shared" si="54"/>
        <v>#N/A</v>
      </c>
      <c r="T92" t="e">
        <f t="shared" si="54"/>
        <v>#N/A</v>
      </c>
      <c r="U92" t="e">
        <f t="shared" si="54"/>
        <v>#N/A</v>
      </c>
      <c r="V92" t="e">
        <f t="shared" si="54"/>
        <v>#N/A</v>
      </c>
      <c r="W92" t="e">
        <f t="shared" si="54"/>
        <v>#N/A</v>
      </c>
      <c r="X92" t="e">
        <f t="shared" si="54"/>
        <v>#N/A</v>
      </c>
      <c r="Y92" t="e">
        <f t="shared" si="54"/>
        <v>#N/A</v>
      </c>
      <c r="Z92" t="e">
        <f t="shared" si="54"/>
        <v>#N/A</v>
      </c>
      <c r="AA92" t="e">
        <f t="shared" si="54"/>
        <v>#N/A</v>
      </c>
      <c r="AB92" t="e">
        <f t="shared" si="54"/>
        <v>#N/A</v>
      </c>
      <c r="AC92" t="e">
        <f t="shared" si="54"/>
        <v>#N/A</v>
      </c>
      <c r="AD92" t="e">
        <f t="shared" si="54"/>
        <v>#N/A</v>
      </c>
      <c r="AE92" t="e">
        <f t="shared" si="54"/>
        <v>#N/A</v>
      </c>
      <c r="AF92" t="e">
        <f t="shared" si="54"/>
        <v>#N/A</v>
      </c>
      <c r="AG92" t="e">
        <f t="shared" si="54"/>
        <v>#N/A</v>
      </c>
      <c r="AH92" t="e">
        <f t="shared" si="54"/>
        <v>#N/A</v>
      </c>
      <c r="AI92" t="e">
        <f t="shared" si="54"/>
        <v>#N/A</v>
      </c>
      <c r="AJ92" t="e">
        <f t="shared" si="54"/>
        <v>#N/A</v>
      </c>
      <c r="AK92" t="e">
        <f t="shared" si="54"/>
        <v>#N/A</v>
      </c>
      <c r="AL92" t="e">
        <f t="shared" si="54"/>
        <v>#N/A</v>
      </c>
      <c r="AM92" t="e">
        <f t="shared" si="54"/>
        <v>#N/A</v>
      </c>
      <c r="AN92" t="e">
        <f t="shared" si="54"/>
        <v>#N/A</v>
      </c>
      <c r="AO92" t="e">
        <f t="shared" si="54"/>
        <v>#N/A</v>
      </c>
      <c r="AP92" t="e">
        <f t="shared" si="54"/>
        <v>#N/A</v>
      </c>
      <c r="AQ92" t="e">
        <f t="shared" si="54"/>
        <v>#N/A</v>
      </c>
      <c r="AR92" t="e">
        <f t="shared" si="54"/>
        <v>#N/A</v>
      </c>
      <c r="AS92" t="e">
        <f t="shared" si="54"/>
        <v>#N/A</v>
      </c>
      <c r="AT92" t="e">
        <f t="shared" si="54"/>
        <v>#N/A</v>
      </c>
      <c r="AU92" t="e">
        <f t="shared" si="54"/>
        <v>#N/A</v>
      </c>
      <c r="AV92" t="e">
        <f t="shared" si="54"/>
        <v>#N/A</v>
      </c>
      <c r="AW92" t="e">
        <f t="shared" si="54"/>
        <v>#N/A</v>
      </c>
      <c r="AX92" t="e">
        <f t="shared" si="54"/>
        <v>#N/A</v>
      </c>
      <c r="AY92" t="e">
        <f t="shared" si="54"/>
        <v>#N/A</v>
      </c>
      <c r="AZ92" t="e">
        <f t="shared" si="54"/>
        <v>#N/A</v>
      </c>
      <c r="BA92" t="e">
        <f t="shared" si="54"/>
        <v>#N/A</v>
      </c>
      <c r="BB92" t="e">
        <f t="shared" si="54"/>
        <v>#N/A</v>
      </c>
      <c r="BC92" t="e">
        <f t="shared" si="54"/>
        <v>#N/A</v>
      </c>
      <c r="BD92" t="e">
        <f t="shared" si="54"/>
        <v>#N/A</v>
      </c>
      <c r="BE92" t="e">
        <f t="shared" si="54"/>
        <v>#N/A</v>
      </c>
      <c r="BF92" t="e">
        <f t="shared" si="54"/>
        <v>#N/A</v>
      </c>
      <c r="BG92" t="e">
        <f t="shared" si="54"/>
        <v>#N/A</v>
      </c>
      <c r="BH92" t="e">
        <f t="shared" si="54"/>
        <v>#N/A</v>
      </c>
      <c r="BI92" t="e">
        <f t="shared" si="54"/>
        <v>#N/A</v>
      </c>
      <c r="BJ92" t="e">
        <f t="shared" si="54"/>
        <v>#N/A</v>
      </c>
      <c r="BK92" t="e">
        <f t="shared" si="54"/>
        <v>#N/A</v>
      </c>
      <c r="BL92" t="e">
        <f t="shared" si="54"/>
        <v>#N/A</v>
      </c>
      <c r="BM92" t="e">
        <f t="shared" si="54"/>
        <v>#N/A</v>
      </c>
      <c r="BN92" t="e">
        <f t="shared" si="54"/>
        <v>#N/A</v>
      </c>
      <c r="BO92" t="e">
        <f t="shared" si="54"/>
        <v>#N/A</v>
      </c>
      <c r="BP92" t="e">
        <f t="shared" si="54"/>
        <v>#N/A</v>
      </c>
      <c r="BQ92" t="e">
        <f t="shared" si="54"/>
        <v>#N/A</v>
      </c>
      <c r="BR92">
        <f t="shared" si="54"/>
        <v>1</v>
      </c>
      <c r="BS92" t="e">
        <f t="shared" si="54"/>
        <v>#N/A</v>
      </c>
      <c r="BT92" t="e">
        <f t="shared" si="54"/>
        <v>#N/A</v>
      </c>
      <c r="BU92" t="e">
        <f t="shared" si="54"/>
        <v>#N/A</v>
      </c>
      <c r="BV92" t="e">
        <f t="shared" si="54"/>
        <v>#N/A</v>
      </c>
      <c r="BW92" t="e">
        <f t="shared" si="54"/>
        <v>#N/A</v>
      </c>
      <c r="BX92" t="e">
        <f t="shared" ref="BX92:CI92" si="55">IFERROR(CHOOSE(BX$83,BY92*(BX67/BY67),BW92*(BX67/BW67),1),NA())</f>
        <v>#N/A</v>
      </c>
      <c r="BY92" t="e">
        <f t="shared" si="55"/>
        <v>#N/A</v>
      </c>
      <c r="BZ92" t="e">
        <f t="shared" si="55"/>
        <v>#N/A</v>
      </c>
      <c r="CA92" t="e">
        <f t="shared" si="55"/>
        <v>#N/A</v>
      </c>
      <c r="CB92" t="e">
        <f t="shared" si="55"/>
        <v>#N/A</v>
      </c>
      <c r="CC92" t="e">
        <f t="shared" si="55"/>
        <v>#N/A</v>
      </c>
      <c r="CD92" t="e">
        <f t="shared" si="55"/>
        <v>#N/A</v>
      </c>
      <c r="CE92" t="e">
        <f t="shared" si="55"/>
        <v>#N/A</v>
      </c>
      <c r="CF92" t="e">
        <f t="shared" si="55"/>
        <v>#N/A</v>
      </c>
      <c r="CG92" t="e">
        <f t="shared" si="55"/>
        <v>#N/A</v>
      </c>
      <c r="CH92" t="e">
        <f t="shared" si="55"/>
        <v>#N/A</v>
      </c>
      <c r="CI92" t="e">
        <f t="shared" si="55"/>
        <v>#N/A</v>
      </c>
    </row>
    <row r="93" spans="2:87">
      <c r="B93"/>
      <c r="E93" s="34">
        <f t="shared" si="16"/>
        <v>0</v>
      </c>
      <c r="H93" s="7"/>
      <c r="I93" t="e">
        <f t="shared" si="38"/>
        <v>#N/A</v>
      </c>
      <c r="K93" t="e">
        <f t="shared" si="39"/>
        <v>#N/A</v>
      </c>
      <c r="L93" t="e">
        <f t="shared" ref="L93:BW93" si="56">IFERROR(CHOOSE(L$83,M93*(L68/M68),K93*(L68/K68),1),NA())</f>
        <v>#N/A</v>
      </c>
      <c r="M93" t="e">
        <f t="shared" si="56"/>
        <v>#N/A</v>
      </c>
      <c r="N93" t="e">
        <f t="shared" si="56"/>
        <v>#N/A</v>
      </c>
      <c r="O93" t="e">
        <f t="shared" si="56"/>
        <v>#N/A</v>
      </c>
      <c r="P93" t="e">
        <f t="shared" si="56"/>
        <v>#N/A</v>
      </c>
      <c r="Q93" t="e">
        <f t="shared" si="56"/>
        <v>#N/A</v>
      </c>
      <c r="R93" t="e">
        <f t="shared" si="56"/>
        <v>#N/A</v>
      </c>
      <c r="S93" t="e">
        <f t="shared" si="56"/>
        <v>#N/A</v>
      </c>
      <c r="T93" t="e">
        <f t="shared" si="56"/>
        <v>#N/A</v>
      </c>
      <c r="U93" t="e">
        <f t="shared" si="56"/>
        <v>#N/A</v>
      </c>
      <c r="V93" t="e">
        <f t="shared" si="56"/>
        <v>#N/A</v>
      </c>
      <c r="W93" t="e">
        <f t="shared" si="56"/>
        <v>#N/A</v>
      </c>
      <c r="X93" t="e">
        <f t="shared" si="56"/>
        <v>#N/A</v>
      </c>
      <c r="Y93" t="e">
        <f t="shared" si="56"/>
        <v>#N/A</v>
      </c>
      <c r="Z93" t="e">
        <f t="shared" si="56"/>
        <v>#N/A</v>
      </c>
      <c r="AA93" t="e">
        <f t="shared" si="56"/>
        <v>#N/A</v>
      </c>
      <c r="AB93" t="e">
        <f t="shared" si="56"/>
        <v>#N/A</v>
      </c>
      <c r="AC93" t="e">
        <f t="shared" si="56"/>
        <v>#N/A</v>
      </c>
      <c r="AD93" t="e">
        <f t="shared" si="56"/>
        <v>#N/A</v>
      </c>
      <c r="AE93" t="e">
        <f t="shared" si="56"/>
        <v>#N/A</v>
      </c>
      <c r="AF93" t="e">
        <f t="shared" si="56"/>
        <v>#N/A</v>
      </c>
      <c r="AG93" t="e">
        <f t="shared" si="56"/>
        <v>#N/A</v>
      </c>
      <c r="AH93" t="e">
        <f t="shared" si="56"/>
        <v>#N/A</v>
      </c>
      <c r="AI93" t="e">
        <f t="shared" si="56"/>
        <v>#N/A</v>
      </c>
      <c r="AJ93" t="e">
        <f t="shared" si="56"/>
        <v>#N/A</v>
      </c>
      <c r="AK93" t="e">
        <f t="shared" si="56"/>
        <v>#N/A</v>
      </c>
      <c r="AL93" t="e">
        <f t="shared" si="56"/>
        <v>#N/A</v>
      </c>
      <c r="AM93" t="e">
        <f t="shared" si="56"/>
        <v>#N/A</v>
      </c>
      <c r="AN93" t="e">
        <f t="shared" si="56"/>
        <v>#N/A</v>
      </c>
      <c r="AO93" t="e">
        <f t="shared" si="56"/>
        <v>#N/A</v>
      </c>
      <c r="AP93" t="e">
        <f t="shared" si="56"/>
        <v>#N/A</v>
      </c>
      <c r="AQ93" t="e">
        <f t="shared" si="56"/>
        <v>#N/A</v>
      </c>
      <c r="AR93" t="e">
        <f t="shared" si="56"/>
        <v>#N/A</v>
      </c>
      <c r="AS93" t="e">
        <f t="shared" si="56"/>
        <v>#N/A</v>
      </c>
      <c r="AT93" t="e">
        <f t="shared" si="56"/>
        <v>#N/A</v>
      </c>
      <c r="AU93" t="e">
        <f t="shared" si="56"/>
        <v>#N/A</v>
      </c>
      <c r="AV93" t="e">
        <f t="shared" si="56"/>
        <v>#N/A</v>
      </c>
      <c r="AW93" t="e">
        <f t="shared" si="56"/>
        <v>#N/A</v>
      </c>
      <c r="AX93" t="e">
        <f t="shared" si="56"/>
        <v>#N/A</v>
      </c>
      <c r="AY93" t="e">
        <f t="shared" si="56"/>
        <v>#N/A</v>
      </c>
      <c r="AZ93" t="e">
        <f t="shared" si="56"/>
        <v>#N/A</v>
      </c>
      <c r="BA93" t="e">
        <f t="shared" si="56"/>
        <v>#N/A</v>
      </c>
      <c r="BB93" t="e">
        <f t="shared" si="56"/>
        <v>#N/A</v>
      </c>
      <c r="BC93" t="e">
        <f t="shared" si="56"/>
        <v>#N/A</v>
      </c>
      <c r="BD93" t="e">
        <f t="shared" si="56"/>
        <v>#N/A</v>
      </c>
      <c r="BE93" t="e">
        <f t="shared" si="56"/>
        <v>#N/A</v>
      </c>
      <c r="BF93" t="e">
        <f t="shared" si="56"/>
        <v>#N/A</v>
      </c>
      <c r="BG93" t="e">
        <f t="shared" si="56"/>
        <v>#N/A</v>
      </c>
      <c r="BH93" t="e">
        <f t="shared" si="56"/>
        <v>#N/A</v>
      </c>
      <c r="BI93" t="e">
        <f t="shared" si="56"/>
        <v>#N/A</v>
      </c>
      <c r="BJ93" t="e">
        <f t="shared" si="56"/>
        <v>#N/A</v>
      </c>
      <c r="BK93" t="e">
        <f t="shared" si="56"/>
        <v>#N/A</v>
      </c>
      <c r="BL93" t="e">
        <f t="shared" si="56"/>
        <v>#N/A</v>
      </c>
      <c r="BM93" t="e">
        <f t="shared" si="56"/>
        <v>#N/A</v>
      </c>
      <c r="BN93" t="e">
        <f t="shared" si="56"/>
        <v>#N/A</v>
      </c>
      <c r="BO93" t="e">
        <f t="shared" si="56"/>
        <v>#N/A</v>
      </c>
      <c r="BP93" t="e">
        <f t="shared" si="56"/>
        <v>#N/A</v>
      </c>
      <c r="BQ93" t="e">
        <f t="shared" si="56"/>
        <v>#N/A</v>
      </c>
      <c r="BR93">
        <f t="shared" si="56"/>
        <v>1</v>
      </c>
      <c r="BS93" t="e">
        <f t="shared" si="56"/>
        <v>#N/A</v>
      </c>
      <c r="BT93" t="e">
        <f t="shared" si="56"/>
        <v>#N/A</v>
      </c>
      <c r="BU93" t="e">
        <f t="shared" si="56"/>
        <v>#N/A</v>
      </c>
      <c r="BV93" t="e">
        <f t="shared" si="56"/>
        <v>#N/A</v>
      </c>
      <c r="BW93" t="e">
        <f t="shared" si="56"/>
        <v>#N/A</v>
      </c>
      <c r="BX93" t="e">
        <f t="shared" ref="BX93:CI93" si="57">IFERROR(CHOOSE(BX$83,BY93*(BX68/BY68),BW93*(BX68/BW68),1),NA())</f>
        <v>#N/A</v>
      </c>
      <c r="BY93" t="e">
        <f t="shared" si="57"/>
        <v>#N/A</v>
      </c>
      <c r="BZ93" t="e">
        <f t="shared" si="57"/>
        <v>#N/A</v>
      </c>
      <c r="CA93" t="e">
        <f t="shared" si="57"/>
        <v>#N/A</v>
      </c>
      <c r="CB93" t="e">
        <f t="shared" si="57"/>
        <v>#N/A</v>
      </c>
      <c r="CC93" t="e">
        <f t="shared" si="57"/>
        <v>#N/A</v>
      </c>
      <c r="CD93" t="e">
        <f t="shared" si="57"/>
        <v>#N/A</v>
      </c>
      <c r="CE93" t="e">
        <f t="shared" si="57"/>
        <v>#N/A</v>
      </c>
      <c r="CF93" t="e">
        <f t="shared" si="57"/>
        <v>#N/A</v>
      </c>
      <c r="CG93" t="e">
        <f t="shared" si="57"/>
        <v>#N/A</v>
      </c>
      <c r="CH93" t="e">
        <f t="shared" si="57"/>
        <v>#N/A</v>
      </c>
      <c r="CI93" t="e">
        <f t="shared" si="57"/>
        <v>#N/A</v>
      </c>
    </row>
    <row r="94" spans="2:87">
      <c r="B94"/>
      <c r="E94" s="34"/>
      <c r="H94" s="7"/>
    </row>
    <row r="95" spans="2:87">
      <c r="B95"/>
      <c r="E95" s="34"/>
      <c r="G95" s="7" t="s">
        <v>1252</v>
      </c>
      <c r="H95" s="7"/>
    </row>
    <row r="96" spans="2:87">
      <c r="B96"/>
      <c r="E96" s="34"/>
      <c r="G96">
        <f>C2</f>
        <v>1996</v>
      </c>
      <c r="H96" s="7">
        <f>C3</f>
        <v>2027</v>
      </c>
      <c r="J96">
        <f>B68</f>
        <v>1</v>
      </c>
      <c r="K96" t="b">
        <f>AND(K82&gt;=$G$96,K82&lt;=$H$96)</f>
        <v>0</v>
      </c>
      <c r="L96" t="b">
        <f t="shared" ref="L96:BW96" si="58">AND(L82&gt;=$G$96,L82&lt;=$H$96)</f>
        <v>0</v>
      </c>
      <c r="M96" t="b">
        <f t="shared" si="58"/>
        <v>0</v>
      </c>
      <c r="N96" t="b">
        <f t="shared" si="58"/>
        <v>0</v>
      </c>
      <c r="O96" t="b">
        <f t="shared" si="58"/>
        <v>0</v>
      </c>
      <c r="P96" t="b">
        <f t="shared" si="58"/>
        <v>0</v>
      </c>
      <c r="Q96" t="b">
        <f t="shared" si="58"/>
        <v>0</v>
      </c>
      <c r="R96" t="b">
        <f t="shared" si="58"/>
        <v>0</v>
      </c>
      <c r="S96" t="b">
        <f t="shared" si="58"/>
        <v>0</v>
      </c>
      <c r="T96" t="b">
        <f t="shared" si="58"/>
        <v>0</v>
      </c>
      <c r="U96" t="b">
        <f t="shared" si="58"/>
        <v>0</v>
      </c>
      <c r="V96" t="b">
        <f t="shared" si="58"/>
        <v>0</v>
      </c>
      <c r="W96" t="b">
        <f t="shared" si="58"/>
        <v>0</v>
      </c>
      <c r="X96" t="b">
        <f t="shared" si="58"/>
        <v>0</v>
      </c>
      <c r="Y96" t="b">
        <f t="shared" si="58"/>
        <v>0</v>
      </c>
      <c r="Z96" t="b">
        <f t="shared" si="58"/>
        <v>0</v>
      </c>
      <c r="AA96" t="b">
        <f t="shared" si="58"/>
        <v>0</v>
      </c>
      <c r="AB96" t="b">
        <f t="shared" si="58"/>
        <v>0</v>
      </c>
      <c r="AC96" t="b">
        <f t="shared" si="58"/>
        <v>0</v>
      </c>
      <c r="AD96" t="b">
        <f t="shared" si="58"/>
        <v>0</v>
      </c>
      <c r="AE96" t="b">
        <f t="shared" si="58"/>
        <v>0</v>
      </c>
      <c r="AF96" t="b">
        <f t="shared" si="58"/>
        <v>0</v>
      </c>
      <c r="AG96" t="b">
        <f t="shared" si="58"/>
        <v>0</v>
      </c>
      <c r="AH96" t="b">
        <f t="shared" si="58"/>
        <v>0</v>
      </c>
      <c r="AI96" t="b">
        <f t="shared" si="58"/>
        <v>0</v>
      </c>
      <c r="AJ96" t="b">
        <f t="shared" si="58"/>
        <v>0</v>
      </c>
      <c r="AK96" t="b">
        <f t="shared" si="58"/>
        <v>0</v>
      </c>
      <c r="AL96" t="b">
        <f t="shared" si="58"/>
        <v>0</v>
      </c>
      <c r="AM96" t="b">
        <f t="shared" si="58"/>
        <v>0</v>
      </c>
      <c r="AN96" t="b">
        <f t="shared" si="58"/>
        <v>0</v>
      </c>
      <c r="AO96" t="b">
        <f t="shared" si="58"/>
        <v>0</v>
      </c>
      <c r="AP96" t="b">
        <f t="shared" si="58"/>
        <v>0</v>
      </c>
      <c r="AQ96" t="b">
        <f t="shared" si="58"/>
        <v>0</v>
      </c>
      <c r="AR96" t="b">
        <f t="shared" si="58"/>
        <v>0</v>
      </c>
      <c r="AS96" t="b">
        <f t="shared" si="58"/>
        <v>0</v>
      </c>
      <c r="AT96" t="b">
        <f t="shared" si="58"/>
        <v>0</v>
      </c>
      <c r="AU96" t="b">
        <f t="shared" si="58"/>
        <v>1</v>
      </c>
      <c r="AV96" t="b">
        <f t="shared" si="58"/>
        <v>1</v>
      </c>
      <c r="AW96" t="b">
        <f t="shared" si="58"/>
        <v>1</v>
      </c>
      <c r="AX96" t="b">
        <f t="shared" si="58"/>
        <v>1</v>
      </c>
      <c r="AY96" t="b">
        <f t="shared" si="58"/>
        <v>1</v>
      </c>
      <c r="AZ96" t="b">
        <f t="shared" si="58"/>
        <v>1</v>
      </c>
      <c r="BA96" t="b">
        <f t="shared" si="58"/>
        <v>1</v>
      </c>
      <c r="BB96" t="b">
        <f t="shared" si="58"/>
        <v>1</v>
      </c>
      <c r="BC96" t="b">
        <f t="shared" si="58"/>
        <v>1</v>
      </c>
      <c r="BD96" t="b">
        <f t="shared" si="58"/>
        <v>1</v>
      </c>
      <c r="BE96" t="b">
        <f t="shared" si="58"/>
        <v>1</v>
      </c>
      <c r="BF96" t="b">
        <f t="shared" si="58"/>
        <v>1</v>
      </c>
      <c r="BG96" t="b">
        <f t="shared" si="58"/>
        <v>1</v>
      </c>
      <c r="BH96" t="b">
        <f t="shared" si="58"/>
        <v>1</v>
      </c>
      <c r="BI96" t="b">
        <f t="shared" si="58"/>
        <v>1</v>
      </c>
      <c r="BJ96" t="b">
        <f t="shared" si="58"/>
        <v>1</v>
      </c>
      <c r="BK96" t="b">
        <f t="shared" si="58"/>
        <v>1</v>
      </c>
      <c r="BL96" t="b">
        <f t="shared" si="58"/>
        <v>1</v>
      </c>
      <c r="BM96" t="b">
        <f t="shared" si="58"/>
        <v>1</v>
      </c>
      <c r="BN96" t="b">
        <f t="shared" si="58"/>
        <v>1</v>
      </c>
      <c r="BO96" t="b">
        <f t="shared" si="58"/>
        <v>1</v>
      </c>
      <c r="BP96" t="b">
        <f t="shared" si="58"/>
        <v>1</v>
      </c>
      <c r="BQ96" t="b">
        <f t="shared" si="58"/>
        <v>1</v>
      </c>
      <c r="BR96" t="b">
        <f t="shared" si="58"/>
        <v>1</v>
      </c>
      <c r="BS96" t="b">
        <f t="shared" si="58"/>
        <v>1</v>
      </c>
      <c r="BT96" t="b">
        <f t="shared" si="58"/>
        <v>1</v>
      </c>
      <c r="BU96" t="b">
        <f t="shared" si="58"/>
        <v>1</v>
      </c>
      <c r="BV96" t="b">
        <f t="shared" si="58"/>
        <v>1</v>
      </c>
      <c r="BW96" t="b">
        <f t="shared" si="58"/>
        <v>1</v>
      </c>
      <c r="BX96" t="b">
        <f t="shared" ref="BX96:CI96" si="59">AND(BX82&gt;=$G$96,BX82&lt;=$H$96)</f>
        <v>1</v>
      </c>
      <c r="BY96" t="b">
        <f t="shared" si="59"/>
        <v>1</v>
      </c>
      <c r="BZ96" t="b">
        <f t="shared" si="59"/>
        <v>1</v>
      </c>
      <c r="CA96" t="b">
        <f t="shared" si="59"/>
        <v>0</v>
      </c>
      <c r="CB96" t="b">
        <f t="shared" si="59"/>
        <v>0</v>
      </c>
      <c r="CC96" t="b">
        <f t="shared" si="59"/>
        <v>0</v>
      </c>
      <c r="CD96" t="b">
        <f t="shared" si="59"/>
        <v>0</v>
      </c>
      <c r="CE96" t="b">
        <f t="shared" si="59"/>
        <v>0</v>
      </c>
      <c r="CF96" t="b">
        <f t="shared" si="59"/>
        <v>0</v>
      </c>
      <c r="CG96" t="b">
        <f t="shared" si="59"/>
        <v>0</v>
      </c>
      <c r="CH96" t="b">
        <f t="shared" si="59"/>
        <v>0</v>
      </c>
      <c r="CI96" t="b">
        <f t="shared" si="59"/>
        <v>0</v>
      </c>
    </row>
    <row r="97" spans="2:87">
      <c r="B97"/>
      <c r="E97" s="34"/>
      <c r="H97" s="7"/>
      <c r="K97" t="e">
        <f>IF(K96,K82,NA())</f>
        <v>#N/A</v>
      </c>
      <c r="L97" t="e">
        <f t="shared" ref="L97:BW97" si="60">IF(L96,L82,NA())</f>
        <v>#N/A</v>
      </c>
      <c r="M97" t="e">
        <f t="shared" si="60"/>
        <v>#N/A</v>
      </c>
      <c r="N97" t="e">
        <f t="shared" si="60"/>
        <v>#N/A</v>
      </c>
      <c r="O97" t="e">
        <f t="shared" si="60"/>
        <v>#N/A</v>
      </c>
      <c r="P97" t="e">
        <f t="shared" si="60"/>
        <v>#N/A</v>
      </c>
      <c r="Q97" t="e">
        <f t="shared" si="60"/>
        <v>#N/A</v>
      </c>
      <c r="R97" t="e">
        <f t="shared" si="60"/>
        <v>#N/A</v>
      </c>
      <c r="S97" t="e">
        <f t="shared" si="60"/>
        <v>#N/A</v>
      </c>
      <c r="T97" t="e">
        <f t="shared" si="60"/>
        <v>#N/A</v>
      </c>
      <c r="U97" t="e">
        <f t="shared" si="60"/>
        <v>#N/A</v>
      </c>
      <c r="V97" t="e">
        <f t="shared" si="60"/>
        <v>#N/A</v>
      </c>
      <c r="W97" t="e">
        <f t="shared" si="60"/>
        <v>#N/A</v>
      </c>
      <c r="X97" t="e">
        <f t="shared" si="60"/>
        <v>#N/A</v>
      </c>
      <c r="Y97" t="e">
        <f t="shared" si="60"/>
        <v>#N/A</v>
      </c>
      <c r="Z97" t="e">
        <f t="shared" si="60"/>
        <v>#N/A</v>
      </c>
      <c r="AA97" t="e">
        <f t="shared" si="60"/>
        <v>#N/A</v>
      </c>
      <c r="AB97" t="e">
        <f t="shared" si="60"/>
        <v>#N/A</v>
      </c>
      <c r="AC97" t="e">
        <f t="shared" si="60"/>
        <v>#N/A</v>
      </c>
      <c r="AD97" t="e">
        <f t="shared" si="60"/>
        <v>#N/A</v>
      </c>
      <c r="AE97" t="e">
        <f t="shared" si="60"/>
        <v>#N/A</v>
      </c>
      <c r="AF97" t="e">
        <f t="shared" si="60"/>
        <v>#N/A</v>
      </c>
      <c r="AG97" t="e">
        <f t="shared" si="60"/>
        <v>#N/A</v>
      </c>
      <c r="AH97" t="e">
        <f t="shared" si="60"/>
        <v>#N/A</v>
      </c>
      <c r="AI97" t="e">
        <f t="shared" si="60"/>
        <v>#N/A</v>
      </c>
      <c r="AJ97" t="e">
        <f t="shared" si="60"/>
        <v>#N/A</v>
      </c>
      <c r="AK97" t="e">
        <f t="shared" si="60"/>
        <v>#N/A</v>
      </c>
      <c r="AL97" t="e">
        <f t="shared" si="60"/>
        <v>#N/A</v>
      </c>
      <c r="AM97" t="e">
        <f t="shared" si="60"/>
        <v>#N/A</v>
      </c>
      <c r="AN97" t="e">
        <f t="shared" si="60"/>
        <v>#N/A</v>
      </c>
      <c r="AO97" t="e">
        <f t="shared" si="60"/>
        <v>#N/A</v>
      </c>
      <c r="AP97" t="e">
        <f t="shared" si="60"/>
        <v>#N/A</v>
      </c>
      <c r="AQ97" t="e">
        <f t="shared" si="60"/>
        <v>#N/A</v>
      </c>
      <c r="AR97" t="e">
        <f t="shared" si="60"/>
        <v>#N/A</v>
      </c>
      <c r="AS97" t="e">
        <f t="shared" si="60"/>
        <v>#N/A</v>
      </c>
      <c r="AT97" t="e">
        <f t="shared" si="60"/>
        <v>#N/A</v>
      </c>
      <c r="AU97">
        <f t="shared" si="60"/>
        <v>1996</v>
      </c>
      <c r="AV97">
        <f t="shared" si="60"/>
        <v>1997</v>
      </c>
      <c r="AW97">
        <f t="shared" si="60"/>
        <v>1998</v>
      </c>
      <c r="AX97">
        <f t="shared" si="60"/>
        <v>1999</v>
      </c>
      <c r="AY97">
        <f t="shared" si="60"/>
        <v>2000</v>
      </c>
      <c r="AZ97">
        <f t="shared" si="60"/>
        <v>2001</v>
      </c>
      <c r="BA97">
        <f t="shared" si="60"/>
        <v>2002</v>
      </c>
      <c r="BB97">
        <f t="shared" si="60"/>
        <v>2003</v>
      </c>
      <c r="BC97">
        <f t="shared" si="60"/>
        <v>2004</v>
      </c>
      <c r="BD97">
        <f t="shared" si="60"/>
        <v>2005</v>
      </c>
      <c r="BE97">
        <f t="shared" si="60"/>
        <v>2006</v>
      </c>
      <c r="BF97">
        <f t="shared" si="60"/>
        <v>2007</v>
      </c>
      <c r="BG97">
        <f t="shared" si="60"/>
        <v>2008</v>
      </c>
      <c r="BH97">
        <f t="shared" si="60"/>
        <v>2009</v>
      </c>
      <c r="BI97">
        <f t="shared" si="60"/>
        <v>2010</v>
      </c>
      <c r="BJ97">
        <f t="shared" si="60"/>
        <v>2011</v>
      </c>
      <c r="BK97">
        <f t="shared" si="60"/>
        <v>2012</v>
      </c>
      <c r="BL97">
        <f t="shared" si="60"/>
        <v>2013</v>
      </c>
      <c r="BM97">
        <f t="shared" si="60"/>
        <v>2014</v>
      </c>
      <c r="BN97">
        <f t="shared" si="60"/>
        <v>2015</v>
      </c>
      <c r="BO97">
        <f t="shared" si="60"/>
        <v>2016</v>
      </c>
      <c r="BP97">
        <f t="shared" si="60"/>
        <v>2017</v>
      </c>
      <c r="BQ97">
        <f t="shared" si="60"/>
        <v>2018</v>
      </c>
      <c r="BR97">
        <f t="shared" si="60"/>
        <v>2019</v>
      </c>
      <c r="BS97">
        <f t="shared" si="60"/>
        <v>2020</v>
      </c>
      <c r="BT97">
        <f t="shared" si="60"/>
        <v>2021</v>
      </c>
      <c r="BU97">
        <f t="shared" si="60"/>
        <v>2022</v>
      </c>
      <c r="BV97">
        <f t="shared" si="60"/>
        <v>2023</v>
      </c>
      <c r="BW97">
        <f t="shared" si="60"/>
        <v>2024</v>
      </c>
      <c r="BX97">
        <f t="shared" ref="BX97:CI97" si="61">IF(BX96,BX82,NA())</f>
        <v>2025</v>
      </c>
      <c r="BY97">
        <f t="shared" si="61"/>
        <v>2026</v>
      </c>
      <c r="BZ97">
        <f t="shared" si="61"/>
        <v>2027</v>
      </c>
      <c r="CA97" t="e">
        <f t="shared" si="61"/>
        <v>#N/A</v>
      </c>
      <c r="CB97" t="e">
        <f t="shared" si="61"/>
        <v>#N/A</v>
      </c>
      <c r="CC97" t="e">
        <f t="shared" si="61"/>
        <v>#N/A</v>
      </c>
      <c r="CD97" t="e">
        <f t="shared" si="61"/>
        <v>#N/A</v>
      </c>
      <c r="CE97" t="e">
        <f t="shared" si="61"/>
        <v>#N/A</v>
      </c>
      <c r="CF97" t="e">
        <f t="shared" si="61"/>
        <v>#N/A</v>
      </c>
      <c r="CG97" t="e">
        <f t="shared" si="61"/>
        <v>#N/A</v>
      </c>
      <c r="CH97" t="e">
        <f t="shared" si="61"/>
        <v>#N/A</v>
      </c>
      <c r="CI97" t="e">
        <f t="shared" si="61"/>
        <v>#N/A</v>
      </c>
    </row>
    <row r="98" spans="2:87">
      <c r="B98"/>
      <c r="E98" s="34"/>
      <c r="H98" s="7"/>
      <c r="I98" t="str">
        <f t="shared" ref="I98:I107" si="62">I84</f>
        <v>Crude oil, avg</v>
      </c>
      <c r="J98" t="str">
        <f>J59</f>
        <v>$/bbl</v>
      </c>
      <c r="K98" t="e">
        <f>CHOOSE($J$96,K59,K71,K84)</f>
        <v>#N/A</v>
      </c>
      <c r="L98" t="e">
        <f t="shared" ref="L98:BW98" si="63">CHOOSE($J$96,L59,L71,L84)</f>
        <v>#N/A</v>
      </c>
      <c r="M98" t="e">
        <f t="shared" si="63"/>
        <v>#N/A</v>
      </c>
      <c r="N98" t="e">
        <f t="shared" si="63"/>
        <v>#N/A</v>
      </c>
      <c r="O98" t="e">
        <f t="shared" si="63"/>
        <v>#N/A</v>
      </c>
      <c r="P98" t="e">
        <f t="shared" si="63"/>
        <v>#N/A</v>
      </c>
      <c r="Q98" t="e">
        <f t="shared" si="63"/>
        <v>#N/A</v>
      </c>
      <c r="R98" t="e">
        <f t="shared" si="63"/>
        <v>#N/A</v>
      </c>
      <c r="S98" t="e">
        <f t="shared" si="63"/>
        <v>#N/A</v>
      </c>
      <c r="T98" t="e">
        <f t="shared" si="63"/>
        <v>#N/A</v>
      </c>
      <c r="U98" t="e">
        <f t="shared" si="63"/>
        <v>#N/A</v>
      </c>
      <c r="V98" t="e">
        <f t="shared" si="63"/>
        <v>#N/A</v>
      </c>
      <c r="W98" t="e">
        <f t="shared" si="63"/>
        <v>#N/A</v>
      </c>
      <c r="X98" t="e">
        <f t="shared" si="63"/>
        <v>#N/A</v>
      </c>
      <c r="Y98" t="e">
        <f t="shared" si="63"/>
        <v>#N/A</v>
      </c>
      <c r="Z98" t="e">
        <f t="shared" si="63"/>
        <v>#N/A</v>
      </c>
      <c r="AA98" t="e">
        <f t="shared" si="63"/>
        <v>#N/A</v>
      </c>
      <c r="AB98" t="e">
        <f t="shared" si="63"/>
        <v>#N/A</v>
      </c>
      <c r="AC98" t="e">
        <f t="shared" si="63"/>
        <v>#N/A</v>
      </c>
      <c r="AD98" t="e">
        <f t="shared" si="63"/>
        <v>#N/A</v>
      </c>
      <c r="AE98" t="e">
        <f t="shared" si="63"/>
        <v>#N/A</v>
      </c>
      <c r="AF98" t="e">
        <f t="shared" si="63"/>
        <v>#N/A</v>
      </c>
      <c r="AG98" t="e">
        <f t="shared" si="63"/>
        <v>#N/A</v>
      </c>
      <c r="AH98" t="e">
        <f t="shared" si="63"/>
        <v>#N/A</v>
      </c>
      <c r="AI98" t="e">
        <f t="shared" si="63"/>
        <v>#N/A</v>
      </c>
      <c r="AJ98" t="e">
        <f t="shared" si="63"/>
        <v>#N/A</v>
      </c>
      <c r="AK98" t="e">
        <f t="shared" si="63"/>
        <v>#N/A</v>
      </c>
      <c r="AL98" t="e">
        <f t="shared" si="63"/>
        <v>#N/A</v>
      </c>
      <c r="AM98" t="e">
        <f t="shared" si="63"/>
        <v>#N/A</v>
      </c>
      <c r="AN98" t="e">
        <f t="shared" si="63"/>
        <v>#N/A</v>
      </c>
      <c r="AO98" t="e">
        <f t="shared" si="63"/>
        <v>#N/A</v>
      </c>
      <c r="AP98" t="e">
        <f t="shared" si="63"/>
        <v>#N/A</v>
      </c>
      <c r="AQ98" t="e">
        <f t="shared" si="63"/>
        <v>#N/A</v>
      </c>
      <c r="AR98" t="e">
        <f t="shared" si="63"/>
        <v>#N/A</v>
      </c>
      <c r="AS98" t="e">
        <f t="shared" si="63"/>
        <v>#N/A</v>
      </c>
      <c r="AT98" t="e">
        <f t="shared" si="63"/>
        <v>#N/A</v>
      </c>
      <c r="AU98" t="e">
        <f t="shared" si="63"/>
        <v>#N/A</v>
      </c>
      <c r="AV98" t="e">
        <f t="shared" si="63"/>
        <v>#N/A</v>
      </c>
      <c r="AW98" t="e">
        <f t="shared" si="63"/>
        <v>#N/A</v>
      </c>
      <c r="AX98" t="e">
        <f t="shared" si="63"/>
        <v>#N/A</v>
      </c>
      <c r="AY98" t="e">
        <f t="shared" si="63"/>
        <v>#N/A</v>
      </c>
      <c r="AZ98" t="e">
        <f t="shared" si="63"/>
        <v>#N/A</v>
      </c>
      <c r="BA98" t="e">
        <f t="shared" si="63"/>
        <v>#N/A</v>
      </c>
      <c r="BB98" t="e">
        <f t="shared" si="63"/>
        <v>#N/A</v>
      </c>
      <c r="BC98" t="e">
        <f t="shared" si="63"/>
        <v>#N/A</v>
      </c>
      <c r="BD98" t="e">
        <f t="shared" si="63"/>
        <v>#N/A</v>
      </c>
      <c r="BE98" t="e">
        <f t="shared" si="63"/>
        <v>#N/A</v>
      </c>
      <c r="BF98" t="e">
        <f t="shared" si="63"/>
        <v>#N/A</v>
      </c>
      <c r="BG98" t="e">
        <f t="shared" si="63"/>
        <v>#N/A</v>
      </c>
      <c r="BH98" t="e">
        <f t="shared" si="63"/>
        <v>#N/A</v>
      </c>
      <c r="BI98" t="e">
        <f t="shared" si="63"/>
        <v>#N/A</v>
      </c>
      <c r="BJ98" t="e">
        <f t="shared" si="63"/>
        <v>#N/A</v>
      </c>
      <c r="BK98" t="e">
        <f t="shared" si="63"/>
        <v>#N/A</v>
      </c>
      <c r="BL98" t="e">
        <f t="shared" si="63"/>
        <v>#N/A</v>
      </c>
      <c r="BM98" t="e">
        <f t="shared" si="63"/>
        <v>#N/A</v>
      </c>
      <c r="BN98" t="e">
        <f t="shared" si="63"/>
        <v>#N/A</v>
      </c>
      <c r="BO98">
        <f t="shared" si="63"/>
        <v>45.5289728675681</v>
      </c>
      <c r="BP98">
        <f t="shared" si="63"/>
        <v>54.278585167156798</v>
      </c>
      <c r="BQ98">
        <f t="shared" si="63"/>
        <v>67.100566918588896</v>
      </c>
      <c r="BR98">
        <f t="shared" si="63"/>
        <v>63.535438870449099</v>
      </c>
      <c r="BS98">
        <f t="shared" si="63"/>
        <v>61.526371135298</v>
      </c>
      <c r="BT98">
        <f t="shared" si="63"/>
        <v>60.962426218009902</v>
      </c>
      <c r="BU98">
        <f t="shared" si="63"/>
        <v>60.355229218052102</v>
      </c>
      <c r="BV98">
        <f t="shared" si="63"/>
        <v>59.759353581257201</v>
      </c>
      <c r="BW98">
        <f t="shared" si="63"/>
        <v>59.169341288935499</v>
      </c>
      <c r="BX98">
        <f t="shared" ref="BX98:CI98" si="64">CHOOSE($J$96,BX59,BX71,BX84)</f>
        <v>58.581775439389901</v>
      </c>
      <c r="BY98" t="e">
        <f t="shared" si="64"/>
        <v>#N/A</v>
      </c>
      <c r="BZ98" t="e">
        <f t="shared" si="64"/>
        <v>#N/A</v>
      </c>
      <c r="CA98" t="e">
        <f t="shared" si="64"/>
        <v>#N/A</v>
      </c>
      <c r="CB98" t="e">
        <f t="shared" si="64"/>
        <v>#N/A</v>
      </c>
      <c r="CC98">
        <f t="shared" si="64"/>
        <v>55.645183483951598</v>
      </c>
      <c r="CD98" t="e">
        <f t="shared" si="64"/>
        <v>#N/A</v>
      </c>
      <c r="CE98" t="e">
        <f t="shared" si="64"/>
        <v>#N/A</v>
      </c>
      <c r="CF98" t="e">
        <f t="shared" si="64"/>
        <v>#N/A</v>
      </c>
      <c r="CG98" t="e">
        <f t="shared" si="64"/>
        <v>#N/A</v>
      </c>
      <c r="CH98" t="e">
        <f t="shared" si="64"/>
        <v>#N/A</v>
      </c>
      <c r="CI98" t="e">
        <f t="shared" si="64"/>
        <v>#N/A</v>
      </c>
    </row>
    <row r="99" spans="2:87">
      <c r="B99"/>
      <c r="E99" s="34"/>
      <c r="H99" s="7"/>
      <c r="I99" t="str">
        <f t="shared" si="62"/>
        <v>Palm oil</v>
      </c>
      <c r="J99" t="str">
        <f t="shared" ref="J99:J107" si="65">J60</f>
        <v>$/mt</v>
      </c>
      <c r="K99" t="e">
        <f t="shared" ref="K99:BV99" si="66">CHOOSE($J$96,K60,K72,K85)</f>
        <v>#N/A</v>
      </c>
      <c r="L99" t="e">
        <f t="shared" si="66"/>
        <v>#N/A</v>
      </c>
      <c r="M99" t="e">
        <f t="shared" si="66"/>
        <v>#N/A</v>
      </c>
      <c r="N99" t="e">
        <f t="shared" si="66"/>
        <v>#N/A</v>
      </c>
      <c r="O99" t="e">
        <f t="shared" si="66"/>
        <v>#N/A</v>
      </c>
      <c r="P99" t="e">
        <f t="shared" si="66"/>
        <v>#N/A</v>
      </c>
      <c r="Q99" t="e">
        <f t="shared" si="66"/>
        <v>#N/A</v>
      </c>
      <c r="R99" t="e">
        <f t="shared" si="66"/>
        <v>#N/A</v>
      </c>
      <c r="S99" t="e">
        <f t="shared" si="66"/>
        <v>#N/A</v>
      </c>
      <c r="T99" t="e">
        <f t="shared" si="66"/>
        <v>#N/A</v>
      </c>
      <c r="U99" t="e">
        <f t="shared" si="66"/>
        <v>#N/A</v>
      </c>
      <c r="V99" t="e">
        <f t="shared" si="66"/>
        <v>#N/A</v>
      </c>
      <c r="W99" t="e">
        <f t="shared" si="66"/>
        <v>#N/A</v>
      </c>
      <c r="X99" t="e">
        <f t="shared" si="66"/>
        <v>#N/A</v>
      </c>
      <c r="Y99" t="e">
        <f t="shared" si="66"/>
        <v>#N/A</v>
      </c>
      <c r="Z99" t="e">
        <f t="shared" si="66"/>
        <v>#N/A</v>
      </c>
      <c r="AA99" t="e">
        <f t="shared" si="66"/>
        <v>#N/A</v>
      </c>
      <c r="AB99" t="e">
        <f t="shared" si="66"/>
        <v>#N/A</v>
      </c>
      <c r="AC99" t="e">
        <f t="shared" si="66"/>
        <v>#N/A</v>
      </c>
      <c r="AD99" t="e">
        <f t="shared" si="66"/>
        <v>#N/A</v>
      </c>
      <c r="AE99" t="e">
        <f t="shared" si="66"/>
        <v>#N/A</v>
      </c>
      <c r="AF99" t="e">
        <f t="shared" si="66"/>
        <v>#N/A</v>
      </c>
      <c r="AG99" t="e">
        <f t="shared" si="66"/>
        <v>#N/A</v>
      </c>
      <c r="AH99" t="e">
        <f t="shared" si="66"/>
        <v>#N/A</v>
      </c>
      <c r="AI99" t="e">
        <f t="shared" si="66"/>
        <v>#N/A</v>
      </c>
      <c r="AJ99" t="e">
        <f t="shared" si="66"/>
        <v>#N/A</v>
      </c>
      <c r="AK99" t="e">
        <f t="shared" si="66"/>
        <v>#N/A</v>
      </c>
      <c r="AL99" t="e">
        <f t="shared" si="66"/>
        <v>#N/A</v>
      </c>
      <c r="AM99" t="e">
        <f t="shared" si="66"/>
        <v>#N/A</v>
      </c>
      <c r="AN99" t="e">
        <f t="shared" si="66"/>
        <v>#N/A</v>
      </c>
      <c r="AO99" t="e">
        <f t="shared" si="66"/>
        <v>#N/A</v>
      </c>
      <c r="AP99" t="e">
        <f t="shared" si="66"/>
        <v>#N/A</v>
      </c>
      <c r="AQ99" t="e">
        <f t="shared" si="66"/>
        <v>#N/A</v>
      </c>
      <c r="AR99" t="e">
        <f t="shared" si="66"/>
        <v>#N/A</v>
      </c>
      <c r="AS99" t="e">
        <f t="shared" si="66"/>
        <v>#N/A</v>
      </c>
      <c r="AT99" t="e">
        <f t="shared" si="66"/>
        <v>#N/A</v>
      </c>
      <c r="AU99" t="e">
        <f t="shared" si="66"/>
        <v>#N/A</v>
      </c>
      <c r="AV99" t="e">
        <f t="shared" si="66"/>
        <v>#N/A</v>
      </c>
      <c r="AW99" t="e">
        <f t="shared" si="66"/>
        <v>#N/A</v>
      </c>
      <c r="AX99" t="e">
        <f t="shared" si="66"/>
        <v>#N/A</v>
      </c>
      <c r="AY99" t="e">
        <f t="shared" si="66"/>
        <v>#N/A</v>
      </c>
      <c r="AZ99" t="e">
        <f t="shared" si="66"/>
        <v>#N/A</v>
      </c>
      <c r="BA99" t="e">
        <f t="shared" si="66"/>
        <v>#N/A</v>
      </c>
      <c r="BB99" t="e">
        <f t="shared" si="66"/>
        <v>#N/A</v>
      </c>
      <c r="BC99" t="e">
        <f t="shared" si="66"/>
        <v>#N/A</v>
      </c>
      <c r="BD99" t="e">
        <f t="shared" si="66"/>
        <v>#N/A</v>
      </c>
      <c r="BE99" t="e">
        <f t="shared" si="66"/>
        <v>#N/A</v>
      </c>
      <c r="BF99" t="e">
        <f t="shared" si="66"/>
        <v>#N/A</v>
      </c>
      <c r="BG99" t="e">
        <f t="shared" si="66"/>
        <v>#N/A</v>
      </c>
      <c r="BH99" t="e">
        <f t="shared" si="66"/>
        <v>#N/A</v>
      </c>
      <c r="BI99" t="e">
        <f t="shared" si="66"/>
        <v>#N/A</v>
      </c>
      <c r="BJ99" t="e">
        <f t="shared" si="66"/>
        <v>#N/A</v>
      </c>
      <c r="BK99" t="e">
        <f t="shared" si="66"/>
        <v>#N/A</v>
      </c>
      <c r="BL99" t="e">
        <f t="shared" si="66"/>
        <v>#N/A</v>
      </c>
      <c r="BM99" t="e">
        <f t="shared" si="66"/>
        <v>#N/A</v>
      </c>
      <c r="BN99" t="e">
        <f t="shared" si="66"/>
        <v>#N/A</v>
      </c>
      <c r="BO99">
        <f t="shared" si="66"/>
        <v>782.39420181858497</v>
      </c>
      <c r="BP99">
        <f t="shared" si="66"/>
        <v>771.85388447805599</v>
      </c>
      <c r="BQ99">
        <f t="shared" si="66"/>
        <v>627.00500237272104</v>
      </c>
      <c r="BR99">
        <f t="shared" si="66"/>
        <v>577.59489882226399</v>
      </c>
      <c r="BS99">
        <f t="shared" si="66"/>
        <v>589.26071839597205</v>
      </c>
      <c r="BT99">
        <f t="shared" si="66"/>
        <v>601.30977093809599</v>
      </c>
      <c r="BU99">
        <f t="shared" si="66"/>
        <v>613.11331742325694</v>
      </c>
      <c r="BV99">
        <f t="shared" si="66"/>
        <v>625.20373650248598</v>
      </c>
      <c r="BW99">
        <f t="shared" ref="BW99:CI99" si="67">CHOOSE($J$96,BW60,BW72,BW85)</f>
        <v>637.532363765794</v>
      </c>
      <c r="BX99">
        <f t="shared" si="67"/>
        <v>650.06660987449698</v>
      </c>
      <c r="BY99" t="e">
        <f t="shared" si="67"/>
        <v>#N/A</v>
      </c>
      <c r="BZ99" t="e">
        <f t="shared" si="67"/>
        <v>#N/A</v>
      </c>
      <c r="CA99" t="e">
        <f t="shared" si="67"/>
        <v>#N/A</v>
      </c>
      <c r="CB99" t="e">
        <f t="shared" si="67"/>
        <v>#N/A</v>
      </c>
      <c r="CC99">
        <f t="shared" si="67"/>
        <v>715.43807336509201</v>
      </c>
      <c r="CD99" t="e">
        <f t="shared" si="67"/>
        <v>#N/A</v>
      </c>
      <c r="CE99" t="e">
        <f t="shared" si="67"/>
        <v>#N/A</v>
      </c>
      <c r="CF99" t="e">
        <f t="shared" si="67"/>
        <v>#N/A</v>
      </c>
      <c r="CG99" t="e">
        <f t="shared" si="67"/>
        <v>#N/A</v>
      </c>
      <c r="CH99" t="e">
        <f t="shared" si="67"/>
        <v>#N/A</v>
      </c>
      <c r="CI99" t="e">
        <f t="shared" si="67"/>
        <v>#N/A</v>
      </c>
    </row>
    <row r="100" spans="2:87">
      <c r="B100"/>
      <c r="E100" s="34"/>
      <c r="H100" s="7"/>
      <c r="I100" t="e">
        <f t="shared" si="62"/>
        <v>#N/A</v>
      </c>
      <c r="J100" t="e">
        <f t="shared" si="65"/>
        <v>#N/A</v>
      </c>
      <c r="K100" t="e">
        <f t="shared" ref="K100:BV100" si="68">CHOOSE($J$96,K61,K73,K86)</f>
        <v>#N/A</v>
      </c>
      <c r="L100" t="e">
        <f t="shared" si="68"/>
        <v>#N/A</v>
      </c>
      <c r="M100" t="e">
        <f t="shared" si="68"/>
        <v>#N/A</v>
      </c>
      <c r="N100" t="e">
        <f t="shared" si="68"/>
        <v>#N/A</v>
      </c>
      <c r="O100" t="e">
        <f t="shared" si="68"/>
        <v>#N/A</v>
      </c>
      <c r="P100" t="e">
        <f t="shared" si="68"/>
        <v>#N/A</v>
      </c>
      <c r="Q100" t="e">
        <f t="shared" si="68"/>
        <v>#N/A</v>
      </c>
      <c r="R100" t="e">
        <f t="shared" si="68"/>
        <v>#N/A</v>
      </c>
      <c r="S100" t="e">
        <f t="shared" si="68"/>
        <v>#N/A</v>
      </c>
      <c r="T100" t="e">
        <f t="shared" si="68"/>
        <v>#N/A</v>
      </c>
      <c r="U100" t="e">
        <f t="shared" si="68"/>
        <v>#N/A</v>
      </c>
      <c r="V100" t="e">
        <f t="shared" si="68"/>
        <v>#N/A</v>
      </c>
      <c r="W100" t="e">
        <f t="shared" si="68"/>
        <v>#N/A</v>
      </c>
      <c r="X100" t="e">
        <f t="shared" si="68"/>
        <v>#N/A</v>
      </c>
      <c r="Y100" t="e">
        <f t="shared" si="68"/>
        <v>#N/A</v>
      </c>
      <c r="Z100" t="e">
        <f t="shared" si="68"/>
        <v>#N/A</v>
      </c>
      <c r="AA100" t="e">
        <f t="shared" si="68"/>
        <v>#N/A</v>
      </c>
      <c r="AB100" t="e">
        <f t="shared" si="68"/>
        <v>#N/A</v>
      </c>
      <c r="AC100" t="e">
        <f t="shared" si="68"/>
        <v>#N/A</v>
      </c>
      <c r="AD100" t="e">
        <f t="shared" si="68"/>
        <v>#N/A</v>
      </c>
      <c r="AE100" t="e">
        <f t="shared" si="68"/>
        <v>#N/A</v>
      </c>
      <c r="AF100" t="e">
        <f t="shared" si="68"/>
        <v>#N/A</v>
      </c>
      <c r="AG100" t="e">
        <f t="shared" si="68"/>
        <v>#N/A</v>
      </c>
      <c r="AH100" t="e">
        <f t="shared" si="68"/>
        <v>#N/A</v>
      </c>
      <c r="AI100" t="e">
        <f t="shared" si="68"/>
        <v>#N/A</v>
      </c>
      <c r="AJ100" t="e">
        <f t="shared" si="68"/>
        <v>#N/A</v>
      </c>
      <c r="AK100" t="e">
        <f t="shared" si="68"/>
        <v>#N/A</v>
      </c>
      <c r="AL100" t="e">
        <f t="shared" si="68"/>
        <v>#N/A</v>
      </c>
      <c r="AM100" t="e">
        <f t="shared" si="68"/>
        <v>#N/A</v>
      </c>
      <c r="AN100" t="e">
        <f t="shared" si="68"/>
        <v>#N/A</v>
      </c>
      <c r="AO100" t="e">
        <f t="shared" si="68"/>
        <v>#N/A</v>
      </c>
      <c r="AP100" t="e">
        <f t="shared" si="68"/>
        <v>#N/A</v>
      </c>
      <c r="AQ100" t="e">
        <f t="shared" si="68"/>
        <v>#N/A</v>
      </c>
      <c r="AR100" t="e">
        <f t="shared" si="68"/>
        <v>#N/A</v>
      </c>
      <c r="AS100" t="e">
        <f t="shared" si="68"/>
        <v>#N/A</v>
      </c>
      <c r="AT100" t="e">
        <f t="shared" si="68"/>
        <v>#N/A</v>
      </c>
      <c r="AU100" t="e">
        <f t="shared" si="68"/>
        <v>#N/A</v>
      </c>
      <c r="AV100" t="e">
        <f t="shared" si="68"/>
        <v>#N/A</v>
      </c>
      <c r="AW100" t="e">
        <f t="shared" si="68"/>
        <v>#N/A</v>
      </c>
      <c r="AX100" t="e">
        <f t="shared" si="68"/>
        <v>#N/A</v>
      </c>
      <c r="AY100" t="e">
        <f t="shared" si="68"/>
        <v>#N/A</v>
      </c>
      <c r="AZ100" t="e">
        <f t="shared" si="68"/>
        <v>#N/A</v>
      </c>
      <c r="BA100" t="e">
        <f t="shared" si="68"/>
        <v>#N/A</v>
      </c>
      <c r="BB100" t="e">
        <f t="shared" si="68"/>
        <v>#N/A</v>
      </c>
      <c r="BC100" t="e">
        <f t="shared" si="68"/>
        <v>#N/A</v>
      </c>
      <c r="BD100" t="e">
        <f t="shared" si="68"/>
        <v>#N/A</v>
      </c>
      <c r="BE100" t="e">
        <f t="shared" si="68"/>
        <v>#N/A</v>
      </c>
      <c r="BF100" t="e">
        <f t="shared" si="68"/>
        <v>#N/A</v>
      </c>
      <c r="BG100" t="e">
        <f t="shared" si="68"/>
        <v>#N/A</v>
      </c>
      <c r="BH100" t="e">
        <f t="shared" si="68"/>
        <v>#N/A</v>
      </c>
      <c r="BI100" t="e">
        <f t="shared" si="68"/>
        <v>#N/A</v>
      </c>
      <c r="BJ100" t="e">
        <f t="shared" si="68"/>
        <v>#N/A</v>
      </c>
      <c r="BK100" t="e">
        <f t="shared" si="68"/>
        <v>#N/A</v>
      </c>
      <c r="BL100" t="e">
        <f t="shared" si="68"/>
        <v>#N/A</v>
      </c>
      <c r="BM100" t="e">
        <f t="shared" si="68"/>
        <v>#N/A</v>
      </c>
      <c r="BN100" t="e">
        <f t="shared" si="68"/>
        <v>#N/A</v>
      </c>
      <c r="BO100" t="e">
        <f t="shared" si="68"/>
        <v>#N/A</v>
      </c>
      <c r="BP100" t="e">
        <f t="shared" si="68"/>
        <v>#N/A</v>
      </c>
      <c r="BQ100" t="e">
        <f t="shared" si="68"/>
        <v>#N/A</v>
      </c>
      <c r="BR100" t="e">
        <f t="shared" si="68"/>
        <v>#N/A</v>
      </c>
      <c r="BS100" t="e">
        <f t="shared" si="68"/>
        <v>#N/A</v>
      </c>
      <c r="BT100" t="e">
        <f t="shared" si="68"/>
        <v>#N/A</v>
      </c>
      <c r="BU100" t="e">
        <f t="shared" si="68"/>
        <v>#N/A</v>
      </c>
      <c r="BV100" t="e">
        <f t="shared" si="68"/>
        <v>#N/A</v>
      </c>
      <c r="BW100" t="e">
        <f t="shared" ref="BW100:CI100" si="69">CHOOSE($J$96,BW61,BW73,BW86)</f>
        <v>#N/A</v>
      </c>
      <c r="BX100" t="e">
        <f t="shared" si="69"/>
        <v>#N/A</v>
      </c>
      <c r="BY100" t="e">
        <f t="shared" si="69"/>
        <v>#N/A</v>
      </c>
      <c r="BZ100" t="e">
        <f t="shared" si="69"/>
        <v>#N/A</v>
      </c>
      <c r="CA100" t="e">
        <f t="shared" si="69"/>
        <v>#N/A</v>
      </c>
      <c r="CB100" t="e">
        <f t="shared" si="69"/>
        <v>#N/A</v>
      </c>
      <c r="CC100" t="e">
        <f t="shared" si="69"/>
        <v>#N/A</v>
      </c>
      <c r="CD100" t="e">
        <f t="shared" si="69"/>
        <v>#N/A</v>
      </c>
      <c r="CE100" t="e">
        <f t="shared" si="69"/>
        <v>#N/A</v>
      </c>
      <c r="CF100" t="e">
        <f t="shared" si="69"/>
        <v>#N/A</v>
      </c>
      <c r="CG100" t="e">
        <f t="shared" si="69"/>
        <v>#N/A</v>
      </c>
      <c r="CH100" t="e">
        <f t="shared" si="69"/>
        <v>#N/A</v>
      </c>
      <c r="CI100" t="e">
        <f t="shared" si="69"/>
        <v>#N/A</v>
      </c>
    </row>
    <row r="101" spans="2:87">
      <c r="B101"/>
      <c r="E101" s="34"/>
      <c r="H101" s="7"/>
      <c r="I101" t="e">
        <f t="shared" si="62"/>
        <v>#N/A</v>
      </c>
      <c r="J101" t="e">
        <f t="shared" si="65"/>
        <v>#N/A</v>
      </c>
      <c r="K101" t="e">
        <f t="shared" ref="K101:BV101" si="70">CHOOSE($J$96,K62,K74,K87)</f>
        <v>#N/A</v>
      </c>
      <c r="L101" t="e">
        <f t="shared" si="70"/>
        <v>#N/A</v>
      </c>
      <c r="M101" t="e">
        <f t="shared" si="70"/>
        <v>#N/A</v>
      </c>
      <c r="N101" t="e">
        <f t="shared" si="70"/>
        <v>#N/A</v>
      </c>
      <c r="O101" t="e">
        <f t="shared" si="70"/>
        <v>#N/A</v>
      </c>
      <c r="P101" t="e">
        <f t="shared" si="70"/>
        <v>#N/A</v>
      </c>
      <c r="Q101" t="e">
        <f t="shared" si="70"/>
        <v>#N/A</v>
      </c>
      <c r="R101" t="e">
        <f t="shared" si="70"/>
        <v>#N/A</v>
      </c>
      <c r="S101" t="e">
        <f t="shared" si="70"/>
        <v>#N/A</v>
      </c>
      <c r="T101" t="e">
        <f t="shared" si="70"/>
        <v>#N/A</v>
      </c>
      <c r="U101" t="e">
        <f t="shared" si="70"/>
        <v>#N/A</v>
      </c>
      <c r="V101" t="e">
        <f t="shared" si="70"/>
        <v>#N/A</v>
      </c>
      <c r="W101" t="e">
        <f t="shared" si="70"/>
        <v>#N/A</v>
      </c>
      <c r="X101" t="e">
        <f t="shared" si="70"/>
        <v>#N/A</v>
      </c>
      <c r="Y101" t="e">
        <f t="shared" si="70"/>
        <v>#N/A</v>
      </c>
      <c r="Z101" t="e">
        <f t="shared" si="70"/>
        <v>#N/A</v>
      </c>
      <c r="AA101" t="e">
        <f t="shared" si="70"/>
        <v>#N/A</v>
      </c>
      <c r="AB101" t="e">
        <f t="shared" si="70"/>
        <v>#N/A</v>
      </c>
      <c r="AC101" t="e">
        <f t="shared" si="70"/>
        <v>#N/A</v>
      </c>
      <c r="AD101" t="e">
        <f t="shared" si="70"/>
        <v>#N/A</v>
      </c>
      <c r="AE101" t="e">
        <f t="shared" si="70"/>
        <v>#N/A</v>
      </c>
      <c r="AF101" t="e">
        <f t="shared" si="70"/>
        <v>#N/A</v>
      </c>
      <c r="AG101" t="e">
        <f t="shared" si="70"/>
        <v>#N/A</v>
      </c>
      <c r="AH101" t="e">
        <f t="shared" si="70"/>
        <v>#N/A</v>
      </c>
      <c r="AI101" t="e">
        <f t="shared" si="70"/>
        <v>#N/A</v>
      </c>
      <c r="AJ101" t="e">
        <f t="shared" si="70"/>
        <v>#N/A</v>
      </c>
      <c r="AK101" t="e">
        <f t="shared" si="70"/>
        <v>#N/A</v>
      </c>
      <c r="AL101" t="e">
        <f t="shared" si="70"/>
        <v>#N/A</v>
      </c>
      <c r="AM101" t="e">
        <f t="shared" si="70"/>
        <v>#N/A</v>
      </c>
      <c r="AN101" t="e">
        <f t="shared" si="70"/>
        <v>#N/A</v>
      </c>
      <c r="AO101" t="e">
        <f t="shared" si="70"/>
        <v>#N/A</v>
      </c>
      <c r="AP101" t="e">
        <f t="shared" si="70"/>
        <v>#N/A</v>
      </c>
      <c r="AQ101" t="e">
        <f t="shared" si="70"/>
        <v>#N/A</v>
      </c>
      <c r="AR101" t="e">
        <f t="shared" si="70"/>
        <v>#N/A</v>
      </c>
      <c r="AS101" t="e">
        <f t="shared" si="70"/>
        <v>#N/A</v>
      </c>
      <c r="AT101" t="e">
        <f t="shared" si="70"/>
        <v>#N/A</v>
      </c>
      <c r="AU101" t="e">
        <f t="shared" si="70"/>
        <v>#N/A</v>
      </c>
      <c r="AV101" t="e">
        <f t="shared" si="70"/>
        <v>#N/A</v>
      </c>
      <c r="AW101" t="e">
        <f t="shared" si="70"/>
        <v>#N/A</v>
      </c>
      <c r="AX101" t="e">
        <f t="shared" si="70"/>
        <v>#N/A</v>
      </c>
      <c r="AY101" t="e">
        <f t="shared" si="70"/>
        <v>#N/A</v>
      </c>
      <c r="AZ101" t="e">
        <f t="shared" si="70"/>
        <v>#N/A</v>
      </c>
      <c r="BA101" t="e">
        <f t="shared" si="70"/>
        <v>#N/A</v>
      </c>
      <c r="BB101" t="e">
        <f t="shared" si="70"/>
        <v>#N/A</v>
      </c>
      <c r="BC101" t="e">
        <f t="shared" si="70"/>
        <v>#N/A</v>
      </c>
      <c r="BD101" t="e">
        <f t="shared" si="70"/>
        <v>#N/A</v>
      </c>
      <c r="BE101" t="e">
        <f t="shared" si="70"/>
        <v>#N/A</v>
      </c>
      <c r="BF101" t="e">
        <f t="shared" si="70"/>
        <v>#N/A</v>
      </c>
      <c r="BG101" t="e">
        <f t="shared" si="70"/>
        <v>#N/A</v>
      </c>
      <c r="BH101" t="e">
        <f t="shared" si="70"/>
        <v>#N/A</v>
      </c>
      <c r="BI101" t="e">
        <f t="shared" si="70"/>
        <v>#N/A</v>
      </c>
      <c r="BJ101" t="e">
        <f t="shared" si="70"/>
        <v>#N/A</v>
      </c>
      <c r="BK101" t="e">
        <f t="shared" si="70"/>
        <v>#N/A</v>
      </c>
      <c r="BL101" t="e">
        <f t="shared" si="70"/>
        <v>#N/A</v>
      </c>
      <c r="BM101" t="e">
        <f t="shared" si="70"/>
        <v>#N/A</v>
      </c>
      <c r="BN101" t="e">
        <f t="shared" si="70"/>
        <v>#N/A</v>
      </c>
      <c r="BO101" t="e">
        <f t="shared" si="70"/>
        <v>#N/A</v>
      </c>
      <c r="BP101" t="e">
        <f t="shared" si="70"/>
        <v>#N/A</v>
      </c>
      <c r="BQ101" t="e">
        <f t="shared" si="70"/>
        <v>#N/A</v>
      </c>
      <c r="BR101" t="e">
        <f t="shared" si="70"/>
        <v>#N/A</v>
      </c>
      <c r="BS101" t="e">
        <f t="shared" si="70"/>
        <v>#N/A</v>
      </c>
      <c r="BT101" t="e">
        <f t="shared" si="70"/>
        <v>#N/A</v>
      </c>
      <c r="BU101" t="e">
        <f t="shared" si="70"/>
        <v>#N/A</v>
      </c>
      <c r="BV101" t="e">
        <f t="shared" si="70"/>
        <v>#N/A</v>
      </c>
      <c r="BW101" t="e">
        <f t="shared" ref="BW101:CI101" si="71">CHOOSE($J$96,BW62,BW74,BW87)</f>
        <v>#N/A</v>
      </c>
      <c r="BX101" t="e">
        <f t="shared" si="71"/>
        <v>#N/A</v>
      </c>
      <c r="BY101" t="e">
        <f t="shared" si="71"/>
        <v>#N/A</v>
      </c>
      <c r="BZ101" t="e">
        <f t="shared" si="71"/>
        <v>#N/A</v>
      </c>
      <c r="CA101" t="e">
        <f t="shared" si="71"/>
        <v>#N/A</v>
      </c>
      <c r="CB101" t="e">
        <f t="shared" si="71"/>
        <v>#N/A</v>
      </c>
      <c r="CC101" t="e">
        <f t="shared" si="71"/>
        <v>#N/A</v>
      </c>
      <c r="CD101" t="e">
        <f t="shared" si="71"/>
        <v>#N/A</v>
      </c>
      <c r="CE101" t="e">
        <f t="shared" si="71"/>
        <v>#N/A</v>
      </c>
      <c r="CF101" t="e">
        <f t="shared" si="71"/>
        <v>#N/A</v>
      </c>
      <c r="CG101" t="e">
        <f t="shared" si="71"/>
        <v>#N/A</v>
      </c>
      <c r="CH101" t="e">
        <f t="shared" si="71"/>
        <v>#N/A</v>
      </c>
      <c r="CI101" t="e">
        <f t="shared" si="71"/>
        <v>#N/A</v>
      </c>
    </row>
    <row r="102" spans="2:87">
      <c r="B102"/>
      <c r="E102" s="34"/>
      <c r="H102" s="7"/>
      <c r="I102" t="e">
        <f t="shared" si="62"/>
        <v>#N/A</v>
      </c>
      <c r="J102" t="e">
        <f t="shared" si="65"/>
        <v>#N/A</v>
      </c>
      <c r="K102" t="e">
        <f t="shared" ref="K102:BV102" si="72">CHOOSE($J$96,K63,K75,K88)</f>
        <v>#N/A</v>
      </c>
      <c r="L102" t="e">
        <f t="shared" si="72"/>
        <v>#N/A</v>
      </c>
      <c r="M102" t="e">
        <f t="shared" si="72"/>
        <v>#N/A</v>
      </c>
      <c r="N102" t="e">
        <f t="shared" si="72"/>
        <v>#N/A</v>
      </c>
      <c r="O102" t="e">
        <f t="shared" si="72"/>
        <v>#N/A</v>
      </c>
      <c r="P102" t="e">
        <f t="shared" si="72"/>
        <v>#N/A</v>
      </c>
      <c r="Q102" t="e">
        <f t="shared" si="72"/>
        <v>#N/A</v>
      </c>
      <c r="R102" t="e">
        <f t="shared" si="72"/>
        <v>#N/A</v>
      </c>
      <c r="S102" t="e">
        <f t="shared" si="72"/>
        <v>#N/A</v>
      </c>
      <c r="T102" t="e">
        <f t="shared" si="72"/>
        <v>#N/A</v>
      </c>
      <c r="U102" t="e">
        <f t="shared" si="72"/>
        <v>#N/A</v>
      </c>
      <c r="V102" t="e">
        <f t="shared" si="72"/>
        <v>#N/A</v>
      </c>
      <c r="W102" t="e">
        <f t="shared" si="72"/>
        <v>#N/A</v>
      </c>
      <c r="X102" t="e">
        <f t="shared" si="72"/>
        <v>#N/A</v>
      </c>
      <c r="Y102" t="e">
        <f t="shared" si="72"/>
        <v>#N/A</v>
      </c>
      <c r="Z102" t="e">
        <f t="shared" si="72"/>
        <v>#N/A</v>
      </c>
      <c r="AA102" t="e">
        <f t="shared" si="72"/>
        <v>#N/A</v>
      </c>
      <c r="AB102" t="e">
        <f t="shared" si="72"/>
        <v>#N/A</v>
      </c>
      <c r="AC102" t="e">
        <f t="shared" si="72"/>
        <v>#N/A</v>
      </c>
      <c r="AD102" t="e">
        <f t="shared" si="72"/>
        <v>#N/A</v>
      </c>
      <c r="AE102" t="e">
        <f t="shared" si="72"/>
        <v>#N/A</v>
      </c>
      <c r="AF102" t="e">
        <f t="shared" si="72"/>
        <v>#N/A</v>
      </c>
      <c r="AG102" t="e">
        <f t="shared" si="72"/>
        <v>#N/A</v>
      </c>
      <c r="AH102" t="e">
        <f t="shared" si="72"/>
        <v>#N/A</v>
      </c>
      <c r="AI102" t="e">
        <f t="shared" si="72"/>
        <v>#N/A</v>
      </c>
      <c r="AJ102" t="e">
        <f t="shared" si="72"/>
        <v>#N/A</v>
      </c>
      <c r="AK102" t="e">
        <f t="shared" si="72"/>
        <v>#N/A</v>
      </c>
      <c r="AL102" t="e">
        <f t="shared" si="72"/>
        <v>#N/A</v>
      </c>
      <c r="AM102" t="e">
        <f t="shared" si="72"/>
        <v>#N/A</v>
      </c>
      <c r="AN102" t="e">
        <f t="shared" si="72"/>
        <v>#N/A</v>
      </c>
      <c r="AO102" t="e">
        <f t="shared" si="72"/>
        <v>#N/A</v>
      </c>
      <c r="AP102" t="e">
        <f t="shared" si="72"/>
        <v>#N/A</v>
      </c>
      <c r="AQ102" t="e">
        <f t="shared" si="72"/>
        <v>#N/A</v>
      </c>
      <c r="AR102" t="e">
        <f t="shared" si="72"/>
        <v>#N/A</v>
      </c>
      <c r="AS102" t="e">
        <f t="shared" si="72"/>
        <v>#N/A</v>
      </c>
      <c r="AT102" t="e">
        <f t="shared" si="72"/>
        <v>#N/A</v>
      </c>
      <c r="AU102" t="e">
        <f t="shared" si="72"/>
        <v>#N/A</v>
      </c>
      <c r="AV102" t="e">
        <f t="shared" si="72"/>
        <v>#N/A</v>
      </c>
      <c r="AW102" t="e">
        <f t="shared" si="72"/>
        <v>#N/A</v>
      </c>
      <c r="AX102" t="e">
        <f t="shared" si="72"/>
        <v>#N/A</v>
      </c>
      <c r="AY102" t="e">
        <f t="shared" si="72"/>
        <v>#N/A</v>
      </c>
      <c r="AZ102" t="e">
        <f t="shared" si="72"/>
        <v>#N/A</v>
      </c>
      <c r="BA102" t="e">
        <f t="shared" si="72"/>
        <v>#N/A</v>
      </c>
      <c r="BB102" t="e">
        <f t="shared" si="72"/>
        <v>#N/A</v>
      </c>
      <c r="BC102" t="e">
        <f t="shared" si="72"/>
        <v>#N/A</v>
      </c>
      <c r="BD102" t="e">
        <f t="shared" si="72"/>
        <v>#N/A</v>
      </c>
      <c r="BE102" t="e">
        <f t="shared" si="72"/>
        <v>#N/A</v>
      </c>
      <c r="BF102" t="e">
        <f t="shared" si="72"/>
        <v>#N/A</v>
      </c>
      <c r="BG102" t="e">
        <f t="shared" si="72"/>
        <v>#N/A</v>
      </c>
      <c r="BH102" t="e">
        <f t="shared" si="72"/>
        <v>#N/A</v>
      </c>
      <c r="BI102" t="e">
        <f t="shared" si="72"/>
        <v>#N/A</v>
      </c>
      <c r="BJ102" t="e">
        <f t="shared" si="72"/>
        <v>#N/A</v>
      </c>
      <c r="BK102" t="e">
        <f t="shared" si="72"/>
        <v>#N/A</v>
      </c>
      <c r="BL102" t="e">
        <f t="shared" si="72"/>
        <v>#N/A</v>
      </c>
      <c r="BM102" t="e">
        <f t="shared" si="72"/>
        <v>#N/A</v>
      </c>
      <c r="BN102" t="e">
        <f t="shared" si="72"/>
        <v>#N/A</v>
      </c>
      <c r="BO102" t="e">
        <f t="shared" si="72"/>
        <v>#N/A</v>
      </c>
      <c r="BP102" t="e">
        <f t="shared" si="72"/>
        <v>#N/A</v>
      </c>
      <c r="BQ102" t="e">
        <f t="shared" si="72"/>
        <v>#N/A</v>
      </c>
      <c r="BR102" t="e">
        <f t="shared" si="72"/>
        <v>#N/A</v>
      </c>
      <c r="BS102" t="e">
        <f t="shared" si="72"/>
        <v>#N/A</v>
      </c>
      <c r="BT102" t="e">
        <f t="shared" si="72"/>
        <v>#N/A</v>
      </c>
      <c r="BU102" t="e">
        <f t="shared" si="72"/>
        <v>#N/A</v>
      </c>
      <c r="BV102" t="e">
        <f t="shared" si="72"/>
        <v>#N/A</v>
      </c>
      <c r="BW102" t="e">
        <f t="shared" ref="BW102:CI102" si="73">CHOOSE($J$96,BW63,BW75,BW88)</f>
        <v>#N/A</v>
      </c>
      <c r="BX102" t="e">
        <f t="shared" si="73"/>
        <v>#N/A</v>
      </c>
      <c r="BY102" t="e">
        <f t="shared" si="73"/>
        <v>#N/A</v>
      </c>
      <c r="BZ102" t="e">
        <f t="shared" si="73"/>
        <v>#N/A</v>
      </c>
      <c r="CA102" t="e">
        <f t="shared" si="73"/>
        <v>#N/A</v>
      </c>
      <c r="CB102" t="e">
        <f t="shared" si="73"/>
        <v>#N/A</v>
      </c>
      <c r="CC102" t="e">
        <f t="shared" si="73"/>
        <v>#N/A</v>
      </c>
      <c r="CD102" t="e">
        <f t="shared" si="73"/>
        <v>#N/A</v>
      </c>
      <c r="CE102" t="e">
        <f t="shared" si="73"/>
        <v>#N/A</v>
      </c>
      <c r="CF102" t="e">
        <f t="shared" si="73"/>
        <v>#N/A</v>
      </c>
      <c r="CG102" t="e">
        <f t="shared" si="73"/>
        <v>#N/A</v>
      </c>
      <c r="CH102" t="e">
        <f t="shared" si="73"/>
        <v>#N/A</v>
      </c>
      <c r="CI102" t="e">
        <f t="shared" si="73"/>
        <v>#N/A</v>
      </c>
    </row>
    <row r="103" spans="2:87">
      <c r="B103"/>
      <c r="E103" s="34"/>
      <c r="H103" s="7"/>
      <c r="I103" t="e">
        <f t="shared" si="62"/>
        <v>#N/A</v>
      </c>
      <c r="J103" t="e">
        <f t="shared" si="65"/>
        <v>#N/A</v>
      </c>
      <c r="K103" t="e">
        <f t="shared" ref="K103:BV103" si="74">CHOOSE($J$96,K64,K76,K89)</f>
        <v>#N/A</v>
      </c>
      <c r="L103" t="e">
        <f t="shared" si="74"/>
        <v>#N/A</v>
      </c>
      <c r="M103" t="e">
        <f t="shared" si="74"/>
        <v>#N/A</v>
      </c>
      <c r="N103" t="e">
        <f t="shared" si="74"/>
        <v>#N/A</v>
      </c>
      <c r="O103" t="e">
        <f t="shared" si="74"/>
        <v>#N/A</v>
      </c>
      <c r="P103" t="e">
        <f t="shared" si="74"/>
        <v>#N/A</v>
      </c>
      <c r="Q103" t="e">
        <f t="shared" si="74"/>
        <v>#N/A</v>
      </c>
      <c r="R103" t="e">
        <f t="shared" si="74"/>
        <v>#N/A</v>
      </c>
      <c r="S103" t="e">
        <f t="shared" si="74"/>
        <v>#N/A</v>
      </c>
      <c r="T103" t="e">
        <f t="shared" si="74"/>
        <v>#N/A</v>
      </c>
      <c r="U103" t="e">
        <f t="shared" si="74"/>
        <v>#N/A</v>
      </c>
      <c r="V103" t="e">
        <f t="shared" si="74"/>
        <v>#N/A</v>
      </c>
      <c r="W103" t="e">
        <f t="shared" si="74"/>
        <v>#N/A</v>
      </c>
      <c r="X103" t="e">
        <f t="shared" si="74"/>
        <v>#N/A</v>
      </c>
      <c r="Y103" t="e">
        <f t="shared" si="74"/>
        <v>#N/A</v>
      </c>
      <c r="Z103" t="e">
        <f t="shared" si="74"/>
        <v>#N/A</v>
      </c>
      <c r="AA103" t="e">
        <f t="shared" si="74"/>
        <v>#N/A</v>
      </c>
      <c r="AB103" t="e">
        <f t="shared" si="74"/>
        <v>#N/A</v>
      </c>
      <c r="AC103" t="e">
        <f t="shared" si="74"/>
        <v>#N/A</v>
      </c>
      <c r="AD103" t="e">
        <f t="shared" si="74"/>
        <v>#N/A</v>
      </c>
      <c r="AE103" t="e">
        <f t="shared" si="74"/>
        <v>#N/A</v>
      </c>
      <c r="AF103" t="e">
        <f t="shared" si="74"/>
        <v>#N/A</v>
      </c>
      <c r="AG103" t="e">
        <f t="shared" si="74"/>
        <v>#N/A</v>
      </c>
      <c r="AH103" t="e">
        <f t="shared" si="74"/>
        <v>#N/A</v>
      </c>
      <c r="AI103" t="e">
        <f t="shared" si="74"/>
        <v>#N/A</v>
      </c>
      <c r="AJ103" t="e">
        <f t="shared" si="74"/>
        <v>#N/A</v>
      </c>
      <c r="AK103" t="e">
        <f t="shared" si="74"/>
        <v>#N/A</v>
      </c>
      <c r="AL103" t="e">
        <f t="shared" si="74"/>
        <v>#N/A</v>
      </c>
      <c r="AM103" t="e">
        <f t="shared" si="74"/>
        <v>#N/A</v>
      </c>
      <c r="AN103" t="e">
        <f t="shared" si="74"/>
        <v>#N/A</v>
      </c>
      <c r="AO103" t="e">
        <f t="shared" si="74"/>
        <v>#N/A</v>
      </c>
      <c r="AP103" t="e">
        <f t="shared" si="74"/>
        <v>#N/A</v>
      </c>
      <c r="AQ103" t="e">
        <f t="shared" si="74"/>
        <v>#N/A</v>
      </c>
      <c r="AR103" t="e">
        <f t="shared" si="74"/>
        <v>#N/A</v>
      </c>
      <c r="AS103" t="e">
        <f t="shared" si="74"/>
        <v>#N/A</v>
      </c>
      <c r="AT103" t="e">
        <f t="shared" si="74"/>
        <v>#N/A</v>
      </c>
      <c r="AU103" t="e">
        <f t="shared" si="74"/>
        <v>#N/A</v>
      </c>
      <c r="AV103" t="e">
        <f t="shared" si="74"/>
        <v>#N/A</v>
      </c>
      <c r="AW103" t="e">
        <f t="shared" si="74"/>
        <v>#N/A</v>
      </c>
      <c r="AX103" t="e">
        <f t="shared" si="74"/>
        <v>#N/A</v>
      </c>
      <c r="AY103" t="e">
        <f t="shared" si="74"/>
        <v>#N/A</v>
      </c>
      <c r="AZ103" t="e">
        <f t="shared" si="74"/>
        <v>#N/A</v>
      </c>
      <c r="BA103" t="e">
        <f t="shared" si="74"/>
        <v>#N/A</v>
      </c>
      <c r="BB103" t="e">
        <f t="shared" si="74"/>
        <v>#N/A</v>
      </c>
      <c r="BC103" t="e">
        <f t="shared" si="74"/>
        <v>#N/A</v>
      </c>
      <c r="BD103" t="e">
        <f t="shared" si="74"/>
        <v>#N/A</v>
      </c>
      <c r="BE103" t="e">
        <f t="shared" si="74"/>
        <v>#N/A</v>
      </c>
      <c r="BF103" t="e">
        <f t="shared" si="74"/>
        <v>#N/A</v>
      </c>
      <c r="BG103" t="e">
        <f t="shared" si="74"/>
        <v>#N/A</v>
      </c>
      <c r="BH103" t="e">
        <f t="shared" si="74"/>
        <v>#N/A</v>
      </c>
      <c r="BI103" t="e">
        <f t="shared" si="74"/>
        <v>#N/A</v>
      </c>
      <c r="BJ103" t="e">
        <f t="shared" si="74"/>
        <v>#N/A</v>
      </c>
      <c r="BK103" t="e">
        <f t="shared" si="74"/>
        <v>#N/A</v>
      </c>
      <c r="BL103" t="e">
        <f t="shared" si="74"/>
        <v>#N/A</v>
      </c>
      <c r="BM103" t="e">
        <f t="shared" si="74"/>
        <v>#N/A</v>
      </c>
      <c r="BN103" t="e">
        <f t="shared" si="74"/>
        <v>#N/A</v>
      </c>
      <c r="BO103" t="e">
        <f t="shared" si="74"/>
        <v>#N/A</v>
      </c>
      <c r="BP103" t="e">
        <f t="shared" si="74"/>
        <v>#N/A</v>
      </c>
      <c r="BQ103" t="e">
        <f t="shared" si="74"/>
        <v>#N/A</v>
      </c>
      <c r="BR103" t="e">
        <f t="shared" si="74"/>
        <v>#N/A</v>
      </c>
      <c r="BS103" t="e">
        <f t="shared" si="74"/>
        <v>#N/A</v>
      </c>
      <c r="BT103" t="e">
        <f t="shared" si="74"/>
        <v>#N/A</v>
      </c>
      <c r="BU103" t="e">
        <f t="shared" si="74"/>
        <v>#N/A</v>
      </c>
      <c r="BV103" t="e">
        <f t="shared" si="74"/>
        <v>#N/A</v>
      </c>
      <c r="BW103" t="e">
        <f t="shared" ref="BW103:CI103" si="75">CHOOSE($J$96,BW64,BW76,BW89)</f>
        <v>#N/A</v>
      </c>
      <c r="BX103" t="e">
        <f t="shared" si="75"/>
        <v>#N/A</v>
      </c>
      <c r="BY103" t="e">
        <f t="shared" si="75"/>
        <v>#N/A</v>
      </c>
      <c r="BZ103" t="e">
        <f t="shared" si="75"/>
        <v>#N/A</v>
      </c>
      <c r="CA103" t="e">
        <f t="shared" si="75"/>
        <v>#N/A</v>
      </c>
      <c r="CB103" t="e">
        <f t="shared" si="75"/>
        <v>#N/A</v>
      </c>
      <c r="CC103" t="e">
        <f t="shared" si="75"/>
        <v>#N/A</v>
      </c>
      <c r="CD103" t="e">
        <f t="shared" si="75"/>
        <v>#N/A</v>
      </c>
      <c r="CE103" t="e">
        <f t="shared" si="75"/>
        <v>#N/A</v>
      </c>
      <c r="CF103" t="e">
        <f t="shared" si="75"/>
        <v>#N/A</v>
      </c>
      <c r="CG103" t="e">
        <f t="shared" si="75"/>
        <v>#N/A</v>
      </c>
      <c r="CH103" t="e">
        <f t="shared" si="75"/>
        <v>#N/A</v>
      </c>
      <c r="CI103" t="e">
        <f t="shared" si="75"/>
        <v>#N/A</v>
      </c>
    </row>
    <row r="104" spans="2:87">
      <c r="B104"/>
      <c r="E104" s="34"/>
      <c r="H104" s="7"/>
      <c r="I104" t="e">
        <f t="shared" si="62"/>
        <v>#N/A</v>
      </c>
      <c r="J104" t="e">
        <f t="shared" si="65"/>
        <v>#N/A</v>
      </c>
      <c r="K104" t="e">
        <f t="shared" ref="K104:BV104" si="76">CHOOSE($J$96,K65,K77,K90)</f>
        <v>#N/A</v>
      </c>
      <c r="L104" t="e">
        <f t="shared" si="76"/>
        <v>#N/A</v>
      </c>
      <c r="M104" t="e">
        <f t="shared" si="76"/>
        <v>#N/A</v>
      </c>
      <c r="N104" t="e">
        <f t="shared" si="76"/>
        <v>#N/A</v>
      </c>
      <c r="O104" t="e">
        <f t="shared" si="76"/>
        <v>#N/A</v>
      </c>
      <c r="P104" t="e">
        <f t="shared" si="76"/>
        <v>#N/A</v>
      </c>
      <c r="Q104" t="e">
        <f t="shared" si="76"/>
        <v>#N/A</v>
      </c>
      <c r="R104" t="e">
        <f t="shared" si="76"/>
        <v>#N/A</v>
      </c>
      <c r="S104" t="e">
        <f t="shared" si="76"/>
        <v>#N/A</v>
      </c>
      <c r="T104" t="e">
        <f t="shared" si="76"/>
        <v>#N/A</v>
      </c>
      <c r="U104" t="e">
        <f t="shared" si="76"/>
        <v>#N/A</v>
      </c>
      <c r="V104" t="e">
        <f t="shared" si="76"/>
        <v>#N/A</v>
      </c>
      <c r="W104" t="e">
        <f t="shared" si="76"/>
        <v>#N/A</v>
      </c>
      <c r="X104" t="e">
        <f t="shared" si="76"/>
        <v>#N/A</v>
      </c>
      <c r="Y104" t="e">
        <f t="shared" si="76"/>
        <v>#N/A</v>
      </c>
      <c r="Z104" t="e">
        <f t="shared" si="76"/>
        <v>#N/A</v>
      </c>
      <c r="AA104" t="e">
        <f t="shared" si="76"/>
        <v>#N/A</v>
      </c>
      <c r="AB104" t="e">
        <f t="shared" si="76"/>
        <v>#N/A</v>
      </c>
      <c r="AC104" t="e">
        <f t="shared" si="76"/>
        <v>#N/A</v>
      </c>
      <c r="AD104" t="e">
        <f t="shared" si="76"/>
        <v>#N/A</v>
      </c>
      <c r="AE104" t="e">
        <f t="shared" si="76"/>
        <v>#N/A</v>
      </c>
      <c r="AF104" t="e">
        <f t="shared" si="76"/>
        <v>#N/A</v>
      </c>
      <c r="AG104" t="e">
        <f t="shared" si="76"/>
        <v>#N/A</v>
      </c>
      <c r="AH104" t="e">
        <f t="shared" si="76"/>
        <v>#N/A</v>
      </c>
      <c r="AI104" t="e">
        <f t="shared" si="76"/>
        <v>#N/A</v>
      </c>
      <c r="AJ104" t="e">
        <f t="shared" si="76"/>
        <v>#N/A</v>
      </c>
      <c r="AK104" t="e">
        <f t="shared" si="76"/>
        <v>#N/A</v>
      </c>
      <c r="AL104" t="e">
        <f t="shared" si="76"/>
        <v>#N/A</v>
      </c>
      <c r="AM104" t="e">
        <f t="shared" si="76"/>
        <v>#N/A</v>
      </c>
      <c r="AN104" t="e">
        <f t="shared" si="76"/>
        <v>#N/A</v>
      </c>
      <c r="AO104" t="e">
        <f t="shared" si="76"/>
        <v>#N/A</v>
      </c>
      <c r="AP104" t="e">
        <f t="shared" si="76"/>
        <v>#N/A</v>
      </c>
      <c r="AQ104" t="e">
        <f t="shared" si="76"/>
        <v>#N/A</v>
      </c>
      <c r="AR104" t="e">
        <f t="shared" si="76"/>
        <v>#N/A</v>
      </c>
      <c r="AS104" t="e">
        <f t="shared" si="76"/>
        <v>#N/A</v>
      </c>
      <c r="AT104" t="e">
        <f t="shared" si="76"/>
        <v>#N/A</v>
      </c>
      <c r="AU104" t="e">
        <f t="shared" si="76"/>
        <v>#N/A</v>
      </c>
      <c r="AV104" t="e">
        <f t="shared" si="76"/>
        <v>#N/A</v>
      </c>
      <c r="AW104" t="e">
        <f t="shared" si="76"/>
        <v>#N/A</v>
      </c>
      <c r="AX104" t="e">
        <f t="shared" si="76"/>
        <v>#N/A</v>
      </c>
      <c r="AY104" t="e">
        <f t="shared" si="76"/>
        <v>#N/A</v>
      </c>
      <c r="AZ104" t="e">
        <f t="shared" si="76"/>
        <v>#N/A</v>
      </c>
      <c r="BA104" t="e">
        <f t="shared" si="76"/>
        <v>#N/A</v>
      </c>
      <c r="BB104" t="e">
        <f t="shared" si="76"/>
        <v>#N/A</v>
      </c>
      <c r="BC104" t="e">
        <f t="shared" si="76"/>
        <v>#N/A</v>
      </c>
      <c r="BD104" t="e">
        <f t="shared" si="76"/>
        <v>#N/A</v>
      </c>
      <c r="BE104" t="e">
        <f t="shared" si="76"/>
        <v>#N/A</v>
      </c>
      <c r="BF104" t="e">
        <f t="shared" si="76"/>
        <v>#N/A</v>
      </c>
      <c r="BG104" t="e">
        <f t="shared" si="76"/>
        <v>#N/A</v>
      </c>
      <c r="BH104" t="e">
        <f t="shared" si="76"/>
        <v>#N/A</v>
      </c>
      <c r="BI104" t="e">
        <f t="shared" si="76"/>
        <v>#N/A</v>
      </c>
      <c r="BJ104" t="e">
        <f t="shared" si="76"/>
        <v>#N/A</v>
      </c>
      <c r="BK104" t="e">
        <f t="shared" si="76"/>
        <v>#N/A</v>
      </c>
      <c r="BL104" t="e">
        <f t="shared" si="76"/>
        <v>#N/A</v>
      </c>
      <c r="BM104" t="e">
        <f t="shared" si="76"/>
        <v>#N/A</v>
      </c>
      <c r="BN104" t="e">
        <f t="shared" si="76"/>
        <v>#N/A</v>
      </c>
      <c r="BO104" t="e">
        <f t="shared" si="76"/>
        <v>#N/A</v>
      </c>
      <c r="BP104" t="e">
        <f t="shared" si="76"/>
        <v>#N/A</v>
      </c>
      <c r="BQ104" t="e">
        <f t="shared" si="76"/>
        <v>#N/A</v>
      </c>
      <c r="BR104" t="e">
        <f t="shared" si="76"/>
        <v>#N/A</v>
      </c>
      <c r="BS104" t="e">
        <f t="shared" si="76"/>
        <v>#N/A</v>
      </c>
      <c r="BT104" t="e">
        <f t="shared" si="76"/>
        <v>#N/A</v>
      </c>
      <c r="BU104" t="e">
        <f t="shared" si="76"/>
        <v>#N/A</v>
      </c>
      <c r="BV104" t="e">
        <f t="shared" si="76"/>
        <v>#N/A</v>
      </c>
      <c r="BW104" t="e">
        <f t="shared" ref="BW104:CI104" si="77">CHOOSE($J$96,BW65,BW77,BW90)</f>
        <v>#N/A</v>
      </c>
      <c r="BX104" t="e">
        <f t="shared" si="77"/>
        <v>#N/A</v>
      </c>
      <c r="BY104" t="e">
        <f t="shared" si="77"/>
        <v>#N/A</v>
      </c>
      <c r="BZ104" t="e">
        <f t="shared" si="77"/>
        <v>#N/A</v>
      </c>
      <c r="CA104" t="e">
        <f t="shared" si="77"/>
        <v>#N/A</v>
      </c>
      <c r="CB104" t="e">
        <f t="shared" si="77"/>
        <v>#N/A</v>
      </c>
      <c r="CC104" t="e">
        <f t="shared" si="77"/>
        <v>#N/A</v>
      </c>
      <c r="CD104" t="e">
        <f t="shared" si="77"/>
        <v>#N/A</v>
      </c>
      <c r="CE104" t="e">
        <f t="shared" si="77"/>
        <v>#N/A</v>
      </c>
      <c r="CF104" t="e">
        <f t="shared" si="77"/>
        <v>#N/A</v>
      </c>
      <c r="CG104" t="e">
        <f t="shared" si="77"/>
        <v>#N/A</v>
      </c>
      <c r="CH104" t="e">
        <f t="shared" si="77"/>
        <v>#N/A</v>
      </c>
      <c r="CI104" t="e">
        <f t="shared" si="77"/>
        <v>#N/A</v>
      </c>
    </row>
    <row r="105" spans="2:87">
      <c r="B105"/>
      <c r="E105" s="34"/>
      <c r="H105" s="7"/>
      <c r="I105" t="e">
        <f t="shared" si="62"/>
        <v>#N/A</v>
      </c>
      <c r="J105" t="e">
        <f t="shared" si="65"/>
        <v>#N/A</v>
      </c>
      <c r="K105" t="e">
        <f t="shared" ref="K105:BV105" si="78">CHOOSE($J$96,K66,K78,K91)</f>
        <v>#N/A</v>
      </c>
      <c r="L105" t="e">
        <f t="shared" si="78"/>
        <v>#N/A</v>
      </c>
      <c r="M105" t="e">
        <f t="shared" si="78"/>
        <v>#N/A</v>
      </c>
      <c r="N105" t="e">
        <f t="shared" si="78"/>
        <v>#N/A</v>
      </c>
      <c r="O105" t="e">
        <f t="shared" si="78"/>
        <v>#N/A</v>
      </c>
      <c r="P105" t="e">
        <f t="shared" si="78"/>
        <v>#N/A</v>
      </c>
      <c r="Q105" t="e">
        <f t="shared" si="78"/>
        <v>#N/A</v>
      </c>
      <c r="R105" t="e">
        <f t="shared" si="78"/>
        <v>#N/A</v>
      </c>
      <c r="S105" t="e">
        <f t="shared" si="78"/>
        <v>#N/A</v>
      </c>
      <c r="T105" t="e">
        <f t="shared" si="78"/>
        <v>#N/A</v>
      </c>
      <c r="U105" t="e">
        <f t="shared" si="78"/>
        <v>#N/A</v>
      </c>
      <c r="V105" t="e">
        <f t="shared" si="78"/>
        <v>#N/A</v>
      </c>
      <c r="W105" t="e">
        <f t="shared" si="78"/>
        <v>#N/A</v>
      </c>
      <c r="X105" t="e">
        <f t="shared" si="78"/>
        <v>#N/A</v>
      </c>
      <c r="Y105" t="e">
        <f t="shared" si="78"/>
        <v>#N/A</v>
      </c>
      <c r="Z105" t="e">
        <f t="shared" si="78"/>
        <v>#N/A</v>
      </c>
      <c r="AA105" t="e">
        <f t="shared" si="78"/>
        <v>#N/A</v>
      </c>
      <c r="AB105" t="e">
        <f t="shared" si="78"/>
        <v>#N/A</v>
      </c>
      <c r="AC105" t="e">
        <f t="shared" si="78"/>
        <v>#N/A</v>
      </c>
      <c r="AD105" t="e">
        <f t="shared" si="78"/>
        <v>#N/A</v>
      </c>
      <c r="AE105" t="e">
        <f t="shared" si="78"/>
        <v>#N/A</v>
      </c>
      <c r="AF105" t="e">
        <f t="shared" si="78"/>
        <v>#N/A</v>
      </c>
      <c r="AG105" t="e">
        <f t="shared" si="78"/>
        <v>#N/A</v>
      </c>
      <c r="AH105" t="e">
        <f t="shared" si="78"/>
        <v>#N/A</v>
      </c>
      <c r="AI105" t="e">
        <f t="shared" si="78"/>
        <v>#N/A</v>
      </c>
      <c r="AJ105" t="e">
        <f t="shared" si="78"/>
        <v>#N/A</v>
      </c>
      <c r="AK105" t="e">
        <f t="shared" si="78"/>
        <v>#N/A</v>
      </c>
      <c r="AL105" t="e">
        <f t="shared" si="78"/>
        <v>#N/A</v>
      </c>
      <c r="AM105" t="e">
        <f t="shared" si="78"/>
        <v>#N/A</v>
      </c>
      <c r="AN105" t="e">
        <f t="shared" si="78"/>
        <v>#N/A</v>
      </c>
      <c r="AO105" t="e">
        <f t="shared" si="78"/>
        <v>#N/A</v>
      </c>
      <c r="AP105" t="e">
        <f t="shared" si="78"/>
        <v>#N/A</v>
      </c>
      <c r="AQ105" t="e">
        <f t="shared" si="78"/>
        <v>#N/A</v>
      </c>
      <c r="AR105" t="e">
        <f t="shared" si="78"/>
        <v>#N/A</v>
      </c>
      <c r="AS105" t="e">
        <f t="shared" si="78"/>
        <v>#N/A</v>
      </c>
      <c r="AT105" t="e">
        <f t="shared" si="78"/>
        <v>#N/A</v>
      </c>
      <c r="AU105" t="e">
        <f t="shared" si="78"/>
        <v>#N/A</v>
      </c>
      <c r="AV105" t="e">
        <f t="shared" si="78"/>
        <v>#N/A</v>
      </c>
      <c r="AW105" t="e">
        <f t="shared" si="78"/>
        <v>#N/A</v>
      </c>
      <c r="AX105" t="e">
        <f t="shared" si="78"/>
        <v>#N/A</v>
      </c>
      <c r="AY105" t="e">
        <f t="shared" si="78"/>
        <v>#N/A</v>
      </c>
      <c r="AZ105" t="e">
        <f t="shared" si="78"/>
        <v>#N/A</v>
      </c>
      <c r="BA105" t="e">
        <f t="shared" si="78"/>
        <v>#N/A</v>
      </c>
      <c r="BB105" t="e">
        <f t="shared" si="78"/>
        <v>#N/A</v>
      </c>
      <c r="BC105" t="e">
        <f t="shared" si="78"/>
        <v>#N/A</v>
      </c>
      <c r="BD105" t="e">
        <f t="shared" si="78"/>
        <v>#N/A</v>
      </c>
      <c r="BE105" t="e">
        <f t="shared" si="78"/>
        <v>#N/A</v>
      </c>
      <c r="BF105" t="e">
        <f t="shared" si="78"/>
        <v>#N/A</v>
      </c>
      <c r="BG105" t="e">
        <f t="shared" si="78"/>
        <v>#N/A</v>
      </c>
      <c r="BH105" t="e">
        <f t="shared" si="78"/>
        <v>#N/A</v>
      </c>
      <c r="BI105" t="e">
        <f t="shared" si="78"/>
        <v>#N/A</v>
      </c>
      <c r="BJ105" t="e">
        <f t="shared" si="78"/>
        <v>#N/A</v>
      </c>
      <c r="BK105" t="e">
        <f t="shared" si="78"/>
        <v>#N/A</v>
      </c>
      <c r="BL105" t="e">
        <f t="shared" si="78"/>
        <v>#N/A</v>
      </c>
      <c r="BM105" t="e">
        <f t="shared" si="78"/>
        <v>#N/A</v>
      </c>
      <c r="BN105" t="e">
        <f t="shared" si="78"/>
        <v>#N/A</v>
      </c>
      <c r="BO105" t="e">
        <f t="shared" si="78"/>
        <v>#N/A</v>
      </c>
      <c r="BP105" t="e">
        <f t="shared" si="78"/>
        <v>#N/A</v>
      </c>
      <c r="BQ105" t="e">
        <f t="shared" si="78"/>
        <v>#N/A</v>
      </c>
      <c r="BR105" t="e">
        <f t="shared" si="78"/>
        <v>#N/A</v>
      </c>
      <c r="BS105" t="e">
        <f t="shared" si="78"/>
        <v>#N/A</v>
      </c>
      <c r="BT105" t="e">
        <f t="shared" si="78"/>
        <v>#N/A</v>
      </c>
      <c r="BU105" t="e">
        <f t="shared" si="78"/>
        <v>#N/A</v>
      </c>
      <c r="BV105" t="e">
        <f t="shared" si="78"/>
        <v>#N/A</v>
      </c>
      <c r="BW105" t="e">
        <f t="shared" ref="BW105:CI105" si="79">CHOOSE($J$96,BW66,BW78,BW91)</f>
        <v>#N/A</v>
      </c>
      <c r="BX105" t="e">
        <f t="shared" si="79"/>
        <v>#N/A</v>
      </c>
      <c r="BY105" t="e">
        <f t="shared" si="79"/>
        <v>#N/A</v>
      </c>
      <c r="BZ105" t="e">
        <f t="shared" si="79"/>
        <v>#N/A</v>
      </c>
      <c r="CA105" t="e">
        <f t="shared" si="79"/>
        <v>#N/A</v>
      </c>
      <c r="CB105" t="e">
        <f t="shared" si="79"/>
        <v>#N/A</v>
      </c>
      <c r="CC105" t="e">
        <f t="shared" si="79"/>
        <v>#N/A</v>
      </c>
      <c r="CD105" t="e">
        <f t="shared" si="79"/>
        <v>#N/A</v>
      </c>
      <c r="CE105" t="e">
        <f t="shared" si="79"/>
        <v>#N/A</v>
      </c>
      <c r="CF105" t="e">
        <f t="shared" si="79"/>
        <v>#N/A</v>
      </c>
      <c r="CG105" t="e">
        <f t="shared" si="79"/>
        <v>#N/A</v>
      </c>
      <c r="CH105" t="e">
        <f t="shared" si="79"/>
        <v>#N/A</v>
      </c>
      <c r="CI105" t="e">
        <f t="shared" si="79"/>
        <v>#N/A</v>
      </c>
    </row>
    <row r="106" spans="2:87">
      <c r="B106"/>
      <c r="E106" s="34"/>
      <c r="H106" s="7"/>
      <c r="I106" t="e">
        <f t="shared" si="62"/>
        <v>#N/A</v>
      </c>
      <c r="J106" t="e">
        <f t="shared" si="65"/>
        <v>#N/A</v>
      </c>
      <c r="K106" t="e">
        <f t="shared" ref="K106:BV107" si="80">CHOOSE($J$96,K67,K79,K92)</f>
        <v>#N/A</v>
      </c>
      <c r="L106" t="e">
        <f t="shared" si="80"/>
        <v>#N/A</v>
      </c>
      <c r="M106" t="e">
        <f t="shared" si="80"/>
        <v>#N/A</v>
      </c>
      <c r="N106" t="e">
        <f t="shared" si="80"/>
        <v>#N/A</v>
      </c>
      <c r="O106" t="e">
        <f t="shared" si="80"/>
        <v>#N/A</v>
      </c>
      <c r="P106" t="e">
        <f t="shared" si="80"/>
        <v>#N/A</v>
      </c>
      <c r="Q106" t="e">
        <f t="shared" si="80"/>
        <v>#N/A</v>
      </c>
      <c r="R106" t="e">
        <f t="shared" si="80"/>
        <v>#N/A</v>
      </c>
      <c r="S106" t="e">
        <f t="shared" si="80"/>
        <v>#N/A</v>
      </c>
      <c r="T106" t="e">
        <f t="shared" si="80"/>
        <v>#N/A</v>
      </c>
      <c r="U106" t="e">
        <f t="shared" si="80"/>
        <v>#N/A</v>
      </c>
      <c r="V106" t="e">
        <f t="shared" si="80"/>
        <v>#N/A</v>
      </c>
      <c r="W106" t="e">
        <f t="shared" si="80"/>
        <v>#N/A</v>
      </c>
      <c r="X106" t="e">
        <f t="shared" si="80"/>
        <v>#N/A</v>
      </c>
      <c r="Y106" t="e">
        <f t="shared" si="80"/>
        <v>#N/A</v>
      </c>
      <c r="Z106" t="e">
        <f t="shared" si="80"/>
        <v>#N/A</v>
      </c>
      <c r="AA106" t="e">
        <f t="shared" si="80"/>
        <v>#N/A</v>
      </c>
      <c r="AB106" t="e">
        <f t="shared" si="80"/>
        <v>#N/A</v>
      </c>
      <c r="AC106" t="e">
        <f t="shared" si="80"/>
        <v>#N/A</v>
      </c>
      <c r="AD106" t="e">
        <f t="shared" si="80"/>
        <v>#N/A</v>
      </c>
      <c r="AE106" t="e">
        <f t="shared" si="80"/>
        <v>#N/A</v>
      </c>
      <c r="AF106" t="e">
        <f t="shared" si="80"/>
        <v>#N/A</v>
      </c>
      <c r="AG106" t="e">
        <f t="shared" si="80"/>
        <v>#N/A</v>
      </c>
      <c r="AH106" t="e">
        <f t="shared" si="80"/>
        <v>#N/A</v>
      </c>
      <c r="AI106" t="e">
        <f t="shared" si="80"/>
        <v>#N/A</v>
      </c>
      <c r="AJ106" t="e">
        <f t="shared" si="80"/>
        <v>#N/A</v>
      </c>
      <c r="AK106" t="e">
        <f t="shared" si="80"/>
        <v>#N/A</v>
      </c>
      <c r="AL106" t="e">
        <f t="shared" si="80"/>
        <v>#N/A</v>
      </c>
      <c r="AM106" t="e">
        <f t="shared" si="80"/>
        <v>#N/A</v>
      </c>
      <c r="AN106" t="e">
        <f t="shared" si="80"/>
        <v>#N/A</v>
      </c>
      <c r="AO106" t="e">
        <f t="shared" si="80"/>
        <v>#N/A</v>
      </c>
      <c r="AP106" t="e">
        <f t="shared" si="80"/>
        <v>#N/A</v>
      </c>
      <c r="AQ106" t="e">
        <f t="shared" si="80"/>
        <v>#N/A</v>
      </c>
      <c r="AR106" t="e">
        <f t="shared" si="80"/>
        <v>#N/A</v>
      </c>
      <c r="AS106" t="e">
        <f t="shared" si="80"/>
        <v>#N/A</v>
      </c>
      <c r="AT106" t="e">
        <f t="shared" si="80"/>
        <v>#N/A</v>
      </c>
      <c r="AU106" t="e">
        <f t="shared" si="80"/>
        <v>#N/A</v>
      </c>
      <c r="AV106" t="e">
        <f t="shared" si="80"/>
        <v>#N/A</v>
      </c>
      <c r="AW106" t="e">
        <f t="shared" si="80"/>
        <v>#N/A</v>
      </c>
      <c r="AX106" t="e">
        <f t="shared" si="80"/>
        <v>#N/A</v>
      </c>
      <c r="AY106" t="e">
        <f t="shared" si="80"/>
        <v>#N/A</v>
      </c>
      <c r="AZ106" t="e">
        <f t="shared" si="80"/>
        <v>#N/A</v>
      </c>
      <c r="BA106" t="e">
        <f t="shared" si="80"/>
        <v>#N/A</v>
      </c>
      <c r="BB106" t="e">
        <f t="shared" si="80"/>
        <v>#N/A</v>
      </c>
      <c r="BC106" t="e">
        <f t="shared" si="80"/>
        <v>#N/A</v>
      </c>
      <c r="BD106" t="e">
        <f t="shared" si="80"/>
        <v>#N/A</v>
      </c>
      <c r="BE106" t="e">
        <f t="shared" si="80"/>
        <v>#N/A</v>
      </c>
      <c r="BF106" t="e">
        <f t="shared" si="80"/>
        <v>#N/A</v>
      </c>
      <c r="BG106" t="e">
        <f t="shared" si="80"/>
        <v>#N/A</v>
      </c>
      <c r="BH106" t="e">
        <f t="shared" si="80"/>
        <v>#N/A</v>
      </c>
      <c r="BI106" t="e">
        <f t="shared" si="80"/>
        <v>#N/A</v>
      </c>
      <c r="BJ106" t="e">
        <f t="shared" si="80"/>
        <v>#N/A</v>
      </c>
      <c r="BK106" t="e">
        <f t="shared" si="80"/>
        <v>#N/A</v>
      </c>
      <c r="BL106" t="e">
        <f t="shared" si="80"/>
        <v>#N/A</v>
      </c>
      <c r="BM106" t="e">
        <f t="shared" si="80"/>
        <v>#N/A</v>
      </c>
      <c r="BN106" t="e">
        <f t="shared" si="80"/>
        <v>#N/A</v>
      </c>
      <c r="BO106" t="e">
        <f t="shared" si="80"/>
        <v>#N/A</v>
      </c>
      <c r="BP106" t="e">
        <f t="shared" si="80"/>
        <v>#N/A</v>
      </c>
      <c r="BQ106" t="e">
        <f t="shared" si="80"/>
        <v>#N/A</v>
      </c>
      <c r="BR106" t="e">
        <f t="shared" si="80"/>
        <v>#N/A</v>
      </c>
      <c r="BS106" t="e">
        <f t="shared" si="80"/>
        <v>#N/A</v>
      </c>
      <c r="BT106" t="e">
        <f t="shared" si="80"/>
        <v>#N/A</v>
      </c>
      <c r="BU106" t="e">
        <f t="shared" si="80"/>
        <v>#N/A</v>
      </c>
      <c r="BV106" t="e">
        <f t="shared" si="80"/>
        <v>#N/A</v>
      </c>
      <c r="BW106" t="e">
        <f t="shared" ref="BW106:CI107" si="81">CHOOSE($J$96,BW67,BW79,BW92)</f>
        <v>#N/A</v>
      </c>
      <c r="BX106" t="e">
        <f t="shared" si="81"/>
        <v>#N/A</v>
      </c>
      <c r="BY106" t="e">
        <f t="shared" si="81"/>
        <v>#N/A</v>
      </c>
      <c r="BZ106" t="e">
        <f t="shared" si="81"/>
        <v>#N/A</v>
      </c>
      <c r="CA106" t="e">
        <f t="shared" si="81"/>
        <v>#N/A</v>
      </c>
      <c r="CB106" t="e">
        <f t="shared" si="81"/>
        <v>#N/A</v>
      </c>
      <c r="CC106" t="e">
        <f t="shared" si="81"/>
        <v>#N/A</v>
      </c>
      <c r="CD106" t="e">
        <f t="shared" si="81"/>
        <v>#N/A</v>
      </c>
      <c r="CE106" t="e">
        <f t="shared" si="81"/>
        <v>#N/A</v>
      </c>
      <c r="CF106" t="e">
        <f t="shared" si="81"/>
        <v>#N/A</v>
      </c>
      <c r="CG106" t="e">
        <f t="shared" si="81"/>
        <v>#N/A</v>
      </c>
      <c r="CH106" t="e">
        <f t="shared" si="81"/>
        <v>#N/A</v>
      </c>
      <c r="CI106" t="e">
        <f t="shared" si="81"/>
        <v>#N/A</v>
      </c>
    </row>
    <row r="107" spans="2:87">
      <c r="B107" t="str">
        <f>MID(C107,2,25)</f>
        <v/>
      </c>
      <c r="E107" s="34"/>
      <c r="I107" t="e">
        <f t="shared" si="62"/>
        <v>#N/A</v>
      </c>
      <c r="J107" t="e">
        <f t="shared" si="65"/>
        <v>#N/A</v>
      </c>
      <c r="K107" t="e">
        <f t="shared" si="80"/>
        <v>#N/A</v>
      </c>
      <c r="L107" t="e">
        <f t="shared" si="80"/>
        <v>#N/A</v>
      </c>
      <c r="M107" t="e">
        <f t="shared" si="80"/>
        <v>#N/A</v>
      </c>
      <c r="N107" t="e">
        <f t="shared" si="80"/>
        <v>#N/A</v>
      </c>
      <c r="O107" t="e">
        <f t="shared" si="80"/>
        <v>#N/A</v>
      </c>
      <c r="P107" t="e">
        <f t="shared" si="80"/>
        <v>#N/A</v>
      </c>
      <c r="Q107" t="e">
        <f t="shared" si="80"/>
        <v>#N/A</v>
      </c>
      <c r="R107" t="e">
        <f t="shared" si="80"/>
        <v>#N/A</v>
      </c>
      <c r="S107" t="e">
        <f t="shared" si="80"/>
        <v>#N/A</v>
      </c>
      <c r="T107" t="e">
        <f t="shared" si="80"/>
        <v>#N/A</v>
      </c>
      <c r="U107" t="e">
        <f t="shared" si="80"/>
        <v>#N/A</v>
      </c>
      <c r="V107" t="e">
        <f t="shared" si="80"/>
        <v>#N/A</v>
      </c>
      <c r="W107" t="e">
        <f t="shared" si="80"/>
        <v>#N/A</v>
      </c>
      <c r="X107" t="e">
        <f t="shared" si="80"/>
        <v>#N/A</v>
      </c>
      <c r="Y107" t="e">
        <f t="shared" si="80"/>
        <v>#N/A</v>
      </c>
      <c r="Z107" t="e">
        <f t="shared" si="80"/>
        <v>#N/A</v>
      </c>
      <c r="AA107" t="e">
        <f t="shared" si="80"/>
        <v>#N/A</v>
      </c>
      <c r="AB107" t="e">
        <f t="shared" si="80"/>
        <v>#N/A</v>
      </c>
      <c r="AC107" t="e">
        <f t="shared" si="80"/>
        <v>#N/A</v>
      </c>
      <c r="AD107" t="e">
        <f t="shared" si="80"/>
        <v>#N/A</v>
      </c>
      <c r="AE107" t="e">
        <f t="shared" si="80"/>
        <v>#N/A</v>
      </c>
      <c r="AF107" t="e">
        <f t="shared" si="80"/>
        <v>#N/A</v>
      </c>
      <c r="AG107" t="e">
        <f t="shared" si="80"/>
        <v>#N/A</v>
      </c>
      <c r="AH107" t="e">
        <f t="shared" si="80"/>
        <v>#N/A</v>
      </c>
      <c r="AI107" t="e">
        <f t="shared" si="80"/>
        <v>#N/A</v>
      </c>
      <c r="AJ107" t="e">
        <f t="shared" si="80"/>
        <v>#N/A</v>
      </c>
      <c r="AK107" t="e">
        <f t="shared" si="80"/>
        <v>#N/A</v>
      </c>
      <c r="AL107" t="e">
        <f t="shared" si="80"/>
        <v>#N/A</v>
      </c>
      <c r="AM107" t="e">
        <f t="shared" si="80"/>
        <v>#N/A</v>
      </c>
      <c r="AN107" t="e">
        <f t="shared" si="80"/>
        <v>#N/A</v>
      </c>
      <c r="AO107" t="e">
        <f t="shared" si="80"/>
        <v>#N/A</v>
      </c>
      <c r="AP107" t="e">
        <f t="shared" si="80"/>
        <v>#N/A</v>
      </c>
      <c r="AQ107" t="e">
        <f t="shared" si="80"/>
        <v>#N/A</v>
      </c>
      <c r="AR107" t="e">
        <f t="shared" si="80"/>
        <v>#N/A</v>
      </c>
      <c r="AS107" t="e">
        <f t="shared" si="80"/>
        <v>#N/A</v>
      </c>
      <c r="AT107" t="e">
        <f t="shared" si="80"/>
        <v>#N/A</v>
      </c>
      <c r="AU107" t="e">
        <f t="shared" si="80"/>
        <v>#N/A</v>
      </c>
      <c r="AV107" t="e">
        <f t="shared" si="80"/>
        <v>#N/A</v>
      </c>
      <c r="AW107" t="e">
        <f t="shared" si="80"/>
        <v>#N/A</v>
      </c>
      <c r="AX107" t="e">
        <f t="shared" si="80"/>
        <v>#N/A</v>
      </c>
      <c r="AY107" t="e">
        <f t="shared" si="80"/>
        <v>#N/A</v>
      </c>
      <c r="AZ107" t="e">
        <f t="shared" si="80"/>
        <v>#N/A</v>
      </c>
      <c r="BA107" t="e">
        <f t="shared" si="80"/>
        <v>#N/A</v>
      </c>
      <c r="BB107" t="e">
        <f t="shared" si="80"/>
        <v>#N/A</v>
      </c>
      <c r="BC107" t="e">
        <f t="shared" si="80"/>
        <v>#N/A</v>
      </c>
      <c r="BD107" t="e">
        <f t="shared" si="80"/>
        <v>#N/A</v>
      </c>
      <c r="BE107" t="e">
        <f t="shared" si="80"/>
        <v>#N/A</v>
      </c>
      <c r="BF107" t="e">
        <f t="shared" si="80"/>
        <v>#N/A</v>
      </c>
      <c r="BG107" t="e">
        <f t="shared" si="80"/>
        <v>#N/A</v>
      </c>
      <c r="BH107" t="e">
        <f t="shared" si="80"/>
        <v>#N/A</v>
      </c>
      <c r="BI107" t="e">
        <f t="shared" si="80"/>
        <v>#N/A</v>
      </c>
      <c r="BJ107" t="e">
        <f t="shared" si="80"/>
        <v>#N/A</v>
      </c>
      <c r="BK107" t="e">
        <f t="shared" si="80"/>
        <v>#N/A</v>
      </c>
      <c r="BL107" t="e">
        <f t="shared" si="80"/>
        <v>#N/A</v>
      </c>
      <c r="BM107" t="e">
        <f t="shared" si="80"/>
        <v>#N/A</v>
      </c>
      <c r="BN107" t="e">
        <f t="shared" si="80"/>
        <v>#N/A</v>
      </c>
      <c r="BO107" t="e">
        <f t="shared" si="80"/>
        <v>#N/A</v>
      </c>
      <c r="BP107" t="e">
        <f t="shared" si="80"/>
        <v>#N/A</v>
      </c>
      <c r="BQ107" t="e">
        <f t="shared" si="80"/>
        <v>#N/A</v>
      </c>
      <c r="BR107" t="e">
        <f t="shared" si="80"/>
        <v>#N/A</v>
      </c>
      <c r="BS107" t="e">
        <f t="shared" si="80"/>
        <v>#N/A</v>
      </c>
      <c r="BT107" t="e">
        <f t="shared" si="80"/>
        <v>#N/A</v>
      </c>
      <c r="BU107" t="e">
        <f t="shared" si="80"/>
        <v>#N/A</v>
      </c>
      <c r="BV107" t="e">
        <f t="shared" si="80"/>
        <v>#N/A</v>
      </c>
      <c r="BW107" t="e">
        <f t="shared" si="81"/>
        <v>#N/A</v>
      </c>
      <c r="BX107" t="e">
        <f t="shared" si="81"/>
        <v>#N/A</v>
      </c>
      <c r="BY107" t="e">
        <f t="shared" si="81"/>
        <v>#N/A</v>
      </c>
      <c r="BZ107" t="e">
        <f t="shared" si="81"/>
        <v>#N/A</v>
      </c>
      <c r="CA107" t="e">
        <f t="shared" si="81"/>
        <v>#N/A</v>
      </c>
      <c r="CB107" t="e">
        <f t="shared" si="81"/>
        <v>#N/A</v>
      </c>
      <c r="CC107" t="e">
        <f t="shared" si="81"/>
        <v>#N/A</v>
      </c>
      <c r="CD107" t="e">
        <f t="shared" si="81"/>
        <v>#N/A</v>
      </c>
      <c r="CE107" t="e">
        <f t="shared" si="81"/>
        <v>#N/A</v>
      </c>
      <c r="CF107" t="e">
        <f t="shared" si="81"/>
        <v>#N/A</v>
      </c>
      <c r="CG107" t="e">
        <f t="shared" si="81"/>
        <v>#N/A</v>
      </c>
      <c r="CH107" t="e">
        <f t="shared" si="81"/>
        <v>#N/A</v>
      </c>
      <c r="CI107" t="e">
        <f t="shared" si="81"/>
        <v>#N/A</v>
      </c>
    </row>
    <row r="108" spans="2:87">
      <c r="B108"/>
      <c r="E108" s="34"/>
      <c r="I108" s="7" t="s">
        <v>1235</v>
      </c>
      <c r="K108">
        <f>IF(K9,$G$109)</f>
        <v>783</v>
      </c>
      <c r="L108">
        <f t="shared" ref="L108:BW108" si="82">IF(L9,$G$109)</f>
        <v>783</v>
      </c>
      <c r="M108">
        <f t="shared" si="82"/>
        <v>783</v>
      </c>
      <c r="N108">
        <f t="shared" si="82"/>
        <v>783</v>
      </c>
      <c r="O108">
        <f t="shared" si="82"/>
        <v>783</v>
      </c>
      <c r="P108">
        <f t="shared" si="82"/>
        <v>783</v>
      </c>
      <c r="Q108">
        <f t="shared" si="82"/>
        <v>783</v>
      </c>
      <c r="R108">
        <f t="shared" si="82"/>
        <v>783</v>
      </c>
      <c r="S108">
        <f t="shared" si="82"/>
        <v>783</v>
      </c>
      <c r="T108">
        <f t="shared" si="82"/>
        <v>783</v>
      </c>
      <c r="U108">
        <f t="shared" si="82"/>
        <v>783</v>
      </c>
      <c r="V108">
        <f t="shared" si="82"/>
        <v>783</v>
      </c>
      <c r="W108">
        <f t="shared" si="82"/>
        <v>783</v>
      </c>
      <c r="X108">
        <f t="shared" si="82"/>
        <v>783</v>
      </c>
      <c r="Y108">
        <f t="shared" si="82"/>
        <v>783</v>
      </c>
      <c r="Z108">
        <f t="shared" si="82"/>
        <v>783</v>
      </c>
      <c r="AA108">
        <f t="shared" si="82"/>
        <v>783</v>
      </c>
      <c r="AB108">
        <f t="shared" si="82"/>
        <v>783</v>
      </c>
      <c r="AC108">
        <f t="shared" si="82"/>
        <v>783</v>
      </c>
      <c r="AD108">
        <f t="shared" si="82"/>
        <v>783</v>
      </c>
      <c r="AE108">
        <f t="shared" si="82"/>
        <v>783</v>
      </c>
      <c r="AF108">
        <f t="shared" si="82"/>
        <v>783</v>
      </c>
      <c r="AG108">
        <f t="shared" si="82"/>
        <v>783</v>
      </c>
      <c r="AH108">
        <f t="shared" si="82"/>
        <v>783</v>
      </c>
      <c r="AI108">
        <f t="shared" si="82"/>
        <v>783</v>
      </c>
      <c r="AJ108">
        <f t="shared" si="82"/>
        <v>783</v>
      </c>
      <c r="AK108">
        <f t="shared" si="82"/>
        <v>783</v>
      </c>
      <c r="AL108">
        <f t="shared" si="82"/>
        <v>783</v>
      </c>
      <c r="AM108">
        <f t="shared" si="82"/>
        <v>783</v>
      </c>
      <c r="AN108">
        <f t="shared" si="82"/>
        <v>783</v>
      </c>
      <c r="AO108">
        <f t="shared" si="82"/>
        <v>783</v>
      </c>
      <c r="AP108">
        <f t="shared" si="82"/>
        <v>783</v>
      </c>
      <c r="AQ108">
        <f t="shared" si="82"/>
        <v>783</v>
      </c>
      <c r="AR108">
        <f t="shared" si="82"/>
        <v>783</v>
      </c>
      <c r="AS108">
        <f t="shared" si="82"/>
        <v>783</v>
      </c>
      <c r="AT108">
        <f t="shared" si="82"/>
        <v>783</v>
      </c>
      <c r="AU108">
        <f t="shared" si="82"/>
        <v>783</v>
      </c>
      <c r="AV108">
        <f t="shared" si="82"/>
        <v>783</v>
      </c>
      <c r="AW108">
        <f t="shared" si="82"/>
        <v>783</v>
      </c>
      <c r="AX108">
        <f t="shared" si="82"/>
        <v>783</v>
      </c>
      <c r="AY108">
        <f t="shared" si="82"/>
        <v>783</v>
      </c>
      <c r="AZ108">
        <f t="shared" si="82"/>
        <v>783</v>
      </c>
      <c r="BA108">
        <f t="shared" si="82"/>
        <v>783</v>
      </c>
      <c r="BB108">
        <f t="shared" si="82"/>
        <v>783</v>
      </c>
      <c r="BC108">
        <f t="shared" si="82"/>
        <v>783</v>
      </c>
      <c r="BD108">
        <f t="shared" si="82"/>
        <v>783</v>
      </c>
      <c r="BE108">
        <f t="shared" si="82"/>
        <v>783</v>
      </c>
      <c r="BF108">
        <f t="shared" si="82"/>
        <v>783</v>
      </c>
      <c r="BG108">
        <f t="shared" si="82"/>
        <v>783</v>
      </c>
      <c r="BH108">
        <f t="shared" si="82"/>
        <v>783</v>
      </c>
      <c r="BI108">
        <f t="shared" si="82"/>
        <v>783</v>
      </c>
      <c r="BJ108">
        <f t="shared" si="82"/>
        <v>783</v>
      </c>
      <c r="BK108">
        <f t="shared" si="82"/>
        <v>783</v>
      </c>
      <c r="BL108">
        <f t="shared" si="82"/>
        <v>783</v>
      </c>
      <c r="BM108">
        <f t="shared" si="82"/>
        <v>783</v>
      </c>
      <c r="BN108">
        <f t="shared" si="82"/>
        <v>783</v>
      </c>
      <c r="BO108" t="b">
        <f t="shared" si="82"/>
        <v>0</v>
      </c>
      <c r="BP108" t="b">
        <f t="shared" si="82"/>
        <v>0</v>
      </c>
      <c r="BQ108" t="b">
        <f t="shared" si="82"/>
        <v>0</v>
      </c>
      <c r="BR108" t="b">
        <f t="shared" si="82"/>
        <v>0</v>
      </c>
      <c r="BS108" t="b">
        <f t="shared" si="82"/>
        <v>0</v>
      </c>
      <c r="BT108" t="b">
        <f t="shared" si="82"/>
        <v>0</v>
      </c>
      <c r="BU108" t="b">
        <f t="shared" si="82"/>
        <v>0</v>
      </c>
      <c r="BV108" t="b">
        <f t="shared" si="82"/>
        <v>0</v>
      </c>
      <c r="BW108" t="b">
        <f t="shared" si="82"/>
        <v>0</v>
      </c>
      <c r="BX108" t="b">
        <f t="shared" ref="BX108:CI108" si="83">IF(BX9,$G$109)</f>
        <v>0</v>
      </c>
      <c r="BY108" t="b">
        <f t="shared" si="83"/>
        <v>0</v>
      </c>
      <c r="BZ108" t="b">
        <f t="shared" si="83"/>
        <v>0</v>
      </c>
      <c r="CA108" t="b">
        <f t="shared" si="83"/>
        <v>0</v>
      </c>
      <c r="CB108" t="b">
        <f t="shared" si="83"/>
        <v>0</v>
      </c>
      <c r="CC108" t="b">
        <f t="shared" si="83"/>
        <v>0</v>
      </c>
      <c r="CD108" t="b">
        <f t="shared" si="83"/>
        <v>0</v>
      </c>
      <c r="CE108" t="b">
        <f t="shared" si="83"/>
        <v>0</v>
      </c>
      <c r="CF108" t="b">
        <f t="shared" si="83"/>
        <v>0</v>
      </c>
      <c r="CG108" t="b">
        <f t="shared" si="83"/>
        <v>0</v>
      </c>
      <c r="CH108" t="b">
        <f t="shared" si="83"/>
        <v>0</v>
      </c>
      <c r="CI108" t="b">
        <f t="shared" si="83"/>
        <v>0</v>
      </c>
    </row>
    <row r="109" spans="2:87">
      <c r="B109"/>
      <c r="E109" s="34"/>
      <c r="F109" s="7" t="s">
        <v>1253</v>
      </c>
      <c r="G109">
        <f>ROUNDUP(max_na(K98:CI107),0)</f>
        <v>783</v>
      </c>
      <c r="I109" s="7" t="s">
        <v>950</v>
      </c>
      <c r="K109" t="b">
        <f>IF(NOT(K9),$G$109)</f>
        <v>0</v>
      </c>
      <c r="L109" t="b">
        <f t="shared" ref="L109:BW109" si="84">IF(NOT(L9),$G$109)</f>
        <v>0</v>
      </c>
      <c r="M109" t="b">
        <f t="shared" si="84"/>
        <v>0</v>
      </c>
      <c r="N109" t="b">
        <f t="shared" si="84"/>
        <v>0</v>
      </c>
      <c r="O109" t="b">
        <f t="shared" si="84"/>
        <v>0</v>
      </c>
      <c r="P109" t="b">
        <f t="shared" si="84"/>
        <v>0</v>
      </c>
      <c r="Q109" t="b">
        <f t="shared" si="84"/>
        <v>0</v>
      </c>
      <c r="R109" t="b">
        <f t="shared" si="84"/>
        <v>0</v>
      </c>
      <c r="S109" t="b">
        <f t="shared" si="84"/>
        <v>0</v>
      </c>
      <c r="T109" t="b">
        <f t="shared" si="84"/>
        <v>0</v>
      </c>
      <c r="U109" t="b">
        <f t="shared" si="84"/>
        <v>0</v>
      </c>
      <c r="V109" t="b">
        <f t="shared" si="84"/>
        <v>0</v>
      </c>
      <c r="W109" t="b">
        <f t="shared" si="84"/>
        <v>0</v>
      </c>
      <c r="X109" t="b">
        <f t="shared" si="84"/>
        <v>0</v>
      </c>
      <c r="Y109" t="b">
        <f t="shared" si="84"/>
        <v>0</v>
      </c>
      <c r="Z109" t="b">
        <f t="shared" si="84"/>
        <v>0</v>
      </c>
      <c r="AA109" t="b">
        <f t="shared" si="84"/>
        <v>0</v>
      </c>
      <c r="AB109" t="b">
        <f t="shared" si="84"/>
        <v>0</v>
      </c>
      <c r="AC109" t="b">
        <f t="shared" si="84"/>
        <v>0</v>
      </c>
      <c r="AD109" t="b">
        <f t="shared" si="84"/>
        <v>0</v>
      </c>
      <c r="AE109" t="b">
        <f t="shared" si="84"/>
        <v>0</v>
      </c>
      <c r="AF109" t="b">
        <f t="shared" si="84"/>
        <v>0</v>
      </c>
      <c r="AG109" t="b">
        <f t="shared" si="84"/>
        <v>0</v>
      </c>
      <c r="AH109" t="b">
        <f t="shared" si="84"/>
        <v>0</v>
      </c>
      <c r="AI109" t="b">
        <f t="shared" si="84"/>
        <v>0</v>
      </c>
      <c r="AJ109" t="b">
        <f t="shared" si="84"/>
        <v>0</v>
      </c>
      <c r="AK109" t="b">
        <f t="shared" si="84"/>
        <v>0</v>
      </c>
      <c r="AL109" t="b">
        <f t="shared" si="84"/>
        <v>0</v>
      </c>
      <c r="AM109" t="b">
        <f t="shared" si="84"/>
        <v>0</v>
      </c>
      <c r="AN109" t="b">
        <f t="shared" si="84"/>
        <v>0</v>
      </c>
      <c r="AO109" t="b">
        <f t="shared" si="84"/>
        <v>0</v>
      </c>
      <c r="AP109" t="b">
        <f t="shared" si="84"/>
        <v>0</v>
      </c>
      <c r="AQ109" t="b">
        <f t="shared" si="84"/>
        <v>0</v>
      </c>
      <c r="AR109" t="b">
        <f t="shared" si="84"/>
        <v>0</v>
      </c>
      <c r="AS109" t="b">
        <f t="shared" si="84"/>
        <v>0</v>
      </c>
      <c r="AT109" t="b">
        <f t="shared" si="84"/>
        <v>0</v>
      </c>
      <c r="AU109" t="b">
        <f t="shared" si="84"/>
        <v>0</v>
      </c>
      <c r="AV109" t="b">
        <f t="shared" si="84"/>
        <v>0</v>
      </c>
      <c r="AW109" t="b">
        <f t="shared" si="84"/>
        <v>0</v>
      </c>
      <c r="AX109" t="b">
        <f t="shared" si="84"/>
        <v>0</v>
      </c>
      <c r="AY109" t="b">
        <f t="shared" si="84"/>
        <v>0</v>
      </c>
      <c r="AZ109" t="b">
        <f t="shared" si="84"/>
        <v>0</v>
      </c>
      <c r="BA109" t="b">
        <f t="shared" si="84"/>
        <v>0</v>
      </c>
      <c r="BB109" t="b">
        <f t="shared" si="84"/>
        <v>0</v>
      </c>
      <c r="BC109" t="b">
        <f t="shared" si="84"/>
        <v>0</v>
      </c>
      <c r="BD109" t="b">
        <f t="shared" si="84"/>
        <v>0</v>
      </c>
      <c r="BE109" t="b">
        <f t="shared" si="84"/>
        <v>0</v>
      </c>
      <c r="BF109" t="b">
        <f t="shared" si="84"/>
        <v>0</v>
      </c>
      <c r="BG109" t="b">
        <f t="shared" si="84"/>
        <v>0</v>
      </c>
      <c r="BH109" t="b">
        <f t="shared" si="84"/>
        <v>0</v>
      </c>
      <c r="BI109" t="b">
        <f t="shared" si="84"/>
        <v>0</v>
      </c>
      <c r="BJ109" t="b">
        <f t="shared" si="84"/>
        <v>0</v>
      </c>
      <c r="BK109" t="b">
        <f t="shared" si="84"/>
        <v>0</v>
      </c>
      <c r="BL109" t="b">
        <f t="shared" si="84"/>
        <v>0</v>
      </c>
      <c r="BM109" t="b">
        <f t="shared" si="84"/>
        <v>0</v>
      </c>
      <c r="BN109" t="b">
        <f t="shared" si="84"/>
        <v>0</v>
      </c>
      <c r="BO109">
        <f t="shared" si="84"/>
        <v>783</v>
      </c>
      <c r="BP109">
        <f t="shared" si="84"/>
        <v>783</v>
      </c>
      <c r="BQ109">
        <f t="shared" si="84"/>
        <v>783</v>
      </c>
      <c r="BR109">
        <f t="shared" si="84"/>
        <v>783</v>
      </c>
      <c r="BS109">
        <f t="shared" si="84"/>
        <v>783</v>
      </c>
      <c r="BT109">
        <f t="shared" si="84"/>
        <v>783</v>
      </c>
      <c r="BU109">
        <f t="shared" si="84"/>
        <v>783</v>
      </c>
      <c r="BV109">
        <f t="shared" si="84"/>
        <v>783</v>
      </c>
      <c r="BW109">
        <f t="shared" si="84"/>
        <v>783</v>
      </c>
      <c r="BX109">
        <f t="shared" ref="BX109:CI109" si="85">IF(NOT(BX9),$G$109)</f>
        <v>783</v>
      </c>
      <c r="BY109">
        <f t="shared" si="85"/>
        <v>783</v>
      </c>
      <c r="BZ109">
        <f t="shared" si="85"/>
        <v>783</v>
      </c>
      <c r="CA109">
        <f t="shared" si="85"/>
        <v>783</v>
      </c>
      <c r="CB109">
        <f t="shared" si="85"/>
        <v>783</v>
      </c>
      <c r="CC109">
        <f t="shared" si="85"/>
        <v>783</v>
      </c>
      <c r="CD109">
        <f t="shared" si="85"/>
        <v>783</v>
      </c>
      <c r="CE109">
        <f t="shared" si="85"/>
        <v>783</v>
      </c>
      <c r="CF109">
        <f t="shared" si="85"/>
        <v>783</v>
      </c>
      <c r="CG109">
        <f t="shared" si="85"/>
        <v>783</v>
      </c>
      <c r="CH109">
        <f t="shared" si="85"/>
        <v>783</v>
      </c>
      <c r="CI109">
        <f t="shared" si="85"/>
        <v>783</v>
      </c>
    </row>
    <row r="110" spans="2:87">
      <c r="B110"/>
      <c r="E110" s="34"/>
    </row>
    <row r="111" spans="2:87">
      <c r="B111"/>
      <c r="E111" s="34"/>
    </row>
    <row r="112" spans="2:87">
      <c r="B112" t="str">
        <f t="shared" ref="B112:B119" si="86">MID(C112,2,25)</f>
        <v/>
      </c>
      <c r="E112" s="34"/>
    </row>
    <row r="113" spans="2:87">
      <c r="B113" t="str">
        <f t="shared" si="86"/>
        <v/>
      </c>
      <c r="E113" s="34"/>
      <c r="K113" t="e">
        <f>K97</f>
        <v>#N/A</v>
      </c>
      <c r="L113" t="e">
        <f t="shared" ref="L113:BW113" si="87">L97</f>
        <v>#N/A</v>
      </c>
      <c r="M113" t="e">
        <f t="shared" si="87"/>
        <v>#N/A</v>
      </c>
      <c r="N113" t="e">
        <f t="shared" si="87"/>
        <v>#N/A</v>
      </c>
      <c r="O113" t="e">
        <f t="shared" si="87"/>
        <v>#N/A</v>
      </c>
      <c r="P113" t="e">
        <f t="shared" si="87"/>
        <v>#N/A</v>
      </c>
      <c r="Q113" t="e">
        <f t="shared" si="87"/>
        <v>#N/A</v>
      </c>
      <c r="R113" t="e">
        <f t="shared" si="87"/>
        <v>#N/A</v>
      </c>
      <c r="S113" t="e">
        <f t="shared" si="87"/>
        <v>#N/A</v>
      </c>
      <c r="T113" t="e">
        <f t="shared" si="87"/>
        <v>#N/A</v>
      </c>
      <c r="U113" t="e">
        <f t="shared" si="87"/>
        <v>#N/A</v>
      </c>
      <c r="V113" t="e">
        <f t="shared" si="87"/>
        <v>#N/A</v>
      </c>
      <c r="W113" t="e">
        <f t="shared" si="87"/>
        <v>#N/A</v>
      </c>
      <c r="X113" t="e">
        <f t="shared" si="87"/>
        <v>#N/A</v>
      </c>
      <c r="Y113" t="e">
        <f t="shared" si="87"/>
        <v>#N/A</v>
      </c>
      <c r="Z113" t="e">
        <f t="shared" si="87"/>
        <v>#N/A</v>
      </c>
      <c r="AA113" t="e">
        <f t="shared" si="87"/>
        <v>#N/A</v>
      </c>
      <c r="AB113" t="e">
        <f t="shared" si="87"/>
        <v>#N/A</v>
      </c>
      <c r="AC113" t="e">
        <f t="shared" si="87"/>
        <v>#N/A</v>
      </c>
      <c r="AD113" t="e">
        <f t="shared" si="87"/>
        <v>#N/A</v>
      </c>
      <c r="AE113" t="e">
        <f t="shared" si="87"/>
        <v>#N/A</v>
      </c>
      <c r="AF113" t="e">
        <f t="shared" si="87"/>
        <v>#N/A</v>
      </c>
      <c r="AG113" t="e">
        <f t="shared" si="87"/>
        <v>#N/A</v>
      </c>
      <c r="AH113" t="e">
        <f t="shared" si="87"/>
        <v>#N/A</v>
      </c>
      <c r="AI113" t="e">
        <f t="shared" si="87"/>
        <v>#N/A</v>
      </c>
      <c r="AJ113" t="e">
        <f t="shared" si="87"/>
        <v>#N/A</v>
      </c>
      <c r="AK113" t="e">
        <f t="shared" si="87"/>
        <v>#N/A</v>
      </c>
      <c r="AL113" t="e">
        <f t="shared" si="87"/>
        <v>#N/A</v>
      </c>
      <c r="AM113" t="e">
        <f t="shared" si="87"/>
        <v>#N/A</v>
      </c>
      <c r="AN113" t="e">
        <f t="shared" si="87"/>
        <v>#N/A</v>
      </c>
      <c r="AO113" t="e">
        <f t="shared" si="87"/>
        <v>#N/A</v>
      </c>
      <c r="AP113" t="e">
        <f t="shared" si="87"/>
        <v>#N/A</v>
      </c>
      <c r="AQ113" t="e">
        <f t="shared" si="87"/>
        <v>#N/A</v>
      </c>
      <c r="AR113" t="e">
        <f t="shared" si="87"/>
        <v>#N/A</v>
      </c>
      <c r="AS113" t="e">
        <f t="shared" si="87"/>
        <v>#N/A</v>
      </c>
      <c r="AT113" t="e">
        <f t="shared" si="87"/>
        <v>#N/A</v>
      </c>
      <c r="AU113">
        <f t="shared" si="87"/>
        <v>1996</v>
      </c>
      <c r="AV113">
        <f t="shared" si="87"/>
        <v>1997</v>
      </c>
      <c r="AW113">
        <f t="shared" si="87"/>
        <v>1998</v>
      </c>
      <c r="AX113">
        <f t="shared" si="87"/>
        <v>1999</v>
      </c>
      <c r="AY113">
        <f t="shared" si="87"/>
        <v>2000</v>
      </c>
      <c r="AZ113">
        <f t="shared" si="87"/>
        <v>2001</v>
      </c>
      <c r="BA113">
        <f t="shared" si="87"/>
        <v>2002</v>
      </c>
      <c r="BB113">
        <f t="shared" si="87"/>
        <v>2003</v>
      </c>
      <c r="BC113">
        <f t="shared" si="87"/>
        <v>2004</v>
      </c>
      <c r="BD113">
        <f t="shared" si="87"/>
        <v>2005</v>
      </c>
      <c r="BE113">
        <f t="shared" si="87"/>
        <v>2006</v>
      </c>
      <c r="BF113">
        <f t="shared" si="87"/>
        <v>2007</v>
      </c>
      <c r="BG113">
        <f t="shared" si="87"/>
        <v>2008</v>
      </c>
      <c r="BH113">
        <f t="shared" si="87"/>
        <v>2009</v>
      </c>
      <c r="BI113">
        <f t="shared" si="87"/>
        <v>2010</v>
      </c>
      <c r="BJ113">
        <f t="shared" si="87"/>
        <v>2011</v>
      </c>
      <c r="BK113">
        <f t="shared" si="87"/>
        <v>2012</v>
      </c>
      <c r="BL113">
        <f t="shared" si="87"/>
        <v>2013</v>
      </c>
      <c r="BM113">
        <f t="shared" si="87"/>
        <v>2014</v>
      </c>
      <c r="BN113">
        <f t="shared" si="87"/>
        <v>2015</v>
      </c>
      <c r="BO113">
        <f t="shared" si="87"/>
        <v>2016</v>
      </c>
      <c r="BP113">
        <f t="shared" si="87"/>
        <v>2017</v>
      </c>
      <c r="BQ113">
        <f t="shared" si="87"/>
        <v>2018</v>
      </c>
      <c r="BR113">
        <f t="shared" si="87"/>
        <v>2019</v>
      </c>
      <c r="BS113">
        <f t="shared" si="87"/>
        <v>2020</v>
      </c>
      <c r="BT113">
        <f t="shared" si="87"/>
        <v>2021</v>
      </c>
      <c r="BU113">
        <f t="shared" si="87"/>
        <v>2022</v>
      </c>
      <c r="BV113">
        <f t="shared" si="87"/>
        <v>2023</v>
      </c>
      <c r="BW113">
        <f t="shared" si="87"/>
        <v>2024</v>
      </c>
      <c r="BX113">
        <f t="shared" ref="BX113:CI113" si="88">BX97</f>
        <v>2025</v>
      </c>
      <c r="BY113">
        <f t="shared" si="88"/>
        <v>2026</v>
      </c>
      <c r="BZ113">
        <f t="shared" si="88"/>
        <v>2027</v>
      </c>
      <c r="CA113" t="e">
        <f t="shared" si="88"/>
        <v>#N/A</v>
      </c>
      <c r="CB113" t="e">
        <f t="shared" si="88"/>
        <v>#N/A</v>
      </c>
      <c r="CC113" t="e">
        <f t="shared" si="88"/>
        <v>#N/A</v>
      </c>
      <c r="CD113" t="e">
        <f t="shared" si="88"/>
        <v>#N/A</v>
      </c>
      <c r="CE113" t="e">
        <f t="shared" si="88"/>
        <v>#N/A</v>
      </c>
      <c r="CF113" t="e">
        <f t="shared" si="88"/>
        <v>#N/A</v>
      </c>
      <c r="CG113" t="e">
        <f t="shared" si="88"/>
        <v>#N/A</v>
      </c>
      <c r="CH113" t="e">
        <f t="shared" si="88"/>
        <v>#N/A</v>
      </c>
      <c r="CI113" t="e">
        <f t="shared" si="88"/>
        <v>#N/A</v>
      </c>
    </row>
    <row r="114" spans="2:87">
      <c r="B114" t="str">
        <f t="shared" si="86"/>
        <v/>
      </c>
      <c r="E114" s="34"/>
      <c r="I114" s="7" t="str">
        <f>"History "&amp;I98</f>
        <v>History Crude oil, avg</v>
      </c>
      <c r="J114" t="str">
        <f>J59</f>
        <v>$/bbl</v>
      </c>
      <c r="K114" t="e">
        <f>IF(K9,K98)</f>
        <v>#N/A</v>
      </c>
      <c r="L114" t="e">
        <f t="shared" ref="L114:BW114" si="89">IF(L9,L98)</f>
        <v>#N/A</v>
      </c>
      <c r="M114" t="e">
        <f t="shared" si="89"/>
        <v>#N/A</v>
      </c>
      <c r="N114" t="e">
        <f t="shared" si="89"/>
        <v>#N/A</v>
      </c>
      <c r="O114" t="e">
        <f t="shared" si="89"/>
        <v>#N/A</v>
      </c>
      <c r="P114" t="e">
        <f t="shared" si="89"/>
        <v>#N/A</v>
      </c>
      <c r="Q114" t="e">
        <f t="shared" si="89"/>
        <v>#N/A</v>
      </c>
      <c r="R114" t="e">
        <f t="shared" si="89"/>
        <v>#N/A</v>
      </c>
      <c r="S114" t="e">
        <f t="shared" si="89"/>
        <v>#N/A</v>
      </c>
      <c r="T114" t="e">
        <f t="shared" si="89"/>
        <v>#N/A</v>
      </c>
      <c r="U114" t="e">
        <f t="shared" si="89"/>
        <v>#N/A</v>
      </c>
      <c r="V114" t="e">
        <f t="shared" si="89"/>
        <v>#N/A</v>
      </c>
      <c r="W114" t="e">
        <f t="shared" si="89"/>
        <v>#N/A</v>
      </c>
      <c r="X114" t="e">
        <f t="shared" si="89"/>
        <v>#N/A</v>
      </c>
      <c r="Y114" t="e">
        <f t="shared" si="89"/>
        <v>#N/A</v>
      </c>
      <c r="Z114" t="e">
        <f t="shared" si="89"/>
        <v>#N/A</v>
      </c>
      <c r="AA114" t="e">
        <f t="shared" si="89"/>
        <v>#N/A</v>
      </c>
      <c r="AB114" t="e">
        <f t="shared" si="89"/>
        <v>#N/A</v>
      </c>
      <c r="AC114" t="e">
        <f t="shared" si="89"/>
        <v>#N/A</v>
      </c>
      <c r="AD114" t="e">
        <f t="shared" si="89"/>
        <v>#N/A</v>
      </c>
      <c r="AE114" t="e">
        <f t="shared" si="89"/>
        <v>#N/A</v>
      </c>
      <c r="AF114" t="e">
        <f t="shared" si="89"/>
        <v>#N/A</v>
      </c>
      <c r="AG114" t="e">
        <f t="shared" si="89"/>
        <v>#N/A</v>
      </c>
      <c r="AH114" t="e">
        <f t="shared" si="89"/>
        <v>#N/A</v>
      </c>
      <c r="AI114" t="e">
        <f t="shared" si="89"/>
        <v>#N/A</v>
      </c>
      <c r="AJ114" t="e">
        <f t="shared" si="89"/>
        <v>#N/A</v>
      </c>
      <c r="AK114" t="e">
        <f t="shared" si="89"/>
        <v>#N/A</v>
      </c>
      <c r="AL114" t="e">
        <f t="shared" si="89"/>
        <v>#N/A</v>
      </c>
      <c r="AM114" t="e">
        <f t="shared" si="89"/>
        <v>#N/A</v>
      </c>
      <c r="AN114" t="e">
        <f t="shared" si="89"/>
        <v>#N/A</v>
      </c>
      <c r="AO114" t="e">
        <f t="shared" si="89"/>
        <v>#N/A</v>
      </c>
      <c r="AP114" t="e">
        <f t="shared" si="89"/>
        <v>#N/A</v>
      </c>
      <c r="AQ114" t="e">
        <f t="shared" si="89"/>
        <v>#N/A</v>
      </c>
      <c r="AR114" t="e">
        <f t="shared" si="89"/>
        <v>#N/A</v>
      </c>
      <c r="AS114" t="e">
        <f t="shared" si="89"/>
        <v>#N/A</v>
      </c>
      <c r="AT114" t="e">
        <f t="shared" si="89"/>
        <v>#N/A</v>
      </c>
      <c r="AU114" t="e">
        <f t="shared" si="89"/>
        <v>#N/A</v>
      </c>
      <c r="AV114" t="e">
        <f t="shared" si="89"/>
        <v>#N/A</v>
      </c>
      <c r="AW114" t="e">
        <f t="shared" si="89"/>
        <v>#N/A</v>
      </c>
      <c r="AX114" t="e">
        <f t="shared" si="89"/>
        <v>#N/A</v>
      </c>
      <c r="AY114" t="e">
        <f t="shared" si="89"/>
        <v>#N/A</v>
      </c>
      <c r="AZ114" t="e">
        <f t="shared" si="89"/>
        <v>#N/A</v>
      </c>
      <c r="BA114" t="e">
        <f t="shared" si="89"/>
        <v>#N/A</v>
      </c>
      <c r="BB114" t="e">
        <f t="shared" si="89"/>
        <v>#N/A</v>
      </c>
      <c r="BC114" t="e">
        <f t="shared" si="89"/>
        <v>#N/A</v>
      </c>
      <c r="BD114" t="e">
        <f t="shared" si="89"/>
        <v>#N/A</v>
      </c>
      <c r="BE114" t="e">
        <f t="shared" si="89"/>
        <v>#N/A</v>
      </c>
      <c r="BF114" t="e">
        <f t="shared" si="89"/>
        <v>#N/A</v>
      </c>
      <c r="BG114" t="e">
        <f t="shared" si="89"/>
        <v>#N/A</v>
      </c>
      <c r="BH114" t="e">
        <f t="shared" si="89"/>
        <v>#N/A</v>
      </c>
      <c r="BI114" t="e">
        <f t="shared" si="89"/>
        <v>#N/A</v>
      </c>
      <c r="BJ114" t="e">
        <f t="shared" si="89"/>
        <v>#N/A</v>
      </c>
      <c r="BK114" t="e">
        <f t="shared" si="89"/>
        <v>#N/A</v>
      </c>
      <c r="BL114" t="e">
        <f t="shared" si="89"/>
        <v>#N/A</v>
      </c>
      <c r="BM114" t="e">
        <f t="shared" si="89"/>
        <v>#N/A</v>
      </c>
      <c r="BN114" t="e">
        <f t="shared" si="89"/>
        <v>#N/A</v>
      </c>
      <c r="BO114" t="b">
        <f t="shared" si="89"/>
        <v>0</v>
      </c>
      <c r="BP114" t="b">
        <f t="shared" si="89"/>
        <v>0</v>
      </c>
      <c r="BQ114" t="b">
        <f t="shared" si="89"/>
        <v>0</v>
      </c>
      <c r="BR114" t="b">
        <f t="shared" si="89"/>
        <v>0</v>
      </c>
      <c r="BS114" t="b">
        <f t="shared" si="89"/>
        <v>0</v>
      </c>
      <c r="BT114" t="b">
        <f t="shared" si="89"/>
        <v>0</v>
      </c>
      <c r="BU114" t="b">
        <f t="shared" si="89"/>
        <v>0</v>
      </c>
      <c r="BV114" t="b">
        <f t="shared" si="89"/>
        <v>0</v>
      </c>
      <c r="BW114" t="b">
        <f t="shared" si="89"/>
        <v>0</v>
      </c>
      <c r="BX114" t="b">
        <f t="shared" ref="BX114:CI114" si="90">IF(BX9,BX98)</f>
        <v>0</v>
      </c>
      <c r="BY114" t="b">
        <f t="shared" si="90"/>
        <v>0</v>
      </c>
      <c r="BZ114" t="b">
        <f t="shared" si="90"/>
        <v>0</v>
      </c>
      <c r="CA114" t="b">
        <f t="shared" si="90"/>
        <v>0</v>
      </c>
      <c r="CB114" t="b">
        <f t="shared" si="90"/>
        <v>0</v>
      </c>
      <c r="CC114" t="b">
        <f t="shared" si="90"/>
        <v>0</v>
      </c>
      <c r="CD114" t="b">
        <f t="shared" si="90"/>
        <v>0</v>
      </c>
      <c r="CE114" t="b">
        <f t="shared" si="90"/>
        <v>0</v>
      </c>
      <c r="CF114" t="b">
        <f t="shared" si="90"/>
        <v>0</v>
      </c>
      <c r="CG114" t="b">
        <f t="shared" si="90"/>
        <v>0</v>
      </c>
      <c r="CH114" t="b">
        <f t="shared" si="90"/>
        <v>0</v>
      </c>
      <c r="CI114" t="b">
        <f t="shared" si="90"/>
        <v>0</v>
      </c>
    </row>
    <row r="115" spans="2:87">
      <c r="B115" t="str">
        <f t="shared" si="86"/>
        <v/>
      </c>
      <c r="E115" s="34"/>
      <c r="I115" s="7" t="str">
        <f>"Projected "&amp;I98</f>
        <v>Projected Crude oil, avg</v>
      </c>
      <c r="J115" t="str">
        <f>J114</f>
        <v>$/bbl</v>
      </c>
      <c r="K115" t="b">
        <f>IF(NOT(K9),K98)</f>
        <v>0</v>
      </c>
      <c r="L115" t="b">
        <f t="shared" ref="L115:BW115" si="91">IF(NOT(L9),L98)</f>
        <v>0</v>
      </c>
      <c r="M115" t="b">
        <f t="shared" si="91"/>
        <v>0</v>
      </c>
      <c r="N115" t="b">
        <f t="shared" si="91"/>
        <v>0</v>
      </c>
      <c r="O115" t="b">
        <f t="shared" si="91"/>
        <v>0</v>
      </c>
      <c r="P115" t="b">
        <f t="shared" si="91"/>
        <v>0</v>
      </c>
      <c r="Q115" t="b">
        <f t="shared" si="91"/>
        <v>0</v>
      </c>
      <c r="R115" t="b">
        <f t="shared" si="91"/>
        <v>0</v>
      </c>
      <c r="S115" t="b">
        <f t="shared" si="91"/>
        <v>0</v>
      </c>
      <c r="T115" t="b">
        <f t="shared" si="91"/>
        <v>0</v>
      </c>
      <c r="U115" t="b">
        <f t="shared" si="91"/>
        <v>0</v>
      </c>
      <c r="V115" t="b">
        <f t="shared" si="91"/>
        <v>0</v>
      </c>
      <c r="W115" t="b">
        <f t="shared" si="91"/>
        <v>0</v>
      </c>
      <c r="X115" t="b">
        <f t="shared" si="91"/>
        <v>0</v>
      </c>
      <c r="Y115" t="b">
        <f t="shared" si="91"/>
        <v>0</v>
      </c>
      <c r="Z115" t="b">
        <f t="shared" si="91"/>
        <v>0</v>
      </c>
      <c r="AA115" t="b">
        <f t="shared" si="91"/>
        <v>0</v>
      </c>
      <c r="AB115" t="b">
        <f t="shared" si="91"/>
        <v>0</v>
      </c>
      <c r="AC115" t="b">
        <f t="shared" si="91"/>
        <v>0</v>
      </c>
      <c r="AD115" t="b">
        <f t="shared" si="91"/>
        <v>0</v>
      </c>
      <c r="AE115" t="b">
        <f t="shared" si="91"/>
        <v>0</v>
      </c>
      <c r="AF115" t="b">
        <f t="shared" si="91"/>
        <v>0</v>
      </c>
      <c r="AG115" t="b">
        <f t="shared" si="91"/>
        <v>0</v>
      </c>
      <c r="AH115" t="b">
        <f t="shared" si="91"/>
        <v>0</v>
      </c>
      <c r="AI115" t="b">
        <f t="shared" si="91"/>
        <v>0</v>
      </c>
      <c r="AJ115" t="b">
        <f t="shared" si="91"/>
        <v>0</v>
      </c>
      <c r="AK115" t="b">
        <f t="shared" si="91"/>
        <v>0</v>
      </c>
      <c r="AL115" t="b">
        <f t="shared" si="91"/>
        <v>0</v>
      </c>
      <c r="AM115" t="b">
        <f t="shared" si="91"/>
        <v>0</v>
      </c>
      <c r="AN115" t="b">
        <f t="shared" si="91"/>
        <v>0</v>
      </c>
      <c r="AO115" t="b">
        <f t="shared" si="91"/>
        <v>0</v>
      </c>
      <c r="AP115" t="b">
        <f t="shared" si="91"/>
        <v>0</v>
      </c>
      <c r="AQ115" t="b">
        <f t="shared" si="91"/>
        <v>0</v>
      </c>
      <c r="AR115" t="b">
        <f t="shared" si="91"/>
        <v>0</v>
      </c>
      <c r="AS115" t="b">
        <f t="shared" si="91"/>
        <v>0</v>
      </c>
      <c r="AT115" t="b">
        <f t="shared" si="91"/>
        <v>0</v>
      </c>
      <c r="AU115" t="b">
        <f t="shared" si="91"/>
        <v>0</v>
      </c>
      <c r="AV115" t="b">
        <f t="shared" si="91"/>
        <v>0</v>
      </c>
      <c r="AW115" t="b">
        <f t="shared" si="91"/>
        <v>0</v>
      </c>
      <c r="AX115" t="b">
        <f t="shared" si="91"/>
        <v>0</v>
      </c>
      <c r="AY115" t="b">
        <f t="shared" si="91"/>
        <v>0</v>
      </c>
      <c r="AZ115" t="b">
        <f t="shared" si="91"/>
        <v>0</v>
      </c>
      <c r="BA115" t="b">
        <f t="shared" si="91"/>
        <v>0</v>
      </c>
      <c r="BB115" t="b">
        <f t="shared" si="91"/>
        <v>0</v>
      </c>
      <c r="BC115" t="b">
        <f t="shared" si="91"/>
        <v>0</v>
      </c>
      <c r="BD115" t="b">
        <f t="shared" si="91"/>
        <v>0</v>
      </c>
      <c r="BE115" t="b">
        <f t="shared" si="91"/>
        <v>0</v>
      </c>
      <c r="BF115" t="b">
        <f t="shared" si="91"/>
        <v>0</v>
      </c>
      <c r="BG115" t="b">
        <f t="shared" si="91"/>
        <v>0</v>
      </c>
      <c r="BH115" t="b">
        <f t="shared" si="91"/>
        <v>0</v>
      </c>
      <c r="BI115" t="b">
        <f t="shared" si="91"/>
        <v>0</v>
      </c>
      <c r="BJ115" t="b">
        <f t="shared" si="91"/>
        <v>0</v>
      </c>
      <c r="BK115" t="b">
        <f t="shared" si="91"/>
        <v>0</v>
      </c>
      <c r="BL115" t="b">
        <f t="shared" si="91"/>
        <v>0</v>
      </c>
      <c r="BM115" t="b">
        <f t="shared" si="91"/>
        <v>0</v>
      </c>
      <c r="BN115" t="b">
        <f t="shared" si="91"/>
        <v>0</v>
      </c>
      <c r="BO115">
        <f t="shared" si="91"/>
        <v>45.5289728675681</v>
      </c>
      <c r="BP115">
        <f t="shared" si="91"/>
        <v>54.278585167156798</v>
      </c>
      <c r="BQ115">
        <f t="shared" si="91"/>
        <v>67.100566918588896</v>
      </c>
      <c r="BR115">
        <f t="shared" si="91"/>
        <v>63.535438870449099</v>
      </c>
      <c r="BS115">
        <f t="shared" si="91"/>
        <v>61.526371135298</v>
      </c>
      <c r="BT115">
        <f t="shared" si="91"/>
        <v>60.962426218009902</v>
      </c>
      <c r="BU115">
        <f t="shared" si="91"/>
        <v>60.355229218052102</v>
      </c>
      <c r="BV115">
        <f t="shared" si="91"/>
        <v>59.759353581257201</v>
      </c>
      <c r="BW115">
        <f t="shared" si="91"/>
        <v>59.169341288935499</v>
      </c>
      <c r="BX115">
        <f t="shared" ref="BX115:CI115" si="92">IF(NOT(BX9),BX98)</f>
        <v>58.581775439389901</v>
      </c>
      <c r="BY115" t="e">
        <f t="shared" si="92"/>
        <v>#N/A</v>
      </c>
      <c r="BZ115" t="e">
        <f t="shared" si="92"/>
        <v>#N/A</v>
      </c>
      <c r="CA115" t="e">
        <f t="shared" si="92"/>
        <v>#N/A</v>
      </c>
      <c r="CB115" t="e">
        <f t="shared" si="92"/>
        <v>#N/A</v>
      </c>
      <c r="CC115">
        <f t="shared" si="92"/>
        <v>55.645183483951598</v>
      </c>
      <c r="CD115" t="e">
        <f t="shared" si="92"/>
        <v>#N/A</v>
      </c>
      <c r="CE115" t="e">
        <f t="shared" si="92"/>
        <v>#N/A</v>
      </c>
      <c r="CF115" t="e">
        <f t="shared" si="92"/>
        <v>#N/A</v>
      </c>
      <c r="CG115" t="e">
        <f t="shared" si="92"/>
        <v>#N/A</v>
      </c>
      <c r="CH115" t="e">
        <f t="shared" si="92"/>
        <v>#N/A</v>
      </c>
      <c r="CI115" t="e">
        <f t="shared" si="92"/>
        <v>#N/A</v>
      </c>
    </row>
    <row r="116" spans="2:87">
      <c r="B116" t="str">
        <f t="shared" si="86"/>
        <v/>
      </c>
      <c r="E116" s="34"/>
      <c r="I116" s="7" t="str">
        <f>"History "&amp;I99</f>
        <v>History Palm oil</v>
      </c>
      <c r="K116" t="e">
        <f>IF(K9,K99)</f>
        <v>#N/A</v>
      </c>
      <c r="L116" t="e">
        <f t="shared" ref="L116:BW116" si="93">IF(L9,L99)</f>
        <v>#N/A</v>
      </c>
      <c r="M116" t="e">
        <f t="shared" si="93"/>
        <v>#N/A</v>
      </c>
      <c r="N116" t="e">
        <f t="shared" si="93"/>
        <v>#N/A</v>
      </c>
      <c r="O116" t="e">
        <f t="shared" si="93"/>
        <v>#N/A</v>
      </c>
      <c r="P116" t="e">
        <f t="shared" si="93"/>
        <v>#N/A</v>
      </c>
      <c r="Q116" t="e">
        <f t="shared" si="93"/>
        <v>#N/A</v>
      </c>
      <c r="R116" t="e">
        <f t="shared" si="93"/>
        <v>#N/A</v>
      </c>
      <c r="S116" t="e">
        <f t="shared" si="93"/>
        <v>#N/A</v>
      </c>
      <c r="T116" t="e">
        <f t="shared" si="93"/>
        <v>#N/A</v>
      </c>
      <c r="U116" t="e">
        <f t="shared" si="93"/>
        <v>#N/A</v>
      </c>
      <c r="V116" t="e">
        <f t="shared" si="93"/>
        <v>#N/A</v>
      </c>
      <c r="W116" t="e">
        <f t="shared" si="93"/>
        <v>#N/A</v>
      </c>
      <c r="X116" t="e">
        <f t="shared" si="93"/>
        <v>#N/A</v>
      </c>
      <c r="Y116" t="e">
        <f t="shared" si="93"/>
        <v>#N/A</v>
      </c>
      <c r="Z116" t="e">
        <f t="shared" si="93"/>
        <v>#N/A</v>
      </c>
      <c r="AA116" t="e">
        <f t="shared" si="93"/>
        <v>#N/A</v>
      </c>
      <c r="AB116" t="e">
        <f t="shared" si="93"/>
        <v>#N/A</v>
      </c>
      <c r="AC116" t="e">
        <f t="shared" si="93"/>
        <v>#N/A</v>
      </c>
      <c r="AD116" t="e">
        <f t="shared" si="93"/>
        <v>#N/A</v>
      </c>
      <c r="AE116" t="e">
        <f t="shared" si="93"/>
        <v>#N/A</v>
      </c>
      <c r="AF116" t="e">
        <f t="shared" si="93"/>
        <v>#N/A</v>
      </c>
      <c r="AG116" t="e">
        <f t="shared" si="93"/>
        <v>#N/A</v>
      </c>
      <c r="AH116" t="e">
        <f t="shared" si="93"/>
        <v>#N/A</v>
      </c>
      <c r="AI116" t="e">
        <f t="shared" si="93"/>
        <v>#N/A</v>
      </c>
      <c r="AJ116" t="e">
        <f t="shared" si="93"/>
        <v>#N/A</v>
      </c>
      <c r="AK116" t="e">
        <f t="shared" si="93"/>
        <v>#N/A</v>
      </c>
      <c r="AL116" t="e">
        <f t="shared" si="93"/>
        <v>#N/A</v>
      </c>
      <c r="AM116" t="e">
        <f t="shared" si="93"/>
        <v>#N/A</v>
      </c>
      <c r="AN116" t="e">
        <f t="shared" si="93"/>
        <v>#N/A</v>
      </c>
      <c r="AO116" t="e">
        <f t="shared" si="93"/>
        <v>#N/A</v>
      </c>
      <c r="AP116" t="e">
        <f t="shared" si="93"/>
        <v>#N/A</v>
      </c>
      <c r="AQ116" t="e">
        <f t="shared" si="93"/>
        <v>#N/A</v>
      </c>
      <c r="AR116" t="e">
        <f t="shared" si="93"/>
        <v>#N/A</v>
      </c>
      <c r="AS116" t="e">
        <f t="shared" si="93"/>
        <v>#N/A</v>
      </c>
      <c r="AT116" t="e">
        <f t="shared" si="93"/>
        <v>#N/A</v>
      </c>
      <c r="AU116" t="e">
        <f t="shared" si="93"/>
        <v>#N/A</v>
      </c>
      <c r="AV116" t="e">
        <f t="shared" si="93"/>
        <v>#N/A</v>
      </c>
      <c r="AW116" t="e">
        <f t="shared" si="93"/>
        <v>#N/A</v>
      </c>
      <c r="AX116" t="e">
        <f t="shared" si="93"/>
        <v>#N/A</v>
      </c>
      <c r="AY116" t="e">
        <f t="shared" si="93"/>
        <v>#N/A</v>
      </c>
      <c r="AZ116" t="e">
        <f t="shared" si="93"/>
        <v>#N/A</v>
      </c>
      <c r="BA116" t="e">
        <f t="shared" si="93"/>
        <v>#N/A</v>
      </c>
      <c r="BB116" t="e">
        <f t="shared" si="93"/>
        <v>#N/A</v>
      </c>
      <c r="BC116" t="e">
        <f t="shared" si="93"/>
        <v>#N/A</v>
      </c>
      <c r="BD116" t="e">
        <f t="shared" si="93"/>
        <v>#N/A</v>
      </c>
      <c r="BE116" t="e">
        <f t="shared" si="93"/>
        <v>#N/A</v>
      </c>
      <c r="BF116" t="e">
        <f t="shared" si="93"/>
        <v>#N/A</v>
      </c>
      <c r="BG116" t="e">
        <f t="shared" si="93"/>
        <v>#N/A</v>
      </c>
      <c r="BH116" t="e">
        <f t="shared" si="93"/>
        <v>#N/A</v>
      </c>
      <c r="BI116" t="e">
        <f t="shared" si="93"/>
        <v>#N/A</v>
      </c>
      <c r="BJ116" t="e">
        <f t="shared" si="93"/>
        <v>#N/A</v>
      </c>
      <c r="BK116" t="e">
        <f t="shared" si="93"/>
        <v>#N/A</v>
      </c>
      <c r="BL116" t="e">
        <f t="shared" si="93"/>
        <v>#N/A</v>
      </c>
      <c r="BM116" t="e">
        <f t="shared" si="93"/>
        <v>#N/A</v>
      </c>
      <c r="BN116" t="e">
        <f t="shared" si="93"/>
        <v>#N/A</v>
      </c>
      <c r="BO116" t="b">
        <f t="shared" si="93"/>
        <v>0</v>
      </c>
      <c r="BP116" t="b">
        <f t="shared" si="93"/>
        <v>0</v>
      </c>
      <c r="BQ116" t="b">
        <f t="shared" si="93"/>
        <v>0</v>
      </c>
      <c r="BR116" t="b">
        <f t="shared" si="93"/>
        <v>0</v>
      </c>
      <c r="BS116" t="b">
        <f t="shared" si="93"/>
        <v>0</v>
      </c>
      <c r="BT116" t="b">
        <f t="shared" si="93"/>
        <v>0</v>
      </c>
      <c r="BU116" t="b">
        <f t="shared" si="93"/>
        <v>0</v>
      </c>
      <c r="BV116" t="b">
        <f t="shared" si="93"/>
        <v>0</v>
      </c>
      <c r="BW116" t="b">
        <f t="shared" si="93"/>
        <v>0</v>
      </c>
      <c r="BX116" t="b">
        <f t="shared" ref="BX116:CI116" si="94">IF(BX9,BX99)</f>
        <v>0</v>
      </c>
      <c r="BY116" t="b">
        <f t="shared" si="94"/>
        <v>0</v>
      </c>
      <c r="BZ116" t="b">
        <f t="shared" si="94"/>
        <v>0</v>
      </c>
      <c r="CA116" t="b">
        <f t="shared" si="94"/>
        <v>0</v>
      </c>
      <c r="CB116" t="b">
        <f t="shared" si="94"/>
        <v>0</v>
      </c>
      <c r="CC116" t="b">
        <f t="shared" si="94"/>
        <v>0</v>
      </c>
      <c r="CD116" t="b">
        <f t="shared" si="94"/>
        <v>0</v>
      </c>
      <c r="CE116" t="b">
        <f t="shared" si="94"/>
        <v>0</v>
      </c>
      <c r="CF116" t="b">
        <f t="shared" si="94"/>
        <v>0</v>
      </c>
      <c r="CG116" t="b">
        <f t="shared" si="94"/>
        <v>0</v>
      </c>
      <c r="CH116" t="b">
        <f t="shared" si="94"/>
        <v>0</v>
      </c>
      <c r="CI116" t="b">
        <f t="shared" si="94"/>
        <v>0</v>
      </c>
    </row>
    <row r="117" spans="2:87">
      <c r="B117" t="str">
        <f t="shared" si="86"/>
        <v/>
      </c>
      <c r="E117" s="34"/>
      <c r="I117" s="7" t="str">
        <f>"Projected "&amp;I99</f>
        <v>Projected Palm oil</v>
      </c>
      <c r="K117" t="b">
        <f>IF(NOT(K9),K99)</f>
        <v>0</v>
      </c>
      <c r="L117" t="b">
        <f t="shared" ref="L117:BW117" si="95">IF(NOT(L9),L99)</f>
        <v>0</v>
      </c>
      <c r="M117" t="b">
        <f t="shared" si="95"/>
        <v>0</v>
      </c>
      <c r="N117" t="b">
        <f t="shared" si="95"/>
        <v>0</v>
      </c>
      <c r="O117" t="b">
        <f t="shared" si="95"/>
        <v>0</v>
      </c>
      <c r="P117" t="b">
        <f t="shared" si="95"/>
        <v>0</v>
      </c>
      <c r="Q117" t="b">
        <f t="shared" si="95"/>
        <v>0</v>
      </c>
      <c r="R117" t="b">
        <f t="shared" si="95"/>
        <v>0</v>
      </c>
      <c r="S117" t="b">
        <f t="shared" si="95"/>
        <v>0</v>
      </c>
      <c r="T117" t="b">
        <f t="shared" si="95"/>
        <v>0</v>
      </c>
      <c r="U117" t="b">
        <f t="shared" si="95"/>
        <v>0</v>
      </c>
      <c r="V117" t="b">
        <f t="shared" si="95"/>
        <v>0</v>
      </c>
      <c r="W117" t="b">
        <f t="shared" si="95"/>
        <v>0</v>
      </c>
      <c r="X117" t="b">
        <f t="shared" si="95"/>
        <v>0</v>
      </c>
      <c r="Y117" t="b">
        <f t="shared" si="95"/>
        <v>0</v>
      </c>
      <c r="Z117" t="b">
        <f t="shared" si="95"/>
        <v>0</v>
      </c>
      <c r="AA117" t="b">
        <f t="shared" si="95"/>
        <v>0</v>
      </c>
      <c r="AB117" t="b">
        <f t="shared" si="95"/>
        <v>0</v>
      </c>
      <c r="AC117" t="b">
        <f t="shared" si="95"/>
        <v>0</v>
      </c>
      <c r="AD117" t="b">
        <f t="shared" si="95"/>
        <v>0</v>
      </c>
      <c r="AE117" t="b">
        <f t="shared" si="95"/>
        <v>0</v>
      </c>
      <c r="AF117" t="b">
        <f t="shared" si="95"/>
        <v>0</v>
      </c>
      <c r="AG117" t="b">
        <f t="shared" si="95"/>
        <v>0</v>
      </c>
      <c r="AH117" t="b">
        <f t="shared" si="95"/>
        <v>0</v>
      </c>
      <c r="AI117" t="b">
        <f t="shared" si="95"/>
        <v>0</v>
      </c>
      <c r="AJ117" t="b">
        <f t="shared" si="95"/>
        <v>0</v>
      </c>
      <c r="AK117" t="b">
        <f t="shared" si="95"/>
        <v>0</v>
      </c>
      <c r="AL117" t="b">
        <f t="shared" si="95"/>
        <v>0</v>
      </c>
      <c r="AM117" t="b">
        <f t="shared" si="95"/>
        <v>0</v>
      </c>
      <c r="AN117" t="b">
        <f t="shared" si="95"/>
        <v>0</v>
      </c>
      <c r="AO117" t="b">
        <f t="shared" si="95"/>
        <v>0</v>
      </c>
      <c r="AP117" t="b">
        <f t="shared" si="95"/>
        <v>0</v>
      </c>
      <c r="AQ117" t="b">
        <f t="shared" si="95"/>
        <v>0</v>
      </c>
      <c r="AR117" t="b">
        <f t="shared" si="95"/>
        <v>0</v>
      </c>
      <c r="AS117" t="b">
        <f t="shared" si="95"/>
        <v>0</v>
      </c>
      <c r="AT117" t="b">
        <f t="shared" si="95"/>
        <v>0</v>
      </c>
      <c r="AU117" t="b">
        <f t="shared" si="95"/>
        <v>0</v>
      </c>
      <c r="AV117" t="b">
        <f t="shared" si="95"/>
        <v>0</v>
      </c>
      <c r="AW117" t="b">
        <f t="shared" si="95"/>
        <v>0</v>
      </c>
      <c r="AX117" t="b">
        <f t="shared" si="95"/>
        <v>0</v>
      </c>
      <c r="AY117" t="b">
        <f t="shared" si="95"/>
        <v>0</v>
      </c>
      <c r="AZ117" t="b">
        <f t="shared" si="95"/>
        <v>0</v>
      </c>
      <c r="BA117" t="b">
        <f t="shared" si="95"/>
        <v>0</v>
      </c>
      <c r="BB117" t="b">
        <f t="shared" si="95"/>
        <v>0</v>
      </c>
      <c r="BC117" t="b">
        <f t="shared" si="95"/>
        <v>0</v>
      </c>
      <c r="BD117" t="b">
        <f t="shared" si="95"/>
        <v>0</v>
      </c>
      <c r="BE117" t="b">
        <f t="shared" si="95"/>
        <v>0</v>
      </c>
      <c r="BF117" t="b">
        <f t="shared" si="95"/>
        <v>0</v>
      </c>
      <c r="BG117" t="b">
        <f t="shared" si="95"/>
        <v>0</v>
      </c>
      <c r="BH117" t="b">
        <f t="shared" si="95"/>
        <v>0</v>
      </c>
      <c r="BI117" t="b">
        <f t="shared" si="95"/>
        <v>0</v>
      </c>
      <c r="BJ117" t="b">
        <f t="shared" si="95"/>
        <v>0</v>
      </c>
      <c r="BK117" t="b">
        <f t="shared" si="95"/>
        <v>0</v>
      </c>
      <c r="BL117" t="b">
        <f t="shared" si="95"/>
        <v>0</v>
      </c>
      <c r="BM117" t="b">
        <f t="shared" si="95"/>
        <v>0</v>
      </c>
      <c r="BN117" t="b">
        <f t="shared" si="95"/>
        <v>0</v>
      </c>
      <c r="BO117">
        <f t="shared" si="95"/>
        <v>782.39420181858497</v>
      </c>
      <c r="BP117">
        <f t="shared" si="95"/>
        <v>771.85388447805599</v>
      </c>
      <c r="BQ117">
        <f t="shared" si="95"/>
        <v>627.00500237272104</v>
      </c>
      <c r="BR117">
        <f t="shared" si="95"/>
        <v>577.59489882226399</v>
      </c>
      <c r="BS117">
        <f t="shared" si="95"/>
        <v>589.26071839597205</v>
      </c>
      <c r="BT117">
        <f t="shared" si="95"/>
        <v>601.30977093809599</v>
      </c>
      <c r="BU117">
        <f t="shared" si="95"/>
        <v>613.11331742325694</v>
      </c>
      <c r="BV117">
        <f t="shared" si="95"/>
        <v>625.20373650248598</v>
      </c>
      <c r="BW117">
        <f t="shared" si="95"/>
        <v>637.532363765794</v>
      </c>
      <c r="BX117">
        <f t="shared" ref="BX117:CI117" si="96">IF(NOT(BX9),BX99)</f>
        <v>650.06660987449698</v>
      </c>
      <c r="BY117" t="e">
        <f t="shared" si="96"/>
        <v>#N/A</v>
      </c>
      <c r="BZ117" t="e">
        <f t="shared" si="96"/>
        <v>#N/A</v>
      </c>
      <c r="CA117" t="e">
        <f t="shared" si="96"/>
        <v>#N/A</v>
      </c>
      <c r="CB117" t="e">
        <f t="shared" si="96"/>
        <v>#N/A</v>
      </c>
      <c r="CC117">
        <f t="shared" si="96"/>
        <v>715.43807336509201</v>
      </c>
      <c r="CD117" t="e">
        <f t="shared" si="96"/>
        <v>#N/A</v>
      </c>
      <c r="CE117" t="e">
        <f t="shared" si="96"/>
        <v>#N/A</v>
      </c>
      <c r="CF117" t="e">
        <f t="shared" si="96"/>
        <v>#N/A</v>
      </c>
      <c r="CG117" t="e">
        <f t="shared" si="96"/>
        <v>#N/A</v>
      </c>
      <c r="CH117" t="e">
        <f t="shared" si="96"/>
        <v>#N/A</v>
      </c>
      <c r="CI117" t="e">
        <f t="shared" si="96"/>
        <v>#N/A</v>
      </c>
    </row>
    <row r="118" spans="2:87">
      <c r="B118" t="str">
        <f t="shared" si="86"/>
        <v/>
      </c>
      <c r="E118" s="34"/>
    </row>
    <row r="119" spans="2:87">
      <c r="B119" t="str">
        <f t="shared" si="86"/>
        <v/>
      </c>
    </row>
    <row r="123" spans="2:87">
      <c r="I123" s="7" t="s">
        <v>1251</v>
      </c>
      <c r="J123">
        <v>1</v>
      </c>
      <c r="K123">
        <v>2</v>
      </c>
      <c r="L123">
        <v>3</v>
      </c>
      <c r="M123">
        <v>2</v>
      </c>
      <c r="N123">
        <v>3</v>
      </c>
      <c r="O123">
        <v>4</v>
      </c>
    </row>
    <row r="165" spans="2:3" ht="12.3">
      <c r="B165"/>
      <c r="C165"/>
    </row>
    <row r="166" spans="2:3" ht="12.3">
      <c r="B166"/>
      <c r="C166"/>
    </row>
    <row r="167" spans="2:3" ht="12.3">
      <c r="B167"/>
      <c r="C167"/>
    </row>
    <row r="168" spans="2:3" ht="12.3">
      <c r="B168"/>
      <c r="C168"/>
    </row>
    <row r="169" spans="2:3" ht="12.3">
      <c r="B169"/>
      <c r="C169"/>
    </row>
    <row r="170" spans="2:3" ht="12.3">
      <c r="B170"/>
      <c r="C170"/>
    </row>
    <row r="171" spans="2:3" ht="12.3">
      <c r="B171"/>
      <c r="C171"/>
    </row>
    <row r="172" spans="2:3" ht="12.3">
      <c r="B172"/>
      <c r="C172"/>
    </row>
    <row r="173" spans="2:3" ht="12.3">
      <c r="B173"/>
      <c r="C173"/>
    </row>
    <row r="174" spans="2:3" ht="12.3">
      <c r="B174"/>
      <c r="C174"/>
    </row>
    <row r="175" spans="2:3" ht="12.3">
      <c r="B175"/>
      <c r="C175"/>
    </row>
    <row r="176" spans="2:3" ht="12.3">
      <c r="B176"/>
      <c r="C176"/>
    </row>
    <row r="177" spans="2:3" ht="12.3">
      <c r="B177"/>
      <c r="C177"/>
    </row>
    <row r="178" spans="2:3" ht="12.3">
      <c r="B178"/>
      <c r="C178"/>
    </row>
    <row r="179" spans="2:3" ht="12.3">
      <c r="B179"/>
      <c r="C179"/>
    </row>
    <row r="180" spans="2:3" ht="12.3">
      <c r="B180"/>
      <c r="C180"/>
    </row>
    <row r="181" spans="2:3" ht="12.3">
      <c r="B181"/>
      <c r="C181"/>
    </row>
    <row r="182" spans="2:3" ht="12.3">
      <c r="B182"/>
      <c r="C182"/>
    </row>
    <row r="183" spans="2:3" ht="12.3">
      <c r="B183"/>
      <c r="C183"/>
    </row>
    <row r="184" spans="2:3" ht="12.3">
      <c r="B184"/>
      <c r="C184"/>
    </row>
    <row r="185" spans="2:3" ht="12.3">
      <c r="B185"/>
      <c r="C185"/>
    </row>
    <row r="186" spans="2:3" ht="12.3">
      <c r="B186"/>
      <c r="C186"/>
    </row>
    <row r="187" spans="2:3" ht="12.3">
      <c r="B187"/>
      <c r="C187"/>
    </row>
    <row r="188" spans="2:3" ht="12.3">
      <c r="B188"/>
      <c r="C188"/>
    </row>
    <row r="189" spans="2:3" ht="12.3">
      <c r="B189"/>
      <c r="C189"/>
    </row>
    <row r="190" spans="2:3" ht="12.3">
      <c r="B190"/>
      <c r="C190"/>
    </row>
    <row r="191" spans="2:3" ht="12.3">
      <c r="B191"/>
      <c r="C191"/>
    </row>
    <row r="192" spans="2:3" ht="12.3">
      <c r="B192"/>
      <c r="C192"/>
    </row>
    <row r="193" spans="2:3" ht="12.3">
      <c r="B193"/>
      <c r="C193"/>
    </row>
    <row r="194" spans="2:3" ht="12.3">
      <c r="B194"/>
      <c r="C194"/>
    </row>
    <row r="195" spans="2:3" ht="12.3">
      <c r="B195"/>
      <c r="C195"/>
    </row>
    <row r="196" spans="2:3" ht="12.3">
      <c r="B196"/>
      <c r="C196"/>
    </row>
    <row r="197" spans="2:3" ht="12.3">
      <c r="B197"/>
      <c r="C197"/>
    </row>
    <row r="198" spans="2:3" ht="12.3">
      <c r="B198"/>
      <c r="C198"/>
    </row>
    <row r="199" spans="2:3" ht="12.3">
      <c r="B199"/>
      <c r="C199"/>
    </row>
    <row r="200" spans="2:3" ht="12.3">
      <c r="B200"/>
      <c r="C200"/>
    </row>
    <row r="201" spans="2:3" ht="12.3">
      <c r="B201"/>
      <c r="C201"/>
    </row>
    <row r="202" spans="2:3" ht="12.3">
      <c r="B202"/>
      <c r="C202"/>
    </row>
    <row r="203" spans="2:3" ht="12.3">
      <c r="B203"/>
      <c r="C203"/>
    </row>
    <row r="204" spans="2:3" ht="12.3">
      <c r="B204"/>
      <c r="C204"/>
    </row>
    <row r="205" spans="2:3" ht="12.3">
      <c r="B205"/>
      <c r="C205"/>
    </row>
    <row r="206" spans="2:3" ht="12.3">
      <c r="B206"/>
      <c r="C206"/>
    </row>
    <row r="207" spans="2:3" ht="12.3">
      <c r="B207"/>
      <c r="C207"/>
    </row>
    <row r="208" spans="2:3" ht="12.3">
      <c r="B208"/>
      <c r="C208"/>
    </row>
    <row r="209" spans="2:3" ht="12.3">
      <c r="B209"/>
      <c r="C209"/>
    </row>
    <row r="210" spans="2:3" ht="12.3">
      <c r="B210"/>
      <c r="C210"/>
    </row>
    <row r="211" spans="2:3" ht="12.3">
      <c r="B211"/>
      <c r="C211"/>
    </row>
    <row r="212" spans="2:3" ht="12.3">
      <c r="B212"/>
      <c r="C212"/>
    </row>
    <row r="213" spans="2:3" ht="12.3">
      <c r="B213"/>
      <c r="C213"/>
    </row>
    <row r="214" spans="2:3" ht="12.3">
      <c r="B214"/>
      <c r="C214"/>
    </row>
    <row r="215" spans="2:3" ht="12.3">
      <c r="B215"/>
      <c r="C215"/>
    </row>
    <row r="216" spans="2:3" ht="12.3">
      <c r="B216"/>
      <c r="C216"/>
    </row>
    <row r="217" spans="2:3" ht="12.3">
      <c r="B217"/>
      <c r="C217"/>
    </row>
    <row r="218" spans="2:3" ht="12.3">
      <c r="B218"/>
      <c r="C218"/>
    </row>
    <row r="219" spans="2:3" ht="12.3">
      <c r="B219"/>
      <c r="C219"/>
    </row>
    <row r="220" spans="2:3" ht="12.3">
      <c r="B220"/>
      <c r="C220"/>
    </row>
    <row r="221" spans="2:3" ht="12.3">
      <c r="B221"/>
      <c r="C221"/>
    </row>
    <row r="222" spans="2:3" ht="12.3">
      <c r="B222"/>
      <c r="C222"/>
    </row>
    <row r="223" spans="2:3" ht="12.3">
      <c r="B223"/>
      <c r="C223"/>
    </row>
    <row r="224" spans="2:3" ht="12.3">
      <c r="B224"/>
      <c r="C224"/>
    </row>
    <row r="225" spans="2:3" ht="12.3">
      <c r="B225"/>
      <c r="C225"/>
    </row>
    <row r="226" spans="2:3" ht="12.3">
      <c r="B226"/>
      <c r="C226"/>
    </row>
    <row r="227" spans="2:3" ht="12.3">
      <c r="B227"/>
      <c r="C227"/>
    </row>
    <row r="228" spans="2:3" ht="12.3">
      <c r="B228"/>
      <c r="C228"/>
    </row>
    <row r="229" spans="2:3" ht="12.3">
      <c r="B229"/>
      <c r="C229"/>
    </row>
    <row r="230" spans="2:3" ht="12.3">
      <c r="B230"/>
      <c r="C230"/>
    </row>
    <row r="231" spans="2:3" ht="12.3">
      <c r="B231"/>
      <c r="C231"/>
    </row>
    <row r="232" spans="2:3" ht="12.3">
      <c r="B232"/>
      <c r="C232"/>
    </row>
    <row r="233" spans="2:3" ht="12.3">
      <c r="B233"/>
      <c r="C233"/>
    </row>
    <row r="234" spans="2:3" ht="12.3">
      <c r="B234"/>
      <c r="C234"/>
    </row>
    <row r="235" spans="2:3" ht="12.3">
      <c r="B235"/>
      <c r="C235"/>
    </row>
    <row r="236" spans="2:3" ht="12.3">
      <c r="B236"/>
      <c r="C236"/>
    </row>
    <row r="237" spans="2:3" ht="12.3">
      <c r="B237"/>
      <c r="C237"/>
    </row>
    <row r="238" spans="2:3" ht="12.3">
      <c r="B238"/>
      <c r="C238"/>
    </row>
    <row r="239" spans="2:3" ht="12.3">
      <c r="B239"/>
      <c r="C239"/>
    </row>
    <row r="240" spans="2:3" ht="12.3">
      <c r="B240"/>
      <c r="C240"/>
    </row>
    <row r="241" spans="2:3" ht="12.3">
      <c r="B241"/>
      <c r="C241"/>
    </row>
    <row r="266" spans="2:3">
      <c r="B266" s="37"/>
      <c r="C266" s="37"/>
    </row>
  </sheetData>
  <conditionalFormatting sqref="K9:CI55">
    <cfRule type="expression" dxfId="0" priority="3">
      <formula>K$9=TRUE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90" r:id="rId3" name="Drop Down 2">
              <controlPr defaultSize="0" autoLine="0" autoPict="0">
                <anchor moveWithCells="1">
                  <from>
                    <xdr:col>2</xdr:col>
                    <xdr:colOff>1383030</xdr:colOff>
                    <xdr:row>58</xdr:row>
                    <xdr:rowOff>49530</xdr:rowOff>
                  </from>
                  <to>
                    <xdr:col>4</xdr:col>
                    <xdr:colOff>971550</xdr:colOff>
                    <xdr:row>59</xdr:row>
                    <xdr:rowOff>38100</xdr:rowOff>
                  </to>
                </anchor>
              </controlPr>
            </control>
          </mc:Choice>
        </mc:AlternateContent>
        <mc:AlternateContent xmlns:mc="http://schemas.openxmlformats.org/markup-compatibility/2006">
          <mc:Choice Requires="x14">
            <control shapeId="63500" r:id="rId4" name="Drop Down 12">
              <controlPr defaultSize="0" autoLine="0" autoPict="0">
                <anchor moveWithCells="1">
                  <from>
                    <xdr:col>1</xdr:col>
                    <xdr:colOff>11430</xdr:colOff>
                    <xdr:row>59</xdr:row>
                    <xdr:rowOff>152400</xdr:rowOff>
                  </from>
                  <to>
                    <xdr:col>1</xdr:col>
                    <xdr:colOff>1333500</xdr:colOff>
                    <xdr:row>60</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CI252"/>
  <sheetViews>
    <sheetView workbookViewId="0">
      <selection sqref="A1:XFD1048576"/>
    </sheetView>
  </sheetViews>
  <sheetFormatPr defaultColWidth="9.1640625" defaultRowHeight="15"/>
  <cols>
    <col min="1" max="1" width="10.71875" style="33" customWidth="1"/>
    <col min="2" max="5" width="9.27734375" style="33" customWidth="1"/>
    <col min="6" max="9" width="9.1640625" style="33" customWidth="1"/>
    <col min="10" max="11" width="9.83203125" style="33" customWidth="1"/>
    <col min="12" max="19" width="9.1640625" style="33" customWidth="1"/>
    <col min="20" max="20" width="10.5546875" style="33" customWidth="1"/>
    <col min="21" max="21" width="10.1640625" style="33" customWidth="1"/>
    <col min="22" max="22" width="9.44140625" style="33" customWidth="1"/>
    <col min="23" max="31" width="9.1640625" style="33" customWidth="1"/>
    <col min="32" max="32" width="9.1640625" style="33"/>
    <col min="33" max="33" width="9.71875" style="33" customWidth="1"/>
    <col min="34" max="47" width="9.1640625" style="33" customWidth="1"/>
    <col min="48" max="48" width="9.5546875" style="33" customWidth="1"/>
    <col min="49" max="49" width="9.1640625" style="33" customWidth="1"/>
    <col min="50" max="50" width="10.27734375" style="33" customWidth="1"/>
    <col min="51" max="51" width="10.1640625" style="33" customWidth="1"/>
    <col min="52" max="55" width="9.1640625" style="33" customWidth="1"/>
    <col min="56" max="56" width="10" style="33" customWidth="1"/>
    <col min="57" max="59" width="9.1640625" style="33" customWidth="1"/>
    <col min="60" max="60" width="9.83203125" style="33" customWidth="1"/>
    <col min="61" max="64" width="9.1640625" style="33" customWidth="1"/>
    <col min="65" max="65" width="9.83203125" style="33" bestFit="1" customWidth="1"/>
    <col min="66" max="67" width="9.1640625" style="33" customWidth="1"/>
    <col min="68" max="69" width="9.1640625" style="33"/>
    <col min="70" max="70" width="9.71875" style="33" customWidth="1"/>
    <col min="71" max="16384" width="9.1640625" style="33"/>
  </cols>
  <sheetData>
    <row r="1" spans="1:87" s="31" customFormat="1" ht="30.6" thickBot="1">
      <c r="A1" s="42" t="s">
        <v>135</v>
      </c>
      <c r="B1" s="52"/>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row>
    <row r="2" spans="1:87" s="31" customFormat="1" ht="15.3" thickTop="1">
      <c r="A2" s="53" t="s">
        <v>953</v>
      </c>
    </row>
    <row r="3" spans="1:87" s="31" customFormat="1" ht="14.1">
      <c r="A3" s="54" t="s">
        <v>954</v>
      </c>
      <c r="B3" s="32"/>
      <c r="C3" s="32"/>
      <c r="D3" s="32"/>
      <c r="E3" s="32"/>
      <c r="F3" s="32"/>
      <c r="G3" s="32"/>
      <c r="H3" s="32"/>
      <c r="I3" s="32"/>
      <c r="J3" s="32"/>
      <c r="K3" s="32"/>
    </row>
    <row r="4" spans="1:87" s="31" customFormat="1" ht="12.3">
      <c r="A4" s="55" t="s">
        <v>1422</v>
      </c>
    </row>
    <row r="5" spans="1:87" s="31" customFormat="1">
      <c r="A5" s="33"/>
    </row>
    <row r="6" spans="1:87" s="31" customFormat="1">
      <c r="A6" s="33"/>
    </row>
    <row r="7" spans="1:87" ht="37.5">
      <c r="A7" s="56"/>
      <c r="B7" s="57" t="s">
        <v>123</v>
      </c>
      <c r="C7" s="57" t="s">
        <v>117</v>
      </c>
      <c r="D7" s="57" t="s">
        <v>118</v>
      </c>
      <c r="E7" s="57" t="s">
        <v>119</v>
      </c>
      <c r="F7" s="57" t="s">
        <v>25</v>
      </c>
      <c r="G7" s="57" t="s">
        <v>129</v>
      </c>
      <c r="H7" s="57" t="s">
        <v>26</v>
      </c>
      <c r="I7" s="57" t="s">
        <v>27</v>
      </c>
      <c r="J7" s="57" t="s">
        <v>28</v>
      </c>
      <c r="K7" s="57" t="s">
        <v>845</v>
      </c>
      <c r="L7" s="57" t="s">
        <v>6</v>
      </c>
      <c r="M7" s="57" t="s">
        <v>1054</v>
      </c>
      <c r="N7" s="57" t="s">
        <v>1289</v>
      </c>
      <c r="O7" s="57" t="s">
        <v>29</v>
      </c>
      <c r="P7" s="57" t="s">
        <v>30</v>
      </c>
      <c r="Q7" s="57" t="s">
        <v>31</v>
      </c>
      <c r="R7" s="57" t="s">
        <v>32</v>
      </c>
      <c r="S7" s="57" t="s">
        <v>33</v>
      </c>
      <c r="T7" s="57" t="s">
        <v>127</v>
      </c>
      <c r="U7" s="57" t="s">
        <v>46</v>
      </c>
      <c r="V7" s="57" t="s">
        <v>34</v>
      </c>
      <c r="W7" s="57" t="s">
        <v>35</v>
      </c>
      <c r="X7" s="57" t="s">
        <v>36</v>
      </c>
      <c r="Y7" s="57" t="s">
        <v>12</v>
      </c>
      <c r="Z7" s="57" t="s">
        <v>37</v>
      </c>
      <c r="AA7" s="57" t="s">
        <v>38</v>
      </c>
      <c r="AB7" s="57" t="s">
        <v>7</v>
      </c>
      <c r="AC7" s="57" t="s">
        <v>10</v>
      </c>
      <c r="AD7" s="57" t="s">
        <v>11</v>
      </c>
      <c r="AE7" s="57" t="s">
        <v>39</v>
      </c>
      <c r="AF7" s="57" t="s">
        <v>40</v>
      </c>
      <c r="AG7" s="57" t="s">
        <v>41</v>
      </c>
      <c r="AH7" s="57" t="s">
        <v>42</v>
      </c>
      <c r="AI7" s="57" t="s">
        <v>43</v>
      </c>
      <c r="AJ7" s="57" t="s">
        <v>44</v>
      </c>
      <c r="AK7" s="57" t="s">
        <v>130</v>
      </c>
      <c r="AL7" s="57" t="s">
        <v>45</v>
      </c>
      <c r="AM7" s="57" t="s">
        <v>8</v>
      </c>
      <c r="AN7" s="57" t="s">
        <v>9</v>
      </c>
      <c r="AO7" s="57" t="s">
        <v>24</v>
      </c>
      <c r="AP7" s="57" t="s">
        <v>133</v>
      </c>
      <c r="AQ7" s="57" t="s">
        <v>1291</v>
      </c>
      <c r="AR7" s="57" t="s">
        <v>114</v>
      </c>
      <c r="AS7" s="57" t="s">
        <v>47</v>
      </c>
      <c r="AT7" s="57" t="s">
        <v>48</v>
      </c>
      <c r="AU7" s="57" t="s">
        <v>49</v>
      </c>
      <c r="AV7" s="57" t="s">
        <v>50</v>
      </c>
      <c r="AW7" s="57" t="s">
        <v>51</v>
      </c>
      <c r="AX7" s="57" t="s">
        <v>52</v>
      </c>
      <c r="AY7" s="57" t="s">
        <v>53</v>
      </c>
      <c r="AZ7" s="57" t="s">
        <v>14</v>
      </c>
      <c r="BA7" s="57" t="s">
        <v>54</v>
      </c>
      <c r="BB7" s="57" t="s">
        <v>56</v>
      </c>
      <c r="BC7" s="57" t="s">
        <v>55</v>
      </c>
      <c r="BD7" s="57" t="s">
        <v>57</v>
      </c>
      <c r="BE7" s="57" t="s">
        <v>0</v>
      </c>
      <c r="BF7" s="57" t="s">
        <v>1</v>
      </c>
      <c r="BG7" s="57" t="s">
        <v>19</v>
      </c>
      <c r="BH7" s="57" t="s">
        <v>1098</v>
      </c>
      <c r="BI7" s="57" t="s">
        <v>20</v>
      </c>
      <c r="BJ7" s="57" t="s">
        <v>846</v>
      </c>
      <c r="BK7" s="57" t="s">
        <v>15</v>
      </c>
      <c r="BL7" s="57" t="s">
        <v>16</v>
      </c>
      <c r="BM7" s="57" t="s">
        <v>17</v>
      </c>
      <c r="BN7" s="57" t="s">
        <v>21</v>
      </c>
      <c r="BO7" s="57" t="s">
        <v>18</v>
      </c>
      <c r="BP7" s="57" t="s">
        <v>23</v>
      </c>
      <c r="BQ7" s="57" t="s">
        <v>124</v>
      </c>
      <c r="BR7" s="57" t="s">
        <v>22</v>
      </c>
      <c r="BS7" s="58"/>
      <c r="BT7" s="58"/>
      <c r="BU7" s="58"/>
      <c r="BV7" s="58"/>
      <c r="BW7" s="58"/>
      <c r="BX7" s="58"/>
      <c r="BY7" s="58"/>
      <c r="BZ7" s="58"/>
      <c r="CA7" s="58"/>
      <c r="CB7" s="58"/>
      <c r="CC7" s="58"/>
      <c r="CD7" s="58"/>
      <c r="CE7" s="58"/>
      <c r="CF7" s="58"/>
      <c r="CG7" s="58"/>
      <c r="CH7" s="58"/>
      <c r="CI7" s="58"/>
    </row>
    <row r="8" spans="1:87" s="31" customFormat="1" ht="12.3">
      <c r="A8" s="55"/>
      <c r="B8" s="7" t="s">
        <v>4</v>
      </c>
      <c r="C8" s="7" t="s">
        <v>4</v>
      </c>
      <c r="D8" s="7" t="s">
        <v>4</v>
      </c>
      <c r="E8" s="7" t="s">
        <v>4</v>
      </c>
      <c r="F8" s="7" t="s">
        <v>2</v>
      </c>
      <c r="G8" s="7" t="s">
        <v>2</v>
      </c>
      <c r="H8" s="7" t="s">
        <v>5</v>
      </c>
      <c r="I8" s="7" t="s">
        <v>5</v>
      </c>
      <c r="J8" s="7" t="s">
        <v>5</v>
      </c>
      <c r="K8" s="7" t="s">
        <v>847</v>
      </c>
      <c r="L8" s="7" t="s">
        <v>848</v>
      </c>
      <c r="M8" s="7" t="s">
        <v>848</v>
      </c>
      <c r="N8" s="7" t="s">
        <v>848</v>
      </c>
      <c r="O8" s="7" t="s">
        <v>848</v>
      </c>
      <c r="P8" s="7" t="s">
        <v>848</v>
      </c>
      <c r="Q8" s="7" t="s">
        <v>848</v>
      </c>
      <c r="R8" s="7" t="s">
        <v>848</v>
      </c>
      <c r="S8" s="7" t="s">
        <v>2</v>
      </c>
      <c r="T8" s="7" t="s">
        <v>2</v>
      </c>
      <c r="U8" s="7" t="s">
        <v>2</v>
      </c>
      <c r="V8" s="7" t="s">
        <v>2</v>
      </c>
      <c r="W8" s="7" t="s">
        <v>2</v>
      </c>
      <c r="X8" s="7" t="s">
        <v>2</v>
      </c>
      <c r="Y8" s="7" t="s">
        <v>2</v>
      </c>
      <c r="Z8" s="7" t="s">
        <v>2</v>
      </c>
      <c r="AA8" s="7" t="s">
        <v>2</v>
      </c>
      <c r="AB8" s="7" t="s">
        <v>2</v>
      </c>
      <c r="AC8" s="7" t="s">
        <v>2</v>
      </c>
      <c r="AD8" s="7" t="s">
        <v>2</v>
      </c>
      <c r="AE8" s="7" t="s">
        <v>2</v>
      </c>
      <c r="AF8" s="7" t="s">
        <v>2</v>
      </c>
      <c r="AG8" s="7" t="s">
        <v>2</v>
      </c>
      <c r="AH8" s="7" t="s">
        <v>2</v>
      </c>
      <c r="AI8" s="7" t="s">
        <v>2</v>
      </c>
      <c r="AJ8" s="7" t="s">
        <v>2</v>
      </c>
      <c r="AK8" s="7" t="s">
        <v>848</v>
      </c>
      <c r="AL8" s="7" t="s">
        <v>848</v>
      </c>
      <c r="AM8" s="7" t="s">
        <v>848</v>
      </c>
      <c r="AN8" s="7" t="s">
        <v>848</v>
      </c>
      <c r="AO8" s="7" t="s">
        <v>848</v>
      </c>
      <c r="AP8" s="7" t="s">
        <v>848</v>
      </c>
      <c r="AQ8" s="7" t="s">
        <v>848</v>
      </c>
      <c r="AR8" s="7" t="s">
        <v>848</v>
      </c>
      <c r="AS8" s="7" t="s">
        <v>848</v>
      </c>
      <c r="AT8" s="7" t="s">
        <v>848</v>
      </c>
      <c r="AU8" s="7" t="s">
        <v>2</v>
      </c>
      <c r="AV8" s="7" t="s">
        <v>13</v>
      </c>
      <c r="AW8" s="7" t="s">
        <v>13</v>
      </c>
      <c r="AX8" s="7" t="s">
        <v>13</v>
      </c>
      <c r="AY8" s="7" t="s">
        <v>13</v>
      </c>
      <c r="AZ8" s="7" t="s">
        <v>955</v>
      </c>
      <c r="BA8" s="7" t="s">
        <v>848</v>
      </c>
      <c r="BB8" s="7" t="s">
        <v>848</v>
      </c>
      <c r="BC8" s="7" t="s">
        <v>848</v>
      </c>
      <c r="BD8" s="7" t="s">
        <v>2</v>
      </c>
      <c r="BE8" s="7" t="s">
        <v>2</v>
      </c>
      <c r="BF8" s="7" t="s">
        <v>2</v>
      </c>
      <c r="BG8" s="7" t="s">
        <v>2</v>
      </c>
      <c r="BH8" s="7" t="s">
        <v>2</v>
      </c>
      <c r="BI8" s="7" t="s">
        <v>2</v>
      </c>
      <c r="BJ8" s="7" t="s">
        <v>849</v>
      </c>
      <c r="BK8" s="7" t="s">
        <v>2</v>
      </c>
      <c r="BL8" s="7" t="s">
        <v>2</v>
      </c>
      <c r="BM8" s="7" t="s">
        <v>2</v>
      </c>
      <c r="BN8" s="7" t="s">
        <v>2</v>
      </c>
      <c r="BO8" s="7" t="s">
        <v>2</v>
      </c>
      <c r="BP8" s="7" t="s">
        <v>125</v>
      </c>
      <c r="BQ8" s="7" t="s">
        <v>125</v>
      </c>
      <c r="BR8" s="7" t="s">
        <v>125</v>
      </c>
      <c r="BS8" s="55"/>
      <c r="BT8" s="55"/>
      <c r="BU8" s="55"/>
      <c r="BV8" s="55"/>
      <c r="BW8" s="55"/>
      <c r="BX8" s="55"/>
      <c r="BY8" s="55"/>
      <c r="BZ8" s="55"/>
      <c r="CA8" s="55"/>
      <c r="CB8" s="55"/>
      <c r="CC8" s="55"/>
      <c r="CD8" s="55"/>
      <c r="CE8" s="55"/>
      <c r="CF8" s="55"/>
      <c r="CG8" s="55"/>
      <c r="CH8" s="55"/>
      <c r="CI8" s="55"/>
    </row>
    <row r="9" spans="1:87" hidden="1">
      <c r="A9" s="55"/>
      <c r="B9" s="55" t="s">
        <v>58</v>
      </c>
      <c r="C9" s="55" t="s">
        <v>120</v>
      </c>
      <c r="D9" s="55" t="s">
        <v>121</v>
      </c>
      <c r="E9" s="55" t="s">
        <v>122</v>
      </c>
      <c r="F9" s="55" t="s">
        <v>59</v>
      </c>
      <c r="G9" s="55" t="s">
        <v>132</v>
      </c>
      <c r="H9" s="55" t="s">
        <v>60</v>
      </c>
      <c r="I9" s="55" t="s">
        <v>61</v>
      </c>
      <c r="J9" s="55" t="s">
        <v>62</v>
      </c>
      <c r="K9" s="55" t="s">
        <v>850</v>
      </c>
      <c r="L9" s="55" t="s">
        <v>63</v>
      </c>
      <c r="M9" s="55" t="s">
        <v>64</v>
      </c>
      <c r="N9" s="55" t="s">
        <v>65</v>
      </c>
      <c r="O9" s="55" t="s">
        <v>66</v>
      </c>
      <c r="P9" s="55" t="s">
        <v>67</v>
      </c>
      <c r="Q9" s="55" t="s">
        <v>68</v>
      </c>
      <c r="R9" s="55" t="s">
        <v>69</v>
      </c>
      <c r="S9" s="55" t="s">
        <v>70</v>
      </c>
      <c r="T9" s="55" t="s">
        <v>128</v>
      </c>
      <c r="U9" s="55" t="s">
        <v>90</v>
      </c>
      <c r="V9" s="55" t="s">
        <v>71</v>
      </c>
      <c r="W9" s="55" t="s">
        <v>72</v>
      </c>
      <c r="X9" s="55" t="s">
        <v>73</v>
      </c>
      <c r="Y9" s="55" t="s">
        <v>74</v>
      </c>
      <c r="Z9" s="55" t="s">
        <v>75</v>
      </c>
      <c r="AA9" s="55" t="s">
        <v>76</v>
      </c>
      <c r="AB9" s="55" t="s">
        <v>77</v>
      </c>
      <c r="AC9" s="55" t="s">
        <v>78</v>
      </c>
      <c r="AD9" s="55" t="s">
        <v>79</v>
      </c>
      <c r="AE9" s="55" t="s">
        <v>80</v>
      </c>
      <c r="AF9" s="55" t="s">
        <v>81</v>
      </c>
      <c r="AG9" s="55" t="s">
        <v>82</v>
      </c>
      <c r="AH9" s="55" t="s">
        <v>83</v>
      </c>
      <c r="AI9" s="55" t="s">
        <v>84</v>
      </c>
      <c r="AJ9" s="55" t="s">
        <v>85</v>
      </c>
      <c r="AK9" s="55" t="s">
        <v>131</v>
      </c>
      <c r="AL9" s="55" t="s">
        <v>86</v>
      </c>
      <c r="AM9" s="55" t="s">
        <v>87</v>
      </c>
      <c r="AN9" s="55" t="s">
        <v>88</v>
      </c>
      <c r="AO9" s="55" t="s">
        <v>89</v>
      </c>
      <c r="AP9" s="55" t="s">
        <v>134</v>
      </c>
      <c r="AQ9" s="55" t="s">
        <v>91</v>
      </c>
      <c r="AR9" s="55" t="s">
        <v>92</v>
      </c>
      <c r="AS9" s="55" t="s">
        <v>93</v>
      </c>
      <c r="AT9" s="55" t="s">
        <v>94</v>
      </c>
      <c r="AU9" s="55" t="s">
        <v>95</v>
      </c>
      <c r="AV9" s="55" t="s">
        <v>96</v>
      </c>
      <c r="AW9" s="55" t="s">
        <v>97</v>
      </c>
      <c r="AX9" s="55" t="s">
        <v>98</v>
      </c>
      <c r="AY9" s="55" t="s">
        <v>99</v>
      </c>
      <c r="AZ9" s="55" t="s">
        <v>100</v>
      </c>
      <c r="BA9" s="55" t="s">
        <v>101</v>
      </c>
      <c r="BB9" s="55" t="s">
        <v>103</v>
      </c>
      <c r="BC9" s="55" t="s">
        <v>102</v>
      </c>
      <c r="BD9" s="55" t="s">
        <v>104</v>
      </c>
      <c r="BE9" s="55" t="s">
        <v>0</v>
      </c>
      <c r="BF9" s="55" t="s">
        <v>1</v>
      </c>
      <c r="BG9" s="55" t="s">
        <v>105</v>
      </c>
      <c r="BH9" s="55" t="s">
        <v>106</v>
      </c>
      <c r="BI9" s="55" t="s">
        <v>107</v>
      </c>
      <c r="BJ9" s="55" t="s">
        <v>113</v>
      </c>
      <c r="BK9" s="55" t="s">
        <v>108</v>
      </c>
      <c r="BL9" s="55" t="s">
        <v>109</v>
      </c>
      <c r="BM9" s="55" t="s">
        <v>17</v>
      </c>
      <c r="BN9" s="55" t="s">
        <v>110</v>
      </c>
      <c r="BO9" s="55" t="s">
        <v>18</v>
      </c>
      <c r="BP9" s="55" t="s">
        <v>111</v>
      </c>
      <c r="BQ9" s="55" t="s">
        <v>126</v>
      </c>
      <c r="BR9" s="55" t="s">
        <v>112</v>
      </c>
      <c r="BS9" s="58"/>
      <c r="BT9" s="58"/>
      <c r="BU9" s="58"/>
      <c r="BV9" s="58"/>
      <c r="BW9" s="58"/>
      <c r="BX9" s="58"/>
      <c r="BY9" s="58"/>
      <c r="BZ9" s="58"/>
      <c r="CA9" s="58"/>
      <c r="CB9" s="58"/>
      <c r="CC9" s="58"/>
      <c r="CD9" s="58"/>
      <c r="CE9" s="58"/>
      <c r="CF9" s="58"/>
      <c r="CG9" s="58"/>
      <c r="CH9" s="58"/>
      <c r="CI9" s="58"/>
    </row>
    <row r="10" spans="1:87">
      <c r="A10" s="59">
        <v>1960</v>
      </c>
      <c r="B10" s="60">
        <v>1.63000011444092</v>
      </c>
      <c r="C10" s="60" t="s">
        <v>137</v>
      </c>
      <c r="D10" s="60">
        <v>1.63000011444092</v>
      </c>
      <c r="E10" s="60" t="s">
        <v>137</v>
      </c>
      <c r="F10" s="60" t="s">
        <v>137</v>
      </c>
      <c r="G10" s="60" t="s">
        <v>137</v>
      </c>
      <c r="H10" s="60">
        <v>0.14000000000000001</v>
      </c>
      <c r="I10" s="60">
        <v>0.40477399635468603</v>
      </c>
      <c r="J10" s="60" t="s">
        <v>137</v>
      </c>
      <c r="K10" s="60">
        <v>3.6243566190447098</v>
      </c>
      <c r="L10" s="60">
        <v>0.58901666666666697</v>
      </c>
      <c r="M10" s="60">
        <v>0.92351666666666699</v>
      </c>
      <c r="N10" s="60">
        <v>0.69594573333333298</v>
      </c>
      <c r="O10" s="60">
        <v>1.0297000000000001</v>
      </c>
      <c r="P10" s="60">
        <v>0.93030089999999999</v>
      </c>
      <c r="Q10" s="60">
        <v>1.1214010000000001</v>
      </c>
      <c r="R10" s="60">
        <v>1.0374000000000001</v>
      </c>
      <c r="S10" s="60">
        <v>312.33333333333297</v>
      </c>
      <c r="T10" s="60" t="s">
        <v>137</v>
      </c>
      <c r="U10" s="60" t="s">
        <v>137</v>
      </c>
      <c r="V10" s="60">
        <v>327</v>
      </c>
      <c r="W10" s="60">
        <v>224.416666666667</v>
      </c>
      <c r="X10" s="60" t="s">
        <v>137</v>
      </c>
      <c r="Y10" s="60">
        <v>91.8333333333333</v>
      </c>
      <c r="Z10" s="60">
        <v>223.916666666667</v>
      </c>
      <c r="AA10" s="60">
        <v>81.008333333333297</v>
      </c>
      <c r="AB10" s="60">
        <v>20.153697388323401</v>
      </c>
      <c r="AC10" s="60">
        <v>44.5</v>
      </c>
      <c r="AD10" s="60">
        <v>36.575000000000003</v>
      </c>
      <c r="AE10" s="60">
        <v>107.349166666667</v>
      </c>
      <c r="AF10" s="60" t="s">
        <v>137</v>
      </c>
      <c r="AG10" s="60" t="s">
        <v>137</v>
      </c>
      <c r="AH10" s="60" t="s">
        <v>137</v>
      </c>
      <c r="AI10" s="60" t="s">
        <v>137</v>
      </c>
      <c r="AJ10" s="60">
        <v>57.993333333333297</v>
      </c>
      <c r="AK10" s="60" t="s">
        <v>137</v>
      </c>
      <c r="AL10" s="60">
        <v>0.14286750000000001</v>
      </c>
      <c r="AM10" s="60">
        <v>0.12998333333333301</v>
      </c>
      <c r="AN10" s="60">
        <v>0.73653333333333304</v>
      </c>
      <c r="AO10" s="60">
        <v>0.30013023264266597</v>
      </c>
      <c r="AP10" s="60" t="s">
        <v>137</v>
      </c>
      <c r="AQ10" s="60">
        <v>1.6056982333333301</v>
      </c>
      <c r="AR10" s="60">
        <v>0.12235641</v>
      </c>
      <c r="AS10" s="60">
        <v>0.12584705833333301</v>
      </c>
      <c r="AT10" s="60">
        <v>6.62083333333333E-2</v>
      </c>
      <c r="AU10" s="60">
        <v>1736.87</v>
      </c>
      <c r="AV10" s="60" t="s">
        <v>137</v>
      </c>
      <c r="AW10" s="60">
        <v>31.94</v>
      </c>
      <c r="AX10" s="60" t="s">
        <v>137</v>
      </c>
      <c r="AY10" s="60">
        <v>149.17497836620501</v>
      </c>
      <c r="AZ10" s="60" t="s">
        <v>137</v>
      </c>
      <c r="BA10" s="60">
        <v>0.65454166666666702</v>
      </c>
      <c r="BB10" s="60" t="s">
        <v>137</v>
      </c>
      <c r="BC10" s="60">
        <v>0.780233333333333</v>
      </c>
      <c r="BD10" s="60">
        <v>13</v>
      </c>
      <c r="BE10" s="60">
        <v>1E-10</v>
      </c>
      <c r="BF10" s="60">
        <v>53</v>
      </c>
      <c r="BG10" s="60">
        <v>42.25</v>
      </c>
      <c r="BH10" s="60">
        <v>28.5</v>
      </c>
      <c r="BI10" s="60">
        <v>511.47183227539102</v>
      </c>
      <c r="BJ10" s="60">
        <v>11.42</v>
      </c>
      <c r="BK10" s="60">
        <v>678.75583333333304</v>
      </c>
      <c r="BL10" s="60">
        <v>198.85</v>
      </c>
      <c r="BM10" s="60">
        <v>2196.7333333333299</v>
      </c>
      <c r="BN10" s="60">
        <v>1631</v>
      </c>
      <c r="BO10" s="60">
        <v>246.191666666667</v>
      </c>
      <c r="BP10" s="60">
        <v>35.270000000000003</v>
      </c>
      <c r="BQ10" s="60">
        <v>83.5</v>
      </c>
      <c r="BR10" s="60">
        <v>0.91369999999999996</v>
      </c>
      <c r="BS10" s="58"/>
      <c r="BT10" s="58"/>
      <c r="BU10" s="58"/>
      <c r="BV10" s="58"/>
      <c r="BW10" s="58"/>
      <c r="BX10" s="58"/>
      <c r="BY10" s="58"/>
      <c r="BZ10" s="58"/>
      <c r="CA10" s="58"/>
      <c r="CB10" s="58"/>
      <c r="CC10" s="58"/>
      <c r="CD10" s="58"/>
      <c r="CE10" s="58"/>
      <c r="CF10" s="58"/>
      <c r="CG10" s="58"/>
      <c r="CH10" s="58"/>
      <c r="CI10" s="58"/>
    </row>
    <row r="11" spans="1:87">
      <c r="A11" s="55">
        <v>1961</v>
      </c>
      <c r="B11" s="61">
        <v>1.57</v>
      </c>
      <c r="C11" s="61" t="s">
        <v>137</v>
      </c>
      <c r="D11" s="61">
        <v>1.57</v>
      </c>
      <c r="E11" s="61" t="s">
        <v>137</v>
      </c>
      <c r="F11" s="61" t="s">
        <v>137</v>
      </c>
      <c r="G11" s="61" t="s">
        <v>137</v>
      </c>
      <c r="H11" s="61">
        <v>0.15</v>
      </c>
      <c r="I11" s="61">
        <v>0.40477399635468603</v>
      </c>
      <c r="J11" s="61" t="s">
        <v>137</v>
      </c>
      <c r="K11" s="61">
        <v>3.7457903487814201</v>
      </c>
      <c r="L11" s="61">
        <v>0.47855833333333297</v>
      </c>
      <c r="M11" s="61">
        <v>0.89554166666666701</v>
      </c>
      <c r="N11" s="61">
        <v>0.66943580833333305</v>
      </c>
      <c r="O11" s="61">
        <v>0.95179999999999998</v>
      </c>
      <c r="P11" s="61">
        <v>0.89250090000000004</v>
      </c>
      <c r="Q11" s="61">
        <v>0.97860100000000005</v>
      </c>
      <c r="R11" s="61">
        <v>0.98419959999999995</v>
      </c>
      <c r="S11" s="61">
        <v>253.416666666667</v>
      </c>
      <c r="T11" s="61" t="s">
        <v>137</v>
      </c>
      <c r="U11" s="61" t="s">
        <v>137</v>
      </c>
      <c r="V11" s="61">
        <v>330.25</v>
      </c>
      <c r="W11" s="61">
        <v>228.416666666667</v>
      </c>
      <c r="X11" s="61" t="s">
        <v>137</v>
      </c>
      <c r="Y11" s="61">
        <v>109.333333333333</v>
      </c>
      <c r="Z11" s="61">
        <v>287.33333333333297</v>
      </c>
      <c r="AA11" s="61">
        <v>96.908333333333303</v>
      </c>
      <c r="AB11" s="61">
        <v>20.748039769067301</v>
      </c>
      <c r="AC11" s="61">
        <v>44.956666666666699</v>
      </c>
      <c r="AD11" s="61">
        <v>41.4166666666667</v>
      </c>
      <c r="AE11" s="61">
        <v>118.95</v>
      </c>
      <c r="AF11" s="61" t="s">
        <v>137</v>
      </c>
      <c r="AG11" s="61" t="s">
        <v>137</v>
      </c>
      <c r="AH11" s="61" t="s">
        <v>137</v>
      </c>
      <c r="AI11" s="61" t="s">
        <v>137</v>
      </c>
      <c r="AJ11" s="61">
        <v>58.605833333333301</v>
      </c>
      <c r="AK11" s="61" t="s">
        <v>137</v>
      </c>
      <c r="AL11" s="61">
        <v>0.134921666666667</v>
      </c>
      <c r="AM11" s="61">
        <v>0.13300833333333301</v>
      </c>
      <c r="AN11" s="61">
        <v>0.68194999999999995</v>
      </c>
      <c r="AO11" s="61">
        <v>0.31227945619453801</v>
      </c>
      <c r="AP11" s="61" t="s">
        <v>137</v>
      </c>
      <c r="AQ11" s="61">
        <v>1.6938830333333299</v>
      </c>
      <c r="AR11" s="61">
        <v>0.124340568</v>
      </c>
      <c r="AS11" s="61">
        <v>0.12566334000000001</v>
      </c>
      <c r="AT11" s="61">
        <v>5.9450000000000003E-2</v>
      </c>
      <c r="AU11" s="61">
        <v>1563.19</v>
      </c>
      <c r="AV11" s="61" t="s">
        <v>137</v>
      </c>
      <c r="AW11" s="61">
        <v>33.06</v>
      </c>
      <c r="AX11" s="61" t="s">
        <v>137</v>
      </c>
      <c r="AY11" s="61">
        <v>151.97728078765201</v>
      </c>
      <c r="AZ11" s="61" t="s">
        <v>137</v>
      </c>
      <c r="BA11" s="61">
        <v>0.67218333333333302</v>
      </c>
      <c r="BB11" s="61" t="s">
        <v>137</v>
      </c>
      <c r="BC11" s="61">
        <v>0.601308333333333</v>
      </c>
      <c r="BD11" s="61">
        <v>13</v>
      </c>
      <c r="BE11" s="61">
        <v>1E-10</v>
      </c>
      <c r="BF11" s="61">
        <v>52</v>
      </c>
      <c r="BG11" s="61">
        <v>42.25</v>
      </c>
      <c r="BH11" s="61">
        <v>30</v>
      </c>
      <c r="BI11" s="61">
        <v>511.47183227539102</v>
      </c>
      <c r="BJ11" s="61">
        <v>11.02</v>
      </c>
      <c r="BK11" s="61">
        <v>633.08416666666699</v>
      </c>
      <c r="BL11" s="61">
        <v>176.97499999999999</v>
      </c>
      <c r="BM11" s="61">
        <v>2449.8916666666701</v>
      </c>
      <c r="BN11" s="61">
        <v>1711</v>
      </c>
      <c r="BO11" s="61">
        <v>214.308333333333</v>
      </c>
      <c r="BP11" s="61">
        <v>35.25</v>
      </c>
      <c r="BQ11" s="61">
        <v>83.5</v>
      </c>
      <c r="BR11" s="61">
        <v>0.92444166666666605</v>
      </c>
      <c r="BS11" s="58"/>
      <c r="BT11" s="58"/>
      <c r="BU11" s="58"/>
      <c r="BV11" s="58"/>
      <c r="BW11" s="58"/>
      <c r="BX11" s="58"/>
      <c r="BY11" s="58"/>
      <c r="BZ11" s="58"/>
      <c r="CA11" s="58"/>
      <c r="CB11" s="58"/>
      <c r="CC11" s="58"/>
      <c r="CD11" s="58"/>
      <c r="CE11" s="58"/>
      <c r="CF11" s="58"/>
      <c r="CG11" s="58"/>
      <c r="CH11" s="58"/>
      <c r="CI11" s="58"/>
    </row>
    <row r="12" spans="1:87">
      <c r="A12" s="59">
        <v>1962</v>
      </c>
      <c r="B12" s="60">
        <v>1.52</v>
      </c>
      <c r="C12" s="60" t="s">
        <v>137</v>
      </c>
      <c r="D12" s="60">
        <v>1.52</v>
      </c>
      <c r="E12" s="60" t="s">
        <v>137</v>
      </c>
      <c r="F12" s="60" t="s">
        <v>137</v>
      </c>
      <c r="G12" s="60" t="s">
        <v>137</v>
      </c>
      <c r="H12" s="60">
        <v>0.16</v>
      </c>
      <c r="I12" s="60">
        <v>0.40477399635468603</v>
      </c>
      <c r="J12" s="60" t="s">
        <v>137</v>
      </c>
      <c r="K12" s="60">
        <v>3.86722407851813</v>
      </c>
      <c r="L12" s="60">
        <v>0.45796666666666702</v>
      </c>
      <c r="M12" s="60">
        <v>0.83259166666666595</v>
      </c>
      <c r="N12" s="60">
        <v>0.68220393333333296</v>
      </c>
      <c r="O12" s="60">
        <v>0.97299999999999998</v>
      </c>
      <c r="P12" s="60">
        <v>0.86100089999999996</v>
      </c>
      <c r="Q12" s="60">
        <v>1.1046009999999999</v>
      </c>
      <c r="R12" s="60">
        <v>0.95339960000000001</v>
      </c>
      <c r="S12" s="60">
        <v>251.21666666666701</v>
      </c>
      <c r="T12" s="60" t="s">
        <v>137</v>
      </c>
      <c r="U12" s="60" t="s">
        <v>137</v>
      </c>
      <c r="V12" s="60">
        <v>274.33999999999997</v>
      </c>
      <c r="W12" s="60">
        <v>216.23583333333301</v>
      </c>
      <c r="X12" s="60" t="s">
        <v>137</v>
      </c>
      <c r="Y12" s="60">
        <v>100.54</v>
      </c>
      <c r="Z12" s="60">
        <v>227</v>
      </c>
      <c r="AA12" s="60">
        <v>89.008333333333397</v>
      </c>
      <c r="AB12" s="60">
        <v>22.702439204122498</v>
      </c>
      <c r="AC12" s="60">
        <v>48.6533333333333</v>
      </c>
      <c r="AD12" s="60">
        <v>44.7008333333333</v>
      </c>
      <c r="AE12" s="60">
        <v>134.925833333333</v>
      </c>
      <c r="AF12" s="60" t="s">
        <v>137</v>
      </c>
      <c r="AG12" s="60" t="s">
        <v>137</v>
      </c>
      <c r="AH12" s="60" t="s">
        <v>137</v>
      </c>
      <c r="AI12" s="60" t="s">
        <v>137</v>
      </c>
      <c r="AJ12" s="60">
        <v>64.332499999999996</v>
      </c>
      <c r="AK12" s="60" t="s">
        <v>137</v>
      </c>
      <c r="AL12" s="60">
        <v>0.13139000000000001</v>
      </c>
      <c r="AM12" s="60">
        <v>0.108008333333333</v>
      </c>
      <c r="AN12" s="60">
        <v>0.71412500000000001</v>
      </c>
      <c r="AO12" s="60">
        <v>0.31956187706611699</v>
      </c>
      <c r="AP12" s="60" t="s">
        <v>137</v>
      </c>
      <c r="AQ12" s="60">
        <v>2.2523867666666701</v>
      </c>
      <c r="AR12" s="60">
        <v>0.126324726</v>
      </c>
      <c r="AS12" s="60">
        <v>0.128419115</v>
      </c>
      <c r="AT12" s="60">
        <v>6.1683333333333298E-2</v>
      </c>
      <c r="AU12" s="60">
        <v>1404.9</v>
      </c>
      <c r="AV12" s="60" t="s">
        <v>137</v>
      </c>
      <c r="AW12" s="60">
        <v>36.39</v>
      </c>
      <c r="AX12" s="60" t="s">
        <v>137</v>
      </c>
      <c r="AY12" s="60">
        <v>160.060968785033</v>
      </c>
      <c r="AZ12" s="60" t="s">
        <v>137</v>
      </c>
      <c r="BA12" s="60">
        <v>0.64932500000000004</v>
      </c>
      <c r="BB12" s="60" t="s">
        <v>137</v>
      </c>
      <c r="BC12" s="60">
        <v>0.56363333333333299</v>
      </c>
      <c r="BD12" s="60">
        <v>11.5</v>
      </c>
      <c r="BE12" s="60">
        <v>1E-10</v>
      </c>
      <c r="BF12" s="60">
        <v>51</v>
      </c>
      <c r="BG12" s="60">
        <v>42.25</v>
      </c>
      <c r="BH12" s="60">
        <v>30</v>
      </c>
      <c r="BI12" s="60">
        <v>498.06039174397802</v>
      </c>
      <c r="BJ12" s="60">
        <v>11.01</v>
      </c>
      <c r="BK12" s="60">
        <v>645.14333333333298</v>
      </c>
      <c r="BL12" s="60">
        <v>155.28333333333299</v>
      </c>
      <c r="BM12" s="60">
        <v>2471.38333333333</v>
      </c>
      <c r="BN12" s="60">
        <v>1761</v>
      </c>
      <c r="BO12" s="60">
        <v>185.92500000000001</v>
      </c>
      <c r="BP12" s="60">
        <v>35.229999999999997</v>
      </c>
      <c r="BQ12" s="60">
        <v>83.5</v>
      </c>
      <c r="BR12" s="60">
        <v>1.083725</v>
      </c>
      <c r="BS12" s="58"/>
      <c r="BT12" s="58"/>
      <c r="BU12" s="58"/>
      <c r="BV12" s="58"/>
      <c r="BW12" s="58"/>
      <c r="BX12" s="58"/>
      <c r="BY12" s="58"/>
      <c r="BZ12" s="58"/>
      <c r="CA12" s="58"/>
      <c r="CB12" s="58"/>
      <c r="CC12" s="58"/>
      <c r="CD12" s="58"/>
      <c r="CE12" s="58"/>
      <c r="CF12" s="58"/>
      <c r="CG12" s="58"/>
      <c r="CH12" s="58"/>
      <c r="CI12" s="58"/>
    </row>
    <row r="13" spans="1:87">
      <c r="A13" s="55">
        <v>1963</v>
      </c>
      <c r="B13" s="61">
        <v>1.5</v>
      </c>
      <c r="C13" s="61" t="s">
        <v>137</v>
      </c>
      <c r="D13" s="61">
        <v>1.5</v>
      </c>
      <c r="E13" s="61" t="s">
        <v>137</v>
      </c>
      <c r="F13" s="61" t="s">
        <v>137</v>
      </c>
      <c r="G13" s="61" t="s">
        <v>137</v>
      </c>
      <c r="H13" s="61">
        <v>0.16</v>
      </c>
      <c r="I13" s="61">
        <v>0.391351137946851</v>
      </c>
      <c r="J13" s="61" t="s">
        <v>137</v>
      </c>
      <c r="K13" s="61">
        <v>3.8034121802566898</v>
      </c>
      <c r="L13" s="61">
        <v>0.55234166666666695</v>
      </c>
      <c r="M13" s="61">
        <v>0.80574166666666702</v>
      </c>
      <c r="N13" s="61">
        <v>0.62350728333333305</v>
      </c>
      <c r="O13" s="61">
        <v>0.95289999999999997</v>
      </c>
      <c r="P13" s="61">
        <v>0.81480079999999999</v>
      </c>
      <c r="Q13" s="61">
        <v>1.083601</v>
      </c>
      <c r="R13" s="61">
        <v>0.96039960000000002</v>
      </c>
      <c r="S13" s="61">
        <v>286.33333333333297</v>
      </c>
      <c r="T13" s="61" t="s">
        <v>137</v>
      </c>
      <c r="U13" s="61" t="s">
        <v>137</v>
      </c>
      <c r="V13" s="61">
        <v>268.50333333333299</v>
      </c>
      <c r="W13" s="61">
        <v>222.393333333333</v>
      </c>
      <c r="X13" s="61" t="s">
        <v>137</v>
      </c>
      <c r="Y13" s="61">
        <v>110.09333333333301</v>
      </c>
      <c r="Z13" s="61">
        <v>223.583333333333</v>
      </c>
      <c r="AA13" s="61">
        <v>91.016666666666694</v>
      </c>
      <c r="AB13" s="61">
        <v>23.977474100333801</v>
      </c>
      <c r="AC13" s="61">
        <v>53.7708333333333</v>
      </c>
      <c r="AD13" s="61">
        <v>47.84</v>
      </c>
      <c r="AE13" s="61">
        <v>125.663333333333</v>
      </c>
      <c r="AF13" s="61" t="s">
        <v>137</v>
      </c>
      <c r="AG13" s="61" t="s">
        <v>137</v>
      </c>
      <c r="AH13" s="61" t="s">
        <v>137</v>
      </c>
      <c r="AI13" s="61" t="s">
        <v>137</v>
      </c>
      <c r="AJ13" s="61">
        <v>64.486666666666693</v>
      </c>
      <c r="AK13" s="61" t="s">
        <v>137</v>
      </c>
      <c r="AL13" s="61">
        <v>0.14408333333333301</v>
      </c>
      <c r="AM13" s="61">
        <v>9.4008333333333305E-2</v>
      </c>
      <c r="AN13" s="61">
        <v>0.66634166666666705</v>
      </c>
      <c r="AO13" s="61">
        <v>0.32802898679500397</v>
      </c>
      <c r="AP13" s="61" t="s">
        <v>137</v>
      </c>
      <c r="AQ13" s="61">
        <v>1.9970182833333301</v>
      </c>
      <c r="AR13" s="61">
        <v>0.12676565000000001</v>
      </c>
      <c r="AS13" s="61">
        <v>0.165897655</v>
      </c>
      <c r="AT13" s="61">
        <v>0.183233333333333</v>
      </c>
      <c r="AU13" s="61">
        <v>1343.61</v>
      </c>
      <c r="AV13" s="61" t="s">
        <v>137</v>
      </c>
      <c r="AW13" s="61">
        <v>35.485833333333296</v>
      </c>
      <c r="AX13" s="61" t="s">
        <v>137</v>
      </c>
      <c r="AY13" s="61">
        <v>157.84746193132401</v>
      </c>
      <c r="AZ13" s="61" t="s">
        <v>137</v>
      </c>
      <c r="BA13" s="61">
        <v>0.64559166666666701</v>
      </c>
      <c r="BB13" s="61" t="s">
        <v>137</v>
      </c>
      <c r="BC13" s="61">
        <v>0.52138333333333298</v>
      </c>
      <c r="BD13" s="61">
        <v>11.5</v>
      </c>
      <c r="BE13" s="61">
        <v>1E-10</v>
      </c>
      <c r="BF13" s="61">
        <v>52</v>
      </c>
      <c r="BG13" s="61">
        <v>42.25</v>
      </c>
      <c r="BH13" s="61">
        <v>30</v>
      </c>
      <c r="BI13" s="61">
        <v>498.79526519775402</v>
      </c>
      <c r="BJ13" s="61">
        <v>11.02</v>
      </c>
      <c r="BK13" s="61">
        <v>645.95083333333298</v>
      </c>
      <c r="BL13" s="61">
        <v>174.808333333333</v>
      </c>
      <c r="BM13" s="61">
        <v>2507.7333333333299</v>
      </c>
      <c r="BN13" s="61">
        <v>1741.6666666666699</v>
      </c>
      <c r="BO13" s="61">
        <v>211.50833333333301</v>
      </c>
      <c r="BP13" s="61">
        <v>35.090000000000003</v>
      </c>
      <c r="BQ13" s="61">
        <v>80.930833333333396</v>
      </c>
      <c r="BR13" s="61">
        <v>1.27910833333333</v>
      </c>
      <c r="BS13" s="58"/>
      <c r="BT13" s="58"/>
      <c r="BU13" s="58"/>
      <c r="BV13" s="58"/>
      <c r="BW13" s="58"/>
      <c r="BX13" s="58"/>
      <c r="BY13" s="58"/>
      <c r="BZ13" s="58"/>
      <c r="CA13" s="58"/>
      <c r="CB13" s="58"/>
      <c r="CC13" s="58"/>
      <c r="CD13" s="58"/>
      <c r="CE13" s="58"/>
      <c r="CF13" s="58"/>
      <c r="CG13" s="58"/>
      <c r="CH13" s="58"/>
      <c r="CI13" s="58"/>
    </row>
    <row r="14" spans="1:87">
      <c r="A14" s="59">
        <v>1964</v>
      </c>
      <c r="B14" s="60">
        <v>1.45</v>
      </c>
      <c r="C14" s="60" t="s">
        <v>137</v>
      </c>
      <c r="D14" s="60">
        <v>1.45</v>
      </c>
      <c r="E14" s="60" t="s">
        <v>137</v>
      </c>
      <c r="F14" s="60" t="s">
        <v>137</v>
      </c>
      <c r="G14" s="60" t="s">
        <v>137</v>
      </c>
      <c r="H14" s="60">
        <v>0.15</v>
      </c>
      <c r="I14" s="60">
        <v>0.38414980235889501</v>
      </c>
      <c r="J14" s="60" t="s">
        <v>137</v>
      </c>
      <c r="K14" s="60">
        <v>3.6477434999660199</v>
      </c>
      <c r="L14" s="60">
        <v>0.50574166666666698</v>
      </c>
      <c r="M14" s="60">
        <v>1.00975833333333</v>
      </c>
      <c r="N14" s="60">
        <v>0.78706794166666605</v>
      </c>
      <c r="O14" s="60">
        <v>0.92700000000000005</v>
      </c>
      <c r="P14" s="60">
        <v>0.81900079999999997</v>
      </c>
      <c r="Q14" s="60">
        <v>1.039501</v>
      </c>
      <c r="R14" s="60">
        <v>0.92259959999999996</v>
      </c>
      <c r="S14" s="60">
        <v>296.47500000000002</v>
      </c>
      <c r="T14" s="60" t="s">
        <v>137</v>
      </c>
      <c r="U14" s="60" t="s">
        <v>137</v>
      </c>
      <c r="V14" s="60">
        <v>315.37583333333299</v>
      </c>
      <c r="W14" s="60">
        <v>239.45249999999999</v>
      </c>
      <c r="X14" s="60" t="s">
        <v>137</v>
      </c>
      <c r="Y14" s="60">
        <v>110.505833333333</v>
      </c>
      <c r="Z14" s="60">
        <v>233</v>
      </c>
      <c r="AA14" s="60">
        <v>89.008333333333397</v>
      </c>
      <c r="AB14" s="60">
        <v>25.1433833223854</v>
      </c>
      <c r="AC14" s="60">
        <v>54.631666666666703</v>
      </c>
      <c r="AD14" s="60">
        <v>48.234999999999999</v>
      </c>
      <c r="AE14" s="60">
        <v>120.14749999999999</v>
      </c>
      <c r="AF14" s="60" t="s">
        <v>137</v>
      </c>
      <c r="AG14" s="60" t="s">
        <v>137</v>
      </c>
      <c r="AH14" s="60" t="s">
        <v>137</v>
      </c>
      <c r="AI14" s="60" t="s">
        <v>137</v>
      </c>
      <c r="AJ14" s="60">
        <v>67.526666666666699</v>
      </c>
      <c r="AK14" s="60" t="s">
        <v>137</v>
      </c>
      <c r="AL14" s="60">
        <v>0.170408333333333</v>
      </c>
      <c r="AM14" s="60">
        <v>8.4000000000000005E-2</v>
      </c>
      <c r="AN14" s="60">
        <v>0.84088333333333298</v>
      </c>
      <c r="AO14" s="60">
        <v>0.33763147780740999</v>
      </c>
      <c r="AP14" s="60" t="s">
        <v>137</v>
      </c>
      <c r="AQ14" s="60">
        <v>1.81329995</v>
      </c>
      <c r="AR14" s="60">
        <v>0.12658193166666701</v>
      </c>
      <c r="AS14" s="60">
        <v>0.13870734166666701</v>
      </c>
      <c r="AT14" s="60">
        <v>0.12632499999999999</v>
      </c>
      <c r="AU14" s="60">
        <v>1488.3</v>
      </c>
      <c r="AV14" s="60" t="s">
        <v>137</v>
      </c>
      <c r="AW14" s="60">
        <v>30.254999999999999</v>
      </c>
      <c r="AX14" s="60" t="s">
        <v>137</v>
      </c>
      <c r="AY14" s="60">
        <v>144.83399269970599</v>
      </c>
      <c r="AZ14" s="60" t="s">
        <v>137</v>
      </c>
      <c r="BA14" s="60">
        <v>0.65035833333333304</v>
      </c>
      <c r="BB14" s="60" t="s">
        <v>137</v>
      </c>
      <c r="BC14" s="60">
        <v>0.49050833333333299</v>
      </c>
      <c r="BD14" s="60">
        <v>12.5</v>
      </c>
      <c r="BE14" s="60">
        <v>1E-10</v>
      </c>
      <c r="BF14" s="60">
        <v>53</v>
      </c>
      <c r="BG14" s="60">
        <v>60.5</v>
      </c>
      <c r="BH14" s="60">
        <v>32.5</v>
      </c>
      <c r="BI14" s="60">
        <v>525.98563130696596</v>
      </c>
      <c r="BJ14" s="60">
        <v>10.24</v>
      </c>
      <c r="BK14" s="60">
        <v>969.75333333333299</v>
      </c>
      <c r="BL14" s="60">
        <v>277.88333333333298</v>
      </c>
      <c r="BM14" s="60">
        <v>3412.74166666667</v>
      </c>
      <c r="BN14" s="60">
        <v>1741.6666666666699</v>
      </c>
      <c r="BO14" s="60">
        <v>326.49166666666702</v>
      </c>
      <c r="BP14" s="60">
        <v>35.1</v>
      </c>
      <c r="BQ14" s="60">
        <v>88.480833333333393</v>
      </c>
      <c r="BR14" s="60">
        <v>1.2929999999999999</v>
      </c>
      <c r="BS14" s="58"/>
      <c r="BT14" s="58"/>
      <c r="BU14" s="58"/>
      <c r="BV14" s="58"/>
      <c r="BW14" s="58"/>
      <c r="BX14" s="58"/>
      <c r="BY14" s="58"/>
      <c r="BZ14" s="58"/>
      <c r="CA14" s="58"/>
      <c r="CB14" s="58"/>
      <c r="CC14" s="58"/>
      <c r="CD14" s="58"/>
      <c r="CE14" s="58"/>
      <c r="CF14" s="58"/>
      <c r="CG14" s="58"/>
      <c r="CH14" s="58"/>
      <c r="CI14" s="58"/>
    </row>
    <row r="15" spans="1:87">
      <c r="A15" s="55">
        <v>1965</v>
      </c>
      <c r="B15" s="61">
        <v>1.42</v>
      </c>
      <c r="C15" s="61" t="s">
        <v>137</v>
      </c>
      <c r="D15" s="61">
        <v>1.42</v>
      </c>
      <c r="E15" s="61" t="s">
        <v>137</v>
      </c>
      <c r="F15" s="61" t="s">
        <v>137</v>
      </c>
      <c r="G15" s="61" t="s">
        <v>137</v>
      </c>
      <c r="H15" s="61">
        <v>0.16</v>
      </c>
      <c r="I15" s="61">
        <v>0.41076610521566898</v>
      </c>
      <c r="J15" s="61" t="s">
        <v>137</v>
      </c>
      <c r="K15" s="61">
        <v>3.8957103985992001</v>
      </c>
      <c r="L15" s="61">
        <v>0.36530833333333301</v>
      </c>
      <c r="M15" s="61">
        <v>1.0003500000000001</v>
      </c>
      <c r="N15" s="61">
        <v>0.67825407500000001</v>
      </c>
      <c r="O15" s="61">
        <v>1.0003</v>
      </c>
      <c r="P15" s="61">
        <v>0.84630090000000002</v>
      </c>
      <c r="Q15" s="61">
        <v>1.142401</v>
      </c>
      <c r="R15" s="61">
        <v>1.0122</v>
      </c>
      <c r="S15" s="61">
        <v>350.13333333333298</v>
      </c>
      <c r="T15" s="61" t="s">
        <v>137</v>
      </c>
      <c r="U15" s="61" t="s">
        <v>137</v>
      </c>
      <c r="V15" s="61">
        <v>323.91750000000002</v>
      </c>
      <c r="W15" s="61">
        <v>272.52166666666699</v>
      </c>
      <c r="X15" s="61" t="s">
        <v>137</v>
      </c>
      <c r="Y15" s="61">
        <v>116.868333333333</v>
      </c>
      <c r="Z15" s="61">
        <v>270</v>
      </c>
      <c r="AA15" s="61">
        <v>97.025000000000006</v>
      </c>
      <c r="AB15" s="61">
        <v>24.344802165836899</v>
      </c>
      <c r="AC15" s="61">
        <v>55.672499999999999</v>
      </c>
      <c r="AD15" s="61">
        <v>47.9316666666667</v>
      </c>
      <c r="AE15" s="61">
        <v>118.789166666667</v>
      </c>
      <c r="AF15" s="61" t="s">
        <v>137</v>
      </c>
      <c r="AG15" s="61" t="s">
        <v>137</v>
      </c>
      <c r="AH15" s="61" t="s">
        <v>137</v>
      </c>
      <c r="AI15" s="61" t="s">
        <v>137</v>
      </c>
      <c r="AJ15" s="61">
        <v>59.461666666666702</v>
      </c>
      <c r="AK15" s="61" t="s">
        <v>137</v>
      </c>
      <c r="AL15" s="61">
        <v>0.15940833333333301</v>
      </c>
      <c r="AM15" s="61">
        <v>9.6000000000000002E-2</v>
      </c>
      <c r="AN15" s="61">
        <v>0.88161666666666705</v>
      </c>
      <c r="AO15" s="61">
        <v>0.35023987828688802</v>
      </c>
      <c r="AP15" s="61" t="s">
        <v>137</v>
      </c>
      <c r="AQ15" s="61">
        <v>1.98783236666667</v>
      </c>
      <c r="AR15" s="61">
        <v>0.12456103</v>
      </c>
      <c r="AS15" s="61">
        <v>0.13613528499999999</v>
      </c>
      <c r="AT15" s="61">
        <v>4.4216666666666703E-2</v>
      </c>
      <c r="AU15" s="61">
        <v>1265.4100000000001</v>
      </c>
      <c r="AV15" s="61" t="s">
        <v>137</v>
      </c>
      <c r="AW15" s="61">
        <v>35.024999999999999</v>
      </c>
      <c r="AX15" s="61" t="s">
        <v>137</v>
      </c>
      <c r="AY15" s="61">
        <v>156.749313066144</v>
      </c>
      <c r="AZ15" s="61" t="s">
        <v>137</v>
      </c>
      <c r="BA15" s="61">
        <v>0.63792499999999996</v>
      </c>
      <c r="BB15" s="61" t="s">
        <v>137</v>
      </c>
      <c r="BC15" s="61">
        <v>0.50485833333333296</v>
      </c>
      <c r="BD15" s="61">
        <v>14</v>
      </c>
      <c r="BE15" s="61">
        <v>1E-10</v>
      </c>
      <c r="BF15" s="61">
        <v>54</v>
      </c>
      <c r="BG15" s="61">
        <v>65.75</v>
      </c>
      <c r="BH15" s="61">
        <v>29.5</v>
      </c>
      <c r="BI15" s="61">
        <v>540.1318359375</v>
      </c>
      <c r="BJ15" s="61">
        <v>10.661666666666701</v>
      </c>
      <c r="BK15" s="61">
        <v>1292.8441666666699</v>
      </c>
      <c r="BL15" s="61">
        <v>317.17500000000001</v>
      </c>
      <c r="BM15" s="61">
        <v>3890.7833333333301</v>
      </c>
      <c r="BN15" s="61">
        <v>1735</v>
      </c>
      <c r="BO15" s="61">
        <v>311.25</v>
      </c>
      <c r="BP15" s="61">
        <v>35.119999999999997</v>
      </c>
      <c r="BQ15" s="61">
        <v>98.0416666666667</v>
      </c>
      <c r="BR15" s="61">
        <v>1.2929999999999999</v>
      </c>
      <c r="BS15" s="58"/>
      <c r="BT15" s="58"/>
      <c r="BU15" s="58"/>
      <c r="BV15" s="58"/>
      <c r="BW15" s="58"/>
      <c r="BX15" s="58"/>
      <c r="BY15" s="58"/>
      <c r="BZ15" s="58"/>
      <c r="CA15" s="58"/>
      <c r="CB15" s="58"/>
      <c r="CC15" s="58"/>
      <c r="CD15" s="58"/>
      <c r="CE15" s="58"/>
      <c r="CF15" s="58"/>
      <c r="CG15" s="58"/>
      <c r="CH15" s="58"/>
      <c r="CI15" s="58"/>
    </row>
    <row r="16" spans="1:87">
      <c r="A16" s="59">
        <v>1966</v>
      </c>
      <c r="B16" s="60">
        <v>1.36</v>
      </c>
      <c r="C16" s="60" t="s">
        <v>137</v>
      </c>
      <c r="D16" s="60">
        <v>1.36</v>
      </c>
      <c r="E16" s="60" t="s">
        <v>137</v>
      </c>
      <c r="F16" s="60" t="s">
        <v>137</v>
      </c>
      <c r="G16" s="60" t="s">
        <v>137</v>
      </c>
      <c r="H16" s="60">
        <v>0.16</v>
      </c>
      <c r="I16" s="60">
        <v>0.424928665138044</v>
      </c>
      <c r="J16" s="60" t="s">
        <v>137</v>
      </c>
      <c r="K16" s="60">
        <v>3.9630388174373699</v>
      </c>
      <c r="L16" s="60">
        <v>0.51763333333333295</v>
      </c>
      <c r="M16" s="60">
        <v>0.92872500000000002</v>
      </c>
      <c r="N16" s="60">
        <v>0.73913689999999999</v>
      </c>
      <c r="O16" s="60">
        <v>0.87432500000000002</v>
      </c>
      <c r="P16" s="60">
        <v>0.76020080000000001</v>
      </c>
      <c r="Q16" s="60">
        <v>0.94869484166666596</v>
      </c>
      <c r="R16" s="60">
        <v>0.9141996</v>
      </c>
      <c r="S16" s="60">
        <v>323.70833333333297</v>
      </c>
      <c r="T16" s="60" t="s">
        <v>137</v>
      </c>
      <c r="U16" s="60" t="s">
        <v>137</v>
      </c>
      <c r="V16" s="60">
        <v>296.30500000000001</v>
      </c>
      <c r="W16" s="60">
        <v>235.64</v>
      </c>
      <c r="X16" s="60" t="s">
        <v>137</v>
      </c>
      <c r="Y16" s="60">
        <v>125.66249999999999</v>
      </c>
      <c r="Z16" s="60">
        <v>261.5</v>
      </c>
      <c r="AA16" s="60">
        <v>107.035833333333</v>
      </c>
      <c r="AB16" s="60">
        <v>25.911773800935201</v>
      </c>
      <c r="AC16" s="60">
        <v>58.296666666666702</v>
      </c>
      <c r="AD16" s="60">
        <v>48.5758333333333</v>
      </c>
      <c r="AE16" s="60">
        <v>145.20249999999999</v>
      </c>
      <c r="AF16" s="60" t="s">
        <v>137</v>
      </c>
      <c r="AG16" s="60" t="s">
        <v>137</v>
      </c>
      <c r="AH16" s="60" t="s">
        <v>137</v>
      </c>
      <c r="AI16" s="60" t="s">
        <v>137</v>
      </c>
      <c r="AJ16" s="60">
        <v>62.954166666666701</v>
      </c>
      <c r="AK16" s="60" t="s">
        <v>137</v>
      </c>
      <c r="AL16" s="60">
        <v>0.15379166666666699</v>
      </c>
      <c r="AM16" s="60">
        <v>8.4025000000000002E-2</v>
      </c>
      <c r="AN16" s="60">
        <v>1.0223500000000001</v>
      </c>
      <c r="AO16" s="60">
        <v>0.363625162165436</v>
      </c>
      <c r="AP16" s="60" t="s">
        <v>137</v>
      </c>
      <c r="AQ16" s="60">
        <v>2.314851</v>
      </c>
      <c r="AR16" s="60">
        <v>0.13095442800000001</v>
      </c>
      <c r="AS16" s="60">
        <v>0.140911961666667</v>
      </c>
      <c r="AT16" s="60">
        <v>3.98083333333333E-2</v>
      </c>
      <c r="AU16" s="60">
        <v>1581.22</v>
      </c>
      <c r="AV16" s="60" t="s">
        <v>137</v>
      </c>
      <c r="AW16" s="60">
        <v>36.825000000000003</v>
      </c>
      <c r="AX16" s="60" t="s">
        <v>137</v>
      </c>
      <c r="AY16" s="60">
        <v>161.090318372658</v>
      </c>
      <c r="AZ16" s="60" t="s">
        <v>137</v>
      </c>
      <c r="BA16" s="60">
        <v>0.62280000000000002</v>
      </c>
      <c r="BB16" s="60" t="s">
        <v>137</v>
      </c>
      <c r="BC16" s="60">
        <v>0.47155833333333302</v>
      </c>
      <c r="BD16" s="60">
        <v>13</v>
      </c>
      <c r="BE16" s="60">
        <v>1E-10</v>
      </c>
      <c r="BF16" s="60">
        <v>50</v>
      </c>
      <c r="BG16" s="60">
        <v>59.25</v>
      </c>
      <c r="BH16" s="60">
        <v>27.5</v>
      </c>
      <c r="BI16" s="60">
        <v>540.1318359375</v>
      </c>
      <c r="BJ16" s="60">
        <v>9.52</v>
      </c>
      <c r="BK16" s="60">
        <v>1531.5133333333299</v>
      </c>
      <c r="BL16" s="60">
        <v>260.64999999999998</v>
      </c>
      <c r="BM16" s="60">
        <v>3573.50833333333</v>
      </c>
      <c r="BN16" s="60">
        <v>1739</v>
      </c>
      <c r="BO16" s="60">
        <v>281.10833333333301</v>
      </c>
      <c r="BP16" s="60">
        <v>35.130000000000003</v>
      </c>
      <c r="BQ16" s="60">
        <v>99.720833333333303</v>
      </c>
      <c r="BR16" s="60">
        <v>1.2929999999999999</v>
      </c>
      <c r="BS16" s="58"/>
      <c r="BT16" s="58"/>
      <c r="BU16" s="58"/>
      <c r="BV16" s="58"/>
      <c r="BW16" s="58"/>
      <c r="BX16" s="58"/>
      <c r="BY16" s="58"/>
      <c r="BZ16" s="58"/>
      <c r="CA16" s="58"/>
      <c r="CB16" s="58"/>
      <c r="CC16" s="58"/>
      <c r="CD16" s="58"/>
      <c r="CE16" s="58"/>
      <c r="CF16" s="58"/>
      <c r="CG16" s="58"/>
      <c r="CH16" s="58"/>
      <c r="CI16" s="58"/>
    </row>
    <row r="17" spans="1:87">
      <c r="A17" s="55">
        <v>1967</v>
      </c>
      <c r="B17" s="61">
        <v>1.33</v>
      </c>
      <c r="C17" s="61" t="s">
        <v>137</v>
      </c>
      <c r="D17" s="61">
        <v>1.33</v>
      </c>
      <c r="E17" s="61" t="s">
        <v>137</v>
      </c>
      <c r="F17" s="61" t="s">
        <v>137</v>
      </c>
      <c r="G17" s="61" t="s">
        <v>137</v>
      </c>
      <c r="H17" s="61">
        <v>0.16</v>
      </c>
      <c r="I17" s="61">
        <v>0.45664737627884</v>
      </c>
      <c r="J17" s="61" t="s">
        <v>137</v>
      </c>
      <c r="K17" s="61">
        <v>4.1138286944369602</v>
      </c>
      <c r="L17" s="61">
        <v>0.59811666666666696</v>
      </c>
      <c r="M17" s="61">
        <v>0.86420833333333302</v>
      </c>
      <c r="N17" s="61">
        <v>0.73911853333333299</v>
      </c>
      <c r="O17" s="61">
        <v>0.83614166666666601</v>
      </c>
      <c r="P17" s="61">
        <v>0.71862073333333298</v>
      </c>
      <c r="Q17" s="61">
        <v>0.79866669999999995</v>
      </c>
      <c r="R17" s="61">
        <v>0.99119959999999996</v>
      </c>
      <c r="S17" s="61">
        <v>326.35833333333301</v>
      </c>
      <c r="T17" s="61" t="s">
        <v>137</v>
      </c>
      <c r="U17" s="61" t="s">
        <v>137</v>
      </c>
      <c r="V17" s="61">
        <v>282.95333333333298</v>
      </c>
      <c r="W17" s="61">
        <v>223.45083333333301</v>
      </c>
      <c r="X17" s="61" t="s">
        <v>137</v>
      </c>
      <c r="Y17" s="61">
        <v>114.72499999999999</v>
      </c>
      <c r="Z17" s="61">
        <v>216.833333333333</v>
      </c>
      <c r="AA17" s="61">
        <v>98.891666666666694</v>
      </c>
      <c r="AB17" s="61">
        <v>26.250324115509901</v>
      </c>
      <c r="AC17" s="61">
        <v>54.102499999999999</v>
      </c>
      <c r="AD17" s="61">
        <v>51.897500000000001</v>
      </c>
      <c r="AE17" s="61">
        <v>189.37333333333299</v>
      </c>
      <c r="AF17" s="61" t="s">
        <v>137</v>
      </c>
      <c r="AG17" s="61" t="s">
        <v>137</v>
      </c>
      <c r="AH17" s="61" t="s">
        <v>137</v>
      </c>
      <c r="AI17" s="61" t="s">
        <v>137</v>
      </c>
      <c r="AJ17" s="61">
        <v>65.709999999999994</v>
      </c>
      <c r="AK17" s="61" t="s">
        <v>137</v>
      </c>
      <c r="AL17" s="61">
        <v>0.15862499999999999</v>
      </c>
      <c r="AM17" s="61">
        <v>0.159008333333333</v>
      </c>
      <c r="AN17" s="61">
        <v>1.0411333333333299</v>
      </c>
      <c r="AO17" s="61">
        <v>0.37215391673575099</v>
      </c>
      <c r="AP17" s="61" t="s">
        <v>137</v>
      </c>
      <c r="AQ17" s="61">
        <v>2.2928047999999999</v>
      </c>
      <c r="AR17" s="61">
        <v>0.12941119400000001</v>
      </c>
      <c r="AS17" s="61">
        <v>0.147158385</v>
      </c>
      <c r="AT17" s="61">
        <v>4.2058333333333302E-2</v>
      </c>
      <c r="AU17" s="61">
        <v>1299.43</v>
      </c>
      <c r="AV17" s="61" t="s">
        <v>137</v>
      </c>
      <c r="AW17" s="61">
        <v>39.329166666666701</v>
      </c>
      <c r="AX17" s="61" t="s">
        <v>137</v>
      </c>
      <c r="AY17" s="61">
        <v>166.88483616584401</v>
      </c>
      <c r="AZ17" s="61" t="s">
        <v>137</v>
      </c>
      <c r="BA17" s="61">
        <v>0.67653333333333299</v>
      </c>
      <c r="BB17" s="61" t="s">
        <v>137</v>
      </c>
      <c r="BC17" s="61">
        <v>0.390125</v>
      </c>
      <c r="BD17" s="61">
        <v>12</v>
      </c>
      <c r="BE17" s="61">
        <v>68.5</v>
      </c>
      <c r="BF17" s="61">
        <v>45</v>
      </c>
      <c r="BG17" s="61">
        <v>49.25</v>
      </c>
      <c r="BH17" s="61">
        <v>25.5</v>
      </c>
      <c r="BI17" s="61">
        <v>540.1318359375</v>
      </c>
      <c r="BJ17" s="61">
        <v>8.86</v>
      </c>
      <c r="BK17" s="61">
        <v>1134.7725</v>
      </c>
      <c r="BL17" s="61">
        <v>227.67500000000001</v>
      </c>
      <c r="BM17" s="61">
        <v>3308.0250000000001</v>
      </c>
      <c r="BN17" s="61">
        <v>1935.7</v>
      </c>
      <c r="BO17" s="61">
        <v>273.33333333333297</v>
      </c>
      <c r="BP17" s="61">
        <v>34.950000000000003</v>
      </c>
      <c r="BQ17" s="61">
        <v>110.24833333333299</v>
      </c>
      <c r="BR17" s="61">
        <v>1.54918333333333</v>
      </c>
      <c r="BS17" s="58"/>
      <c r="BT17" s="58"/>
      <c r="BU17" s="58"/>
      <c r="BV17" s="58"/>
      <c r="BW17" s="58"/>
      <c r="BX17" s="58"/>
      <c r="BY17" s="58"/>
      <c r="BZ17" s="58"/>
      <c r="CA17" s="58"/>
      <c r="CB17" s="58"/>
      <c r="CC17" s="58"/>
      <c r="CD17" s="58"/>
      <c r="CE17" s="58"/>
      <c r="CF17" s="58"/>
      <c r="CG17" s="58"/>
      <c r="CH17" s="58"/>
      <c r="CI17" s="58"/>
    </row>
    <row r="18" spans="1:87">
      <c r="A18" s="59">
        <v>1968</v>
      </c>
      <c r="B18" s="60">
        <v>1.32</v>
      </c>
      <c r="C18" s="60" t="s">
        <v>137</v>
      </c>
      <c r="D18" s="60">
        <v>1.32</v>
      </c>
      <c r="E18" s="60" t="s">
        <v>137</v>
      </c>
      <c r="F18" s="60" t="s">
        <v>137</v>
      </c>
      <c r="G18" s="60" t="s">
        <v>137</v>
      </c>
      <c r="H18" s="60">
        <v>0.16</v>
      </c>
      <c r="I18" s="60">
        <v>0.451801877372704</v>
      </c>
      <c r="J18" s="60" t="s">
        <v>137</v>
      </c>
      <c r="K18" s="60">
        <v>4.0907933264229603</v>
      </c>
      <c r="L18" s="60">
        <v>0.72088333333333299</v>
      </c>
      <c r="M18" s="60">
        <v>0.86699999999999999</v>
      </c>
      <c r="N18" s="60">
        <v>0.74630177499999995</v>
      </c>
      <c r="O18" s="60">
        <v>0.74870000000000003</v>
      </c>
      <c r="P18" s="60">
        <v>0.67704129999999996</v>
      </c>
      <c r="Q18" s="60">
        <v>0.73333340000000002</v>
      </c>
      <c r="R18" s="60">
        <v>0.83579970000000003</v>
      </c>
      <c r="S18" s="60">
        <v>399.26666666666699</v>
      </c>
      <c r="T18" s="60" t="s">
        <v>137</v>
      </c>
      <c r="U18" s="60" t="s">
        <v>137</v>
      </c>
      <c r="V18" s="60">
        <v>270.73416666666702</v>
      </c>
      <c r="W18" s="60">
        <v>168.830833333333</v>
      </c>
      <c r="X18" s="60" t="s">
        <v>137</v>
      </c>
      <c r="Y18" s="60">
        <v>110.800833333333</v>
      </c>
      <c r="Z18" s="60">
        <v>178.083333333333</v>
      </c>
      <c r="AA18" s="60">
        <v>96.4166666666667</v>
      </c>
      <c r="AB18" s="60">
        <v>25.163887740044501</v>
      </c>
      <c r="AC18" s="60">
        <v>47.963333333333303</v>
      </c>
      <c r="AD18" s="60">
        <v>52.566666666666698</v>
      </c>
      <c r="AE18" s="60">
        <v>182.91333333333299</v>
      </c>
      <c r="AF18" s="60" t="s">
        <v>137</v>
      </c>
      <c r="AG18" s="60" t="s">
        <v>137</v>
      </c>
      <c r="AH18" s="60" t="s">
        <v>137</v>
      </c>
      <c r="AI18" s="60" t="s">
        <v>137</v>
      </c>
      <c r="AJ18" s="60">
        <v>62.771666666666697</v>
      </c>
      <c r="AK18" s="60" t="s">
        <v>137</v>
      </c>
      <c r="AL18" s="60">
        <v>0.15308333333333299</v>
      </c>
      <c r="AM18" s="60">
        <v>0.16800833333333301</v>
      </c>
      <c r="AN18" s="60">
        <v>1.08520833333333</v>
      </c>
      <c r="AO18" s="60">
        <v>0.38389968662763002</v>
      </c>
      <c r="AP18" s="60" t="s">
        <v>137</v>
      </c>
      <c r="AQ18" s="60">
        <v>2.5794054000000002</v>
      </c>
      <c r="AR18" s="60">
        <v>0.112215158</v>
      </c>
      <c r="AS18" s="60">
        <v>0.15285365333333301</v>
      </c>
      <c r="AT18" s="60">
        <v>4.1933333333333302E-2</v>
      </c>
      <c r="AU18" s="60">
        <v>1204.4691666666699</v>
      </c>
      <c r="AV18" s="60" t="s">
        <v>137</v>
      </c>
      <c r="AW18" s="60">
        <v>40.048333333333296</v>
      </c>
      <c r="AX18" s="60" t="s">
        <v>137</v>
      </c>
      <c r="AY18" s="60">
        <v>168.53413884917799</v>
      </c>
      <c r="AZ18" s="60" t="s">
        <v>137</v>
      </c>
      <c r="BA18" s="60">
        <v>0.684516666666667</v>
      </c>
      <c r="BB18" s="60" t="s">
        <v>137</v>
      </c>
      <c r="BC18" s="60">
        <v>0.38211666666666699</v>
      </c>
      <c r="BD18" s="60">
        <v>11.5</v>
      </c>
      <c r="BE18" s="60">
        <v>60.5</v>
      </c>
      <c r="BF18" s="60">
        <v>37.5</v>
      </c>
      <c r="BG18" s="60">
        <v>35.5</v>
      </c>
      <c r="BH18" s="60">
        <v>24</v>
      </c>
      <c r="BI18" s="60">
        <v>552.99208577473996</v>
      </c>
      <c r="BJ18" s="60">
        <v>8.77</v>
      </c>
      <c r="BK18" s="60">
        <v>1241.9525000000001</v>
      </c>
      <c r="BL18" s="60">
        <v>240.49166666666699</v>
      </c>
      <c r="BM18" s="60">
        <v>3126.88333333333</v>
      </c>
      <c r="BN18" s="60">
        <v>2074.5</v>
      </c>
      <c r="BO18" s="60">
        <v>262.89166666666699</v>
      </c>
      <c r="BP18" s="60">
        <v>38.924999999999997</v>
      </c>
      <c r="BQ18" s="60">
        <v>117.208333333333</v>
      </c>
      <c r="BR18" s="60">
        <v>2.1446333333333301</v>
      </c>
      <c r="BS18" s="58"/>
      <c r="BT18" s="58"/>
      <c r="BU18" s="58"/>
      <c r="BV18" s="58"/>
      <c r="BW18" s="58"/>
      <c r="BX18" s="58"/>
      <c r="BY18" s="58"/>
      <c r="BZ18" s="58"/>
      <c r="CA18" s="58"/>
      <c r="CB18" s="58"/>
      <c r="CC18" s="58"/>
      <c r="CD18" s="58"/>
      <c r="CE18" s="58"/>
      <c r="CF18" s="58"/>
      <c r="CG18" s="58"/>
      <c r="CH18" s="58"/>
      <c r="CI18" s="58"/>
    </row>
    <row r="19" spans="1:87">
      <c r="A19" s="55">
        <v>1969</v>
      </c>
      <c r="B19" s="61">
        <v>1.27</v>
      </c>
      <c r="C19" s="61" t="s">
        <v>137</v>
      </c>
      <c r="D19" s="61">
        <v>1.27</v>
      </c>
      <c r="E19" s="61" t="s">
        <v>137</v>
      </c>
      <c r="F19" s="61" t="s">
        <v>137</v>
      </c>
      <c r="G19" s="61" t="s">
        <v>137</v>
      </c>
      <c r="H19" s="61">
        <v>0.17</v>
      </c>
      <c r="I19" s="61">
        <v>0.45181991823558199</v>
      </c>
      <c r="J19" s="61" t="s">
        <v>137</v>
      </c>
      <c r="K19" s="61">
        <v>4.2123128219236801</v>
      </c>
      <c r="L19" s="61">
        <v>0.89771666666666705</v>
      </c>
      <c r="M19" s="61">
        <v>0.87672499999999998</v>
      </c>
      <c r="N19" s="61">
        <v>0.72973077500000005</v>
      </c>
      <c r="O19" s="61">
        <v>0.72619999999999996</v>
      </c>
      <c r="P19" s="61">
        <v>0.59640110000000002</v>
      </c>
      <c r="Q19" s="61">
        <v>0.86266670000000001</v>
      </c>
      <c r="R19" s="61">
        <v>0.71959969999999995</v>
      </c>
      <c r="S19" s="61">
        <v>361.26666666666699</v>
      </c>
      <c r="T19" s="61" t="s">
        <v>137</v>
      </c>
      <c r="U19" s="61" t="s">
        <v>137</v>
      </c>
      <c r="V19" s="61">
        <v>331.52499999999998</v>
      </c>
      <c r="W19" s="61">
        <v>181.11416666666699</v>
      </c>
      <c r="X19" s="61" t="s">
        <v>137</v>
      </c>
      <c r="Y19" s="61">
        <v>106.746666666667</v>
      </c>
      <c r="Z19" s="61">
        <v>197.166666666667</v>
      </c>
      <c r="AA19" s="61">
        <v>94.6666666666667</v>
      </c>
      <c r="AB19" s="61">
        <v>25.5674891904318</v>
      </c>
      <c r="AC19" s="61">
        <v>52.286666666666697</v>
      </c>
      <c r="AD19" s="61">
        <v>53.758333333333297</v>
      </c>
      <c r="AE19" s="61">
        <v>168.370833333333</v>
      </c>
      <c r="AF19" s="61" t="s">
        <v>137</v>
      </c>
      <c r="AG19" s="61" t="s">
        <v>137</v>
      </c>
      <c r="AH19" s="61" t="s">
        <v>137</v>
      </c>
      <c r="AI19" s="61" t="s">
        <v>137</v>
      </c>
      <c r="AJ19" s="61">
        <v>58.394166666666699</v>
      </c>
      <c r="AK19" s="61" t="s">
        <v>137</v>
      </c>
      <c r="AL19" s="61">
        <v>0.159508333333333</v>
      </c>
      <c r="AM19" s="61">
        <v>0.17003333333333301</v>
      </c>
      <c r="AN19" s="61">
        <v>1.2228666666666701</v>
      </c>
      <c r="AO19" s="61">
        <v>0.40068749638744799</v>
      </c>
      <c r="AP19" s="61" t="s">
        <v>137</v>
      </c>
      <c r="AQ19" s="61">
        <v>2.8660060000000001</v>
      </c>
      <c r="AR19" s="61">
        <v>0.112215158</v>
      </c>
      <c r="AS19" s="61">
        <v>0.15744661166666701</v>
      </c>
      <c r="AT19" s="61">
        <v>7.0591666666666594E-2</v>
      </c>
      <c r="AU19" s="61">
        <v>1112.3824999999999</v>
      </c>
      <c r="AV19" s="61" t="s">
        <v>137</v>
      </c>
      <c r="AW19" s="61">
        <v>38.89</v>
      </c>
      <c r="AX19" s="61" t="s">
        <v>137</v>
      </c>
      <c r="AY19" s="61">
        <v>165.908111728573</v>
      </c>
      <c r="AZ19" s="61" t="s">
        <v>137</v>
      </c>
      <c r="BA19" s="61">
        <v>0.62699166666666695</v>
      </c>
      <c r="BB19" s="61" t="s">
        <v>137</v>
      </c>
      <c r="BC19" s="61">
        <v>0.50219999999999998</v>
      </c>
      <c r="BD19" s="61">
        <v>11.25</v>
      </c>
      <c r="BE19" s="61">
        <v>58</v>
      </c>
      <c r="BF19" s="61">
        <v>39.25</v>
      </c>
      <c r="BG19" s="61">
        <v>26.6</v>
      </c>
      <c r="BH19" s="61">
        <v>22</v>
      </c>
      <c r="BI19" s="61">
        <v>588.44986979166697</v>
      </c>
      <c r="BJ19" s="61">
        <v>9.84</v>
      </c>
      <c r="BK19" s="61">
        <v>1467.34</v>
      </c>
      <c r="BL19" s="61">
        <v>289.89166666666699</v>
      </c>
      <c r="BM19" s="61">
        <v>3427.45</v>
      </c>
      <c r="BN19" s="61">
        <v>2363.4</v>
      </c>
      <c r="BO19" s="61">
        <v>286.40833333333302</v>
      </c>
      <c r="BP19" s="61">
        <v>41.0833333333333</v>
      </c>
      <c r="BQ19" s="61">
        <v>124.1875</v>
      </c>
      <c r="BR19" s="61">
        <v>1.79066666666667</v>
      </c>
      <c r="BS19" s="58"/>
      <c r="BT19" s="58"/>
      <c r="BU19" s="58"/>
      <c r="BV19" s="58"/>
      <c r="BW19" s="58"/>
      <c r="BX19" s="58"/>
      <c r="BY19" s="58"/>
      <c r="BZ19" s="58"/>
      <c r="CA19" s="58"/>
      <c r="CB19" s="58"/>
      <c r="CC19" s="58"/>
      <c r="CD19" s="58"/>
      <c r="CE19" s="58"/>
      <c r="CF19" s="58"/>
      <c r="CG19" s="58"/>
      <c r="CH19" s="58"/>
      <c r="CI19" s="58"/>
    </row>
    <row r="20" spans="1:87">
      <c r="A20" s="59">
        <v>1970</v>
      </c>
      <c r="B20" s="60">
        <v>1.21</v>
      </c>
      <c r="C20" s="60" t="s">
        <v>137</v>
      </c>
      <c r="D20" s="60">
        <v>1.21</v>
      </c>
      <c r="E20" s="60" t="s">
        <v>137</v>
      </c>
      <c r="F20" s="60">
        <v>7.8</v>
      </c>
      <c r="G20" s="60" t="s">
        <v>137</v>
      </c>
      <c r="H20" s="60">
        <v>0.17</v>
      </c>
      <c r="I20" s="60">
        <v>0.44721801013673601</v>
      </c>
      <c r="J20" s="60" t="s">
        <v>137</v>
      </c>
      <c r="K20" s="60">
        <v>4.1904354778819197</v>
      </c>
      <c r="L20" s="60">
        <v>0.67500000000000004</v>
      </c>
      <c r="M20" s="60">
        <v>1.1466166666666699</v>
      </c>
      <c r="N20" s="60">
        <v>0.91355507499999999</v>
      </c>
      <c r="O20" s="60">
        <v>0.83499999999999996</v>
      </c>
      <c r="P20" s="60">
        <v>0.62664120000000001</v>
      </c>
      <c r="Q20" s="60">
        <v>0.99066670000000001</v>
      </c>
      <c r="R20" s="60">
        <v>0.88759960000000004</v>
      </c>
      <c r="S20" s="60">
        <v>397.183333333333</v>
      </c>
      <c r="T20" s="60" t="s">
        <v>137</v>
      </c>
      <c r="U20" s="60" t="s">
        <v>137</v>
      </c>
      <c r="V20" s="60">
        <v>378.54583333333301</v>
      </c>
      <c r="W20" s="60">
        <v>260.04583333333301</v>
      </c>
      <c r="X20" s="60" t="s">
        <v>137</v>
      </c>
      <c r="Y20" s="60">
        <v>116.916666666667</v>
      </c>
      <c r="Z20" s="60">
        <v>286.33333333333297</v>
      </c>
      <c r="AA20" s="60">
        <v>102.583333333333</v>
      </c>
      <c r="AB20" s="60">
        <v>26.358665507809999</v>
      </c>
      <c r="AC20" s="60">
        <v>58.4</v>
      </c>
      <c r="AD20" s="60">
        <v>51.8</v>
      </c>
      <c r="AE20" s="60">
        <v>126.308333333333</v>
      </c>
      <c r="AF20" s="60" t="s">
        <v>137</v>
      </c>
      <c r="AG20" s="60" t="s">
        <v>137</v>
      </c>
      <c r="AH20" s="60" t="s">
        <v>137</v>
      </c>
      <c r="AI20" s="60" t="s">
        <v>137</v>
      </c>
      <c r="AJ20" s="60">
        <v>54.902500000000003</v>
      </c>
      <c r="AK20" s="60" t="s">
        <v>137</v>
      </c>
      <c r="AL20" s="60">
        <v>0.166083333333333</v>
      </c>
      <c r="AM20" s="60">
        <v>0.16804166666666701</v>
      </c>
      <c r="AN20" s="60">
        <v>1.30429166666667</v>
      </c>
      <c r="AO20" s="60">
        <v>0.41997203448532899</v>
      </c>
      <c r="AP20" s="60" t="s">
        <v>137</v>
      </c>
      <c r="AQ20" s="60">
        <v>2.7337288000000002</v>
      </c>
      <c r="AR20" s="60">
        <v>0.112215158</v>
      </c>
      <c r="AS20" s="60">
        <v>0.16534650000000001</v>
      </c>
      <c r="AT20" s="60">
        <v>8.2241666666666699E-2</v>
      </c>
      <c r="AU20" s="60">
        <v>1075.9775</v>
      </c>
      <c r="AV20" s="60">
        <v>42.99</v>
      </c>
      <c r="AW20" s="60">
        <v>43.131666666666703</v>
      </c>
      <c r="AX20" s="60">
        <v>175</v>
      </c>
      <c r="AY20" s="60">
        <v>175.406404421855</v>
      </c>
      <c r="AZ20" s="60" t="s">
        <v>137</v>
      </c>
      <c r="BA20" s="60">
        <v>0.67628333333333301</v>
      </c>
      <c r="BB20" s="60" t="s">
        <v>137</v>
      </c>
      <c r="BC20" s="60">
        <v>0.40716666666666701</v>
      </c>
      <c r="BD20" s="60">
        <v>11</v>
      </c>
      <c r="BE20" s="60">
        <v>54</v>
      </c>
      <c r="BF20" s="60">
        <v>42.5</v>
      </c>
      <c r="BG20" s="60">
        <v>18.25</v>
      </c>
      <c r="BH20" s="60">
        <v>31.5</v>
      </c>
      <c r="BI20" s="60">
        <v>614.17045084635402</v>
      </c>
      <c r="BJ20" s="60">
        <v>9.84</v>
      </c>
      <c r="BK20" s="60">
        <v>1415.7</v>
      </c>
      <c r="BL20" s="60">
        <v>302.90833333333302</v>
      </c>
      <c r="BM20" s="60">
        <v>3673.45</v>
      </c>
      <c r="BN20" s="60">
        <v>2846.2</v>
      </c>
      <c r="BO20" s="60">
        <v>295.816666666667</v>
      </c>
      <c r="BP20" s="60">
        <v>35.941666666666698</v>
      </c>
      <c r="BQ20" s="60">
        <v>132.5</v>
      </c>
      <c r="BR20" s="60">
        <v>1.7708333333333299</v>
      </c>
      <c r="BS20" s="58"/>
      <c r="BT20" s="58"/>
      <c r="BU20" s="58"/>
      <c r="BV20" s="58"/>
      <c r="BW20" s="58"/>
      <c r="BX20" s="58"/>
      <c r="BY20" s="58"/>
      <c r="BZ20" s="58"/>
      <c r="CA20" s="58"/>
      <c r="CB20" s="58"/>
      <c r="CC20" s="58"/>
      <c r="CD20" s="58"/>
      <c r="CE20" s="58"/>
      <c r="CF20" s="58"/>
      <c r="CG20" s="58"/>
      <c r="CH20" s="58"/>
      <c r="CI20" s="58"/>
    </row>
    <row r="21" spans="1:87">
      <c r="A21" s="55">
        <v>1971</v>
      </c>
      <c r="B21" s="61">
        <v>1.69</v>
      </c>
      <c r="C21" s="61" t="s">
        <v>137</v>
      </c>
      <c r="D21" s="61">
        <v>1.69</v>
      </c>
      <c r="E21" s="61" t="s">
        <v>137</v>
      </c>
      <c r="F21" s="61">
        <v>8.68</v>
      </c>
      <c r="G21" s="61" t="s">
        <v>137</v>
      </c>
      <c r="H21" s="61">
        <v>0.18</v>
      </c>
      <c r="I21" s="61">
        <v>0.50224354378996605</v>
      </c>
      <c r="J21" s="61" t="s">
        <v>137</v>
      </c>
      <c r="K21" s="61">
        <v>4.5734590753335196</v>
      </c>
      <c r="L21" s="61">
        <v>0.53800000000000003</v>
      </c>
      <c r="M21" s="61">
        <v>0.99187499999999995</v>
      </c>
      <c r="N21" s="61">
        <v>0.93157740833333302</v>
      </c>
      <c r="O21" s="61">
        <v>0.85069166666666596</v>
      </c>
      <c r="P21" s="61">
        <v>0.67673282499999998</v>
      </c>
      <c r="Q21" s="61">
        <v>0.97380937499999998</v>
      </c>
      <c r="R21" s="61">
        <v>0.90159959999999995</v>
      </c>
      <c r="S21" s="61">
        <v>365.52666666666698</v>
      </c>
      <c r="T21" s="61" t="s">
        <v>137</v>
      </c>
      <c r="U21" s="61" t="s">
        <v>137</v>
      </c>
      <c r="V21" s="61">
        <v>440.61500000000001</v>
      </c>
      <c r="W21" s="61">
        <v>260.941666666667</v>
      </c>
      <c r="X21" s="61" t="s">
        <v>137</v>
      </c>
      <c r="Y21" s="61">
        <v>125.583333333333</v>
      </c>
      <c r="Z21" s="61">
        <v>303.75</v>
      </c>
      <c r="AA21" s="61">
        <v>102.25</v>
      </c>
      <c r="AB21" s="61">
        <v>28.3829506028842</v>
      </c>
      <c r="AC21" s="61">
        <v>58.4</v>
      </c>
      <c r="AD21" s="61">
        <v>55.77</v>
      </c>
      <c r="AE21" s="61">
        <v>111.53749999999999</v>
      </c>
      <c r="AF21" s="61" t="s">
        <v>137</v>
      </c>
      <c r="AG21" s="61" t="s">
        <v>137</v>
      </c>
      <c r="AH21" s="61" t="s">
        <v>137</v>
      </c>
      <c r="AI21" s="61" t="s">
        <v>137</v>
      </c>
      <c r="AJ21" s="61">
        <v>61.728333333333303</v>
      </c>
      <c r="AK21" s="61" t="s">
        <v>137</v>
      </c>
      <c r="AL21" s="61">
        <v>0.14016666666666699</v>
      </c>
      <c r="AM21" s="61">
        <v>0.153008333333333</v>
      </c>
      <c r="AN21" s="61">
        <v>1.34585833333333</v>
      </c>
      <c r="AO21" s="61">
        <v>0.44006712097977302</v>
      </c>
      <c r="AP21" s="61">
        <v>0.79675833333333301</v>
      </c>
      <c r="AQ21" s="61">
        <v>3.3069299999999999</v>
      </c>
      <c r="AR21" s="61">
        <v>0.113831879333333</v>
      </c>
      <c r="AS21" s="61">
        <v>0.17489985333333299</v>
      </c>
      <c r="AT21" s="61">
        <v>9.9099999999999994E-2</v>
      </c>
      <c r="AU21" s="61">
        <v>1042.6466666666699</v>
      </c>
      <c r="AV21" s="61">
        <v>44.43</v>
      </c>
      <c r="AW21" s="61">
        <v>43.265000000000001</v>
      </c>
      <c r="AX21" s="61" t="s">
        <v>137</v>
      </c>
      <c r="AY21" s="61">
        <v>175.72387991557801</v>
      </c>
      <c r="AZ21" s="61" t="s">
        <v>137</v>
      </c>
      <c r="BA21" s="61">
        <v>0.78320000000000001</v>
      </c>
      <c r="BB21" s="61" t="s">
        <v>137</v>
      </c>
      <c r="BC21" s="61">
        <v>0.33255000000000001</v>
      </c>
      <c r="BD21" s="61">
        <v>11.25</v>
      </c>
      <c r="BE21" s="61">
        <v>61.75</v>
      </c>
      <c r="BF21" s="61">
        <v>43.25</v>
      </c>
      <c r="BG21" s="61">
        <v>16</v>
      </c>
      <c r="BH21" s="61">
        <v>32.5</v>
      </c>
      <c r="BI21" s="61">
        <v>627.94932047526004</v>
      </c>
      <c r="BJ21" s="61">
        <v>10.33</v>
      </c>
      <c r="BK21" s="61">
        <v>1081.4166666666699</v>
      </c>
      <c r="BL21" s="61">
        <v>253.625</v>
      </c>
      <c r="BM21" s="61">
        <v>3511.9666666666699</v>
      </c>
      <c r="BN21" s="61">
        <v>2932.1</v>
      </c>
      <c r="BO21" s="61">
        <v>309.28333333333302</v>
      </c>
      <c r="BP21" s="61">
        <v>40.804166666666703</v>
      </c>
      <c r="BQ21" s="61">
        <v>123.041666666667</v>
      </c>
      <c r="BR21" s="61">
        <v>1.5456416666666699</v>
      </c>
      <c r="BS21" s="58"/>
      <c r="BT21" s="58"/>
      <c r="BU21" s="58"/>
      <c r="BV21" s="58"/>
      <c r="BW21" s="58"/>
      <c r="BX21" s="58"/>
      <c r="BY21" s="58"/>
      <c r="BZ21" s="58"/>
      <c r="CA21" s="58"/>
      <c r="CB21" s="58"/>
      <c r="CC21" s="58"/>
      <c r="CD21" s="58"/>
      <c r="CE21" s="58"/>
      <c r="CF21" s="58"/>
      <c r="CG21" s="58"/>
      <c r="CH21" s="58"/>
      <c r="CI21" s="58"/>
    </row>
    <row r="22" spans="1:87">
      <c r="A22" s="59">
        <v>1972</v>
      </c>
      <c r="B22" s="60">
        <v>1.82</v>
      </c>
      <c r="C22" s="60" t="s">
        <v>137</v>
      </c>
      <c r="D22" s="60">
        <v>1.82</v>
      </c>
      <c r="E22" s="60" t="s">
        <v>137</v>
      </c>
      <c r="F22" s="60">
        <v>9.6</v>
      </c>
      <c r="G22" s="60" t="s">
        <v>137</v>
      </c>
      <c r="H22" s="60">
        <v>0.19</v>
      </c>
      <c r="I22" s="60">
        <v>0.54216598654527204</v>
      </c>
      <c r="J22" s="60" t="s">
        <v>137</v>
      </c>
      <c r="K22" s="60">
        <v>4.8846829956575499</v>
      </c>
      <c r="L22" s="60">
        <v>0.64400000000000002</v>
      </c>
      <c r="M22" s="60">
        <v>1.1095916666666701</v>
      </c>
      <c r="N22" s="60">
        <v>0.99607937499999999</v>
      </c>
      <c r="O22" s="60">
        <v>0.78224166666666695</v>
      </c>
      <c r="P22" s="60">
        <v>0.699631591666667</v>
      </c>
      <c r="Q22" s="60">
        <v>0.83648714166666704</v>
      </c>
      <c r="R22" s="60">
        <v>0.81059970000000003</v>
      </c>
      <c r="S22" s="60">
        <v>234.06</v>
      </c>
      <c r="T22" s="60" t="s">
        <v>137</v>
      </c>
      <c r="U22" s="60" t="s">
        <v>137</v>
      </c>
      <c r="V22" s="60">
        <v>425.93416666666701</v>
      </c>
      <c r="W22" s="60">
        <v>217.25833333333301</v>
      </c>
      <c r="X22" s="60" t="s">
        <v>137</v>
      </c>
      <c r="Y22" s="60">
        <v>140</v>
      </c>
      <c r="Z22" s="60">
        <v>240.583333333333</v>
      </c>
      <c r="AA22" s="60">
        <v>129.833333333333</v>
      </c>
      <c r="AB22" s="60">
        <v>30.066429758987599</v>
      </c>
      <c r="AC22" s="60">
        <v>55.752499999999998</v>
      </c>
      <c r="AD22" s="60">
        <v>56.238333333333301</v>
      </c>
      <c r="AE22" s="60">
        <v>129.449166666667</v>
      </c>
      <c r="AF22" s="60" t="s">
        <v>137</v>
      </c>
      <c r="AG22" s="60" t="s">
        <v>137</v>
      </c>
      <c r="AH22" s="60" t="s">
        <v>137</v>
      </c>
      <c r="AI22" s="60" t="s">
        <v>137</v>
      </c>
      <c r="AJ22" s="60">
        <v>69.8125</v>
      </c>
      <c r="AK22" s="60" t="s">
        <v>137</v>
      </c>
      <c r="AL22" s="60">
        <v>0.1361</v>
      </c>
      <c r="AM22" s="60">
        <v>0.154983333333333</v>
      </c>
      <c r="AN22" s="60">
        <v>1.48026666666667</v>
      </c>
      <c r="AO22" s="60">
        <v>0.47262380014537397</v>
      </c>
      <c r="AP22" s="60">
        <v>1.0681</v>
      </c>
      <c r="AQ22" s="60">
        <v>4.1226393999999997</v>
      </c>
      <c r="AR22" s="60">
        <v>0.15002439100000001</v>
      </c>
      <c r="AS22" s="60">
        <v>0.18812757333333299</v>
      </c>
      <c r="AT22" s="60">
        <v>0.160275</v>
      </c>
      <c r="AU22" s="60">
        <v>1073.6424999999999</v>
      </c>
      <c r="AV22" s="60">
        <v>52.48</v>
      </c>
      <c r="AW22" s="60">
        <v>41.115833333333299</v>
      </c>
      <c r="AX22" s="60" t="s">
        <v>137</v>
      </c>
      <c r="AY22" s="60">
        <v>170.928573831276</v>
      </c>
      <c r="AZ22" s="60" t="s">
        <v>137</v>
      </c>
      <c r="BA22" s="60">
        <v>0.82699166666666701</v>
      </c>
      <c r="BB22" s="60" t="s">
        <v>137</v>
      </c>
      <c r="BC22" s="60">
        <v>0.33177499999999999</v>
      </c>
      <c r="BD22" s="60">
        <v>11.5</v>
      </c>
      <c r="BE22" s="60">
        <v>91</v>
      </c>
      <c r="BF22" s="60">
        <v>67.5</v>
      </c>
      <c r="BG22" s="60">
        <v>29.25</v>
      </c>
      <c r="BH22" s="60">
        <v>33.5</v>
      </c>
      <c r="BI22" s="60">
        <v>590.10331217447902</v>
      </c>
      <c r="BJ22" s="60">
        <v>10.33</v>
      </c>
      <c r="BK22" s="60">
        <v>1057.675</v>
      </c>
      <c r="BL22" s="60">
        <v>301.65833333333302</v>
      </c>
      <c r="BM22" s="60">
        <v>3739.9583333333298</v>
      </c>
      <c r="BN22" s="60">
        <v>3079.9</v>
      </c>
      <c r="BO22" s="60">
        <v>377.691666666667</v>
      </c>
      <c r="BP22" s="60">
        <v>58.1591666666667</v>
      </c>
      <c r="BQ22" s="60">
        <v>127.125</v>
      </c>
      <c r="BR22" s="60">
        <v>1.6845666666666701</v>
      </c>
      <c r="BS22" s="58"/>
      <c r="BT22" s="58"/>
      <c r="BU22" s="58"/>
      <c r="BV22" s="58"/>
      <c r="BW22" s="58"/>
      <c r="BX22" s="58"/>
      <c r="BY22" s="58"/>
      <c r="BZ22" s="58"/>
      <c r="CA22" s="58"/>
      <c r="CB22" s="58"/>
      <c r="CC22" s="58"/>
      <c r="CD22" s="58"/>
      <c r="CE22" s="58"/>
      <c r="CF22" s="58"/>
      <c r="CG22" s="58"/>
      <c r="CH22" s="58"/>
      <c r="CI22" s="58"/>
    </row>
    <row r="23" spans="1:87">
      <c r="A23" s="55">
        <v>1973</v>
      </c>
      <c r="B23" s="61">
        <v>2.8075000000000001</v>
      </c>
      <c r="C23" s="61" t="s">
        <v>137</v>
      </c>
      <c r="D23" s="61">
        <v>2.8075000000000001</v>
      </c>
      <c r="E23" s="61" t="s">
        <v>137</v>
      </c>
      <c r="F23" s="61">
        <v>11.48</v>
      </c>
      <c r="G23" s="61" t="s">
        <v>137</v>
      </c>
      <c r="H23" s="61">
        <v>0.21</v>
      </c>
      <c r="I23" s="61">
        <v>0.69350672431226301</v>
      </c>
      <c r="J23" s="61" t="s">
        <v>137</v>
      </c>
      <c r="K23" s="61">
        <v>5.8470201439091101</v>
      </c>
      <c r="L23" s="61">
        <v>1.131</v>
      </c>
      <c r="M23" s="61">
        <v>1.3734500000000001</v>
      </c>
      <c r="N23" s="61">
        <v>1.0998595</v>
      </c>
      <c r="O23" s="61">
        <v>0.78825833333333295</v>
      </c>
      <c r="P23" s="61">
        <v>0.66159353333333304</v>
      </c>
      <c r="Q23" s="61">
        <v>0.86592464166666705</v>
      </c>
      <c r="R23" s="61">
        <v>0.83724385833333403</v>
      </c>
      <c r="S23" s="61">
        <v>513</v>
      </c>
      <c r="T23" s="61" t="s">
        <v>137</v>
      </c>
      <c r="U23" s="61" t="s">
        <v>137</v>
      </c>
      <c r="V23" s="61">
        <v>546.16833333333295</v>
      </c>
      <c r="W23" s="61">
        <v>377.53833333333301</v>
      </c>
      <c r="X23" s="61" t="s">
        <v>137</v>
      </c>
      <c r="Y23" s="61">
        <v>290.33333333333297</v>
      </c>
      <c r="Z23" s="61">
        <v>436</v>
      </c>
      <c r="AA23" s="61">
        <v>301.66666666666703</v>
      </c>
      <c r="AB23" s="61">
        <v>51.029191345616198</v>
      </c>
      <c r="AC23" s="61">
        <v>97.821666666666701</v>
      </c>
      <c r="AD23" s="61">
        <v>93.391666666666694</v>
      </c>
      <c r="AE23" s="61">
        <v>289.58</v>
      </c>
      <c r="AF23" s="61" t="s">
        <v>137</v>
      </c>
      <c r="AG23" s="61" t="s">
        <v>137</v>
      </c>
      <c r="AH23" s="61" t="s">
        <v>137</v>
      </c>
      <c r="AI23" s="61" t="s">
        <v>137</v>
      </c>
      <c r="AJ23" s="61">
        <v>139.81</v>
      </c>
      <c r="AK23" s="61" t="s">
        <v>137</v>
      </c>
      <c r="AL23" s="61">
        <v>0.14508333333333301</v>
      </c>
      <c r="AM23" s="61">
        <v>0.16300000000000001</v>
      </c>
      <c r="AN23" s="61">
        <v>2.010875</v>
      </c>
      <c r="AO23" s="61">
        <v>0.52907754398856999</v>
      </c>
      <c r="AP23" s="61">
        <v>1.3910499999999999</v>
      </c>
      <c r="AQ23" s="61">
        <v>5.0044874000000004</v>
      </c>
      <c r="AR23" s="61">
        <v>0.14704815399999999</v>
      </c>
      <c r="AS23" s="61">
        <v>0.22685539800000001</v>
      </c>
      <c r="AT23" s="61">
        <v>0.20857500000000001</v>
      </c>
      <c r="AU23" s="61">
        <v>1128.0208333333301</v>
      </c>
      <c r="AV23" s="61">
        <v>133.47</v>
      </c>
      <c r="AW23" s="61">
        <v>68.029166666666697</v>
      </c>
      <c r="AX23" s="61" t="s">
        <v>137</v>
      </c>
      <c r="AY23" s="61">
        <v>223.52884858539201</v>
      </c>
      <c r="AZ23" s="61" t="s">
        <v>137</v>
      </c>
      <c r="BA23" s="61">
        <v>1.3905749999999999</v>
      </c>
      <c r="BB23" s="61" t="s">
        <v>137</v>
      </c>
      <c r="BC23" s="61">
        <v>0.67800833333333299</v>
      </c>
      <c r="BD23" s="61">
        <v>13.75</v>
      </c>
      <c r="BE23" s="61">
        <v>118.75</v>
      </c>
      <c r="BF23" s="61">
        <v>99.5</v>
      </c>
      <c r="BG23" s="61">
        <v>64.75</v>
      </c>
      <c r="BH23" s="61">
        <v>42.5</v>
      </c>
      <c r="BI23" s="61">
        <v>599.10548909505201</v>
      </c>
      <c r="BJ23" s="61">
        <v>10.33</v>
      </c>
      <c r="BK23" s="61">
        <v>1785.3583333333299</v>
      </c>
      <c r="BL23" s="61">
        <v>429.683333333333</v>
      </c>
      <c r="BM23" s="61">
        <v>4802.2</v>
      </c>
      <c r="BN23" s="61">
        <v>3373.1</v>
      </c>
      <c r="BO23" s="61">
        <v>845.33333333333303</v>
      </c>
      <c r="BP23" s="61">
        <v>97.325833333333307</v>
      </c>
      <c r="BQ23" s="61">
        <v>152.18416666666701</v>
      </c>
      <c r="BR23" s="61">
        <v>2.55755833333333</v>
      </c>
      <c r="BS23" s="58"/>
      <c r="BT23" s="58"/>
      <c r="BU23" s="58"/>
      <c r="BV23" s="58"/>
      <c r="BW23" s="58"/>
      <c r="BX23" s="58"/>
      <c r="BY23" s="58"/>
      <c r="BZ23" s="58"/>
      <c r="CA23" s="58"/>
      <c r="CB23" s="58"/>
      <c r="CC23" s="58"/>
      <c r="CD23" s="58"/>
      <c r="CE23" s="58"/>
      <c r="CF23" s="58"/>
      <c r="CG23" s="58"/>
      <c r="CH23" s="58"/>
      <c r="CI23" s="58"/>
    </row>
    <row r="24" spans="1:87">
      <c r="A24" s="59">
        <v>1974</v>
      </c>
      <c r="B24" s="60">
        <v>10.974999427795399</v>
      </c>
      <c r="C24" s="60" t="s">
        <v>137</v>
      </c>
      <c r="D24" s="60">
        <v>10.974999427795399</v>
      </c>
      <c r="E24" s="60" t="s">
        <v>137</v>
      </c>
      <c r="F24" s="60">
        <v>16.89</v>
      </c>
      <c r="G24" s="60" t="s">
        <v>137</v>
      </c>
      <c r="H24" s="60">
        <v>0.28999999999999998</v>
      </c>
      <c r="I24" s="60">
        <v>1.73</v>
      </c>
      <c r="J24" s="60" t="s">
        <v>137</v>
      </c>
      <c r="K24" s="60">
        <v>11.7459503965117</v>
      </c>
      <c r="L24" s="60">
        <v>1.5609999999999999</v>
      </c>
      <c r="M24" s="60">
        <v>1.45153333333333</v>
      </c>
      <c r="N24" s="60">
        <v>1.2935493333333301</v>
      </c>
      <c r="O24" s="60">
        <v>1.0937749999999999</v>
      </c>
      <c r="P24" s="60">
        <v>0.88988659999999997</v>
      </c>
      <c r="Q24" s="60">
        <v>1.25462845</v>
      </c>
      <c r="R24" s="60">
        <v>1.1368</v>
      </c>
      <c r="S24" s="60">
        <v>997.58333333333405</v>
      </c>
      <c r="T24" s="60" t="s">
        <v>137</v>
      </c>
      <c r="U24" s="60" t="s">
        <v>137</v>
      </c>
      <c r="V24" s="60">
        <v>1076.8875</v>
      </c>
      <c r="W24" s="60">
        <v>669.05333333333294</v>
      </c>
      <c r="X24" s="60" t="s">
        <v>137</v>
      </c>
      <c r="Y24" s="60">
        <v>276.91666666666703</v>
      </c>
      <c r="Z24" s="60">
        <v>832.16666666666595</v>
      </c>
      <c r="AA24" s="60">
        <v>184.333333333333</v>
      </c>
      <c r="AB24" s="60">
        <v>64.933098524967605</v>
      </c>
      <c r="AC24" s="60">
        <v>131.22583333333299</v>
      </c>
      <c r="AD24" s="60">
        <v>120.9425</v>
      </c>
      <c r="AE24" s="60">
        <v>517.16499999999996</v>
      </c>
      <c r="AF24" s="60" t="s">
        <v>137</v>
      </c>
      <c r="AG24" s="60" t="s">
        <v>137</v>
      </c>
      <c r="AH24" s="60" t="s">
        <v>137</v>
      </c>
      <c r="AI24" s="60" t="s">
        <v>137</v>
      </c>
      <c r="AJ24" s="60">
        <v>179.705833333333</v>
      </c>
      <c r="AK24" s="60" t="s">
        <v>137</v>
      </c>
      <c r="AL24" s="60">
        <v>0.183995833333333</v>
      </c>
      <c r="AM24" s="60">
        <v>0.183975</v>
      </c>
      <c r="AN24" s="60">
        <v>1.582225</v>
      </c>
      <c r="AO24" s="60">
        <v>0.55890230478756697</v>
      </c>
      <c r="AP24" s="60">
        <v>1.4235916666666699</v>
      </c>
      <c r="AQ24" s="60">
        <v>4.6517482000000001</v>
      </c>
      <c r="AR24" s="60">
        <v>0.234700170833333</v>
      </c>
      <c r="AS24" s="60">
        <v>0.64997709150000005</v>
      </c>
      <c r="AT24" s="60">
        <v>0.65481666666666705</v>
      </c>
      <c r="AU24" s="60">
        <v>1482.0725</v>
      </c>
      <c r="AV24" s="60">
        <v>120.43</v>
      </c>
      <c r="AW24" s="60">
        <v>81.663333333333298</v>
      </c>
      <c r="AX24" s="60" t="s">
        <v>137</v>
      </c>
      <c r="AY24" s="60">
        <v>246.83365396770299</v>
      </c>
      <c r="AZ24" s="60" t="s">
        <v>137</v>
      </c>
      <c r="BA24" s="60">
        <v>1.4587416666666699</v>
      </c>
      <c r="BB24" s="60" t="s">
        <v>137</v>
      </c>
      <c r="BC24" s="60">
        <v>0.75160000000000005</v>
      </c>
      <c r="BD24" s="60">
        <v>54.5208333333333</v>
      </c>
      <c r="BE24" s="60">
        <v>332.620833333333</v>
      </c>
      <c r="BF24" s="60">
        <v>303.58333333333297</v>
      </c>
      <c r="BG24" s="60">
        <v>285.75</v>
      </c>
      <c r="BH24" s="60">
        <v>60.5</v>
      </c>
      <c r="BI24" s="60">
        <v>764.81943766276004</v>
      </c>
      <c r="BJ24" s="60">
        <v>13.38</v>
      </c>
      <c r="BK24" s="60">
        <v>2058.5</v>
      </c>
      <c r="BL24" s="60">
        <v>592.25833333333298</v>
      </c>
      <c r="BM24" s="60">
        <v>8184.2666666666701</v>
      </c>
      <c r="BN24" s="60">
        <v>3825.25</v>
      </c>
      <c r="BO24" s="60">
        <v>1239.5833333333301</v>
      </c>
      <c r="BP24" s="60">
        <v>159.245</v>
      </c>
      <c r="BQ24" s="60">
        <v>184.97749999999999</v>
      </c>
      <c r="BR24" s="60">
        <v>4.7079800000000001</v>
      </c>
      <c r="BS24" s="58"/>
      <c r="BT24" s="58"/>
      <c r="BU24" s="58"/>
      <c r="BV24" s="58"/>
      <c r="BW24" s="58"/>
      <c r="BX24" s="58"/>
      <c r="BY24" s="58"/>
      <c r="BZ24" s="58"/>
      <c r="CA24" s="58"/>
      <c r="CB24" s="58"/>
      <c r="CC24" s="58"/>
      <c r="CD24" s="58"/>
      <c r="CE24" s="58"/>
      <c r="CF24" s="58"/>
      <c r="CG24" s="58"/>
      <c r="CH24" s="58"/>
      <c r="CI24" s="58"/>
    </row>
    <row r="25" spans="1:87">
      <c r="A25" s="55">
        <v>1975</v>
      </c>
      <c r="B25" s="61">
        <v>10.432500123977601</v>
      </c>
      <c r="C25" s="61" t="s">
        <v>137</v>
      </c>
      <c r="D25" s="61">
        <v>10.432500123977601</v>
      </c>
      <c r="E25" s="61" t="s">
        <v>137</v>
      </c>
      <c r="F25" s="61">
        <v>26.84</v>
      </c>
      <c r="G25" s="61" t="s">
        <v>137</v>
      </c>
      <c r="H25" s="61">
        <v>0.43</v>
      </c>
      <c r="I25" s="61">
        <v>1.6820935907694801</v>
      </c>
      <c r="J25" s="61" t="s">
        <v>137</v>
      </c>
      <c r="K25" s="61">
        <v>13.218276866055</v>
      </c>
      <c r="L25" s="61">
        <v>1.246</v>
      </c>
      <c r="M25" s="61">
        <v>1.4421250000000001</v>
      </c>
      <c r="N25" s="61">
        <v>1.3458526666666699</v>
      </c>
      <c r="O25" s="61">
        <v>1.14215</v>
      </c>
      <c r="P25" s="61">
        <v>0.88141170000000002</v>
      </c>
      <c r="Q25" s="61">
        <v>1.44858316666667</v>
      </c>
      <c r="R25" s="61">
        <v>1.0964731166666699</v>
      </c>
      <c r="S25" s="61">
        <v>393.5</v>
      </c>
      <c r="T25" s="61" t="s">
        <v>137</v>
      </c>
      <c r="U25" s="61" t="s">
        <v>137</v>
      </c>
      <c r="V25" s="61">
        <v>857.5</v>
      </c>
      <c r="W25" s="61">
        <v>434.16916666666702</v>
      </c>
      <c r="X25" s="61" t="s">
        <v>137</v>
      </c>
      <c r="Y25" s="61">
        <v>219.916666666667</v>
      </c>
      <c r="Z25" s="61">
        <v>563.33333333333303</v>
      </c>
      <c r="AA25" s="61">
        <v>155</v>
      </c>
      <c r="AB25" s="61">
        <v>58.978615120559297</v>
      </c>
      <c r="AC25" s="61">
        <v>119.63500000000001</v>
      </c>
      <c r="AD25" s="61">
        <v>111.87333333333299</v>
      </c>
      <c r="AE25" s="61">
        <v>341.428333333333</v>
      </c>
      <c r="AF25" s="61" t="s">
        <v>137</v>
      </c>
      <c r="AG25" s="61" t="s">
        <v>137</v>
      </c>
      <c r="AH25" s="61" t="s">
        <v>137</v>
      </c>
      <c r="AI25" s="61" t="s">
        <v>137</v>
      </c>
      <c r="AJ25" s="61">
        <v>149.05500000000001</v>
      </c>
      <c r="AK25" s="61" t="s">
        <v>137</v>
      </c>
      <c r="AL25" s="61">
        <v>0.21766666666666701</v>
      </c>
      <c r="AM25" s="61">
        <v>0.22800833333333301</v>
      </c>
      <c r="AN25" s="61">
        <v>1.3270916666666699</v>
      </c>
      <c r="AO25" s="61">
        <v>0.58063009308283897</v>
      </c>
      <c r="AP25" s="61">
        <v>1.47759166666667</v>
      </c>
      <c r="AQ25" s="61">
        <v>5.8863354000000001</v>
      </c>
      <c r="AR25" s="61">
        <v>0.34041169983333303</v>
      </c>
      <c r="AS25" s="61">
        <v>0.49545160133333299</v>
      </c>
      <c r="AT25" s="61">
        <v>0.451091666666667</v>
      </c>
      <c r="AU25" s="61">
        <v>1841.9891666666699</v>
      </c>
      <c r="AV25" s="61">
        <v>126.57</v>
      </c>
      <c r="AW25" s="61">
        <v>67.510000000000005</v>
      </c>
      <c r="AX25" s="61" t="s">
        <v>137</v>
      </c>
      <c r="AY25" s="61">
        <v>223.43818486601401</v>
      </c>
      <c r="AZ25" s="61" t="s">
        <v>137</v>
      </c>
      <c r="BA25" s="61">
        <v>1.2228749999999999</v>
      </c>
      <c r="BB25" s="61" t="s">
        <v>137</v>
      </c>
      <c r="BC25" s="61">
        <v>0.56090833333333301</v>
      </c>
      <c r="BD25" s="61">
        <v>67.1666666666667</v>
      </c>
      <c r="BE25" s="61">
        <v>242.5</v>
      </c>
      <c r="BF25" s="61">
        <v>202.5</v>
      </c>
      <c r="BG25" s="61">
        <v>168</v>
      </c>
      <c r="BH25" s="61">
        <v>81.3333333333333</v>
      </c>
      <c r="BI25" s="61">
        <v>868.43656412760402</v>
      </c>
      <c r="BJ25" s="61">
        <v>17.3</v>
      </c>
      <c r="BK25" s="61">
        <v>1234.75</v>
      </c>
      <c r="BL25" s="61">
        <v>411.67500000000001</v>
      </c>
      <c r="BM25" s="61">
        <v>6876.5749999999998</v>
      </c>
      <c r="BN25" s="61">
        <v>4571.3333333333303</v>
      </c>
      <c r="BO25" s="61">
        <v>745.16666666666595</v>
      </c>
      <c r="BP25" s="61">
        <v>161.02916666666701</v>
      </c>
      <c r="BQ25" s="61">
        <v>169.87416666666701</v>
      </c>
      <c r="BR25" s="61">
        <v>4.4185150000000002</v>
      </c>
      <c r="BS25" s="58"/>
      <c r="BT25" s="58"/>
      <c r="BU25" s="58"/>
      <c r="BV25" s="58"/>
      <c r="BW25" s="58"/>
      <c r="BX25" s="58"/>
      <c r="BY25" s="58"/>
      <c r="BZ25" s="58"/>
      <c r="CA25" s="58"/>
      <c r="CB25" s="58"/>
      <c r="CC25" s="58"/>
      <c r="CD25" s="58"/>
      <c r="CE25" s="58"/>
      <c r="CF25" s="58"/>
      <c r="CG25" s="58"/>
      <c r="CH25" s="58"/>
      <c r="CI25" s="58"/>
    </row>
    <row r="26" spans="1:87">
      <c r="A26" s="59">
        <v>1976</v>
      </c>
      <c r="B26" s="60">
        <v>11.6300001144409</v>
      </c>
      <c r="C26" s="60" t="s">
        <v>137</v>
      </c>
      <c r="D26" s="60">
        <v>11.6300001144409</v>
      </c>
      <c r="E26" s="60" t="s">
        <v>137</v>
      </c>
      <c r="F26" s="60">
        <v>27.16</v>
      </c>
      <c r="G26" s="60" t="s">
        <v>137</v>
      </c>
      <c r="H26" s="60">
        <v>0.58083333333333298</v>
      </c>
      <c r="I26" s="60">
        <v>1.73511329971173</v>
      </c>
      <c r="J26" s="60" t="s">
        <v>137</v>
      </c>
      <c r="K26" s="60">
        <v>15.301956522004099</v>
      </c>
      <c r="L26" s="60">
        <v>2.04575</v>
      </c>
      <c r="M26" s="60">
        <v>3.1466583333333298</v>
      </c>
      <c r="N26" s="60">
        <v>2.81339766666667</v>
      </c>
      <c r="O26" s="60">
        <v>1.1871166666666699</v>
      </c>
      <c r="P26" s="60">
        <v>0.92756736666666595</v>
      </c>
      <c r="Q26" s="60">
        <v>1.4182170833333301</v>
      </c>
      <c r="R26" s="60">
        <v>1.21553025</v>
      </c>
      <c r="S26" s="60">
        <v>418.5</v>
      </c>
      <c r="T26" s="60" t="s">
        <v>137</v>
      </c>
      <c r="U26" s="60" t="s">
        <v>137</v>
      </c>
      <c r="V26" s="60">
        <v>712.83333333333405</v>
      </c>
      <c r="W26" s="60">
        <v>406.53416666666698</v>
      </c>
      <c r="X26" s="60" t="s">
        <v>137</v>
      </c>
      <c r="Y26" s="60">
        <v>231.166666666667</v>
      </c>
      <c r="Z26" s="60">
        <v>438.33333333333297</v>
      </c>
      <c r="AA26" s="60">
        <v>200</v>
      </c>
      <c r="AB26" s="60">
        <v>55.7940304411336</v>
      </c>
      <c r="AC26" s="60">
        <v>112.371666666667</v>
      </c>
      <c r="AD26" s="60">
        <v>105.213333333333</v>
      </c>
      <c r="AE26" s="60">
        <v>234.680833333333</v>
      </c>
      <c r="AF26" s="60" t="s">
        <v>137</v>
      </c>
      <c r="AG26" s="60" t="s">
        <v>137</v>
      </c>
      <c r="AH26" s="60" t="s">
        <v>137</v>
      </c>
      <c r="AI26" s="60" t="s">
        <v>137</v>
      </c>
      <c r="AJ26" s="60">
        <v>132.91999999999999</v>
      </c>
      <c r="AK26" s="60" t="s">
        <v>137</v>
      </c>
      <c r="AL26" s="60">
        <v>0.258583333333333</v>
      </c>
      <c r="AM26" s="60">
        <v>0.216</v>
      </c>
      <c r="AN26" s="60">
        <v>1.581</v>
      </c>
      <c r="AO26" s="60">
        <v>0.61029466647976505</v>
      </c>
      <c r="AP26" s="60">
        <v>1.5660833333333299</v>
      </c>
      <c r="AQ26" s="60">
        <v>8.3114173999999998</v>
      </c>
      <c r="AR26" s="60">
        <v>0.295216989833333</v>
      </c>
      <c r="AS26" s="60">
        <v>0.29343492199999999</v>
      </c>
      <c r="AT26" s="60">
        <v>0.25482500000000002</v>
      </c>
      <c r="AU26" s="60">
        <v>2186.7150000000001</v>
      </c>
      <c r="AV26" s="60">
        <v>142.33916666666701</v>
      </c>
      <c r="AW26" s="60">
        <v>92.017499999999998</v>
      </c>
      <c r="AX26" s="60" t="s">
        <v>137</v>
      </c>
      <c r="AY26" s="60">
        <v>263.54774328822401</v>
      </c>
      <c r="AZ26" s="60" t="s">
        <v>137</v>
      </c>
      <c r="BA26" s="60">
        <v>1.7475083333333301</v>
      </c>
      <c r="BB26" s="60" t="s">
        <v>137</v>
      </c>
      <c r="BC26" s="60">
        <v>0.77373333333333405</v>
      </c>
      <c r="BD26" s="60">
        <v>35.8333333333333</v>
      </c>
      <c r="BE26" s="60">
        <v>119.916666666667</v>
      </c>
      <c r="BF26" s="60">
        <v>90.9166666666667</v>
      </c>
      <c r="BG26" s="60">
        <v>82</v>
      </c>
      <c r="BH26" s="60">
        <v>55.5</v>
      </c>
      <c r="BI26" s="60">
        <v>889.931640625</v>
      </c>
      <c r="BJ26" s="60">
        <v>22.72</v>
      </c>
      <c r="BK26" s="60">
        <v>1400.75</v>
      </c>
      <c r="BL26" s="60">
        <v>446.41666666666703</v>
      </c>
      <c r="BM26" s="60">
        <v>7585.5416666666697</v>
      </c>
      <c r="BN26" s="60">
        <v>4973.0833333333303</v>
      </c>
      <c r="BO26" s="60">
        <v>711.41666666666595</v>
      </c>
      <c r="BP26" s="60">
        <v>124.815833333333</v>
      </c>
      <c r="BQ26" s="60">
        <v>159.64750000000001</v>
      </c>
      <c r="BR26" s="60">
        <v>4.3556249999999999</v>
      </c>
      <c r="BS26" s="58"/>
      <c r="BT26" s="58"/>
      <c r="BU26" s="58"/>
      <c r="BV26" s="58"/>
      <c r="BW26" s="58"/>
      <c r="BX26" s="58"/>
      <c r="BY26" s="58"/>
      <c r="BZ26" s="58"/>
      <c r="CA26" s="58"/>
      <c r="CB26" s="58"/>
      <c r="CC26" s="58"/>
      <c r="CD26" s="58"/>
      <c r="CE26" s="58"/>
      <c r="CF26" s="58"/>
      <c r="CG26" s="58"/>
      <c r="CH26" s="58"/>
      <c r="CI26" s="58"/>
    </row>
    <row r="27" spans="1:87">
      <c r="A27" s="55">
        <v>1977</v>
      </c>
      <c r="B27" s="61">
        <v>12.5650000572204</v>
      </c>
      <c r="C27" s="61" t="s">
        <v>137</v>
      </c>
      <c r="D27" s="61">
        <v>12.5650000572204</v>
      </c>
      <c r="E27" s="61" t="s">
        <v>137</v>
      </c>
      <c r="F27" s="61">
        <v>28.678518518518501</v>
      </c>
      <c r="G27" s="61" t="s">
        <v>137</v>
      </c>
      <c r="H27" s="61">
        <v>0.79</v>
      </c>
      <c r="I27" s="61">
        <v>1.7916226068158201</v>
      </c>
      <c r="J27" s="61">
        <v>2.7711628728192399</v>
      </c>
      <c r="K27" s="61">
        <v>19.9880355208001</v>
      </c>
      <c r="L27" s="61">
        <v>3.7900666666666698</v>
      </c>
      <c r="M27" s="61">
        <v>5.1688666666666698</v>
      </c>
      <c r="N27" s="61">
        <v>4.93285208333333</v>
      </c>
      <c r="O27" s="61">
        <v>1.95444166666667</v>
      </c>
      <c r="P27" s="61">
        <v>1.6958341166666699</v>
      </c>
      <c r="Q27" s="61">
        <v>2.0673815000000002</v>
      </c>
      <c r="R27" s="61">
        <v>2.1001298333333298</v>
      </c>
      <c r="S27" s="61">
        <v>578.16666666666697</v>
      </c>
      <c r="T27" s="61" t="s">
        <v>137</v>
      </c>
      <c r="U27" s="61" t="s">
        <v>137</v>
      </c>
      <c r="V27" s="61">
        <v>852.75</v>
      </c>
      <c r="W27" s="61">
        <v>530.02499999999998</v>
      </c>
      <c r="X27" s="61" t="s">
        <v>137</v>
      </c>
      <c r="Y27" s="61">
        <v>280.16666666666703</v>
      </c>
      <c r="Z27" s="61">
        <v>580.25</v>
      </c>
      <c r="AA27" s="61">
        <v>229.833333333333</v>
      </c>
      <c r="AB27" s="61">
        <v>47.886441121611099</v>
      </c>
      <c r="AC27" s="61">
        <v>95.35</v>
      </c>
      <c r="AD27" s="61">
        <v>88.366666666666703</v>
      </c>
      <c r="AE27" s="61">
        <v>252.22499999999999</v>
      </c>
      <c r="AF27" s="61" t="s">
        <v>137</v>
      </c>
      <c r="AG27" s="61" t="s">
        <v>137</v>
      </c>
      <c r="AH27" s="61" t="s">
        <v>137</v>
      </c>
      <c r="AI27" s="61" t="s">
        <v>137</v>
      </c>
      <c r="AJ27" s="61">
        <v>103.21833333333301</v>
      </c>
      <c r="AK27" s="61" t="s">
        <v>137</v>
      </c>
      <c r="AL27" s="61">
        <v>0.27374999999999999</v>
      </c>
      <c r="AM27" s="61">
        <v>0.254</v>
      </c>
      <c r="AN27" s="61">
        <v>1.50646666666667</v>
      </c>
      <c r="AO27" s="61">
        <v>0.651783917501643</v>
      </c>
      <c r="AP27" s="61">
        <v>1.7006250000000001</v>
      </c>
      <c r="AQ27" s="61">
        <v>7.9145858000000002</v>
      </c>
      <c r="AR27" s="61">
        <v>0.30892237750000001</v>
      </c>
      <c r="AS27" s="61">
        <v>0.24260005916666699</v>
      </c>
      <c r="AT27" s="61">
        <v>0.178933333333333</v>
      </c>
      <c r="AU27" s="61">
        <v>2253.92583333333</v>
      </c>
      <c r="AV27" s="61">
        <v>158.77000000000001</v>
      </c>
      <c r="AW27" s="61">
        <v>92.566666666666606</v>
      </c>
      <c r="AX27" s="61" t="s">
        <v>137</v>
      </c>
      <c r="AY27" s="61">
        <v>264.98374892297602</v>
      </c>
      <c r="AZ27" s="61" t="s">
        <v>137</v>
      </c>
      <c r="BA27" s="61">
        <v>1.6285416666666701</v>
      </c>
      <c r="BB27" s="61" t="s">
        <v>137</v>
      </c>
      <c r="BC27" s="61">
        <v>0.81468333333333298</v>
      </c>
      <c r="BD27" s="61">
        <v>61.787500000000001</v>
      </c>
      <c r="BE27" s="61">
        <v>134.083333333333</v>
      </c>
      <c r="BF27" s="61">
        <v>97.9166666666667</v>
      </c>
      <c r="BG27" s="61">
        <v>120.763194444444</v>
      </c>
      <c r="BH27" s="61">
        <v>55.293750000000003</v>
      </c>
      <c r="BI27" s="61">
        <v>1143.83034261068</v>
      </c>
      <c r="BJ27" s="61">
        <v>23.06</v>
      </c>
      <c r="BK27" s="61">
        <v>1308.75</v>
      </c>
      <c r="BL27" s="61">
        <v>618</v>
      </c>
      <c r="BM27" s="61">
        <v>10804.45</v>
      </c>
      <c r="BN27" s="61">
        <v>5118.1666666666697</v>
      </c>
      <c r="BO27" s="61">
        <v>589.66666666666697</v>
      </c>
      <c r="BP27" s="61">
        <v>147.72083333333299</v>
      </c>
      <c r="BQ27" s="61">
        <v>158.321666666667</v>
      </c>
      <c r="BR27" s="61">
        <v>4.63608333333333</v>
      </c>
      <c r="BS27" s="58"/>
      <c r="BT27" s="58"/>
      <c r="BU27" s="58"/>
      <c r="BV27" s="58"/>
      <c r="BW27" s="58"/>
      <c r="BX27" s="58"/>
      <c r="BY27" s="58"/>
      <c r="BZ27" s="58"/>
      <c r="CA27" s="58"/>
      <c r="CB27" s="58"/>
      <c r="CC27" s="58"/>
      <c r="CD27" s="58"/>
      <c r="CE27" s="58"/>
      <c r="CF27" s="58"/>
      <c r="CG27" s="58"/>
      <c r="CH27" s="58"/>
      <c r="CI27" s="58"/>
    </row>
    <row r="28" spans="1:87">
      <c r="A28" s="59">
        <v>1978</v>
      </c>
      <c r="B28" s="60">
        <v>12.9166666666667</v>
      </c>
      <c r="C28" s="60" t="s">
        <v>137</v>
      </c>
      <c r="D28" s="60">
        <v>12.9166666666667</v>
      </c>
      <c r="E28" s="60" t="s">
        <v>137</v>
      </c>
      <c r="F28" s="60">
        <v>29.058657407407399</v>
      </c>
      <c r="G28" s="60" t="s">
        <v>137</v>
      </c>
      <c r="H28" s="60">
        <v>0.90583333333333405</v>
      </c>
      <c r="I28" s="60">
        <v>2.30221809927454</v>
      </c>
      <c r="J28" s="60">
        <v>3.0360808420402701</v>
      </c>
      <c r="K28" s="60">
        <v>24.001480121918998</v>
      </c>
      <c r="L28" s="60">
        <v>3.4031583333333302</v>
      </c>
      <c r="M28" s="60">
        <v>3.5899916666666698</v>
      </c>
      <c r="N28" s="60">
        <v>3.2512418333333302</v>
      </c>
      <c r="O28" s="60">
        <v>1.4094833333333301</v>
      </c>
      <c r="P28" s="60">
        <v>0.745656758333333</v>
      </c>
      <c r="Q28" s="60">
        <v>1.8749519166666699</v>
      </c>
      <c r="R28" s="60">
        <v>1.6077982500000001</v>
      </c>
      <c r="S28" s="60">
        <v>683.20833333333303</v>
      </c>
      <c r="T28" s="60" t="s">
        <v>137</v>
      </c>
      <c r="U28" s="60" t="s">
        <v>137</v>
      </c>
      <c r="V28" s="60">
        <v>1079.1666666666699</v>
      </c>
      <c r="W28" s="60">
        <v>600.33333333333303</v>
      </c>
      <c r="X28" s="60" t="s">
        <v>137</v>
      </c>
      <c r="Y28" s="60">
        <v>268.33333333333297</v>
      </c>
      <c r="Z28" s="60">
        <v>607</v>
      </c>
      <c r="AA28" s="60">
        <v>213.291666666667</v>
      </c>
      <c r="AB28" s="60">
        <v>54.960060524094303</v>
      </c>
      <c r="AC28" s="60">
        <v>100.74250000000001</v>
      </c>
      <c r="AD28" s="60">
        <v>93.838333333333395</v>
      </c>
      <c r="AE28" s="60">
        <v>345.65750000000003</v>
      </c>
      <c r="AF28" s="60" t="s">
        <v>137</v>
      </c>
      <c r="AG28" s="60" t="s">
        <v>137</v>
      </c>
      <c r="AH28" s="60" t="s">
        <v>137</v>
      </c>
      <c r="AI28" s="60" t="s">
        <v>137</v>
      </c>
      <c r="AJ28" s="60">
        <v>127.745</v>
      </c>
      <c r="AK28" s="60" t="s">
        <v>137</v>
      </c>
      <c r="AL28" s="60">
        <v>0.28725000000000001</v>
      </c>
      <c r="AM28" s="60">
        <v>0.30014999999999997</v>
      </c>
      <c r="AN28" s="60">
        <v>2.1382750000000001</v>
      </c>
      <c r="AO28" s="60">
        <v>0.69505797034226702</v>
      </c>
      <c r="AP28" s="60">
        <v>2.19414166666667</v>
      </c>
      <c r="AQ28" s="60">
        <v>8.0689092000000002</v>
      </c>
      <c r="AR28" s="60">
        <v>0.35119596600000003</v>
      </c>
      <c r="AS28" s="60">
        <v>0.30805890133333302</v>
      </c>
      <c r="AT28" s="60">
        <v>0.17230833333333301</v>
      </c>
      <c r="AU28" s="60">
        <v>2268.0174999999999</v>
      </c>
      <c r="AV28" s="60">
        <v>191.28083333333299</v>
      </c>
      <c r="AW28" s="60">
        <v>97.358333333333306</v>
      </c>
      <c r="AX28" s="60" t="s">
        <v>137</v>
      </c>
      <c r="AY28" s="60">
        <v>272.28210517459399</v>
      </c>
      <c r="AZ28" s="60" t="s">
        <v>137</v>
      </c>
      <c r="BA28" s="60">
        <v>1.60666666666667</v>
      </c>
      <c r="BB28" s="60" t="s">
        <v>137</v>
      </c>
      <c r="BC28" s="60">
        <v>0.98562499999999997</v>
      </c>
      <c r="BD28" s="60">
        <v>31.28125</v>
      </c>
      <c r="BE28" s="60">
        <v>139.833333333333</v>
      </c>
      <c r="BF28" s="60">
        <v>98.0416666666667</v>
      </c>
      <c r="BG28" s="60">
        <v>136.035416666667</v>
      </c>
      <c r="BH28" s="60">
        <v>59.0104166666667</v>
      </c>
      <c r="BI28" s="60">
        <v>1324.92150878906</v>
      </c>
      <c r="BJ28" s="60">
        <v>21.45</v>
      </c>
      <c r="BK28" s="60">
        <v>1364.8333333333301</v>
      </c>
      <c r="BL28" s="60">
        <v>661.91666666666697</v>
      </c>
      <c r="BM28" s="60">
        <v>12875.208333333299</v>
      </c>
      <c r="BN28" s="60">
        <v>4609.25</v>
      </c>
      <c r="BO28" s="60">
        <v>593.91666666666697</v>
      </c>
      <c r="BP28" s="60">
        <v>193.23916666666699</v>
      </c>
      <c r="BQ28" s="60">
        <v>260.65083333333303</v>
      </c>
      <c r="BR28" s="60">
        <v>5.4187666666666701</v>
      </c>
      <c r="BS28" s="58"/>
      <c r="BT28" s="58"/>
      <c r="BU28" s="58"/>
      <c r="BV28" s="58"/>
      <c r="BW28" s="58"/>
      <c r="BX28" s="58"/>
      <c r="BY28" s="58"/>
      <c r="BZ28" s="58"/>
      <c r="CA28" s="58"/>
      <c r="CB28" s="58"/>
      <c r="CC28" s="58"/>
      <c r="CD28" s="58"/>
      <c r="CE28" s="58"/>
      <c r="CF28" s="58"/>
      <c r="CG28" s="58"/>
      <c r="CH28" s="58"/>
      <c r="CI28" s="58"/>
    </row>
    <row r="29" spans="1:87">
      <c r="A29" s="55">
        <v>1979</v>
      </c>
      <c r="B29" s="61">
        <v>30.9645832777023</v>
      </c>
      <c r="C29" s="61">
        <v>32.112500031789203</v>
      </c>
      <c r="D29" s="61">
        <v>29.816666523615499</v>
      </c>
      <c r="E29" s="61" t="s">
        <v>137</v>
      </c>
      <c r="F29" s="61">
        <v>30.89</v>
      </c>
      <c r="G29" s="61" t="s">
        <v>137</v>
      </c>
      <c r="H29" s="61">
        <v>1.18</v>
      </c>
      <c r="I29" s="61">
        <v>3.2594885748471798</v>
      </c>
      <c r="J29" s="61">
        <v>3.6924229155722199</v>
      </c>
      <c r="K29" s="61">
        <v>32.326293497727598</v>
      </c>
      <c r="L29" s="61">
        <v>3.2928333333333302</v>
      </c>
      <c r="M29" s="61">
        <v>3.8261333333333298</v>
      </c>
      <c r="N29" s="61">
        <v>3.6519416666666702</v>
      </c>
      <c r="O29" s="61">
        <v>1.50539166666667</v>
      </c>
      <c r="P29" s="61">
        <v>0.782832641666667</v>
      </c>
      <c r="Q29" s="61">
        <v>2.1025033333333298</v>
      </c>
      <c r="R29" s="61">
        <v>1.6308335</v>
      </c>
      <c r="S29" s="61">
        <v>984.5</v>
      </c>
      <c r="T29" s="61" t="s">
        <v>137</v>
      </c>
      <c r="U29" s="61">
        <v>394.875</v>
      </c>
      <c r="V29" s="61">
        <v>888.66666666666595</v>
      </c>
      <c r="W29" s="61">
        <v>653.83333333333303</v>
      </c>
      <c r="X29" s="61" t="s">
        <v>137</v>
      </c>
      <c r="Y29" s="61">
        <v>297.75</v>
      </c>
      <c r="Z29" s="61">
        <v>662.18333333333305</v>
      </c>
      <c r="AA29" s="61">
        <v>243.02500000000001</v>
      </c>
      <c r="AB29" s="61">
        <v>65.247045232138404</v>
      </c>
      <c r="AC29" s="61">
        <v>115.52249999999999</v>
      </c>
      <c r="AD29" s="61">
        <v>108.10833333333299</v>
      </c>
      <c r="AE29" s="61">
        <v>313.069166666667</v>
      </c>
      <c r="AF29" s="61" t="s">
        <v>137</v>
      </c>
      <c r="AG29" s="61" t="s">
        <v>137</v>
      </c>
      <c r="AH29" s="61" t="s">
        <v>137</v>
      </c>
      <c r="AI29" s="61">
        <v>156.31</v>
      </c>
      <c r="AJ29" s="61">
        <v>160.29333333333301</v>
      </c>
      <c r="AK29" s="61" t="s">
        <v>137</v>
      </c>
      <c r="AL29" s="61">
        <v>0.325616666666667</v>
      </c>
      <c r="AM29" s="61">
        <v>0.39845833333333303</v>
      </c>
      <c r="AN29" s="61">
        <v>2.8840166666666698</v>
      </c>
      <c r="AO29" s="61">
        <v>0.74055755522489897</v>
      </c>
      <c r="AP29" s="61">
        <v>2.37096666666667</v>
      </c>
      <c r="AQ29" s="61">
        <v>11.9710866</v>
      </c>
      <c r="AR29" s="61">
        <v>0.42530794166666702</v>
      </c>
      <c r="AS29" s="61">
        <v>0.34232237049999997</v>
      </c>
      <c r="AT29" s="61">
        <v>0.21295</v>
      </c>
      <c r="AU29" s="61">
        <v>2344.4333333333302</v>
      </c>
      <c r="AV29" s="61">
        <v>211.52500000000001</v>
      </c>
      <c r="AW29" s="61">
        <v>170.041666666667</v>
      </c>
      <c r="AX29" s="61" t="s">
        <v>137</v>
      </c>
      <c r="AY29" s="61">
        <v>365.93189303776001</v>
      </c>
      <c r="AZ29" s="61">
        <v>262.5</v>
      </c>
      <c r="BA29" s="61">
        <v>1.7073499999999999</v>
      </c>
      <c r="BB29" s="61" t="s">
        <v>137</v>
      </c>
      <c r="BC29" s="61">
        <v>1.2621</v>
      </c>
      <c r="BD29" s="61">
        <v>35.4791666666667</v>
      </c>
      <c r="BE29" s="61">
        <v>193.333333333333</v>
      </c>
      <c r="BF29" s="61">
        <v>146.22499999999999</v>
      </c>
      <c r="BG29" s="61">
        <v>153.00208333333299</v>
      </c>
      <c r="BH29" s="61">
        <v>76.46875</v>
      </c>
      <c r="BI29" s="61">
        <v>1602.8682250976599</v>
      </c>
      <c r="BJ29" s="61">
        <v>23.5</v>
      </c>
      <c r="BK29" s="61">
        <v>1985.25833333333</v>
      </c>
      <c r="BL29" s="61">
        <v>1208.25</v>
      </c>
      <c r="BM29" s="61">
        <v>15447.4083333333</v>
      </c>
      <c r="BN29" s="61">
        <v>5986</v>
      </c>
      <c r="BO29" s="61">
        <v>741.66666666666595</v>
      </c>
      <c r="BP29" s="61">
        <v>306.66750000000002</v>
      </c>
      <c r="BQ29" s="61">
        <v>442.79833333333301</v>
      </c>
      <c r="BR29" s="61">
        <v>11.099575</v>
      </c>
      <c r="BS29" s="58"/>
      <c r="BT29" s="58"/>
      <c r="BU29" s="58"/>
      <c r="BV29" s="58"/>
      <c r="BW29" s="58"/>
      <c r="BX29" s="58"/>
      <c r="BY29" s="58"/>
      <c r="BZ29" s="58"/>
      <c r="CA29" s="58"/>
      <c r="CB29" s="58"/>
      <c r="CC29" s="58"/>
      <c r="CD29" s="58"/>
      <c r="CE29" s="58"/>
      <c r="CF29" s="58"/>
      <c r="CG29" s="58"/>
      <c r="CH29" s="58"/>
      <c r="CI29" s="58"/>
    </row>
    <row r="30" spans="1:87">
      <c r="A30" s="59">
        <v>1980</v>
      </c>
      <c r="B30" s="60">
        <v>36.8687499364217</v>
      </c>
      <c r="C30" s="60">
        <v>37.891667048136398</v>
      </c>
      <c r="D30" s="60">
        <v>35.845832824707003</v>
      </c>
      <c r="E30" s="60" t="s">
        <v>137</v>
      </c>
      <c r="F30" s="60">
        <v>40.140833333333298</v>
      </c>
      <c r="G30" s="60" t="s">
        <v>137</v>
      </c>
      <c r="H30" s="60">
        <v>1.5891666666666699</v>
      </c>
      <c r="I30" s="60">
        <v>4.22</v>
      </c>
      <c r="J30" s="60">
        <v>5.69622732831838</v>
      </c>
      <c r="K30" s="60">
        <v>43.218767379808597</v>
      </c>
      <c r="L30" s="60">
        <v>2.6034916666666699</v>
      </c>
      <c r="M30" s="60">
        <v>3.4662833333333301</v>
      </c>
      <c r="N30" s="60">
        <v>3.2432166666666702</v>
      </c>
      <c r="O30" s="60">
        <v>1.6592916666666699</v>
      </c>
      <c r="P30" s="60">
        <v>1.1113645000000001</v>
      </c>
      <c r="Q30" s="60">
        <v>2.0493532499999998</v>
      </c>
      <c r="R30" s="60">
        <v>1.8171269999999999</v>
      </c>
      <c r="S30" s="60">
        <v>673.83333333333303</v>
      </c>
      <c r="T30" s="60">
        <v>1236.5833333333301</v>
      </c>
      <c r="U30" s="60">
        <v>504.42500000000001</v>
      </c>
      <c r="V30" s="60">
        <v>858.75</v>
      </c>
      <c r="W30" s="60">
        <v>583.69166666666695</v>
      </c>
      <c r="X30" s="60" t="s">
        <v>137</v>
      </c>
      <c r="Y30" s="60">
        <v>296.22916666666703</v>
      </c>
      <c r="Z30" s="60">
        <v>597.60833333333301</v>
      </c>
      <c r="AA30" s="60">
        <v>262.41666666666703</v>
      </c>
      <c r="AB30" s="60">
        <v>78.228711504166696</v>
      </c>
      <c r="AC30" s="60">
        <v>125.2625</v>
      </c>
      <c r="AD30" s="60">
        <v>128.86083333333301</v>
      </c>
      <c r="AE30" s="60">
        <v>410.74250000000001</v>
      </c>
      <c r="AF30" s="60" t="s">
        <v>137</v>
      </c>
      <c r="AG30" s="60" t="s">
        <v>137</v>
      </c>
      <c r="AH30" s="60" t="s">
        <v>137</v>
      </c>
      <c r="AI30" s="60">
        <v>168.30166666666699</v>
      </c>
      <c r="AJ30" s="60">
        <v>172.726666666667</v>
      </c>
      <c r="AK30" s="60" t="s">
        <v>137</v>
      </c>
      <c r="AL30" s="60">
        <v>0.37726666666666703</v>
      </c>
      <c r="AM30" s="60">
        <v>0.400175</v>
      </c>
      <c r="AN30" s="60">
        <v>2.7599666666666698</v>
      </c>
      <c r="AO30" s="60">
        <v>0.75712162350000001</v>
      </c>
      <c r="AP30" s="60">
        <v>2.8794166666666698</v>
      </c>
      <c r="AQ30" s="60">
        <v>10.141252</v>
      </c>
      <c r="AR30" s="60">
        <v>0.48689032700000001</v>
      </c>
      <c r="AS30" s="60">
        <v>0.66208412966666697</v>
      </c>
      <c r="AT30" s="60">
        <v>0.63160833333333299</v>
      </c>
      <c r="AU30" s="60">
        <v>2275.86</v>
      </c>
      <c r="AV30" s="60">
        <v>251.691666666667</v>
      </c>
      <c r="AW30" s="60">
        <v>195.51333333333301</v>
      </c>
      <c r="AX30" s="60">
        <v>396</v>
      </c>
      <c r="AY30" s="60">
        <v>396.201340671384</v>
      </c>
      <c r="AZ30" s="60">
        <v>273.78333333333302</v>
      </c>
      <c r="BA30" s="60">
        <v>2.0618416666666701</v>
      </c>
      <c r="BB30" s="60" t="s">
        <v>137</v>
      </c>
      <c r="BC30" s="60">
        <v>1.4245416666666699</v>
      </c>
      <c r="BD30" s="60">
        <v>44.6666666666667</v>
      </c>
      <c r="BE30" s="60">
        <v>222.208333333333</v>
      </c>
      <c r="BF30" s="60">
        <v>180.25</v>
      </c>
      <c r="BG30" s="60">
        <v>200.5625</v>
      </c>
      <c r="BH30" s="60">
        <v>106.5</v>
      </c>
      <c r="BI30" s="60">
        <v>1774.91284179688</v>
      </c>
      <c r="BJ30" s="60">
        <v>28.09</v>
      </c>
      <c r="BK30" s="60">
        <v>2182.0916666666699</v>
      </c>
      <c r="BL30" s="60">
        <v>905.75</v>
      </c>
      <c r="BM30" s="60">
        <v>16774.883333333299</v>
      </c>
      <c r="BN30" s="60">
        <v>6518.6750000000002</v>
      </c>
      <c r="BO30" s="60">
        <v>761.21666666666704</v>
      </c>
      <c r="BP30" s="60">
        <v>607.86416666666696</v>
      </c>
      <c r="BQ30" s="60">
        <v>679.1</v>
      </c>
      <c r="BR30" s="60">
        <v>20.804366666666699</v>
      </c>
      <c r="BS30" s="58"/>
      <c r="BT30" s="58"/>
      <c r="BU30" s="58"/>
      <c r="BV30" s="58"/>
      <c r="BW30" s="58"/>
      <c r="BX30" s="58"/>
      <c r="BY30" s="58"/>
      <c r="BZ30" s="58"/>
      <c r="CA30" s="58"/>
      <c r="CB30" s="58"/>
      <c r="CC30" s="58"/>
      <c r="CD30" s="58"/>
      <c r="CE30" s="58"/>
      <c r="CF30" s="58"/>
      <c r="CG30" s="58"/>
      <c r="CH30" s="58"/>
      <c r="CI30" s="58"/>
    </row>
    <row r="31" spans="1:87">
      <c r="A31" s="55">
        <v>1981</v>
      </c>
      <c r="B31" s="61">
        <v>35.484999656677203</v>
      </c>
      <c r="C31" s="61">
        <v>36.675833066304499</v>
      </c>
      <c r="D31" s="61">
        <v>34.294166247050001</v>
      </c>
      <c r="E31" s="61" t="s">
        <v>137</v>
      </c>
      <c r="F31" s="61">
        <v>53.62</v>
      </c>
      <c r="G31" s="61" t="s">
        <v>137</v>
      </c>
      <c r="H31" s="61">
        <v>1.9833333333333301</v>
      </c>
      <c r="I31" s="61">
        <v>4.5999999999999996</v>
      </c>
      <c r="J31" s="61">
        <v>6.0303414353367897</v>
      </c>
      <c r="K31" s="61">
        <v>50.038150067575103</v>
      </c>
      <c r="L31" s="61">
        <v>2.0795499999999998</v>
      </c>
      <c r="M31" s="61">
        <v>2.8685499999999999</v>
      </c>
      <c r="N31" s="61">
        <v>2.2402166666666701</v>
      </c>
      <c r="O31" s="61">
        <v>1.4702</v>
      </c>
      <c r="P31" s="61">
        <v>0.97327289166666597</v>
      </c>
      <c r="Q31" s="61">
        <v>1.8130886666666699</v>
      </c>
      <c r="R31" s="61">
        <v>1.6242095000000001</v>
      </c>
      <c r="S31" s="61">
        <v>569.91666666666697</v>
      </c>
      <c r="T31" s="61">
        <v>1257.4166666666699</v>
      </c>
      <c r="U31" s="61">
        <v>467.48333333333301</v>
      </c>
      <c r="V31" s="61">
        <v>1042.75</v>
      </c>
      <c r="W31" s="61">
        <v>570.66666666666697</v>
      </c>
      <c r="X31" s="61" t="s">
        <v>137</v>
      </c>
      <c r="Y31" s="61">
        <v>288.41666666666703</v>
      </c>
      <c r="Z31" s="61">
        <v>506.85</v>
      </c>
      <c r="AA31" s="61">
        <v>252.583333333333</v>
      </c>
      <c r="AB31" s="61">
        <v>79.725833333333398</v>
      </c>
      <c r="AC31" s="61">
        <v>130.78083333333299</v>
      </c>
      <c r="AD31" s="61">
        <v>126.371666666667</v>
      </c>
      <c r="AE31" s="61">
        <v>458.98916666666702</v>
      </c>
      <c r="AF31" s="61" t="s">
        <v>137</v>
      </c>
      <c r="AG31" s="61" t="s">
        <v>137</v>
      </c>
      <c r="AH31" s="61" t="s">
        <v>137</v>
      </c>
      <c r="AI31" s="61">
        <v>154.58666666666701</v>
      </c>
      <c r="AJ31" s="61">
        <v>174.96</v>
      </c>
      <c r="AK31" s="61" t="s">
        <v>137</v>
      </c>
      <c r="AL31" s="61">
        <v>0.40127499999999999</v>
      </c>
      <c r="AM31" s="61">
        <v>0.40572750000000002</v>
      </c>
      <c r="AN31" s="61">
        <v>2.4743583333333299</v>
      </c>
      <c r="AO31" s="61">
        <v>0.77395022283333303</v>
      </c>
      <c r="AP31" s="61">
        <v>2.7386583333333299</v>
      </c>
      <c r="AQ31" s="61">
        <v>10.1632982</v>
      </c>
      <c r="AR31" s="61">
        <v>0.41727945049999998</v>
      </c>
      <c r="AS31" s="61">
        <v>0.434971526</v>
      </c>
      <c r="AT31" s="61">
        <v>0.37408333333333299</v>
      </c>
      <c r="AU31" s="61">
        <v>2321.6866666666701</v>
      </c>
      <c r="AV31" s="61">
        <v>212.79</v>
      </c>
      <c r="AW31" s="61">
        <v>154.56333333333299</v>
      </c>
      <c r="AX31" s="61" t="s">
        <v>137</v>
      </c>
      <c r="AY31" s="61">
        <v>349.406410968324</v>
      </c>
      <c r="AZ31" s="61">
        <v>244.694166666667</v>
      </c>
      <c r="BA31" s="61">
        <v>1.8710583333333299</v>
      </c>
      <c r="BB31" s="61" t="s">
        <v>137</v>
      </c>
      <c r="BC31" s="61">
        <v>1.12283333333333</v>
      </c>
      <c r="BD31" s="61">
        <v>48.9583333333333</v>
      </c>
      <c r="BE31" s="61">
        <v>177.625</v>
      </c>
      <c r="BF31" s="61">
        <v>161.333333333333</v>
      </c>
      <c r="BG31" s="61">
        <v>182.5</v>
      </c>
      <c r="BH31" s="61">
        <v>110.166666666667</v>
      </c>
      <c r="BI31" s="61">
        <v>1262.7302856445301</v>
      </c>
      <c r="BJ31" s="61">
        <v>28.09</v>
      </c>
      <c r="BK31" s="61">
        <v>1741.95</v>
      </c>
      <c r="BL31" s="61">
        <v>726.72500000000002</v>
      </c>
      <c r="BM31" s="61">
        <v>14159.125</v>
      </c>
      <c r="BN31" s="61">
        <v>5953.0833333333303</v>
      </c>
      <c r="BO31" s="61">
        <v>845.65</v>
      </c>
      <c r="BP31" s="61">
        <v>459.754166666667</v>
      </c>
      <c r="BQ31" s="61">
        <v>447.48166666666702</v>
      </c>
      <c r="BR31" s="61">
        <v>10.5231833333333</v>
      </c>
      <c r="BS31" s="58"/>
      <c r="BT31" s="58"/>
      <c r="BU31" s="58"/>
      <c r="BV31" s="58"/>
      <c r="BW31" s="58"/>
      <c r="BX31" s="58"/>
      <c r="BY31" s="58"/>
      <c r="BZ31" s="58"/>
      <c r="CA31" s="58"/>
      <c r="CB31" s="58"/>
      <c r="CC31" s="58"/>
      <c r="CD31" s="58"/>
      <c r="CE31" s="58"/>
      <c r="CF31" s="58"/>
      <c r="CG31" s="58"/>
      <c r="CH31" s="58"/>
      <c r="CI31" s="58"/>
    </row>
    <row r="32" spans="1:87">
      <c r="A32" s="59">
        <v>1982</v>
      </c>
      <c r="B32" s="60">
        <v>32.6472221268548</v>
      </c>
      <c r="C32" s="60">
        <v>33.4183328946432</v>
      </c>
      <c r="D32" s="60">
        <v>31.756666819254601</v>
      </c>
      <c r="E32" s="60">
        <v>32.766666666666701</v>
      </c>
      <c r="F32" s="60">
        <v>54.767499999999998</v>
      </c>
      <c r="G32" s="60" t="s">
        <v>137</v>
      </c>
      <c r="H32" s="60">
        <v>2.4649999999999999</v>
      </c>
      <c r="I32" s="60">
        <v>4.45</v>
      </c>
      <c r="J32" s="60">
        <v>6.0516223988852804</v>
      </c>
      <c r="K32" s="60">
        <v>55.188529918454101</v>
      </c>
      <c r="L32" s="60">
        <v>1.7356166666666699</v>
      </c>
      <c r="M32" s="60">
        <v>3.0875583333333299</v>
      </c>
      <c r="N32" s="60">
        <v>2.4236499999999999</v>
      </c>
      <c r="O32" s="60">
        <v>1.5432999999999999</v>
      </c>
      <c r="P32" s="60">
        <v>1.1449704333333299</v>
      </c>
      <c r="Q32" s="60">
        <v>1.8463989999999999</v>
      </c>
      <c r="R32" s="60">
        <v>1.63854091666667</v>
      </c>
      <c r="S32" s="60">
        <v>464.41666666666703</v>
      </c>
      <c r="T32" s="60">
        <v>827.5</v>
      </c>
      <c r="U32" s="60">
        <v>352.91666666666703</v>
      </c>
      <c r="V32" s="60">
        <v>584.91666666666697</v>
      </c>
      <c r="W32" s="60">
        <v>445.08333333333297</v>
      </c>
      <c r="X32" s="60" t="s">
        <v>137</v>
      </c>
      <c r="Y32" s="60">
        <v>244.604166666667</v>
      </c>
      <c r="Z32" s="60">
        <v>447.25</v>
      </c>
      <c r="AA32" s="60">
        <v>218.52916666666701</v>
      </c>
      <c r="AB32" s="60">
        <v>63.712499999999999</v>
      </c>
      <c r="AC32" s="60">
        <v>109.2625</v>
      </c>
      <c r="AD32" s="60">
        <v>108.529166666667</v>
      </c>
      <c r="AE32" s="60">
        <v>272.48166666666702</v>
      </c>
      <c r="AF32" s="60" t="s">
        <v>137</v>
      </c>
      <c r="AG32" s="60" t="s">
        <v>137</v>
      </c>
      <c r="AH32" s="60" t="s">
        <v>137</v>
      </c>
      <c r="AI32" s="60">
        <v>132.55166666666699</v>
      </c>
      <c r="AJ32" s="60">
        <v>160.35499999999999</v>
      </c>
      <c r="AK32" s="60" t="s">
        <v>137</v>
      </c>
      <c r="AL32" s="60">
        <v>0.37426666666666702</v>
      </c>
      <c r="AM32" s="60">
        <v>0.384566666666667</v>
      </c>
      <c r="AN32" s="60">
        <v>2.3896250000000001</v>
      </c>
      <c r="AO32" s="60">
        <v>0.75978553933333404</v>
      </c>
      <c r="AP32" s="60">
        <v>2.3769166666666699</v>
      </c>
      <c r="AQ32" s="60">
        <v>13.283333333333299</v>
      </c>
      <c r="AR32" s="60">
        <v>0.39945877216666698</v>
      </c>
      <c r="AS32" s="60">
        <v>0.43925216316666699</v>
      </c>
      <c r="AT32" s="60">
        <v>0.18564166666666701</v>
      </c>
      <c r="AU32" s="60">
        <v>2563.9566666666701</v>
      </c>
      <c r="AV32" s="60">
        <v>175.91749999999999</v>
      </c>
      <c r="AW32" s="60">
        <v>146.45416666666699</v>
      </c>
      <c r="AX32" s="60" t="s">
        <v>137</v>
      </c>
      <c r="AY32" s="60">
        <v>339.38347994980103</v>
      </c>
      <c r="AZ32" s="60">
        <v>232.446666666667</v>
      </c>
      <c r="BA32" s="60">
        <v>1.5972666666666699</v>
      </c>
      <c r="BB32" s="60" t="s">
        <v>137</v>
      </c>
      <c r="BC32" s="60">
        <v>0.85767499999999997</v>
      </c>
      <c r="BD32" s="60">
        <v>42.960416666666703</v>
      </c>
      <c r="BE32" s="60">
        <v>166.625</v>
      </c>
      <c r="BF32" s="60">
        <v>138.416666666667</v>
      </c>
      <c r="BG32" s="60">
        <v>123.958333333333</v>
      </c>
      <c r="BH32" s="60">
        <v>83.25</v>
      </c>
      <c r="BI32" s="60">
        <v>991.56666666666604</v>
      </c>
      <c r="BJ32" s="60">
        <v>32.5</v>
      </c>
      <c r="BK32" s="60">
        <v>1480.44166666667</v>
      </c>
      <c r="BL32" s="60">
        <v>545.6</v>
      </c>
      <c r="BM32" s="60">
        <v>12825.8</v>
      </c>
      <c r="BN32" s="60">
        <v>4837.4916666666704</v>
      </c>
      <c r="BO32" s="60">
        <v>744.78333333333296</v>
      </c>
      <c r="BP32" s="60">
        <v>375.79666666666702</v>
      </c>
      <c r="BQ32" s="60">
        <v>328.29166666666703</v>
      </c>
      <c r="BR32" s="60">
        <v>7.9298916666666699</v>
      </c>
      <c r="BS32" s="58"/>
      <c r="BT32" s="58"/>
      <c r="BU32" s="58"/>
      <c r="BV32" s="58"/>
      <c r="BW32" s="58"/>
      <c r="BX32" s="58"/>
      <c r="BY32" s="58"/>
      <c r="BZ32" s="58"/>
      <c r="CA32" s="58"/>
      <c r="CB32" s="58"/>
      <c r="CC32" s="58"/>
      <c r="CD32" s="58"/>
      <c r="CE32" s="58"/>
      <c r="CF32" s="58"/>
      <c r="CG32" s="58"/>
      <c r="CH32" s="58"/>
      <c r="CI32" s="58"/>
    </row>
    <row r="33" spans="1:87">
      <c r="A33" s="55">
        <v>1983</v>
      </c>
      <c r="B33" s="61">
        <v>29.6577778392368</v>
      </c>
      <c r="C33" s="61">
        <v>29.829167048136402</v>
      </c>
      <c r="D33" s="61">
        <v>28.7291666666667</v>
      </c>
      <c r="E33" s="61">
        <v>30.4149998029073</v>
      </c>
      <c r="F33" s="61">
        <v>38.1875</v>
      </c>
      <c r="G33" s="61" t="s">
        <v>137</v>
      </c>
      <c r="H33" s="61">
        <v>2.5924999999999998</v>
      </c>
      <c r="I33" s="61">
        <v>4.05</v>
      </c>
      <c r="J33" s="61">
        <v>5.5458157477301402</v>
      </c>
      <c r="K33" s="61">
        <v>54.492540000376103</v>
      </c>
      <c r="L33" s="61">
        <v>2.1198666666666699</v>
      </c>
      <c r="M33" s="61">
        <v>2.91125833333333</v>
      </c>
      <c r="N33" s="61">
        <v>2.7316416666666701</v>
      </c>
      <c r="O33" s="61">
        <v>2.0970916666666701</v>
      </c>
      <c r="P33" s="61">
        <v>1.8571548333333301</v>
      </c>
      <c r="Q33" s="61">
        <v>2.5200430833333298</v>
      </c>
      <c r="R33" s="61">
        <v>1.9140997500000001</v>
      </c>
      <c r="S33" s="61">
        <v>729.875</v>
      </c>
      <c r="T33" s="61">
        <v>965.33333333333405</v>
      </c>
      <c r="U33" s="61">
        <v>452.58333333333297</v>
      </c>
      <c r="V33" s="61">
        <v>710.91666666666697</v>
      </c>
      <c r="W33" s="61">
        <v>501.42500000000001</v>
      </c>
      <c r="X33" s="61" t="s">
        <v>137</v>
      </c>
      <c r="Y33" s="61">
        <v>281.58749999999998</v>
      </c>
      <c r="Z33" s="61">
        <v>526.88333333333298</v>
      </c>
      <c r="AA33" s="61">
        <v>237.833333333333</v>
      </c>
      <c r="AB33" s="61">
        <v>70.890833333333305</v>
      </c>
      <c r="AC33" s="61">
        <v>136.01666666666699</v>
      </c>
      <c r="AD33" s="61">
        <v>128.755</v>
      </c>
      <c r="AE33" s="61">
        <v>256.80250000000001</v>
      </c>
      <c r="AF33" s="61" t="s">
        <v>137</v>
      </c>
      <c r="AG33" s="61" t="s">
        <v>137</v>
      </c>
      <c r="AH33" s="61" t="s">
        <v>137</v>
      </c>
      <c r="AI33" s="61">
        <v>137.30416666666699</v>
      </c>
      <c r="AJ33" s="61">
        <v>157.41499999999999</v>
      </c>
      <c r="AK33" s="61" t="s">
        <v>137</v>
      </c>
      <c r="AL33" s="61">
        <v>0.42880833333333301</v>
      </c>
      <c r="AM33" s="61">
        <v>0.37319999999999998</v>
      </c>
      <c r="AN33" s="61">
        <v>2.4398916666666701</v>
      </c>
      <c r="AO33" s="61">
        <v>0.77196606483333297</v>
      </c>
      <c r="AP33" s="61">
        <v>1.93103333333333</v>
      </c>
      <c r="AQ33" s="61">
        <v>13.2075</v>
      </c>
      <c r="AR33" s="61">
        <v>0.38724150299999999</v>
      </c>
      <c r="AS33" s="61">
        <v>0.485879876166667</v>
      </c>
      <c r="AT33" s="61">
        <v>0.186725</v>
      </c>
      <c r="AU33" s="61">
        <v>2656.5450000000001</v>
      </c>
      <c r="AV33" s="61">
        <v>160.768333333333</v>
      </c>
      <c r="AW33" s="61">
        <v>137.705833333333</v>
      </c>
      <c r="AX33" s="61" t="s">
        <v>137</v>
      </c>
      <c r="AY33" s="61">
        <v>328.13556860503599</v>
      </c>
      <c r="AZ33" s="61">
        <v>229.808333333333</v>
      </c>
      <c r="BA33" s="61">
        <v>1.85389166666667</v>
      </c>
      <c r="BB33" s="61" t="s">
        <v>137</v>
      </c>
      <c r="BC33" s="61">
        <v>1.0641750000000001</v>
      </c>
      <c r="BD33" s="61">
        <v>39.8020833333333</v>
      </c>
      <c r="BE33" s="61">
        <v>169.083333333333</v>
      </c>
      <c r="BF33" s="61">
        <v>134.666666666667</v>
      </c>
      <c r="BG33" s="61">
        <v>114.541666666667</v>
      </c>
      <c r="BH33" s="61">
        <v>74.4166666666667</v>
      </c>
      <c r="BI33" s="61">
        <v>1438.43333333333</v>
      </c>
      <c r="BJ33" s="61">
        <v>29</v>
      </c>
      <c r="BK33" s="61">
        <v>1591.925</v>
      </c>
      <c r="BL33" s="61">
        <v>425.34166666666698</v>
      </c>
      <c r="BM33" s="61">
        <v>12987.9666666667</v>
      </c>
      <c r="BN33" s="61">
        <v>4672.8</v>
      </c>
      <c r="BO33" s="61">
        <v>764.33333333333405</v>
      </c>
      <c r="BP33" s="61">
        <v>422.53</v>
      </c>
      <c r="BQ33" s="61">
        <v>423.3075</v>
      </c>
      <c r="BR33" s="61">
        <v>11.4262833333333</v>
      </c>
      <c r="BS33" s="58"/>
      <c r="BT33" s="58"/>
      <c r="BU33" s="58"/>
      <c r="BV33" s="58"/>
      <c r="BW33" s="58"/>
      <c r="BX33" s="58"/>
      <c r="BY33" s="58"/>
      <c r="BZ33" s="58"/>
      <c r="CA33" s="58"/>
      <c r="CB33" s="58"/>
      <c r="CC33" s="58"/>
      <c r="CD33" s="58"/>
      <c r="CE33" s="58"/>
      <c r="CF33" s="58"/>
      <c r="CG33" s="58"/>
      <c r="CH33" s="58"/>
      <c r="CI33" s="58"/>
    </row>
    <row r="34" spans="1:87">
      <c r="A34" s="59">
        <v>1984</v>
      </c>
      <c r="B34" s="60">
        <v>28.557499991522899</v>
      </c>
      <c r="C34" s="60">
        <v>28.801666577657102</v>
      </c>
      <c r="D34" s="60">
        <v>27.493333339691201</v>
      </c>
      <c r="E34" s="60">
        <v>29.377500057220399</v>
      </c>
      <c r="F34" s="60">
        <v>30.9583333333333</v>
      </c>
      <c r="G34" s="60">
        <v>32.870833333333302</v>
      </c>
      <c r="H34" s="60">
        <v>2.6549999999999998</v>
      </c>
      <c r="I34" s="60">
        <v>3.76</v>
      </c>
      <c r="J34" s="60">
        <v>5.23768078192714</v>
      </c>
      <c r="K34" s="60">
        <v>53.664089200268599</v>
      </c>
      <c r="L34" s="60">
        <v>2.3959916666666699</v>
      </c>
      <c r="M34" s="60">
        <v>3.18865833333333</v>
      </c>
      <c r="N34" s="60">
        <v>3.0367833333333301</v>
      </c>
      <c r="O34" s="60">
        <v>2.7415500000000002</v>
      </c>
      <c r="P34" s="60">
        <v>2.5003454166666699</v>
      </c>
      <c r="Q34" s="60">
        <v>2.9145965</v>
      </c>
      <c r="R34" s="60">
        <v>2.8096779999999999</v>
      </c>
      <c r="S34" s="60">
        <v>1154.5833333333301</v>
      </c>
      <c r="T34" s="60">
        <v>836.58333333333405</v>
      </c>
      <c r="U34" s="60">
        <v>373.16666666666703</v>
      </c>
      <c r="V34" s="60">
        <v>1016.66666666667</v>
      </c>
      <c r="W34" s="60">
        <v>728.83333333333405</v>
      </c>
      <c r="X34" s="60" t="s">
        <v>137</v>
      </c>
      <c r="Y34" s="60">
        <v>282.08333333333297</v>
      </c>
      <c r="Z34" s="60">
        <v>724</v>
      </c>
      <c r="AA34" s="60">
        <v>197.166666666667</v>
      </c>
      <c r="AB34" s="60">
        <v>78.723333333333301</v>
      </c>
      <c r="AC34" s="60">
        <v>135.9425</v>
      </c>
      <c r="AD34" s="60">
        <v>118.18833333333301</v>
      </c>
      <c r="AE34" s="60">
        <v>232.49916666666701</v>
      </c>
      <c r="AF34" s="60" t="s">
        <v>137</v>
      </c>
      <c r="AG34" s="60" t="s">
        <v>137</v>
      </c>
      <c r="AH34" s="60" t="s">
        <v>137</v>
      </c>
      <c r="AI34" s="60">
        <v>140.22749999999999</v>
      </c>
      <c r="AJ34" s="60">
        <v>152.333333333333</v>
      </c>
      <c r="AK34" s="60" t="s">
        <v>137</v>
      </c>
      <c r="AL34" s="60">
        <v>0.36947833333333302</v>
      </c>
      <c r="AM34" s="60">
        <v>0.352393333333333</v>
      </c>
      <c r="AN34" s="60">
        <v>2.2731499999999998</v>
      </c>
      <c r="AO34" s="60">
        <v>0.87380113699999995</v>
      </c>
      <c r="AP34" s="60">
        <v>1.92109166666667</v>
      </c>
      <c r="AQ34" s="60">
        <v>11.734999999999999</v>
      </c>
      <c r="AR34" s="60">
        <v>0.36269673366666699</v>
      </c>
      <c r="AS34" s="60">
        <v>0.47928438800000001</v>
      </c>
      <c r="AT34" s="60">
        <v>0.114666666666667</v>
      </c>
      <c r="AU34" s="60">
        <v>2786.3225000000002</v>
      </c>
      <c r="AV34" s="60">
        <v>175.64250000000001</v>
      </c>
      <c r="AW34" s="60">
        <v>156.76</v>
      </c>
      <c r="AX34" s="60" t="s">
        <v>137</v>
      </c>
      <c r="AY34" s="60">
        <v>351.63746237431701</v>
      </c>
      <c r="AZ34" s="60">
        <v>226.98</v>
      </c>
      <c r="BA34" s="60">
        <v>1.78485</v>
      </c>
      <c r="BB34" s="60" t="s">
        <v>137</v>
      </c>
      <c r="BC34" s="60">
        <v>0.95765</v>
      </c>
      <c r="BD34" s="60">
        <v>33.066666666666698</v>
      </c>
      <c r="BE34" s="60">
        <v>175.625</v>
      </c>
      <c r="BF34" s="60">
        <v>131.25</v>
      </c>
      <c r="BG34" s="60">
        <v>150.166666666667</v>
      </c>
      <c r="BH34" s="60">
        <v>84.125</v>
      </c>
      <c r="BI34" s="60">
        <v>1251.325</v>
      </c>
      <c r="BJ34" s="60">
        <v>26.15</v>
      </c>
      <c r="BK34" s="60">
        <v>1377.31666666667</v>
      </c>
      <c r="BL34" s="60">
        <v>442.60833333333301</v>
      </c>
      <c r="BM34" s="60">
        <v>12233.4916666667</v>
      </c>
      <c r="BN34" s="60">
        <v>4752.2083333333303</v>
      </c>
      <c r="BO34" s="60">
        <v>921.93333333333305</v>
      </c>
      <c r="BP34" s="60">
        <v>360.47750000000002</v>
      </c>
      <c r="BQ34" s="60">
        <v>357.808333333333</v>
      </c>
      <c r="BR34" s="60">
        <v>8.1440249999999992</v>
      </c>
      <c r="BS34" s="58"/>
      <c r="BT34" s="58"/>
      <c r="BU34" s="58"/>
      <c r="BV34" s="58"/>
      <c r="BW34" s="58"/>
      <c r="BX34" s="58"/>
      <c r="BY34" s="58"/>
      <c r="BZ34" s="58"/>
      <c r="CA34" s="58"/>
      <c r="CB34" s="58"/>
      <c r="CC34" s="58"/>
      <c r="CD34" s="58"/>
      <c r="CE34" s="58"/>
      <c r="CF34" s="58"/>
      <c r="CG34" s="58"/>
      <c r="CH34" s="58"/>
      <c r="CI34" s="58"/>
    </row>
    <row r="35" spans="1:87">
      <c r="A35" s="55">
        <v>1985</v>
      </c>
      <c r="B35" s="61">
        <v>27.183333333333302</v>
      </c>
      <c r="C35" s="61">
        <v>27.329166666666701</v>
      </c>
      <c r="D35" s="61">
        <v>26.4583333333333</v>
      </c>
      <c r="E35" s="61">
        <v>27.762499999999999</v>
      </c>
      <c r="F35" s="61">
        <v>33.75</v>
      </c>
      <c r="G35" s="61">
        <v>34.917499999999997</v>
      </c>
      <c r="H35" s="61">
        <v>2.5108333333333301</v>
      </c>
      <c r="I35" s="61">
        <v>3.65</v>
      </c>
      <c r="J35" s="61">
        <v>5.23</v>
      </c>
      <c r="K35" s="61">
        <v>51.385278949344801</v>
      </c>
      <c r="L35" s="61">
        <v>2.2544499999999998</v>
      </c>
      <c r="M35" s="61">
        <v>3.2307916666666698</v>
      </c>
      <c r="N35" s="61">
        <v>2.6486333333333301</v>
      </c>
      <c r="O35" s="61">
        <v>1.7494749999999999</v>
      </c>
      <c r="P35" s="61">
        <v>1.4566859999999999</v>
      </c>
      <c r="Q35" s="61">
        <v>2.20325066666667</v>
      </c>
      <c r="R35" s="61">
        <v>1.58850425</v>
      </c>
      <c r="S35" s="61">
        <v>590.16666666666697</v>
      </c>
      <c r="T35" s="61">
        <v>675.75</v>
      </c>
      <c r="U35" s="61">
        <v>280.08333333333297</v>
      </c>
      <c r="V35" s="61">
        <v>904.91666666666595</v>
      </c>
      <c r="W35" s="61">
        <v>500.58333333333297</v>
      </c>
      <c r="X35" s="61" t="s">
        <v>137</v>
      </c>
      <c r="Y35" s="61">
        <v>224.416666666667</v>
      </c>
      <c r="Z35" s="61">
        <v>572</v>
      </c>
      <c r="AA35" s="61">
        <v>157.166666666667</v>
      </c>
      <c r="AB35" s="61">
        <v>58.816666666666698</v>
      </c>
      <c r="AC35" s="61">
        <v>112.23333333333299</v>
      </c>
      <c r="AD35" s="61">
        <v>103.009166666667</v>
      </c>
      <c r="AE35" s="61">
        <v>196.92916666666699</v>
      </c>
      <c r="AF35" s="61" t="s">
        <v>137</v>
      </c>
      <c r="AG35" s="61" t="s">
        <v>137</v>
      </c>
      <c r="AH35" s="61" t="s">
        <v>137</v>
      </c>
      <c r="AI35" s="61">
        <v>128.66</v>
      </c>
      <c r="AJ35" s="61">
        <v>135.82833333333301</v>
      </c>
      <c r="AK35" s="61" t="s">
        <v>137</v>
      </c>
      <c r="AL35" s="61">
        <v>0.37807083333333302</v>
      </c>
      <c r="AM35" s="61">
        <v>0.39840833333333298</v>
      </c>
      <c r="AN35" s="61">
        <v>2.15414166666667</v>
      </c>
      <c r="AO35" s="61">
        <v>0.83799443383333405</v>
      </c>
      <c r="AP35" s="61">
        <v>1.8446916666666699</v>
      </c>
      <c r="AQ35" s="61">
        <v>10.491666666666699</v>
      </c>
      <c r="AR35" s="61">
        <v>0.35038760533333302</v>
      </c>
      <c r="AS35" s="61">
        <v>0.44871365733333302</v>
      </c>
      <c r="AT35" s="61">
        <v>8.9466666666666694E-2</v>
      </c>
      <c r="AU35" s="61">
        <v>2611.8166666666698</v>
      </c>
      <c r="AV35" s="61">
        <v>173.88333333333301</v>
      </c>
      <c r="AW35" s="61">
        <v>121.73416666666699</v>
      </c>
      <c r="AX35" s="61">
        <v>307</v>
      </c>
      <c r="AY35" s="61">
        <v>307.13236573299002</v>
      </c>
      <c r="AZ35" s="61">
        <v>210.87833333333299</v>
      </c>
      <c r="BA35" s="61">
        <v>1.3182833333333299</v>
      </c>
      <c r="BB35" s="61" t="s">
        <v>137</v>
      </c>
      <c r="BC35" s="61">
        <v>0.75870833333333298</v>
      </c>
      <c r="BD35" s="61">
        <v>36</v>
      </c>
      <c r="BE35" s="61">
        <v>157.166666666667</v>
      </c>
      <c r="BF35" s="61">
        <v>121.375</v>
      </c>
      <c r="BG35" s="61">
        <v>111.625</v>
      </c>
      <c r="BH35" s="61">
        <v>83.2083333333333</v>
      </c>
      <c r="BI35" s="61">
        <v>1040.7249999999999</v>
      </c>
      <c r="BJ35" s="61">
        <v>26.56</v>
      </c>
      <c r="BK35" s="61">
        <v>1417.38333333333</v>
      </c>
      <c r="BL35" s="61">
        <v>390.85833333333301</v>
      </c>
      <c r="BM35" s="61">
        <v>11539.041666666701</v>
      </c>
      <c r="BN35" s="61">
        <v>4899.0416666666697</v>
      </c>
      <c r="BO35" s="61">
        <v>783.44166666666604</v>
      </c>
      <c r="BP35" s="61">
        <v>317.90750000000003</v>
      </c>
      <c r="BQ35" s="61">
        <v>292.49916666666701</v>
      </c>
      <c r="BR35" s="61">
        <v>6.1152333333333297</v>
      </c>
      <c r="BS35" s="58"/>
      <c r="BT35" s="58"/>
      <c r="BU35" s="58"/>
      <c r="BV35" s="58"/>
      <c r="BW35" s="58"/>
      <c r="BX35" s="58"/>
      <c r="BY35" s="58"/>
      <c r="BZ35" s="58"/>
      <c r="CA35" s="58"/>
      <c r="CB35" s="58"/>
      <c r="CC35" s="58"/>
      <c r="CD35" s="58"/>
      <c r="CE35" s="58"/>
      <c r="CF35" s="58"/>
      <c r="CG35" s="58"/>
      <c r="CH35" s="58"/>
      <c r="CI35" s="58"/>
    </row>
    <row r="36" spans="1:87">
      <c r="A36" s="59">
        <v>1986</v>
      </c>
      <c r="B36" s="60">
        <v>14.35</v>
      </c>
      <c r="C36" s="60">
        <v>14.7708333333333</v>
      </c>
      <c r="D36" s="60">
        <v>13.195833333333301</v>
      </c>
      <c r="E36" s="60">
        <v>15.0833333333333</v>
      </c>
      <c r="F36" s="60">
        <v>31.125</v>
      </c>
      <c r="G36" s="60">
        <v>30.37</v>
      </c>
      <c r="H36" s="60">
        <v>1.9350000000000001</v>
      </c>
      <c r="I36" s="60">
        <v>3.65</v>
      </c>
      <c r="J36" s="60">
        <v>4.0999999999999996</v>
      </c>
      <c r="K36" s="60">
        <v>43.627151691403697</v>
      </c>
      <c r="L36" s="60">
        <v>2.0696166666666702</v>
      </c>
      <c r="M36" s="60">
        <v>4.2925833333333303</v>
      </c>
      <c r="N36" s="60">
        <v>3.2447583333333299</v>
      </c>
      <c r="O36" s="60">
        <v>1.65956666666667</v>
      </c>
      <c r="P36" s="60">
        <v>1.1085275166666699</v>
      </c>
      <c r="Q36" s="60">
        <v>2.16296775</v>
      </c>
      <c r="R36" s="60">
        <v>1.7072462500000001</v>
      </c>
      <c r="S36" s="60">
        <v>296.5</v>
      </c>
      <c r="T36" s="60">
        <v>993.58333333333303</v>
      </c>
      <c r="U36" s="60">
        <v>320.58333333333297</v>
      </c>
      <c r="V36" s="60">
        <v>569.41666666666697</v>
      </c>
      <c r="W36" s="60">
        <v>257</v>
      </c>
      <c r="X36" s="60" t="s">
        <v>137</v>
      </c>
      <c r="Y36" s="60">
        <v>208.416666666667</v>
      </c>
      <c r="Z36" s="60">
        <v>342.41666666666703</v>
      </c>
      <c r="AA36" s="60">
        <v>184.75</v>
      </c>
      <c r="AB36" s="60">
        <v>47.56</v>
      </c>
      <c r="AC36" s="60">
        <v>87.558333333333394</v>
      </c>
      <c r="AD36" s="60">
        <v>82.413333333333298</v>
      </c>
      <c r="AE36" s="60">
        <v>186.245</v>
      </c>
      <c r="AF36" s="60">
        <v>104.120881666667</v>
      </c>
      <c r="AG36" s="60">
        <v>104.25</v>
      </c>
      <c r="AH36" s="60" t="s">
        <v>137</v>
      </c>
      <c r="AI36" s="60">
        <v>118.38916666666699</v>
      </c>
      <c r="AJ36" s="60">
        <v>114.916666666667</v>
      </c>
      <c r="AK36" s="60" t="s">
        <v>137</v>
      </c>
      <c r="AL36" s="60">
        <v>0.38172499999999998</v>
      </c>
      <c r="AM36" s="60">
        <v>0.39373083333333297</v>
      </c>
      <c r="AN36" s="60">
        <v>2.0921500000000002</v>
      </c>
      <c r="AO36" s="60">
        <v>0.92551784783333302</v>
      </c>
      <c r="AP36" s="60">
        <v>2.1532833333333299</v>
      </c>
      <c r="AQ36" s="60">
        <v>12.8858333333333</v>
      </c>
      <c r="AR36" s="60">
        <v>0.41016955100000002</v>
      </c>
      <c r="AS36" s="60">
        <v>0.46030628416666702</v>
      </c>
      <c r="AT36" s="60">
        <v>0.13337499999999999</v>
      </c>
      <c r="AU36" s="60">
        <v>2659.1783333333301</v>
      </c>
      <c r="AV36" s="60">
        <v>221.64416666666699</v>
      </c>
      <c r="AW36" s="60">
        <v>138.57666666666699</v>
      </c>
      <c r="AX36" s="60" t="s">
        <v>137</v>
      </c>
      <c r="AY36" s="60">
        <v>329.34243559812899</v>
      </c>
      <c r="AZ36" s="60">
        <v>273.71749999999997</v>
      </c>
      <c r="BA36" s="60">
        <v>1.0562750000000001</v>
      </c>
      <c r="BB36" s="60" t="s">
        <v>137</v>
      </c>
      <c r="BC36" s="60">
        <v>0.80654166666666705</v>
      </c>
      <c r="BD36" s="60">
        <v>36</v>
      </c>
      <c r="BE36" s="60">
        <v>138.166666666667</v>
      </c>
      <c r="BF36" s="60">
        <v>121.166666666667</v>
      </c>
      <c r="BG36" s="60">
        <v>70.75</v>
      </c>
      <c r="BH36" s="60">
        <v>72.9583333333333</v>
      </c>
      <c r="BI36" s="60">
        <v>1149.9349999999999</v>
      </c>
      <c r="BJ36" s="60">
        <v>26.26</v>
      </c>
      <c r="BK36" s="60">
        <v>1373.7816666666699</v>
      </c>
      <c r="BL36" s="60">
        <v>406.07499999999999</v>
      </c>
      <c r="BM36" s="60">
        <v>6161.3666666666704</v>
      </c>
      <c r="BN36" s="60">
        <v>3881.24166666667</v>
      </c>
      <c r="BO36" s="60">
        <v>754.03333333333296</v>
      </c>
      <c r="BP36" s="60">
        <v>367.694166666667</v>
      </c>
      <c r="BQ36" s="60">
        <v>465.04</v>
      </c>
      <c r="BR36" s="60">
        <v>5.4391916666666704</v>
      </c>
      <c r="BS36" s="58"/>
      <c r="BT36" s="58"/>
      <c r="BU36" s="58"/>
      <c r="BV36" s="58"/>
      <c r="BW36" s="58"/>
      <c r="BX36" s="58"/>
      <c r="BY36" s="58"/>
      <c r="BZ36" s="58"/>
      <c r="CA36" s="58"/>
      <c r="CB36" s="58"/>
      <c r="CC36" s="58"/>
      <c r="CD36" s="58"/>
      <c r="CE36" s="58"/>
      <c r="CF36" s="58"/>
      <c r="CG36" s="58"/>
      <c r="CH36" s="58"/>
      <c r="CI36" s="58"/>
    </row>
    <row r="37" spans="1:87">
      <c r="A37" s="55">
        <v>1987</v>
      </c>
      <c r="B37" s="61">
        <v>18.1458333333333</v>
      </c>
      <c r="C37" s="61">
        <v>18.341666666666701</v>
      </c>
      <c r="D37" s="61">
        <v>16.9375</v>
      </c>
      <c r="E37" s="61">
        <v>19.158333333333299</v>
      </c>
      <c r="F37" s="61">
        <v>27.5</v>
      </c>
      <c r="G37" s="61">
        <v>26.495000000000001</v>
      </c>
      <c r="H37" s="61">
        <v>1.6625000000000001</v>
      </c>
      <c r="I37" s="61">
        <v>2.59</v>
      </c>
      <c r="J37" s="61">
        <v>3.35</v>
      </c>
      <c r="K37" s="61">
        <v>34.770751256245802</v>
      </c>
      <c r="L37" s="61">
        <v>1.9942166666666701</v>
      </c>
      <c r="M37" s="61">
        <v>2.50498333333333</v>
      </c>
      <c r="N37" s="61">
        <v>2.2483416666666698</v>
      </c>
      <c r="O37" s="61">
        <v>1.6512249999999999</v>
      </c>
      <c r="P37" s="61">
        <v>1.34895725</v>
      </c>
      <c r="Q37" s="61">
        <v>2.2945339166666701</v>
      </c>
      <c r="R37" s="61">
        <v>1.3101750000000001</v>
      </c>
      <c r="S37" s="61">
        <v>442.25</v>
      </c>
      <c r="T37" s="61">
        <v>758.5</v>
      </c>
      <c r="U37" s="61">
        <v>383.41666666666703</v>
      </c>
      <c r="V37" s="61">
        <v>499.75</v>
      </c>
      <c r="W37" s="61">
        <v>342.58333333333297</v>
      </c>
      <c r="X37" s="61" t="s">
        <v>137</v>
      </c>
      <c r="Y37" s="61">
        <v>215.75</v>
      </c>
      <c r="Z37" s="61">
        <v>334.25</v>
      </c>
      <c r="AA37" s="61">
        <v>203.25</v>
      </c>
      <c r="AB37" s="61">
        <v>55.001666666666701</v>
      </c>
      <c r="AC37" s="61">
        <v>75.696666666666601</v>
      </c>
      <c r="AD37" s="61">
        <v>72.763333333333307</v>
      </c>
      <c r="AE37" s="61">
        <v>214.60833333333301</v>
      </c>
      <c r="AF37" s="61">
        <v>191</v>
      </c>
      <c r="AG37" s="61">
        <v>153.916666666667</v>
      </c>
      <c r="AH37" s="61" t="s">
        <v>137</v>
      </c>
      <c r="AI37" s="61">
        <v>112.101666666667</v>
      </c>
      <c r="AJ37" s="61">
        <v>112.895833333333</v>
      </c>
      <c r="AK37" s="61" t="s">
        <v>137</v>
      </c>
      <c r="AL37" s="61">
        <v>0.39306666666666701</v>
      </c>
      <c r="AM37" s="61">
        <v>0.45598416666666702</v>
      </c>
      <c r="AN37" s="61">
        <v>2.3859416666666702</v>
      </c>
      <c r="AO37" s="61">
        <v>0.90834018366666702</v>
      </c>
      <c r="AP37" s="61">
        <v>2.1624583333333298</v>
      </c>
      <c r="AQ37" s="61">
        <v>11.44</v>
      </c>
      <c r="AR37" s="61">
        <v>0.47262711635805799</v>
      </c>
      <c r="AS37" s="61">
        <v>0.48130528181737198</v>
      </c>
      <c r="AT37" s="61">
        <v>0.148958333333333</v>
      </c>
      <c r="AU37" s="61">
        <v>2745.5458333333299</v>
      </c>
      <c r="AV37" s="61">
        <v>258.91583333333301</v>
      </c>
      <c r="AW37" s="61">
        <v>201.77250000000001</v>
      </c>
      <c r="AX37" s="61" t="s">
        <v>137</v>
      </c>
      <c r="AY37" s="61">
        <v>401.29656583845201</v>
      </c>
      <c r="AZ37" s="61">
        <v>399.40666666666698</v>
      </c>
      <c r="BA37" s="61">
        <v>1.6484333333333301</v>
      </c>
      <c r="BB37" s="61" t="s">
        <v>137</v>
      </c>
      <c r="BC37" s="61">
        <v>0.98465000000000003</v>
      </c>
      <c r="BD37" s="61">
        <v>34.1458333333333</v>
      </c>
      <c r="BE37" s="61">
        <v>160</v>
      </c>
      <c r="BF37" s="61">
        <v>138</v>
      </c>
      <c r="BG37" s="61">
        <v>82.5</v>
      </c>
      <c r="BH37" s="61">
        <v>67.2916666666667</v>
      </c>
      <c r="BI37" s="61">
        <v>1565.36083333333</v>
      </c>
      <c r="BJ37" s="61">
        <v>25.3</v>
      </c>
      <c r="BK37" s="61">
        <v>1782.5033333333299</v>
      </c>
      <c r="BL37" s="61">
        <v>596.84166666666704</v>
      </c>
      <c r="BM37" s="61">
        <v>6664.8333333333303</v>
      </c>
      <c r="BN37" s="61">
        <v>4872.2166666666699</v>
      </c>
      <c r="BO37" s="61">
        <v>798.79166666666595</v>
      </c>
      <c r="BP37" s="61">
        <v>446.47250000000003</v>
      </c>
      <c r="BQ37" s="61">
        <v>555.72333333333302</v>
      </c>
      <c r="BR37" s="61">
        <v>7.0100916666666704</v>
      </c>
      <c r="BS37" s="58"/>
      <c r="BT37" s="58"/>
      <c r="BU37" s="58"/>
      <c r="BV37" s="58"/>
      <c r="BW37" s="58"/>
      <c r="BX37" s="58"/>
      <c r="BY37" s="58"/>
      <c r="BZ37" s="58"/>
      <c r="CA37" s="58"/>
      <c r="CB37" s="58"/>
      <c r="CC37" s="58"/>
      <c r="CD37" s="58"/>
      <c r="CE37" s="58"/>
      <c r="CF37" s="58"/>
      <c r="CG37" s="58"/>
      <c r="CH37" s="58"/>
      <c r="CI37" s="58"/>
    </row>
    <row r="38" spans="1:87">
      <c r="A38" s="59">
        <v>1988</v>
      </c>
      <c r="B38" s="60">
        <v>14.718055555555599</v>
      </c>
      <c r="C38" s="60">
        <v>14.970833333333299</v>
      </c>
      <c r="D38" s="60">
        <v>13.216666666666701</v>
      </c>
      <c r="E38" s="60">
        <v>15.966666666666701</v>
      </c>
      <c r="F38" s="60">
        <v>34.875</v>
      </c>
      <c r="G38" s="60">
        <v>28.1041666666667</v>
      </c>
      <c r="H38" s="60">
        <v>1.68166666666667</v>
      </c>
      <c r="I38" s="60">
        <v>2.36</v>
      </c>
      <c r="J38" s="60">
        <v>3.34</v>
      </c>
      <c r="K38" s="60">
        <v>33.903310647724297</v>
      </c>
      <c r="L38" s="60">
        <v>1.5846</v>
      </c>
      <c r="M38" s="60">
        <v>3.0337083333333301</v>
      </c>
      <c r="N38" s="60">
        <v>2.0791833333333298</v>
      </c>
      <c r="O38" s="60">
        <v>1.57801666666667</v>
      </c>
      <c r="P38" s="60">
        <v>1.36182491666667</v>
      </c>
      <c r="Q38" s="60">
        <v>2.0126899166666701</v>
      </c>
      <c r="R38" s="60">
        <v>1.35949075</v>
      </c>
      <c r="S38" s="60">
        <v>564.83333333333303</v>
      </c>
      <c r="T38" s="60">
        <v>935.75</v>
      </c>
      <c r="U38" s="60">
        <v>544.41666666666697</v>
      </c>
      <c r="V38" s="60">
        <v>590.33333333333303</v>
      </c>
      <c r="W38" s="60">
        <v>437.16666666666703</v>
      </c>
      <c r="X38" s="60" t="s">
        <v>137</v>
      </c>
      <c r="Y38" s="60">
        <v>303.5</v>
      </c>
      <c r="Z38" s="60">
        <v>463.41666666666703</v>
      </c>
      <c r="AA38" s="60">
        <v>267.5</v>
      </c>
      <c r="AB38" s="60">
        <v>70.3333333333333</v>
      </c>
      <c r="AC38" s="60">
        <v>106.89083333333301</v>
      </c>
      <c r="AD38" s="60">
        <v>98.459166666666604</v>
      </c>
      <c r="AE38" s="60">
        <v>277.47083333333302</v>
      </c>
      <c r="AF38" s="60" t="s">
        <v>137</v>
      </c>
      <c r="AG38" s="60">
        <v>219.75</v>
      </c>
      <c r="AH38" s="60" t="s">
        <v>137</v>
      </c>
      <c r="AI38" s="60">
        <v>140.7225</v>
      </c>
      <c r="AJ38" s="60">
        <v>145.199166666667</v>
      </c>
      <c r="AK38" s="60" t="s">
        <v>137</v>
      </c>
      <c r="AL38" s="60">
        <v>0.47813333333333302</v>
      </c>
      <c r="AM38" s="60">
        <v>0.45340666666666701</v>
      </c>
      <c r="AN38" s="60">
        <v>2.5170750000000002</v>
      </c>
      <c r="AO38" s="60">
        <v>1.0029000098333301</v>
      </c>
      <c r="AP38" s="60">
        <v>2.4107833333333302</v>
      </c>
      <c r="AQ38" s="60">
        <v>12.44</v>
      </c>
      <c r="AR38" s="60">
        <v>0.52504124677728004</v>
      </c>
      <c r="AS38" s="60">
        <v>0.48768033125158999</v>
      </c>
      <c r="AT38" s="60">
        <v>0.22466666666666699</v>
      </c>
      <c r="AU38" s="60">
        <v>2467.8958333333298</v>
      </c>
      <c r="AV38" s="60">
        <v>271.32</v>
      </c>
      <c r="AW38" s="60">
        <v>200.86083333333301</v>
      </c>
      <c r="AX38" s="60" t="s">
        <v>137</v>
      </c>
      <c r="AY38" s="60">
        <v>402.32642876067598</v>
      </c>
      <c r="AZ38" s="60">
        <v>358.83583333333303</v>
      </c>
      <c r="BA38" s="60">
        <v>1.3994</v>
      </c>
      <c r="BB38" s="60" t="s">
        <v>137</v>
      </c>
      <c r="BC38" s="60">
        <v>1.1849499999999999</v>
      </c>
      <c r="BD38" s="60">
        <v>31.6</v>
      </c>
      <c r="BE38" s="60">
        <v>180.166666666667</v>
      </c>
      <c r="BF38" s="60">
        <v>158.375</v>
      </c>
      <c r="BG38" s="60">
        <v>113.541666666667</v>
      </c>
      <c r="BH38" s="60">
        <v>86.8333333333333</v>
      </c>
      <c r="BI38" s="60">
        <v>2550.4558333333298</v>
      </c>
      <c r="BJ38" s="60">
        <v>24.3</v>
      </c>
      <c r="BK38" s="60">
        <v>2601.6716666666698</v>
      </c>
      <c r="BL38" s="60">
        <v>656.22500000000002</v>
      </c>
      <c r="BM38" s="60">
        <v>7051.6333333333296</v>
      </c>
      <c r="BN38" s="60">
        <v>13778.3166666667</v>
      </c>
      <c r="BO38" s="60">
        <v>1241.50833333333</v>
      </c>
      <c r="BP38" s="60">
        <v>437.04833333333301</v>
      </c>
      <c r="BQ38" s="60">
        <v>530.34333333333302</v>
      </c>
      <c r="BR38" s="60">
        <v>6.5304583333333301</v>
      </c>
      <c r="BS38" s="58"/>
      <c r="BT38" s="58"/>
      <c r="BU38" s="58"/>
      <c r="BV38" s="58"/>
      <c r="BW38" s="58"/>
      <c r="BX38" s="58"/>
      <c r="BY38" s="58"/>
      <c r="BZ38" s="58"/>
      <c r="CA38" s="58"/>
      <c r="CB38" s="58"/>
      <c r="CC38" s="58"/>
      <c r="CD38" s="58"/>
      <c r="CE38" s="58"/>
      <c r="CF38" s="58"/>
      <c r="CG38" s="58"/>
      <c r="CH38" s="58"/>
      <c r="CI38" s="58"/>
    </row>
    <row r="39" spans="1:87">
      <c r="A39" s="55">
        <v>1989</v>
      </c>
      <c r="B39" s="61">
        <v>17.838888888888899</v>
      </c>
      <c r="C39" s="61">
        <v>18.216666666666701</v>
      </c>
      <c r="D39" s="61">
        <v>15.704166666666699</v>
      </c>
      <c r="E39" s="61">
        <v>19.595833333333299</v>
      </c>
      <c r="F39" s="61">
        <v>38</v>
      </c>
      <c r="G39" s="61">
        <v>31</v>
      </c>
      <c r="H39" s="61">
        <v>1.6966666666666701</v>
      </c>
      <c r="I39" s="61">
        <v>2.09</v>
      </c>
      <c r="J39" s="61">
        <v>3.28</v>
      </c>
      <c r="K39" s="61">
        <v>32.761239051773998</v>
      </c>
      <c r="L39" s="61">
        <v>1.2410333333333301</v>
      </c>
      <c r="M39" s="61">
        <v>2.3873083333333298</v>
      </c>
      <c r="N39" s="61">
        <v>1.6556166666666701</v>
      </c>
      <c r="O39" s="61">
        <v>1.82484166666667</v>
      </c>
      <c r="P39" s="61">
        <v>1.5292939166666699</v>
      </c>
      <c r="Q39" s="61">
        <v>2.4274834166666701</v>
      </c>
      <c r="R39" s="61">
        <v>1.51776991666667</v>
      </c>
      <c r="S39" s="61">
        <v>516.83333333333303</v>
      </c>
      <c r="T39" s="61">
        <v>817.5</v>
      </c>
      <c r="U39" s="61">
        <v>408.41666666666703</v>
      </c>
      <c r="V39" s="61">
        <v>774.75</v>
      </c>
      <c r="W39" s="61">
        <v>350.41666666666703</v>
      </c>
      <c r="X39" s="61" t="s">
        <v>137</v>
      </c>
      <c r="Y39" s="61">
        <v>275</v>
      </c>
      <c r="Z39" s="61">
        <v>431.5</v>
      </c>
      <c r="AA39" s="61">
        <v>247.583333333333</v>
      </c>
      <c r="AB39" s="61">
        <v>75.137500000000003</v>
      </c>
      <c r="AC39" s="61">
        <v>111.524166666667</v>
      </c>
      <c r="AD39" s="61">
        <v>105.9375</v>
      </c>
      <c r="AE39" s="61">
        <v>299.16250000000002</v>
      </c>
      <c r="AF39" s="61" t="s">
        <v>137</v>
      </c>
      <c r="AG39" s="61">
        <v>218.583333333333</v>
      </c>
      <c r="AH39" s="61" t="s">
        <v>137</v>
      </c>
      <c r="AI39" s="61">
        <v>161.261666666667</v>
      </c>
      <c r="AJ39" s="61">
        <v>169.23500000000001</v>
      </c>
      <c r="AK39" s="61" t="s">
        <v>137</v>
      </c>
      <c r="AL39" s="61">
        <v>0.54679166666666701</v>
      </c>
      <c r="AM39" s="61">
        <v>0.44542583333333302</v>
      </c>
      <c r="AN39" s="61">
        <v>2.5690583333333299</v>
      </c>
      <c r="AO39" s="61">
        <v>1.0995358531666699</v>
      </c>
      <c r="AP39" s="61">
        <v>2.3210250000000001</v>
      </c>
      <c r="AQ39" s="61">
        <v>11.154999999999999</v>
      </c>
      <c r="AR39" s="61">
        <v>0.50160794336509695</v>
      </c>
      <c r="AS39" s="61">
        <v>0.50276359772796597</v>
      </c>
      <c r="AT39" s="61">
        <v>0.28205833333333302</v>
      </c>
      <c r="AU39" s="61">
        <v>3167.5725000000002</v>
      </c>
      <c r="AV39" s="61">
        <v>273.761666666667</v>
      </c>
      <c r="AW39" s="61">
        <v>190.588333333333</v>
      </c>
      <c r="AX39" s="61" t="s">
        <v>137</v>
      </c>
      <c r="AY39" s="61">
        <v>485.27891337892999</v>
      </c>
      <c r="AZ39" s="61">
        <v>350.32</v>
      </c>
      <c r="BA39" s="61">
        <v>1.6742250000000001</v>
      </c>
      <c r="BB39" s="61" t="s">
        <v>137</v>
      </c>
      <c r="BC39" s="61">
        <v>0.96989999999999998</v>
      </c>
      <c r="BD39" s="61">
        <v>31</v>
      </c>
      <c r="BE39" s="61">
        <v>155.291666666667</v>
      </c>
      <c r="BF39" s="61">
        <v>144</v>
      </c>
      <c r="BG39" s="61">
        <v>102.958333333333</v>
      </c>
      <c r="BH39" s="61">
        <v>98.3333333333333</v>
      </c>
      <c r="BI39" s="61">
        <v>1951.2566666666701</v>
      </c>
      <c r="BJ39" s="61">
        <v>27.83</v>
      </c>
      <c r="BK39" s="61">
        <v>2848.41</v>
      </c>
      <c r="BL39" s="61">
        <v>673.47500000000002</v>
      </c>
      <c r="BM39" s="61">
        <v>8534.4333333333398</v>
      </c>
      <c r="BN39" s="61">
        <v>13308.174999999999</v>
      </c>
      <c r="BO39" s="61">
        <v>1658.7666666666701</v>
      </c>
      <c r="BP39" s="61">
        <v>381.43166666666701</v>
      </c>
      <c r="BQ39" s="61">
        <v>509.64249999999998</v>
      </c>
      <c r="BR39" s="61">
        <v>5.5070916666666703</v>
      </c>
      <c r="BS39" s="58"/>
      <c r="BT39" s="58"/>
      <c r="BU39" s="58"/>
      <c r="BV39" s="58"/>
      <c r="BW39" s="58"/>
      <c r="BX39" s="58"/>
      <c r="BY39" s="58"/>
      <c r="BZ39" s="58"/>
      <c r="CA39" s="58"/>
      <c r="CB39" s="58"/>
      <c r="CC39" s="58"/>
      <c r="CD39" s="58"/>
      <c r="CE39" s="58"/>
      <c r="CF39" s="58"/>
      <c r="CG39" s="58"/>
      <c r="CH39" s="58"/>
      <c r="CI39" s="58"/>
    </row>
    <row r="40" spans="1:87">
      <c r="A40" s="59">
        <v>1990</v>
      </c>
      <c r="B40" s="60">
        <v>22.879166666666698</v>
      </c>
      <c r="C40" s="60">
        <v>23.683333333333302</v>
      </c>
      <c r="D40" s="60">
        <v>20.462499999999999</v>
      </c>
      <c r="E40" s="60">
        <v>24.491666666666699</v>
      </c>
      <c r="F40" s="60">
        <v>39.6666666666667</v>
      </c>
      <c r="G40" s="60">
        <v>32.875</v>
      </c>
      <c r="H40" s="60">
        <v>1.6983333333333299</v>
      </c>
      <c r="I40" s="60">
        <v>2.82</v>
      </c>
      <c r="J40" s="60">
        <v>3.64</v>
      </c>
      <c r="K40" s="60">
        <v>36.4957757232471</v>
      </c>
      <c r="L40" s="60">
        <v>1.2666666666666699</v>
      </c>
      <c r="M40" s="60">
        <v>1.9722</v>
      </c>
      <c r="N40" s="60">
        <v>1.1817249999999999</v>
      </c>
      <c r="O40" s="60">
        <v>2.0575083333333302</v>
      </c>
      <c r="P40" s="60">
        <v>1.8772818333333301</v>
      </c>
      <c r="Q40" s="60">
        <v>2.8088911666666698</v>
      </c>
      <c r="R40" s="60">
        <v>1.48635108333333</v>
      </c>
      <c r="S40" s="60">
        <v>336.5</v>
      </c>
      <c r="T40" s="60">
        <v>1325.5</v>
      </c>
      <c r="U40" s="60">
        <v>412.16666666666703</v>
      </c>
      <c r="V40" s="60">
        <v>963.66666666666595</v>
      </c>
      <c r="W40" s="60">
        <v>289.75</v>
      </c>
      <c r="X40" s="60" t="s">
        <v>137</v>
      </c>
      <c r="Y40" s="60">
        <v>246.75</v>
      </c>
      <c r="Z40" s="60">
        <v>447.33333333333297</v>
      </c>
      <c r="AA40" s="60">
        <v>200.166666666667</v>
      </c>
      <c r="AB40" s="60">
        <v>79.924999999999997</v>
      </c>
      <c r="AC40" s="60">
        <v>109.275833333333</v>
      </c>
      <c r="AD40" s="60">
        <v>103.93916666666701</v>
      </c>
      <c r="AE40" s="60">
        <v>270.85416666666703</v>
      </c>
      <c r="AF40" s="60" t="s">
        <v>137</v>
      </c>
      <c r="AG40" s="60">
        <v>156.166666666667</v>
      </c>
      <c r="AH40" s="60" t="s">
        <v>137</v>
      </c>
      <c r="AI40" s="60">
        <v>129.08916666666701</v>
      </c>
      <c r="AJ40" s="60">
        <v>135.52250000000001</v>
      </c>
      <c r="AK40" s="60" t="s">
        <v>137</v>
      </c>
      <c r="AL40" s="60">
        <v>0.54085000000000005</v>
      </c>
      <c r="AM40" s="60">
        <v>0.53106083333333298</v>
      </c>
      <c r="AN40" s="60">
        <v>2.5632333333333301</v>
      </c>
      <c r="AO40" s="60">
        <v>1.0821009833333299</v>
      </c>
      <c r="AP40" s="60">
        <v>2.65661666666667</v>
      </c>
      <c r="AQ40" s="60">
        <v>10.7925</v>
      </c>
      <c r="AR40" s="60">
        <v>0.58318448930285804</v>
      </c>
      <c r="AS40" s="60">
        <v>0.51262927026564198</v>
      </c>
      <c r="AT40" s="60">
        <v>0.276675</v>
      </c>
      <c r="AU40" s="60">
        <v>3392.1858333333298</v>
      </c>
      <c r="AV40" s="60">
        <v>343.46166666666699</v>
      </c>
      <c r="AW40" s="60">
        <v>177.1925</v>
      </c>
      <c r="AX40" s="60">
        <v>533</v>
      </c>
      <c r="AY40" s="60">
        <v>533.08225240892398</v>
      </c>
      <c r="AZ40" s="60">
        <v>354.868333333333</v>
      </c>
      <c r="BA40" s="60">
        <v>1.81914166666667</v>
      </c>
      <c r="BB40" s="60" t="s">
        <v>137</v>
      </c>
      <c r="BC40" s="60">
        <v>0.86468333333333303</v>
      </c>
      <c r="BD40" s="60">
        <v>31.2916666666667</v>
      </c>
      <c r="BE40" s="60">
        <v>154.67500000000001</v>
      </c>
      <c r="BF40" s="60">
        <v>131.82083333333301</v>
      </c>
      <c r="BG40" s="60">
        <v>115.645833333333</v>
      </c>
      <c r="BH40" s="60">
        <v>94.631249999999994</v>
      </c>
      <c r="BI40" s="60">
        <v>1639.4449999999999</v>
      </c>
      <c r="BJ40" s="60">
        <v>32.5</v>
      </c>
      <c r="BK40" s="60">
        <v>2661.4825000000001</v>
      </c>
      <c r="BL40" s="60">
        <v>810.54166666666595</v>
      </c>
      <c r="BM40" s="60">
        <v>6085.3833333333296</v>
      </c>
      <c r="BN40" s="60">
        <v>8864.1</v>
      </c>
      <c r="BO40" s="60">
        <v>1513.4583333333301</v>
      </c>
      <c r="BP40" s="60">
        <v>383.46666666666698</v>
      </c>
      <c r="BQ40" s="60">
        <v>471.58916666666698</v>
      </c>
      <c r="BR40" s="60">
        <v>4.8332249999999997</v>
      </c>
      <c r="BS40" s="58"/>
      <c r="BT40" s="58"/>
      <c r="BU40" s="58"/>
      <c r="BV40" s="58"/>
      <c r="BW40" s="58"/>
      <c r="BX40" s="58"/>
      <c r="BY40" s="58"/>
      <c r="BZ40" s="58"/>
      <c r="CA40" s="58"/>
      <c r="CB40" s="58"/>
      <c r="CC40" s="58"/>
      <c r="CD40" s="58"/>
      <c r="CE40" s="58"/>
      <c r="CF40" s="58"/>
      <c r="CG40" s="58"/>
      <c r="CH40" s="58"/>
      <c r="CI40" s="58"/>
    </row>
    <row r="41" spans="1:87">
      <c r="A41" s="55">
        <v>1991</v>
      </c>
      <c r="B41" s="61">
        <v>19.370833333333302</v>
      </c>
      <c r="C41" s="61">
        <v>20.066666666666698</v>
      </c>
      <c r="D41" s="61">
        <v>16.5625</v>
      </c>
      <c r="E41" s="61">
        <v>21.483333333333299</v>
      </c>
      <c r="F41" s="61">
        <v>39.6666666666667</v>
      </c>
      <c r="G41" s="61">
        <v>31.5</v>
      </c>
      <c r="H41" s="61">
        <v>1.4866666666666699</v>
      </c>
      <c r="I41" s="61">
        <v>3.1141666666666699</v>
      </c>
      <c r="J41" s="61">
        <v>3.99</v>
      </c>
      <c r="K41" s="61">
        <v>35.561011586277701</v>
      </c>
      <c r="L41" s="61">
        <v>1.19505833333333</v>
      </c>
      <c r="M41" s="61">
        <v>1.8733916666666699</v>
      </c>
      <c r="N41" s="61">
        <v>1.071925</v>
      </c>
      <c r="O41" s="61">
        <v>1.67400833333333</v>
      </c>
      <c r="P41" s="61">
        <v>1.4298198333333301</v>
      </c>
      <c r="Q41" s="61">
        <v>2.16314575</v>
      </c>
      <c r="R41" s="61">
        <v>1.4290689166666699</v>
      </c>
      <c r="S41" s="61">
        <v>433</v>
      </c>
      <c r="T41" s="61">
        <v>1237.8333333333301</v>
      </c>
      <c r="U41" s="61">
        <v>477.83333333333297</v>
      </c>
      <c r="V41" s="61">
        <v>894.83333333333405</v>
      </c>
      <c r="W41" s="61">
        <v>339</v>
      </c>
      <c r="X41" s="61" t="s">
        <v>137</v>
      </c>
      <c r="Y41" s="61">
        <v>239.583333333333</v>
      </c>
      <c r="Z41" s="61">
        <v>453.83333333333297</v>
      </c>
      <c r="AA41" s="61">
        <v>197.083333333333</v>
      </c>
      <c r="AB41" s="61">
        <v>78.286666666666605</v>
      </c>
      <c r="AC41" s="61">
        <v>107.42</v>
      </c>
      <c r="AD41" s="61">
        <v>105.11166666666701</v>
      </c>
      <c r="AE41" s="61">
        <v>293.27916666666698</v>
      </c>
      <c r="AF41" s="61">
        <v>239.5</v>
      </c>
      <c r="AG41" s="61">
        <v>179.166666666667</v>
      </c>
      <c r="AH41" s="61" t="s">
        <v>137</v>
      </c>
      <c r="AI41" s="61">
        <v>126.113333333333</v>
      </c>
      <c r="AJ41" s="61">
        <v>128.66499999999999</v>
      </c>
      <c r="AK41" s="61" t="s">
        <v>137</v>
      </c>
      <c r="AL41" s="61">
        <v>0.55946166666666697</v>
      </c>
      <c r="AM41" s="61">
        <v>0.52095083333333303</v>
      </c>
      <c r="AN41" s="61">
        <v>2.6633583333333299</v>
      </c>
      <c r="AO41" s="61">
        <v>1.0560864673333299</v>
      </c>
      <c r="AP41" s="61">
        <v>2.331175</v>
      </c>
      <c r="AQ41" s="61">
        <v>11.544750000000001</v>
      </c>
      <c r="AR41" s="61">
        <v>0.61210206641829801</v>
      </c>
      <c r="AS41" s="61">
        <v>0.47515086762828801</v>
      </c>
      <c r="AT41" s="61">
        <v>0.197591666666667</v>
      </c>
      <c r="AU41" s="61">
        <v>3500.06833333333</v>
      </c>
      <c r="AV41" s="61">
        <v>316.04583333333301</v>
      </c>
      <c r="AW41" s="61">
        <v>191.48416666666699</v>
      </c>
      <c r="AX41" s="61" t="s">
        <v>137</v>
      </c>
      <c r="AY41" s="61">
        <v>552.51985891859795</v>
      </c>
      <c r="AZ41" s="61">
        <v>372.37666666666701</v>
      </c>
      <c r="BA41" s="61">
        <v>1.6774083333333301</v>
      </c>
      <c r="BB41" s="61" t="s">
        <v>137</v>
      </c>
      <c r="BC41" s="61">
        <v>0.82576666666666698</v>
      </c>
      <c r="BD41" s="61">
        <v>31.5</v>
      </c>
      <c r="BE41" s="61">
        <v>158.25</v>
      </c>
      <c r="BF41" s="61">
        <v>133.120833333333</v>
      </c>
      <c r="BG41" s="61">
        <v>138.395833333333</v>
      </c>
      <c r="BH41" s="61">
        <v>106.429166666667</v>
      </c>
      <c r="BI41" s="61">
        <v>1302.1883333333301</v>
      </c>
      <c r="BJ41" s="61">
        <v>34.76</v>
      </c>
      <c r="BK41" s="61">
        <v>2338.7824999999998</v>
      </c>
      <c r="BL41" s="61">
        <v>557.61666666666702</v>
      </c>
      <c r="BM41" s="61">
        <v>5595.0416666666697</v>
      </c>
      <c r="BN41" s="61">
        <v>8155.6166666666704</v>
      </c>
      <c r="BO41" s="61">
        <v>1116.99166666667</v>
      </c>
      <c r="BP41" s="61">
        <v>362.1825</v>
      </c>
      <c r="BQ41" s="61">
        <v>375.816666666667</v>
      </c>
      <c r="BR41" s="61">
        <v>4.0513583333333303</v>
      </c>
      <c r="BS41" s="58"/>
      <c r="BT41" s="58"/>
      <c r="BU41" s="58"/>
      <c r="BV41" s="58"/>
      <c r="BW41" s="58"/>
      <c r="BX41" s="58"/>
      <c r="BY41" s="58"/>
      <c r="BZ41" s="58"/>
      <c r="CA41" s="58"/>
      <c r="CB41" s="58"/>
      <c r="CC41" s="58"/>
      <c r="CD41" s="58"/>
      <c r="CE41" s="58"/>
      <c r="CF41" s="58"/>
      <c r="CG41" s="58"/>
      <c r="CH41" s="58"/>
      <c r="CI41" s="58"/>
    </row>
    <row r="42" spans="1:87">
      <c r="A42" s="59">
        <v>1992</v>
      </c>
      <c r="B42" s="60">
        <v>19.0208333333333</v>
      </c>
      <c r="C42" s="60">
        <v>19.3125</v>
      </c>
      <c r="D42" s="60">
        <v>17.1875</v>
      </c>
      <c r="E42" s="60">
        <v>20.5625</v>
      </c>
      <c r="F42" s="60">
        <v>38.5625</v>
      </c>
      <c r="G42" s="60">
        <v>28.8333333333333</v>
      </c>
      <c r="H42" s="60">
        <v>1.7716666666666701</v>
      </c>
      <c r="I42" s="60">
        <v>2.55833333333333</v>
      </c>
      <c r="J42" s="60">
        <v>3.5951125833333299</v>
      </c>
      <c r="K42" s="60">
        <v>36.111922673219802</v>
      </c>
      <c r="L42" s="60">
        <v>1.0995666666666699</v>
      </c>
      <c r="M42" s="60">
        <v>1.41191666666667</v>
      </c>
      <c r="N42" s="60">
        <v>0.94042499999999996</v>
      </c>
      <c r="O42" s="60">
        <v>1.6042333333333301</v>
      </c>
      <c r="P42" s="60">
        <v>1.4443060833333301</v>
      </c>
      <c r="Q42" s="60">
        <v>1.69034666666667</v>
      </c>
      <c r="R42" s="60">
        <v>1.67804483333333</v>
      </c>
      <c r="S42" s="60">
        <v>577.58333333333303</v>
      </c>
      <c r="T42" s="60">
        <v>799.131666666667</v>
      </c>
      <c r="U42" s="60">
        <v>481.5</v>
      </c>
      <c r="V42" s="60">
        <v>609.91666666666697</v>
      </c>
      <c r="W42" s="60">
        <v>393.5</v>
      </c>
      <c r="X42" s="60" t="s">
        <v>137</v>
      </c>
      <c r="Y42" s="60">
        <v>235.5</v>
      </c>
      <c r="Z42" s="60">
        <v>428.91666666666703</v>
      </c>
      <c r="AA42" s="60">
        <v>204.416666666667</v>
      </c>
      <c r="AB42" s="60">
        <v>78.674999999999997</v>
      </c>
      <c r="AC42" s="60">
        <v>104.245833333333</v>
      </c>
      <c r="AD42" s="60">
        <v>102.75</v>
      </c>
      <c r="AE42" s="60">
        <v>268.22083333333302</v>
      </c>
      <c r="AF42" s="60">
        <v>228.333333333333</v>
      </c>
      <c r="AG42" s="60">
        <v>177.916666666667</v>
      </c>
      <c r="AH42" s="60" t="s">
        <v>137</v>
      </c>
      <c r="AI42" s="60">
        <v>145.14166666666699</v>
      </c>
      <c r="AJ42" s="60">
        <v>151.19999999999999</v>
      </c>
      <c r="AK42" s="60" t="s">
        <v>137</v>
      </c>
      <c r="AL42" s="60">
        <v>0.47308333333333302</v>
      </c>
      <c r="AM42" s="60">
        <v>0.48924083333333301</v>
      </c>
      <c r="AN42" s="60">
        <v>2.4545750000000002</v>
      </c>
      <c r="AO42" s="60">
        <v>1.057445983</v>
      </c>
      <c r="AP42" s="60">
        <v>2.6514083333333298</v>
      </c>
      <c r="AQ42" s="60">
        <v>10.953333333333299</v>
      </c>
      <c r="AR42" s="60">
        <v>0.62776367518603005</v>
      </c>
      <c r="AS42" s="60">
        <v>0.46958936948674501</v>
      </c>
      <c r="AT42" s="60">
        <v>0.199591666666667</v>
      </c>
      <c r="AU42" s="60">
        <v>3439.5391666666701</v>
      </c>
      <c r="AV42" s="60">
        <v>331.27833333333302</v>
      </c>
      <c r="AW42" s="60">
        <v>209.50833333333301</v>
      </c>
      <c r="AX42" s="60" t="s">
        <v>137</v>
      </c>
      <c r="AY42" s="60">
        <v>607.21693580569604</v>
      </c>
      <c r="AZ42" s="60">
        <v>380.761666666667</v>
      </c>
      <c r="BA42" s="60">
        <v>1.2783</v>
      </c>
      <c r="BB42" s="60" t="s">
        <v>137</v>
      </c>
      <c r="BC42" s="60">
        <v>0.86158333333333403</v>
      </c>
      <c r="BD42" s="60">
        <v>31.5</v>
      </c>
      <c r="BE42" s="60">
        <v>137.87291666666701</v>
      </c>
      <c r="BF42" s="60">
        <v>120.73583333333301</v>
      </c>
      <c r="BG42" s="60">
        <v>117.604166666667</v>
      </c>
      <c r="BH42" s="60">
        <v>111.758333333333</v>
      </c>
      <c r="BI42" s="60">
        <v>1254.2833333333299</v>
      </c>
      <c r="BJ42" s="60">
        <v>33.1</v>
      </c>
      <c r="BK42" s="60">
        <v>2281.1574999999998</v>
      </c>
      <c r="BL42" s="60">
        <v>541.36666666666702</v>
      </c>
      <c r="BM42" s="60">
        <v>6101.0249999999996</v>
      </c>
      <c r="BN42" s="60">
        <v>7001.2291666666697</v>
      </c>
      <c r="BO42" s="60">
        <v>1239.7750000000001</v>
      </c>
      <c r="BP42" s="60">
        <v>343.73333333333301</v>
      </c>
      <c r="BQ42" s="60">
        <v>359.68583333333299</v>
      </c>
      <c r="BR42" s="60">
        <v>3.9460083333333298</v>
      </c>
      <c r="BS42" s="58"/>
      <c r="BT42" s="58"/>
      <c r="BU42" s="58"/>
      <c r="BV42" s="58"/>
      <c r="BW42" s="58"/>
      <c r="BX42" s="58"/>
      <c r="BY42" s="58"/>
      <c r="BZ42" s="58"/>
      <c r="CA42" s="58"/>
      <c r="CB42" s="58"/>
      <c r="CC42" s="58"/>
      <c r="CD42" s="58"/>
      <c r="CE42" s="58"/>
      <c r="CF42" s="58"/>
      <c r="CG42" s="58"/>
      <c r="CH42" s="58"/>
      <c r="CI42" s="58"/>
    </row>
    <row r="43" spans="1:87">
      <c r="A43" s="55">
        <v>1993</v>
      </c>
      <c r="B43" s="61">
        <v>16.841666666666701</v>
      </c>
      <c r="C43" s="61">
        <v>17.0208333333333</v>
      </c>
      <c r="D43" s="61">
        <v>14.9416666666667</v>
      </c>
      <c r="E43" s="61">
        <v>18.5625</v>
      </c>
      <c r="F43" s="61">
        <v>31.3333333333333</v>
      </c>
      <c r="G43" s="61">
        <v>26.9583333333333</v>
      </c>
      <c r="H43" s="61">
        <v>2.12083333333333</v>
      </c>
      <c r="I43" s="61">
        <v>2.67166666666667</v>
      </c>
      <c r="J43" s="61">
        <v>3.5065987500000002</v>
      </c>
      <c r="K43" s="61">
        <v>40.830799675143098</v>
      </c>
      <c r="L43" s="61">
        <v>1.1169249999999999</v>
      </c>
      <c r="M43" s="61">
        <v>1.5602</v>
      </c>
      <c r="N43" s="61">
        <v>1.157375</v>
      </c>
      <c r="O43" s="61">
        <v>1.6148416666666701</v>
      </c>
      <c r="P43" s="61">
        <v>1.44233891666667</v>
      </c>
      <c r="Q43" s="61">
        <v>1.84469033333333</v>
      </c>
      <c r="R43" s="61">
        <v>1.5575000000000001</v>
      </c>
      <c r="S43" s="61">
        <v>450.25</v>
      </c>
      <c r="T43" s="61">
        <v>1092.1458333333301</v>
      </c>
      <c r="U43" s="61">
        <v>364.75</v>
      </c>
      <c r="V43" s="61">
        <v>739.08333333333405</v>
      </c>
      <c r="W43" s="61">
        <v>377.75</v>
      </c>
      <c r="X43" s="61" t="s">
        <v>137</v>
      </c>
      <c r="Y43" s="61">
        <v>255.083333333333</v>
      </c>
      <c r="Z43" s="61">
        <v>480.41666666666703</v>
      </c>
      <c r="AA43" s="61">
        <v>208.166666666667</v>
      </c>
      <c r="AB43" s="61">
        <v>71.376666666666694</v>
      </c>
      <c r="AC43" s="61">
        <v>102.09</v>
      </c>
      <c r="AD43" s="61">
        <v>99.026666666666699</v>
      </c>
      <c r="AE43" s="61">
        <v>235.41249999999999</v>
      </c>
      <c r="AF43" s="61">
        <v>202.416666666667</v>
      </c>
      <c r="AG43" s="61">
        <v>157.583333333333</v>
      </c>
      <c r="AH43" s="61" t="s">
        <v>137</v>
      </c>
      <c r="AI43" s="61">
        <v>134.77416666666701</v>
      </c>
      <c r="AJ43" s="61">
        <v>140.238333333333</v>
      </c>
      <c r="AK43" s="61" t="s">
        <v>137</v>
      </c>
      <c r="AL43" s="61">
        <v>0.44302583333333301</v>
      </c>
      <c r="AM43" s="61">
        <v>0.43249416666666701</v>
      </c>
      <c r="AN43" s="61">
        <v>2.61754166666667</v>
      </c>
      <c r="AO43" s="61">
        <v>1.2053943568333301</v>
      </c>
      <c r="AP43" s="61">
        <v>2.9072416666666698</v>
      </c>
      <c r="AQ43" s="61">
        <v>11.390124999999999</v>
      </c>
      <c r="AR43" s="61">
        <v>0.61948333333333305</v>
      </c>
      <c r="AS43" s="61">
        <v>0.47647499999999998</v>
      </c>
      <c r="AT43" s="61">
        <v>0.220975</v>
      </c>
      <c r="AU43" s="61">
        <v>2695.3366666666702</v>
      </c>
      <c r="AV43" s="61">
        <v>310.32</v>
      </c>
      <c r="AW43" s="61">
        <v>389.8075</v>
      </c>
      <c r="AX43" s="61" t="s">
        <v>137</v>
      </c>
      <c r="AY43" s="61">
        <v>758.25006117498197</v>
      </c>
      <c r="AZ43" s="61">
        <v>661.42666666666696</v>
      </c>
      <c r="BA43" s="61">
        <v>1.28026666666667</v>
      </c>
      <c r="BB43" s="61" t="s">
        <v>137</v>
      </c>
      <c r="BC43" s="61">
        <v>0.83128333333333404</v>
      </c>
      <c r="BD43" s="61">
        <v>31.5</v>
      </c>
      <c r="BE43" s="61">
        <v>121.995833333333</v>
      </c>
      <c r="BF43" s="61">
        <v>111.944166666667</v>
      </c>
      <c r="BG43" s="61">
        <v>85.5416666666667</v>
      </c>
      <c r="BH43" s="61">
        <v>112.541666666667</v>
      </c>
      <c r="BI43" s="61">
        <v>1139.0491666666701</v>
      </c>
      <c r="BJ43" s="61">
        <v>29.09</v>
      </c>
      <c r="BK43" s="61">
        <v>1913.07666666667</v>
      </c>
      <c r="BL43" s="61">
        <v>406.35833333333301</v>
      </c>
      <c r="BM43" s="61">
        <v>5161.1416666666701</v>
      </c>
      <c r="BN43" s="61">
        <v>5293.4191666666702</v>
      </c>
      <c r="BO43" s="61">
        <v>961.98333333333301</v>
      </c>
      <c r="BP43" s="61">
        <v>359.77</v>
      </c>
      <c r="BQ43" s="61">
        <v>374.02583333333303</v>
      </c>
      <c r="BR43" s="61">
        <v>4.3083999999999998</v>
      </c>
      <c r="BS43" s="58"/>
      <c r="BT43" s="58"/>
      <c r="BU43" s="58"/>
      <c r="BV43" s="58"/>
      <c r="BW43" s="58"/>
      <c r="BX43" s="58"/>
      <c r="BY43" s="58"/>
      <c r="BZ43" s="58"/>
      <c r="CA43" s="58"/>
      <c r="CB43" s="58"/>
      <c r="CC43" s="58"/>
      <c r="CD43" s="58"/>
      <c r="CE43" s="58"/>
      <c r="CF43" s="58"/>
      <c r="CG43" s="58"/>
      <c r="CH43" s="58"/>
      <c r="CI43" s="58"/>
    </row>
    <row r="44" spans="1:87">
      <c r="A44" s="59">
        <v>1994</v>
      </c>
      <c r="B44" s="60">
        <v>15.8866666666667</v>
      </c>
      <c r="C44" s="60">
        <v>15.83</v>
      </c>
      <c r="D44" s="60">
        <v>14.6666666666667</v>
      </c>
      <c r="E44" s="60">
        <v>17.163333333333298</v>
      </c>
      <c r="F44" s="60">
        <v>32.299999999999997</v>
      </c>
      <c r="G44" s="60">
        <v>28.5625</v>
      </c>
      <c r="H44" s="60">
        <v>1.92</v>
      </c>
      <c r="I44" s="60">
        <v>2.4433333333333298</v>
      </c>
      <c r="J44" s="60">
        <v>3.18</v>
      </c>
      <c r="K44" s="60">
        <v>37.085246518011402</v>
      </c>
      <c r="L44" s="60">
        <v>1.3959666666666699</v>
      </c>
      <c r="M44" s="60">
        <v>3.3076416666666701</v>
      </c>
      <c r="N44" s="60">
        <v>2.61968333333333</v>
      </c>
      <c r="O44" s="60">
        <v>1.4921916666666699</v>
      </c>
      <c r="P44" s="60">
        <v>1.33095116666667</v>
      </c>
      <c r="Q44" s="60">
        <v>1.57481283333333</v>
      </c>
      <c r="R44" s="60">
        <v>1.57083333333333</v>
      </c>
      <c r="S44" s="60">
        <v>607.5</v>
      </c>
      <c r="T44" s="60">
        <v>954.79833333333295</v>
      </c>
      <c r="U44" s="60">
        <v>376.33333333333297</v>
      </c>
      <c r="V44" s="60">
        <v>1022.75</v>
      </c>
      <c r="W44" s="60">
        <v>528.41666666666697</v>
      </c>
      <c r="X44" s="60" t="s">
        <v>137</v>
      </c>
      <c r="Y44" s="60">
        <v>251.833333333333</v>
      </c>
      <c r="Z44" s="60">
        <v>615.58333333333303</v>
      </c>
      <c r="AA44" s="60">
        <v>192.416666666667</v>
      </c>
      <c r="AB44" s="60">
        <v>72.648333333333397</v>
      </c>
      <c r="AC44" s="60">
        <v>107.55</v>
      </c>
      <c r="AD44" s="60">
        <v>103.869166666667</v>
      </c>
      <c r="AE44" s="60">
        <v>267.59166666666698</v>
      </c>
      <c r="AF44" s="60">
        <v>229.916666666667</v>
      </c>
      <c r="AG44" s="60">
        <v>182.3</v>
      </c>
      <c r="AH44" s="60" t="s">
        <v>137</v>
      </c>
      <c r="AI44" s="60">
        <v>138.55500000000001</v>
      </c>
      <c r="AJ44" s="60">
        <v>149.729166666667</v>
      </c>
      <c r="AK44" s="60" t="s">
        <v>137</v>
      </c>
      <c r="AL44" s="60">
        <v>0.43979083333333302</v>
      </c>
      <c r="AM44" s="60">
        <v>0.41133999999999998</v>
      </c>
      <c r="AN44" s="60">
        <v>2.3328500000000001</v>
      </c>
      <c r="AO44" s="60">
        <v>1.218824167</v>
      </c>
      <c r="AP44" s="60">
        <v>2.97519166666667</v>
      </c>
      <c r="AQ44" s="60">
        <v>13.075416666666699</v>
      </c>
      <c r="AR44" s="60">
        <v>0.62166666666666703</v>
      </c>
      <c r="AS44" s="60">
        <v>0.48567500000000002</v>
      </c>
      <c r="AT44" s="60">
        <v>0.26698333333333302</v>
      </c>
      <c r="AU44" s="60">
        <v>2641.6608333333302</v>
      </c>
      <c r="AV44" s="60">
        <v>330.26</v>
      </c>
      <c r="AW44" s="60">
        <v>307.54916666666702</v>
      </c>
      <c r="AX44" s="60" t="s">
        <v>137</v>
      </c>
      <c r="AY44" s="60">
        <v>821.03602499550595</v>
      </c>
      <c r="AZ44" s="60">
        <v>601.16333333333296</v>
      </c>
      <c r="BA44" s="60">
        <v>1.762775</v>
      </c>
      <c r="BB44" s="60" t="s">
        <v>137</v>
      </c>
      <c r="BC44" s="60">
        <v>1.1257999999999999</v>
      </c>
      <c r="BD44" s="60">
        <v>31.8333333333333</v>
      </c>
      <c r="BE44" s="60">
        <v>160.424305555556</v>
      </c>
      <c r="BF44" s="60">
        <v>132.10499999999999</v>
      </c>
      <c r="BG44" s="60">
        <v>93.8854166666667</v>
      </c>
      <c r="BH44" s="60">
        <v>112.5</v>
      </c>
      <c r="BI44" s="60">
        <v>1476.7825</v>
      </c>
      <c r="BJ44" s="60">
        <v>26.47</v>
      </c>
      <c r="BK44" s="60">
        <v>2307.4175</v>
      </c>
      <c r="BL44" s="60">
        <v>547.76666666666699</v>
      </c>
      <c r="BM44" s="60">
        <v>5463.85</v>
      </c>
      <c r="BN44" s="60">
        <v>6339.82</v>
      </c>
      <c r="BO44" s="60">
        <v>997.72500000000002</v>
      </c>
      <c r="BP44" s="60">
        <v>384.011666666667</v>
      </c>
      <c r="BQ44" s="60">
        <v>405.261666666667</v>
      </c>
      <c r="BR44" s="60">
        <v>5.2847</v>
      </c>
      <c r="BS44" s="58"/>
      <c r="BT44" s="58"/>
      <c r="BU44" s="58"/>
      <c r="BV44" s="58"/>
      <c r="BW44" s="58"/>
      <c r="BX44" s="58"/>
      <c r="BY44" s="58"/>
      <c r="BZ44" s="58"/>
      <c r="CA44" s="58"/>
      <c r="CB44" s="58"/>
      <c r="CC44" s="58"/>
      <c r="CD44" s="58"/>
      <c r="CE44" s="58"/>
      <c r="CF44" s="58"/>
      <c r="CG44" s="58"/>
      <c r="CH44" s="58"/>
      <c r="CI44" s="58"/>
    </row>
    <row r="45" spans="1:87">
      <c r="A45" s="55">
        <v>1995</v>
      </c>
      <c r="B45" s="61">
        <v>17.183333333333302</v>
      </c>
      <c r="C45" s="61">
        <v>17.065833333333298</v>
      </c>
      <c r="D45" s="61">
        <v>16.114999999999998</v>
      </c>
      <c r="E45" s="61">
        <v>18.3691666666667</v>
      </c>
      <c r="F45" s="61">
        <v>39.371666666666698</v>
      </c>
      <c r="G45" s="61">
        <v>35.2291666666667</v>
      </c>
      <c r="H45" s="61">
        <v>1.7224999999999999</v>
      </c>
      <c r="I45" s="61">
        <v>2.7275</v>
      </c>
      <c r="J45" s="61">
        <v>3.4491666666666698</v>
      </c>
      <c r="K45" s="61">
        <v>36.220209668742399</v>
      </c>
      <c r="L45" s="61">
        <v>1.4324250000000001</v>
      </c>
      <c r="M45" s="61">
        <v>3.332325</v>
      </c>
      <c r="N45" s="61">
        <v>2.7707083333333302</v>
      </c>
      <c r="O45" s="61">
        <v>1.4886333333333299</v>
      </c>
      <c r="P45" s="61">
        <v>1.42214975</v>
      </c>
      <c r="Q45" s="61">
        <v>1.7423925</v>
      </c>
      <c r="R45" s="61">
        <v>1.30141666666667</v>
      </c>
      <c r="S45" s="61">
        <v>669.58333333333303</v>
      </c>
      <c r="T45" s="61">
        <v>909.91666666666595</v>
      </c>
      <c r="U45" s="61">
        <v>495</v>
      </c>
      <c r="V45" s="61">
        <v>990.91666666666595</v>
      </c>
      <c r="W45" s="61">
        <v>628.25</v>
      </c>
      <c r="X45" s="61" t="s">
        <v>137</v>
      </c>
      <c r="Y45" s="61">
        <v>259.25</v>
      </c>
      <c r="Z45" s="61">
        <v>625.08333333333303</v>
      </c>
      <c r="AA45" s="61">
        <v>196.916666666667</v>
      </c>
      <c r="AB45" s="61">
        <v>104.010833333333</v>
      </c>
      <c r="AC45" s="61">
        <v>123.4875</v>
      </c>
      <c r="AD45" s="61">
        <v>118.97166666666701</v>
      </c>
      <c r="AE45" s="61">
        <v>320.95833333333297</v>
      </c>
      <c r="AF45" s="61">
        <v>297.66666666666703</v>
      </c>
      <c r="AG45" s="61">
        <v>262.870833333333</v>
      </c>
      <c r="AH45" s="61" t="s">
        <v>137</v>
      </c>
      <c r="AI45" s="61">
        <v>167.35833333333301</v>
      </c>
      <c r="AJ45" s="61">
        <v>176.98249999999999</v>
      </c>
      <c r="AK45" s="61" t="s">
        <v>137</v>
      </c>
      <c r="AL45" s="61">
        <v>0.44510250000000001</v>
      </c>
      <c r="AM45" s="61">
        <v>0.53146666666666698</v>
      </c>
      <c r="AN45" s="61">
        <v>1.86865428383333</v>
      </c>
      <c r="AO45" s="61">
        <v>1.22319666333333</v>
      </c>
      <c r="AP45" s="61">
        <v>2.6209250000000002</v>
      </c>
      <c r="AQ45" s="61">
        <v>13.5373083333333</v>
      </c>
      <c r="AR45" s="61">
        <v>0.68798333333333295</v>
      </c>
      <c r="AS45" s="61">
        <v>0.50819166666666704</v>
      </c>
      <c r="AT45" s="61">
        <v>0.29278333333333301</v>
      </c>
      <c r="AU45" s="61">
        <v>2643.44</v>
      </c>
      <c r="AV45" s="61">
        <v>339.50833333333298</v>
      </c>
      <c r="AW45" s="61">
        <v>255.62</v>
      </c>
      <c r="AX45" s="61">
        <v>596.132459436418</v>
      </c>
      <c r="AY45" s="61">
        <v>739.95109793687004</v>
      </c>
      <c r="AZ45" s="61">
        <v>584.43583333333299</v>
      </c>
      <c r="BA45" s="61">
        <v>2.1278999999999999</v>
      </c>
      <c r="BB45" s="61" t="s">
        <v>137</v>
      </c>
      <c r="BC45" s="61">
        <v>1.5800416666666699</v>
      </c>
      <c r="BD45" s="61">
        <v>32.6666666666667</v>
      </c>
      <c r="BE45" s="61">
        <v>199.77222222222201</v>
      </c>
      <c r="BF45" s="61">
        <v>149.631666666667</v>
      </c>
      <c r="BG45" s="61">
        <v>126.8625</v>
      </c>
      <c r="BH45" s="61">
        <v>112.5</v>
      </c>
      <c r="BI45" s="61">
        <v>1805.6575</v>
      </c>
      <c r="BJ45" s="61">
        <v>28.38</v>
      </c>
      <c r="BK45" s="61">
        <v>2935.6058333333299</v>
      </c>
      <c r="BL45" s="61">
        <v>630.95000000000005</v>
      </c>
      <c r="BM45" s="61">
        <v>6213.8083333333298</v>
      </c>
      <c r="BN45" s="61">
        <v>8228.0391666666601</v>
      </c>
      <c r="BO45" s="61">
        <v>1031.11666666667</v>
      </c>
      <c r="BP45" s="61">
        <v>384.16416666666697</v>
      </c>
      <c r="BQ45" s="61">
        <v>424.33666666666699</v>
      </c>
      <c r="BR45" s="61">
        <v>5.2002416666666704</v>
      </c>
      <c r="BS45" s="58"/>
      <c r="BT45" s="58"/>
      <c r="BU45" s="58"/>
      <c r="BV45" s="58"/>
      <c r="BW45" s="58"/>
      <c r="BX45" s="58"/>
      <c r="BY45" s="58"/>
      <c r="BZ45" s="58"/>
      <c r="CA45" s="58"/>
      <c r="CB45" s="58"/>
      <c r="CC45" s="58"/>
      <c r="CD45" s="58"/>
      <c r="CE45" s="58"/>
      <c r="CF45" s="58"/>
      <c r="CG45" s="58"/>
      <c r="CH45" s="58"/>
      <c r="CI45" s="58"/>
    </row>
    <row r="46" spans="1:87">
      <c r="A46" s="59">
        <v>1996</v>
      </c>
      <c r="B46" s="60">
        <v>20.420000000000002</v>
      </c>
      <c r="C46" s="60">
        <v>20.65</v>
      </c>
      <c r="D46" s="60">
        <v>18.54</v>
      </c>
      <c r="E46" s="60">
        <v>22.07</v>
      </c>
      <c r="F46" s="60">
        <v>38.074166666666699</v>
      </c>
      <c r="G46" s="60">
        <v>33.517499999999998</v>
      </c>
      <c r="H46" s="60">
        <v>2.73416666666667</v>
      </c>
      <c r="I46" s="60">
        <v>2.8441666666666698</v>
      </c>
      <c r="J46" s="60">
        <v>3.6675</v>
      </c>
      <c r="K46" s="60">
        <v>49.207804982006799</v>
      </c>
      <c r="L46" s="60">
        <v>1.45556666666667</v>
      </c>
      <c r="M46" s="60">
        <v>2.69420833333333</v>
      </c>
      <c r="N46" s="60">
        <v>1.8059416666666701</v>
      </c>
      <c r="O46" s="60">
        <v>1.66055</v>
      </c>
      <c r="P46" s="60">
        <v>1.88911925</v>
      </c>
      <c r="Q46" s="60">
        <v>1.6695755000000001</v>
      </c>
      <c r="R46" s="60">
        <v>1.4229499999999999</v>
      </c>
      <c r="S46" s="60">
        <v>751.58333333333405</v>
      </c>
      <c r="T46" s="60">
        <v>962</v>
      </c>
      <c r="U46" s="60">
        <v>586</v>
      </c>
      <c r="V46" s="60">
        <v>897.25</v>
      </c>
      <c r="W46" s="60">
        <v>530.91666666666697</v>
      </c>
      <c r="X46" s="60">
        <v>728</v>
      </c>
      <c r="Y46" s="60">
        <v>304.83333333333297</v>
      </c>
      <c r="Z46" s="60">
        <v>551.5</v>
      </c>
      <c r="AA46" s="60">
        <v>267.5</v>
      </c>
      <c r="AB46" s="60">
        <v>119.665833333333</v>
      </c>
      <c r="AC46" s="60">
        <v>165.80916666666701</v>
      </c>
      <c r="AD46" s="60">
        <v>150.02916666666701</v>
      </c>
      <c r="AE46" s="60">
        <v>338.875</v>
      </c>
      <c r="AF46" s="60">
        <v>286.08333333333297</v>
      </c>
      <c r="AG46" s="60">
        <v>232.70416666666699</v>
      </c>
      <c r="AH46" s="60" t="s">
        <v>137</v>
      </c>
      <c r="AI46" s="60">
        <v>187.419166666667</v>
      </c>
      <c r="AJ46" s="60">
        <v>207.6</v>
      </c>
      <c r="AK46" s="60" t="s">
        <v>137</v>
      </c>
      <c r="AL46" s="60">
        <v>0.46958416666666702</v>
      </c>
      <c r="AM46" s="60">
        <v>0.49166749999999998</v>
      </c>
      <c r="AN46" s="60">
        <v>1.74995386866667</v>
      </c>
      <c r="AO46" s="60">
        <v>1.37373546566667</v>
      </c>
      <c r="AP46" s="60">
        <v>3.294575</v>
      </c>
      <c r="AQ46" s="60">
        <v>13.1193166666667</v>
      </c>
      <c r="AR46" s="60">
        <v>0.68313333333333304</v>
      </c>
      <c r="AS46" s="60">
        <v>0.492916666666667</v>
      </c>
      <c r="AT46" s="60">
        <v>0.263575</v>
      </c>
      <c r="AU46" s="60">
        <v>3055.3733333333298</v>
      </c>
      <c r="AV46" s="60">
        <v>284.32</v>
      </c>
      <c r="AW46" s="60">
        <v>252.10083333333299</v>
      </c>
      <c r="AX46" s="60">
        <v>512.407089915852</v>
      </c>
      <c r="AY46" s="60">
        <v>741.34855087564097</v>
      </c>
      <c r="AZ46" s="60">
        <v>529.52833333333297</v>
      </c>
      <c r="BA46" s="60">
        <v>1.7733333333333301</v>
      </c>
      <c r="BB46" s="60" t="s">
        <v>137</v>
      </c>
      <c r="BC46" s="60">
        <v>1.3937583333333301</v>
      </c>
      <c r="BD46" s="60">
        <v>33.033333333333303</v>
      </c>
      <c r="BE46" s="60">
        <v>198.104166666667</v>
      </c>
      <c r="BF46" s="60">
        <v>175.83</v>
      </c>
      <c r="BG46" s="60">
        <v>153.691666666667</v>
      </c>
      <c r="BH46" s="60">
        <v>112.5</v>
      </c>
      <c r="BI46" s="60">
        <v>1505.6608333333299</v>
      </c>
      <c r="BJ46" s="60">
        <v>30</v>
      </c>
      <c r="BK46" s="60">
        <v>2294.8566666666702</v>
      </c>
      <c r="BL46" s="60">
        <v>774.32500000000005</v>
      </c>
      <c r="BM46" s="60">
        <v>6165.0749999999998</v>
      </c>
      <c r="BN46" s="60">
        <v>7500.8166666666702</v>
      </c>
      <c r="BO46" s="60">
        <v>1025.1416666666701</v>
      </c>
      <c r="BP46" s="60">
        <v>387.69583333333298</v>
      </c>
      <c r="BQ46" s="60">
        <v>397.11250000000001</v>
      </c>
      <c r="BR46" s="60">
        <v>5.2012999999999998</v>
      </c>
      <c r="BS46" s="58"/>
      <c r="BT46" s="58"/>
      <c r="BU46" s="58"/>
      <c r="BV46" s="58"/>
      <c r="BW46" s="58"/>
      <c r="BX46" s="58"/>
      <c r="BY46" s="58"/>
      <c r="BZ46" s="58"/>
      <c r="CA46" s="58"/>
      <c r="CB46" s="58"/>
      <c r="CC46" s="58"/>
      <c r="CD46" s="58"/>
      <c r="CE46" s="58"/>
      <c r="CF46" s="58"/>
      <c r="CG46" s="58"/>
      <c r="CH46" s="58"/>
      <c r="CI46" s="58"/>
    </row>
    <row r="47" spans="1:87">
      <c r="A47" s="55">
        <v>1997</v>
      </c>
      <c r="B47" s="61">
        <v>19.1710427248677</v>
      </c>
      <c r="C47" s="61">
        <v>19.090208333333301</v>
      </c>
      <c r="D47" s="61">
        <v>18.097083333333298</v>
      </c>
      <c r="E47" s="61">
        <v>20.325836507936501</v>
      </c>
      <c r="F47" s="61">
        <v>35.099166666666697</v>
      </c>
      <c r="G47" s="61">
        <v>31.349166666666701</v>
      </c>
      <c r="H47" s="61">
        <v>2.4817499999999999</v>
      </c>
      <c r="I47" s="61">
        <v>2.7383333333333302</v>
      </c>
      <c r="J47" s="61">
        <v>3.9083333333333301</v>
      </c>
      <c r="K47" s="61">
        <v>45.8026496691025</v>
      </c>
      <c r="L47" s="61">
        <v>1.61873333333333</v>
      </c>
      <c r="M47" s="61">
        <v>4.1679416666666702</v>
      </c>
      <c r="N47" s="61">
        <v>1.736075</v>
      </c>
      <c r="O47" s="61">
        <v>2.0601083333333299</v>
      </c>
      <c r="P47" s="61">
        <v>2.0201190833333298</v>
      </c>
      <c r="Q47" s="61">
        <v>2.1449734166666699</v>
      </c>
      <c r="R47" s="61">
        <v>2.0152639166666702</v>
      </c>
      <c r="S47" s="61">
        <v>656.83333333333303</v>
      </c>
      <c r="T47" s="61">
        <v>988.42</v>
      </c>
      <c r="U47" s="61">
        <v>606.25</v>
      </c>
      <c r="V47" s="61">
        <v>1010.41666666667</v>
      </c>
      <c r="W47" s="61">
        <v>545.83333333333303</v>
      </c>
      <c r="X47" s="61">
        <v>651.83333333333303</v>
      </c>
      <c r="Y47" s="61">
        <v>295.41666666666703</v>
      </c>
      <c r="Z47" s="61">
        <v>564.75</v>
      </c>
      <c r="AA47" s="61">
        <v>275.75</v>
      </c>
      <c r="AB47" s="61">
        <v>97.238333333333301</v>
      </c>
      <c r="AC47" s="61">
        <v>117.091666666667</v>
      </c>
      <c r="AD47" s="61">
        <v>109.621666666667</v>
      </c>
      <c r="AE47" s="61">
        <v>303.51</v>
      </c>
      <c r="AF47" s="61">
        <v>257.08333333333297</v>
      </c>
      <c r="AG47" s="61">
        <v>210.381944444444</v>
      </c>
      <c r="AH47" s="61" t="s">
        <v>137</v>
      </c>
      <c r="AI47" s="61">
        <v>143.648333333333</v>
      </c>
      <c r="AJ47" s="61">
        <v>159.48416666666699</v>
      </c>
      <c r="AK47" s="61">
        <v>0.96801833333333298</v>
      </c>
      <c r="AL47" s="61">
        <v>0.51705333333333303</v>
      </c>
      <c r="AM47" s="61">
        <v>0.458963333333333</v>
      </c>
      <c r="AN47" s="61">
        <v>1.84815131783333</v>
      </c>
      <c r="AO47" s="61">
        <v>1.3445793661666701</v>
      </c>
      <c r="AP47" s="61">
        <v>3.3934000000000002</v>
      </c>
      <c r="AQ47" s="61">
        <v>14.7628583333333</v>
      </c>
      <c r="AR47" s="61">
        <v>0.62723333333333298</v>
      </c>
      <c r="AS47" s="61">
        <v>0.48364166666666702</v>
      </c>
      <c r="AT47" s="61">
        <v>0.25064999999999998</v>
      </c>
      <c r="AU47" s="61">
        <v>3531.5458333333299</v>
      </c>
      <c r="AV47" s="61">
        <v>284.754166666667</v>
      </c>
      <c r="AW47" s="61">
        <v>238.2525</v>
      </c>
      <c r="AX47" s="61">
        <v>563.57584679685999</v>
      </c>
      <c r="AY47" s="61">
        <v>664.52615740031604</v>
      </c>
      <c r="AZ47" s="61">
        <v>484.95833333333297</v>
      </c>
      <c r="BA47" s="61">
        <v>1.7475833333333299</v>
      </c>
      <c r="BB47" s="61" t="s">
        <v>137</v>
      </c>
      <c r="BC47" s="61">
        <v>1.01751666666667</v>
      </c>
      <c r="BD47" s="61">
        <v>32.5</v>
      </c>
      <c r="BE47" s="61">
        <v>186.989583333333</v>
      </c>
      <c r="BF47" s="61">
        <v>171.90916666666701</v>
      </c>
      <c r="BG47" s="61">
        <v>117.49375000000001</v>
      </c>
      <c r="BH47" s="61">
        <v>112.5</v>
      </c>
      <c r="BI47" s="61">
        <v>1599.33</v>
      </c>
      <c r="BJ47" s="61">
        <v>30.15</v>
      </c>
      <c r="BK47" s="61">
        <v>2276.7666666666701</v>
      </c>
      <c r="BL47" s="61">
        <v>624.17499999999995</v>
      </c>
      <c r="BM47" s="61">
        <v>5646.7666666666701</v>
      </c>
      <c r="BN47" s="61">
        <v>6927.3858333333301</v>
      </c>
      <c r="BO47" s="61">
        <v>1316.125</v>
      </c>
      <c r="BP47" s="61">
        <v>331.09583333333302</v>
      </c>
      <c r="BQ47" s="61">
        <v>394.91500000000002</v>
      </c>
      <c r="BR47" s="61">
        <v>4.9060333333333297</v>
      </c>
      <c r="BS47" s="58"/>
      <c r="BT47" s="58"/>
      <c r="BU47" s="58"/>
      <c r="BV47" s="58"/>
      <c r="BW47" s="58"/>
      <c r="BX47" s="58"/>
      <c r="BY47" s="58"/>
      <c r="BZ47" s="58"/>
      <c r="CA47" s="58"/>
      <c r="CB47" s="58"/>
      <c r="CC47" s="58"/>
      <c r="CD47" s="58"/>
      <c r="CE47" s="58"/>
      <c r="CF47" s="58"/>
      <c r="CG47" s="58"/>
      <c r="CH47" s="58"/>
      <c r="CI47" s="58"/>
    </row>
    <row r="48" spans="1:87">
      <c r="A48" s="59">
        <v>1998</v>
      </c>
      <c r="B48" s="60">
        <v>13.064441666666699</v>
      </c>
      <c r="C48" s="60">
        <v>12.7165416666667</v>
      </c>
      <c r="D48" s="60">
        <v>12.1275833333333</v>
      </c>
      <c r="E48" s="60">
        <v>14.3492</v>
      </c>
      <c r="F48" s="60">
        <v>29.230833333333301</v>
      </c>
      <c r="G48" s="60">
        <v>26.839166666666699</v>
      </c>
      <c r="H48" s="60">
        <v>2.0869166666666699</v>
      </c>
      <c r="I48" s="60">
        <v>2.4158333333333299</v>
      </c>
      <c r="J48" s="60">
        <v>3.0191666666666701</v>
      </c>
      <c r="K48" s="60">
        <v>38.872479983498302</v>
      </c>
      <c r="L48" s="60">
        <v>1.67638333333333</v>
      </c>
      <c r="M48" s="60">
        <v>2.9813166666666699</v>
      </c>
      <c r="N48" s="60">
        <v>1.8225833333333299</v>
      </c>
      <c r="O48" s="60">
        <v>2.0460583333333302</v>
      </c>
      <c r="P48" s="60">
        <v>2.0746422500000001</v>
      </c>
      <c r="Q48" s="60">
        <v>2.1646417499999999</v>
      </c>
      <c r="R48" s="60">
        <v>1.8989277499999999</v>
      </c>
      <c r="S48" s="60">
        <v>657.91666666666697</v>
      </c>
      <c r="T48" s="60">
        <v>988.75</v>
      </c>
      <c r="U48" s="60">
        <v>661.91666666666697</v>
      </c>
      <c r="V48" s="60">
        <v>909.41666666666595</v>
      </c>
      <c r="W48" s="60">
        <v>671.08333333333303</v>
      </c>
      <c r="X48" s="60">
        <v>686.66666666666697</v>
      </c>
      <c r="Y48" s="60">
        <v>243.25</v>
      </c>
      <c r="Z48" s="60">
        <v>625.91666666666697</v>
      </c>
      <c r="AA48" s="60">
        <v>170.333333333333</v>
      </c>
      <c r="AB48" s="60">
        <v>85.053333333333299</v>
      </c>
      <c r="AC48" s="60">
        <v>101.98666666666701</v>
      </c>
      <c r="AD48" s="60">
        <v>98.037499999999994</v>
      </c>
      <c r="AE48" s="60">
        <v>304.15833333333302</v>
      </c>
      <c r="AF48" s="60">
        <v>259.85833333333301</v>
      </c>
      <c r="AG48" s="60">
        <v>213.020833333333</v>
      </c>
      <c r="AH48" s="60" t="s">
        <v>137</v>
      </c>
      <c r="AI48" s="60">
        <v>111.515</v>
      </c>
      <c r="AJ48" s="60">
        <v>126.12666666666701</v>
      </c>
      <c r="AK48" s="60">
        <v>1.0049574999999999</v>
      </c>
      <c r="AL48" s="60">
        <v>0.48950500000000002</v>
      </c>
      <c r="AM48" s="60">
        <v>0.44240083333333302</v>
      </c>
      <c r="AN48" s="60">
        <v>1.71611295166667</v>
      </c>
      <c r="AO48" s="60">
        <v>1.39234613283333</v>
      </c>
      <c r="AP48" s="60">
        <v>2.7503000000000002</v>
      </c>
      <c r="AQ48" s="60">
        <v>14.2396666666667</v>
      </c>
      <c r="AR48" s="60">
        <v>0.59748333333333303</v>
      </c>
      <c r="AS48" s="60">
        <v>0.486416666666667</v>
      </c>
      <c r="AT48" s="60">
        <v>0.19672500000000001</v>
      </c>
      <c r="AU48" s="60">
        <v>3336.1216666666701</v>
      </c>
      <c r="AV48" s="60">
        <v>286.40249999999997</v>
      </c>
      <c r="AW48" s="60">
        <v>162.425833333333</v>
      </c>
      <c r="AX48" s="60">
        <v>526.32652116042505</v>
      </c>
      <c r="AY48" s="60">
        <v>484.14789869720198</v>
      </c>
      <c r="AZ48" s="60">
        <v>376.053333333333</v>
      </c>
      <c r="BA48" s="60">
        <v>1.44471666666667</v>
      </c>
      <c r="BB48" s="60" t="s">
        <v>137</v>
      </c>
      <c r="BC48" s="60">
        <v>0.72157499999999997</v>
      </c>
      <c r="BD48" s="60">
        <v>32.5</v>
      </c>
      <c r="BE48" s="60">
        <v>186.86319444444399</v>
      </c>
      <c r="BF48" s="60">
        <v>173.04916666666699</v>
      </c>
      <c r="BG48" s="60">
        <v>83.216666666666697</v>
      </c>
      <c r="BH48" s="60">
        <v>112.5</v>
      </c>
      <c r="BI48" s="60">
        <v>1357.4691666666699</v>
      </c>
      <c r="BJ48" s="60">
        <v>31</v>
      </c>
      <c r="BK48" s="60">
        <v>1654.05833333333</v>
      </c>
      <c r="BL48" s="60">
        <v>528.64166666666699</v>
      </c>
      <c r="BM48" s="60">
        <v>5540.3333333333303</v>
      </c>
      <c r="BN48" s="60">
        <v>4629.5233333333299</v>
      </c>
      <c r="BO48" s="60">
        <v>1024.4666666666701</v>
      </c>
      <c r="BP48" s="60">
        <v>294.16083333333302</v>
      </c>
      <c r="BQ48" s="60">
        <v>372.27833333333302</v>
      </c>
      <c r="BR48" s="60">
        <v>5.5507916666666697</v>
      </c>
      <c r="BS48" s="58"/>
      <c r="BT48" s="58"/>
      <c r="BU48" s="58"/>
      <c r="BV48" s="58"/>
      <c r="BW48" s="58"/>
      <c r="BX48" s="58"/>
      <c r="BY48" s="58"/>
      <c r="BZ48" s="58"/>
      <c r="CA48" s="58"/>
      <c r="CB48" s="58"/>
      <c r="CC48" s="58"/>
      <c r="CD48" s="58"/>
      <c r="CE48" s="58"/>
      <c r="CF48" s="58"/>
      <c r="CG48" s="58"/>
      <c r="CH48" s="58"/>
      <c r="CI48" s="58"/>
    </row>
    <row r="49" spans="1:87">
      <c r="A49" s="55">
        <v>1999</v>
      </c>
      <c r="B49" s="61">
        <v>18.071388888888901</v>
      </c>
      <c r="C49" s="61">
        <v>17.808333333333302</v>
      </c>
      <c r="D49" s="61">
        <v>17.164999999999999</v>
      </c>
      <c r="E49" s="61">
        <v>19.240833333333299</v>
      </c>
      <c r="F49" s="61">
        <v>25.891666666666701</v>
      </c>
      <c r="G49" s="61">
        <v>24.273333333333301</v>
      </c>
      <c r="H49" s="61">
        <v>2.2666666666666702</v>
      </c>
      <c r="I49" s="61">
        <v>2.1308333333333298</v>
      </c>
      <c r="J49" s="61">
        <v>3.1375000000000002</v>
      </c>
      <c r="K49" s="61">
        <v>39.780539278325101</v>
      </c>
      <c r="L49" s="61">
        <v>1.1353166666666701</v>
      </c>
      <c r="M49" s="61">
        <v>2.2905833333333301</v>
      </c>
      <c r="N49" s="61">
        <v>1.4887583333333301</v>
      </c>
      <c r="O49" s="61">
        <v>1.8391</v>
      </c>
      <c r="P49" s="61">
        <v>1.6493249999999999</v>
      </c>
      <c r="Q49" s="61">
        <v>2.0678999999999998</v>
      </c>
      <c r="R49" s="61">
        <v>1.8002</v>
      </c>
      <c r="S49" s="61">
        <v>737.08333333333405</v>
      </c>
      <c r="T49" s="61">
        <v>863.63416666666706</v>
      </c>
      <c r="U49" s="61">
        <v>407.879166666667</v>
      </c>
      <c r="V49" s="61">
        <v>832.84166666666704</v>
      </c>
      <c r="W49" s="61">
        <v>436</v>
      </c>
      <c r="X49" s="61">
        <v>694.08333333333303</v>
      </c>
      <c r="Y49" s="61">
        <v>201.666666666667</v>
      </c>
      <c r="Z49" s="61">
        <v>426.46833333333302</v>
      </c>
      <c r="AA49" s="61">
        <v>165.16749999999999</v>
      </c>
      <c r="AB49" s="61">
        <v>75.938333333333304</v>
      </c>
      <c r="AC49" s="61">
        <v>90.216666666666697</v>
      </c>
      <c r="AD49" s="61">
        <v>84.389166666666696</v>
      </c>
      <c r="AE49" s="61">
        <v>248.416666666667</v>
      </c>
      <c r="AF49" s="61">
        <v>216.291666666667</v>
      </c>
      <c r="AG49" s="61">
        <v>192.61666666666699</v>
      </c>
      <c r="AH49" s="61" t="s">
        <v>137</v>
      </c>
      <c r="AI49" s="61">
        <v>96.278333333333407</v>
      </c>
      <c r="AJ49" s="61">
        <v>112.0425</v>
      </c>
      <c r="AK49" s="61">
        <v>0.85044083333333298</v>
      </c>
      <c r="AL49" s="61">
        <v>0.373830833333333</v>
      </c>
      <c r="AM49" s="61">
        <v>0.43822666666666699</v>
      </c>
      <c r="AN49" s="61">
        <v>1.8102502256666699</v>
      </c>
      <c r="AO49" s="61">
        <v>1.322000383</v>
      </c>
      <c r="AP49" s="61">
        <v>2.6099916666666698</v>
      </c>
      <c r="AQ49" s="61">
        <v>12.345872</v>
      </c>
      <c r="AR49" s="61">
        <v>0.591733333333333</v>
      </c>
      <c r="AS49" s="61">
        <v>0.46598333333333303</v>
      </c>
      <c r="AT49" s="61">
        <v>0.138091666666667</v>
      </c>
      <c r="AU49" s="61">
        <v>3041.1824999999999</v>
      </c>
      <c r="AV49" s="61">
        <v>269.27333333333303</v>
      </c>
      <c r="AW49" s="61">
        <v>187.11</v>
      </c>
      <c r="AX49" s="61">
        <v>455.17111251512699</v>
      </c>
      <c r="AY49" s="61">
        <v>600.81585081585001</v>
      </c>
      <c r="AZ49" s="61">
        <v>440.54916666666702</v>
      </c>
      <c r="BA49" s="61">
        <v>1.1710750000000001</v>
      </c>
      <c r="BB49" s="61">
        <v>0.59107500000000002</v>
      </c>
      <c r="BC49" s="61">
        <v>0.62847500000000001</v>
      </c>
      <c r="BD49" s="61">
        <v>42.8020833333333</v>
      </c>
      <c r="BE49" s="61">
        <v>171.1</v>
      </c>
      <c r="BF49" s="61">
        <v>154.490833333333</v>
      </c>
      <c r="BG49" s="61">
        <v>65.942361111111097</v>
      </c>
      <c r="BH49" s="61">
        <v>112.5</v>
      </c>
      <c r="BI49" s="61">
        <v>1361.09</v>
      </c>
      <c r="BJ49" s="61">
        <v>27.59</v>
      </c>
      <c r="BK49" s="61">
        <v>1572.86083333333</v>
      </c>
      <c r="BL49" s="61">
        <v>502.61666666666702</v>
      </c>
      <c r="BM49" s="61">
        <v>5403.6166666666704</v>
      </c>
      <c r="BN49" s="61">
        <v>6011.2275</v>
      </c>
      <c r="BO49" s="61">
        <v>1076.3416666666701</v>
      </c>
      <c r="BP49" s="61">
        <v>278.76833333333298</v>
      </c>
      <c r="BQ49" s="61">
        <v>376.949166666667</v>
      </c>
      <c r="BR49" s="61">
        <v>5.2154583333333298</v>
      </c>
      <c r="BS49" s="58"/>
      <c r="BT49" s="58"/>
      <c r="BU49" s="58"/>
      <c r="BV49" s="58"/>
      <c r="BW49" s="58"/>
      <c r="BX49" s="58"/>
      <c r="BY49" s="58"/>
      <c r="BZ49" s="58"/>
      <c r="CA49" s="58"/>
      <c r="CB49" s="58"/>
      <c r="CC49" s="58"/>
      <c r="CD49" s="58"/>
      <c r="CE49" s="58"/>
      <c r="CF49" s="58"/>
      <c r="CG49" s="58"/>
      <c r="CH49" s="58"/>
      <c r="CI49" s="58"/>
    </row>
    <row r="50" spans="1:87">
      <c r="A50" s="59">
        <v>2000</v>
      </c>
      <c r="B50" s="60">
        <v>28.229719444444498</v>
      </c>
      <c r="C50" s="60">
        <v>28.272915909090901</v>
      </c>
      <c r="D50" s="60">
        <v>26.0841174242424</v>
      </c>
      <c r="E50" s="60">
        <v>30.332125000000001</v>
      </c>
      <c r="F50" s="60">
        <v>26.25</v>
      </c>
      <c r="G50" s="60">
        <v>26.57</v>
      </c>
      <c r="H50" s="60">
        <v>4.30833333333333</v>
      </c>
      <c r="I50" s="60">
        <v>3.8583333333333298</v>
      </c>
      <c r="J50" s="60">
        <v>4.7125000000000004</v>
      </c>
      <c r="K50" s="60">
        <v>73.852799592962796</v>
      </c>
      <c r="L50" s="60">
        <v>0.90579166666666699</v>
      </c>
      <c r="M50" s="60">
        <v>1.91966666666667</v>
      </c>
      <c r="N50" s="60">
        <v>0.91302499999999998</v>
      </c>
      <c r="O50" s="60">
        <v>1.8762416666666699</v>
      </c>
      <c r="P50" s="60">
        <v>1.7933416666666699</v>
      </c>
      <c r="Q50" s="60">
        <v>1.8060166666666699</v>
      </c>
      <c r="R50" s="60">
        <v>2.02856666666667</v>
      </c>
      <c r="S50" s="60">
        <v>450.33333333333297</v>
      </c>
      <c r="T50" s="60">
        <v>870.68</v>
      </c>
      <c r="U50" s="60">
        <v>407.879166666667</v>
      </c>
      <c r="V50" s="60">
        <v>756.76250000000005</v>
      </c>
      <c r="W50" s="60">
        <v>310.25</v>
      </c>
      <c r="X50" s="60">
        <v>443.5</v>
      </c>
      <c r="Y50" s="60">
        <v>211.833333333333</v>
      </c>
      <c r="Z50" s="60">
        <v>338.14</v>
      </c>
      <c r="AA50" s="60">
        <v>203.69583333333301</v>
      </c>
      <c r="AB50" s="60">
        <v>77.234166666666695</v>
      </c>
      <c r="AC50" s="60">
        <v>88.534166666666593</v>
      </c>
      <c r="AD50" s="60">
        <v>88.003333333333302</v>
      </c>
      <c r="AE50" s="60">
        <v>202.395833333333</v>
      </c>
      <c r="AF50" s="60">
        <v>172.8125</v>
      </c>
      <c r="AG50" s="60">
        <v>143.47361111111101</v>
      </c>
      <c r="AH50" s="60" t="s">
        <v>137</v>
      </c>
      <c r="AI50" s="60">
        <v>98.914166666666603</v>
      </c>
      <c r="AJ50" s="60">
        <v>114.08750000000001</v>
      </c>
      <c r="AK50" s="60">
        <v>0.71242499999999997</v>
      </c>
      <c r="AL50" s="60">
        <v>0.42399833333333298</v>
      </c>
      <c r="AM50" s="60">
        <v>0.36321249999999999</v>
      </c>
      <c r="AN50" s="60">
        <v>1.92547836433333</v>
      </c>
      <c r="AO50" s="60">
        <v>1.3106465899999999</v>
      </c>
      <c r="AP50" s="60">
        <v>2.6184750000000001</v>
      </c>
      <c r="AQ50" s="60">
        <v>14.0177088333333</v>
      </c>
      <c r="AR50" s="60">
        <v>0.55515812597500003</v>
      </c>
      <c r="AS50" s="60">
        <v>0.42759166666666698</v>
      </c>
      <c r="AT50" s="60">
        <v>0.18035833333333301</v>
      </c>
      <c r="AU50" s="60">
        <v>2976.21333333333</v>
      </c>
      <c r="AV50" s="60">
        <v>275.42500000000001</v>
      </c>
      <c r="AW50" s="60">
        <v>189.946666666667</v>
      </c>
      <c r="AX50" s="60">
        <v>489.05068954738698</v>
      </c>
      <c r="AY50" s="60">
        <v>594.69696969696997</v>
      </c>
      <c r="AZ50" s="60">
        <v>448.24</v>
      </c>
      <c r="BA50" s="60">
        <v>1.3021499999999999</v>
      </c>
      <c r="BB50" s="60">
        <v>0.62921666666666698</v>
      </c>
      <c r="BC50" s="60">
        <v>0.66718333333333302</v>
      </c>
      <c r="BD50" s="60">
        <v>44</v>
      </c>
      <c r="BE50" s="60">
        <v>147.66874999999999</v>
      </c>
      <c r="BF50" s="60">
        <v>137.708333333333</v>
      </c>
      <c r="BG50" s="60">
        <v>100.92291666666701</v>
      </c>
      <c r="BH50" s="60">
        <v>112.5</v>
      </c>
      <c r="BI50" s="60">
        <v>1549.14083333333</v>
      </c>
      <c r="BJ50" s="60">
        <v>28.79</v>
      </c>
      <c r="BK50" s="60">
        <v>1813.4691666666699</v>
      </c>
      <c r="BL50" s="60">
        <v>453.941666666667</v>
      </c>
      <c r="BM50" s="60">
        <v>5435.7083333333303</v>
      </c>
      <c r="BN50" s="60">
        <v>8637.7391666666608</v>
      </c>
      <c r="BO50" s="60">
        <v>1128.13333333333</v>
      </c>
      <c r="BP50" s="60">
        <v>279.03166666666698</v>
      </c>
      <c r="BQ50" s="60">
        <v>544.63083333333304</v>
      </c>
      <c r="BR50" s="60">
        <v>4.9532416666666697</v>
      </c>
      <c r="BS50" s="58"/>
      <c r="BT50" s="58"/>
      <c r="BU50" s="58"/>
      <c r="BV50" s="58"/>
      <c r="BW50" s="58"/>
      <c r="BX50" s="58"/>
      <c r="BY50" s="58"/>
      <c r="BZ50" s="58"/>
      <c r="CA50" s="58"/>
      <c r="CB50" s="58"/>
      <c r="CC50" s="58"/>
      <c r="CD50" s="58"/>
      <c r="CE50" s="58"/>
      <c r="CF50" s="58"/>
      <c r="CG50" s="58"/>
      <c r="CH50" s="58"/>
      <c r="CI50" s="58"/>
    </row>
    <row r="51" spans="1:87">
      <c r="A51" s="55">
        <v>2001</v>
      </c>
      <c r="B51" s="61">
        <v>24.351825004292699</v>
      </c>
      <c r="C51" s="61">
        <v>24.4215715358885</v>
      </c>
      <c r="D51" s="61">
        <v>22.714820589434702</v>
      </c>
      <c r="E51" s="61">
        <v>25.919082887554801</v>
      </c>
      <c r="F51" s="61">
        <v>32.3125</v>
      </c>
      <c r="G51" s="61">
        <v>33.864166666666698</v>
      </c>
      <c r="H51" s="61">
        <v>3.95583333333333</v>
      </c>
      <c r="I51" s="61">
        <v>4.0575000000000001</v>
      </c>
      <c r="J51" s="61">
        <v>4.6341666666666699</v>
      </c>
      <c r="K51" s="61">
        <v>70.466023083714603</v>
      </c>
      <c r="L51" s="61">
        <v>1.06873333333333</v>
      </c>
      <c r="M51" s="61">
        <v>1.3731166666666701</v>
      </c>
      <c r="N51" s="61">
        <v>0.60717500000000002</v>
      </c>
      <c r="O51" s="61">
        <v>1.5981416666666699</v>
      </c>
      <c r="P51" s="61">
        <v>1.6166083333333301</v>
      </c>
      <c r="Q51" s="61">
        <v>1.6611499999999999</v>
      </c>
      <c r="R51" s="61">
        <v>1.5166666666666699</v>
      </c>
      <c r="S51" s="61">
        <v>318.08333333333297</v>
      </c>
      <c r="T51" s="61">
        <v>866.42166666666606</v>
      </c>
      <c r="U51" s="61">
        <v>465.324166666667</v>
      </c>
      <c r="V51" s="61">
        <v>759.23416666666606</v>
      </c>
      <c r="W51" s="61">
        <v>287.45833333333297</v>
      </c>
      <c r="X51" s="61">
        <v>305.300833333333</v>
      </c>
      <c r="Y51" s="61">
        <v>195.833333333333</v>
      </c>
      <c r="Z51" s="61">
        <v>353.23500000000001</v>
      </c>
      <c r="AA51" s="61">
        <v>204.634166666667</v>
      </c>
      <c r="AB51" s="61">
        <v>93.936666666666696</v>
      </c>
      <c r="AC51" s="61">
        <v>89.640833333333305</v>
      </c>
      <c r="AD51" s="61">
        <v>95.233333333333306</v>
      </c>
      <c r="AE51" s="61">
        <v>172.838333333333</v>
      </c>
      <c r="AF51" s="61">
        <v>153.06</v>
      </c>
      <c r="AG51" s="61">
        <v>134.10555555555601</v>
      </c>
      <c r="AH51" s="61" t="s">
        <v>137</v>
      </c>
      <c r="AI51" s="61">
        <v>107.724166666667</v>
      </c>
      <c r="AJ51" s="61">
        <v>126.808333333333</v>
      </c>
      <c r="AK51" s="61">
        <v>0.77723500000000001</v>
      </c>
      <c r="AL51" s="61">
        <v>0.58324833333333304</v>
      </c>
      <c r="AM51" s="61">
        <v>0.59549729307092103</v>
      </c>
      <c r="AN51" s="61">
        <v>2.1063858071666699</v>
      </c>
      <c r="AO51" s="61">
        <v>1.40276296233333</v>
      </c>
      <c r="AP51" s="61">
        <v>2.9117999999999999</v>
      </c>
      <c r="AQ51" s="61">
        <v>13.677829916666701</v>
      </c>
      <c r="AR51" s="61">
        <v>0.52865079019500005</v>
      </c>
      <c r="AS51" s="61">
        <v>0.47035833333333299</v>
      </c>
      <c r="AT51" s="61">
        <v>0.19039166666666699</v>
      </c>
      <c r="AU51" s="61">
        <v>3004.6149999999998</v>
      </c>
      <c r="AV51" s="61">
        <v>266.05250000000001</v>
      </c>
      <c r="AW51" s="61">
        <v>159.05250000000001</v>
      </c>
      <c r="AX51" s="61">
        <v>471.93372741844797</v>
      </c>
      <c r="AY51" s="61">
        <v>481.35198135198198</v>
      </c>
      <c r="AZ51" s="61">
        <v>409.8075</v>
      </c>
      <c r="BA51" s="61">
        <v>1.0580750000000001</v>
      </c>
      <c r="BB51" s="61">
        <v>0.51526666666666698</v>
      </c>
      <c r="BC51" s="61">
        <v>0.575125</v>
      </c>
      <c r="BD51" s="61">
        <v>44</v>
      </c>
      <c r="BE51" s="61">
        <v>143.509722222222</v>
      </c>
      <c r="BF51" s="61">
        <v>126.87583333333301</v>
      </c>
      <c r="BG51" s="61">
        <v>96.453472222222203</v>
      </c>
      <c r="BH51" s="61">
        <v>112.5</v>
      </c>
      <c r="BI51" s="61">
        <v>1443.6341666666699</v>
      </c>
      <c r="BJ51" s="61">
        <v>30.03</v>
      </c>
      <c r="BK51" s="61">
        <v>1578.28833333333</v>
      </c>
      <c r="BL51" s="61">
        <v>476.15833333333302</v>
      </c>
      <c r="BM51" s="61">
        <v>4484.4416666666702</v>
      </c>
      <c r="BN51" s="61">
        <v>5944.7266666666701</v>
      </c>
      <c r="BO51" s="61">
        <v>885.76666666666699</v>
      </c>
      <c r="BP51" s="61">
        <v>270.98916666666702</v>
      </c>
      <c r="BQ51" s="61">
        <v>529.52916666666704</v>
      </c>
      <c r="BR51" s="61">
        <v>4.3760000000000003</v>
      </c>
      <c r="BS51" s="58"/>
      <c r="BT51" s="58"/>
      <c r="BU51" s="58"/>
      <c r="BV51" s="58"/>
      <c r="BW51" s="58"/>
      <c r="BX51" s="58"/>
      <c r="BY51" s="58"/>
      <c r="BZ51" s="58"/>
      <c r="CA51" s="58"/>
      <c r="CB51" s="58"/>
      <c r="CC51" s="58"/>
      <c r="CD51" s="58"/>
      <c r="CE51" s="58"/>
      <c r="CF51" s="58"/>
      <c r="CG51" s="58"/>
      <c r="CH51" s="58"/>
      <c r="CI51" s="58"/>
    </row>
    <row r="52" spans="1:87">
      <c r="A52" s="59">
        <v>2002</v>
      </c>
      <c r="B52" s="60">
        <v>24.927748381805799</v>
      </c>
      <c r="C52" s="60">
        <v>24.969477707774001</v>
      </c>
      <c r="D52" s="60">
        <v>23.720599935142001</v>
      </c>
      <c r="E52" s="60">
        <v>26.093167502501299</v>
      </c>
      <c r="F52" s="60">
        <v>25.309374999999999</v>
      </c>
      <c r="G52" s="60">
        <v>26.024166666666702</v>
      </c>
      <c r="H52" s="60">
        <v>3.355</v>
      </c>
      <c r="I52" s="60">
        <v>3.0516666666666699</v>
      </c>
      <c r="J52" s="60">
        <v>4.2816666666666698</v>
      </c>
      <c r="K52" s="60">
        <v>58.149359260364498</v>
      </c>
      <c r="L52" s="60">
        <v>1.77785833333333</v>
      </c>
      <c r="M52" s="60">
        <v>1.3566083333333301</v>
      </c>
      <c r="N52" s="60">
        <v>0.66178333333333295</v>
      </c>
      <c r="O52" s="60">
        <v>1.506</v>
      </c>
      <c r="P52" s="60">
        <v>1.5620166666666699</v>
      </c>
      <c r="Q52" s="60">
        <v>1.4638916666666699</v>
      </c>
      <c r="R52" s="60">
        <v>1.4920833333333301</v>
      </c>
      <c r="S52" s="60">
        <v>421</v>
      </c>
      <c r="T52" s="60">
        <v>723.34749999999997</v>
      </c>
      <c r="U52" s="60">
        <v>638.83333333333303</v>
      </c>
      <c r="V52" s="60">
        <v>719.4325</v>
      </c>
      <c r="W52" s="60">
        <v>410.89499999999998</v>
      </c>
      <c r="X52" s="60">
        <v>412.51416666666699</v>
      </c>
      <c r="Y52" s="60">
        <v>212.666666666667</v>
      </c>
      <c r="Z52" s="60">
        <v>461.71</v>
      </c>
      <c r="AA52" s="60">
        <v>195.70416666666699</v>
      </c>
      <c r="AB52" s="60">
        <v>108.9675</v>
      </c>
      <c r="AC52" s="60">
        <v>99.2708333333333</v>
      </c>
      <c r="AD52" s="60">
        <v>101.741666666667</v>
      </c>
      <c r="AE52" s="60">
        <v>191.87333333333299</v>
      </c>
      <c r="AF52" s="60">
        <v>174.97583333333299</v>
      </c>
      <c r="AG52" s="60">
        <v>150.18194444444401</v>
      </c>
      <c r="AH52" s="60" t="s">
        <v>137</v>
      </c>
      <c r="AI52" s="60">
        <v>129.95750000000001</v>
      </c>
      <c r="AJ52" s="60">
        <v>148.07749999999999</v>
      </c>
      <c r="AK52" s="60">
        <v>0.75942416666666701</v>
      </c>
      <c r="AL52" s="60">
        <v>0.52857583333333302</v>
      </c>
      <c r="AM52" s="60">
        <v>0.56453207630542701</v>
      </c>
      <c r="AN52" s="60">
        <v>2.10859042716667</v>
      </c>
      <c r="AO52" s="60">
        <v>1.3907294115</v>
      </c>
      <c r="AP52" s="60">
        <v>3.3034166666666702</v>
      </c>
      <c r="AQ52" s="60">
        <v>10.389271750000001</v>
      </c>
      <c r="AR52" s="60">
        <v>0.54917212802833304</v>
      </c>
      <c r="AS52" s="60">
        <v>0.46137499999999998</v>
      </c>
      <c r="AT52" s="60">
        <v>0.15182499999999999</v>
      </c>
      <c r="AU52" s="60">
        <v>2744.4733333333302</v>
      </c>
      <c r="AV52" s="60">
        <v>236.02576044362101</v>
      </c>
      <c r="AW52" s="60">
        <v>163.40583333333299</v>
      </c>
      <c r="AX52" s="60">
        <v>486.344244721309</v>
      </c>
      <c r="AY52" s="60">
        <v>526.81177156177205</v>
      </c>
      <c r="AZ52" s="60">
        <v>402.73</v>
      </c>
      <c r="BA52" s="60">
        <v>1.019225</v>
      </c>
      <c r="BB52" s="60">
        <v>0.75153333333333405</v>
      </c>
      <c r="BC52" s="60">
        <v>0.76490000000000002</v>
      </c>
      <c r="BD52" s="60">
        <v>44</v>
      </c>
      <c r="BE52" s="60">
        <v>152.19374999999999</v>
      </c>
      <c r="BF52" s="60">
        <v>133.06333333333299</v>
      </c>
      <c r="BG52" s="60">
        <v>94.418750000000003</v>
      </c>
      <c r="BH52" s="60">
        <v>112.5</v>
      </c>
      <c r="BI52" s="60">
        <v>1349.915</v>
      </c>
      <c r="BJ52" s="60">
        <v>29.31</v>
      </c>
      <c r="BK52" s="60">
        <v>1559.4775</v>
      </c>
      <c r="BL52" s="60">
        <v>452.683333333333</v>
      </c>
      <c r="BM52" s="60">
        <v>4060.5</v>
      </c>
      <c r="BN52" s="60">
        <v>6771.7508333333299</v>
      </c>
      <c r="BO52" s="60">
        <v>778.75</v>
      </c>
      <c r="BP52" s="60">
        <v>309.97166666666698</v>
      </c>
      <c r="BQ52" s="60">
        <v>539.51416666666705</v>
      </c>
      <c r="BR52" s="60">
        <v>4.6010499999999999</v>
      </c>
      <c r="BS52" s="58"/>
      <c r="BT52" s="58"/>
      <c r="BU52" s="58"/>
      <c r="BV52" s="58"/>
      <c r="BW52" s="58"/>
      <c r="BX52" s="58"/>
      <c r="BY52" s="58"/>
      <c r="BZ52" s="58"/>
      <c r="CA52" s="58"/>
      <c r="CB52" s="58"/>
      <c r="CC52" s="58"/>
      <c r="CD52" s="58"/>
      <c r="CE52" s="58"/>
      <c r="CF52" s="58"/>
      <c r="CG52" s="58"/>
      <c r="CH52" s="58"/>
      <c r="CI52" s="58"/>
    </row>
    <row r="53" spans="1:87">
      <c r="A53" s="55">
        <v>2003</v>
      </c>
      <c r="B53" s="61">
        <v>28.898903189480802</v>
      </c>
      <c r="C53" s="61">
        <v>28.851390582847099</v>
      </c>
      <c r="D53" s="61">
        <v>26.738140786749501</v>
      </c>
      <c r="E53" s="61">
        <v>31.107178198845801</v>
      </c>
      <c r="F53" s="61">
        <v>26.090624999999999</v>
      </c>
      <c r="G53" s="61">
        <v>30.235416666666701</v>
      </c>
      <c r="H53" s="61">
        <v>5.4919826666666696</v>
      </c>
      <c r="I53" s="61">
        <v>3.9066666666666698</v>
      </c>
      <c r="J53" s="61">
        <v>4.7308333333333303</v>
      </c>
      <c r="K53" s="61">
        <v>88.468490974799806</v>
      </c>
      <c r="L53" s="61">
        <v>1.75087716666667</v>
      </c>
      <c r="M53" s="61">
        <v>1.4153853333333299</v>
      </c>
      <c r="N53" s="61">
        <v>0.81449685000000005</v>
      </c>
      <c r="O53" s="61">
        <v>1.51664191666667</v>
      </c>
      <c r="P53" s="61">
        <v>1.54108816666667</v>
      </c>
      <c r="Q53" s="61">
        <v>1.46521225</v>
      </c>
      <c r="R53" s="61">
        <v>1.543625</v>
      </c>
      <c r="S53" s="61">
        <v>467.33333333333297</v>
      </c>
      <c r="T53" s="61">
        <v>997.18545454545404</v>
      </c>
      <c r="U53" s="61">
        <v>640.33606585788596</v>
      </c>
      <c r="V53" s="61">
        <v>1209.4475</v>
      </c>
      <c r="W53" s="61">
        <v>476.70333333333298</v>
      </c>
      <c r="X53" s="61">
        <v>457.03916666666697</v>
      </c>
      <c r="Y53" s="61">
        <v>264</v>
      </c>
      <c r="Z53" s="61">
        <v>558.58500000000004</v>
      </c>
      <c r="AA53" s="61">
        <v>232.64</v>
      </c>
      <c r="AB53" s="61">
        <v>104.74049416666701</v>
      </c>
      <c r="AC53" s="61">
        <v>105.370075833333</v>
      </c>
      <c r="AD53" s="61">
        <v>106.534601666667</v>
      </c>
      <c r="AE53" s="61">
        <v>197.61666666666699</v>
      </c>
      <c r="AF53" s="61">
        <v>181.71666666666701</v>
      </c>
      <c r="AG53" s="61">
        <v>151.46666666666701</v>
      </c>
      <c r="AH53" s="61" t="s">
        <v>137</v>
      </c>
      <c r="AI53" s="61">
        <v>138.57684166666701</v>
      </c>
      <c r="AJ53" s="61">
        <v>146.1431</v>
      </c>
      <c r="AK53" s="61">
        <v>0.79039950833333406</v>
      </c>
      <c r="AL53" s="61">
        <v>0.37478707500000003</v>
      </c>
      <c r="AM53" s="61">
        <v>0.68077300833333299</v>
      </c>
      <c r="AN53" s="61">
        <v>2.1266683111666702</v>
      </c>
      <c r="AO53" s="61">
        <v>1.4597543913920901</v>
      </c>
      <c r="AP53" s="61">
        <v>3.8837790833333301</v>
      </c>
      <c r="AQ53" s="61">
        <v>10.7775298277778</v>
      </c>
      <c r="AR53" s="61">
        <v>0.59714496355678603</v>
      </c>
      <c r="AS53" s="61">
        <v>0.47371148333333302</v>
      </c>
      <c r="AT53" s="61">
        <v>0.15630196666666701</v>
      </c>
      <c r="AU53" s="61">
        <v>2646.1022499999999</v>
      </c>
      <c r="AV53" s="61">
        <v>279.48537250859903</v>
      </c>
      <c r="AW53" s="61">
        <v>187.16374166666699</v>
      </c>
      <c r="AX53" s="61">
        <v>551.62958462706604</v>
      </c>
      <c r="AY53" s="61">
        <v>550.99067599067598</v>
      </c>
      <c r="AZ53" s="61">
        <v>431.87835000000001</v>
      </c>
      <c r="BA53" s="61">
        <v>1.3991114084127001</v>
      </c>
      <c r="BB53" s="61">
        <v>1.0040750000000001</v>
      </c>
      <c r="BC53" s="61">
        <v>1.0827102666666699</v>
      </c>
      <c r="BD53" s="61">
        <v>44</v>
      </c>
      <c r="BE53" s="61">
        <v>171.66562500000001</v>
      </c>
      <c r="BF53" s="61">
        <v>149.333333333333</v>
      </c>
      <c r="BG53" s="61">
        <v>138.18541666666701</v>
      </c>
      <c r="BH53" s="61">
        <v>112.5</v>
      </c>
      <c r="BI53" s="61">
        <v>1431.29375</v>
      </c>
      <c r="BJ53" s="61">
        <v>31.95</v>
      </c>
      <c r="BK53" s="61">
        <v>1779.1448333333301</v>
      </c>
      <c r="BL53" s="61">
        <v>515.02941666666698</v>
      </c>
      <c r="BM53" s="61">
        <v>4894.8969166666702</v>
      </c>
      <c r="BN53" s="61">
        <v>9629.4682499999999</v>
      </c>
      <c r="BO53" s="61">
        <v>827.69541666666703</v>
      </c>
      <c r="BP53" s="61">
        <v>363.509166666667</v>
      </c>
      <c r="BQ53" s="61">
        <v>691.71416666666698</v>
      </c>
      <c r="BR53" s="61">
        <v>4.8762416666666697</v>
      </c>
      <c r="BS53" s="58"/>
      <c r="BT53" s="58"/>
      <c r="BU53" s="58"/>
      <c r="BV53" s="58"/>
      <c r="BW53" s="58"/>
      <c r="BX53" s="58"/>
      <c r="BY53" s="58"/>
      <c r="BZ53" s="58"/>
      <c r="CA53" s="58"/>
      <c r="CB53" s="58"/>
      <c r="CC53" s="58"/>
      <c r="CD53" s="58"/>
      <c r="CE53" s="58"/>
      <c r="CF53" s="58"/>
      <c r="CG53" s="58"/>
      <c r="CH53" s="58"/>
      <c r="CI53" s="58"/>
    </row>
    <row r="54" spans="1:87">
      <c r="A54" s="59">
        <v>2004</v>
      </c>
      <c r="B54" s="60">
        <v>37.733387703035604</v>
      </c>
      <c r="C54" s="60">
        <v>38.300679681747198</v>
      </c>
      <c r="D54" s="60">
        <v>33.455866083192198</v>
      </c>
      <c r="E54" s="60">
        <v>41.4436173441674</v>
      </c>
      <c r="F54" s="60">
        <v>52.9479166666667</v>
      </c>
      <c r="G54" s="60">
        <v>54.684375000000003</v>
      </c>
      <c r="H54" s="60">
        <v>5.8948671340736603</v>
      </c>
      <c r="I54" s="60">
        <v>4.2774999999999999</v>
      </c>
      <c r="J54" s="60">
        <v>5.1275000000000004</v>
      </c>
      <c r="K54" s="60">
        <v>95.392538077642797</v>
      </c>
      <c r="L54" s="60">
        <v>1.5498486147892001</v>
      </c>
      <c r="M54" s="60">
        <v>1.7739842266666701</v>
      </c>
      <c r="N54" s="60">
        <v>0.79303855766666698</v>
      </c>
      <c r="O54" s="60">
        <v>1.6856025376233299</v>
      </c>
      <c r="P54" s="60">
        <v>1.7809365237700601</v>
      </c>
      <c r="Q54" s="60">
        <v>1.72162108909992</v>
      </c>
      <c r="R54" s="60">
        <v>1.5542499999999999</v>
      </c>
      <c r="S54" s="60">
        <v>660.75</v>
      </c>
      <c r="T54" s="60">
        <v>988.14250000000004</v>
      </c>
      <c r="U54" s="60">
        <v>648.58333333333303</v>
      </c>
      <c r="V54" s="60">
        <v>1291.6283333333299</v>
      </c>
      <c r="W54" s="60">
        <v>499.28083333333302</v>
      </c>
      <c r="X54" s="60">
        <v>657.45</v>
      </c>
      <c r="Y54" s="60">
        <v>306.5</v>
      </c>
      <c r="Z54" s="60">
        <v>618.22583333333296</v>
      </c>
      <c r="AA54" s="60">
        <v>259.886666666667</v>
      </c>
      <c r="AB54" s="60">
        <v>98.988547595</v>
      </c>
      <c r="AC54" s="60">
        <v>111.803479666667</v>
      </c>
      <c r="AD54" s="60">
        <v>109.775735763426</v>
      </c>
      <c r="AE54" s="60">
        <v>237.666666666667</v>
      </c>
      <c r="AF54" s="60">
        <v>225.42500000000001</v>
      </c>
      <c r="AG54" s="60">
        <v>205.14166666666699</v>
      </c>
      <c r="AH54" s="60">
        <v>226.32170833333299</v>
      </c>
      <c r="AI54" s="60">
        <v>144.44395972875</v>
      </c>
      <c r="AJ54" s="60">
        <v>156.881680087489</v>
      </c>
      <c r="AK54" s="60">
        <v>0.89199256034521002</v>
      </c>
      <c r="AL54" s="60">
        <v>0.52458277135416698</v>
      </c>
      <c r="AM54" s="60">
        <v>0.85752321575139501</v>
      </c>
      <c r="AN54" s="60">
        <v>2.6730833781666701</v>
      </c>
      <c r="AO54" s="60">
        <v>1.6691824613095201</v>
      </c>
      <c r="AP54" s="60">
        <v>4.5988930508333299</v>
      </c>
      <c r="AQ54" s="60">
        <v>10.117368616666701</v>
      </c>
      <c r="AR54" s="60">
        <v>0.66968750419146095</v>
      </c>
      <c r="AS54" s="60">
        <v>0.45467869482857798</v>
      </c>
      <c r="AT54" s="60">
        <v>0.15798607549999999</v>
      </c>
      <c r="AU54" s="60">
        <v>2740.2150000000001</v>
      </c>
      <c r="AV54" s="60">
        <v>331.30374951399898</v>
      </c>
      <c r="AW54" s="60">
        <v>197.25556808014201</v>
      </c>
      <c r="AX54" s="60">
        <v>586.40105489937798</v>
      </c>
      <c r="AY54" s="60">
        <v>581.29370629370601</v>
      </c>
      <c r="AZ54" s="60">
        <v>464.82048152517802</v>
      </c>
      <c r="BA54" s="60">
        <v>1.3657211985798801</v>
      </c>
      <c r="BB54" s="60">
        <v>1.2065999999999999</v>
      </c>
      <c r="BC54" s="60">
        <v>1.280375</v>
      </c>
      <c r="BD54" s="60">
        <v>44</v>
      </c>
      <c r="BE54" s="60">
        <v>204.74375000000001</v>
      </c>
      <c r="BF54" s="60">
        <v>186.3125</v>
      </c>
      <c r="BG54" s="60">
        <v>174.91458333333301</v>
      </c>
      <c r="BH54" s="60">
        <v>125.55</v>
      </c>
      <c r="BI54" s="60">
        <v>1715.5409999999999</v>
      </c>
      <c r="BJ54" s="60">
        <v>37.9</v>
      </c>
      <c r="BK54" s="60">
        <v>2865.8849166666701</v>
      </c>
      <c r="BL54" s="60">
        <v>886.54499999999996</v>
      </c>
      <c r="BM54" s="60">
        <v>8512.7334166666606</v>
      </c>
      <c r="BN54" s="60">
        <v>13823.240750000001</v>
      </c>
      <c r="BO54" s="60">
        <v>1047.75325</v>
      </c>
      <c r="BP54" s="60">
        <v>409.21158333333301</v>
      </c>
      <c r="BQ54" s="60">
        <v>845.35</v>
      </c>
      <c r="BR54" s="60">
        <v>6.6578666666666697</v>
      </c>
      <c r="BS54" s="58"/>
      <c r="BT54" s="58"/>
      <c r="BU54" s="58"/>
      <c r="BV54" s="58"/>
      <c r="BW54" s="58"/>
      <c r="BX54" s="58"/>
      <c r="BY54" s="58"/>
      <c r="BZ54" s="58"/>
      <c r="CA54" s="58"/>
      <c r="CB54" s="58"/>
      <c r="CC54" s="58"/>
      <c r="CD54" s="58"/>
      <c r="CE54" s="58"/>
      <c r="CF54" s="58"/>
      <c r="CG54" s="58"/>
      <c r="CH54" s="58"/>
      <c r="CI54" s="58"/>
    </row>
    <row r="55" spans="1:87">
      <c r="A55" s="55">
        <v>2005</v>
      </c>
      <c r="B55" s="61">
        <v>53.391024596790601</v>
      </c>
      <c r="C55" s="61">
        <v>54.434130411255403</v>
      </c>
      <c r="D55" s="61">
        <v>49.294158910533902</v>
      </c>
      <c r="E55" s="61">
        <v>56.444784468582498</v>
      </c>
      <c r="F55" s="61">
        <v>47.6209027777778</v>
      </c>
      <c r="G55" s="61">
        <v>46.196944444444398</v>
      </c>
      <c r="H55" s="61">
        <v>8.9156728268711891</v>
      </c>
      <c r="I55" s="61">
        <v>6.3266666666666698</v>
      </c>
      <c r="J55" s="61">
        <v>5.99</v>
      </c>
      <c r="K55" s="61">
        <v>142.401328693246</v>
      </c>
      <c r="L55" s="61">
        <v>1.53811959057971</v>
      </c>
      <c r="M55" s="61">
        <v>2.5321714165000002</v>
      </c>
      <c r="N55" s="61">
        <v>1.1145088973333299</v>
      </c>
      <c r="O55" s="61">
        <v>1.64708049798892</v>
      </c>
      <c r="P55" s="61">
        <v>1.8429193087742399</v>
      </c>
      <c r="Q55" s="61">
        <v>1.62082218519251</v>
      </c>
      <c r="R55" s="61">
        <v>1.4775</v>
      </c>
      <c r="S55" s="61">
        <v>616.97916666666697</v>
      </c>
      <c r="T55" s="61">
        <v>874.22166666666703</v>
      </c>
      <c r="U55" s="61">
        <v>676.59493934142097</v>
      </c>
      <c r="V55" s="61">
        <v>1170.98166666667</v>
      </c>
      <c r="W55" s="61">
        <v>450.56416666666701</v>
      </c>
      <c r="X55" s="61">
        <v>630.82166666666706</v>
      </c>
      <c r="Y55" s="61">
        <v>274.6875</v>
      </c>
      <c r="Z55" s="61">
        <v>544.59333333333302</v>
      </c>
      <c r="AA55" s="61">
        <v>236.761666666667</v>
      </c>
      <c r="AB55" s="61">
        <v>95.077129175833306</v>
      </c>
      <c r="AC55" s="61">
        <v>98.671791166666694</v>
      </c>
      <c r="AD55" s="61">
        <v>96.215434547222202</v>
      </c>
      <c r="AE55" s="61">
        <v>286.27083333333297</v>
      </c>
      <c r="AF55" s="61">
        <v>265.379166666667</v>
      </c>
      <c r="AG55" s="61">
        <v>217.816666666667</v>
      </c>
      <c r="AH55" s="61" t="s">
        <v>137</v>
      </c>
      <c r="AI55" s="61">
        <v>135.72001732968801</v>
      </c>
      <c r="AJ55" s="61">
        <v>152.350593749735</v>
      </c>
      <c r="AK55" s="61">
        <v>1.17257962133155</v>
      </c>
      <c r="AL55" s="61">
        <v>0.60284246005208297</v>
      </c>
      <c r="AM55" s="61">
        <v>0.87467396545841802</v>
      </c>
      <c r="AN55" s="61">
        <v>2.7346106479999999</v>
      </c>
      <c r="AO55" s="61">
        <v>1.6293733811431601</v>
      </c>
      <c r="AP55" s="61">
        <v>4.4384745052777799</v>
      </c>
      <c r="AQ55" s="61">
        <v>9.7060232683333307</v>
      </c>
      <c r="AR55" s="61">
        <v>0.66542204546440897</v>
      </c>
      <c r="AS55" s="61">
        <v>0.46926528638819898</v>
      </c>
      <c r="AT55" s="61">
        <v>0.21792668700000001</v>
      </c>
      <c r="AU55" s="61">
        <v>2789.6515466010601</v>
      </c>
      <c r="AV55" s="61">
        <v>334.36862291666699</v>
      </c>
      <c r="AW55" s="61">
        <v>203.12027512155399</v>
      </c>
      <c r="AX55" s="61">
        <v>559.13646024688205</v>
      </c>
      <c r="AY55" s="61">
        <v>659.38228438228396</v>
      </c>
      <c r="AZ55" s="61">
        <v>508.60911417918902</v>
      </c>
      <c r="BA55" s="61">
        <v>1.2169670479971499</v>
      </c>
      <c r="BB55" s="61">
        <v>1.38635833333333</v>
      </c>
      <c r="BC55" s="61">
        <v>1.488</v>
      </c>
      <c r="BD55" s="61">
        <v>44</v>
      </c>
      <c r="BE55" s="61">
        <v>226.785416666667</v>
      </c>
      <c r="BF55" s="61">
        <v>201.479166666667</v>
      </c>
      <c r="BG55" s="61">
        <v>217.35208333333301</v>
      </c>
      <c r="BH55" s="61">
        <v>155</v>
      </c>
      <c r="BI55" s="61">
        <v>1898.3080833333299</v>
      </c>
      <c r="BJ55" s="61">
        <v>65</v>
      </c>
      <c r="BK55" s="61">
        <v>3678.8764166666701</v>
      </c>
      <c r="BL55" s="61">
        <v>976.36816666666596</v>
      </c>
      <c r="BM55" s="61">
        <v>7379.8279166666698</v>
      </c>
      <c r="BN55" s="61">
        <v>14743.9593333333</v>
      </c>
      <c r="BO55" s="61">
        <v>1381.3059166666701</v>
      </c>
      <c r="BP55" s="61">
        <v>444.84258333333298</v>
      </c>
      <c r="BQ55" s="61">
        <v>896.52833333333297</v>
      </c>
      <c r="BR55" s="61">
        <v>7.3083666666666698</v>
      </c>
      <c r="BS55" s="58"/>
      <c r="BT55" s="58"/>
      <c r="BU55" s="58"/>
      <c r="BV55" s="58"/>
      <c r="BW55" s="58"/>
      <c r="BX55" s="58"/>
      <c r="BY55" s="58"/>
      <c r="BZ55" s="58"/>
      <c r="CA55" s="58"/>
      <c r="CB55" s="58"/>
      <c r="CC55" s="58"/>
      <c r="CD55" s="58"/>
      <c r="CE55" s="58"/>
      <c r="CF55" s="58"/>
      <c r="CG55" s="58"/>
      <c r="CH55" s="58"/>
      <c r="CI55" s="58"/>
    </row>
    <row r="56" spans="1:87">
      <c r="A56" s="59">
        <v>2006</v>
      </c>
      <c r="B56" s="60">
        <v>64.288259140201603</v>
      </c>
      <c r="C56" s="60">
        <v>65.391381220673594</v>
      </c>
      <c r="D56" s="60">
        <v>61.430812003658701</v>
      </c>
      <c r="E56" s="60">
        <v>66.042584196272401</v>
      </c>
      <c r="F56" s="60">
        <v>49.089583333333302</v>
      </c>
      <c r="G56" s="60">
        <v>50.694166666666703</v>
      </c>
      <c r="H56" s="60">
        <v>6.7195430939833098</v>
      </c>
      <c r="I56" s="60">
        <v>8.4708333333333297</v>
      </c>
      <c r="J56" s="60">
        <v>7.0750000000000002</v>
      </c>
      <c r="K56" s="60">
        <v>126.661296467022</v>
      </c>
      <c r="L56" s="60">
        <v>1.59190223742863</v>
      </c>
      <c r="M56" s="60">
        <v>2.52210365183333</v>
      </c>
      <c r="N56" s="60">
        <v>1.48931266916667</v>
      </c>
      <c r="O56" s="60">
        <v>1.87207711459157</v>
      </c>
      <c r="P56" s="60">
        <v>1.9097188060418799</v>
      </c>
      <c r="Q56" s="60">
        <v>1.7542069821772699</v>
      </c>
      <c r="R56" s="60">
        <v>1.95230555555556</v>
      </c>
      <c r="S56" s="60">
        <v>606.90972222222194</v>
      </c>
      <c r="T56" s="60">
        <v>875.26228260869505</v>
      </c>
      <c r="U56" s="60">
        <v>755.35209416522196</v>
      </c>
      <c r="V56" s="60">
        <v>1019.4783333333301</v>
      </c>
      <c r="W56" s="60">
        <v>508.29916666666702</v>
      </c>
      <c r="X56" s="60">
        <v>578.5675</v>
      </c>
      <c r="Y56" s="60">
        <v>268.64583333333297</v>
      </c>
      <c r="Z56" s="60">
        <v>599.33500000000004</v>
      </c>
      <c r="AA56" s="60">
        <v>227.36166666666699</v>
      </c>
      <c r="AB56" s="60">
        <v>116.61509517499999</v>
      </c>
      <c r="AC56" s="60">
        <v>121.85101775</v>
      </c>
      <c r="AD56" s="60">
        <v>122.9392564125</v>
      </c>
      <c r="AE56" s="60">
        <v>304.87638888888898</v>
      </c>
      <c r="AF56" s="60">
        <v>277.12361111111102</v>
      </c>
      <c r="AG56" s="60">
        <v>219.51249999999999</v>
      </c>
      <c r="AH56" s="60" t="s">
        <v>137</v>
      </c>
      <c r="AI56" s="60">
        <v>158.96785216265599</v>
      </c>
      <c r="AJ56" s="60">
        <v>192.04335668599799</v>
      </c>
      <c r="AK56" s="60">
        <v>0.89702574209164398</v>
      </c>
      <c r="AL56" s="60">
        <v>0.67724399375</v>
      </c>
      <c r="AM56" s="60">
        <v>0.82918481229663199</v>
      </c>
      <c r="AN56" s="60">
        <v>2.649843009</v>
      </c>
      <c r="AO56" s="60">
        <v>1.52614102184829</v>
      </c>
      <c r="AP56" s="60">
        <v>4.03590583333333</v>
      </c>
      <c r="AQ56" s="60">
        <v>9.6040595933333393</v>
      </c>
      <c r="AR56" s="60">
        <v>0.64564118874348397</v>
      </c>
      <c r="AS56" s="60">
        <v>0.487645777780358</v>
      </c>
      <c r="AT56" s="60">
        <v>0.32587239068840601</v>
      </c>
      <c r="AU56" s="60">
        <v>2969.1955153326599</v>
      </c>
      <c r="AV56" s="60">
        <v>318.47839270833299</v>
      </c>
      <c r="AW56" s="60">
        <v>239.42914707308</v>
      </c>
      <c r="AX56" s="60">
        <v>622.86582905988098</v>
      </c>
      <c r="AY56" s="60">
        <v>749.34343862397202</v>
      </c>
      <c r="AZ56" s="60">
        <v>595.56383908188502</v>
      </c>
      <c r="BA56" s="60">
        <v>1.2665541899999999</v>
      </c>
      <c r="BB56" s="60">
        <v>1.9460666666666699</v>
      </c>
      <c r="BC56" s="60">
        <v>2.0787499999999999</v>
      </c>
      <c r="BD56" s="60">
        <v>44</v>
      </c>
      <c r="BE56" s="60">
        <v>229.871527777778</v>
      </c>
      <c r="BF56" s="60">
        <v>201.63333333333301</v>
      </c>
      <c r="BG56" s="60">
        <v>222.138888888889</v>
      </c>
      <c r="BH56" s="60">
        <v>178.333333333333</v>
      </c>
      <c r="BI56" s="60">
        <v>2569.8987499999998</v>
      </c>
      <c r="BJ56" s="60">
        <v>69.3333333333333</v>
      </c>
      <c r="BK56" s="60">
        <v>6722.1345000000001</v>
      </c>
      <c r="BL56" s="60">
        <v>1289.7220833333299</v>
      </c>
      <c r="BM56" s="60">
        <v>8780.8253333333396</v>
      </c>
      <c r="BN56" s="60">
        <v>24254.409250000001</v>
      </c>
      <c r="BO56" s="60">
        <v>3275.2917499999999</v>
      </c>
      <c r="BP56" s="60">
        <v>604.33583333333297</v>
      </c>
      <c r="BQ56" s="60">
        <v>1140.78</v>
      </c>
      <c r="BR56" s="60">
        <v>11.559233333333299</v>
      </c>
      <c r="BS56" s="58"/>
      <c r="BT56" s="58"/>
      <c r="BU56" s="58"/>
      <c r="BV56" s="58"/>
      <c r="BW56" s="58"/>
      <c r="BX56" s="58"/>
      <c r="BY56" s="58"/>
      <c r="BZ56" s="58"/>
      <c r="CA56" s="58"/>
      <c r="CB56" s="58"/>
      <c r="CC56" s="58"/>
      <c r="CD56" s="58"/>
      <c r="CE56" s="58"/>
      <c r="CF56" s="58"/>
      <c r="CG56" s="58"/>
      <c r="CH56" s="58"/>
      <c r="CI56" s="58"/>
    </row>
    <row r="57" spans="1:87">
      <c r="A57" s="55">
        <v>2007</v>
      </c>
      <c r="B57" s="61">
        <v>71.116559010063597</v>
      </c>
      <c r="C57" s="61">
        <v>72.696170525952596</v>
      </c>
      <c r="D57" s="61">
        <v>68.369053899158303</v>
      </c>
      <c r="E57" s="61">
        <v>72.284452605079906</v>
      </c>
      <c r="F57" s="61">
        <v>65.733125000000001</v>
      </c>
      <c r="G57" s="61">
        <v>62.650833333333303</v>
      </c>
      <c r="H57" s="61">
        <v>6.9819506869941703</v>
      </c>
      <c r="I57" s="61">
        <v>8.5549999999999997</v>
      </c>
      <c r="J57" s="61">
        <v>7.68333333333333</v>
      </c>
      <c r="K57" s="61">
        <v>130.66007798703299</v>
      </c>
      <c r="L57" s="61">
        <v>1.9522691552795</v>
      </c>
      <c r="M57" s="61">
        <v>2.7236977790000001</v>
      </c>
      <c r="N57" s="61">
        <v>1.90918254816667</v>
      </c>
      <c r="O57" s="61">
        <v>2.0361013232845702</v>
      </c>
      <c r="P57" s="61">
        <v>2.5221221186840799</v>
      </c>
      <c r="Q57" s="61">
        <v>1.9212374067251901</v>
      </c>
      <c r="R57" s="61">
        <v>1.6649444444444399</v>
      </c>
      <c r="S57" s="61">
        <v>918.875</v>
      </c>
      <c r="T57" s="61">
        <v>1247.5528169014101</v>
      </c>
      <c r="U57" s="61">
        <v>1166.49</v>
      </c>
      <c r="V57" s="61">
        <v>1375.13916666667</v>
      </c>
      <c r="W57" s="61">
        <v>816.68666666666695</v>
      </c>
      <c r="X57" s="61">
        <v>888.40499999999997</v>
      </c>
      <c r="Y57" s="61">
        <v>383.10333333333301</v>
      </c>
      <c r="Z57" s="61">
        <v>886.05666666666605</v>
      </c>
      <c r="AA57" s="61">
        <v>321.9375</v>
      </c>
      <c r="AB57" s="61">
        <v>172.38121729166701</v>
      </c>
      <c r="AC57" s="61">
        <v>163.664914466667</v>
      </c>
      <c r="AD57" s="61">
        <v>162.69360726666699</v>
      </c>
      <c r="AE57" s="61">
        <v>326.43194444444401</v>
      </c>
      <c r="AF57" s="61">
        <v>306.50138888888898</v>
      </c>
      <c r="AG57" s="61">
        <v>272.316666666667</v>
      </c>
      <c r="AH57" s="61" t="s">
        <v>137</v>
      </c>
      <c r="AI57" s="61">
        <v>238.587672411</v>
      </c>
      <c r="AJ57" s="61">
        <v>255.206110496798</v>
      </c>
      <c r="AK57" s="61">
        <v>1.03700829555324</v>
      </c>
      <c r="AL57" s="61">
        <v>0.67581164166666696</v>
      </c>
      <c r="AM57" s="61">
        <v>0.95668084659972696</v>
      </c>
      <c r="AN57" s="61">
        <v>2.6953684120000001</v>
      </c>
      <c r="AO57" s="61">
        <v>1.72358954910577</v>
      </c>
      <c r="AP57" s="61">
        <v>4.1196086083333299</v>
      </c>
      <c r="AQ57" s="61">
        <v>9.6795678283333295</v>
      </c>
      <c r="AR57" s="61">
        <v>0.68091298571553205</v>
      </c>
      <c r="AS57" s="61">
        <v>0.45774555260224098</v>
      </c>
      <c r="AT57" s="61">
        <v>0.22215220866666699</v>
      </c>
      <c r="AU57" s="61">
        <v>3315.05666666667</v>
      </c>
      <c r="AV57" s="61">
        <v>381.32151396739101</v>
      </c>
      <c r="AW57" s="61">
        <v>267.98065534768398</v>
      </c>
      <c r="AX57" s="61">
        <v>759.838710971919</v>
      </c>
      <c r="AY57" s="61">
        <v>806.29676548003204</v>
      </c>
      <c r="AZ57" s="61">
        <v>640.71773681641503</v>
      </c>
      <c r="BA57" s="61">
        <v>1.3951570233333299</v>
      </c>
      <c r="BB57" s="61">
        <v>2.1556583333333301</v>
      </c>
      <c r="BC57" s="61">
        <v>2.2630583333333298</v>
      </c>
      <c r="BD57" s="61">
        <v>52.0208333333333</v>
      </c>
      <c r="BE57" s="61">
        <v>391.96249999999998</v>
      </c>
      <c r="BF57" s="61">
        <v>339.05416666666702</v>
      </c>
      <c r="BG57" s="61">
        <v>307.10763888888903</v>
      </c>
      <c r="BH57" s="61">
        <v>195.416666666667</v>
      </c>
      <c r="BI57" s="61">
        <v>2638.17916666667</v>
      </c>
      <c r="BJ57" s="61">
        <v>122.9875</v>
      </c>
      <c r="BK57" s="61">
        <v>7118.2259999999997</v>
      </c>
      <c r="BL57" s="61">
        <v>2579.9854166666701</v>
      </c>
      <c r="BM57" s="61">
        <v>14536.834500000001</v>
      </c>
      <c r="BN57" s="61">
        <v>37229.806750000003</v>
      </c>
      <c r="BO57" s="61">
        <v>3242.3575833333298</v>
      </c>
      <c r="BP57" s="61">
        <v>696.72024999999996</v>
      </c>
      <c r="BQ57" s="61">
        <v>1304.94</v>
      </c>
      <c r="BR57" s="61">
        <v>13.391975</v>
      </c>
      <c r="BS57" s="58"/>
      <c r="BT57" s="58"/>
      <c r="BU57" s="58"/>
      <c r="BV57" s="58"/>
      <c r="BW57" s="58"/>
      <c r="BX57" s="58"/>
      <c r="BY57" s="58"/>
      <c r="BZ57" s="58"/>
      <c r="CA57" s="58"/>
      <c r="CB57" s="58"/>
      <c r="CC57" s="58"/>
      <c r="CD57" s="58"/>
      <c r="CE57" s="58"/>
      <c r="CF57" s="58"/>
      <c r="CG57" s="58"/>
      <c r="CH57" s="58"/>
      <c r="CI57" s="58"/>
    </row>
    <row r="58" spans="1:87">
      <c r="A58" s="59">
        <v>2008</v>
      </c>
      <c r="B58" s="60">
        <v>96.990453758462905</v>
      </c>
      <c r="C58" s="60">
        <v>97.636484181880903</v>
      </c>
      <c r="D58" s="60">
        <v>93.777133466076194</v>
      </c>
      <c r="E58" s="60">
        <v>99.557743627431606</v>
      </c>
      <c r="F58" s="60">
        <v>127.104166666667</v>
      </c>
      <c r="G58" s="60">
        <v>120.598333333333</v>
      </c>
      <c r="H58" s="60">
        <v>8.8572024107534997</v>
      </c>
      <c r="I58" s="60">
        <v>13.4066666666667</v>
      </c>
      <c r="J58" s="60">
        <v>12.526666666666699</v>
      </c>
      <c r="K58" s="60">
        <v>179.77797816995701</v>
      </c>
      <c r="L58" s="60">
        <v>2.5771163235294101</v>
      </c>
      <c r="M58" s="60">
        <v>3.0815994641666702</v>
      </c>
      <c r="N58" s="60">
        <v>2.3209137050000002</v>
      </c>
      <c r="O58" s="60">
        <v>2.4204735877443202</v>
      </c>
      <c r="P58" s="60">
        <v>2.7892555504332202</v>
      </c>
      <c r="Q58" s="60">
        <v>2.25456799057751</v>
      </c>
      <c r="R58" s="60">
        <v>2.2175972222222202</v>
      </c>
      <c r="S58" s="60">
        <v>1224</v>
      </c>
      <c r="T58" s="60">
        <v>1600.9933333333299</v>
      </c>
      <c r="U58" s="60">
        <v>1203.5308333333301</v>
      </c>
      <c r="V58" s="60">
        <v>2144.7399999999998</v>
      </c>
      <c r="W58" s="60">
        <v>1042.92333333333</v>
      </c>
      <c r="X58" s="60">
        <v>1124.88083333333</v>
      </c>
      <c r="Y58" s="60">
        <v>521.87</v>
      </c>
      <c r="Z58" s="60">
        <v>1260.81083333333</v>
      </c>
      <c r="AA58" s="60">
        <v>442.13833333333298</v>
      </c>
      <c r="AB58" s="60">
        <v>200.51552770252101</v>
      </c>
      <c r="AC58" s="60">
        <v>223.116827733333</v>
      </c>
      <c r="AD58" s="60">
        <v>207.830702533416</v>
      </c>
      <c r="AE58" s="60">
        <v>650.1875</v>
      </c>
      <c r="AF58" s="60" t="s">
        <v>137</v>
      </c>
      <c r="AG58" s="60">
        <v>482.27638888888902</v>
      </c>
      <c r="AH58" s="60" t="s">
        <v>137</v>
      </c>
      <c r="AI58" s="60">
        <v>271.52032792915901</v>
      </c>
      <c r="AJ58" s="60">
        <v>326.03004623959299</v>
      </c>
      <c r="AK58" s="60">
        <v>1.18771047765533</v>
      </c>
      <c r="AL58" s="60">
        <v>0.84421254583333405</v>
      </c>
      <c r="AM58" s="60">
        <v>1.1073069830056299</v>
      </c>
      <c r="AN58" s="60">
        <v>3.23540845283333</v>
      </c>
      <c r="AO58" s="60">
        <v>1.86545112440842</v>
      </c>
      <c r="AP58" s="60">
        <v>4.5850681281250001</v>
      </c>
      <c r="AQ58" s="60">
        <v>10.512179314999999</v>
      </c>
      <c r="AR58" s="60">
        <v>0.69692696843864099</v>
      </c>
      <c r="AS58" s="60">
        <v>0.46858230142232399</v>
      </c>
      <c r="AT58" s="60">
        <v>0.28213624450000002</v>
      </c>
      <c r="AU58" s="60">
        <v>3588.7408333333301</v>
      </c>
      <c r="AV58" s="60">
        <v>526.88663541666699</v>
      </c>
      <c r="AW58" s="60">
        <v>292.29698201023399</v>
      </c>
      <c r="AX58" s="60">
        <v>958.278468925982</v>
      </c>
      <c r="AY58" s="60">
        <v>889.09163146409696</v>
      </c>
      <c r="AZ58" s="60">
        <v>645.45483454420605</v>
      </c>
      <c r="BA58" s="60">
        <v>1.5739062131746</v>
      </c>
      <c r="BB58" s="60">
        <v>2.5299916666666702</v>
      </c>
      <c r="BC58" s="60">
        <v>2.5862583333333302</v>
      </c>
      <c r="BD58" s="60">
        <v>242.739583333333</v>
      </c>
      <c r="BE58" s="60">
        <v>861.61874999999998</v>
      </c>
      <c r="BF58" s="60">
        <v>879.38125000000002</v>
      </c>
      <c r="BG58" s="60">
        <v>514.97916666666697</v>
      </c>
      <c r="BH58" s="60">
        <v>455.96875</v>
      </c>
      <c r="BI58" s="60">
        <v>2572.7891666666701</v>
      </c>
      <c r="BJ58" s="60">
        <v>155.993333333333</v>
      </c>
      <c r="BK58" s="60">
        <v>6955.8798333333298</v>
      </c>
      <c r="BL58" s="60">
        <v>2090.6634166666699</v>
      </c>
      <c r="BM58" s="60">
        <v>18510.0910833333</v>
      </c>
      <c r="BN58" s="60">
        <v>21110.644833333299</v>
      </c>
      <c r="BO58" s="60">
        <v>1874.7086666666701</v>
      </c>
      <c r="BP58" s="60">
        <v>871.70725000000004</v>
      </c>
      <c r="BQ58" s="60">
        <v>1574.4991666666699</v>
      </c>
      <c r="BR58" s="60">
        <v>14.9965333333333</v>
      </c>
      <c r="BS58" s="58"/>
      <c r="BT58" s="58"/>
      <c r="BU58" s="58"/>
      <c r="BV58" s="58"/>
      <c r="BW58" s="58"/>
      <c r="BX58" s="58"/>
      <c r="BY58" s="58"/>
      <c r="BZ58" s="58"/>
      <c r="CA58" s="58"/>
      <c r="CB58" s="58"/>
      <c r="CC58" s="58"/>
      <c r="CD58" s="58"/>
      <c r="CE58" s="58"/>
      <c r="CF58" s="58"/>
      <c r="CG58" s="58"/>
      <c r="CH58" s="58"/>
      <c r="CI58" s="58"/>
    </row>
    <row r="59" spans="1:87">
      <c r="A59" s="55">
        <v>2009</v>
      </c>
      <c r="B59" s="61">
        <v>61.756922215507998</v>
      </c>
      <c r="C59" s="61">
        <v>61.862206890331898</v>
      </c>
      <c r="D59" s="61">
        <v>61.754919756571901</v>
      </c>
      <c r="E59" s="61">
        <v>61.653639999620303</v>
      </c>
      <c r="F59" s="61">
        <v>71.844166666666695</v>
      </c>
      <c r="G59" s="61">
        <v>64.683333333333294</v>
      </c>
      <c r="H59" s="61">
        <v>3.9502916666666699</v>
      </c>
      <c r="I59" s="61">
        <v>8.7100000000000009</v>
      </c>
      <c r="J59" s="61">
        <v>8.9358333333333295</v>
      </c>
      <c r="K59" s="61">
        <v>95.430938841111399</v>
      </c>
      <c r="L59" s="61">
        <v>2.8887503296666699</v>
      </c>
      <c r="M59" s="61">
        <v>3.1711428612416701</v>
      </c>
      <c r="N59" s="61">
        <v>1.6441615035999999</v>
      </c>
      <c r="O59" s="61">
        <v>2.72401329949854</v>
      </c>
      <c r="P59" s="61">
        <v>3.1372094487465101</v>
      </c>
      <c r="Q59" s="61">
        <v>2.5152748941935701</v>
      </c>
      <c r="R59" s="61">
        <v>2.5195555555555602</v>
      </c>
      <c r="S59" s="61">
        <v>725.375</v>
      </c>
      <c r="T59" s="61">
        <v>1130.0158045977</v>
      </c>
      <c r="U59" s="61">
        <v>1191.1041666666699</v>
      </c>
      <c r="V59" s="61">
        <v>1352.59666666667</v>
      </c>
      <c r="W59" s="61">
        <v>741.14583333333405</v>
      </c>
      <c r="X59" s="61">
        <v>699.02166666666699</v>
      </c>
      <c r="Y59" s="61">
        <v>423.6225</v>
      </c>
      <c r="Z59" s="61">
        <v>853.06500000000005</v>
      </c>
      <c r="AA59" s="61">
        <v>423.57583333333298</v>
      </c>
      <c r="AB59" s="61">
        <v>128.322186170028</v>
      </c>
      <c r="AC59" s="61">
        <v>165.509633333333</v>
      </c>
      <c r="AD59" s="61">
        <v>151.054132258333</v>
      </c>
      <c r="AE59" s="61">
        <v>554.993055555556</v>
      </c>
      <c r="AF59" s="61">
        <v>458.066666666667</v>
      </c>
      <c r="AG59" s="61">
        <v>326.35972222222199</v>
      </c>
      <c r="AH59" s="61" t="s">
        <v>137</v>
      </c>
      <c r="AI59" s="61">
        <v>185.95358992499999</v>
      </c>
      <c r="AJ59" s="61">
        <v>224.06988173743301</v>
      </c>
      <c r="AK59" s="61">
        <v>1.1449028222100599</v>
      </c>
      <c r="AL59" s="61">
        <v>0.84714064973958403</v>
      </c>
      <c r="AM59" s="61">
        <v>0.90903947102457905</v>
      </c>
      <c r="AN59" s="61">
        <v>2.7297237403333301</v>
      </c>
      <c r="AO59" s="61">
        <v>1.88778825918269</v>
      </c>
      <c r="AP59" s="61">
        <v>4.2764963604166697</v>
      </c>
      <c r="AQ59" s="61">
        <v>8.9182390550000008</v>
      </c>
      <c r="AR59" s="61">
        <v>0.52435188259394405</v>
      </c>
      <c r="AS59" s="61">
        <v>0.54875121534582305</v>
      </c>
      <c r="AT59" s="61">
        <v>0.40002829899999998</v>
      </c>
      <c r="AU59" s="61">
        <v>4235.19861111111</v>
      </c>
      <c r="AV59" s="61">
        <v>421.47209583333301</v>
      </c>
      <c r="AW59" s="61">
        <v>287.20279327545899</v>
      </c>
      <c r="AX59" s="61">
        <v>748.91833453265599</v>
      </c>
      <c r="AY59" s="61">
        <v>805.52443749999998</v>
      </c>
      <c r="AZ59" s="61">
        <v>564.62351766274605</v>
      </c>
      <c r="BA59" s="61">
        <v>1.3820211625000001</v>
      </c>
      <c r="BB59" s="61">
        <v>1.80018541666667</v>
      </c>
      <c r="BC59" s="61">
        <v>1.9206859166666701</v>
      </c>
      <c r="BD59" s="61">
        <v>222.75</v>
      </c>
      <c r="BE59" s="61">
        <v>288.46875</v>
      </c>
      <c r="BF59" s="61">
        <v>257.41666666666703</v>
      </c>
      <c r="BG59" s="61">
        <v>251.07916666666699</v>
      </c>
      <c r="BH59" s="61">
        <v>558.47916666666697</v>
      </c>
      <c r="BI59" s="61">
        <v>1664.8295000000001</v>
      </c>
      <c r="BJ59" s="61">
        <v>79.9791666666667</v>
      </c>
      <c r="BK59" s="61">
        <v>5149.7385833333301</v>
      </c>
      <c r="BL59" s="61">
        <v>1719.2665</v>
      </c>
      <c r="BM59" s="61">
        <v>13573.876916666701</v>
      </c>
      <c r="BN59" s="61">
        <v>14654.629499999999</v>
      </c>
      <c r="BO59" s="61">
        <v>1655.11441666667</v>
      </c>
      <c r="BP59" s="61">
        <v>972.965916666667</v>
      </c>
      <c r="BQ59" s="61">
        <v>1203.40083333333</v>
      </c>
      <c r="BR59" s="61">
        <v>14.6435333333333</v>
      </c>
      <c r="BS59" s="58"/>
      <c r="BT59" s="58"/>
      <c r="BU59" s="58"/>
      <c r="BV59" s="58"/>
      <c r="BW59" s="58"/>
      <c r="BX59" s="58"/>
      <c r="BY59" s="58"/>
      <c r="BZ59" s="58"/>
      <c r="CA59" s="58"/>
      <c r="CB59" s="58"/>
      <c r="CC59" s="58"/>
      <c r="CD59" s="58"/>
      <c r="CE59" s="58"/>
      <c r="CF59" s="58"/>
      <c r="CG59" s="58"/>
      <c r="CH59" s="58"/>
      <c r="CI59" s="58"/>
    </row>
    <row r="60" spans="1:87">
      <c r="A60" s="59">
        <v>2010</v>
      </c>
      <c r="B60" s="60">
        <v>79.040771784717293</v>
      </c>
      <c r="C60" s="60">
        <v>79.635629979923394</v>
      </c>
      <c r="D60" s="60">
        <v>78.061154819415705</v>
      </c>
      <c r="E60" s="60">
        <v>79.425530554812596</v>
      </c>
      <c r="F60" s="60">
        <v>98.966041666666698</v>
      </c>
      <c r="G60" s="60">
        <v>91.622708333333307</v>
      </c>
      <c r="H60" s="60">
        <v>4.3852537698412704</v>
      </c>
      <c r="I60" s="60">
        <v>8.2874999999999996</v>
      </c>
      <c r="J60" s="60">
        <v>10.848333333333301</v>
      </c>
      <c r="K60" s="60">
        <v>100</v>
      </c>
      <c r="L60" s="60">
        <v>3.1330038538333298</v>
      </c>
      <c r="M60" s="60">
        <v>4.3200998646666697</v>
      </c>
      <c r="N60" s="60">
        <v>1.7359361598333301</v>
      </c>
      <c r="O60" s="60">
        <v>2.8849352675938702</v>
      </c>
      <c r="P60" s="60">
        <v>3.2896454696163402</v>
      </c>
      <c r="Q60" s="60">
        <v>2.8051186664985899</v>
      </c>
      <c r="R60" s="60">
        <v>2.5600416666666699</v>
      </c>
      <c r="S60" s="60">
        <v>1123.5833333333301</v>
      </c>
      <c r="T60" s="60">
        <v>1240.65736285703</v>
      </c>
      <c r="U60" s="60">
        <v>1138.9595756880699</v>
      </c>
      <c r="V60" s="60">
        <v>1400.99166666667</v>
      </c>
      <c r="W60" s="60">
        <v>933.02333333333297</v>
      </c>
      <c r="X60" s="60">
        <v>1187.405</v>
      </c>
      <c r="Y60" s="60">
        <v>447.10166666666697</v>
      </c>
      <c r="Z60" s="60">
        <v>1000.85583333333</v>
      </c>
      <c r="AA60" s="60">
        <v>398.34583333333302</v>
      </c>
      <c r="AB60" s="60">
        <v>158.38666512309399</v>
      </c>
      <c r="AC60" s="60">
        <v>185.91420833333299</v>
      </c>
      <c r="AD60" s="60">
        <v>165.40389885642901</v>
      </c>
      <c r="AE60" s="60">
        <v>488.90694444444398</v>
      </c>
      <c r="AF60" s="60">
        <v>441.50833333333298</v>
      </c>
      <c r="AG60" s="60">
        <v>383.65833333333302</v>
      </c>
      <c r="AH60" s="60">
        <v>429.18633333333298</v>
      </c>
      <c r="AI60" s="60">
        <v>229.677099142857</v>
      </c>
      <c r="AJ60" s="60">
        <v>223.58210540486201</v>
      </c>
      <c r="AK60" s="60">
        <v>1.00224122918895</v>
      </c>
      <c r="AL60" s="60">
        <v>0.86832060132812505</v>
      </c>
      <c r="AM60" s="60">
        <v>1.03320325571745</v>
      </c>
      <c r="AN60" s="60">
        <v>3.4189063241666702</v>
      </c>
      <c r="AO60" s="60">
        <v>1.8922913007593101</v>
      </c>
      <c r="AP60" s="60">
        <v>5.3143171406666703</v>
      </c>
      <c r="AQ60" s="60">
        <v>10.635638034999999</v>
      </c>
      <c r="AR60" s="60">
        <v>0.44179145550575599</v>
      </c>
      <c r="AS60" s="60">
        <v>0.79248467005960999</v>
      </c>
      <c r="AT60" s="60">
        <v>0.46934689633333299</v>
      </c>
      <c r="AU60" s="60">
        <v>4333.2250000000004</v>
      </c>
      <c r="AV60" s="60">
        <v>428.56080208333299</v>
      </c>
      <c r="AW60" s="60">
        <v>278.17198677422601</v>
      </c>
      <c r="AX60" s="60">
        <v>812.69367550195398</v>
      </c>
      <c r="AY60" s="60">
        <v>848.27195666249997</v>
      </c>
      <c r="AZ60" s="60">
        <v>569.08783153161301</v>
      </c>
      <c r="BA60" s="60">
        <v>2.2833804789714298</v>
      </c>
      <c r="BB60" s="60">
        <v>3.3807708393876701</v>
      </c>
      <c r="BC60" s="60">
        <v>3.6538649060951101</v>
      </c>
      <c r="BD60" s="60">
        <v>105.3125</v>
      </c>
      <c r="BE60" s="60">
        <v>456.42708333333297</v>
      </c>
      <c r="BF60" s="60">
        <v>381.88958333333301</v>
      </c>
      <c r="BG60" s="60">
        <v>288.90416666666698</v>
      </c>
      <c r="BH60" s="60">
        <v>332.14583333333297</v>
      </c>
      <c r="BI60" s="60">
        <v>2173.1170000000002</v>
      </c>
      <c r="BJ60" s="60">
        <v>145.863185425685</v>
      </c>
      <c r="BK60" s="60">
        <v>7534.7795833333303</v>
      </c>
      <c r="BL60" s="60">
        <v>2148.4492500000001</v>
      </c>
      <c r="BM60" s="60">
        <v>20405.623250000001</v>
      </c>
      <c r="BN60" s="60">
        <v>21808.852416666701</v>
      </c>
      <c r="BO60" s="60">
        <v>2160.74325</v>
      </c>
      <c r="BP60" s="60">
        <v>1224.66425</v>
      </c>
      <c r="BQ60" s="60">
        <v>1609.75416666667</v>
      </c>
      <c r="BR60" s="60">
        <v>20.152958333333299</v>
      </c>
      <c r="BS60" s="58"/>
      <c r="BT60" s="58"/>
      <c r="BU60" s="58"/>
      <c r="BV60" s="58"/>
      <c r="BW60" s="58"/>
      <c r="BX60" s="58"/>
      <c r="BY60" s="58"/>
      <c r="BZ60" s="58"/>
      <c r="CA60" s="58"/>
      <c r="CB60" s="58"/>
      <c r="CC60" s="58"/>
      <c r="CD60" s="58"/>
      <c r="CE60" s="58"/>
      <c r="CF60" s="58"/>
      <c r="CG60" s="58"/>
      <c r="CH60" s="58"/>
      <c r="CI60" s="58"/>
    </row>
    <row r="61" spans="1:87">
      <c r="A61" s="55">
        <v>2011</v>
      </c>
      <c r="B61" s="61">
        <v>104.009397525526</v>
      </c>
      <c r="C61" s="61">
        <v>110.939925363887</v>
      </c>
      <c r="D61" s="61">
        <v>106.03393828554699</v>
      </c>
      <c r="E61" s="61">
        <v>95.054328927143303</v>
      </c>
      <c r="F61" s="61">
        <v>121.448333333333</v>
      </c>
      <c r="G61" s="61">
        <v>116.29666666666699</v>
      </c>
      <c r="H61" s="61">
        <v>3.9985785533910501</v>
      </c>
      <c r="I61" s="61">
        <v>10.515000000000001</v>
      </c>
      <c r="J61" s="61">
        <v>14.6558333333333</v>
      </c>
      <c r="K61" s="61">
        <v>108.473490868959</v>
      </c>
      <c r="L61" s="61">
        <v>2.9800767131666701</v>
      </c>
      <c r="M61" s="61">
        <v>5.97613692133333</v>
      </c>
      <c r="N61" s="61">
        <v>2.4075920146666698</v>
      </c>
      <c r="O61" s="61">
        <v>2.9205488561944</v>
      </c>
      <c r="P61" s="61">
        <v>3.2641363781838502</v>
      </c>
      <c r="Q61" s="61">
        <v>2.7785518570660201</v>
      </c>
      <c r="R61" s="61">
        <v>2.71895833333333</v>
      </c>
      <c r="S61" s="61">
        <v>1730.0833333333301</v>
      </c>
      <c r="T61" s="61">
        <v>1883.8294314381301</v>
      </c>
      <c r="U61" s="61">
        <v>1442.05831804281</v>
      </c>
      <c r="V61" s="61">
        <v>1866.09</v>
      </c>
      <c r="W61" s="61">
        <v>1193.3699999999999</v>
      </c>
      <c r="X61" s="61">
        <v>1653.645</v>
      </c>
      <c r="Y61" s="61">
        <v>537.51916666666705</v>
      </c>
      <c r="Z61" s="61">
        <v>1297.6600000000001</v>
      </c>
      <c r="AA61" s="61">
        <v>408.67166666666702</v>
      </c>
      <c r="AB61" s="61">
        <v>207.19691870517099</v>
      </c>
      <c r="AC61" s="61">
        <v>291.684073333333</v>
      </c>
      <c r="AD61" s="61">
        <v>268.747938701159</v>
      </c>
      <c r="AE61" s="61">
        <v>543.02916666666704</v>
      </c>
      <c r="AF61" s="61">
        <v>506.03750000000002</v>
      </c>
      <c r="AG61" s="61">
        <v>458.558333333333</v>
      </c>
      <c r="AH61" s="61">
        <v>513.63970833333303</v>
      </c>
      <c r="AI61" s="61">
        <v>285.913346302989</v>
      </c>
      <c r="AJ61" s="61">
        <v>316.26413255853799</v>
      </c>
      <c r="AK61" s="61">
        <v>1.1247367516040201</v>
      </c>
      <c r="AL61" s="61">
        <v>0.96799467473958301</v>
      </c>
      <c r="AM61" s="61">
        <v>0.89110049952401504</v>
      </c>
      <c r="AN61" s="61">
        <v>4.0773528308333304</v>
      </c>
      <c r="AO61" s="61">
        <v>1.92632981744124</v>
      </c>
      <c r="AP61" s="61">
        <v>6.6307268609722199</v>
      </c>
      <c r="AQ61" s="61">
        <v>12.111814843333301</v>
      </c>
      <c r="AR61" s="61">
        <v>0.45461721115081299</v>
      </c>
      <c r="AS61" s="61">
        <v>0.83915666337838402</v>
      </c>
      <c r="AT61" s="61">
        <v>0.57316445633333302</v>
      </c>
      <c r="AU61" s="61">
        <v>4485.0506944444396</v>
      </c>
      <c r="AV61" s="61">
        <v>484.8099575</v>
      </c>
      <c r="AW61" s="61">
        <v>390.51220016736499</v>
      </c>
      <c r="AX61" s="61">
        <v>825.75143455786997</v>
      </c>
      <c r="AY61" s="61">
        <v>939.4469775</v>
      </c>
      <c r="AZ61" s="61">
        <v>607.54112003770899</v>
      </c>
      <c r="BA61" s="61">
        <v>3.3285061872638901</v>
      </c>
      <c r="BB61" s="61">
        <v>4.51900908306669</v>
      </c>
      <c r="BC61" s="61">
        <v>4.8231570220842004</v>
      </c>
      <c r="BD61" s="61">
        <v>163.552083333333</v>
      </c>
      <c r="BE61" s="61">
        <v>516.28750000000002</v>
      </c>
      <c r="BF61" s="61">
        <v>538.26041666666697</v>
      </c>
      <c r="BG61" s="61">
        <v>398.92291666666699</v>
      </c>
      <c r="BH61" s="61">
        <v>392.82291666666703</v>
      </c>
      <c r="BI61" s="61">
        <v>2401.38666666667</v>
      </c>
      <c r="BJ61" s="61">
        <v>167.754166666667</v>
      </c>
      <c r="BK61" s="61">
        <v>8828.1875</v>
      </c>
      <c r="BL61" s="61">
        <v>2400.8120833333301</v>
      </c>
      <c r="BM61" s="61">
        <v>26053.674999999999</v>
      </c>
      <c r="BN61" s="61">
        <v>22910.356666666699</v>
      </c>
      <c r="BO61" s="61">
        <v>2193.90041666667</v>
      </c>
      <c r="BP61" s="61">
        <v>1569.2108333333299</v>
      </c>
      <c r="BQ61" s="61">
        <v>1719.48166666667</v>
      </c>
      <c r="BR61" s="61">
        <v>35.224116666666703</v>
      </c>
      <c r="BS61" s="58"/>
      <c r="BT61" s="58"/>
      <c r="BU61" s="58"/>
      <c r="BV61" s="58"/>
      <c r="BW61" s="58"/>
      <c r="BX61" s="58"/>
      <c r="BY61" s="58"/>
      <c r="BZ61" s="58"/>
      <c r="CA61" s="58"/>
      <c r="CB61" s="58"/>
      <c r="CC61" s="58"/>
      <c r="CD61" s="58"/>
      <c r="CE61" s="58"/>
      <c r="CF61" s="58"/>
      <c r="CG61" s="58"/>
      <c r="CH61" s="58"/>
      <c r="CI61" s="58"/>
    </row>
    <row r="62" spans="1:87">
      <c r="A62" s="59">
        <v>2012</v>
      </c>
      <c r="B62" s="60">
        <v>105.009628884877</v>
      </c>
      <c r="C62" s="60">
        <v>111.965558339607</v>
      </c>
      <c r="D62" s="60">
        <v>108.90444988418</v>
      </c>
      <c r="E62" s="60">
        <v>94.158878430843302</v>
      </c>
      <c r="F62" s="60">
        <v>96.364166666666605</v>
      </c>
      <c r="G62" s="60">
        <v>92.92</v>
      </c>
      <c r="H62" s="60">
        <v>2.7520416666666701</v>
      </c>
      <c r="I62" s="60">
        <v>11.473333333333301</v>
      </c>
      <c r="J62" s="60">
        <v>16.553333333333299</v>
      </c>
      <c r="K62" s="60">
        <v>99.177763768735304</v>
      </c>
      <c r="L62" s="60">
        <v>2.3918690530303</v>
      </c>
      <c r="M62" s="60">
        <v>4.1109570561702897</v>
      </c>
      <c r="N62" s="60">
        <v>2.2668286252173901</v>
      </c>
      <c r="O62" s="60">
        <v>2.89778624847574</v>
      </c>
      <c r="P62" s="60">
        <v>3.0626097890343198</v>
      </c>
      <c r="Q62" s="60">
        <v>2.7502350675040002</v>
      </c>
      <c r="R62" s="60">
        <v>2.8805138888888902</v>
      </c>
      <c r="S62" s="60">
        <v>1110.8333333333301</v>
      </c>
      <c r="T62" s="60">
        <v>2442.8093645485001</v>
      </c>
      <c r="U62" s="60">
        <v>1527.7716666666699</v>
      </c>
      <c r="V62" s="60">
        <v>2359.0583333333302</v>
      </c>
      <c r="W62" s="60">
        <v>1043.3975</v>
      </c>
      <c r="X62" s="60">
        <v>1107.3783333333299</v>
      </c>
      <c r="Y62" s="60">
        <v>595.50750000000005</v>
      </c>
      <c r="Z62" s="60">
        <v>1225.6025</v>
      </c>
      <c r="AA62" s="60">
        <v>531.69583333333298</v>
      </c>
      <c r="AB62" s="60">
        <v>240.28063808774601</v>
      </c>
      <c r="AC62" s="60">
        <v>298.41696413768102</v>
      </c>
      <c r="AD62" s="60">
        <v>271.93008485912497</v>
      </c>
      <c r="AE62" s="60">
        <v>562.98333333333301</v>
      </c>
      <c r="AF62" s="60">
        <v>543.79722222222199</v>
      </c>
      <c r="AG62" s="60">
        <v>525.07083333333298</v>
      </c>
      <c r="AH62" s="60">
        <v>434.44</v>
      </c>
      <c r="AI62" s="60">
        <v>295.36618792744599</v>
      </c>
      <c r="AJ62" s="60">
        <v>313.24226961106802</v>
      </c>
      <c r="AK62" s="60">
        <v>1.09972704510311</v>
      </c>
      <c r="AL62" s="60">
        <v>0.98398391093750004</v>
      </c>
      <c r="AM62" s="60">
        <v>0.867958000187114</v>
      </c>
      <c r="AN62" s="60">
        <v>4.2060658951666703</v>
      </c>
      <c r="AO62" s="60">
        <v>2.0790230460660899</v>
      </c>
      <c r="AP62" s="60">
        <v>6.0911359376623402</v>
      </c>
      <c r="AQ62" s="60">
        <v>11.4643914366667</v>
      </c>
      <c r="AR62" s="60">
        <v>0.42013525049592798</v>
      </c>
      <c r="AS62" s="60">
        <v>0.63563959525259695</v>
      </c>
      <c r="AT62" s="60">
        <v>0.47494541420662201</v>
      </c>
      <c r="AU62" s="60">
        <v>4302.3534722222203</v>
      </c>
      <c r="AV62" s="60">
        <v>451.38708585858598</v>
      </c>
      <c r="AW62" s="60">
        <v>360.51030252170801</v>
      </c>
      <c r="AX62" s="60">
        <v>759.321393787528</v>
      </c>
      <c r="AY62" s="60">
        <v>876.34201945346297</v>
      </c>
      <c r="AZ62" s="60">
        <v>610.34222395539996</v>
      </c>
      <c r="BA62" s="60">
        <v>1.9671164544166699</v>
      </c>
      <c r="BB62" s="60">
        <v>3.1557610275689201</v>
      </c>
      <c r="BC62" s="60">
        <v>3.37726073517126</v>
      </c>
      <c r="BD62" s="60">
        <v>184.927083333333</v>
      </c>
      <c r="BE62" s="60">
        <v>480.23819444444399</v>
      </c>
      <c r="BF62" s="60">
        <v>462</v>
      </c>
      <c r="BG62" s="60">
        <v>398.600694444444</v>
      </c>
      <c r="BH62" s="60">
        <v>465.375</v>
      </c>
      <c r="BI62" s="60">
        <v>2023.28319284294</v>
      </c>
      <c r="BJ62" s="60">
        <v>128.495925925926</v>
      </c>
      <c r="BK62" s="60">
        <v>7962.3470628192699</v>
      </c>
      <c r="BL62" s="60">
        <v>2064.6382656781898</v>
      </c>
      <c r="BM62" s="60">
        <v>21125.994409731498</v>
      </c>
      <c r="BN62" s="60">
        <v>17547.546048528799</v>
      </c>
      <c r="BO62" s="60">
        <v>1950.4135082559801</v>
      </c>
      <c r="BP62" s="60">
        <v>1669.51766666667</v>
      </c>
      <c r="BQ62" s="60">
        <v>1550.8358333333299</v>
      </c>
      <c r="BR62" s="60">
        <v>31.137408333333301</v>
      </c>
      <c r="BS62" s="58"/>
      <c r="BT62" s="58"/>
      <c r="BU62" s="58"/>
      <c r="BV62" s="58"/>
      <c r="BW62" s="58"/>
      <c r="BX62" s="58"/>
      <c r="BY62" s="58"/>
      <c r="BZ62" s="58"/>
      <c r="CA62" s="58"/>
      <c r="CB62" s="58"/>
      <c r="CC62" s="58"/>
      <c r="CD62" s="58"/>
      <c r="CE62" s="58"/>
      <c r="CF62" s="58"/>
      <c r="CG62" s="58"/>
      <c r="CH62" s="58"/>
      <c r="CI62" s="58"/>
    </row>
    <row r="63" spans="1:87">
      <c r="A63" s="55">
        <v>2013</v>
      </c>
      <c r="B63" s="61">
        <v>104.077497497587</v>
      </c>
      <c r="C63" s="61">
        <v>108.85637454514099</v>
      </c>
      <c r="D63" s="61">
        <v>105.433352335466</v>
      </c>
      <c r="E63" s="61">
        <v>97.942765612152996</v>
      </c>
      <c r="F63" s="61">
        <v>84.562169190903205</v>
      </c>
      <c r="G63" s="61">
        <v>80.2385594387693</v>
      </c>
      <c r="H63" s="61">
        <v>3.7239833333333299</v>
      </c>
      <c r="I63" s="61">
        <v>11.785833333333301</v>
      </c>
      <c r="J63" s="61">
        <v>15.955833333333301</v>
      </c>
      <c r="K63" s="61">
        <v>112.061227589301</v>
      </c>
      <c r="L63" s="61">
        <v>2.4388466720779198</v>
      </c>
      <c r="M63" s="61">
        <v>3.0759897956786899</v>
      </c>
      <c r="N63" s="61">
        <v>2.0758544659803801</v>
      </c>
      <c r="O63" s="61">
        <v>2.8619950838773298</v>
      </c>
      <c r="P63" s="61">
        <v>3.4530545789291498</v>
      </c>
      <c r="Q63" s="61">
        <v>2.73409733936951</v>
      </c>
      <c r="R63" s="61">
        <v>2.39883333333333</v>
      </c>
      <c r="S63" s="61">
        <v>939.46916666666596</v>
      </c>
      <c r="T63" s="61">
        <v>1514.2991666666701</v>
      </c>
      <c r="U63" s="61">
        <v>1750.8150000000001</v>
      </c>
      <c r="V63" s="61">
        <v>1820.6216666666701</v>
      </c>
      <c r="W63" s="61">
        <v>870.72583333333296</v>
      </c>
      <c r="X63" s="61">
        <v>896.91916666666702</v>
      </c>
      <c r="Y63" s="61">
        <v>551.38916666666705</v>
      </c>
      <c r="Z63" s="61">
        <v>1055.39333333333</v>
      </c>
      <c r="AA63" s="61">
        <v>543.46249999999998</v>
      </c>
      <c r="AB63" s="61">
        <v>203.00875833333299</v>
      </c>
      <c r="AC63" s="61">
        <v>259.38922323787898</v>
      </c>
      <c r="AD63" s="61">
        <v>243.28292474064901</v>
      </c>
      <c r="AE63" s="61">
        <v>505.89166666666699</v>
      </c>
      <c r="AF63" s="61">
        <v>472.95972222222201</v>
      </c>
      <c r="AG63" s="61">
        <v>473.989406487233</v>
      </c>
      <c r="AH63" s="61">
        <v>392.40207949729898</v>
      </c>
      <c r="AI63" s="61">
        <v>276.73346173918497</v>
      </c>
      <c r="AJ63" s="61">
        <v>312.24786689791802</v>
      </c>
      <c r="AK63" s="61">
        <v>1.0219790266111</v>
      </c>
      <c r="AL63" s="61">
        <v>0.92407451067708302</v>
      </c>
      <c r="AM63" s="61">
        <v>0.96731981632410002</v>
      </c>
      <c r="AN63" s="61">
        <v>4.1283162965000004</v>
      </c>
      <c r="AO63" s="61">
        <v>2.1736879973779599</v>
      </c>
      <c r="AP63" s="61">
        <v>5.1732068088474001</v>
      </c>
      <c r="AQ63" s="61">
        <v>14.17460429</v>
      </c>
      <c r="AR63" s="61">
        <v>0.43382928583048502</v>
      </c>
      <c r="AS63" s="61">
        <v>0.450500583801071</v>
      </c>
      <c r="AT63" s="61">
        <v>0.39004470693267401</v>
      </c>
      <c r="AU63" s="61">
        <v>4588.8194444444398</v>
      </c>
      <c r="AV63" s="61">
        <v>463.52884910243802</v>
      </c>
      <c r="AW63" s="61">
        <v>305.43418248257598</v>
      </c>
      <c r="AX63" s="61">
        <v>749.16982600937695</v>
      </c>
      <c r="AY63" s="61">
        <v>852.79773030597096</v>
      </c>
      <c r="AZ63" s="61">
        <v>560.23496041643796</v>
      </c>
      <c r="BA63" s="61">
        <v>1.9926963095416701</v>
      </c>
      <c r="BB63" s="61">
        <v>2.5169333333333301</v>
      </c>
      <c r="BC63" s="61">
        <v>2.7945500000000001</v>
      </c>
      <c r="BD63" s="61">
        <v>126.322916666667</v>
      </c>
      <c r="BE63" s="61">
        <v>410.972916666667</v>
      </c>
      <c r="BF63" s="61">
        <v>380.75</v>
      </c>
      <c r="BG63" s="61">
        <v>339.61458333333297</v>
      </c>
      <c r="BH63" s="61">
        <v>395</v>
      </c>
      <c r="BI63" s="61">
        <v>1846.66896845003</v>
      </c>
      <c r="BJ63" s="61">
        <v>135.36118854173199</v>
      </c>
      <c r="BK63" s="61">
        <v>7332.1004774844696</v>
      </c>
      <c r="BL63" s="61">
        <v>2139.79005854351</v>
      </c>
      <c r="BM63" s="61">
        <v>22282.796636591102</v>
      </c>
      <c r="BN63" s="61">
        <v>15031.797384167799</v>
      </c>
      <c r="BO63" s="61">
        <v>1910.2564703714199</v>
      </c>
      <c r="BP63" s="61">
        <v>1411.46230174415</v>
      </c>
      <c r="BQ63" s="61">
        <v>1486.5451347324199</v>
      </c>
      <c r="BR63" s="61">
        <v>23.849686117385001</v>
      </c>
      <c r="BS63" s="58"/>
      <c r="BT63" s="58"/>
      <c r="BU63" s="58"/>
      <c r="BV63" s="58"/>
      <c r="BW63" s="58"/>
      <c r="BX63" s="58"/>
      <c r="BY63" s="58"/>
      <c r="BZ63" s="58"/>
      <c r="CA63" s="58"/>
      <c r="CB63" s="58"/>
      <c r="CC63" s="58"/>
      <c r="CD63" s="58"/>
      <c r="CE63" s="58"/>
      <c r="CF63" s="58"/>
      <c r="CG63" s="58"/>
      <c r="CH63" s="58"/>
      <c r="CI63" s="58"/>
    </row>
    <row r="64" spans="1:87">
      <c r="A64" s="59">
        <v>2014</v>
      </c>
      <c r="B64" s="60">
        <v>96.234999999999999</v>
      </c>
      <c r="C64" s="60">
        <v>98.9375</v>
      </c>
      <c r="D64" s="60">
        <v>96.655000000000001</v>
      </c>
      <c r="E64" s="60">
        <v>93.112499999999997</v>
      </c>
      <c r="F64" s="60">
        <v>70.13</v>
      </c>
      <c r="G64" s="60">
        <v>72.338333333333395</v>
      </c>
      <c r="H64" s="60">
        <v>4.3694916666666703</v>
      </c>
      <c r="I64" s="60">
        <v>10.0516666666667</v>
      </c>
      <c r="J64" s="60">
        <v>16.035735552489399</v>
      </c>
      <c r="K64" s="60">
        <v>111.70982886732099</v>
      </c>
      <c r="L64" s="60">
        <v>3.0622400000000001</v>
      </c>
      <c r="M64" s="60">
        <v>4.4237904920000002</v>
      </c>
      <c r="N64" s="60">
        <v>2.2164514606666699</v>
      </c>
      <c r="O64" s="60">
        <v>2.7204779190616799</v>
      </c>
      <c r="P64" s="60">
        <v>3.5354067451116502</v>
      </c>
      <c r="Q64" s="60">
        <v>2.5809714565178501</v>
      </c>
      <c r="R64" s="60">
        <v>2.0450555555555598</v>
      </c>
      <c r="S64" s="60">
        <v>1281.1241666666699</v>
      </c>
      <c r="T64" s="60">
        <v>1258.3175000000001</v>
      </c>
      <c r="U64" s="60">
        <v>1680.645</v>
      </c>
      <c r="V64" s="60">
        <v>1394.9849999999999</v>
      </c>
      <c r="W64" s="60">
        <v>837.46916666666596</v>
      </c>
      <c r="X64" s="60">
        <v>1119.69166666667</v>
      </c>
      <c r="Y64" s="60">
        <v>484.85750000000002</v>
      </c>
      <c r="Z64" s="60">
        <v>905.96916666666596</v>
      </c>
      <c r="AA64" s="60">
        <v>522.46749999999997</v>
      </c>
      <c r="AB64" s="60">
        <v>145.90297638888899</v>
      </c>
      <c r="AC64" s="60">
        <v>192.881219533333</v>
      </c>
      <c r="AD64" s="60">
        <v>210.394235333333</v>
      </c>
      <c r="AE64" s="60">
        <v>422.83333333333297</v>
      </c>
      <c r="AF64" s="60">
        <v>382.16666666666703</v>
      </c>
      <c r="AG64" s="60">
        <v>425.14833333333303</v>
      </c>
      <c r="AH64" s="60">
        <v>407.20916666666699</v>
      </c>
      <c r="AI64" s="60">
        <v>245.21163752025001</v>
      </c>
      <c r="AJ64" s="60">
        <v>284.88592139999997</v>
      </c>
      <c r="AK64" s="60">
        <v>1.04257015930535</v>
      </c>
      <c r="AL64" s="60">
        <v>0.92778906572916597</v>
      </c>
      <c r="AM64" s="60">
        <v>0.78355015653208104</v>
      </c>
      <c r="AN64" s="60">
        <v>5.0504537269999998</v>
      </c>
      <c r="AO64" s="60">
        <v>2.3224215231677001</v>
      </c>
      <c r="AP64" s="60">
        <v>6.38958766666667</v>
      </c>
      <c r="AQ64" s="60">
        <v>17.794406611666702</v>
      </c>
      <c r="AR64" s="60">
        <v>0.43401231994202899</v>
      </c>
      <c r="AS64" s="60">
        <v>0.53250758916666696</v>
      </c>
      <c r="AT64" s="60">
        <v>0.37498749016666699</v>
      </c>
      <c r="AU64" s="60">
        <v>4990.7722222222201</v>
      </c>
      <c r="AV64" s="60">
        <v>465.16509057971001</v>
      </c>
      <c r="AW64" s="60">
        <v>282.04117576819698</v>
      </c>
      <c r="AX64" s="60">
        <v>789.45188656266396</v>
      </c>
      <c r="AY64" s="60">
        <v>897.94200000000001</v>
      </c>
      <c r="AZ64" s="60">
        <v>517.32692673098404</v>
      </c>
      <c r="BA64" s="60">
        <v>1.8319473608333301</v>
      </c>
      <c r="BB64" s="60">
        <v>1.7139166666666701</v>
      </c>
      <c r="BC64" s="60">
        <v>1.95149166666667</v>
      </c>
      <c r="BD64" s="60">
        <v>110.458333333333</v>
      </c>
      <c r="BE64" s="60">
        <v>429.58645833333298</v>
      </c>
      <c r="BF64" s="60">
        <v>382</v>
      </c>
      <c r="BG64" s="60">
        <v>308.4375</v>
      </c>
      <c r="BH64" s="60">
        <v>296.625</v>
      </c>
      <c r="BI64" s="60">
        <v>1867.42</v>
      </c>
      <c r="BJ64" s="60">
        <v>96.952462121212093</v>
      </c>
      <c r="BK64" s="60">
        <v>6863.3975</v>
      </c>
      <c r="BL64" s="60">
        <v>2095.4583333333298</v>
      </c>
      <c r="BM64" s="60">
        <v>21898.871666666699</v>
      </c>
      <c r="BN64" s="60">
        <v>16893.375833333299</v>
      </c>
      <c r="BO64" s="60">
        <v>2160.9708333333301</v>
      </c>
      <c r="BP64" s="60">
        <v>1265.5775000000001</v>
      </c>
      <c r="BQ64" s="60">
        <v>1383.57083333333</v>
      </c>
      <c r="BR64" s="60">
        <v>19.0715</v>
      </c>
      <c r="BS64" s="58"/>
      <c r="BT64" s="58"/>
      <c r="BU64" s="58"/>
      <c r="BV64" s="58"/>
      <c r="BW64" s="58"/>
      <c r="BX64" s="58"/>
      <c r="BY64" s="58"/>
      <c r="BZ64" s="58"/>
      <c r="CA64" s="58"/>
      <c r="CB64" s="58"/>
      <c r="CC64" s="58"/>
      <c r="CD64" s="58"/>
      <c r="CE64" s="58"/>
      <c r="CF64" s="58"/>
      <c r="CG64" s="58"/>
      <c r="CH64" s="58"/>
      <c r="CI64" s="58"/>
    </row>
    <row r="65" spans="1:87">
      <c r="A65" s="55">
        <v>2015</v>
      </c>
      <c r="B65" s="62">
        <v>50.752777777777801</v>
      </c>
      <c r="C65" s="62">
        <v>52.37</v>
      </c>
      <c r="D65" s="62">
        <v>51.179166666666703</v>
      </c>
      <c r="E65" s="62">
        <v>48.709166666666697</v>
      </c>
      <c r="F65" s="62">
        <v>58.939166666666701</v>
      </c>
      <c r="G65" s="62">
        <v>56.7083333333333</v>
      </c>
      <c r="H65" s="62">
        <v>2.6137083333333302</v>
      </c>
      <c r="I65" s="62">
        <v>6.8211830783410203</v>
      </c>
      <c r="J65" s="62">
        <v>10.9346874235105</v>
      </c>
      <c r="K65" s="62">
        <v>71.575137250249995</v>
      </c>
      <c r="L65" s="62">
        <v>3.1350449999999999</v>
      </c>
      <c r="M65" s="62">
        <v>3.5260692279999999</v>
      </c>
      <c r="N65" s="62">
        <v>1.9411679100000001</v>
      </c>
      <c r="O65" s="62">
        <v>2.7771495644186799</v>
      </c>
      <c r="P65" s="62">
        <v>2.9750000000000001</v>
      </c>
      <c r="Q65" s="62">
        <v>2.3917681377004798</v>
      </c>
      <c r="R65" s="62">
        <v>2.9646805555555602</v>
      </c>
      <c r="S65" s="62">
        <v>1103.51166666667</v>
      </c>
      <c r="T65" s="62">
        <v>1304.8723550724601</v>
      </c>
      <c r="U65" s="62">
        <v>1554.1849999999999</v>
      </c>
      <c r="V65" s="62">
        <v>1377.9591666666699</v>
      </c>
      <c r="W65" s="62">
        <v>663.39083333333303</v>
      </c>
      <c r="X65" s="62">
        <v>903.34916666666595</v>
      </c>
      <c r="Y65" s="62">
        <v>392.1225</v>
      </c>
      <c r="Z65" s="62">
        <v>755.63250000000005</v>
      </c>
      <c r="AA65" s="62">
        <v>389.45499999999998</v>
      </c>
      <c r="AB65" s="62">
        <v>121.33064930555599</v>
      </c>
      <c r="AC65" s="62">
        <v>169.75022306666699</v>
      </c>
      <c r="AD65" s="62">
        <v>201.63087083333301</v>
      </c>
      <c r="AE65" s="62">
        <v>386</v>
      </c>
      <c r="AF65" s="62">
        <v>372.58333333333297</v>
      </c>
      <c r="AG65" s="62">
        <v>386.03333333333302</v>
      </c>
      <c r="AH65" s="62">
        <v>351.83583333333303</v>
      </c>
      <c r="AI65" s="62">
        <v>206.37664030274999</v>
      </c>
      <c r="AJ65" s="62">
        <v>204.44912861399999</v>
      </c>
      <c r="AK65" s="62">
        <v>0.90339570407105896</v>
      </c>
      <c r="AL65" s="62">
        <v>0.95691416276041597</v>
      </c>
      <c r="AM65" s="62">
        <v>0.67567491782504496</v>
      </c>
      <c r="AN65" s="62">
        <v>4.5591541600000003</v>
      </c>
      <c r="AO65" s="62">
        <v>1.9909400487134501</v>
      </c>
      <c r="AP65" s="62">
        <v>5.2204050208333301</v>
      </c>
      <c r="AQ65" s="62">
        <v>13.2152271533333</v>
      </c>
      <c r="AR65" s="62">
        <v>0.36255507599999998</v>
      </c>
      <c r="AS65" s="62">
        <v>0.54678250366666703</v>
      </c>
      <c r="AT65" s="62">
        <v>0.29626418433333301</v>
      </c>
      <c r="AU65" s="62">
        <v>4908.2951388888896</v>
      </c>
      <c r="AV65" s="62">
        <v>388.57875000000001</v>
      </c>
      <c r="AW65" s="62">
        <v>246.01583311526599</v>
      </c>
      <c r="AX65" s="62">
        <v>732.57646841809799</v>
      </c>
      <c r="AY65" s="62">
        <v>833.25049999999999</v>
      </c>
      <c r="AZ65" s="62">
        <v>451.24834884848002</v>
      </c>
      <c r="BA65" s="62">
        <v>1.5524199166666699</v>
      </c>
      <c r="BB65" s="62">
        <v>1.36581666666667</v>
      </c>
      <c r="BC65" s="62">
        <v>1.5713250000000001</v>
      </c>
      <c r="BD65" s="62">
        <v>120.314583333333</v>
      </c>
      <c r="BE65" s="62">
        <v>416.62395833333301</v>
      </c>
      <c r="BF65" s="62">
        <v>377.6</v>
      </c>
      <c r="BG65" s="62">
        <v>277.9375</v>
      </c>
      <c r="BH65" s="62">
        <v>296.06458333333302</v>
      </c>
      <c r="BI65" s="62">
        <v>1664.6808333333299</v>
      </c>
      <c r="BJ65" s="62">
        <v>55.8541666666667</v>
      </c>
      <c r="BK65" s="62">
        <v>5510.4566666666697</v>
      </c>
      <c r="BL65" s="62">
        <v>1787.8191666666701</v>
      </c>
      <c r="BM65" s="62">
        <v>16066.631666666701</v>
      </c>
      <c r="BN65" s="62">
        <v>11862.635</v>
      </c>
      <c r="BO65" s="62">
        <v>1931.6783333333301</v>
      </c>
      <c r="BP65" s="62">
        <v>1160.66333333333</v>
      </c>
      <c r="BQ65" s="62">
        <v>1053.20333333333</v>
      </c>
      <c r="BR65" s="62">
        <v>15.7206666666667</v>
      </c>
      <c r="BS65" s="58"/>
      <c r="BT65" s="58"/>
      <c r="BU65" s="58"/>
      <c r="BV65" s="58"/>
      <c r="BW65" s="58"/>
      <c r="BX65" s="58"/>
      <c r="BY65" s="58"/>
      <c r="BZ65" s="58"/>
      <c r="CA65" s="58"/>
      <c r="CB65" s="58"/>
      <c r="CC65" s="58"/>
      <c r="CD65" s="58"/>
      <c r="CE65" s="58"/>
      <c r="CF65" s="58"/>
      <c r="CG65" s="58"/>
      <c r="CH65" s="58"/>
      <c r="CI65" s="58"/>
    </row>
    <row r="66" spans="1:87">
      <c r="A66" s="59">
        <v>2016</v>
      </c>
      <c r="B66" s="60">
        <v>42.8119444444444</v>
      </c>
      <c r="C66" s="60">
        <v>44.047499999999999</v>
      </c>
      <c r="D66" s="60">
        <v>41.2008333333333</v>
      </c>
      <c r="E66" s="60">
        <v>43.1875</v>
      </c>
      <c r="F66" s="60">
        <v>66.123333333333306</v>
      </c>
      <c r="G66" s="60">
        <v>63.946666666666701</v>
      </c>
      <c r="H66" s="60">
        <v>2.4922166666666699</v>
      </c>
      <c r="I66" s="60">
        <v>4.5634228440012699</v>
      </c>
      <c r="J66" s="60">
        <v>7.3724439579912797</v>
      </c>
      <c r="K66" s="60">
        <v>56.953089920584397</v>
      </c>
      <c r="L66" s="60">
        <v>2.8907616666666698</v>
      </c>
      <c r="M66" s="60">
        <v>3.6110757008333301</v>
      </c>
      <c r="N66" s="60">
        <v>1.9531279735</v>
      </c>
      <c r="O66" s="60">
        <v>2.6849336296830502</v>
      </c>
      <c r="P66" s="60">
        <v>3.3016666666666699</v>
      </c>
      <c r="Q66" s="60">
        <v>2.33173144460469</v>
      </c>
      <c r="R66" s="60">
        <v>2.42140277777778</v>
      </c>
      <c r="S66" s="60">
        <v>1481.7766666666701</v>
      </c>
      <c r="T66" s="60">
        <v>1392.8619524959699</v>
      </c>
      <c r="U66" s="60">
        <v>1490.63666666667</v>
      </c>
      <c r="V66" s="60">
        <v>1380.63083333333</v>
      </c>
      <c r="W66" s="60">
        <v>735.70333333333394</v>
      </c>
      <c r="X66" s="60">
        <v>1301.3191666666701</v>
      </c>
      <c r="Y66" s="60">
        <v>405.44749999999999</v>
      </c>
      <c r="Z66" s="60">
        <v>814.99416666666605</v>
      </c>
      <c r="AA66" s="60">
        <v>374.66166666666697</v>
      </c>
      <c r="AB66" s="60">
        <v>103.915682291667</v>
      </c>
      <c r="AC66" s="60">
        <v>159.16088719999999</v>
      </c>
      <c r="AD66" s="60">
        <v>155.59105650000001</v>
      </c>
      <c r="AE66" s="60">
        <v>396.16666666666703</v>
      </c>
      <c r="AF66" s="60">
        <v>385.33333333333297</v>
      </c>
      <c r="AG66" s="60">
        <v>380.33499999999998</v>
      </c>
      <c r="AH66" s="60">
        <v>356.09666666666698</v>
      </c>
      <c r="AI66" s="60">
        <v>176.30378359125001</v>
      </c>
      <c r="AJ66" s="60">
        <v>166.63254344999999</v>
      </c>
      <c r="AK66" s="60">
        <v>0.90527510507362496</v>
      </c>
      <c r="AL66" s="60">
        <v>1.0011500927083301</v>
      </c>
      <c r="AM66" s="60">
        <v>0.88967978415183302</v>
      </c>
      <c r="AN66" s="60">
        <v>4.0609100400000004</v>
      </c>
      <c r="AO66" s="60">
        <v>1.85255761515873</v>
      </c>
      <c r="AP66" s="60">
        <v>4.6942285833333299</v>
      </c>
      <c r="AQ66" s="60">
        <v>11.216371686666699</v>
      </c>
      <c r="AR66" s="60">
        <v>0.36146109999999998</v>
      </c>
      <c r="AS66" s="60">
        <v>0.60924673699999998</v>
      </c>
      <c r="AT66" s="60">
        <v>0.39806251283333299</v>
      </c>
      <c r="AU66" s="60">
        <v>4790.4965277777801</v>
      </c>
      <c r="AV66" s="60">
        <v>387.40625</v>
      </c>
      <c r="AW66" s="60">
        <v>274.37688334646299</v>
      </c>
      <c r="AX66" s="60">
        <v>649.60719618937298</v>
      </c>
      <c r="AY66" s="60">
        <v>738.87920833333305</v>
      </c>
      <c r="AZ66" s="60">
        <v>503.268891292349</v>
      </c>
      <c r="BA66" s="60">
        <v>1.6361219893333301</v>
      </c>
      <c r="BB66" s="60">
        <v>1.3811249999999999</v>
      </c>
      <c r="BC66" s="60">
        <v>1.6051833333333301</v>
      </c>
      <c r="BD66" s="60">
        <v>110.45625</v>
      </c>
      <c r="BE66" s="60">
        <v>315.81354166666699</v>
      </c>
      <c r="BF66" s="60">
        <v>290.27083333333297</v>
      </c>
      <c r="BG66" s="60">
        <v>194.129166666667</v>
      </c>
      <c r="BH66" s="60">
        <v>260.33333333333297</v>
      </c>
      <c r="BI66" s="60">
        <v>1604.18166666667</v>
      </c>
      <c r="BJ66" s="60">
        <v>58.4241666666667</v>
      </c>
      <c r="BK66" s="60">
        <v>4867.8975</v>
      </c>
      <c r="BL66" s="60">
        <v>1866.65333333333</v>
      </c>
      <c r="BM66" s="60">
        <v>17933.761666666702</v>
      </c>
      <c r="BN66" s="60">
        <v>9595.1791666666704</v>
      </c>
      <c r="BO66" s="60">
        <v>2089.9749999999999</v>
      </c>
      <c r="BP66" s="60">
        <v>1248.98833333333</v>
      </c>
      <c r="BQ66" s="60">
        <v>987.08666666666704</v>
      </c>
      <c r="BR66" s="60">
        <v>17.146750000000001</v>
      </c>
      <c r="BS66" s="58"/>
      <c r="BT66" s="58"/>
      <c r="BU66" s="58"/>
      <c r="BV66" s="58"/>
      <c r="BW66" s="58"/>
      <c r="BX66" s="58"/>
      <c r="BY66" s="58"/>
      <c r="BZ66" s="58"/>
      <c r="CA66" s="58"/>
      <c r="CB66" s="58"/>
      <c r="CC66" s="58"/>
      <c r="CD66" s="58"/>
      <c r="CE66" s="58"/>
      <c r="CF66" s="58"/>
      <c r="CG66" s="58"/>
      <c r="CH66" s="58"/>
      <c r="CI66" s="58"/>
    </row>
    <row r="67" spans="1:87">
      <c r="A67" s="55">
        <v>2017</v>
      </c>
      <c r="B67" s="62">
        <v>52.805</v>
      </c>
      <c r="C67" s="62">
        <v>54.392499999999998</v>
      </c>
      <c r="D67" s="62">
        <v>53.115833333333299</v>
      </c>
      <c r="E67" s="62">
        <v>50.906666666666702</v>
      </c>
      <c r="F67" s="62">
        <v>88.518333333333302</v>
      </c>
      <c r="G67" s="62">
        <v>85.149166666666702</v>
      </c>
      <c r="H67" s="62">
        <v>2.9610750000000001</v>
      </c>
      <c r="I67" s="62">
        <v>5.7170433039289996</v>
      </c>
      <c r="J67" s="62">
        <v>8.6061241944719598</v>
      </c>
      <c r="K67" s="62">
        <v>68.966702416698595</v>
      </c>
      <c r="L67" s="62">
        <v>2.0294108333333298</v>
      </c>
      <c r="M67" s="62">
        <v>3.3232074443333302</v>
      </c>
      <c r="N67" s="62">
        <v>2.2255271463333299</v>
      </c>
      <c r="O67" s="62">
        <v>3.14847924251821</v>
      </c>
      <c r="P67" s="62">
        <v>4.0516666666666703</v>
      </c>
      <c r="Q67" s="62">
        <v>2.4232155053323998</v>
      </c>
      <c r="R67" s="62">
        <v>2.9705555555555598</v>
      </c>
      <c r="S67" s="62">
        <v>1650.65</v>
      </c>
      <c r="T67" s="62">
        <v>1486.6824999999999</v>
      </c>
      <c r="U67" s="62">
        <v>1366.9666666666701</v>
      </c>
      <c r="V67" s="62">
        <v>1460.7925</v>
      </c>
      <c r="W67" s="62">
        <v>750.81333333333305</v>
      </c>
      <c r="X67" s="62">
        <v>1288.46333333333</v>
      </c>
      <c r="Y67" s="62">
        <v>393.37811183333298</v>
      </c>
      <c r="Z67" s="62">
        <v>850.39666666666699</v>
      </c>
      <c r="AA67" s="62">
        <v>350.24166666666702</v>
      </c>
      <c r="AB67" s="62">
        <v>97.638639236111104</v>
      </c>
      <c r="AC67" s="62">
        <v>154.531538466667</v>
      </c>
      <c r="AD67" s="62">
        <v>163.02246308333301</v>
      </c>
      <c r="AE67" s="62">
        <v>398.91666666666703</v>
      </c>
      <c r="AF67" s="62">
        <v>384.66666666666703</v>
      </c>
      <c r="AG67" s="62">
        <v>379.90083333333303</v>
      </c>
      <c r="AH67" s="62">
        <v>363.24666666666701</v>
      </c>
      <c r="AI67" s="62">
        <v>178.18260991725001</v>
      </c>
      <c r="AJ67" s="62">
        <v>174.19561552499999</v>
      </c>
      <c r="AK67" s="62">
        <v>0.89910525668986496</v>
      </c>
      <c r="AL67" s="62">
        <v>1.07588211775</v>
      </c>
      <c r="AM67" s="62">
        <v>0.81203535563819595</v>
      </c>
      <c r="AN67" s="62">
        <v>4.3872489154999998</v>
      </c>
      <c r="AO67" s="62">
        <v>2.1244773964702501</v>
      </c>
      <c r="AP67" s="62">
        <v>5.4194936250000003</v>
      </c>
      <c r="AQ67" s="62">
        <v>13.318293138333299</v>
      </c>
      <c r="AR67" s="62">
        <v>0.36875427333333299</v>
      </c>
      <c r="AS67" s="62">
        <v>0.61554827583333305</v>
      </c>
      <c r="AT67" s="62">
        <v>0.3531250085</v>
      </c>
      <c r="AU67" s="62">
        <v>4627.3645833333303</v>
      </c>
      <c r="AV67" s="62">
        <v>395.222916666667</v>
      </c>
      <c r="AW67" s="62">
        <v>265.428524718652</v>
      </c>
      <c r="AX67" s="62">
        <v>617.28036487103395</v>
      </c>
      <c r="AY67" s="62">
        <v>702.10987499999999</v>
      </c>
      <c r="AZ67" s="62">
        <v>486.85558973947099</v>
      </c>
      <c r="BA67" s="62">
        <v>1.8429888326666699</v>
      </c>
      <c r="BB67" s="62">
        <v>1.66685833333333</v>
      </c>
      <c r="BC67" s="62">
        <v>1.9954416666666701</v>
      </c>
      <c r="BD67" s="62">
        <v>89.6875</v>
      </c>
      <c r="BE67" s="62">
        <v>323.027083333333</v>
      </c>
      <c r="BF67" s="62">
        <v>283.20416666666699</v>
      </c>
      <c r="BG67" s="62">
        <v>213.875</v>
      </c>
      <c r="BH67" s="62">
        <v>218.229166666667</v>
      </c>
      <c r="BI67" s="62">
        <v>1967.6541666666701</v>
      </c>
      <c r="BJ67" s="62">
        <v>71.760000000000005</v>
      </c>
      <c r="BK67" s="62">
        <v>6169.94</v>
      </c>
      <c r="BL67" s="62">
        <v>2314.665</v>
      </c>
      <c r="BM67" s="62">
        <v>20061.169166666699</v>
      </c>
      <c r="BN67" s="62">
        <v>10409.635</v>
      </c>
      <c r="BO67" s="62">
        <v>2890.86666666667</v>
      </c>
      <c r="BP67" s="62">
        <v>1257.5591666666701</v>
      </c>
      <c r="BQ67" s="62">
        <v>948.45333333333394</v>
      </c>
      <c r="BR67" s="62">
        <v>17.0661666666667</v>
      </c>
      <c r="BS67" s="58"/>
      <c r="BT67" s="58"/>
      <c r="BU67" s="58"/>
      <c r="BV67" s="58"/>
      <c r="BW67" s="58"/>
      <c r="BX67" s="58"/>
      <c r="BY67" s="58"/>
      <c r="BZ67" s="58"/>
      <c r="CA67" s="58"/>
      <c r="CB67" s="58"/>
      <c r="CC67" s="58"/>
      <c r="CD67" s="58"/>
      <c r="CE67" s="58"/>
      <c r="CF67" s="58"/>
      <c r="CG67" s="58"/>
      <c r="CH67" s="58"/>
      <c r="CI67" s="58"/>
    </row>
    <row r="68" spans="1:87">
      <c r="A68" s="59">
        <v>2018</v>
      </c>
      <c r="B68" s="60">
        <v>68.347499999999997</v>
      </c>
      <c r="C68" s="60">
        <v>71.071666666666701</v>
      </c>
      <c r="D68" s="60">
        <v>69.151666666666699</v>
      </c>
      <c r="E68" s="60">
        <v>64.819166666666703</v>
      </c>
      <c r="F68" s="60">
        <v>107.02249999999999</v>
      </c>
      <c r="G68" s="60">
        <v>97.643333333333302</v>
      </c>
      <c r="H68" s="60">
        <v>3.1597249999999999</v>
      </c>
      <c r="I68" s="60">
        <v>7.6816796538683798</v>
      </c>
      <c r="J68" s="60">
        <v>10.669875822784199</v>
      </c>
      <c r="K68" s="60">
        <v>82.116989950697203</v>
      </c>
      <c r="L68" s="60">
        <v>2.2937683333333299</v>
      </c>
      <c r="M68" s="60">
        <v>2.925971664</v>
      </c>
      <c r="N68" s="60">
        <v>1.86926055433333</v>
      </c>
      <c r="O68" s="60">
        <v>2.8474711888870501</v>
      </c>
      <c r="P68" s="60">
        <v>3.605</v>
      </c>
      <c r="Q68" s="60">
        <v>2.3587885666611501</v>
      </c>
      <c r="R68" s="60">
        <v>2.5786250000000002</v>
      </c>
      <c r="S68" s="60">
        <v>996.77</v>
      </c>
      <c r="T68" s="60">
        <v>1319.86916666667</v>
      </c>
      <c r="U68" s="60">
        <v>1525.1025</v>
      </c>
      <c r="V68" s="60">
        <v>1446.0491666666701</v>
      </c>
      <c r="W68" s="60">
        <v>638.65583333333302</v>
      </c>
      <c r="X68" s="60">
        <v>926.47666666666703</v>
      </c>
      <c r="Y68" s="60">
        <v>394.42416666666702</v>
      </c>
      <c r="Z68" s="60">
        <v>789.11749999999995</v>
      </c>
      <c r="AA68" s="60">
        <v>405.22583333333301</v>
      </c>
      <c r="AB68" s="60">
        <v>125.885332986111</v>
      </c>
      <c r="AC68" s="60">
        <v>164.41454680000001</v>
      </c>
      <c r="AD68" s="60">
        <v>168.58912858333301</v>
      </c>
      <c r="AE68" s="60">
        <v>420.66666666666703</v>
      </c>
      <c r="AF68" s="60">
        <v>408.08333333333297</v>
      </c>
      <c r="AG68" s="60">
        <v>401.07</v>
      </c>
      <c r="AH68" s="60">
        <v>406.14416666666699</v>
      </c>
      <c r="AI68" s="60">
        <v>203.89093102724999</v>
      </c>
      <c r="AJ68" s="60">
        <v>209.92883459999999</v>
      </c>
      <c r="AK68" s="60">
        <v>0.947568431926886</v>
      </c>
      <c r="AL68" s="60">
        <v>1.14714875572917</v>
      </c>
      <c r="AM68" s="60">
        <v>0.78985375212504705</v>
      </c>
      <c r="AN68" s="60">
        <v>4.1950427951666702</v>
      </c>
      <c r="AO68" s="60">
        <v>2.2430235618083301</v>
      </c>
      <c r="AP68" s="60">
        <v>5.8740773333333296</v>
      </c>
      <c r="AQ68" s="60">
        <v>12.2371107466667</v>
      </c>
      <c r="AR68" s="60">
        <v>0.38585241066666698</v>
      </c>
      <c r="AS68" s="60">
        <v>0.5592569785</v>
      </c>
      <c r="AT68" s="60">
        <v>0.27561424366666698</v>
      </c>
      <c r="AU68" s="60">
        <v>4865.9569444444396</v>
      </c>
      <c r="AV68" s="60">
        <v>413.54833333333301</v>
      </c>
      <c r="AW68" s="60">
        <v>269.70393820628902</v>
      </c>
      <c r="AX68" s="60">
        <v>639.99219991781104</v>
      </c>
      <c r="AY68" s="60">
        <v>727.94287499999996</v>
      </c>
      <c r="AZ68" s="60">
        <v>494.69765930267999</v>
      </c>
      <c r="BA68" s="60">
        <v>2.0145817560000001</v>
      </c>
      <c r="BB68" s="60">
        <v>1.3678333333333299</v>
      </c>
      <c r="BC68" s="60">
        <v>1.5653250000000001</v>
      </c>
      <c r="BD68" s="60">
        <v>87.9</v>
      </c>
      <c r="BE68" s="60">
        <v>393.42500000000001</v>
      </c>
      <c r="BF68" s="60">
        <v>346.73583333333301</v>
      </c>
      <c r="BG68" s="60">
        <v>249.44958333333301</v>
      </c>
      <c r="BH68" s="60">
        <v>215.5</v>
      </c>
      <c r="BI68" s="60">
        <v>2108.4749999999999</v>
      </c>
      <c r="BJ68" s="60">
        <v>69.751666666666694</v>
      </c>
      <c r="BK68" s="60">
        <v>6529.7983333333304</v>
      </c>
      <c r="BL68" s="60">
        <v>2240.4349999999999</v>
      </c>
      <c r="BM68" s="60">
        <v>20145.205833333301</v>
      </c>
      <c r="BN68" s="60">
        <v>13114.0641666667</v>
      </c>
      <c r="BO68" s="60">
        <v>2922.3791666666698</v>
      </c>
      <c r="BP68" s="60">
        <v>1269.2266666666701</v>
      </c>
      <c r="BQ68" s="60">
        <v>879.54583333333301</v>
      </c>
      <c r="BR68" s="60">
        <v>15.713749999999999</v>
      </c>
      <c r="BS68" s="58"/>
      <c r="BT68" s="58"/>
      <c r="BU68" s="58"/>
      <c r="BV68" s="58"/>
      <c r="BW68" s="58"/>
      <c r="BX68" s="58"/>
      <c r="BY68" s="58"/>
      <c r="BZ68" s="58"/>
      <c r="CA68" s="58"/>
      <c r="CB68" s="58"/>
      <c r="CC68" s="58"/>
      <c r="CD68" s="58"/>
      <c r="CE68" s="58"/>
      <c r="CF68" s="58"/>
      <c r="CG68" s="58"/>
      <c r="CH68" s="58"/>
      <c r="CI68" s="58"/>
    </row>
    <row r="69" spans="1:87">
      <c r="A69" s="55">
        <v>2019</v>
      </c>
      <c r="B69" s="62">
        <v>61.407499999999999</v>
      </c>
      <c r="C69" s="62">
        <v>64.031666666666695</v>
      </c>
      <c r="D69" s="62">
        <v>63.177500000000002</v>
      </c>
      <c r="E69" s="62">
        <v>57.0133333333333</v>
      </c>
      <c r="F69" s="62">
        <v>77.885833333333395</v>
      </c>
      <c r="G69" s="62">
        <v>71.941666666666606</v>
      </c>
      <c r="H69" s="62">
        <v>2.5658833333333302</v>
      </c>
      <c r="I69" s="62">
        <v>4.8023512661927796</v>
      </c>
      <c r="J69" s="62">
        <v>10.5643018990065</v>
      </c>
      <c r="K69" s="62">
        <v>61.145975739909701</v>
      </c>
      <c r="L69" s="62">
        <v>2.3408216666666699</v>
      </c>
      <c r="M69" s="62">
        <v>2.8797665031666702</v>
      </c>
      <c r="N69" s="62">
        <v>1.6217735874999999</v>
      </c>
      <c r="O69" s="62">
        <v>2.5628137831708599</v>
      </c>
      <c r="P69" s="62">
        <v>3.10083333333333</v>
      </c>
      <c r="Q69" s="62">
        <v>2.37639968284592</v>
      </c>
      <c r="R69" s="62">
        <v>2.2112083333333299</v>
      </c>
      <c r="S69" s="62">
        <v>735.65083333333405</v>
      </c>
      <c r="T69" s="62">
        <v>1337.8058333333299</v>
      </c>
      <c r="U69" s="62">
        <v>1447.9891666666699</v>
      </c>
      <c r="V69" s="62">
        <v>1407.3741666666699</v>
      </c>
      <c r="W69" s="62">
        <v>601.36666666666702</v>
      </c>
      <c r="X69" s="62">
        <v>665.39</v>
      </c>
      <c r="Y69" s="62">
        <v>368.946666666667</v>
      </c>
      <c r="Z69" s="62">
        <v>765.44</v>
      </c>
      <c r="AA69" s="62">
        <v>347.02249999999998</v>
      </c>
      <c r="AB69" s="62">
        <v>128.06698819444401</v>
      </c>
      <c r="AC69" s="62">
        <v>170.07008806666701</v>
      </c>
      <c r="AD69" s="62">
        <v>161.506786833333</v>
      </c>
      <c r="AE69" s="62">
        <v>418</v>
      </c>
      <c r="AF69" s="62">
        <v>410.41666666666703</v>
      </c>
      <c r="AG69" s="62">
        <v>393.493333333333</v>
      </c>
      <c r="AH69" s="62">
        <v>351.884166666667</v>
      </c>
      <c r="AI69" s="62">
        <v>211.27579630275</v>
      </c>
      <c r="AJ69" s="62">
        <v>201.692128575</v>
      </c>
      <c r="AK69" s="62">
        <v>0.87572033564205198</v>
      </c>
      <c r="AL69" s="62">
        <v>1.140546378125</v>
      </c>
      <c r="AM69" s="62">
        <v>0.56000614274852401</v>
      </c>
      <c r="AN69" s="62">
        <v>4.7636602227499996</v>
      </c>
      <c r="AO69" s="62">
        <v>1.99839617083333</v>
      </c>
      <c r="AP69" s="61" t="s">
        <v>137</v>
      </c>
      <c r="AQ69" s="62">
        <v>12.601056764999999</v>
      </c>
      <c r="AR69" s="62">
        <v>0.36566828133333301</v>
      </c>
      <c r="AS69" s="62">
        <v>0.57672859200000004</v>
      </c>
      <c r="AT69" s="62">
        <v>0.28002348366666702</v>
      </c>
      <c r="AU69" s="62">
        <v>4579.3583333333299</v>
      </c>
      <c r="AV69" s="62">
        <v>391.915416666667</v>
      </c>
      <c r="AW69" s="62">
        <v>273.103523205378</v>
      </c>
      <c r="AX69" s="62">
        <v>611.81003891919102</v>
      </c>
      <c r="AY69" s="62">
        <v>695.887791666667</v>
      </c>
      <c r="AZ69" s="62">
        <v>500.93326250830802</v>
      </c>
      <c r="BA69" s="62">
        <v>1.71693968416667</v>
      </c>
      <c r="BB69" s="62">
        <v>1.4104416666666699</v>
      </c>
      <c r="BC69" s="62">
        <v>1.64039166666667</v>
      </c>
      <c r="BD69" s="62">
        <v>87.9583333333333</v>
      </c>
      <c r="BE69" s="62">
        <v>306.35500000000002</v>
      </c>
      <c r="BF69" s="62">
        <v>294.54833333333301</v>
      </c>
      <c r="BG69" s="62">
        <v>245.28166666666701</v>
      </c>
      <c r="BH69" s="62">
        <v>255.5</v>
      </c>
      <c r="BI69" s="62">
        <v>1794.48833333333</v>
      </c>
      <c r="BJ69" s="62">
        <v>93.849166666666605</v>
      </c>
      <c r="BK69" s="62">
        <v>6010.1450000000004</v>
      </c>
      <c r="BL69" s="62">
        <v>1996.5074999999999</v>
      </c>
      <c r="BM69" s="62">
        <v>18661.156666666699</v>
      </c>
      <c r="BN69" s="62">
        <v>13913.9083333333</v>
      </c>
      <c r="BO69" s="62">
        <v>2550.41</v>
      </c>
      <c r="BP69" s="62">
        <v>1392.49833333333</v>
      </c>
      <c r="BQ69" s="62">
        <v>863.98916666666605</v>
      </c>
      <c r="BR69" s="62">
        <v>16.217583333333302</v>
      </c>
      <c r="BS69" s="58"/>
      <c r="BT69" s="58"/>
      <c r="BU69" s="58"/>
      <c r="BV69" s="58"/>
      <c r="BW69" s="58"/>
      <c r="BX69" s="58"/>
      <c r="BY69" s="58"/>
      <c r="BZ69" s="58"/>
      <c r="CA69" s="58"/>
      <c r="CB69" s="58"/>
      <c r="CC69" s="58"/>
      <c r="CD69" s="58"/>
      <c r="CE69" s="58"/>
      <c r="CF69" s="58"/>
      <c r="CG69" s="58"/>
      <c r="CH69" s="58"/>
      <c r="CI69" s="58"/>
    </row>
    <row r="70" spans="1:87">
      <c r="A70" s="59">
        <v>2020</v>
      </c>
      <c r="B70" s="150">
        <v>41.257777777777797</v>
      </c>
      <c r="C70" s="150">
        <v>42.3</v>
      </c>
      <c r="D70" s="150">
        <v>42.164999999999999</v>
      </c>
      <c r="E70" s="150">
        <v>39.308333333333302</v>
      </c>
      <c r="F70" s="150">
        <v>60.784999999999997</v>
      </c>
      <c r="G70" s="150">
        <v>65.656666666666695</v>
      </c>
      <c r="H70" s="150">
        <v>2.0143749999999998</v>
      </c>
      <c r="I70" s="150">
        <v>3.2420240393930899</v>
      </c>
      <c r="J70" s="150">
        <v>8.3133475708468403</v>
      </c>
      <c r="K70" s="150">
        <v>45.506043543081702</v>
      </c>
      <c r="L70" s="150">
        <v>2.36986416666667</v>
      </c>
      <c r="M70" s="150">
        <v>3.3236299964999998</v>
      </c>
      <c r="N70" s="150">
        <v>1.51587834016667</v>
      </c>
      <c r="O70" s="150">
        <v>2.6993001630709998</v>
      </c>
      <c r="P70" s="150">
        <v>3.4041666666666699</v>
      </c>
      <c r="Q70" s="150">
        <v>2.6862754892130001</v>
      </c>
      <c r="R70" s="150">
        <v>2.00745833333333</v>
      </c>
      <c r="S70" s="150">
        <v>1010.4037141479899</v>
      </c>
      <c r="T70" s="150">
        <v>1838.6724999999999</v>
      </c>
      <c r="U70" s="150">
        <v>1432.6995934256099</v>
      </c>
      <c r="V70" s="150">
        <v>1672.4154545454501</v>
      </c>
      <c r="W70" s="150">
        <v>751.766157621248</v>
      </c>
      <c r="X70" s="150">
        <v>824.07235042735101</v>
      </c>
      <c r="Y70" s="150">
        <v>406.63984166467299</v>
      </c>
      <c r="Z70" s="150">
        <v>837.75632231404995</v>
      </c>
      <c r="AA70" s="150">
        <v>394.17900168350201</v>
      </c>
      <c r="AB70" s="150">
        <v>97.600364583333103</v>
      </c>
      <c r="AC70" s="150">
        <v>165.466000466667</v>
      </c>
      <c r="AD70" s="150">
        <v>171.57455150000001</v>
      </c>
      <c r="AE70" s="150">
        <v>496.75</v>
      </c>
      <c r="AF70" s="150">
        <v>481.83333333333297</v>
      </c>
      <c r="AG70" s="150">
        <v>474.61666666666702</v>
      </c>
      <c r="AH70" s="150">
        <v>427.96</v>
      </c>
      <c r="AI70" s="150">
        <v>227.73879764624999</v>
      </c>
      <c r="AJ70" s="150">
        <v>231.56548795</v>
      </c>
      <c r="AK70" s="150">
        <v>0.89711781311712102</v>
      </c>
      <c r="AL70" s="150">
        <v>1.2163301906249999</v>
      </c>
      <c r="AM70" s="150">
        <v>0.60298520360965502</v>
      </c>
      <c r="AN70" s="150">
        <v>4.6673091428333304</v>
      </c>
      <c r="AO70" s="150">
        <v>1.6316943774999999</v>
      </c>
      <c r="AP70" s="60" t="s">
        <v>137</v>
      </c>
      <c r="AQ70" s="150">
        <v>12.673074351666701</v>
      </c>
      <c r="AR70" s="150">
        <v>0.37271109200000002</v>
      </c>
      <c r="AS70" s="150">
        <v>0.59465950133333301</v>
      </c>
      <c r="AT70" s="150">
        <v>0.2831283235</v>
      </c>
      <c r="AU70" s="150">
        <v>4336.28125</v>
      </c>
      <c r="AV70" s="150">
        <v>399.46375</v>
      </c>
      <c r="AW70" s="150">
        <v>278.93641829584402</v>
      </c>
      <c r="AX70" s="150">
        <v>615.16810032466503</v>
      </c>
      <c r="AY70" s="150">
        <v>699.70733333333305</v>
      </c>
      <c r="AZ70" s="150">
        <v>511.63210349447297</v>
      </c>
      <c r="BA70" s="150">
        <v>1.5858382815000001</v>
      </c>
      <c r="BB70" s="150">
        <v>1.3305499999999999</v>
      </c>
      <c r="BC70" s="150">
        <v>1.7280249999999999</v>
      </c>
      <c r="BD70" s="150">
        <v>76.051666666666605</v>
      </c>
      <c r="BE70" s="150">
        <v>312.42416666666702</v>
      </c>
      <c r="BF70" s="150">
        <v>265.03750000000002</v>
      </c>
      <c r="BG70" s="150">
        <v>229.10083333333299</v>
      </c>
      <c r="BH70" s="150">
        <v>217.791666666667</v>
      </c>
      <c r="BI70" s="150">
        <v>1703.9866666666701</v>
      </c>
      <c r="BJ70" s="150">
        <v>108.918333333333</v>
      </c>
      <c r="BK70" s="150">
        <v>6173.7708333333303</v>
      </c>
      <c r="BL70" s="150">
        <v>1824.88083333333</v>
      </c>
      <c r="BM70" s="150">
        <v>17124.5991666667</v>
      </c>
      <c r="BN70" s="150">
        <v>13787.256666666701</v>
      </c>
      <c r="BO70" s="150">
        <v>2266.44916666667</v>
      </c>
      <c r="BP70" s="150">
        <v>1770.25416666667</v>
      </c>
      <c r="BQ70" s="150">
        <v>883.39333333333298</v>
      </c>
      <c r="BR70" s="150">
        <v>20.536583333333301</v>
      </c>
      <c r="BS70" s="58"/>
      <c r="BT70" s="58"/>
      <c r="BU70" s="58"/>
      <c r="BV70" s="58"/>
      <c r="BW70" s="58"/>
      <c r="BX70" s="58"/>
      <c r="BY70" s="58"/>
      <c r="BZ70" s="58"/>
      <c r="CA70" s="58"/>
      <c r="CB70" s="58"/>
      <c r="CC70" s="58"/>
      <c r="CD70" s="58"/>
      <c r="CE70" s="58"/>
      <c r="CF70" s="58"/>
      <c r="CG70" s="58"/>
      <c r="CH70" s="58"/>
      <c r="CI70" s="58"/>
    </row>
    <row r="71" spans="1:87">
      <c r="A71" s="55">
        <v>2021</v>
      </c>
      <c r="B71" s="62">
        <v>69.0705555555556</v>
      </c>
      <c r="C71" s="62">
        <v>70.4433333333333</v>
      </c>
      <c r="D71" s="62">
        <v>68.805000000000007</v>
      </c>
      <c r="E71" s="62">
        <v>67.963333333333296</v>
      </c>
      <c r="F71" s="62">
        <v>138.05000000000001</v>
      </c>
      <c r="G71" s="62">
        <v>119.840229281524</v>
      </c>
      <c r="H71" s="62">
        <v>3.85140833333333</v>
      </c>
      <c r="I71" s="62">
        <v>16.1158779483759</v>
      </c>
      <c r="J71" s="62">
        <v>10.761649023844299</v>
      </c>
      <c r="K71" s="62">
        <v>130.674480269464</v>
      </c>
      <c r="L71" s="62">
        <v>2.4265316666666701</v>
      </c>
      <c r="M71" s="62">
        <v>4.5119385483333296</v>
      </c>
      <c r="N71" s="62">
        <v>1.9811817629999999</v>
      </c>
      <c r="O71" s="62">
        <v>2.68890367732015</v>
      </c>
      <c r="P71" s="62">
        <v>3.1258333333333299</v>
      </c>
      <c r="Q71" s="62">
        <v>2.8308743579092299</v>
      </c>
      <c r="R71" s="62">
        <v>2.1117499999999998</v>
      </c>
      <c r="S71" s="62">
        <v>1636.3133333333301</v>
      </c>
      <c r="T71" s="62">
        <v>1555.0350000000001</v>
      </c>
      <c r="U71" s="62">
        <v>1480.88916666667</v>
      </c>
      <c r="V71" s="61" t="s">
        <v>137</v>
      </c>
      <c r="W71" s="62">
        <v>1130.57666666667</v>
      </c>
      <c r="X71" s="62">
        <v>1533.0816666666699</v>
      </c>
      <c r="Y71" s="62">
        <v>583.32249999999999</v>
      </c>
      <c r="Z71" s="62">
        <v>1385.4066666666699</v>
      </c>
      <c r="AA71" s="62">
        <v>480.97500000000002</v>
      </c>
      <c r="AB71" s="61" t="s">
        <v>137</v>
      </c>
      <c r="AC71" s="62">
        <v>259.54567977893299</v>
      </c>
      <c r="AD71" s="61" t="s">
        <v>137</v>
      </c>
      <c r="AE71" s="62">
        <v>458.25</v>
      </c>
      <c r="AF71" s="62">
        <v>448.25</v>
      </c>
      <c r="AG71" s="62">
        <v>436.09</v>
      </c>
      <c r="AH71" s="62">
        <v>446.34750000000003</v>
      </c>
      <c r="AI71" s="62">
        <v>281.66060658518199</v>
      </c>
      <c r="AJ71" s="62">
        <v>315.23750000000001</v>
      </c>
      <c r="AK71" s="62">
        <v>0.92376113588577502</v>
      </c>
      <c r="AL71" s="62">
        <v>1.2054793265624999</v>
      </c>
      <c r="AM71" s="62">
        <v>0.65258965200660901</v>
      </c>
      <c r="AN71" s="62">
        <v>5.3858958459166697</v>
      </c>
      <c r="AO71" s="62">
        <v>2.2559600882500002</v>
      </c>
      <c r="AP71" s="61" t="s">
        <v>137</v>
      </c>
      <c r="AQ71" s="62">
        <v>13.699049384166701</v>
      </c>
      <c r="AR71" s="62">
        <v>0.38647559599999998</v>
      </c>
      <c r="AS71" s="62">
        <v>0.74014604949999996</v>
      </c>
      <c r="AT71" s="62">
        <v>0.38955635399999999</v>
      </c>
      <c r="AU71" s="62">
        <v>4154.7399629094798</v>
      </c>
      <c r="AV71" s="62">
        <v>414.21625</v>
      </c>
      <c r="AW71" s="62">
        <v>271.35082829258999</v>
      </c>
      <c r="AX71" s="62">
        <v>659.341980620463</v>
      </c>
      <c r="AY71" s="62">
        <v>749.95179166666605</v>
      </c>
      <c r="AZ71" s="62">
        <v>497.71842598573397</v>
      </c>
      <c r="BA71" s="62">
        <v>2.23070800333333</v>
      </c>
      <c r="BB71" s="62">
        <v>1.6793083333333301</v>
      </c>
      <c r="BC71" s="62">
        <v>2.0710166666666701</v>
      </c>
      <c r="BD71" s="62">
        <v>123.213333333333</v>
      </c>
      <c r="BE71" s="62">
        <v>600.96333333333303</v>
      </c>
      <c r="BF71" s="62">
        <v>538.18916666666701</v>
      </c>
      <c r="BG71" s="62">
        <v>483.20749999999998</v>
      </c>
      <c r="BH71" s="62">
        <v>210.208333333333</v>
      </c>
      <c r="BI71" s="62">
        <v>2472.8483333333302</v>
      </c>
      <c r="BJ71" s="62">
        <v>161.71</v>
      </c>
      <c r="BK71" s="62">
        <v>9317.0499999999993</v>
      </c>
      <c r="BL71" s="62">
        <v>2200.3649999999998</v>
      </c>
      <c r="BM71" s="62">
        <v>32384.148333333302</v>
      </c>
      <c r="BN71" s="62">
        <v>18464.965833333299</v>
      </c>
      <c r="BO71" s="62">
        <v>3002.5208333333298</v>
      </c>
      <c r="BP71" s="62">
        <v>1799.62916666667</v>
      </c>
      <c r="BQ71" s="62">
        <v>1091.13333333333</v>
      </c>
      <c r="BR71" s="62">
        <v>25.164583333333301</v>
      </c>
      <c r="BS71" s="58"/>
      <c r="BT71" s="58"/>
      <c r="BU71" s="58"/>
      <c r="BV71" s="58"/>
      <c r="BW71" s="58"/>
      <c r="BX71" s="58"/>
      <c r="BY71" s="58"/>
      <c r="BZ71" s="58"/>
      <c r="CA71" s="58"/>
      <c r="CB71" s="58"/>
      <c r="CC71" s="58"/>
      <c r="CD71" s="58"/>
      <c r="CE71" s="58"/>
      <c r="CF71" s="58"/>
      <c r="CG71" s="58"/>
      <c r="CH71" s="58"/>
      <c r="CI71" s="58"/>
    </row>
    <row r="72" spans="1:87">
      <c r="A72" s="55"/>
      <c r="B72" s="55"/>
      <c r="C72" s="55"/>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8"/>
      <c r="BT72" s="58"/>
      <c r="BU72" s="58"/>
      <c r="BV72" s="58"/>
      <c r="BW72" s="58"/>
      <c r="BX72" s="58"/>
      <c r="BY72" s="58"/>
      <c r="BZ72" s="58"/>
      <c r="CA72" s="58"/>
      <c r="CB72" s="58"/>
      <c r="CC72" s="58"/>
      <c r="CD72" s="58"/>
      <c r="CE72" s="58"/>
      <c r="CF72" s="58"/>
      <c r="CG72" s="58"/>
      <c r="CH72" s="58"/>
      <c r="CI72" s="58"/>
    </row>
    <row r="73" spans="1:87">
      <c r="A73" s="55"/>
      <c r="B73" s="55"/>
      <c r="C73" s="55"/>
      <c r="D73" s="55"/>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8"/>
      <c r="BT73" s="58"/>
      <c r="BU73" s="58"/>
      <c r="BV73" s="58"/>
      <c r="BW73" s="58"/>
      <c r="BX73" s="58"/>
      <c r="BY73" s="58"/>
      <c r="BZ73" s="58"/>
      <c r="CA73" s="58"/>
      <c r="CB73" s="58"/>
      <c r="CC73" s="58"/>
      <c r="CD73" s="58"/>
      <c r="CE73" s="58"/>
      <c r="CF73" s="58"/>
      <c r="CG73" s="58"/>
      <c r="CH73" s="58"/>
      <c r="CI73" s="58"/>
    </row>
    <row r="74" spans="1:87">
      <c r="A74" s="55"/>
      <c r="B74" s="55"/>
      <c r="C74" s="55"/>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8"/>
      <c r="BT74" s="58"/>
      <c r="BU74" s="58"/>
      <c r="BV74" s="58"/>
      <c r="BW74" s="58"/>
      <c r="BX74" s="58"/>
      <c r="BY74" s="58"/>
      <c r="BZ74" s="58"/>
      <c r="CA74" s="58"/>
      <c r="CB74" s="58"/>
      <c r="CC74" s="58"/>
      <c r="CD74" s="58"/>
      <c r="CE74" s="58"/>
      <c r="CF74" s="58"/>
      <c r="CG74" s="58"/>
      <c r="CH74" s="58"/>
      <c r="CI74" s="58"/>
    </row>
    <row r="75" spans="1:87">
      <c r="A75" s="55"/>
      <c r="B75" s="55"/>
      <c r="C75" s="55"/>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8"/>
      <c r="BT75" s="58"/>
      <c r="BU75" s="58"/>
      <c r="BV75" s="58"/>
      <c r="BW75" s="58"/>
      <c r="BX75" s="58"/>
      <c r="BY75" s="58"/>
      <c r="BZ75" s="58"/>
      <c r="CA75" s="58"/>
      <c r="CB75" s="58"/>
      <c r="CC75" s="58"/>
      <c r="CD75" s="58"/>
      <c r="CE75" s="58"/>
      <c r="CF75" s="58"/>
      <c r="CG75" s="58"/>
      <c r="CH75" s="58"/>
      <c r="CI75" s="58"/>
    </row>
    <row r="76" spans="1:87">
      <c r="A76" s="55"/>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8"/>
      <c r="BT76" s="58"/>
      <c r="BU76" s="58"/>
      <c r="BV76" s="58"/>
      <c r="BW76" s="58"/>
      <c r="BX76" s="58"/>
      <c r="BY76" s="58"/>
      <c r="BZ76" s="58"/>
      <c r="CA76" s="58"/>
      <c r="CB76" s="58"/>
      <c r="CC76" s="58"/>
      <c r="CD76" s="58"/>
      <c r="CE76" s="58"/>
      <c r="CF76" s="58"/>
      <c r="CG76" s="58"/>
      <c r="CH76" s="58"/>
      <c r="CI76" s="58"/>
    </row>
    <row r="77" spans="1:87">
      <c r="A77" s="55"/>
      <c r="B77" s="55"/>
      <c r="C77" s="55"/>
      <c r="D77" s="55"/>
      <c r="E77" s="55"/>
      <c r="F77" s="55"/>
      <c r="G77" s="55"/>
      <c r="H77" s="55"/>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55"/>
      <c r="AK77" s="55"/>
      <c r="AL77" s="55"/>
      <c r="AM77" s="55"/>
      <c r="AN77" s="55"/>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8"/>
      <c r="BT77" s="58"/>
      <c r="BU77" s="58"/>
      <c r="BV77" s="58"/>
      <c r="BW77" s="58"/>
      <c r="BX77" s="58"/>
      <c r="BY77" s="58"/>
      <c r="BZ77" s="58"/>
      <c r="CA77" s="58"/>
      <c r="CB77" s="58"/>
      <c r="CC77" s="58"/>
      <c r="CD77" s="58"/>
      <c r="CE77" s="58"/>
      <c r="CF77" s="58"/>
      <c r="CG77" s="58"/>
      <c r="CH77" s="58"/>
      <c r="CI77" s="58"/>
    </row>
    <row r="78" spans="1:87">
      <c r="A78" s="55"/>
      <c r="B78" s="55"/>
      <c r="C78" s="55"/>
      <c r="D78" s="55"/>
      <c r="E78" s="55"/>
      <c r="F78" s="55"/>
      <c r="G78" s="55"/>
      <c r="H78" s="55"/>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M78" s="55"/>
      <c r="AN78" s="55"/>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8"/>
      <c r="BT78" s="58"/>
      <c r="BU78" s="58"/>
      <c r="BV78" s="58"/>
      <c r="BW78" s="58"/>
      <c r="BX78" s="58"/>
      <c r="BY78" s="58"/>
      <c r="BZ78" s="58"/>
      <c r="CA78" s="58"/>
      <c r="CB78" s="58"/>
      <c r="CC78" s="58"/>
      <c r="CD78" s="58"/>
      <c r="CE78" s="58"/>
      <c r="CF78" s="58"/>
      <c r="CG78" s="58"/>
      <c r="CH78" s="58"/>
      <c r="CI78" s="58"/>
    </row>
    <row r="79" spans="1:87">
      <c r="A79" s="55"/>
      <c r="B79" s="55"/>
      <c r="C79" s="55"/>
      <c r="D79" s="55"/>
      <c r="E79" s="55"/>
      <c r="F79" s="55"/>
      <c r="G79" s="55"/>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8"/>
      <c r="BT79" s="58"/>
      <c r="BU79" s="58"/>
      <c r="BV79" s="58"/>
      <c r="BW79" s="58"/>
      <c r="BX79" s="58"/>
      <c r="BY79" s="58"/>
      <c r="BZ79" s="58"/>
      <c r="CA79" s="58"/>
      <c r="CB79" s="58"/>
      <c r="CC79" s="58"/>
      <c r="CD79" s="58"/>
      <c r="CE79" s="58"/>
      <c r="CF79" s="58"/>
      <c r="CG79" s="58"/>
      <c r="CH79" s="58"/>
      <c r="CI79" s="58"/>
    </row>
    <row r="80" spans="1:87">
      <c r="A80" s="55"/>
      <c r="B80" s="55"/>
      <c r="C80" s="55"/>
      <c r="D80" s="55"/>
      <c r="E80" s="55"/>
      <c r="F80" s="55"/>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8"/>
      <c r="BT80" s="58"/>
      <c r="BU80" s="58"/>
      <c r="BV80" s="58"/>
      <c r="BW80" s="58"/>
      <c r="BX80" s="58"/>
      <c r="BY80" s="58"/>
      <c r="BZ80" s="58"/>
      <c r="CA80" s="58"/>
      <c r="CB80" s="58"/>
      <c r="CC80" s="58"/>
      <c r="CD80" s="58"/>
      <c r="CE80" s="58"/>
      <c r="CF80" s="58"/>
      <c r="CG80" s="58"/>
      <c r="CH80" s="58"/>
      <c r="CI80" s="58"/>
    </row>
    <row r="81" spans="1:87">
      <c r="A81" s="55"/>
      <c r="B81" s="55"/>
      <c r="C81" s="55"/>
      <c r="D81" s="55"/>
      <c r="E81" s="55"/>
      <c r="F81" s="55"/>
      <c r="G81" s="55"/>
      <c r="H81" s="55"/>
      <c r="I81" s="55"/>
      <c r="J81" s="55"/>
      <c r="K81" s="55"/>
      <c r="L81" s="55"/>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8"/>
      <c r="BT81" s="58"/>
      <c r="BU81" s="58"/>
      <c r="BV81" s="58"/>
      <c r="BW81" s="58"/>
      <c r="BX81" s="58"/>
      <c r="BY81" s="58"/>
      <c r="BZ81" s="58"/>
      <c r="CA81" s="58"/>
      <c r="CB81" s="58"/>
      <c r="CC81" s="58"/>
      <c r="CD81" s="58"/>
      <c r="CE81" s="58"/>
      <c r="CF81" s="58"/>
      <c r="CG81" s="58"/>
      <c r="CH81" s="58"/>
      <c r="CI81" s="58"/>
    </row>
    <row r="82" spans="1:87">
      <c r="A82" s="55"/>
      <c r="B82" s="55"/>
      <c r="C82" s="55"/>
      <c r="D82" s="55"/>
      <c r="E82" s="55"/>
      <c r="F82" s="55"/>
      <c r="G82" s="55"/>
      <c r="H82" s="55"/>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c r="AY82" s="55"/>
      <c r="AZ82" s="55"/>
      <c r="BA82" s="55"/>
      <c r="BB82" s="55"/>
      <c r="BC82" s="55"/>
      <c r="BD82" s="55"/>
      <c r="BE82" s="55"/>
      <c r="BF82" s="55"/>
      <c r="BG82" s="55"/>
      <c r="BH82" s="55"/>
      <c r="BI82" s="55"/>
      <c r="BJ82" s="55"/>
      <c r="BK82" s="55"/>
      <c r="BL82" s="55"/>
      <c r="BM82" s="55"/>
      <c r="BN82" s="55"/>
      <c r="BO82" s="55"/>
      <c r="BP82" s="55"/>
      <c r="BQ82" s="55"/>
      <c r="BR82" s="55"/>
      <c r="BS82" s="58"/>
      <c r="BT82" s="58"/>
      <c r="BU82" s="58"/>
      <c r="BV82" s="58"/>
      <c r="BW82" s="58"/>
      <c r="BX82" s="58"/>
      <c r="BY82" s="58"/>
      <c r="BZ82" s="58"/>
      <c r="CA82" s="58"/>
      <c r="CB82" s="58"/>
      <c r="CC82" s="58"/>
      <c r="CD82" s="58"/>
      <c r="CE82" s="58"/>
      <c r="CF82" s="58"/>
      <c r="CG82" s="58"/>
      <c r="CH82" s="58"/>
      <c r="CI82" s="58"/>
    </row>
    <row r="83" spans="1:87">
      <c r="A83" s="55"/>
      <c r="B83" s="55"/>
      <c r="C83" s="55"/>
      <c r="D83" s="55"/>
      <c r="E83" s="55"/>
      <c r="F83" s="55"/>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c r="BC83" s="55"/>
      <c r="BD83" s="55"/>
      <c r="BE83" s="55"/>
      <c r="BF83" s="55"/>
      <c r="BG83" s="55"/>
      <c r="BH83" s="55"/>
      <c r="BI83" s="55"/>
      <c r="BJ83" s="55"/>
      <c r="BK83" s="55"/>
      <c r="BL83" s="55"/>
      <c r="BM83" s="55"/>
      <c r="BN83" s="55"/>
      <c r="BO83" s="55"/>
      <c r="BP83" s="55"/>
      <c r="BQ83" s="55"/>
      <c r="BR83" s="55"/>
      <c r="BS83" s="58"/>
      <c r="BT83" s="58"/>
      <c r="BU83" s="58"/>
      <c r="BV83" s="58"/>
      <c r="BW83" s="58"/>
      <c r="BX83" s="58"/>
      <c r="BY83" s="58"/>
      <c r="BZ83" s="58"/>
      <c r="CA83" s="58"/>
      <c r="CB83" s="58"/>
      <c r="CC83" s="58"/>
      <c r="CD83" s="58"/>
      <c r="CE83" s="58"/>
      <c r="CF83" s="58"/>
      <c r="CG83" s="58"/>
      <c r="CH83" s="58"/>
      <c r="CI83" s="58"/>
    </row>
    <row r="84" spans="1:87">
      <c r="A84" s="55"/>
      <c r="B84" s="55"/>
      <c r="C84" s="55"/>
      <c r="D84" s="55"/>
      <c r="E84" s="55"/>
      <c r="F84" s="55"/>
      <c r="G84" s="55"/>
      <c r="H84" s="55"/>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55"/>
      <c r="BJ84" s="55"/>
      <c r="BK84" s="55"/>
      <c r="BL84" s="55"/>
      <c r="BM84" s="55"/>
      <c r="BN84" s="55"/>
      <c r="BO84" s="55"/>
      <c r="BP84" s="55"/>
      <c r="BQ84" s="55"/>
      <c r="BR84" s="55"/>
      <c r="BS84" s="58"/>
      <c r="BT84" s="58"/>
      <c r="BU84" s="58"/>
      <c r="BV84" s="58"/>
      <c r="BW84" s="58"/>
      <c r="BX84" s="58"/>
      <c r="BY84" s="58"/>
      <c r="BZ84" s="58"/>
      <c r="CA84" s="58"/>
      <c r="CB84" s="58"/>
      <c r="CC84" s="58"/>
      <c r="CD84" s="58"/>
      <c r="CE84" s="58"/>
      <c r="CF84" s="58"/>
      <c r="CG84" s="58"/>
      <c r="CH84" s="58"/>
      <c r="CI84" s="58"/>
    </row>
    <row r="85" spans="1:87">
      <c r="A85" s="55"/>
      <c r="B85" s="55"/>
      <c r="C85" s="55"/>
      <c r="D85" s="55"/>
      <c r="E85" s="55"/>
      <c r="F85" s="55"/>
      <c r="G85" s="55"/>
      <c r="H85" s="55"/>
      <c r="I85" s="55"/>
      <c r="J85" s="55"/>
      <c r="K85" s="55"/>
      <c r="L85" s="55"/>
      <c r="M85" s="55"/>
      <c r="N85" s="55"/>
      <c r="O85" s="55"/>
      <c r="P85" s="55"/>
      <c r="Q85" s="55"/>
      <c r="R85" s="55"/>
      <c r="S85" s="55"/>
      <c r="T85" s="55"/>
      <c r="U85" s="55"/>
      <c r="V85" s="55"/>
      <c r="W85" s="55"/>
      <c r="X85" s="55"/>
      <c r="Y85" s="55"/>
      <c r="Z85" s="55"/>
      <c r="AA85" s="55"/>
      <c r="AB85" s="55"/>
      <c r="AC85" s="55"/>
      <c r="AD85" s="55"/>
      <c r="AE85" s="55"/>
      <c r="AF85" s="55"/>
      <c r="AG85" s="55"/>
      <c r="AH85" s="55"/>
      <c r="AI85" s="55"/>
      <c r="AJ85" s="55"/>
      <c r="AK85" s="55"/>
      <c r="AL85" s="55"/>
      <c r="AM85" s="55"/>
      <c r="AN85" s="55"/>
      <c r="AO85" s="55"/>
      <c r="AP85" s="55"/>
      <c r="AQ85" s="55"/>
      <c r="AR85" s="55"/>
      <c r="AS85" s="55"/>
      <c r="AT85" s="55"/>
      <c r="AU85" s="55"/>
      <c r="AV85" s="55"/>
      <c r="AW85" s="55"/>
      <c r="AX85" s="55"/>
      <c r="AY85" s="55"/>
      <c r="AZ85" s="55"/>
      <c r="BA85" s="55"/>
      <c r="BB85" s="55"/>
      <c r="BC85" s="55"/>
      <c r="BD85" s="55"/>
      <c r="BE85" s="55"/>
      <c r="BF85" s="55"/>
      <c r="BG85" s="55"/>
      <c r="BH85" s="55"/>
      <c r="BI85" s="55"/>
      <c r="BJ85" s="55"/>
      <c r="BK85" s="55"/>
      <c r="BL85" s="55"/>
      <c r="BM85" s="55"/>
      <c r="BN85" s="55"/>
      <c r="BO85" s="55"/>
      <c r="BP85" s="55"/>
      <c r="BQ85" s="55"/>
      <c r="BR85" s="55"/>
      <c r="BS85" s="58"/>
      <c r="BT85" s="58"/>
      <c r="BU85" s="58"/>
      <c r="BV85" s="58"/>
      <c r="BW85" s="58"/>
      <c r="BX85" s="58"/>
      <c r="BY85" s="58"/>
      <c r="BZ85" s="58"/>
      <c r="CA85" s="58"/>
      <c r="CB85" s="58"/>
      <c r="CC85" s="58"/>
      <c r="CD85" s="58"/>
      <c r="CE85" s="58"/>
      <c r="CF85" s="58"/>
      <c r="CG85" s="58"/>
      <c r="CH85" s="58"/>
      <c r="CI85" s="58"/>
    </row>
    <row r="86" spans="1:87">
      <c r="A86" s="55"/>
      <c r="B86" s="55"/>
      <c r="C86" s="55"/>
      <c r="D86" s="55"/>
      <c r="E86" s="55"/>
      <c r="F86" s="55"/>
      <c r="G86" s="55"/>
      <c r="H86" s="55"/>
      <c r="I86" s="55"/>
      <c r="J86" s="55"/>
      <c r="K86" s="55"/>
      <c r="L86" s="55"/>
      <c r="M86" s="55"/>
      <c r="N86" s="55"/>
      <c r="O86" s="55"/>
      <c r="P86" s="55"/>
      <c r="Q86" s="55"/>
      <c r="R86" s="55"/>
      <c r="S86" s="55"/>
      <c r="T86" s="55"/>
      <c r="U86" s="55"/>
      <c r="V86" s="55"/>
      <c r="W86" s="55"/>
      <c r="X86" s="55"/>
      <c r="Y86" s="55"/>
      <c r="Z86" s="55"/>
      <c r="AA86" s="55"/>
      <c r="AB86" s="55"/>
      <c r="AC86" s="55"/>
      <c r="AD86" s="55"/>
      <c r="AE86" s="55"/>
      <c r="AF86" s="55"/>
      <c r="AG86" s="55"/>
      <c r="AH86" s="55"/>
      <c r="AI86" s="55"/>
      <c r="AJ86" s="55"/>
      <c r="AK86" s="55"/>
      <c r="AL86" s="55"/>
      <c r="AM86" s="55"/>
      <c r="AN86" s="55"/>
      <c r="AO86" s="55"/>
      <c r="AP86" s="55"/>
      <c r="AQ86" s="55"/>
      <c r="AR86" s="55"/>
      <c r="AS86" s="55"/>
      <c r="AT86" s="55"/>
      <c r="AU86" s="55"/>
      <c r="AV86" s="55"/>
      <c r="AW86" s="55"/>
      <c r="AX86" s="55"/>
      <c r="AY86" s="55"/>
      <c r="AZ86" s="55"/>
      <c r="BA86" s="55"/>
      <c r="BB86" s="55"/>
      <c r="BC86" s="55"/>
      <c r="BD86" s="55"/>
      <c r="BE86" s="55"/>
      <c r="BF86" s="55"/>
      <c r="BG86" s="55"/>
      <c r="BH86" s="55"/>
      <c r="BI86" s="55"/>
      <c r="BJ86" s="55"/>
      <c r="BK86" s="55"/>
      <c r="BL86" s="55"/>
      <c r="BM86" s="55"/>
      <c r="BN86" s="55"/>
      <c r="BO86" s="55"/>
      <c r="BP86" s="55"/>
      <c r="BQ86" s="55"/>
      <c r="BR86" s="55"/>
      <c r="BS86" s="58"/>
      <c r="BT86" s="58"/>
      <c r="BU86" s="58"/>
      <c r="BV86" s="58"/>
      <c r="BW86" s="58"/>
      <c r="BX86" s="58"/>
      <c r="BY86" s="58"/>
      <c r="BZ86" s="58"/>
      <c r="CA86" s="58"/>
      <c r="CB86" s="58"/>
      <c r="CC86" s="58"/>
      <c r="CD86" s="58"/>
      <c r="CE86" s="58"/>
      <c r="CF86" s="58"/>
      <c r="CG86" s="58"/>
      <c r="CH86" s="58"/>
      <c r="CI86" s="58"/>
    </row>
    <row r="87" spans="1:87">
      <c r="A87" s="55"/>
      <c r="B87" s="55"/>
      <c r="C87" s="55"/>
      <c r="D87" s="55"/>
      <c r="E87" s="55"/>
      <c r="F87" s="55"/>
      <c r="G87" s="55"/>
      <c r="H87" s="55"/>
      <c r="I87" s="55"/>
      <c r="J87" s="55"/>
      <c r="K87" s="55"/>
      <c r="L87" s="55"/>
      <c r="M87" s="55"/>
      <c r="N87" s="55"/>
      <c r="O87" s="55"/>
      <c r="P87" s="55"/>
      <c r="Q87" s="55"/>
      <c r="R87" s="55"/>
      <c r="S87" s="55"/>
      <c r="T87" s="55"/>
      <c r="U87" s="55"/>
      <c r="V87" s="55"/>
      <c r="W87" s="55"/>
      <c r="X87" s="55"/>
      <c r="Y87" s="55"/>
      <c r="Z87" s="55"/>
      <c r="AA87" s="55"/>
      <c r="AB87" s="55"/>
      <c r="AC87" s="55"/>
      <c r="AD87" s="55"/>
      <c r="AE87" s="55"/>
      <c r="AF87" s="55"/>
      <c r="AG87" s="55"/>
      <c r="AH87" s="55"/>
      <c r="AI87" s="55"/>
      <c r="AJ87" s="55"/>
      <c r="AK87" s="55"/>
      <c r="AL87" s="55"/>
      <c r="AM87" s="55"/>
      <c r="AN87" s="55"/>
      <c r="AO87" s="55"/>
      <c r="AP87" s="55"/>
      <c r="AQ87" s="55"/>
      <c r="AR87" s="55"/>
      <c r="AS87" s="55"/>
      <c r="AT87" s="55"/>
      <c r="AU87" s="55"/>
      <c r="AV87" s="55"/>
      <c r="AW87" s="55"/>
      <c r="AX87" s="55"/>
      <c r="AY87" s="55"/>
      <c r="AZ87" s="55"/>
      <c r="BA87" s="55"/>
      <c r="BB87" s="55"/>
      <c r="BC87" s="55"/>
      <c r="BD87" s="55"/>
      <c r="BE87" s="55"/>
      <c r="BF87" s="55"/>
      <c r="BG87" s="55"/>
      <c r="BH87" s="55"/>
      <c r="BI87" s="55"/>
      <c r="BJ87" s="55"/>
      <c r="BK87" s="55"/>
      <c r="BL87" s="55"/>
      <c r="BM87" s="55"/>
      <c r="BN87" s="55"/>
      <c r="BO87" s="55"/>
      <c r="BP87" s="55"/>
      <c r="BQ87" s="55"/>
      <c r="BR87" s="55"/>
      <c r="BS87" s="58"/>
      <c r="BT87" s="58"/>
      <c r="BU87" s="58"/>
      <c r="BV87" s="58"/>
      <c r="BW87" s="58"/>
      <c r="BX87" s="58"/>
      <c r="BY87" s="58"/>
      <c r="BZ87" s="58"/>
      <c r="CA87" s="58"/>
      <c r="CB87" s="58"/>
      <c r="CC87" s="58"/>
      <c r="CD87" s="58"/>
      <c r="CE87" s="58"/>
      <c r="CF87" s="58"/>
      <c r="CG87" s="58"/>
      <c r="CH87" s="58"/>
      <c r="CI87" s="58"/>
    </row>
    <row r="88" spans="1:87">
      <c r="A88" s="55"/>
      <c r="B88" s="55"/>
      <c r="C88" s="55"/>
      <c r="D88" s="55"/>
      <c r="E88" s="55"/>
      <c r="F88" s="55"/>
      <c r="G88" s="55"/>
      <c r="H88" s="55"/>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c r="AM88" s="55"/>
      <c r="AN88" s="55"/>
      <c r="AO88" s="55"/>
      <c r="AP88" s="55"/>
      <c r="AQ88" s="55"/>
      <c r="AR88" s="55"/>
      <c r="AS88" s="55"/>
      <c r="AT88" s="55"/>
      <c r="AU88" s="55"/>
      <c r="AV88" s="55"/>
      <c r="AW88" s="55"/>
      <c r="AX88" s="55"/>
      <c r="AY88" s="55"/>
      <c r="AZ88" s="55"/>
      <c r="BA88" s="55"/>
      <c r="BB88" s="55"/>
      <c r="BC88" s="55"/>
      <c r="BD88" s="55"/>
      <c r="BE88" s="55"/>
      <c r="BF88" s="55"/>
      <c r="BG88" s="55"/>
      <c r="BH88" s="55"/>
      <c r="BI88" s="55"/>
      <c r="BJ88" s="55"/>
      <c r="BK88" s="55"/>
      <c r="BL88" s="55"/>
      <c r="BM88" s="55"/>
      <c r="BN88" s="55"/>
      <c r="BO88" s="55"/>
      <c r="BP88" s="55"/>
      <c r="BQ88" s="55"/>
      <c r="BR88" s="55"/>
      <c r="BS88" s="58"/>
      <c r="BT88" s="58"/>
      <c r="BU88" s="58"/>
      <c r="BV88" s="58"/>
      <c r="BW88" s="58"/>
      <c r="BX88" s="58"/>
      <c r="BY88" s="58"/>
      <c r="BZ88" s="58"/>
      <c r="CA88" s="58"/>
      <c r="CB88" s="58"/>
      <c r="CC88" s="58"/>
      <c r="CD88" s="58"/>
      <c r="CE88" s="58"/>
      <c r="CF88" s="58"/>
      <c r="CG88" s="58"/>
      <c r="CH88" s="58"/>
      <c r="CI88" s="58"/>
    </row>
    <row r="89" spans="1:87">
      <c r="A89" s="55"/>
      <c r="B89" s="55"/>
      <c r="C89" s="55"/>
      <c r="D89" s="55"/>
      <c r="E89" s="55"/>
      <c r="F89" s="55"/>
      <c r="G89" s="55"/>
      <c r="H89" s="55"/>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M89" s="55"/>
      <c r="AN89" s="55"/>
      <c r="AO89" s="55"/>
      <c r="AP89" s="55"/>
      <c r="AQ89" s="55"/>
      <c r="AR89" s="55"/>
      <c r="AS89" s="55"/>
      <c r="AT89" s="55"/>
      <c r="AU89" s="55"/>
      <c r="AV89" s="55"/>
      <c r="AW89" s="55"/>
      <c r="AX89" s="55"/>
      <c r="AY89" s="55"/>
      <c r="AZ89" s="55"/>
      <c r="BA89" s="55"/>
      <c r="BB89" s="55"/>
      <c r="BC89" s="55"/>
      <c r="BD89" s="55"/>
      <c r="BE89" s="55"/>
      <c r="BF89" s="55"/>
      <c r="BG89" s="55"/>
      <c r="BH89" s="55"/>
      <c r="BI89" s="55"/>
      <c r="BJ89" s="55"/>
      <c r="BK89" s="55"/>
      <c r="BL89" s="55"/>
      <c r="BM89" s="55"/>
      <c r="BN89" s="55"/>
      <c r="BO89" s="55"/>
      <c r="BP89" s="55"/>
      <c r="BQ89" s="55"/>
      <c r="BR89" s="55"/>
      <c r="BS89" s="58"/>
      <c r="BT89" s="58"/>
      <c r="BU89" s="58"/>
      <c r="BV89" s="58"/>
      <c r="BW89" s="58"/>
      <c r="BX89" s="58"/>
      <c r="BY89" s="58"/>
      <c r="BZ89" s="58"/>
      <c r="CA89" s="58"/>
      <c r="CB89" s="58"/>
      <c r="CC89" s="58"/>
      <c r="CD89" s="58"/>
      <c r="CE89" s="58"/>
      <c r="CF89" s="58"/>
      <c r="CG89" s="58"/>
      <c r="CH89" s="58"/>
      <c r="CI89" s="58"/>
    </row>
    <row r="90" spans="1:87">
      <c r="A90" s="55"/>
      <c r="B90" s="55"/>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55"/>
      <c r="BJ90" s="55"/>
      <c r="BK90" s="55"/>
      <c r="BL90" s="55"/>
      <c r="BM90" s="55"/>
      <c r="BN90" s="55"/>
      <c r="BO90" s="55"/>
      <c r="BP90" s="55"/>
      <c r="BQ90" s="55"/>
      <c r="BR90" s="55"/>
      <c r="BS90" s="58"/>
      <c r="BT90" s="58"/>
      <c r="BU90" s="58"/>
      <c r="BV90" s="58"/>
      <c r="BW90" s="58"/>
      <c r="BX90" s="58"/>
      <c r="BY90" s="58"/>
      <c r="BZ90" s="58"/>
      <c r="CA90" s="58"/>
      <c r="CB90" s="58"/>
      <c r="CC90" s="58"/>
      <c r="CD90" s="58"/>
      <c r="CE90" s="58"/>
      <c r="CF90" s="58"/>
      <c r="CG90" s="58"/>
      <c r="CH90" s="58"/>
      <c r="CI90" s="58"/>
    </row>
    <row r="91" spans="1:87">
      <c r="A91" s="55"/>
      <c r="B91" s="55"/>
      <c r="C91" s="55"/>
      <c r="D91" s="55"/>
      <c r="E91" s="55"/>
      <c r="F91" s="55"/>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c r="BC91" s="55"/>
      <c r="BD91" s="55"/>
      <c r="BE91" s="55"/>
      <c r="BF91" s="55"/>
      <c r="BG91" s="55"/>
      <c r="BH91" s="55"/>
      <c r="BI91" s="55"/>
      <c r="BJ91" s="55"/>
      <c r="BK91" s="55"/>
      <c r="BL91" s="55"/>
      <c r="BM91" s="55"/>
      <c r="BN91" s="55"/>
      <c r="BO91" s="55"/>
      <c r="BP91" s="55"/>
      <c r="BQ91" s="55"/>
      <c r="BR91" s="55"/>
      <c r="BS91" s="58"/>
      <c r="BT91" s="58"/>
      <c r="BU91" s="58"/>
      <c r="BV91" s="58"/>
      <c r="BW91" s="58"/>
      <c r="BX91" s="58"/>
      <c r="BY91" s="58"/>
      <c r="BZ91" s="58"/>
      <c r="CA91" s="58"/>
      <c r="CB91" s="58"/>
      <c r="CC91" s="58"/>
      <c r="CD91" s="58"/>
      <c r="CE91" s="58"/>
      <c r="CF91" s="58"/>
      <c r="CG91" s="58"/>
      <c r="CH91" s="58"/>
      <c r="CI91" s="58"/>
    </row>
    <row r="92" spans="1:87">
      <c r="A92" s="55"/>
      <c r="B92" s="55"/>
      <c r="C92" s="55"/>
      <c r="D92" s="55"/>
      <c r="E92" s="55"/>
      <c r="F92" s="55"/>
      <c r="G92" s="55"/>
      <c r="H92" s="55"/>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55"/>
      <c r="AK92" s="55"/>
      <c r="AL92" s="55"/>
      <c r="AM92" s="55"/>
      <c r="AN92" s="55"/>
      <c r="AO92" s="55"/>
      <c r="AP92" s="55"/>
      <c r="AQ92" s="55"/>
      <c r="AR92" s="55"/>
      <c r="AS92" s="55"/>
      <c r="AT92" s="55"/>
      <c r="AU92" s="55"/>
      <c r="AV92" s="55"/>
      <c r="AW92" s="55"/>
      <c r="AX92" s="55"/>
      <c r="AY92" s="55"/>
      <c r="AZ92" s="55"/>
      <c r="BA92" s="55"/>
      <c r="BB92" s="55"/>
      <c r="BC92" s="55"/>
      <c r="BD92" s="55"/>
      <c r="BE92" s="55"/>
      <c r="BF92" s="55"/>
      <c r="BG92" s="55"/>
      <c r="BH92" s="55"/>
      <c r="BI92" s="55"/>
      <c r="BJ92" s="55"/>
      <c r="BK92" s="55"/>
      <c r="BL92" s="55"/>
      <c r="BM92" s="55"/>
      <c r="BN92" s="55"/>
      <c r="BO92" s="55"/>
      <c r="BP92" s="55"/>
      <c r="BQ92" s="55"/>
      <c r="BR92" s="55"/>
      <c r="BS92" s="58"/>
      <c r="BT92" s="58"/>
      <c r="BU92" s="58"/>
      <c r="BV92" s="58"/>
      <c r="BW92" s="58"/>
      <c r="BX92" s="58"/>
      <c r="BY92" s="58"/>
      <c r="BZ92" s="58"/>
      <c r="CA92" s="58"/>
      <c r="CB92" s="58"/>
      <c r="CC92" s="58"/>
      <c r="CD92" s="58"/>
      <c r="CE92" s="58"/>
      <c r="CF92" s="58"/>
      <c r="CG92" s="58"/>
      <c r="CH92" s="58"/>
      <c r="CI92" s="58"/>
    </row>
    <row r="93" spans="1:87">
      <c r="A93" s="55"/>
      <c r="B93" s="55"/>
      <c r="C93" s="55"/>
      <c r="D93" s="55"/>
      <c r="E93" s="55"/>
      <c r="F93" s="55"/>
      <c r="G93" s="55"/>
      <c r="H93" s="5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M93" s="55"/>
      <c r="AN93" s="55"/>
      <c r="AO93" s="55"/>
      <c r="AP93" s="55"/>
      <c r="AQ93" s="55"/>
      <c r="AR93" s="55"/>
      <c r="AS93" s="55"/>
      <c r="AT93" s="55"/>
      <c r="AU93" s="55"/>
      <c r="AV93" s="55"/>
      <c r="AW93" s="55"/>
      <c r="AX93" s="55"/>
      <c r="AY93" s="55"/>
      <c r="AZ93" s="55"/>
      <c r="BA93" s="55"/>
      <c r="BB93" s="55"/>
      <c r="BC93" s="55"/>
      <c r="BD93" s="55"/>
      <c r="BE93" s="55"/>
      <c r="BF93" s="55"/>
      <c r="BG93" s="55"/>
      <c r="BH93" s="55"/>
      <c r="BI93" s="55"/>
      <c r="BJ93" s="55"/>
      <c r="BK93" s="55"/>
      <c r="BL93" s="55"/>
      <c r="BM93" s="55"/>
      <c r="BN93" s="55"/>
      <c r="BO93" s="55"/>
      <c r="BP93" s="55"/>
      <c r="BQ93" s="55"/>
      <c r="BR93" s="55"/>
      <c r="BS93" s="58"/>
      <c r="BT93" s="58"/>
      <c r="BU93" s="58"/>
      <c r="BV93" s="58"/>
      <c r="BW93" s="58"/>
      <c r="BX93" s="58"/>
      <c r="BY93" s="58"/>
      <c r="BZ93" s="58"/>
      <c r="CA93" s="58"/>
      <c r="CB93" s="58"/>
      <c r="CC93" s="58"/>
      <c r="CD93" s="58"/>
      <c r="CE93" s="58"/>
      <c r="CF93" s="58"/>
      <c r="CG93" s="58"/>
      <c r="CH93" s="58"/>
      <c r="CI93" s="58"/>
    </row>
    <row r="94" spans="1:87">
      <c r="A94" s="55"/>
      <c r="B94" s="55"/>
      <c r="C94" s="55"/>
      <c r="D94" s="55"/>
      <c r="E94" s="55"/>
      <c r="F94" s="55"/>
      <c r="G94" s="55"/>
      <c r="H94" s="55"/>
      <c r="I94" s="55"/>
      <c r="J94" s="55"/>
      <c r="K94" s="55"/>
      <c r="L94" s="55"/>
      <c r="M94" s="55"/>
      <c r="N94" s="55"/>
      <c r="O94" s="55"/>
      <c r="P94" s="55"/>
      <c r="Q94" s="55"/>
      <c r="R94" s="55"/>
      <c r="S94" s="55"/>
      <c r="T94" s="55"/>
      <c r="U94" s="55"/>
      <c r="V94" s="55"/>
      <c r="W94" s="55"/>
      <c r="X94" s="55"/>
      <c r="Y94" s="55"/>
      <c r="Z94" s="55"/>
      <c r="AA94" s="55"/>
      <c r="AB94" s="55"/>
      <c r="AC94" s="55"/>
      <c r="AD94" s="55"/>
      <c r="AE94" s="55"/>
      <c r="AF94" s="55"/>
      <c r="AG94" s="55"/>
      <c r="AH94" s="55"/>
      <c r="AI94" s="55"/>
      <c r="AJ94" s="55"/>
      <c r="AK94" s="55"/>
      <c r="AL94" s="55"/>
      <c r="AM94" s="55"/>
      <c r="AN94" s="55"/>
      <c r="AO94" s="55"/>
      <c r="AP94" s="55"/>
      <c r="AQ94" s="55"/>
      <c r="AR94" s="55"/>
      <c r="AS94" s="55"/>
      <c r="AT94" s="55"/>
      <c r="AU94" s="55"/>
      <c r="AV94" s="55"/>
      <c r="AW94" s="55"/>
      <c r="AX94" s="55"/>
      <c r="AY94" s="55"/>
      <c r="AZ94" s="55"/>
      <c r="BA94" s="55"/>
      <c r="BB94" s="55"/>
      <c r="BC94" s="55"/>
      <c r="BD94" s="55"/>
      <c r="BE94" s="55"/>
      <c r="BF94" s="55"/>
      <c r="BG94" s="55"/>
      <c r="BH94" s="55"/>
      <c r="BI94" s="55"/>
      <c r="BJ94" s="55"/>
      <c r="BK94" s="55"/>
      <c r="BL94" s="55"/>
      <c r="BM94" s="55"/>
      <c r="BN94" s="55"/>
      <c r="BO94" s="55"/>
      <c r="BP94" s="55"/>
      <c r="BQ94" s="55"/>
      <c r="BR94" s="55"/>
      <c r="BS94" s="58"/>
      <c r="BT94" s="58"/>
      <c r="BU94" s="58"/>
      <c r="BV94" s="58"/>
      <c r="BW94" s="58"/>
      <c r="BX94" s="58"/>
      <c r="BY94" s="58"/>
      <c r="BZ94" s="58"/>
      <c r="CA94" s="58"/>
      <c r="CB94" s="58"/>
      <c r="CC94" s="58"/>
      <c r="CD94" s="58"/>
      <c r="CE94" s="58"/>
      <c r="CF94" s="58"/>
      <c r="CG94" s="58"/>
      <c r="CH94" s="58"/>
      <c r="CI94" s="58"/>
    </row>
    <row r="95" spans="1:87">
      <c r="A95" s="55"/>
      <c r="B95" s="55"/>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55"/>
      <c r="BJ95" s="55"/>
      <c r="BK95" s="55"/>
      <c r="BL95" s="55"/>
      <c r="BM95" s="55"/>
      <c r="BN95" s="55"/>
      <c r="BO95" s="55"/>
      <c r="BP95" s="55"/>
      <c r="BQ95" s="55"/>
      <c r="BR95" s="55"/>
      <c r="BS95" s="58"/>
      <c r="BT95" s="58"/>
      <c r="BU95" s="58"/>
      <c r="BV95" s="58"/>
      <c r="BW95" s="58"/>
      <c r="BX95" s="58"/>
      <c r="BY95" s="58"/>
      <c r="BZ95" s="58"/>
      <c r="CA95" s="58"/>
      <c r="CB95" s="58"/>
      <c r="CC95" s="58"/>
      <c r="CD95" s="58"/>
      <c r="CE95" s="58"/>
      <c r="CF95" s="58"/>
      <c r="CG95" s="58"/>
      <c r="CH95" s="58"/>
      <c r="CI95" s="58"/>
    </row>
    <row r="96" spans="1:87">
      <c r="A96" s="55"/>
      <c r="B96" s="55"/>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55"/>
      <c r="BJ96" s="55"/>
      <c r="BK96" s="55"/>
      <c r="BL96" s="55"/>
      <c r="BM96" s="55"/>
      <c r="BN96" s="55"/>
      <c r="BO96" s="55"/>
      <c r="BP96" s="55"/>
      <c r="BQ96" s="55"/>
      <c r="BR96" s="55"/>
      <c r="BS96" s="58"/>
      <c r="BT96" s="58"/>
      <c r="BU96" s="58"/>
      <c r="BV96" s="58"/>
      <c r="BW96" s="58"/>
      <c r="BX96" s="58"/>
      <c r="BY96" s="58"/>
      <c r="BZ96" s="58"/>
      <c r="CA96" s="58"/>
      <c r="CB96" s="58"/>
      <c r="CC96" s="58"/>
      <c r="CD96" s="58"/>
      <c r="CE96" s="58"/>
      <c r="CF96" s="58"/>
      <c r="CG96" s="58"/>
      <c r="CH96" s="58"/>
      <c r="CI96" s="58"/>
    </row>
    <row r="97" spans="1:87">
      <c r="A97" s="55"/>
      <c r="B97" s="55"/>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5"/>
      <c r="BO97" s="55"/>
      <c r="BP97" s="55"/>
      <c r="BQ97" s="55"/>
      <c r="BR97" s="55"/>
      <c r="BS97" s="58"/>
      <c r="BT97" s="58"/>
      <c r="BU97" s="58"/>
      <c r="BV97" s="58"/>
      <c r="BW97" s="58"/>
      <c r="BX97" s="58"/>
      <c r="BY97" s="58"/>
      <c r="BZ97" s="58"/>
      <c r="CA97" s="58"/>
      <c r="CB97" s="58"/>
      <c r="CC97" s="58"/>
      <c r="CD97" s="58"/>
      <c r="CE97" s="58"/>
      <c r="CF97" s="58"/>
      <c r="CG97" s="58"/>
      <c r="CH97" s="58"/>
      <c r="CI97" s="58"/>
    </row>
    <row r="98" spans="1:87">
      <c r="A98" s="55"/>
      <c r="B98" s="55"/>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55"/>
      <c r="BJ98" s="55"/>
      <c r="BK98" s="55"/>
      <c r="BL98" s="55"/>
      <c r="BM98" s="55"/>
      <c r="BN98" s="55"/>
      <c r="BO98" s="55"/>
      <c r="BP98" s="55"/>
      <c r="BQ98" s="55"/>
      <c r="BR98" s="55"/>
      <c r="BS98" s="58"/>
      <c r="BT98" s="58"/>
      <c r="BU98" s="58"/>
      <c r="BV98" s="58"/>
      <c r="BW98" s="58"/>
      <c r="BX98" s="58"/>
      <c r="BY98" s="58"/>
      <c r="BZ98" s="58"/>
      <c r="CA98" s="58"/>
      <c r="CB98" s="58"/>
      <c r="CC98" s="58"/>
      <c r="CD98" s="58"/>
      <c r="CE98" s="58"/>
      <c r="CF98" s="58"/>
      <c r="CG98" s="58"/>
      <c r="CH98" s="58"/>
      <c r="CI98" s="58"/>
    </row>
    <row r="99" spans="1:87">
      <c r="A99" s="55"/>
      <c r="B99" s="55"/>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55"/>
      <c r="BJ99" s="55"/>
      <c r="BK99" s="55"/>
      <c r="BL99" s="55"/>
      <c r="BM99" s="55"/>
      <c r="BN99" s="55"/>
      <c r="BO99" s="55"/>
      <c r="BP99" s="55"/>
      <c r="BQ99" s="55"/>
      <c r="BR99" s="55"/>
      <c r="BS99" s="58"/>
      <c r="BT99" s="58"/>
      <c r="BU99" s="58"/>
      <c r="BV99" s="58"/>
      <c r="BW99" s="58"/>
      <c r="BX99" s="58"/>
      <c r="BY99" s="58"/>
      <c r="BZ99" s="58"/>
      <c r="CA99" s="58"/>
      <c r="CB99" s="58"/>
      <c r="CC99" s="58"/>
      <c r="CD99" s="58"/>
      <c r="CE99" s="58"/>
      <c r="CF99" s="58"/>
      <c r="CG99" s="58"/>
      <c r="CH99" s="58"/>
      <c r="CI99" s="58"/>
    </row>
    <row r="100" spans="1:87">
      <c r="A100" s="55"/>
      <c r="B100" s="55"/>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8"/>
      <c r="BT100" s="58"/>
      <c r="BU100" s="58"/>
      <c r="BV100" s="58"/>
      <c r="BW100" s="58"/>
      <c r="BX100" s="58"/>
      <c r="BY100" s="58"/>
      <c r="BZ100" s="58"/>
      <c r="CA100" s="58"/>
      <c r="CB100" s="58"/>
      <c r="CC100" s="58"/>
      <c r="CD100" s="58"/>
      <c r="CE100" s="58"/>
      <c r="CF100" s="58"/>
      <c r="CG100" s="58"/>
      <c r="CH100" s="58"/>
      <c r="CI100" s="58"/>
    </row>
    <row r="101" spans="1:87">
      <c r="A101" s="55"/>
      <c r="B101" s="55"/>
      <c r="C101" s="55"/>
      <c r="D101" s="55"/>
      <c r="E101" s="55"/>
      <c r="F101" s="55"/>
      <c r="G101" s="55"/>
      <c r="H101" s="55"/>
      <c r="I101" s="55"/>
      <c r="J101" s="55"/>
      <c r="K101" s="55"/>
      <c r="L101" s="55"/>
      <c r="M101" s="55"/>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55"/>
      <c r="BJ101" s="55"/>
      <c r="BK101" s="55"/>
      <c r="BL101" s="55"/>
      <c r="BM101" s="55"/>
      <c r="BN101" s="55"/>
      <c r="BO101" s="55"/>
      <c r="BP101" s="55"/>
      <c r="BQ101" s="55"/>
      <c r="BR101" s="55"/>
      <c r="BS101" s="58"/>
      <c r="BT101" s="58"/>
      <c r="BU101" s="58"/>
      <c r="BV101" s="58"/>
      <c r="BW101" s="58"/>
      <c r="BX101" s="58"/>
      <c r="BY101" s="58"/>
      <c r="BZ101" s="58"/>
      <c r="CA101" s="58"/>
      <c r="CB101" s="58"/>
      <c r="CC101" s="58"/>
      <c r="CD101" s="58"/>
      <c r="CE101" s="58"/>
      <c r="CF101" s="58"/>
      <c r="CG101" s="58"/>
      <c r="CH101" s="58"/>
      <c r="CI101" s="58"/>
    </row>
    <row r="102" spans="1:87">
      <c r="A102" s="55"/>
      <c r="B102" s="55"/>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8"/>
      <c r="BT102" s="58"/>
      <c r="BU102" s="58"/>
      <c r="BV102" s="58"/>
      <c r="BW102" s="58"/>
      <c r="BX102" s="58"/>
      <c r="BY102" s="58"/>
      <c r="BZ102" s="58"/>
      <c r="CA102" s="58"/>
      <c r="CB102" s="58"/>
      <c r="CC102" s="58"/>
      <c r="CD102" s="58"/>
      <c r="CE102" s="58"/>
      <c r="CF102" s="58"/>
      <c r="CG102" s="58"/>
      <c r="CH102" s="58"/>
      <c r="CI102" s="58"/>
    </row>
    <row r="103" spans="1:87">
      <c r="A103" s="55"/>
      <c r="B103" s="55"/>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8"/>
      <c r="BT103" s="58"/>
      <c r="BU103" s="58"/>
      <c r="BV103" s="58"/>
      <c r="BW103" s="58"/>
      <c r="BX103" s="58"/>
      <c r="BY103" s="58"/>
      <c r="BZ103" s="58"/>
      <c r="CA103" s="58"/>
      <c r="CB103" s="58"/>
      <c r="CC103" s="58"/>
      <c r="CD103" s="58"/>
      <c r="CE103" s="58"/>
      <c r="CF103" s="58"/>
      <c r="CG103" s="58"/>
      <c r="CH103" s="58"/>
      <c r="CI103" s="58"/>
    </row>
    <row r="104" spans="1:87">
      <c r="A104" s="55"/>
      <c r="B104" s="55"/>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8"/>
      <c r="BT104" s="58"/>
      <c r="BU104" s="58"/>
      <c r="BV104" s="58"/>
      <c r="BW104" s="58"/>
      <c r="BX104" s="58"/>
      <c r="BY104" s="58"/>
      <c r="BZ104" s="58"/>
      <c r="CA104" s="58"/>
      <c r="CB104" s="58"/>
      <c r="CC104" s="58"/>
      <c r="CD104" s="58"/>
      <c r="CE104" s="58"/>
      <c r="CF104" s="58"/>
      <c r="CG104" s="58"/>
      <c r="CH104" s="58"/>
      <c r="CI104" s="58"/>
    </row>
    <row r="105" spans="1:87">
      <c r="A105" s="55"/>
      <c r="B105" s="55"/>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55"/>
      <c r="BJ105" s="55"/>
      <c r="BK105" s="55"/>
      <c r="BL105" s="55"/>
      <c r="BM105" s="55"/>
      <c r="BN105" s="55"/>
      <c r="BO105" s="55"/>
      <c r="BP105" s="55"/>
      <c r="BQ105" s="55"/>
      <c r="BR105" s="55"/>
      <c r="BS105" s="58"/>
      <c r="BT105" s="58"/>
      <c r="BU105" s="58"/>
      <c r="BV105" s="58"/>
      <c r="BW105" s="58"/>
      <c r="BX105" s="58"/>
      <c r="BY105" s="58"/>
      <c r="BZ105" s="58"/>
      <c r="CA105" s="58"/>
      <c r="CB105" s="58"/>
      <c r="CC105" s="58"/>
      <c r="CD105" s="58"/>
      <c r="CE105" s="58"/>
      <c r="CF105" s="58"/>
      <c r="CG105" s="58"/>
      <c r="CH105" s="58"/>
      <c r="CI105" s="58"/>
    </row>
    <row r="106" spans="1:87">
      <c r="A106" s="55"/>
      <c r="B106" s="55"/>
      <c r="C106" s="55"/>
      <c r="D106" s="55"/>
      <c r="E106" s="55"/>
      <c r="F106" s="55"/>
      <c r="G106" s="55"/>
      <c r="H106" s="55"/>
      <c r="I106" s="55"/>
      <c r="J106" s="55"/>
      <c r="K106" s="55"/>
      <c r="L106" s="55"/>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55"/>
      <c r="AK106" s="55"/>
      <c r="AL106" s="55"/>
      <c r="AM106" s="55"/>
      <c r="AN106" s="55"/>
      <c r="AO106" s="55"/>
      <c r="AP106" s="55"/>
      <c r="AQ106" s="55"/>
      <c r="AR106" s="55"/>
      <c r="AS106" s="55"/>
      <c r="AT106" s="55"/>
      <c r="AU106" s="55"/>
      <c r="AV106" s="55"/>
      <c r="AW106" s="55"/>
      <c r="AX106" s="55"/>
      <c r="AY106" s="55"/>
      <c r="AZ106" s="55"/>
      <c r="BA106" s="55"/>
      <c r="BB106" s="55"/>
      <c r="BC106" s="55"/>
      <c r="BD106" s="55"/>
      <c r="BE106" s="55"/>
      <c r="BF106" s="55"/>
      <c r="BG106" s="55"/>
      <c r="BH106" s="55"/>
      <c r="BI106" s="55"/>
      <c r="BJ106" s="55"/>
      <c r="BK106" s="55"/>
      <c r="BL106" s="55"/>
      <c r="BM106" s="55"/>
      <c r="BN106" s="55"/>
      <c r="BO106" s="55"/>
      <c r="BP106" s="55"/>
      <c r="BQ106" s="55"/>
      <c r="BR106" s="55"/>
      <c r="BS106" s="58"/>
      <c r="BT106" s="58"/>
      <c r="BU106" s="58"/>
      <c r="BV106" s="58"/>
      <c r="BW106" s="58"/>
      <c r="BX106" s="58"/>
      <c r="BY106" s="58"/>
      <c r="BZ106" s="58"/>
      <c r="CA106" s="58"/>
      <c r="CB106" s="58"/>
      <c r="CC106" s="58"/>
      <c r="CD106" s="58"/>
      <c r="CE106" s="58"/>
      <c r="CF106" s="58"/>
      <c r="CG106" s="58"/>
      <c r="CH106" s="58"/>
      <c r="CI106" s="58"/>
    </row>
    <row r="107" spans="1:87">
      <c r="A107" s="55"/>
      <c r="B107" s="55"/>
      <c r="C107" s="55"/>
      <c r="D107" s="55"/>
      <c r="E107" s="55"/>
      <c r="F107" s="55"/>
      <c r="G107" s="55"/>
      <c r="H107" s="55"/>
      <c r="I107" s="55"/>
      <c r="J107" s="55"/>
      <c r="K107" s="55"/>
      <c r="L107" s="55"/>
      <c r="M107" s="55"/>
      <c r="N107" s="55"/>
      <c r="O107" s="55"/>
      <c r="P107" s="55"/>
      <c r="Q107" s="55"/>
      <c r="R107" s="55"/>
      <c r="S107" s="55"/>
      <c r="T107" s="55"/>
      <c r="U107" s="55"/>
      <c r="V107" s="55"/>
      <c r="W107" s="55"/>
      <c r="X107" s="55"/>
      <c r="Y107" s="55"/>
      <c r="Z107" s="55"/>
      <c r="AA107" s="55"/>
      <c r="AB107" s="55"/>
      <c r="AC107" s="55"/>
      <c r="AD107" s="55"/>
      <c r="AE107" s="55"/>
      <c r="AF107" s="55"/>
      <c r="AG107" s="55"/>
      <c r="AH107" s="55"/>
      <c r="AI107" s="55"/>
      <c r="AJ107" s="55"/>
      <c r="AK107" s="55"/>
      <c r="AL107" s="55"/>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55"/>
      <c r="BJ107" s="55"/>
      <c r="BK107" s="55"/>
      <c r="BL107" s="55"/>
      <c r="BM107" s="55"/>
      <c r="BN107" s="55"/>
      <c r="BO107" s="55"/>
      <c r="BP107" s="55"/>
      <c r="BQ107" s="55"/>
      <c r="BR107" s="55"/>
      <c r="BS107" s="58"/>
      <c r="BT107" s="58"/>
      <c r="BU107" s="58"/>
      <c r="BV107" s="58"/>
      <c r="BW107" s="58"/>
      <c r="BX107" s="58"/>
      <c r="BY107" s="58"/>
      <c r="BZ107" s="58"/>
      <c r="CA107" s="58"/>
      <c r="CB107" s="58"/>
      <c r="CC107" s="58"/>
      <c r="CD107" s="58"/>
      <c r="CE107" s="58"/>
      <c r="CF107" s="58"/>
      <c r="CG107" s="58"/>
      <c r="CH107" s="58"/>
      <c r="CI107" s="58"/>
    </row>
    <row r="108" spans="1:87">
      <c r="A108" s="55"/>
      <c r="B108" s="55"/>
      <c r="C108" s="55"/>
      <c r="D108" s="55"/>
      <c r="E108" s="55"/>
      <c r="F108" s="55"/>
      <c r="G108" s="55"/>
      <c r="H108" s="55"/>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M108" s="55"/>
      <c r="AN108" s="55"/>
      <c r="AO108" s="55"/>
      <c r="AP108" s="55"/>
      <c r="AQ108" s="55"/>
      <c r="AR108" s="55"/>
      <c r="AS108" s="55"/>
      <c r="AT108" s="55"/>
      <c r="AU108" s="55"/>
      <c r="AV108" s="55"/>
      <c r="AW108" s="55"/>
      <c r="AX108" s="55"/>
      <c r="AY108" s="55"/>
      <c r="AZ108" s="55"/>
      <c r="BA108" s="55"/>
      <c r="BB108" s="55"/>
      <c r="BC108" s="55"/>
      <c r="BD108" s="55"/>
      <c r="BE108" s="55"/>
      <c r="BF108" s="55"/>
      <c r="BG108" s="55"/>
      <c r="BH108" s="55"/>
      <c r="BI108" s="55"/>
      <c r="BJ108" s="55"/>
      <c r="BK108" s="55"/>
      <c r="BL108" s="55"/>
      <c r="BM108" s="55"/>
      <c r="BN108" s="55"/>
      <c r="BO108" s="55"/>
      <c r="BP108" s="55"/>
      <c r="BQ108" s="55"/>
      <c r="BR108" s="55"/>
      <c r="BS108" s="58"/>
      <c r="BT108" s="58"/>
      <c r="BU108" s="58"/>
      <c r="BV108" s="58"/>
      <c r="BW108" s="58"/>
      <c r="BX108" s="58"/>
      <c r="BY108" s="58"/>
      <c r="BZ108" s="58"/>
      <c r="CA108" s="58"/>
      <c r="CB108" s="58"/>
      <c r="CC108" s="58"/>
      <c r="CD108" s="58"/>
      <c r="CE108" s="58"/>
      <c r="CF108" s="58"/>
      <c r="CG108" s="58"/>
      <c r="CH108" s="58"/>
      <c r="CI108" s="58"/>
    </row>
    <row r="109" spans="1:87">
      <c r="A109" s="55"/>
      <c r="B109" s="55"/>
      <c r="C109" s="55"/>
      <c r="D109" s="55"/>
      <c r="E109" s="55"/>
      <c r="F109" s="55"/>
      <c r="G109" s="55"/>
      <c r="H109" s="55"/>
      <c r="I109" s="55"/>
      <c r="J109" s="55"/>
      <c r="K109" s="55"/>
      <c r="L109" s="55"/>
      <c r="M109" s="55"/>
      <c r="N109" s="55"/>
      <c r="O109" s="55"/>
      <c r="P109" s="55"/>
      <c r="Q109" s="55"/>
      <c r="R109" s="55"/>
      <c r="S109" s="55"/>
      <c r="T109" s="55"/>
      <c r="U109" s="55"/>
      <c r="V109" s="55"/>
      <c r="W109" s="55"/>
      <c r="X109" s="55"/>
      <c r="Y109" s="55"/>
      <c r="Z109" s="55"/>
      <c r="AA109" s="55"/>
      <c r="AB109" s="55"/>
      <c r="AC109" s="55"/>
      <c r="AD109" s="55"/>
      <c r="AE109" s="55"/>
      <c r="AF109" s="55"/>
      <c r="AG109" s="55"/>
      <c r="AH109" s="55"/>
      <c r="AI109" s="55"/>
      <c r="AJ109" s="55"/>
      <c r="AK109" s="55"/>
      <c r="AL109" s="55"/>
      <c r="AM109" s="55"/>
      <c r="AN109" s="55"/>
      <c r="AO109" s="55"/>
      <c r="AP109" s="55"/>
      <c r="AQ109" s="55"/>
      <c r="AR109" s="55"/>
      <c r="AS109" s="55"/>
      <c r="AT109" s="55"/>
      <c r="AU109" s="55"/>
      <c r="AV109" s="55"/>
      <c r="AW109" s="55"/>
      <c r="AX109" s="55"/>
      <c r="AY109" s="55"/>
      <c r="AZ109" s="55"/>
      <c r="BA109" s="55"/>
      <c r="BB109" s="55"/>
      <c r="BC109" s="55"/>
      <c r="BD109" s="55"/>
      <c r="BE109" s="55"/>
      <c r="BF109" s="55"/>
      <c r="BG109" s="55"/>
      <c r="BH109" s="55"/>
      <c r="BI109" s="55"/>
      <c r="BJ109" s="55"/>
      <c r="BK109" s="55"/>
      <c r="BL109" s="55"/>
      <c r="BM109" s="55"/>
      <c r="BN109" s="55"/>
      <c r="BO109" s="55"/>
      <c r="BP109" s="55"/>
      <c r="BQ109" s="55"/>
      <c r="BR109" s="55"/>
      <c r="BS109" s="58"/>
      <c r="BT109" s="58"/>
      <c r="BU109" s="58"/>
      <c r="BV109" s="58"/>
      <c r="BW109" s="58"/>
      <c r="BX109" s="58"/>
      <c r="BY109" s="58"/>
      <c r="BZ109" s="58"/>
      <c r="CA109" s="58"/>
      <c r="CB109" s="58"/>
      <c r="CC109" s="58"/>
      <c r="CD109" s="58"/>
      <c r="CE109" s="58"/>
      <c r="CF109" s="58"/>
      <c r="CG109" s="58"/>
      <c r="CH109" s="58"/>
      <c r="CI109" s="58"/>
    </row>
    <row r="110" spans="1:87">
      <c r="A110" s="55"/>
      <c r="B110" s="55"/>
      <c r="C110" s="55"/>
      <c r="D110" s="55"/>
      <c r="E110" s="55"/>
      <c r="F110" s="55"/>
      <c r="G110" s="55"/>
      <c r="H110" s="55"/>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55"/>
      <c r="AK110" s="55"/>
      <c r="AL110" s="55"/>
      <c r="AM110" s="55"/>
      <c r="AN110" s="55"/>
      <c r="AO110" s="55"/>
      <c r="AP110" s="55"/>
      <c r="AQ110" s="55"/>
      <c r="AR110" s="55"/>
      <c r="AS110" s="55"/>
      <c r="AT110" s="55"/>
      <c r="AU110" s="55"/>
      <c r="AV110" s="55"/>
      <c r="AW110" s="55"/>
      <c r="AX110" s="55"/>
      <c r="AY110" s="55"/>
      <c r="AZ110" s="55"/>
      <c r="BA110" s="55"/>
      <c r="BB110" s="55"/>
      <c r="BC110" s="55"/>
      <c r="BD110" s="55"/>
      <c r="BE110" s="55"/>
      <c r="BF110" s="55"/>
      <c r="BG110" s="55"/>
      <c r="BH110" s="55"/>
      <c r="BI110" s="55"/>
      <c r="BJ110" s="55"/>
      <c r="BK110" s="55"/>
      <c r="BL110" s="55"/>
      <c r="BM110" s="55"/>
      <c r="BN110" s="55"/>
      <c r="BO110" s="55"/>
      <c r="BP110" s="55"/>
      <c r="BQ110" s="55"/>
      <c r="BR110" s="55"/>
      <c r="BS110" s="58"/>
      <c r="BT110" s="58"/>
      <c r="BU110" s="58"/>
      <c r="BV110" s="58"/>
      <c r="BW110" s="58"/>
      <c r="BX110" s="58"/>
      <c r="BY110" s="58"/>
      <c r="BZ110" s="58"/>
      <c r="CA110" s="58"/>
      <c r="CB110" s="58"/>
      <c r="CC110" s="58"/>
      <c r="CD110" s="58"/>
      <c r="CE110" s="58"/>
      <c r="CF110" s="58"/>
      <c r="CG110" s="58"/>
      <c r="CH110" s="58"/>
      <c r="CI110" s="58"/>
    </row>
    <row r="111" spans="1:87">
      <c r="A111" s="55"/>
      <c r="B111" s="55"/>
      <c r="C111" s="55"/>
      <c r="D111" s="55"/>
      <c r="E111" s="55"/>
      <c r="F111" s="55"/>
      <c r="G111" s="55"/>
      <c r="H111" s="55"/>
      <c r="I111" s="55"/>
      <c r="J111" s="55"/>
      <c r="K111" s="55"/>
      <c r="L111" s="55"/>
      <c r="M111" s="55"/>
      <c r="N111" s="55"/>
      <c r="O111" s="55"/>
      <c r="P111" s="55"/>
      <c r="Q111" s="55"/>
      <c r="R111" s="55"/>
      <c r="S111" s="55"/>
      <c r="T111" s="55"/>
      <c r="U111" s="55"/>
      <c r="V111" s="55"/>
      <c r="W111" s="55"/>
      <c r="X111" s="55"/>
      <c r="Y111" s="55"/>
      <c r="Z111" s="55"/>
      <c r="AA111" s="55"/>
      <c r="AB111" s="55"/>
      <c r="AC111" s="55"/>
      <c r="AD111" s="55"/>
      <c r="AE111" s="55"/>
      <c r="AF111" s="55"/>
      <c r="AG111" s="55"/>
      <c r="AH111" s="55"/>
      <c r="AI111" s="55"/>
      <c r="AJ111" s="55"/>
      <c r="AK111" s="55"/>
      <c r="AL111" s="55"/>
      <c r="AM111" s="55"/>
      <c r="AN111" s="55"/>
      <c r="AO111" s="55"/>
      <c r="AP111" s="55"/>
      <c r="AQ111" s="55"/>
      <c r="AR111" s="55"/>
      <c r="AS111" s="55"/>
      <c r="AT111" s="55"/>
      <c r="AU111" s="55"/>
      <c r="AV111" s="55"/>
      <c r="AW111" s="55"/>
      <c r="AX111" s="55"/>
      <c r="AY111" s="55"/>
      <c r="AZ111" s="55"/>
      <c r="BA111" s="55"/>
      <c r="BB111" s="55"/>
      <c r="BC111" s="55"/>
      <c r="BD111" s="55"/>
      <c r="BE111" s="55"/>
      <c r="BF111" s="55"/>
      <c r="BG111" s="55"/>
      <c r="BH111" s="55"/>
      <c r="BI111" s="55"/>
      <c r="BJ111" s="55"/>
      <c r="BK111" s="55"/>
      <c r="BL111" s="55"/>
      <c r="BM111" s="55"/>
      <c r="BN111" s="55"/>
      <c r="BO111" s="55"/>
      <c r="BP111" s="55"/>
      <c r="BQ111" s="55"/>
      <c r="BR111" s="55"/>
      <c r="BS111" s="58"/>
      <c r="BT111" s="58"/>
      <c r="BU111" s="58"/>
      <c r="BV111" s="58"/>
      <c r="BW111" s="58"/>
      <c r="BX111" s="58"/>
      <c r="BY111" s="58"/>
      <c r="BZ111" s="58"/>
      <c r="CA111" s="58"/>
      <c r="CB111" s="58"/>
      <c r="CC111" s="58"/>
      <c r="CD111" s="58"/>
      <c r="CE111" s="58"/>
      <c r="CF111" s="58"/>
      <c r="CG111" s="58"/>
      <c r="CH111" s="58"/>
      <c r="CI111" s="58"/>
    </row>
    <row r="112" spans="1:87">
      <c r="A112" s="55"/>
      <c r="B112" s="55"/>
      <c r="C112" s="55"/>
      <c r="D112" s="55"/>
      <c r="E112" s="55"/>
      <c r="F112" s="55"/>
      <c r="G112" s="55"/>
      <c r="H112" s="55"/>
      <c r="I112" s="55"/>
      <c r="J112" s="55"/>
      <c r="K112" s="55"/>
      <c r="L112" s="55"/>
      <c r="M112" s="55"/>
      <c r="N112" s="55"/>
      <c r="O112" s="55"/>
      <c r="P112" s="55"/>
      <c r="Q112" s="55"/>
      <c r="R112" s="55"/>
      <c r="S112" s="55"/>
      <c r="T112" s="55"/>
      <c r="U112" s="55"/>
      <c r="V112" s="55"/>
      <c r="W112" s="55"/>
      <c r="X112" s="55"/>
      <c r="Y112" s="55"/>
      <c r="Z112" s="55"/>
      <c r="AA112" s="55"/>
      <c r="AB112" s="55"/>
      <c r="AC112" s="55"/>
      <c r="AD112" s="55"/>
      <c r="AE112" s="55"/>
      <c r="AF112" s="55"/>
      <c r="AG112" s="55"/>
      <c r="AH112" s="55"/>
      <c r="AI112" s="55"/>
      <c r="AJ112" s="55"/>
      <c r="AK112" s="55"/>
      <c r="AL112" s="55"/>
      <c r="AM112" s="55"/>
      <c r="AN112" s="55"/>
      <c r="AO112" s="55"/>
      <c r="AP112" s="55"/>
      <c r="AQ112" s="55"/>
      <c r="AR112" s="55"/>
      <c r="AS112" s="55"/>
      <c r="AT112" s="55"/>
      <c r="AU112" s="55"/>
      <c r="AV112" s="55"/>
      <c r="AW112" s="55"/>
      <c r="AX112" s="55"/>
      <c r="AY112" s="55"/>
      <c r="AZ112" s="55"/>
      <c r="BA112" s="55"/>
      <c r="BB112" s="55"/>
      <c r="BC112" s="55"/>
      <c r="BD112" s="55"/>
      <c r="BE112" s="55"/>
      <c r="BF112" s="55"/>
      <c r="BG112" s="55"/>
      <c r="BH112" s="55"/>
      <c r="BI112" s="55"/>
      <c r="BJ112" s="55"/>
      <c r="BK112" s="55"/>
      <c r="BL112" s="55"/>
      <c r="BM112" s="55"/>
      <c r="BN112" s="55"/>
      <c r="BO112" s="55"/>
      <c r="BP112" s="55"/>
      <c r="BQ112" s="55"/>
      <c r="BR112" s="55"/>
      <c r="BS112" s="58"/>
      <c r="BT112" s="58"/>
      <c r="BU112" s="58"/>
      <c r="BV112" s="58"/>
      <c r="BW112" s="58"/>
      <c r="BX112" s="58"/>
      <c r="BY112" s="58"/>
      <c r="BZ112" s="58"/>
      <c r="CA112" s="58"/>
      <c r="CB112" s="58"/>
      <c r="CC112" s="58"/>
      <c r="CD112" s="58"/>
      <c r="CE112" s="58"/>
      <c r="CF112" s="58"/>
      <c r="CG112" s="58"/>
      <c r="CH112" s="58"/>
      <c r="CI112" s="58"/>
    </row>
    <row r="113" spans="1:87">
      <c r="A113" s="55"/>
      <c r="B113" s="55"/>
      <c r="C113" s="55"/>
      <c r="D113" s="55"/>
      <c r="E113" s="55"/>
      <c r="F113" s="55"/>
      <c r="G113" s="55"/>
      <c r="H113" s="55"/>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M113" s="55"/>
      <c r="AN113" s="55"/>
      <c r="AO113" s="55"/>
      <c r="AP113" s="55"/>
      <c r="AQ113" s="55"/>
      <c r="AR113" s="55"/>
      <c r="AS113" s="55"/>
      <c r="AT113" s="55"/>
      <c r="AU113" s="55"/>
      <c r="AV113" s="55"/>
      <c r="AW113" s="55"/>
      <c r="AX113" s="55"/>
      <c r="AY113" s="55"/>
      <c r="AZ113" s="55"/>
      <c r="BA113" s="55"/>
      <c r="BB113" s="55"/>
      <c r="BC113" s="55"/>
      <c r="BD113" s="55"/>
      <c r="BE113" s="55"/>
      <c r="BF113" s="55"/>
      <c r="BG113" s="55"/>
      <c r="BH113" s="55"/>
      <c r="BI113" s="55"/>
      <c r="BJ113" s="55"/>
      <c r="BK113" s="55"/>
      <c r="BL113" s="55"/>
      <c r="BM113" s="55"/>
      <c r="BN113" s="55"/>
      <c r="BO113" s="55"/>
      <c r="BP113" s="55"/>
      <c r="BQ113" s="55"/>
      <c r="BR113" s="55"/>
      <c r="BS113" s="58"/>
      <c r="BT113" s="58"/>
      <c r="BU113" s="58"/>
      <c r="BV113" s="58"/>
      <c r="BW113" s="58"/>
      <c r="BX113" s="58"/>
      <c r="BY113" s="58"/>
      <c r="BZ113" s="58"/>
      <c r="CA113" s="58"/>
      <c r="CB113" s="58"/>
      <c r="CC113" s="58"/>
      <c r="CD113" s="58"/>
      <c r="CE113" s="58"/>
      <c r="CF113" s="58"/>
      <c r="CG113" s="58"/>
      <c r="CH113" s="58"/>
      <c r="CI113" s="58"/>
    </row>
    <row r="114" spans="1:87">
      <c r="A114" s="55"/>
      <c r="B114" s="55"/>
      <c r="C114" s="55"/>
      <c r="D114" s="55"/>
      <c r="E114" s="55"/>
      <c r="F114" s="55"/>
      <c r="G114" s="55"/>
      <c r="H114" s="55"/>
      <c r="I114" s="55"/>
      <c r="J114" s="55"/>
      <c r="K114" s="55"/>
      <c r="L114" s="55"/>
      <c r="M114" s="55"/>
      <c r="N114" s="55"/>
      <c r="O114" s="55"/>
      <c r="P114" s="55"/>
      <c r="Q114" s="55"/>
      <c r="R114" s="55"/>
      <c r="S114" s="55"/>
      <c r="T114" s="55"/>
      <c r="U114" s="55"/>
      <c r="V114" s="55"/>
      <c r="W114" s="55"/>
      <c r="X114" s="55"/>
      <c r="Y114" s="55"/>
      <c r="Z114" s="55"/>
      <c r="AA114" s="55"/>
      <c r="AB114" s="55"/>
      <c r="AC114" s="55"/>
      <c r="AD114" s="55"/>
      <c r="AE114" s="55"/>
      <c r="AF114" s="55"/>
      <c r="AG114" s="55"/>
      <c r="AH114" s="55"/>
      <c r="AI114" s="55"/>
      <c r="AJ114" s="55"/>
      <c r="AK114" s="55"/>
      <c r="AL114" s="55"/>
      <c r="AM114" s="55"/>
      <c r="AN114" s="55"/>
      <c r="AO114" s="55"/>
      <c r="AP114" s="55"/>
      <c r="AQ114" s="55"/>
      <c r="AR114" s="55"/>
      <c r="AS114" s="55"/>
      <c r="AT114" s="55"/>
      <c r="AU114" s="55"/>
      <c r="AV114" s="55"/>
      <c r="AW114" s="55"/>
      <c r="AX114" s="55"/>
      <c r="AY114" s="55"/>
      <c r="AZ114" s="55"/>
      <c r="BA114" s="55"/>
      <c r="BB114" s="55"/>
      <c r="BC114" s="55"/>
      <c r="BD114" s="55"/>
      <c r="BE114" s="55"/>
      <c r="BF114" s="55"/>
      <c r="BG114" s="55"/>
      <c r="BH114" s="55"/>
      <c r="BI114" s="55"/>
      <c r="BJ114" s="55"/>
      <c r="BK114" s="55"/>
      <c r="BL114" s="55"/>
      <c r="BM114" s="55"/>
      <c r="BN114" s="55"/>
      <c r="BO114" s="55"/>
      <c r="BP114" s="55"/>
      <c r="BQ114" s="55"/>
      <c r="BR114" s="55"/>
      <c r="BS114" s="58"/>
      <c r="BT114" s="58"/>
      <c r="BU114" s="58"/>
      <c r="BV114" s="58"/>
      <c r="BW114" s="58"/>
      <c r="BX114" s="58"/>
      <c r="BY114" s="58"/>
      <c r="BZ114" s="58"/>
      <c r="CA114" s="58"/>
      <c r="CB114" s="58"/>
      <c r="CC114" s="58"/>
      <c r="CD114" s="58"/>
      <c r="CE114" s="58"/>
      <c r="CF114" s="58"/>
      <c r="CG114" s="58"/>
      <c r="CH114" s="58"/>
      <c r="CI114" s="58"/>
    </row>
    <row r="115" spans="1:87">
      <c r="A115" s="55"/>
      <c r="B115" s="55"/>
      <c r="C115" s="55"/>
      <c r="D115" s="55"/>
      <c r="E115" s="55"/>
      <c r="F115" s="55"/>
      <c r="G115" s="55"/>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8"/>
      <c r="BT115" s="58"/>
      <c r="BU115" s="58"/>
      <c r="BV115" s="58"/>
      <c r="BW115" s="58"/>
      <c r="BX115" s="58"/>
      <c r="BY115" s="58"/>
      <c r="BZ115" s="58"/>
      <c r="CA115" s="58"/>
      <c r="CB115" s="58"/>
      <c r="CC115" s="58"/>
      <c r="CD115" s="58"/>
      <c r="CE115" s="58"/>
      <c r="CF115" s="58"/>
      <c r="CG115" s="58"/>
      <c r="CH115" s="58"/>
      <c r="CI115" s="58"/>
    </row>
    <row r="116" spans="1:87">
      <c r="A116" s="55"/>
      <c r="B116" s="55"/>
      <c r="C116" s="55"/>
      <c r="D116" s="55"/>
      <c r="E116" s="55"/>
      <c r="F116" s="55"/>
      <c r="G116" s="55"/>
      <c r="H116" s="55"/>
      <c r="I116" s="55"/>
      <c r="J116" s="55"/>
      <c r="K116" s="55"/>
      <c r="L116" s="55"/>
      <c r="M116" s="55"/>
      <c r="N116" s="55"/>
      <c r="O116" s="55"/>
      <c r="P116" s="55"/>
      <c r="Q116" s="55"/>
      <c r="R116" s="55"/>
      <c r="S116" s="55"/>
      <c r="T116" s="55"/>
      <c r="U116" s="55"/>
      <c r="V116" s="55"/>
      <c r="W116" s="55"/>
      <c r="X116" s="55"/>
      <c r="Y116" s="55"/>
      <c r="Z116" s="55"/>
      <c r="AA116" s="55"/>
      <c r="AB116" s="55"/>
      <c r="AC116" s="55"/>
      <c r="AD116" s="55"/>
      <c r="AE116" s="55"/>
      <c r="AF116" s="55"/>
      <c r="AG116" s="55"/>
      <c r="AH116" s="55"/>
      <c r="AI116" s="55"/>
      <c r="AJ116" s="55"/>
      <c r="AK116" s="55"/>
      <c r="AL116" s="55"/>
      <c r="AM116" s="55"/>
      <c r="AN116" s="55"/>
      <c r="AO116" s="55"/>
      <c r="AP116" s="55"/>
      <c r="AQ116" s="55"/>
      <c r="AR116" s="55"/>
      <c r="AS116" s="55"/>
      <c r="AT116" s="55"/>
      <c r="AU116" s="55"/>
      <c r="AV116" s="55"/>
      <c r="AW116" s="55"/>
      <c r="AX116" s="55"/>
      <c r="AY116" s="55"/>
      <c r="AZ116" s="55"/>
      <c r="BA116" s="55"/>
      <c r="BB116" s="55"/>
      <c r="BC116" s="55"/>
      <c r="BD116" s="55"/>
      <c r="BE116" s="55"/>
      <c r="BF116" s="55"/>
      <c r="BG116" s="55"/>
      <c r="BH116" s="55"/>
      <c r="BI116" s="55"/>
      <c r="BJ116" s="55"/>
      <c r="BK116" s="55"/>
      <c r="BL116" s="55"/>
      <c r="BM116" s="55"/>
      <c r="BN116" s="55"/>
      <c r="BO116" s="55"/>
      <c r="BP116" s="55"/>
      <c r="BQ116" s="55"/>
      <c r="BR116" s="55"/>
      <c r="BS116" s="58"/>
      <c r="BT116" s="58"/>
      <c r="BU116" s="58"/>
      <c r="BV116" s="58"/>
      <c r="BW116" s="58"/>
      <c r="BX116" s="58"/>
      <c r="BY116" s="58"/>
      <c r="BZ116" s="58"/>
      <c r="CA116" s="58"/>
      <c r="CB116" s="58"/>
      <c r="CC116" s="58"/>
      <c r="CD116" s="58"/>
      <c r="CE116" s="58"/>
      <c r="CF116" s="58"/>
      <c r="CG116" s="58"/>
      <c r="CH116" s="58"/>
      <c r="CI116" s="58"/>
    </row>
    <row r="117" spans="1:87">
      <c r="A117" s="55"/>
      <c r="B117" s="55"/>
      <c r="C117" s="55"/>
      <c r="D117" s="55"/>
      <c r="E117" s="55"/>
      <c r="F117" s="55"/>
      <c r="G117" s="55"/>
      <c r="H117" s="55"/>
      <c r="I117" s="55"/>
      <c r="J117" s="55"/>
      <c r="K117" s="55"/>
      <c r="L117" s="55"/>
      <c r="M117" s="55"/>
      <c r="N117" s="55"/>
      <c r="O117" s="55"/>
      <c r="P117" s="55"/>
      <c r="Q117" s="55"/>
      <c r="R117" s="55"/>
      <c r="S117" s="55"/>
      <c r="T117" s="55"/>
      <c r="U117" s="55"/>
      <c r="V117" s="55"/>
      <c r="W117" s="55"/>
      <c r="X117" s="55"/>
      <c r="Y117" s="55"/>
      <c r="Z117" s="55"/>
      <c r="AA117" s="55"/>
      <c r="AB117" s="55"/>
      <c r="AC117" s="55"/>
      <c r="AD117" s="55"/>
      <c r="AE117" s="55"/>
      <c r="AF117" s="55"/>
      <c r="AG117" s="55"/>
      <c r="AH117" s="55"/>
      <c r="AI117" s="55"/>
      <c r="AJ117" s="55"/>
      <c r="AK117" s="55"/>
      <c r="AL117" s="55"/>
      <c r="AM117" s="55"/>
      <c r="AN117" s="55"/>
      <c r="AO117" s="55"/>
      <c r="AP117" s="55"/>
      <c r="AQ117" s="55"/>
      <c r="AR117" s="55"/>
      <c r="AS117" s="55"/>
      <c r="AT117" s="55"/>
      <c r="AU117" s="55"/>
      <c r="AV117" s="55"/>
      <c r="AW117" s="55"/>
      <c r="AX117" s="55"/>
      <c r="AY117" s="55"/>
      <c r="AZ117" s="55"/>
      <c r="BA117" s="55"/>
      <c r="BB117" s="55"/>
      <c r="BC117" s="55"/>
      <c r="BD117" s="55"/>
      <c r="BE117" s="55"/>
      <c r="BF117" s="55"/>
      <c r="BG117" s="55"/>
      <c r="BH117" s="55"/>
      <c r="BI117" s="55"/>
      <c r="BJ117" s="55"/>
      <c r="BK117" s="55"/>
      <c r="BL117" s="55"/>
      <c r="BM117" s="55"/>
      <c r="BN117" s="55"/>
      <c r="BO117" s="55"/>
      <c r="BP117" s="55"/>
      <c r="BQ117" s="55"/>
      <c r="BR117" s="55"/>
      <c r="BS117" s="58"/>
      <c r="BT117" s="58"/>
      <c r="BU117" s="58"/>
      <c r="BV117" s="58"/>
      <c r="BW117" s="58"/>
      <c r="BX117" s="58"/>
      <c r="BY117" s="58"/>
      <c r="BZ117" s="58"/>
      <c r="CA117" s="58"/>
      <c r="CB117" s="58"/>
      <c r="CC117" s="58"/>
      <c r="CD117" s="58"/>
      <c r="CE117" s="58"/>
      <c r="CF117" s="58"/>
      <c r="CG117" s="58"/>
      <c r="CH117" s="58"/>
      <c r="CI117" s="58"/>
    </row>
    <row r="118" spans="1:87">
      <c r="A118" s="55"/>
      <c r="B118" s="55"/>
      <c r="C118" s="55"/>
      <c r="D118" s="55"/>
      <c r="E118" s="55"/>
      <c r="F118" s="55"/>
      <c r="G118" s="55"/>
      <c r="H118" s="55"/>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M118" s="55"/>
      <c r="AN118" s="55"/>
      <c r="AO118" s="55"/>
      <c r="AP118" s="55"/>
      <c r="AQ118" s="55"/>
      <c r="AR118" s="55"/>
      <c r="AS118" s="55"/>
      <c r="AT118" s="55"/>
      <c r="AU118" s="55"/>
      <c r="AV118" s="55"/>
      <c r="AW118" s="55"/>
      <c r="AX118" s="55"/>
      <c r="AY118" s="55"/>
      <c r="AZ118" s="55"/>
      <c r="BA118" s="55"/>
      <c r="BB118" s="55"/>
      <c r="BC118" s="55"/>
      <c r="BD118" s="55"/>
      <c r="BE118" s="55"/>
      <c r="BF118" s="55"/>
      <c r="BG118" s="55"/>
      <c r="BH118" s="55"/>
      <c r="BI118" s="55"/>
      <c r="BJ118" s="55"/>
      <c r="BK118" s="55"/>
      <c r="BL118" s="55"/>
      <c r="BM118" s="55"/>
      <c r="BN118" s="55"/>
      <c r="BO118" s="55"/>
      <c r="BP118" s="55"/>
      <c r="BQ118" s="55"/>
      <c r="BR118" s="55"/>
      <c r="BS118" s="58"/>
      <c r="BT118" s="58"/>
      <c r="BU118" s="58"/>
      <c r="BV118" s="58"/>
      <c r="BW118" s="58"/>
      <c r="BX118" s="58"/>
      <c r="BY118" s="58"/>
      <c r="BZ118" s="58"/>
      <c r="CA118" s="58"/>
      <c r="CB118" s="58"/>
      <c r="CC118" s="58"/>
      <c r="CD118" s="58"/>
      <c r="CE118" s="58"/>
      <c r="CF118" s="58"/>
      <c r="CG118" s="58"/>
      <c r="CH118" s="58"/>
      <c r="CI118" s="58"/>
    </row>
    <row r="119" spans="1:87">
      <c r="A119" s="55"/>
      <c r="B119" s="55"/>
      <c r="C119" s="55"/>
      <c r="D119" s="55"/>
      <c r="E119" s="55"/>
      <c r="F119" s="55"/>
      <c r="G119" s="55"/>
      <c r="H119" s="55"/>
      <c r="I119" s="55"/>
      <c r="J119" s="55"/>
      <c r="K119" s="55"/>
      <c r="L119" s="55"/>
      <c r="M119" s="55"/>
      <c r="N119" s="55"/>
      <c r="O119" s="55"/>
      <c r="P119" s="55"/>
      <c r="Q119" s="55"/>
      <c r="R119" s="55"/>
      <c r="S119" s="55"/>
      <c r="T119" s="55"/>
      <c r="U119" s="55"/>
      <c r="V119" s="55"/>
      <c r="W119" s="55"/>
      <c r="X119" s="55"/>
      <c r="Y119" s="55"/>
      <c r="Z119" s="55"/>
      <c r="AA119" s="55"/>
      <c r="AB119" s="55"/>
      <c r="AC119" s="55"/>
      <c r="AD119" s="55"/>
      <c r="AE119" s="55"/>
      <c r="AF119" s="55"/>
      <c r="AG119" s="55"/>
      <c r="AH119" s="55"/>
      <c r="AI119" s="55"/>
      <c r="AJ119" s="55"/>
      <c r="AK119" s="55"/>
      <c r="AL119" s="55"/>
      <c r="AM119" s="55"/>
      <c r="AN119" s="55"/>
      <c r="AO119" s="55"/>
      <c r="AP119" s="55"/>
      <c r="AQ119" s="55"/>
      <c r="AR119" s="55"/>
      <c r="AS119" s="55"/>
      <c r="AT119" s="55"/>
      <c r="AU119" s="55"/>
      <c r="AV119" s="55"/>
      <c r="AW119" s="55"/>
      <c r="AX119" s="55"/>
      <c r="AY119" s="55"/>
      <c r="AZ119" s="55"/>
      <c r="BA119" s="55"/>
      <c r="BB119" s="55"/>
      <c r="BC119" s="55"/>
      <c r="BD119" s="55"/>
      <c r="BE119" s="55"/>
      <c r="BF119" s="55"/>
      <c r="BG119" s="55"/>
      <c r="BH119" s="55"/>
      <c r="BI119" s="55"/>
      <c r="BJ119" s="55"/>
      <c r="BK119" s="55"/>
      <c r="BL119" s="55"/>
      <c r="BM119" s="55"/>
      <c r="BN119" s="55"/>
      <c r="BO119" s="55"/>
      <c r="BP119" s="55"/>
      <c r="BQ119" s="55"/>
      <c r="BR119" s="55"/>
      <c r="BS119" s="58"/>
      <c r="BT119" s="58"/>
      <c r="BU119" s="58"/>
      <c r="BV119" s="58"/>
      <c r="BW119" s="58"/>
      <c r="BX119" s="58"/>
      <c r="BY119" s="58"/>
      <c r="BZ119" s="58"/>
      <c r="CA119" s="58"/>
      <c r="CB119" s="58"/>
      <c r="CC119" s="58"/>
      <c r="CD119" s="58"/>
      <c r="CE119" s="58"/>
      <c r="CF119" s="58"/>
      <c r="CG119" s="58"/>
      <c r="CH119" s="58"/>
      <c r="CI119" s="58"/>
    </row>
    <row r="120" spans="1:87">
      <c r="A120" s="55"/>
      <c r="B120" s="55"/>
      <c r="C120" s="55"/>
      <c r="D120" s="55"/>
      <c r="E120" s="55"/>
      <c r="F120" s="55"/>
      <c r="G120" s="55"/>
      <c r="H120" s="55"/>
      <c r="I120" s="55"/>
      <c r="J120" s="55"/>
      <c r="K120" s="55"/>
      <c r="L120" s="55"/>
      <c r="M120" s="55"/>
      <c r="N120" s="55"/>
      <c r="O120" s="55"/>
      <c r="P120" s="55"/>
      <c r="Q120" s="55"/>
      <c r="R120" s="55"/>
      <c r="S120" s="55"/>
      <c r="T120" s="55"/>
      <c r="U120" s="55"/>
      <c r="V120" s="55"/>
      <c r="W120" s="55"/>
      <c r="X120" s="55"/>
      <c r="Y120" s="55"/>
      <c r="Z120" s="55"/>
      <c r="AA120" s="55"/>
      <c r="AB120" s="55"/>
      <c r="AC120" s="55"/>
      <c r="AD120" s="55"/>
      <c r="AE120" s="55"/>
      <c r="AF120" s="55"/>
      <c r="AG120" s="55"/>
      <c r="AH120" s="55"/>
      <c r="AI120" s="55"/>
      <c r="AJ120" s="55"/>
      <c r="AK120" s="55"/>
      <c r="AL120" s="55"/>
      <c r="AM120" s="55"/>
      <c r="AN120" s="55"/>
      <c r="AO120" s="55"/>
      <c r="AP120" s="55"/>
      <c r="AQ120" s="55"/>
      <c r="AR120" s="55"/>
      <c r="AS120" s="55"/>
      <c r="AT120" s="55"/>
      <c r="AU120" s="55"/>
      <c r="AV120" s="55"/>
      <c r="AW120" s="55"/>
      <c r="AX120" s="55"/>
      <c r="AY120" s="55"/>
      <c r="AZ120" s="55"/>
      <c r="BA120" s="55"/>
      <c r="BB120" s="55"/>
      <c r="BC120" s="55"/>
      <c r="BD120" s="55"/>
      <c r="BE120" s="55"/>
      <c r="BF120" s="55"/>
      <c r="BG120" s="55"/>
      <c r="BH120" s="55"/>
      <c r="BI120" s="55"/>
      <c r="BJ120" s="55"/>
      <c r="BK120" s="55"/>
      <c r="BL120" s="55"/>
      <c r="BM120" s="55"/>
      <c r="BN120" s="55"/>
      <c r="BO120" s="55"/>
      <c r="BP120" s="55"/>
      <c r="BQ120" s="55"/>
      <c r="BR120" s="55"/>
      <c r="BS120" s="58"/>
      <c r="BT120" s="58"/>
      <c r="BU120" s="58"/>
      <c r="BV120" s="58"/>
      <c r="BW120" s="58"/>
      <c r="BX120" s="58"/>
      <c r="BY120" s="58"/>
      <c r="BZ120" s="58"/>
      <c r="CA120" s="58"/>
      <c r="CB120" s="58"/>
      <c r="CC120" s="58"/>
      <c r="CD120" s="58"/>
      <c r="CE120" s="58"/>
      <c r="CF120" s="58"/>
      <c r="CG120" s="58"/>
      <c r="CH120" s="58"/>
      <c r="CI120" s="58"/>
    </row>
    <row r="121" spans="1:87">
      <c r="A121" s="55"/>
      <c r="B121" s="55"/>
      <c r="C121" s="55"/>
      <c r="D121" s="55"/>
      <c r="E121" s="55"/>
      <c r="F121" s="55"/>
      <c r="G121" s="55"/>
      <c r="H121" s="55"/>
      <c r="I121" s="55"/>
      <c r="J121" s="55"/>
      <c r="K121" s="55"/>
      <c r="L121" s="55"/>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8"/>
      <c r="BT121" s="58"/>
      <c r="BU121" s="58"/>
      <c r="BV121" s="58"/>
      <c r="BW121" s="58"/>
      <c r="BX121" s="58"/>
      <c r="BY121" s="58"/>
      <c r="BZ121" s="58"/>
      <c r="CA121" s="58"/>
      <c r="CB121" s="58"/>
      <c r="CC121" s="58"/>
      <c r="CD121" s="58"/>
      <c r="CE121" s="58"/>
      <c r="CF121" s="58"/>
      <c r="CG121" s="58"/>
      <c r="CH121" s="58"/>
      <c r="CI121" s="58"/>
    </row>
    <row r="122" spans="1:87">
      <c r="A122" s="55"/>
      <c r="B122" s="55"/>
      <c r="C122" s="55"/>
      <c r="D122" s="55"/>
      <c r="E122" s="55"/>
      <c r="F122" s="55"/>
      <c r="G122" s="55"/>
      <c r="H122" s="55"/>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8"/>
      <c r="BT122" s="58"/>
      <c r="BU122" s="58"/>
      <c r="BV122" s="58"/>
      <c r="BW122" s="58"/>
      <c r="BX122" s="58"/>
      <c r="BY122" s="58"/>
      <c r="BZ122" s="58"/>
      <c r="CA122" s="58"/>
      <c r="CB122" s="58"/>
      <c r="CC122" s="58"/>
      <c r="CD122" s="58"/>
      <c r="CE122" s="58"/>
      <c r="CF122" s="58"/>
      <c r="CG122" s="58"/>
      <c r="CH122" s="58"/>
      <c r="CI122" s="58"/>
    </row>
    <row r="123" spans="1:87">
      <c r="A123" s="55"/>
      <c r="B123" s="55"/>
      <c r="C123" s="55"/>
      <c r="D123" s="55"/>
      <c r="E123" s="55"/>
      <c r="F123" s="55"/>
      <c r="G123" s="55"/>
      <c r="H123" s="55"/>
      <c r="I123" s="55"/>
      <c r="J123" s="55"/>
      <c r="K123" s="55"/>
      <c r="L123" s="55"/>
      <c r="M123" s="55"/>
      <c r="N123" s="55"/>
      <c r="O123" s="55"/>
      <c r="P123" s="55"/>
      <c r="Q123" s="55"/>
      <c r="R123" s="55"/>
      <c r="S123" s="55"/>
      <c r="T123" s="55"/>
      <c r="U123" s="55"/>
      <c r="V123" s="55"/>
      <c r="W123" s="55"/>
      <c r="X123" s="55"/>
      <c r="Y123" s="55"/>
      <c r="Z123" s="55"/>
      <c r="AA123" s="55"/>
      <c r="AB123" s="55"/>
      <c r="AC123" s="55"/>
      <c r="AD123" s="55"/>
      <c r="AE123" s="55"/>
      <c r="AF123" s="55"/>
      <c r="AG123" s="55"/>
      <c r="AH123" s="55"/>
      <c r="AI123" s="55"/>
      <c r="AJ123" s="55"/>
      <c r="AK123" s="55"/>
      <c r="AL123" s="55"/>
      <c r="AM123" s="55"/>
      <c r="AN123" s="55"/>
      <c r="AO123" s="55"/>
      <c r="AP123" s="55"/>
      <c r="AQ123" s="55"/>
      <c r="AR123" s="55"/>
      <c r="AS123" s="55"/>
      <c r="AT123" s="55"/>
      <c r="AU123" s="55"/>
      <c r="AV123" s="55"/>
      <c r="AW123" s="55"/>
      <c r="AX123" s="55"/>
      <c r="AY123" s="55"/>
      <c r="AZ123" s="55"/>
      <c r="BA123" s="55"/>
      <c r="BB123" s="55"/>
      <c r="BC123" s="55"/>
      <c r="BD123" s="55"/>
      <c r="BE123" s="55"/>
      <c r="BF123" s="55"/>
      <c r="BG123" s="55"/>
      <c r="BH123" s="55"/>
      <c r="BI123" s="55"/>
      <c r="BJ123" s="55"/>
      <c r="BK123" s="55"/>
      <c r="BL123" s="55"/>
      <c r="BM123" s="55"/>
      <c r="BN123" s="55"/>
      <c r="BO123" s="55"/>
      <c r="BP123" s="55"/>
      <c r="BQ123" s="55"/>
      <c r="BR123" s="55"/>
      <c r="BS123" s="58"/>
      <c r="BT123" s="58"/>
      <c r="BU123" s="58"/>
      <c r="BV123" s="58"/>
      <c r="BW123" s="58"/>
      <c r="BX123" s="58"/>
      <c r="BY123" s="58"/>
      <c r="BZ123" s="58"/>
      <c r="CA123" s="58"/>
      <c r="CB123" s="58"/>
      <c r="CC123" s="58"/>
      <c r="CD123" s="58"/>
      <c r="CE123" s="58"/>
      <c r="CF123" s="58"/>
      <c r="CG123" s="58"/>
      <c r="CH123" s="58"/>
      <c r="CI123" s="58"/>
    </row>
    <row r="124" spans="1:87">
      <c r="A124" s="55"/>
      <c r="B124" s="55"/>
      <c r="C124" s="55"/>
      <c r="D124" s="55"/>
      <c r="E124" s="55"/>
      <c r="F124" s="55"/>
      <c r="G124" s="55"/>
      <c r="H124" s="55"/>
      <c r="I124" s="55"/>
      <c r="J124" s="55"/>
      <c r="K124" s="55"/>
      <c r="L124" s="55"/>
      <c r="M124" s="55"/>
      <c r="N124" s="55"/>
      <c r="O124" s="55"/>
      <c r="P124" s="55"/>
      <c r="Q124" s="55"/>
      <c r="R124" s="55"/>
      <c r="S124" s="55"/>
      <c r="T124" s="55"/>
      <c r="U124" s="55"/>
      <c r="V124" s="55"/>
      <c r="W124" s="55"/>
      <c r="X124" s="55"/>
      <c r="Y124" s="55"/>
      <c r="Z124" s="55"/>
      <c r="AA124" s="55"/>
      <c r="AB124" s="55"/>
      <c r="AC124" s="55"/>
      <c r="AD124" s="55"/>
      <c r="AE124" s="55"/>
      <c r="AF124" s="55"/>
      <c r="AG124" s="55"/>
      <c r="AH124" s="55"/>
      <c r="AI124" s="55"/>
      <c r="AJ124" s="55"/>
      <c r="AK124" s="55"/>
      <c r="AL124" s="55"/>
      <c r="AM124" s="55"/>
      <c r="AN124" s="55"/>
      <c r="AO124" s="55"/>
      <c r="AP124" s="55"/>
      <c r="AQ124" s="55"/>
      <c r="AR124" s="55"/>
      <c r="AS124" s="55"/>
      <c r="AT124" s="55"/>
      <c r="AU124" s="55"/>
      <c r="AV124" s="55"/>
      <c r="AW124" s="55"/>
      <c r="AX124" s="55"/>
      <c r="AY124" s="55"/>
      <c r="AZ124" s="55"/>
      <c r="BA124" s="55"/>
      <c r="BB124" s="55"/>
      <c r="BC124" s="55"/>
      <c r="BD124" s="55"/>
      <c r="BE124" s="55"/>
      <c r="BF124" s="55"/>
      <c r="BG124" s="55"/>
      <c r="BH124" s="55"/>
      <c r="BI124" s="55"/>
      <c r="BJ124" s="55"/>
      <c r="BK124" s="55"/>
      <c r="BL124" s="55"/>
      <c r="BM124" s="55"/>
      <c r="BN124" s="55"/>
      <c r="BO124" s="55"/>
      <c r="BP124" s="55"/>
      <c r="BQ124" s="55"/>
      <c r="BR124" s="55"/>
      <c r="BS124" s="58"/>
      <c r="BT124" s="58"/>
      <c r="BU124" s="58"/>
      <c r="BV124" s="58"/>
      <c r="BW124" s="58"/>
      <c r="BX124" s="58"/>
      <c r="BY124" s="58"/>
      <c r="BZ124" s="58"/>
      <c r="CA124" s="58"/>
      <c r="CB124" s="58"/>
      <c r="CC124" s="58"/>
      <c r="CD124" s="58"/>
      <c r="CE124" s="58"/>
      <c r="CF124" s="58"/>
      <c r="CG124" s="58"/>
      <c r="CH124" s="58"/>
      <c r="CI124" s="58"/>
    </row>
    <row r="125" spans="1:87">
      <c r="A125" s="55"/>
      <c r="B125" s="55"/>
      <c r="C125" s="55"/>
      <c r="D125" s="55"/>
      <c r="E125" s="55"/>
      <c r="F125" s="55"/>
      <c r="G125" s="55"/>
      <c r="H125" s="55"/>
      <c r="I125" s="55"/>
      <c r="J125" s="55"/>
      <c r="K125" s="55"/>
      <c r="L125" s="55"/>
      <c r="M125" s="55"/>
      <c r="N125" s="55"/>
      <c r="O125" s="55"/>
      <c r="P125" s="55"/>
      <c r="Q125" s="55"/>
      <c r="R125" s="55"/>
      <c r="S125" s="55"/>
      <c r="T125" s="55"/>
      <c r="U125" s="55"/>
      <c r="V125" s="55"/>
      <c r="W125" s="55"/>
      <c r="X125" s="55"/>
      <c r="Y125" s="55"/>
      <c r="Z125" s="55"/>
      <c r="AA125" s="55"/>
      <c r="AB125" s="55"/>
      <c r="AC125" s="55"/>
      <c r="AD125" s="55"/>
      <c r="AE125" s="55"/>
      <c r="AF125" s="55"/>
      <c r="AG125" s="55"/>
      <c r="AH125" s="55"/>
      <c r="AI125" s="55"/>
      <c r="AJ125" s="55"/>
      <c r="AK125" s="55"/>
      <c r="AL125" s="55"/>
      <c r="AM125" s="55"/>
      <c r="AN125" s="55"/>
      <c r="AO125" s="55"/>
      <c r="AP125" s="55"/>
      <c r="AQ125" s="55"/>
      <c r="AR125" s="55"/>
      <c r="AS125" s="55"/>
      <c r="AT125" s="55"/>
      <c r="AU125" s="55"/>
      <c r="AV125" s="55"/>
      <c r="AW125" s="55"/>
      <c r="AX125" s="55"/>
      <c r="AY125" s="55"/>
      <c r="AZ125" s="55"/>
      <c r="BA125" s="55"/>
      <c r="BB125" s="55"/>
      <c r="BC125" s="55"/>
      <c r="BD125" s="55"/>
      <c r="BE125" s="55"/>
      <c r="BF125" s="55"/>
      <c r="BG125" s="55"/>
      <c r="BH125" s="55"/>
      <c r="BI125" s="55"/>
      <c r="BJ125" s="55"/>
      <c r="BK125" s="55"/>
      <c r="BL125" s="55"/>
      <c r="BM125" s="55"/>
      <c r="BN125" s="55"/>
      <c r="BO125" s="55"/>
      <c r="BP125" s="55"/>
      <c r="BQ125" s="55"/>
      <c r="BR125" s="55"/>
      <c r="BS125" s="58"/>
      <c r="BT125" s="58"/>
      <c r="BU125" s="58"/>
      <c r="BV125" s="58"/>
      <c r="BW125" s="58"/>
      <c r="BX125" s="58"/>
      <c r="BY125" s="58"/>
      <c r="BZ125" s="58"/>
      <c r="CA125" s="58"/>
      <c r="CB125" s="58"/>
      <c r="CC125" s="58"/>
      <c r="CD125" s="58"/>
      <c r="CE125" s="58"/>
      <c r="CF125" s="58"/>
      <c r="CG125" s="58"/>
      <c r="CH125" s="58"/>
      <c r="CI125" s="58"/>
    </row>
    <row r="126" spans="1:87">
      <c r="A126" s="55"/>
      <c r="B126" s="55"/>
      <c r="C126" s="55"/>
      <c r="D126" s="55"/>
      <c r="E126" s="55"/>
      <c r="F126" s="55"/>
      <c r="G126" s="55"/>
      <c r="H126" s="55"/>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c r="AM126" s="55"/>
      <c r="AN126" s="55"/>
      <c r="AO126" s="55"/>
      <c r="AP126" s="55"/>
      <c r="AQ126" s="55"/>
      <c r="AR126" s="55"/>
      <c r="AS126" s="55"/>
      <c r="AT126" s="55"/>
      <c r="AU126" s="55"/>
      <c r="AV126" s="55"/>
      <c r="AW126" s="55"/>
      <c r="AX126" s="55"/>
      <c r="AY126" s="55"/>
      <c r="AZ126" s="55"/>
      <c r="BA126" s="55"/>
      <c r="BB126" s="55"/>
      <c r="BC126" s="55"/>
      <c r="BD126" s="55"/>
      <c r="BE126" s="55"/>
      <c r="BF126" s="55"/>
      <c r="BG126" s="55"/>
      <c r="BH126" s="55"/>
      <c r="BI126" s="55"/>
      <c r="BJ126" s="55"/>
      <c r="BK126" s="55"/>
      <c r="BL126" s="55"/>
      <c r="BM126" s="55"/>
      <c r="BN126" s="55"/>
      <c r="BO126" s="55"/>
      <c r="BP126" s="55"/>
      <c r="BQ126" s="55"/>
      <c r="BR126" s="55"/>
      <c r="BS126" s="58"/>
      <c r="BT126" s="58"/>
      <c r="BU126" s="58"/>
      <c r="BV126" s="58"/>
      <c r="BW126" s="58"/>
      <c r="BX126" s="58"/>
      <c r="BY126" s="58"/>
      <c r="BZ126" s="58"/>
      <c r="CA126" s="58"/>
      <c r="CB126" s="58"/>
      <c r="CC126" s="58"/>
      <c r="CD126" s="58"/>
      <c r="CE126" s="58"/>
      <c r="CF126" s="58"/>
      <c r="CG126" s="58"/>
      <c r="CH126" s="58"/>
      <c r="CI126" s="58"/>
    </row>
    <row r="127" spans="1:87">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55"/>
      <c r="AB127" s="55"/>
      <c r="AC127" s="55"/>
      <c r="AD127" s="55"/>
      <c r="AE127" s="55"/>
      <c r="AF127" s="55"/>
      <c r="AG127" s="55"/>
      <c r="AH127" s="55"/>
      <c r="AI127" s="55"/>
      <c r="AJ127" s="55"/>
      <c r="AK127" s="55"/>
      <c r="AL127" s="55"/>
      <c r="AM127" s="55"/>
      <c r="AN127" s="55"/>
      <c r="AO127" s="55"/>
      <c r="AP127" s="55"/>
      <c r="AQ127" s="55"/>
      <c r="AR127" s="55"/>
      <c r="AS127" s="55"/>
      <c r="AT127" s="55"/>
      <c r="AU127" s="55"/>
      <c r="AV127" s="55"/>
      <c r="AW127" s="55"/>
      <c r="AX127" s="55"/>
      <c r="AY127" s="55"/>
      <c r="AZ127" s="55"/>
      <c r="BA127" s="55"/>
      <c r="BB127" s="55"/>
      <c r="BC127" s="55"/>
      <c r="BD127" s="55"/>
      <c r="BE127" s="55"/>
      <c r="BF127" s="55"/>
      <c r="BG127" s="55"/>
      <c r="BH127" s="55"/>
      <c r="BI127" s="55"/>
      <c r="BJ127" s="55"/>
      <c r="BK127" s="55"/>
      <c r="BL127" s="55"/>
      <c r="BM127" s="55"/>
      <c r="BN127" s="55"/>
      <c r="BO127" s="55"/>
      <c r="BP127" s="55"/>
      <c r="BQ127" s="55"/>
      <c r="BR127" s="55"/>
      <c r="BS127" s="58"/>
      <c r="BT127" s="58"/>
      <c r="BU127" s="58"/>
      <c r="BV127" s="58"/>
      <c r="BW127" s="58"/>
      <c r="BX127" s="58"/>
      <c r="BY127" s="58"/>
      <c r="BZ127" s="58"/>
      <c r="CA127" s="58"/>
      <c r="CB127" s="58"/>
      <c r="CC127" s="58"/>
      <c r="CD127" s="58"/>
      <c r="CE127" s="58"/>
      <c r="CF127" s="58"/>
      <c r="CG127" s="58"/>
      <c r="CH127" s="58"/>
      <c r="CI127" s="58"/>
    </row>
    <row r="128" spans="1:87">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55"/>
      <c r="AB128" s="55"/>
      <c r="AC128" s="55"/>
      <c r="AD128" s="55"/>
      <c r="AE128" s="55"/>
      <c r="AF128" s="55"/>
      <c r="AG128" s="55"/>
      <c r="AH128" s="55"/>
      <c r="AI128" s="55"/>
      <c r="AJ128" s="55"/>
      <c r="AK128" s="55"/>
      <c r="AL128" s="55"/>
      <c r="AM128" s="55"/>
      <c r="AN128" s="55"/>
      <c r="AO128" s="55"/>
      <c r="AP128" s="55"/>
      <c r="AQ128" s="55"/>
      <c r="AR128" s="55"/>
      <c r="AS128" s="55"/>
      <c r="AT128" s="55"/>
      <c r="AU128" s="55"/>
      <c r="AV128" s="55"/>
      <c r="AW128" s="55"/>
      <c r="AX128" s="55"/>
      <c r="AY128" s="55"/>
      <c r="AZ128" s="55"/>
      <c r="BA128" s="55"/>
      <c r="BB128" s="55"/>
      <c r="BC128" s="55"/>
      <c r="BD128" s="55"/>
      <c r="BE128" s="55"/>
      <c r="BF128" s="55"/>
      <c r="BG128" s="55"/>
      <c r="BH128" s="55"/>
      <c r="BI128" s="55"/>
      <c r="BJ128" s="55"/>
      <c r="BK128" s="55"/>
      <c r="BL128" s="55"/>
      <c r="BM128" s="55"/>
      <c r="BN128" s="55"/>
      <c r="BO128" s="55"/>
      <c r="BP128" s="55"/>
      <c r="BQ128" s="55"/>
      <c r="BR128" s="55"/>
      <c r="BS128" s="58"/>
      <c r="BT128" s="58"/>
      <c r="BU128" s="58"/>
      <c r="BV128" s="58"/>
      <c r="BW128" s="58"/>
      <c r="BX128" s="58"/>
      <c r="BY128" s="58"/>
      <c r="BZ128" s="58"/>
      <c r="CA128" s="58"/>
      <c r="CB128" s="58"/>
      <c r="CC128" s="58"/>
      <c r="CD128" s="58"/>
      <c r="CE128" s="58"/>
      <c r="CF128" s="58"/>
      <c r="CG128" s="58"/>
      <c r="CH128" s="58"/>
      <c r="CI128" s="58"/>
    </row>
    <row r="129" spans="1:87">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55"/>
      <c r="AB129" s="55"/>
      <c r="AC129" s="55"/>
      <c r="AD129" s="55"/>
      <c r="AE129" s="55"/>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55"/>
      <c r="BE129" s="55"/>
      <c r="BF129" s="55"/>
      <c r="BG129" s="55"/>
      <c r="BH129" s="55"/>
      <c r="BI129" s="55"/>
      <c r="BJ129" s="55"/>
      <c r="BK129" s="55"/>
      <c r="BL129" s="55"/>
      <c r="BM129" s="55"/>
      <c r="BN129" s="55"/>
      <c r="BO129" s="55"/>
      <c r="BP129" s="55"/>
      <c r="BQ129" s="55"/>
      <c r="BR129" s="55"/>
      <c r="BS129" s="58"/>
      <c r="BT129" s="58"/>
      <c r="BU129" s="58"/>
      <c r="BV129" s="58"/>
      <c r="BW129" s="58"/>
      <c r="BX129" s="58"/>
      <c r="BY129" s="58"/>
      <c r="BZ129" s="58"/>
      <c r="CA129" s="58"/>
      <c r="CB129" s="58"/>
      <c r="CC129" s="58"/>
      <c r="CD129" s="58"/>
      <c r="CE129" s="58"/>
      <c r="CF129" s="58"/>
      <c r="CG129" s="58"/>
      <c r="CH129" s="58"/>
      <c r="CI129" s="58"/>
    </row>
    <row r="130" spans="1:87">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55"/>
      <c r="AB130" s="55"/>
      <c r="AC130" s="55"/>
      <c r="AD130" s="55"/>
      <c r="AE130" s="55"/>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55"/>
      <c r="BE130" s="55"/>
      <c r="BF130" s="55"/>
      <c r="BG130" s="55"/>
      <c r="BH130" s="55"/>
      <c r="BI130" s="55"/>
      <c r="BJ130" s="55"/>
      <c r="BK130" s="55"/>
      <c r="BL130" s="55"/>
      <c r="BM130" s="55"/>
      <c r="BN130" s="55"/>
      <c r="BO130" s="55"/>
      <c r="BP130" s="55"/>
      <c r="BQ130" s="55"/>
      <c r="BR130" s="55"/>
      <c r="BS130" s="58"/>
      <c r="BT130" s="58"/>
      <c r="BU130" s="58"/>
      <c r="BV130" s="58"/>
      <c r="BW130" s="58"/>
      <c r="BX130" s="58"/>
      <c r="BY130" s="58"/>
      <c r="BZ130" s="58"/>
      <c r="CA130" s="58"/>
      <c r="CB130" s="58"/>
      <c r="CC130" s="58"/>
      <c r="CD130" s="58"/>
      <c r="CE130" s="58"/>
      <c r="CF130" s="58"/>
      <c r="CG130" s="58"/>
      <c r="CH130" s="58"/>
      <c r="CI130" s="58"/>
    </row>
    <row r="131" spans="1:87">
      <c r="A131" s="55"/>
      <c r="B131" s="55"/>
      <c r="C131" s="55"/>
      <c r="D131" s="55"/>
      <c r="E131" s="55"/>
      <c r="F131" s="55"/>
      <c r="G131" s="55"/>
      <c r="H131" s="55"/>
      <c r="I131" s="55"/>
      <c r="J131" s="55"/>
      <c r="K131" s="55"/>
      <c r="L131" s="55"/>
      <c r="M131" s="55"/>
      <c r="N131" s="55"/>
      <c r="O131" s="55"/>
      <c r="P131" s="55"/>
      <c r="Q131" s="55"/>
      <c r="R131" s="55"/>
      <c r="S131" s="55"/>
      <c r="T131" s="55"/>
      <c r="U131" s="55"/>
      <c r="V131" s="55"/>
      <c r="W131" s="55"/>
      <c r="X131" s="55"/>
      <c r="Y131" s="55"/>
      <c r="Z131" s="55"/>
      <c r="AA131" s="55"/>
      <c r="AB131" s="55"/>
      <c r="AC131" s="55"/>
      <c r="AD131" s="55"/>
      <c r="AE131" s="55"/>
      <c r="AF131" s="55"/>
      <c r="AG131" s="55"/>
      <c r="AH131" s="55"/>
      <c r="AI131" s="55"/>
      <c r="AJ131" s="55"/>
      <c r="AK131" s="55"/>
      <c r="AL131" s="55"/>
      <c r="AM131" s="55"/>
      <c r="AN131" s="55"/>
      <c r="AO131" s="55"/>
      <c r="AP131" s="55"/>
      <c r="AQ131" s="55"/>
      <c r="AR131" s="55"/>
      <c r="AS131" s="55"/>
      <c r="AT131" s="55"/>
      <c r="AU131" s="55"/>
      <c r="AV131" s="55"/>
      <c r="AW131" s="55"/>
      <c r="AX131" s="55"/>
      <c r="AY131" s="55"/>
      <c r="AZ131" s="55"/>
      <c r="BA131" s="55"/>
      <c r="BB131" s="55"/>
      <c r="BC131" s="55"/>
      <c r="BD131" s="55"/>
      <c r="BE131" s="55"/>
      <c r="BF131" s="55"/>
      <c r="BG131" s="55"/>
      <c r="BH131" s="55"/>
      <c r="BI131" s="55"/>
      <c r="BJ131" s="55"/>
      <c r="BK131" s="55"/>
      <c r="BL131" s="55"/>
      <c r="BM131" s="55"/>
      <c r="BN131" s="55"/>
      <c r="BO131" s="55"/>
      <c r="BP131" s="55"/>
      <c r="BQ131" s="55"/>
      <c r="BR131" s="55"/>
      <c r="BS131" s="58"/>
      <c r="BT131" s="58"/>
      <c r="BU131" s="58"/>
      <c r="BV131" s="58"/>
      <c r="BW131" s="58"/>
      <c r="BX131" s="58"/>
      <c r="BY131" s="58"/>
      <c r="BZ131" s="58"/>
      <c r="CA131" s="58"/>
      <c r="CB131" s="58"/>
      <c r="CC131" s="58"/>
      <c r="CD131" s="58"/>
      <c r="CE131" s="58"/>
      <c r="CF131" s="58"/>
      <c r="CG131" s="58"/>
      <c r="CH131" s="58"/>
      <c r="CI131" s="58"/>
    </row>
    <row r="132" spans="1:87">
      <c r="A132" s="55"/>
      <c r="B132" s="55"/>
      <c r="C132" s="55"/>
      <c r="D132" s="55"/>
      <c r="E132" s="55"/>
      <c r="F132" s="55"/>
      <c r="G132" s="55"/>
      <c r="H132" s="55"/>
      <c r="I132" s="55"/>
      <c r="J132" s="55"/>
      <c r="K132" s="55"/>
      <c r="L132" s="55"/>
      <c r="M132" s="5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8"/>
      <c r="BT132" s="58"/>
      <c r="BU132" s="58"/>
      <c r="BV132" s="58"/>
      <c r="BW132" s="58"/>
      <c r="BX132" s="58"/>
      <c r="BY132" s="58"/>
      <c r="BZ132" s="58"/>
      <c r="CA132" s="58"/>
      <c r="CB132" s="58"/>
      <c r="CC132" s="58"/>
      <c r="CD132" s="58"/>
      <c r="CE132" s="58"/>
      <c r="CF132" s="58"/>
      <c r="CG132" s="58"/>
      <c r="CH132" s="58"/>
      <c r="CI132" s="58"/>
    </row>
    <row r="133" spans="1:87">
      <c r="A133" s="55"/>
      <c r="B133" s="55"/>
      <c r="C133" s="55"/>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8"/>
      <c r="BT133" s="58"/>
      <c r="BU133" s="58"/>
      <c r="BV133" s="58"/>
      <c r="BW133" s="58"/>
      <c r="BX133" s="58"/>
      <c r="BY133" s="58"/>
      <c r="BZ133" s="58"/>
      <c r="CA133" s="58"/>
      <c r="CB133" s="58"/>
      <c r="CC133" s="58"/>
      <c r="CD133" s="58"/>
      <c r="CE133" s="58"/>
      <c r="CF133" s="58"/>
      <c r="CG133" s="58"/>
      <c r="CH133" s="58"/>
      <c r="CI133" s="58"/>
    </row>
    <row r="134" spans="1:87">
      <c r="A134" s="55"/>
      <c r="B134" s="55"/>
      <c r="C134" s="55"/>
      <c r="D134" s="55"/>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5"/>
      <c r="BE134" s="55"/>
      <c r="BF134" s="55"/>
      <c r="BG134" s="55"/>
      <c r="BH134" s="55"/>
      <c r="BI134" s="55"/>
      <c r="BJ134" s="55"/>
      <c r="BK134" s="55"/>
      <c r="BL134" s="55"/>
      <c r="BM134" s="55"/>
      <c r="BN134" s="55"/>
      <c r="BO134" s="55"/>
      <c r="BP134" s="55"/>
      <c r="BQ134" s="55"/>
      <c r="BR134" s="55"/>
      <c r="BS134" s="58"/>
      <c r="BT134" s="58"/>
      <c r="BU134" s="58"/>
      <c r="BV134" s="58"/>
      <c r="BW134" s="58"/>
      <c r="BX134" s="58"/>
      <c r="BY134" s="58"/>
      <c r="BZ134" s="58"/>
      <c r="CA134" s="58"/>
      <c r="CB134" s="58"/>
      <c r="CC134" s="58"/>
      <c r="CD134" s="58"/>
      <c r="CE134" s="58"/>
      <c r="CF134" s="58"/>
      <c r="CG134" s="58"/>
      <c r="CH134" s="58"/>
      <c r="CI134" s="58"/>
    </row>
    <row r="135" spans="1:87">
      <c r="A135" s="55"/>
      <c r="B135" s="55"/>
      <c r="C135" s="55"/>
      <c r="D135" s="55"/>
      <c r="E135" s="55"/>
      <c r="F135" s="55"/>
      <c r="G135" s="55"/>
      <c r="H135" s="55"/>
      <c r="I135" s="55"/>
      <c r="J135" s="55"/>
      <c r="K135" s="55"/>
      <c r="L135" s="55"/>
      <c r="M135" s="55"/>
      <c r="N135" s="55"/>
      <c r="O135" s="55"/>
      <c r="P135" s="55"/>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55"/>
      <c r="AO135" s="55"/>
      <c r="AP135" s="55"/>
      <c r="AQ135" s="55"/>
      <c r="AR135" s="55"/>
      <c r="AS135" s="55"/>
      <c r="AT135" s="55"/>
      <c r="AU135" s="55"/>
      <c r="AV135" s="55"/>
      <c r="AW135" s="55"/>
      <c r="AX135" s="55"/>
      <c r="AY135" s="55"/>
      <c r="AZ135" s="55"/>
      <c r="BA135" s="55"/>
      <c r="BB135" s="55"/>
      <c r="BC135" s="55"/>
      <c r="BD135" s="55"/>
      <c r="BE135" s="55"/>
      <c r="BF135" s="55"/>
      <c r="BG135" s="55"/>
      <c r="BH135" s="55"/>
      <c r="BI135" s="55"/>
      <c r="BJ135" s="55"/>
      <c r="BK135" s="55"/>
      <c r="BL135" s="55"/>
      <c r="BM135" s="55"/>
      <c r="BN135" s="55"/>
      <c r="BO135" s="55"/>
      <c r="BP135" s="55"/>
      <c r="BQ135" s="55"/>
      <c r="BR135" s="55"/>
      <c r="BS135" s="58"/>
      <c r="BT135" s="58"/>
      <c r="BU135" s="58"/>
      <c r="BV135" s="58"/>
      <c r="BW135" s="58"/>
      <c r="BX135" s="58"/>
      <c r="BY135" s="58"/>
      <c r="BZ135" s="58"/>
      <c r="CA135" s="58"/>
      <c r="CB135" s="58"/>
      <c r="CC135" s="58"/>
      <c r="CD135" s="58"/>
      <c r="CE135" s="58"/>
      <c r="CF135" s="58"/>
      <c r="CG135" s="58"/>
      <c r="CH135" s="58"/>
      <c r="CI135" s="58"/>
    </row>
    <row r="136" spans="1:87">
      <c r="A136" s="55"/>
      <c r="B136" s="55"/>
      <c r="C136" s="55"/>
      <c r="D136" s="55"/>
      <c r="E136" s="55"/>
      <c r="F136" s="55"/>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5"/>
      <c r="BE136" s="55"/>
      <c r="BF136" s="55"/>
      <c r="BG136" s="55"/>
      <c r="BH136" s="55"/>
      <c r="BI136" s="55"/>
      <c r="BJ136" s="55"/>
      <c r="BK136" s="55"/>
      <c r="BL136" s="55"/>
      <c r="BM136" s="55"/>
      <c r="BN136" s="55"/>
      <c r="BO136" s="55"/>
      <c r="BP136" s="55"/>
      <c r="BQ136" s="55"/>
      <c r="BR136" s="55"/>
      <c r="BS136" s="58"/>
      <c r="BT136" s="58"/>
      <c r="BU136" s="58"/>
      <c r="BV136" s="58"/>
      <c r="BW136" s="58"/>
      <c r="BX136" s="58"/>
      <c r="BY136" s="58"/>
      <c r="BZ136" s="58"/>
      <c r="CA136" s="58"/>
      <c r="CB136" s="58"/>
      <c r="CC136" s="58"/>
      <c r="CD136" s="58"/>
      <c r="CE136" s="58"/>
      <c r="CF136" s="58"/>
      <c r="CG136" s="58"/>
      <c r="CH136" s="58"/>
      <c r="CI136" s="58"/>
    </row>
    <row r="137" spans="1:87">
      <c r="A137" s="55"/>
      <c r="B137" s="55"/>
      <c r="C137" s="55"/>
      <c r="D137" s="55"/>
      <c r="E137" s="55"/>
      <c r="F137" s="55"/>
      <c r="G137" s="55"/>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55"/>
      <c r="AK137" s="55"/>
      <c r="AL137" s="55"/>
      <c r="AM137" s="55"/>
      <c r="AN137" s="55"/>
      <c r="AO137" s="55"/>
      <c r="AP137" s="55"/>
      <c r="AQ137" s="55"/>
      <c r="AR137" s="55"/>
      <c r="AS137" s="55"/>
      <c r="AT137" s="55"/>
      <c r="AU137" s="55"/>
      <c r="AV137" s="55"/>
      <c r="AW137" s="55"/>
      <c r="AX137" s="55"/>
      <c r="AY137" s="55"/>
      <c r="AZ137" s="55"/>
      <c r="BA137" s="55"/>
      <c r="BB137" s="55"/>
      <c r="BC137" s="55"/>
      <c r="BD137" s="55"/>
      <c r="BE137" s="55"/>
      <c r="BF137" s="55"/>
      <c r="BG137" s="55"/>
      <c r="BH137" s="55"/>
      <c r="BI137" s="55"/>
      <c r="BJ137" s="55"/>
      <c r="BK137" s="55"/>
      <c r="BL137" s="55"/>
      <c r="BM137" s="55"/>
      <c r="BN137" s="55"/>
      <c r="BO137" s="55"/>
      <c r="BP137" s="55"/>
      <c r="BQ137" s="55"/>
      <c r="BR137" s="55"/>
      <c r="BS137" s="58"/>
      <c r="BT137" s="58"/>
      <c r="BU137" s="58"/>
      <c r="BV137" s="58"/>
      <c r="BW137" s="58"/>
      <c r="BX137" s="58"/>
      <c r="BY137" s="58"/>
      <c r="BZ137" s="58"/>
      <c r="CA137" s="58"/>
      <c r="CB137" s="58"/>
      <c r="CC137" s="58"/>
      <c r="CD137" s="58"/>
      <c r="CE137" s="58"/>
      <c r="CF137" s="58"/>
      <c r="CG137" s="58"/>
      <c r="CH137" s="58"/>
      <c r="CI137" s="58"/>
    </row>
    <row r="138" spans="1:87">
      <c r="A138" s="55"/>
      <c r="B138" s="55"/>
      <c r="C138" s="55"/>
      <c r="D138" s="55"/>
      <c r="E138" s="55"/>
      <c r="F138" s="55"/>
      <c r="G138" s="55"/>
      <c r="H138" s="55"/>
      <c r="I138" s="55"/>
      <c r="J138" s="55"/>
      <c r="K138" s="55"/>
      <c r="L138" s="55"/>
      <c r="M138" s="55"/>
      <c r="N138" s="55"/>
      <c r="O138" s="55"/>
      <c r="P138" s="55"/>
      <c r="Q138" s="55"/>
      <c r="R138" s="55"/>
      <c r="S138" s="55"/>
      <c r="T138" s="55"/>
      <c r="U138" s="55"/>
      <c r="V138" s="55"/>
      <c r="W138" s="55"/>
      <c r="X138" s="55"/>
      <c r="Y138" s="55"/>
      <c r="Z138" s="55"/>
      <c r="AA138" s="55"/>
      <c r="AB138" s="55"/>
      <c r="AC138" s="55"/>
      <c r="AD138" s="55"/>
      <c r="AE138" s="55"/>
      <c r="AF138" s="55"/>
      <c r="AG138" s="55"/>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55"/>
      <c r="BJ138" s="55"/>
      <c r="BK138" s="55"/>
      <c r="BL138" s="55"/>
      <c r="BM138" s="55"/>
      <c r="BN138" s="55"/>
      <c r="BO138" s="55"/>
      <c r="BP138" s="55"/>
      <c r="BQ138" s="55"/>
      <c r="BR138" s="55"/>
      <c r="BS138" s="58"/>
      <c r="BT138" s="58"/>
      <c r="BU138" s="58"/>
      <c r="BV138" s="58"/>
      <c r="BW138" s="58"/>
      <c r="BX138" s="58"/>
      <c r="BY138" s="58"/>
      <c r="BZ138" s="58"/>
      <c r="CA138" s="58"/>
      <c r="CB138" s="58"/>
      <c r="CC138" s="58"/>
      <c r="CD138" s="58"/>
      <c r="CE138" s="58"/>
      <c r="CF138" s="58"/>
      <c r="CG138" s="58"/>
      <c r="CH138" s="58"/>
      <c r="CI138" s="58"/>
    </row>
    <row r="139" spans="1:87">
      <c r="A139" s="55"/>
      <c r="B139" s="55"/>
      <c r="C139" s="55"/>
      <c r="D139" s="55"/>
      <c r="E139" s="55"/>
      <c r="F139" s="55"/>
      <c r="G139" s="55"/>
      <c r="H139" s="55"/>
      <c r="I139" s="55"/>
      <c r="J139" s="55"/>
      <c r="K139" s="55"/>
      <c r="L139" s="55"/>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55"/>
      <c r="AK139" s="55"/>
      <c r="AL139" s="55"/>
      <c r="AM139" s="55"/>
      <c r="AN139" s="55"/>
      <c r="AO139" s="55"/>
      <c r="AP139" s="55"/>
      <c r="AQ139" s="55"/>
      <c r="AR139" s="55"/>
      <c r="AS139" s="55"/>
      <c r="AT139" s="55"/>
      <c r="AU139" s="55"/>
      <c r="AV139" s="55"/>
      <c r="AW139" s="55"/>
      <c r="AX139" s="55"/>
      <c r="AY139" s="55"/>
      <c r="AZ139" s="55"/>
      <c r="BA139" s="55"/>
      <c r="BB139" s="55"/>
      <c r="BC139" s="55"/>
      <c r="BD139" s="55"/>
      <c r="BE139" s="55"/>
      <c r="BF139" s="55"/>
      <c r="BG139" s="55"/>
      <c r="BH139" s="55"/>
      <c r="BI139" s="55"/>
      <c r="BJ139" s="55"/>
      <c r="BK139" s="55"/>
      <c r="BL139" s="55"/>
      <c r="BM139" s="55"/>
      <c r="BN139" s="55"/>
      <c r="BO139" s="55"/>
      <c r="BP139" s="55"/>
      <c r="BQ139" s="55"/>
      <c r="BR139" s="55"/>
      <c r="BS139" s="58"/>
      <c r="BT139" s="58"/>
      <c r="BU139" s="58"/>
      <c r="BV139" s="58"/>
      <c r="BW139" s="58"/>
      <c r="BX139" s="58"/>
      <c r="BY139" s="58"/>
      <c r="BZ139" s="58"/>
      <c r="CA139" s="58"/>
      <c r="CB139" s="58"/>
      <c r="CC139" s="58"/>
      <c r="CD139" s="58"/>
      <c r="CE139" s="58"/>
      <c r="CF139" s="58"/>
      <c r="CG139" s="58"/>
      <c r="CH139" s="58"/>
      <c r="CI139" s="58"/>
    </row>
    <row r="140" spans="1:87">
      <c r="A140" s="55"/>
      <c r="B140" s="55"/>
      <c r="C140" s="55"/>
      <c r="D140" s="55"/>
      <c r="E140" s="55"/>
      <c r="F140" s="55"/>
      <c r="G140" s="55"/>
      <c r="H140" s="55"/>
      <c r="I140" s="55"/>
      <c r="J140" s="55"/>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55"/>
      <c r="BJ140" s="55"/>
      <c r="BK140" s="55"/>
      <c r="BL140" s="55"/>
      <c r="BM140" s="55"/>
      <c r="BN140" s="55"/>
      <c r="BO140" s="55"/>
      <c r="BP140" s="55"/>
      <c r="BQ140" s="55"/>
      <c r="BR140" s="55"/>
      <c r="BS140" s="58"/>
      <c r="BT140" s="58"/>
      <c r="BU140" s="58"/>
      <c r="BV140" s="58"/>
      <c r="BW140" s="58"/>
      <c r="BX140" s="58"/>
      <c r="BY140" s="58"/>
      <c r="BZ140" s="58"/>
      <c r="CA140" s="58"/>
      <c r="CB140" s="58"/>
      <c r="CC140" s="58"/>
      <c r="CD140" s="58"/>
      <c r="CE140" s="58"/>
      <c r="CF140" s="58"/>
      <c r="CG140" s="58"/>
      <c r="CH140" s="58"/>
      <c r="CI140" s="58"/>
    </row>
    <row r="141" spans="1:87">
      <c r="A141" s="55"/>
      <c r="B141" s="55"/>
      <c r="C141" s="55"/>
      <c r="D141" s="55"/>
      <c r="E141" s="55"/>
      <c r="F141" s="55"/>
      <c r="G141" s="55"/>
      <c r="H141" s="55"/>
      <c r="I141" s="55"/>
      <c r="J141" s="55"/>
      <c r="K141" s="55"/>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c r="AY141" s="55"/>
      <c r="AZ141" s="55"/>
      <c r="BA141" s="55"/>
      <c r="BB141" s="55"/>
      <c r="BC141" s="55"/>
      <c r="BD141" s="55"/>
      <c r="BE141" s="55"/>
      <c r="BF141" s="55"/>
      <c r="BG141" s="55"/>
      <c r="BH141" s="55"/>
      <c r="BI141" s="55"/>
      <c r="BJ141" s="55"/>
      <c r="BK141" s="55"/>
      <c r="BL141" s="55"/>
      <c r="BM141" s="55"/>
      <c r="BN141" s="55"/>
      <c r="BO141" s="55"/>
      <c r="BP141" s="55"/>
      <c r="BQ141" s="55"/>
      <c r="BR141" s="55"/>
      <c r="BS141" s="58"/>
      <c r="BT141" s="58"/>
      <c r="BU141" s="58"/>
      <c r="BV141" s="58"/>
      <c r="BW141" s="58"/>
      <c r="BX141" s="58"/>
      <c r="BY141" s="58"/>
      <c r="BZ141" s="58"/>
      <c r="CA141" s="58"/>
      <c r="CB141" s="58"/>
      <c r="CC141" s="58"/>
      <c r="CD141" s="58"/>
      <c r="CE141" s="58"/>
      <c r="CF141" s="58"/>
      <c r="CG141" s="58"/>
      <c r="CH141" s="58"/>
      <c r="CI141" s="58"/>
    </row>
    <row r="142" spans="1:87">
      <c r="A142" s="55"/>
      <c r="B142" s="55"/>
      <c r="C142" s="55"/>
      <c r="D142" s="55"/>
      <c r="E142" s="55"/>
      <c r="F142" s="55"/>
      <c r="G142" s="55"/>
      <c r="H142" s="55"/>
      <c r="I142" s="55"/>
      <c r="J142" s="55"/>
      <c r="K142" s="55"/>
      <c r="L142" s="55"/>
      <c r="M142" s="55"/>
      <c r="N142" s="55"/>
      <c r="O142" s="55"/>
      <c r="P142" s="55"/>
      <c r="Q142" s="55"/>
      <c r="R142" s="55"/>
      <c r="S142" s="55"/>
      <c r="T142" s="55"/>
      <c r="U142" s="55"/>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55"/>
      <c r="BJ142" s="55"/>
      <c r="BK142" s="55"/>
      <c r="BL142" s="55"/>
      <c r="BM142" s="55"/>
      <c r="BN142" s="55"/>
      <c r="BO142" s="55"/>
      <c r="BP142" s="55"/>
      <c r="BQ142" s="55"/>
      <c r="BR142" s="55"/>
      <c r="BS142" s="58"/>
      <c r="BT142" s="58"/>
      <c r="BU142" s="58"/>
      <c r="BV142" s="58"/>
      <c r="BW142" s="58"/>
      <c r="BX142" s="58"/>
      <c r="BY142" s="58"/>
      <c r="BZ142" s="58"/>
      <c r="CA142" s="58"/>
      <c r="CB142" s="58"/>
      <c r="CC142" s="58"/>
      <c r="CD142" s="58"/>
      <c r="CE142" s="58"/>
      <c r="CF142" s="58"/>
      <c r="CG142" s="58"/>
      <c r="CH142" s="58"/>
      <c r="CI142" s="58"/>
    </row>
    <row r="143" spans="1:87">
      <c r="A143" s="55"/>
      <c r="B143" s="55"/>
      <c r="C143" s="55"/>
      <c r="D143" s="55"/>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5"/>
      <c r="BE143" s="55"/>
      <c r="BF143" s="55"/>
      <c r="BG143" s="55"/>
      <c r="BH143" s="55"/>
      <c r="BI143" s="55"/>
      <c r="BJ143" s="55"/>
      <c r="BK143" s="55"/>
      <c r="BL143" s="55"/>
      <c r="BM143" s="55"/>
      <c r="BN143" s="55"/>
      <c r="BO143" s="55"/>
      <c r="BP143" s="55"/>
      <c r="BQ143" s="55"/>
      <c r="BR143" s="55"/>
      <c r="BS143" s="58"/>
      <c r="BT143" s="58"/>
      <c r="BU143" s="58"/>
      <c r="BV143" s="58"/>
      <c r="BW143" s="58"/>
      <c r="BX143" s="58"/>
      <c r="BY143" s="58"/>
      <c r="BZ143" s="58"/>
      <c r="CA143" s="58"/>
      <c r="CB143" s="58"/>
      <c r="CC143" s="58"/>
      <c r="CD143" s="58"/>
      <c r="CE143" s="58"/>
      <c r="CF143" s="58"/>
      <c r="CG143" s="58"/>
      <c r="CH143" s="58"/>
      <c r="CI143" s="58"/>
    </row>
    <row r="144" spans="1:87">
      <c r="A144" s="55"/>
      <c r="B144" s="55"/>
      <c r="C144" s="55"/>
      <c r="D144" s="55"/>
      <c r="E144" s="55"/>
      <c r="F144" s="55"/>
      <c r="G144" s="55"/>
      <c r="H144" s="55"/>
      <c r="I144" s="55"/>
      <c r="J144" s="55"/>
      <c r="K144" s="55"/>
      <c r="L144" s="55"/>
      <c r="M144" s="55"/>
      <c r="N144" s="55"/>
      <c r="O144" s="55"/>
      <c r="P144" s="55"/>
      <c r="Q144" s="55"/>
      <c r="R144" s="55"/>
      <c r="S144" s="55"/>
      <c r="T144" s="55"/>
      <c r="U144" s="55"/>
      <c r="V144" s="55"/>
      <c r="W144" s="55"/>
      <c r="X144" s="55"/>
      <c r="Y144" s="55"/>
      <c r="Z144" s="55"/>
      <c r="AA144" s="55"/>
      <c r="AB144" s="55"/>
      <c r="AC144" s="55"/>
      <c r="AD144" s="55"/>
      <c r="AE144" s="55"/>
      <c r="AF144" s="55"/>
      <c r="AG144" s="55"/>
      <c r="AH144" s="55"/>
      <c r="AI144" s="55"/>
      <c r="AJ144" s="55"/>
      <c r="AK144" s="55"/>
      <c r="AL144" s="55"/>
      <c r="AM144" s="55"/>
      <c r="AN144" s="55"/>
      <c r="AO144" s="55"/>
      <c r="AP144" s="55"/>
      <c r="AQ144" s="55"/>
      <c r="AR144" s="55"/>
      <c r="AS144" s="55"/>
      <c r="AT144" s="55"/>
      <c r="AU144" s="55"/>
      <c r="AV144" s="55"/>
      <c r="AW144" s="55"/>
      <c r="AX144" s="55"/>
      <c r="AY144" s="55"/>
      <c r="AZ144" s="55"/>
      <c r="BA144" s="55"/>
      <c r="BB144" s="55"/>
      <c r="BC144" s="55"/>
      <c r="BD144" s="55"/>
      <c r="BE144" s="55"/>
      <c r="BF144" s="55"/>
      <c r="BG144" s="55"/>
      <c r="BH144" s="55"/>
      <c r="BI144" s="55"/>
      <c r="BJ144" s="55"/>
      <c r="BK144" s="55"/>
      <c r="BL144" s="55"/>
      <c r="BM144" s="55"/>
      <c r="BN144" s="55"/>
      <c r="BO144" s="55"/>
      <c r="BP144" s="55"/>
      <c r="BQ144" s="55"/>
      <c r="BR144" s="55"/>
      <c r="BS144" s="58"/>
      <c r="BT144" s="58"/>
      <c r="BU144" s="58"/>
      <c r="BV144" s="58"/>
      <c r="BW144" s="58"/>
      <c r="BX144" s="58"/>
      <c r="BY144" s="58"/>
      <c r="BZ144" s="58"/>
      <c r="CA144" s="58"/>
      <c r="CB144" s="58"/>
      <c r="CC144" s="58"/>
      <c r="CD144" s="58"/>
      <c r="CE144" s="58"/>
      <c r="CF144" s="58"/>
      <c r="CG144" s="58"/>
      <c r="CH144" s="58"/>
      <c r="CI144" s="58"/>
    </row>
    <row r="145" spans="1:87">
      <c r="A145" s="55"/>
      <c r="B145" s="55"/>
      <c r="C145" s="55"/>
      <c r="D145" s="55"/>
      <c r="E145" s="55"/>
      <c r="F145" s="55"/>
      <c r="G145" s="55"/>
      <c r="H145" s="55"/>
      <c r="I145" s="55"/>
      <c r="J145" s="55"/>
      <c r="K145" s="55"/>
      <c r="L145" s="55"/>
      <c r="M145" s="55"/>
      <c r="N145" s="55"/>
      <c r="O145" s="55"/>
      <c r="P145" s="55"/>
      <c r="Q145" s="55"/>
      <c r="R145" s="55"/>
      <c r="S145" s="55"/>
      <c r="T145" s="55"/>
      <c r="U145" s="55"/>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5"/>
      <c r="BE145" s="55"/>
      <c r="BF145" s="55"/>
      <c r="BG145" s="55"/>
      <c r="BH145" s="55"/>
      <c r="BI145" s="55"/>
      <c r="BJ145" s="55"/>
      <c r="BK145" s="55"/>
      <c r="BL145" s="55"/>
      <c r="BM145" s="55"/>
      <c r="BN145" s="55"/>
      <c r="BO145" s="55"/>
      <c r="BP145" s="55"/>
      <c r="BQ145" s="55"/>
      <c r="BR145" s="55"/>
      <c r="BS145" s="58"/>
      <c r="BT145" s="58"/>
      <c r="BU145" s="58"/>
      <c r="BV145" s="58"/>
      <c r="BW145" s="58"/>
      <c r="BX145" s="58"/>
      <c r="BY145" s="58"/>
      <c r="BZ145" s="58"/>
      <c r="CA145" s="58"/>
      <c r="CB145" s="58"/>
      <c r="CC145" s="58"/>
      <c r="CD145" s="58"/>
      <c r="CE145" s="58"/>
      <c r="CF145" s="58"/>
      <c r="CG145" s="58"/>
      <c r="CH145" s="58"/>
      <c r="CI145" s="58"/>
    </row>
    <row r="146" spans="1:87">
      <c r="A146" s="55"/>
      <c r="B146" s="55"/>
      <c r="C146" s="55"/>
      <c r="D146" s="55"/>
      <c r="E146" s="55"/>
      <c r="F146" s="55"/>
      <c r="G146" s="55"/>
      <c r="H146" s="55"/>
      <c r="I146" s="55"/>
      <c r="J146" s="55"/>
      <c r="K146" s="55"/>
      <c r="L146" s="55"/>
      <c r="M146" s="55"/>
      <c r="N146" s="55"/>
      <c r="O146" s="55"/>
      <c r="P146" s="55"/>
      <c r="Q146" s="55"/>
      <c r="R146" s="55"/>
      <c r="S146" s="55"/>
      <c r="T146" s="55"/>
      <c r="U146" s="55"/>
      <c r="V146" s="55"/>
      <c r="W146" s="55"/>
      <c r="X146" s="55"/>
      <c r="Y146" s="55"/>
      <c r="Z146" s="55"/>
      <c r="AA146" s="55"/>
      <c r="AB146" s="55"/>
      <c r="AC146" s="55"/>
      <c r="AD146" s="55"/>
      <c r="AE146" s="55"/>
      <c r="AF146" s="55"/>
      <c r="AG146" s="55"/>
      <c r="AH146" s="55"/>
      <c r="AI146" s="55"/>
      <c r="AJ146" s="55"/>
      <c r="AK146" s="55"/>
      <c r="AL146" s="55"/>
      <c r="AM146" s="55"/>
      <c r="AN146" s="55"/>
      <c r="AO146" s="55"/>
      <c r="AP146" s="55"/>
      <c r="AQ146" s="55"/>
      <c r="AR146" s="55"/>
      <c r="AS146" s="55"/>
      <c r="AT146" s="55"/>
      <c r="AU146" s="55"/>
      <c r="AV146" s="55"/>
      <c r="AW146" s="55"/>
      <c r="AX146" s="55"/>
      <c r="AY146" s="55"/>
      <c r="AZ146" s="55"/>
      <c r="BA146" s="55"/>
      <c r="BB146" s="55"/>
      <c r="BC146" s="55"/>
      <c r="BD146" s="55"/>
      <c r="BE146" s="55"/>
      <c r="BF146" s="55"/>
      <c r="BG146" s="55"/>
      <c r="BH146" s="55"/>
      <c r="BI146" s="55"/>
      <c r="BJ146" s="55"/>
      <c r="BK146" s="55"/>
      <c r="BL146" s="55"/>
      <c r="BM146" s="55"/>
      <c r="BN146" s="55"/>
      <c r="BO146" s="55"/>
      <c r="BP146" s="55"/>
      <c r="BQ146" s="55"/>
      <c r="BR146" s="55"/>
      <c r="BS146" s="58"/>
      <c r="BT146" s="58"/>
      <c r="BU146" s="58"/>
      <c r="BV146" s="58"/>
      <c r="BW146" s="58"/>
      <c r="BX146" s="58"/>
      <c r="BY146" s="58"/>
      <c r="BZ146" s="58"/>
      <c r="CA146" s="58"/>
      <c r="CB146" s="58"/>
      <c r="CC146" s="58"/>
      <c r="CD146" s="58"/>
      <c r="CE146" s="58"/>
      <c r="CF146" s="58"/>
      <c r="CG146" s="58"/>
      <c r="CH146" s="58"/>
      <c r="CI146" s="58"/>
    </row>
    <row r="147" spans="1:87">
      <c r="A147" s="55"/>
      <c r="B147" s="55"/>
      <c r="C147" s="55"/>
      <c r="D147" s="55"/>
      <c r="E147" s="55"/>
      <c r="F147" s="55"/>
      <c r="G147" s="55"/>
      <c r="H147" s="55"/>
      <c r="I147" s="55"/>
      <c r="J147" s="55"/>
      <c r="K147" s="55"/>
      <c r="L147" s="55"/>
      <c r="M147" s="55"/>
      <c r="N147" s="55"/>
      <c r="O147" s="55"/>
      <c r="P147" s="55"/>
      <c r="Q147" s="55"/>
      <c r="R147" s="55"/>
      <c r="S147" s="55"/>
      <c r="T147" s="55"/>
      <c r="U147" s="55"/>
      <c r="V147" s="55"/>
      <c r="W147" s="55"/>
      <c r="X147" s="55"/>
      <c r="Y147" s="55"/>
      <c r="Z147" s="55"/>
      <c r="AA147" s="55"/>
      <c r="AB147" s="55"/>
      <c r="AC147" s="55"/>
      <c r="AD147" s="55"/>
      <c r="AE147" s="55"/>
      <c r="AF147" s="55"/>
      <c r="AG147" s="55"/>
      <c r="AH147" s="55"/>
      <c r="AI147" s="55"/>
      <c r="AJ147" s="55"/>
      <c r="AK147" s="55"/>
      <c r="AL147" s="55"/>
      <c r="AM147" s="55"/>
      <c r="AN147" s="55"/>
      <c r="AO147" s="55"/>
      <c r="AP147" s="55"/>
      <c r="AQ147" s="55"/>
      <c r="AR147" s="55"/>
      <c r="AS147" s="55"/>
      <c r="AT147" s="55"/>
      <c r="AU147" s="55"/>
      <c r="AV147" s="55"/>
      <c r="AW147" s="55"/>
      <c r="AX147" s="55"/>
      <c r="AY147" s="55"/>
      <c r="AZ147" s="55"/>
      <c r="BA147" s="55"/>
      <c r="BB147" s="55"/>
      <c r="BC147" s="55"/>
      <c r="BD147" s="55"/>
      <c r="BE147" s="55"/>
      <c r="BF147" s="55"/>
      <c r="BG147" s="55"/>
      <c r="BH147" s="55"/>
      <c r="BI147" s="55"/>
      <c r="BJ147" s="55"/>
      <c r="BK147" s="55"/>
      <c r="BL147" s="55"/>
      <c r="BM147" s="55"/>
      <c r="BN147" s="55"/>
      <c r="BO147" s="55"/>
      <c r="BP147" s="55"/>
      <c r="BQ147" s="55"/>
      <c r="BR147" s="55"/>
      <c r="BS147" s="58"/>
      <c r="BT147" s="58"/>
      <c r="BU147" s="58"/>
      <c r="BV147" s="58"/>
      <c r="BW147" s="58"/>
      <c r="BX147" s="58"/>
      <c r="BY147" s="58"/>
      <c r="BZ147" s="58"/>
      <c r="CA147" s="58"/>
      <c r="CB147" s="58"/>
      <c r="CC147" s="58"/>
      <c r="CD147" s="58"/>
      <c r="CE147" s="58"/>
      <c r="CF147" s="58"/>
      <c r="CG147" s="58"/>
      <c r="CH147" s="58"/>
      <c r="CI147" s="58"/>
    </row>
    <row r="148" spans="1:87">
      <c r="A148" s="55"/>
      <c r="B148" s="55"/>
      <c r="C148" s="55"/>
      <c r="D148" s="55"/>
      <c r="E148" s="55"/>
      <c r="F148" s="55"/>
      <c r="G148" s="55"/>
      <c r="H148" s="55"/>
      <c r="I148" s="55"/>
      <c r="J148" s="55"/>
      <c r="K148" s="55"/>
      <c r="L148" s="55"/>
      <c r="M148" s="55"/>
      <c r="N148" s="55"/>
      <c r="O148" s="55"/>
      <c r="P148" s="55"/>
      <c r="Q148" s="55"/>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8"/>
      <c r="BT148" s="58"/>
      <c r="BU148" s="58"/>
      <c r="BV148" s="58"/>
      <c r="BW148" s="58"/>
      <c r="BX148" s="58"/>
      <c r="BY148" s="58"/>
      <c r="BZ148" s="58"/>
      <c r="CA148" s="58"/>
      <c r="CB148" s="58"/>
      <c r="CC148" s="58"/>
      <c r="CD148" s="58"/>
      <c r="CE148" s="58"/>
      <c r="CF148" s="58"/>
      <c r="CG148" s="58"/>
      <c r="CH148" s="58"/>
      <c r="CI148" s="58"/>
    </row>
    <row r="149" spans="1:87">
      <c r="A149" s="55"/>
      <c r="B149" s="55"/>
      <c r="C149" s="55"/>
      <c r="D149" s="55"/>
      <c r="E149" s="55"/>
      <c r="F149" s="55"/>
      <c r="G149" s="55"/>
      <c r="H149" s="55"/>
      <c r="I149" s="55"/>
      <c r="J149" s="55"/>
      <c r="K149" s="55"/>
      <c r="L149" s="55"/>
      <c r="M149" s="55"/>
      <c r="N149" s="55"/>
      <c r="O149" s="55"/>
      <c r="P149" s="55"/>
      <c r="Q149" s="55"/>
      <c r="R149" s="55"/>
      <c r="S149" s="55"/>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8"/>
      <c r="BT149" s="58"/>
      <c r="BU149" s="58"/>
      <c r="BV149" s="58"/>
      <c r="BW149" s="58"/>
      <c r="BX149" s="58"/>
      <c r="BY149" s="58"/>
      <c r="BZ149" s="58"/>
      <c r="CA149" s="58"/>
      <c r="CB149" s="58"/>
      <c r="CC149" s="58"/>
      <c r="CD149" s="58"/>
      <c r="CE149" s="58"/>
      <c r="CF149" s="58"/>
      <c r="CG149" s="58"/>
      <c r="CH149" s="58"/>
      <c r="CI149" s="58"/>
    </row>
    <row r="150" spans="1:87">
      <c r="A150" s="55"/>
      <c r="B150" s="55"/>
      <c r="C150" s="55"/>
      <c r="D150" s="55"/>
      <c r="E150" s="55"/>
      <c r="F150" s="55"/>
      <c r="G150" s="55"/>
      <c r="H150" s="55"/>
      <c r="I150" s="55"/>
      <c r="J150" s="55"/>
      <c r="K150" s="55"/>
      <c r="L150" s="55"/>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5"/>
      <c r="BE150" s="55"/>
      <c r="BF150" s="55"/>
      <c r="BG150" s="55"/>
      <c r="BH150" s="55"/>
      <c r="BI150" s="55"/>
      <c r="BJ150" s="55"/>
      <c r="BK150" s="55"/>
      <c r="BL150" s="55"/>
      <c r="BM150" s="55"/>
      <c r="BN150" s="55"/>
      <c r="BO150" s="55"/>
      <c r="BP150" s="55"/>
      <c r="BQ150" s="55"/>
      <c r="BR150" s="55"/>
      <c r="BS150" s="58"/>
      <c r="BT150" s="58"/>
      <c r="BU150" s="58"/>
      <c r="BV150" s="58"/>
      <c r="BW150" s="58"/>
      <c r="BX150" s="58"/>
      <c r="BY150" s="58"/>
      <c r="BZ150" s="58"/>
      <c r="CA150" s="58"/>
      <c r="CB150" s="58"/>
      <c r="CC150" s="58"/>
      <c r="CD150" s="58"/>
      <c r="CE150" s="58"/>
      <c r="CF150" s="58"/>
      <c r="CG150" s="58"/>
      <c r="CH150" s="58"/>
      <c r="CI150" s="58"/>
    </row>
    <row r="151" spans="1:87">
      <c r="A151" s="55"/>
      <c r="B151" s="55"/>
      <c r="C151" s="55"/>
      <c r="D151" s="55"/>
      <c r="E151" s="55"/>
      <c r="F151" s="55"/>
      <c r="G151" s="55"/>
      <c r="H151" s="55"/>
      <c r="I151" s="55"/>
      <c r="J151" s="55"/>
      <c r="K151" s="55"/>
      <c r="L151" s="55"/>
      <c r="M151" s="55"/>
      <c r="N151" s="55"/>
      <c r="O151" s="55"/>
      <c r="P151" s="55"/>
      <c r="Q151" s="55"/>
      <c r="R151" s="55"/>
      <c r="S151" s="55"/>
      <c r="T151" s="55"/>
      <c r="U151" s="55"/>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c r="AY151" s="55"/>
      <c r="AZ151" s="55"/>
      <c r="BA151" s="55"/>
      <c r="BB151" s="55"/>
      <c r="BC151" s="55"/>
      <c r="BD151" s="55"/>
      <c r="BE151" s="55"/>
      <c r="BF151" s="55"/>
      <c r="BG151" s="55"/>
      <c r="BH151" s="55"/>
      <c r="BI151" s="55"/>
      <c r="BJ151" s="55"/>
      <c r="BK151" s="55"/>
      <c r="BL151" s="55"/>
      <c r="BM151" s="55"/>
      <c r="BN151" s="55"/>
      <c r="BO151" s="55"/>
      <c r="BP151" s="55"/>
      <c r="BQ151" s="55"/>
      <c r="BR151" s="55"/>
      <c r="BS151" s="58"/>
      <c r="BT151" s="58"/>
      <c r="BU151" s="58"/>
      <c r="BV151" s="58"/>
      <c r="BW151" s="58"/>
      <c r="BX151" s="58"/>
      <c r="BY151" s="58"/>
      <c r="BZ151" s="58"/>
      <c r="CA151" s="58"/>
      <c r="CB151" s="58"/>
      <c r="CC151" s="58"/>
      <c r="CD151" s="58"/>
      <c r="CE151" s="58"/>
      <c r="CF151" s="58"/>
      <c r="CG151" s="58"/>
      <c r="CH151" s="58"/>
      <c r="CI151" s="58"/>
    </row>
    <row r="152" spans="1:87">
      <c r="A152" s="55"/>
      <c r="B152" s="55"/>
      <c r="C152" s="55"/>
      <c r="D152" s="55"/>
      <c r="E152" s="55"/>
      <c r="F152" s="55"/>
      <c r="G152" s="55"/>
      <c r="H152" s="55"/>
      <c r="I152" s="55"/>
      <c r="J152" s="55"/>
      <c r="K152" s="55"/>
      <c r="L152" s="55"/>
      <c r="M152" s="55"/>
      <c r="N152" s="55"/>
      <c r="O152" s="55"/>
      <c r="P152" s="55"/>
      <c r="Q152" s="55"/>
      <c r="R152" s="55"/>
      <c r="S152" s="55"/>
      <c r="T152" s="55"/>
      <c r="U152" s="55"/>
      <c r="V152" s="55"/>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5"/>
      <c r="BE152" s="55"/>
      <c r="BF152" s="55"/>
      <c r="BG152" s="55"/>
      <c r="BH152" s="55"/>
      <c r="BI152" s="55"/>
      <c r="BJ152" s="55"/>
      <c r="BK152" s="55"/>
      <c r="BL152" s="55"/>
      <c r="BM152" s="55"/>
      <c r="BN152" s="55"/>
      <c r="BO152" s="55"/>
      <c r="BP152" s="55"/>
      <c r="BQ152" s="55"/>
      <c r="BR152" s="55"/>
      <c r="BS152" s="58"/>
      <c r="BT152" s="58"/>
      <c r="BU152" s="58"/>
      <c r="BV152" s="58"/>
      <c r="BW152" s="58"/>
      <c r="BX152" s="58"/>
      <c r="BY152" s="58"/>
      <c r="BZ152" s="58"/>
      <c r="CA152" s="58"/>
      <c r="CB152" s="58"/>
      <c r="CC152" s="58"/>
      <c r="CD152" s="58"/>
      <c r="CE152" s="58"/>
      <c r="CF152" s="58"/>
      <c r="CG152" s="58"/>
      <c r="CH152" s="58"/>
      <c r="CI152" s="58"/>
    </row>
    <row r="153" spans="1:87">
      <c r="A153" s="55"/>
      <c r="B153" s="55"/>
      <c r="C153" s="55"/>
      <c r="D153" s="55"/>
      <c r="E153" s="55"/>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c r="AY153" s="55"/>
      <c r="AZ153" s="55"/>
      <c r="BA153" s="55"/>
      <c r="BB153" s="55"/>
      <c r="BC153" s="55"/>
      <c r="BD153" s="55"/>
      <c r="BE153" s="55"/>
      <c r="BF153" s="55"/>
      <c r="BG153" s="55"/>
      <c r="BH153" s="55"/>
      <c r="BI153" s="55"/>
      <c r="BJ153" s="55"/>
      <c r="BK153" s="55"/>
      <c r="BL153" s="55"/>
      <c r="BM153" s="55"/>
      <c r="BN153" s="55"/>
      <c r="BO153" s="55"/>
      <c r="BP153" s="55"/>
      <c r="BQ153" s="55"/>
      <c r="BR153" s="55"/>
      <c r="BS153" s="58"/>
      <c r="BT153" s="58"/>
      <c r="BU153" s="58"/>
      <c r="BV153" s="58"/>
      <c r="BW153" s="58"/>
      <c r="BX153" s="58"/>
      <c r="BY153" s="58"/>
      <c r="BZ153" s="58"/>
      <c r="CA153" s="58"/>
      <c r="CB153" s="58"/>
      <c r="CC153" s="58"/>
      <c r="CD153" s="58"/>
      <c r="CE153" s="58"/>
      <c r="CF153" s="58"/>
      <c r="CG153" s="58"/>
      <c r="CH153" s="58"/>
      <c r="CI153" s="58"/>
    </row>
    <row r="154" spans="1:87">
      <c r="A154" s="55"/>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c r="BK154" s="55"/>
      <c r="BL154" s="55"/>
      <c r="BM154" s="55"/>
      <c r="BN154" s="55"/>
      <c r="BO154" s="55"/>
      <c r="BP154" s="55"/>
      <c r="BQ154" s="55"/>
      <c r="BR154" s="55"/>
      <c r="BS154" s="58"/>
      <c r="BT154" s="58"/>
      <c r="BU154" s="58"/>
      <c r="BV154" s="58"/>
      <c r="BW154" s="58"/>
      <c r="BX154" s="58"/>
      <c r="BY154" s="58"/>
      <c r="BZ154" s="58"/>
      <c r="CA154" s="58"/>
      <c r="CB154" s="58"/>
      <c r="CC154" s="58"/>
      <c r="CD154" s="58"/>
      <c r="CE154" s="58"/>
      <c r="CF154" s="58"/>
      <c r="CG154" s="58"/>
      <c r="CH154" s="58"/>
      <c r="CI154" s="58"/>
    </row>
    <row r="155" spans="1:87">
      <c r="A155" s="55"/>
      <c r="B155" s="55"/>
      <c r="C155" s="55"/>
      <c r="D155" s="55"/>
      <c r="E155" s="55"/>
      <c r="F155" s="55"/>
      <c r="G155" s="55"/>
      <c r="H155" s="55"/>
      <c r="I155" s="55"/>
      <c r="J155" s="55"/>
      <c r="K155" s="55"/>
      <c r="L155" s="55"/>
      <c r="M155" s="55"/>
      <c r="N155" s="55"/>
      <c r="O155" s="55"/>
      <c r="P155" s="55"/>
      <c r="Q155" s="55"/>
      <c r="R155" s="55"/>
      <c r="S155" s="55"/>
      <c r="T155" s="55"/>
      <c r="U155" s="55"/>
      <c r="V155" s="55"/>
      <c r="W155" s="55"/>
      <c r="X155" s="55"/>
      <c r="Y155" s="55"/>
      <c r="Z155" s="55"/>
      <c r="AA155" s="55"/>
      <c r="AB155" s="55"/>
      <c r="AC155" s="55"/>
      <c r="AD155" s="55"/>
      <c r="AE155" s="55"/>
      <c r="AF155" s="55"/>
      <c r="AG155" s="55"/>
      <c r="AH155" s="55"/>
      <c r="AI155" s="55"/>
      <c r="AJ155" s="55"/>
      <c r="AK155" s="55"/>
      <c r="AL155" s="55"/>
      <c r="AM155" s="55"/>
      <c r="AN155" s="55"/>
      <c r="AO155" s="55"/>
      <c r="AP155" s="55"/>
      <c r="AQ155" s="55"/>
      <c r="AR155" s="55"/>
      <c r="AS155" s="55"/>
      <c r="AT155" s="55"/>
      <c r="AU155" s="55"/>
      <c r="AV155" s="55"/>
      <c r="AW155" s="55"/>
      <c r="AX155" s="55"/>
      <c r="AY155" s="55"/>
      <c r="AZ155" s="55"/>
      <c r="BA155" s="55"/>
      <c r="BB155" s="55"/>
      <c r="BC155" s="55"/>
      <c r="BD155" s="55"/>
      <c r="BE155" s="55"/>
      <c r="BF155" s="55"/>
      <c r="BG155" s="55"/>
      <c r="BH155" s="55"/>
      <c r="BI155" s="55"/>
      <c r="BJ155" s="55"/>
      <c r="BK155" s="55"/>
      <c r="BL155" s="55"/>
      <c r="BM155" s="55"/>
      <c r="BN155" s="55"/>
      <c r="BO155" s="55"/>
      <c r="BP155" s="55"/>
      <c r="BQ155" s="55"/>
      <c r="BR155" s="55"/>
      <c r="BS155" s="58"/>
      <c r="BT155" s="58"/>
      <c r="BU155" s="58"/>
      <c r="BV155" s="58"/>
      <c r="BW155" s="58"/>
      <c r="BX155" s="58"/>
      <c r="BY155" s="58"/>
      <c r="BZ155" s="58"/>
      <c r="CA155" s="58"/>
      <c r="CB155" s="58"/>
      <c r="CC155" s="58"/>
      <c r="CD155" s="58"/>
      <c r="CE155" s="58"/>
      <c r="CF155" s="58"/>
      <c r="CG155" s="58"/>
      <c r="CH155" s="58"/>
      <c r="CI155" s="58"/>
    </row>
    <row r="156" spans="1:87">
      <c r="A156" s="55"/>
      <c r="B156" s="55"/>
      <c r="C156" s="55"/>
      <c r="D156" s="55"/>
      <c r="E156" s="55"/>
      <c r="F156" s="55"/>
      <c r="G156" s="55"/>
      <c r="H156" s="55"/>
      <c r="I156" s="55"/>
      <c r="J156" s="55"/>
      <c r="K156" s="55"/>
      <c r="L156" s="55"/>
      <c r="M156" s="55"/>
      <c r="N156" s="55"/>
      <c r="O156" s="55"/>
      <c r="P156" s="55"/>
      <c r="Q156" s="55"/>
      <c r="R156" s="55"/>
      <c r="S156" s="55"/>
      <c r="T156" s="55"/>
      <c r="U156" s="55"/>
      <c r="V156" s="55"/>
      <c r="W156" s="55"/>
      <c r="X156" s="55"/>
      <c r="Y156" s="55"/>
      <c r="Z156" s="55"/>
      <c r="AA156" s="55"/>
      <c r="AB156" s="55"/>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8"/>
      <c r="BT156" s="58"/>
      <c r="BU156" s="58"/>
      <c r="BV156" s="58"/>
      <c r="BW156" s="58"/>
      <c r="BX156" s="58"/>
      <c r="BY156" s="58"/>
      <c r="BZ156" s="58"/>
      <c r="CA156" s="58"/>
      <c r="CB156" s="58"/>
      <c r="CC156" s="58"/>
      <c r="CD156" s="58"/>
      <c r="CE156" s="58"/>
      <c r="CF156" s="58"/>
      <c r="CG156" s="58"/>
      <c r="CH156" s="58"/>
      <c r="CI156" s="58"/>
    </row>
    <row r="157" spans="1:87">
      <c r="A157" s="55"/>
      <c r="B157" s="55"/>
      <c r="C157" s="55"/>
      <c r="D157" s="55"/>
      <c r="E157" s="55"/>
      <c r="F157" s="55"/>
      <c r="G157" s="55"/>
      <c r="H157" s="55"/>
      <c r="I157" s="55"/>
      <c r="J157" s="55"/>
      <c r="K157" s="55"/>
      <c r="L157" s="55"/>
      <c r="M157" s="55"/>
      <c r="N157" s="55"/>
      <c r="O157" s="55"/>
      <c r="P157" s="55"/>
      <c r="Q157" s="55"/>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8"/>
      <c r="BT157" s="58"/>
      <c r="BU157" s="58"/>
      <c r="BV157" s="58"/>
      <c r="BW157" s="58"/>
      <c r="BX157" s="58"/>
      <c r="BY157" s="58"/>
      <c r="BZ157" s="58"/>
      <c r="CA157" s="58"/>
      <c r="CB157" s="58"/>
      <c r="CC157" s="58"/>
      <c r="CD157" s="58"/>
      <c r="CE157" s="58"/>
      <c r="CF157" s="58"/>
      <c r="CG157" s="58"/>
      <c r="CH157" s="58"/>
      <c r="CI157" s="58"/>
    </row>
    <row r="158" spans="1:87">
      <c r="A158" s="55"/>
      <c r="B158" s="55"/>
      <c r="C158" s="55"/>
      <c r="D158" s="55"/>
      <c r="E158" s="55"/>
      <c r="F158" s="55"/>
      <c r="G158" s="55"/>
      <c r="H158" s="55"/>
      <c r="I158" s="55"/>
      <c r="J158" s="55"/>
      <c r="K158" s="55"/>
      <c r="L158" s="55"/>
      <c r="M158" s="55"/>
      <c r="N158" s="55"/>
      <c r="O158" s="55"/>
      <c r="P158" s="55"/>
      <c r="Q158" s="55"/>
      <c r="R158" s="55"/>
      <c r="S158" s="55"/>
      <c r="T158" s="55"/>
      <c r="U158" s="55"/>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8"/>
      <c r="BT158" s="58"/>
      <c r="BU158" s="58"/>
      <c r="BV158" s="58"/>
      <c r="BW158" s="58"/>
      <c r="BX158" s="58"/>
      <c r="BY158" s="58"/>
      <c r="BZ158" s="58"/>
      <c r="CA158" s="58"/>
      <c r="CB158" s="58"/>
      <c r="CC158" s="58"/>
      <c r="CD158" s="58"/>
      <c r="CE158" s="58"/>
      <c r="CF158" s="58"/>
      <c r="CG158" s="58"/>
      <c r="CH158" s="58"/>
      <c r="CI158" s="58"/>
    </row>
    <row r="159" spans="1:87">
      <c r="A159" s="55"/>
      <c r="B159" s="55"/>
      <c r="C159" s="55"/>
      <c r="D159" s="55"/>
      <c r="E159" s="55"/>
      <c r="F159" s="55"/>
      <c r="G159" s="55"/>
      <c r="H159" s="55"/>
      <c r="I159" s="55"/>
      <c r="J159" s="55"/>
      <c r="K159" s="55"/>
      <c r="L159" s="55"/>
      <c r="M159" s="55"/>
      <c r="N159" s="55"/>
      <c r="O159" s="55"/>
      <c r="P159" s="55"/>
      <c r="Q159" s="55"/>
      <c r="R159" s="55"/>
      <c r="S159" s="55"/>
      <c r="T159" s="55"/>
      <c r="U159" s="55"/>
      <c r="V159" s="55"/>
      <c r="W159" s="55"/>
      <c r="X159" s="55"/>
      <c r="Y159" s="55"/>
      <c r="Z159" s="55"/>
      <c r="AA159" s="55"/>
      <c r="AB159" s="55"/>
      <c r="AC159" s="55"/>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55"/>
      <c r="BJ159" s="55"/>
      <c r="BK159" s="55"/>
      <c r="BL159" s="55"/>
      <c r="BM159" s="55"/>
      <c r="BN159" s="55"/>
      <c r="BO159" s="55"/>
      <c r="BP159" s="55"/>
      <c r="BQ159" s="55"/>
      <c r="BR159" s="55"/>
      <c r="BS159" s="58"/>
      <c r="BT159" s="58"/>
      <c r="BU159" s="58"/>
      <c r="BV159" s="58"/>
      <c r="BW159" s="58"/>
      <c r="BX159" s="58"/>
      <c r="BY159" s="58"/>
      <c r="BZ159" s="58"/>
      <c r="CA159" s="58"/>
      <c r="CB159" s="58"/>
      <c r="CC159" s="58"/>
      <c r="CD159" s="58"/>
      <c r="CE159" s="58"/>
      <c r="CF159" s="58"/>
      <c r="CG159" s="58"/>
      <c r="CH159" s="58"/>
      <c r="CI159" s="58"/>
    </row>
    <row r="160" spans="1:87">
      <c r="A160" s="55"/>
      <c r="B160" s="55"/>
      <c r="C160" s="55"/>
      <c r="D160" s="55"/>
      <c r="E160" s="55"/>
      <c r="F160" s="55"/>
      <c r="G160" s="55"/>
      <c r="H160" s="55"/>
      <c r="I160" s="55"/>
      <c r="J160" s="55"/>
      <c r="K160" s="55"/>
      <c r="L160" s="55"/>
      <c r="M160" s="55"/>
      <c r="N160" s="55"/>
      <c r="O160" s="55"/>
      <c r="P160" s="55"/>
      <c r="Q160" s="55"/>
      <c r="R160" s="55"/>
      <c r="S160" s="55"/>
      <c r="T160" s="55"/>
      <c r="U160" s="55"/>
      <c r="V160" s="55"/>
      <c r="W160" s="55"/>
      <c r="X160" s="55"/>
      <c r="Y160" s="55"/>
      <c r="Z160" s="55"/>
      <c r="AA160" s="55"/>
      <c r="AB160" s="55"/>
      <c r="AC160" s="55"/>
      <c r="AD160" s="55"/>
      <c r="AE160" s="55"/>
      <c r="AF160" s="55"/>
      <c r="AG160" s="55"/>
      <c r="AH160" s="55"/>
      <c r="AI160" s="55"/>
      <c r="AJ160" s="55"/>
      <c r="AK160" s="55"/>
      <c r="AL160" s="55"/>
      <c r="AM160" s="55"/>
      <c r="AN160" s="55"/>
      <c r="AO160" s="55"/>
      <c r="AP160" s="55"/>
      <c r="AQ160" s="55"/>
      <c r="AR160" s="55"/>
      <c r="AS160" s="55"/>
      <c r="AT160" s="55"/>
      <c r="AU160" s="55"/>
      <c r="AV160" s="55"/>
      <c r="AW160" s="55"/>
      <c r="AX160" s="55"/>
      <c r="AY160" s="55"/>
      <c r="AZ160" s="55"/>
      <c r="BA160" s="55"/>
      <c r="BB160" s="55"/>
      <c r="BC160" s="55"/>
      <c r="BD160" s="55"/>
      <c r="BE160" s="55"/>
      <c r="BF160" s="55"/>
      <c r="BG160" s="55"/>
      <c r="BH160" s="55"/>
      <c r="BI160" s="55"/>
      <c r="BJ160" s="55"/>
      <c r="BK160" s="55"/>
      <c r="BL160" s="55"/>
      <c r="BM160" s="55"/>
      <c r="BN160" s="55"/>
      <c r="BO160" s="55"/>
      <c r="BP160" s="55"/>
      <c r="BQ160" s="55"/>
      <c r="BR160" s="55"/>
      <c r="BS160" s="58"/>
      <c r="BT160" s="58"/>
      <c r="BU160" s="58"/>
      <c r="BV160" s="58"/>
      <c r="BW160" s="58"/>
      <c r="BX160" s="58"/>
      <c r="BY160" s="58"/>
      <c r="BZ160" s="58"/>
      <c r="CA160" s="58"/>
      <c r="CB160" s="58"/>
      <c r="CC160" s="58"/>
      <c r="CD160" s="58"/>
      <c r="CE160" s="58"/>
      <c r="CF160" s="58"/>
      <c r="CG160" s="58"/>
      <c r="CH160" s="58"/>
      <c r="CI160" s="58"/>
    </row>
    <row r="161" spans="1:87">
      <c r="A161" s="55"/>
      <c r="B161" s="55"/>
      <c r="C161" s="55"/>
      <c r="D161" s="55"/>
      <c r="E161" s="55"/>
      <c r="F161" s="55"/>
      <c r="G161" s="55"/>
      <c r="H161" s="55"/>
      <c r="I161" s="55"/>
      <c r="J161" s="55"/>
      <c r="K161" s="55"/>
      <c r="L161" s="55"/>
      <c r="M161" s="55"/>
      <c r="N161" s="55"/>
      <c r="O161" s="55"/>
      <c r="P161" s="55"/>
      <c r="Q161" s="55"/>
      <c r="R161" s="55"/>
      <c r="S161" s="55"/>
      <c r="T161" s="55"/>
      <c r="U161" s="55"/>
      <c r="V161" s="55"/>
      <c r="W161" s="55"/>
      <c r="X161" s="55"/>
      <c r="Y161" s="55"/>
      <c r="Z161" s="55"/>
      <c r="AA161" s="55"/>
      <c r="AB161" s="55"/>
      <c r="AC161" s="55"/>
      <c r="AD161" s="55"/>
      <c r="AE161" s="55"/>
      <c r="AF161" s="55"/>
      <c r="AG161" s="55"/>
      <c r="AH161" s="55"/>
      <c r="AI161" s="55"/>
      <c r="AJ161" s="55"/>
      <c r="AK161" s="55"/>
      <c r="AL161" s="55"/>
      <c r="AM161" s="55"/>
      <c r="AN161" s="55"/>
      <c r="AO161" s="55"/>
      <c r="AP161" s="55"/>
      <c r="AQ161" s="55"/>
      <c r="AR161" s="55"/>
      <c r="AS161" s="55"/>
      <c r="AT161" s="55"/>
      <c r="AU161" s="55"/>
      <c r="AV161" s="55"/>
      <c r="AW161" s="55"/>
      <c r="AX161" s="55"/>
      <c r="AY161" s="55"/>
      <c r="AZ161" s="55"/>
      <c r="BA161" s="55"/>
      <c r="BB161" s="55"/>
      <c r="BC161" s="55"/>
      <c r="BD161" s="55"/>
      <c r="BE161" s="55"/>
      <c r="BF161" s="55"/>
      <c r="BG161" s="55"/>
      <c r="BH161" s="55"/>
      <c r="BI161" s="55"/>
      <c r="BJ161" s="55"/>
      <c r="BK161" s="55"/>
      <c r="BL161" s="55"/>
      <c r="BM161" s="55"/>
      <c r="BN161" s="55"/>
      <c r="BO161" s="55"/>
      <c r="BP161" s="55"/>
      <c r="BQ161" s="55"/>
      <c r="BR161" s="55"/>
      <c r="BS161" s="58"/>
      <c r="BT161" s="58"/>
      <c r="BU161" s="58"/>
      <c r="BV161" s="58"/>
      <c r="BW161" s="58"/>
      <c r="BX161" s="58"/>
      <c r="BY161" s="58"/>
      <c r="BZ161" s="58"/>
      <c r="CA161" s="58"/>
      <c r="CB161" s="58"/>
      <c r="CC161" s="58"/>
      <c r="CD161" s="58"/>
      <c r="CE161" s="58"/>
      <c r="CF161" s="58"/>
      <c r="CG161" s="58"/>
      <c r="CH161" s="58"/>
      <c r="CI161" s="58"/>
    </row>
    <row r="162" spans="1:87">
      <c r="A162" s="55"/>
      <c r="B162" s="55"/>
      <c r="C162" s="55"/>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c r="AR162" s="55"/>
      <c r="AS162" s="55"/>
      <c r="AT162" s="55"/>
      <c r="AU162" s="55"/>
      <c r="AV162" s="55"/>
      <c r="AW162" s="55"/>
      <c r="AX162" s="55"/>
      <c r="AY162" s="55"/>
      <c r="AZ162" s="55"/>
      <c r="BA162" s="55"/>
      <c r="BB162" s="55"/>
      <c r="BC162" s="55"/>
      <c r="BD162" s="55"/>
      <c r="BE162" s="55"/>
      <c r="BF162" s="55"/>
      <c r="BG162" s="55"/>
      <c r="BH162" s="55"/>
      <c r="BI162" s="55"/>
      <c r="BJ162" s="55"/>
      <c r="BK162" s="55"/>
      <c r="BL162" s="55"/>
      <c r="BM162" s="55"/>
      <c r="BN162" s="55"/>
      <c r="BO162" s="55"/>
      <c r="BP162" s="55"/>
      <c r="BQ162" s="55"/>
      <c r="BR162" s="55"/>
      <c r="BS162" s="58"/>
      <c r="BT162" s="58"/>
      <c r="BU162" s="58"/>
      <c r="BV162" s="58"/>
      <c r="BW162" s="58"/>
      <c r="BX162" s="58"/>
      <c r="BY162" s="58"/>
      <c r="BZ162" s="58"/>
      <c r="CA162" s="58"/>
      <c r="CB162" s="58"/>
      <c r="CC162" s="58"/>
      <c r="CD162" s="58"/>
      <c r="CE162" s="58"/>
      <c r="CF162" s="58"/>
      <c r="CG162" s="58"/>
      <c r="CH162" s="58"/>
      <c r="CI162" s="58"/>
    </row>
    <row r="163" spans="1:87">
      <c r="A163" s="55"/>
      <c r="B163" s="55"/>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8"/>
      <c r="BT163" s="58"/>
      <c r="BU163" s="58"/>
      <c r="BV163" s="58"/>
      <c r="BW163" s="58"/>
      <c r="BX163" s="58"/>
      <c r="BY163" s="58"/>
      <c r="BZ163" s="58"/>
      <c r="CA163" s="58"/>
      <c r="CB163" s="58"/>
      <c r="CC163" s="58"/>
      <c r="CD163" s="58"/>
      <c r="CE163" s="58"/>
      <c r="CF163" s="58"/>
      <c r="CG163" s="58"/>
      <c r="CH163" s="58"/>
      <c r="CI163" s="58"/>
    </row>
    <row r="164" spans="1:87">
      <c r="A164" s="55"/>
      <c r="B164" s="55"/>
      <c r="C164" s="55"/>
      <c r="D164" s="55"/>
      <c r="E164" s="55"/>
      <c r="F164" s="55"/>
      <c r="G164" s="5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8"/>
      <c r="BT164" s="58"/>
      <c r="BU164" s="58"/>
      <c r="BV164" s="58"/>
      <c r="BW164" s="58"/>
      <c r="BX164" s="58"/>
      <c r="BY164" s="58"/>
      <c r="BZ164" s="58"/>
      <c r="CA164" s="58"/>
      <c r="CB164" s="58"/>
      <c r="CC164" s="58"/>
      <c r="CD164" s="58"/>
      <c r="CE164" s="58"/>
      <c r="CF164" s="58"/>
      <c r="CG164" s="58"/>
      <c r="CH164" s="58"/>
      <c r="CI164" s="58"/>
    </row>
    <row r="165" spans="1:87">
      <c r="A165" s="55"/>
      <c r="B165" s="55"/>
      <c r="C165" s="55"/>
      <c r="D165" s="55"/>
      <c r="E165" s="55"/>
      <c r="F165" s="55"/>
      <c r="G165" s="55"/>
      <c r="H165" s="55"/>
      <c r="I165" s="55"/>
      <c r="J165" s="55"/>
      <c r="K165" s="55"/>
      <c r="L165" s="55"/>
      <c r="M165" s="55"/>
      <c r="N165" s="55"/>
      <c r="O165" s="55"/>
      <c r="P165" s="55"/>
      <c r="Q165" s="55"/>
      <c r="R165" s="55"/>
      <c r="S165" s="55"/>
      <c r="T165" s="55"/>
      <c r="U165" s="55"/>
      <c r="V165" s="55"/>
      <c r="W165" s="55"/>
      <c r="X165" s="55"/>
      <c r="Y165" s="55"/>
      <c r="Z165" s="55"/>
      <c r="AA165" s="55"/>
      <c r="AB165" s="55"/>
      <c r="AC165" s="55"/>
      <c r="AD165" s="55"/>
      <c r="AE165" s="55"/>
      <c r="AF165" s="55"/>
      <c r="AG165" s="55"/>
      <c r="AH165" s="55"/>
      <c r="AI165" s="55"/>
      <c r="AJ165" s="55"/>
      <c r="AK165" s="55"/>
      <c r="AL165" s="55"/>
      <c r="AM165" s="55"/>
      <c r="AN165" s="55"/>
      <c r="AO165" s="55"/>
      <c r="AP165" s="55"/>
      <c r="AQ165" s="55"/>
      <c r="AR165" s="55"/>
      <c r="AS165" s="55"/>
      <c r="AT165" s="55"/>
      <c r="AU165" s="55"/>
      <c r="AV165" s="55"/>
      <c r="AW165" s="55"/>
      <c r="AX165" s="55"/>
      <c r="AY165" s="55"/>
      <c r="AZ165" s="55"/>
      <c r="BA165" s="55"/>
      <c r="BB165" s="55"/>
      <c r="BC165" s="55"/>
      <c r="BD165" s="55"/>
      <c r="BE165" s="55"/>
      <c r="BF165" s="55"/>
      <c r="BG165" s="55"/>
      <c r="BH165" s="55"/>
      <c r="BI165" s="55"/>
      <c r="BJ165" s="55"/>
      <c r="BK165" s="55"/>
      <c r="BL165" s="55"/>
      <c r="BM165" s="55"/>
      <c r="BN165" s="55"/>
      <c r="BO165" s="55"/>
      <c r="BP165" s="55"/>
      <c r="BQ165" s="55"/>
      <c r="BR165" s="55"/>
      <c r="BS165" s="58"/>
      <c r="BT165" s="58"/>
      <c r="BU165" s="58"/>
      <c r="BV165" s="58"/>
      <c r="BW165" s="58"/>
      <c r="BX165" s="58"/>
      <c r="BY165" s="58"/>
      <c r="BZ165" s="58"/>
      <c r="CA165" s="58"/>
      <c r="CB165" s="58"/>
      <c r="CC165" s="58"/>
      <c r="CD165" s="58"/>
      <c r="CE165" s="58"/>
      <c r="CF165" s="58"/>
      <c r="CG165" s="58"/>
      <c r="CH165" s="58"/>
      <c r="CI165" s="58"/>
    </row>
    <row r="166" spans="1:87">
      <c r="A166" s="55"/>
      <c r="B166" s="55"/>
      <c r="C166" s="55"/>
      <c r="D166" s="55"/>
      <c r="E166" s="55"/>
      <c r="F166" s="55"/>
      <c r="G166" s="55"/>
      <c r="H166" s="55"/>
      <c r="I166" s="55"/>
      <c r="J166" s="55"/>
      <c r="K166" s="55"/>
      <c r="L166" s="55"/>
      <c r="M166" s="55"/>
      <c r="N166" s="55"/>
      <c r="O166" s="55"/>
      <c r="P166" s="55"/>
      <c r="Q166" s="55"/>
      <c r="R166" s="55"/>
      <c r="S166" s="55"/>
      <c r="T166" s="55"/>
      <c r="U166" s="55"/>
      <c r="V166" s="55"/>
      <c r="W166" s="55"/>
      <c r="X166" s="55"/>
      <c r="Y166" s="55"/>
      <c r="Z166" s="55"/>
      <c r="AA166" s="55"/>
      <c r="AB166" s="55"/>
      <c r="AC166" s="55"/>
      <c r="AD166" s="55"/>
      <c r="AE166" s="55"/>
      <c r="AF166" s="55"/>
      <c r="AG166" s="55"/>
      <c r="AH166" s="55"/>
      <c r="AI166" s="55"/>
      <c r="AJ166" s="55"/>
      <c r="AK166" s="55"/>
      <c r="AL166" s="55"/>
      <c r="AM166" s="55"/>
      <c r="AN166" s="55"/>
      <c r="AO166" s="55"/>
      <c r="AP166" s="55"/>
      <c r="AQ166" s="55"/>
      <c r="AR166" s="55"/>
      <c r="AS166" s="55"/>
      <c r="AT166" s="55"/>
      <c r="AU166" s="55"/>
      <c r="AV166" s="55"/>
      <c r="AW166" s="55"/>
      <c r="AX166" s="55"/>
      <c r="AY166" s="55"/>
      <c r="AZ166" s="55"/>
      <c r="BA166" s="55"/>
      <c r="BB166" s="55"/>
      <c r="BC166" s="55"/>
      <c r="BD166" s="55"/>
      <c r="BE166" s="55"/>
      <c r="BF166" s="55"/>
      <c r="BG166" s="55"/>
      <c r="BH166" s="55"/>
      <c r="BI166" s="55"/>
      <c r="BJ166" s="55"/>
      <c r="BK166" s="55"/>
      <c r="BL166" s="55"/>
      <c r="BM166" s="55"/>
      <c r="BN166" s="55"/>
      <c r="BO166" s="55"/>
      <c r="BP166" s="55"/>
      <c r="BQ166" s="55"/>
      <c r="BR166" s="55"/>
      <c r="BS166" s="58"/>
      <c r="BT166" s="58"/>
      <c r="BU166" s="58"/>
      <c r="BV166" s="58"/>
      <c r="BW166" s="58"/>
      <c r="BX166" s="58"/>
      <c r="BY166" s="58"/>
      <c r="BZ166" s="58"/>
      <c r="CA166" s="58"/>
      <c r="CB166" s="58"/>
      <c r="CC166" s="58"/>
      <c r="CD166" s="58"/>
      <c r="CE166" s="58"/>
      <c r="CF166" s="58"/>
      <c r="CG166" s="58"/>
      <c r="CH166" s="58"/>
      <c r="CI166" s="58"/>
    </row>
    <row r="167" spans="1:87">
      <c r="A167" s="55"/>
      <c r="B167" s="55"/>
      <c r="C167" s="55"/>
      <c r="D167" s="55"/>
      <c r="E167" s="55"/>
      <c r="F167" s="55"/>
      <c r="G167" s="55"/>
      <c r="H167" s="55"/>
      <c r="I167" s="55"/>
      <c r="J167" s="55"/>
      <c r="K167" s="55"/>
      <c r="L167" s="55"/>
      <c r="M167" s="55"/>
      <c r="N167" s="55"/>
      <c r="O167" s="55"/>
      <c r="P167" s="55"/>
      <c r="Q167" s="55"/>
      <c r="R167" s="55"/>
      <c r="S167" s="55"/>
      <c r="T167" s="55"/>
      <c r="U167" s="55"/>
      <c r="V167" s="55"/>
      <c r="W167" s="55"/>
      <c r="X167" s="55"/>
      <c r="Y167" s="55"/>
      <c r="Z167" s="55"/>
      <c r="AA167" s="55"/>
      <c r="AB167" s="55"/>
      <c r="AC167" s="55"/>
      <c r="AD167" s="55"/>
      <c r="AE167" s="55"/>
      <c r="AF167" s="55"/>
      <c r="AG167" s="55"/>
      <c r="AH167" s="55"/>
      <c r="AI167" s="55"/>
      <c r="AJ167" s="55"/>
      <c r="AK167" s="55"/>
      <c r="AL167" s="55"/>
      <c r="AM167" s="55"/>
      <c r="AN167" s="55"/>
      <c r="AO167" s="55"/>
      <c r="AP167" s="55"/>
      <c r="AQ167" s="55"/>
      <c r="AR167" s="55"/>
      <c r="AS167" s="55"/>
      <c r="AT167" s="55"/>
      <c r="AU167" s="55"/>
      <c r="AV167" s="55"/>
      <c r="AW167" s="55"/>
      <c r="AX167" s="55"/>
      <c r="AY167" s="55"/>
      <c r="AZ167" s="55"/>
      <c r="BA167" s="55"/>
      <c r="BB167" s="55"/>
      <c r="BC167" s="55"/>
      <c r="BD167" s="55"/>
      <c r="BE167" s="55"/>
      <c r="BF167" s="55"/>
      <c r="BG167" s="55"/>
      <c r="BH167" s="55"/>
      <c r="BI167" s="55"/>
      <c r="BJ167" s="55"/>
      <c r="BK167" s="55"/>
      <c r="BL167" s="55"/>
      <c r="BM167" s="55"/>
      <c r="BN167" s="55"/>
      <c r="BO167" s="55"/>
      <c r="BP167" s="55"/>
      <c r="BQ167" s="55"/>
      <c r="BR167" s="55"/>
      <c r="BS167" s="58"/>
      <c r="BT167" s="58"/>
      <c r="BU167" s="58"/>
      <c r="BV167" s="58"/>
      <c r="BW167" s="58"/>
      <c r="BX167" s="58"/>
      <c r="BY167" s="58"/>
      <c r="BZ167" s="58"/>
      <c r="CA167" s="58"/>
      <c r="CB167" s="58"/>
      <c r="CC167" s="58"/>
      <c r="CD167" s="58"/>
      <c r="CE167" s="58"/>
      <c r="CF167" s="58"/>
      <c r="CG167" s="58"/>
      <c r="CH167" s="58"/>
      <c r="CI167" s="58"/>
    </row>
    <row r="168" spans="1:87">
      <c r="A168" s="55"/>
      <c r="B168" s="55"/>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c r="AY168" s="55"/>
      <c r="AZ168" s="55"/>
      <c r="BA168" s="55"/>
      <c r="BB168" s="55"/>
      <c r="BC168" s="55"/>
      <c r="BD168" s="55"/>
      <c r="BE168" s="55"/>
      <c r="BF168" s="55"/>
      <c r="BG168" s="55"/>
      <c r="BH168" s="55"/>
      <c r="BI168" s="55"/>
      <c r="BJ168" s="55"/>
      <c r="BK168" s="55"/>
      <c r="BL168" s="55"/>
      <c r="BM168" s="55"/>
      <c r="BN168" s="55"/>
      <c r="BO168" s="55"/>
      <c r="BP168" s="55"/>
      <c r="BQ168" s="55"/>
      <c r="BR168" s="55"/>
      <c r="BS168" s="58"/>
      <c r="BT168" s="58"/>
      <c r="BU168" s="58"/>
      <c r="BV168" s="58"/>
      <c r="BW168" s="58"/>
      <c r="BX168" s="58"/>
      <c r="BY168" s="58"/>
      <c r="BZ168" s="58"/>
      <c r="CA168" s="58"/>
      <c r="CB168" s="58"/>
      <c r="CC168" s="58"/>
      <c r="CD168" s="58"/>
      <c r="CE168" s="58"/>
      <c r="CF168" s="58"/>
      <c r="CG168" s="58"/>
      <c r="CH168" s="58"/>
      <c r="CI168" s="58"/>
    </row>
    <row r="169" spans="1:87">
      <c r="A169" s="55"/>
      <c r="B169" s="55"/>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5"/>
      <c r="AX169" s="55"/>
      <c r="AY169" s="55"/>
      <c r="AZ169" s="55"/>
      <c r="BA169" s="55"/>
      <c r="BB169" s="55"/>
      <c r="BC169" s="55"/>
      <c r="BD169" s="55"/>
      <c r="BE169" s="55"/>
      <c r="BF169" s="55"/>
      <c r="BG169" s="55"/>
      <c r="BH169" s="55"/>
      <c r="BI169" s="55"/>
      <c r="BJ169" s="55"/>
      <c r="BK169" s="55"/>
      <c r="BL169" s="55"/>
      <c r="BM169" s="55"/>
      <c r="BN169" s="55"/>
      <c r="BO169" s="55"/>
      <c r="BP169" s="55"/>
      <c r="BQ169" s="55"/>
      <c r="BR169" s="55"/>
      <c r="BS169" s="58"/>
      <c r="BT169" s="58"/>
      <c r="BU169" s="58"/>
      <c r="BV169" s="58"/>
      <c r="BW169" s="58"/>
      <c r="BX169" s="58"/>
      <c r="BY169" s="58"/>
      <c r="BZ169" s="58"/>
      <c r="CA169" s="58"/>
      <c r="CB169" s="58"/>
      <c r="CC169" s="58"/>
      <c r="CD169" s="58"/>
      <c r="CE169" s="58"/>
      <c r="CF169" s="58"/>
      <c r="CG169" s="58"/>
      <c r="CH169" s="58"/>
      <c r="CI169" s="58"/>
    </row>
    <row r="170" spans="1:87">
      <c r="A170" s="55"/>
      <c r="B170" s="55"/>
      <c r="C170" s="55"/>
      <c r="D170" s="55"/>
      <c r="E170" s="55"/>
      <c r="F170" s="55"/>
      <c r="G170" s="55"/>
      <c r="H170" s="55"/>
      <c r="I170" s="55"/>
      <c r="J170" s="55"/>
      <c r="K170" s="55"/>
      <c r="L170" s="55"/>
      <c r="M170" s="55"/>
      <c r="N170" s="55"/>
      <c r="O170" s="55"/>
      <c r="P170" s="55"/>
      <c r="Q170" s="55"/>
      <c r="R170" s="55"/>
      <c r="S170" s="55"/>
      <c r="T170" s="55"/>
      <c r="U170" s="55"/>
      <c r="V170" s="55"/>
      <c r="W170" s="55"/>
      <c r="X170" s="55"/>
      <c r="Y170" s="55"/>
      <c r="Z170" s="55"/>
      <c r="AA170" s="55"/>
      <c r="AB170" s="55"/>
      <c r="AC170" s="55"/>
      <c r="AD170" s="55"/>
      <c r="AE170" s="55"/>
      <c r="AF170" s="55"/>
      <c r="AG170" s="55"/>
      <c r="AH170" s="55"/>
      <c r="AI170" s="55"/>
      <c r="AJ170" s="55"/>
      <c r="AK170" s="55"/>
      <c r="AL170" s="55"/>
      <c r="AM170" s="55"/>
      <c r="AN170" s="55"/>
      <c r="AO170" s="55"/>
      <c r="AP170" s="55"/>
      <c r="AQ170" s="55"/>
      <c r="AR170" s="55"/>
      <c r="AS170" s="55"/>
      <c r="AT170" s="55"/>
      <c r="AU170" s="55"/>
      <c r="AV170" s="55"/>
      <c r="AW170" s="55"/>
      <c r="AX170" s="55"/>
      <c r="AY170" s="55"/>
      <c r="AZ170" s="55"/>
      <c r="BA170" s="55"/>
      <c r="BB170" s="55"/>
      <c r="BC170" s="55"/>
      <c r="BD170" s="55"/>
      <c r="BE170" s="55"/>
      <c r="BF170" s="55"/>
      <c r="BG170" s="55"/>
      <c r="BH170" s="55"/>
      <c r="BI170" s="55"/>
      <c r="BJ170" s="55"/>
      <c r="BK170" s="55"/>
      <c r="BL170" s="55"/>
      <c r="BM170" s="55"/>
      <c r="BN170" s="55"/>
      <c r="BO170" s="55"/>
      <c r="BP170" s="55"/>
      <c r="BQ170" s="55"/>
      <c r="BR170" s="55"/>
      <c r="BS170" s="58"/>
      <c r="BT170" s="58"/>
      <c r="BU170" s="58"/>
      <c r="BV170" s="58"/>
      <c r="BW170" s="58"/>
      <c r="BX170" s="58"/>
      <c r="BY170" s="58"/>
      <c r="BZ170" s="58"/>
      <c r="CA170" s="58"/>
      <c r="CB170" s="58"/>
      <c r="CC170" s="58"/>
      <c r="CD170" s="58"/>
      <c r="CE170" s="58"/>
      <c r="CF170" s="58"/>
      <c r="CG170" s="58"/>
      <c r="CH170" s="58"/>
      <c r="CI170" s="58"/>
    </row>
    <row r="171" spans="1:87">
      <c r="A171" s="55"/>
      <c r="B171" s="55"/>
      <c r="C171" s="55"/>
      <c r="D171" s="55"/>
      <c r="E171" s="55"/>
      <c r="F171" s="55"/>
      <c r="G171" s="55"/>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E171" s="55"/>
      <c r="AF171" s="55"/>
      <c r="AG171" s="55"/>
      <c r="AH171" s="55"/>
      <c r="AI171" s="55"/>
      <c r="AJ171" s="55"/>
      <c r="AK171" s="55"/>
      <c r="AL171" s="55"/>
      <c r="AM171" s="55"/>
      <c r="AN171" s="55"/>
      <c r="AO171" s="55"/>
      <c r="AP171" s="55"/>
      <c r="AQ171" s="55"/>
      <c r="AR171" s="55"/>
      <c r="AS171" s="55"/>
      <c r="AT171" s="55"/>
      <c r="AU171" s="55"/>
      <c r="AV171" s="55"/>
      <c r="AW171" s="55"/>
      <c r="AX171" s="55"/>
      <c r="AY171" s="55"/>
      <c r="AZ171" s="55"/>
      <c r="BA171" s="55"/>
      <c r="BB171" s="55"/>
      <c r="BC171" s="55"/>
      <c r="BD171" s="55"/>
      <c r="BE171" s="55"/>
      <c r="BF171" s="55"/>
      <c r="BG171" s="55"/>
      <c r="BH171" s="55"/>
      <c r="BI171" s="55"/>
      <c r="BJ171" s="55"/>
      <c r="BK171" s="55"/>
      <c r="BL171" s="55"/>
      <c r="BM171" s="55"/>
      <c r="BN171" s="55"/>
      <c r="BO171" s="55"/>
      <c r="BP171" s="55"/>
      <c r="BQ171" s="55"/>
      <c r="BR171" s="55"/>
      <c r="BS171" s="58"/>
      <c r="BT171" s="58"/>
      <c r="BU171" s="58"/>
      <c r="BV171" s="58"/>
      <c r="BW171" s="58"/>
      <c r="BX171" s="58"/>
      <c r="BY171" s="58"/>
      <c r="BZ171" s="58"/>
      <c r="CA171" s="58"/>
      <c r="CB171" s="58"/>
      <c r="CC171" s="58"/>
      <c r="CD171" s="58"/>
      <c r="CE171" s="58"/>
      <c r="CF171" s="58"/>
      <c r="CG171" s="58"/>
      <c r="CH171" s="58"/>
      <c r="CI171" s="58"/>
    </row>
    <row r="172" spans="1:87">
      <c r="A172" s="55"/>
      <c r="B172" s="55"/>
      <c r="C172" s="55"/>
      <c r="D172" s="55"/>
      <c r="E172" s="55"/>
      <c r="F172" s="55"/>
      <c r="G172" s="55"/>
      <c r="H172" s="55"/>
      <c r="I172" s="55"/>
      <c r="J172" s="55"/>
      <c r="K172" s="55"/>
      <c r="L172" s="55"/>
      <c r="M172" s="55"/>
      <c r="N172" s="5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8"/>
      <c r="BT172" s="58"/>
      <c r="BU172" s="58"/>
      <c r="BV172" s="58"/>
      <c r="BW172" s="58"/>
      <c r="BX172" s="58"/>
      <c r="BY172" s="58"/>
      <c r="BZ172" s="58"/>
      <c r="CA172" s="58"/>
      <c r="CB172" s="58"/>
      <c r="CC172" s="58"/>
      <c r="CD172" s="58"/>
      <c r="CE172" s="58"/>
      <c r="CF172" s="58"/>
      <c r="CG172" s="58"/>
      <c r="CH172" s="58"/>
      <c r="CI172" s="58"/>
    </row>
    <row r="173" spans="1:87">
      <c r="A173" s="55"/>
      <c r="B173" s="55"/>
      <c r="C173" s="55"/>
      <c r="D173" s="55"/>
      <c r="E173" s="55"/>
      <c r="F173" s="55"/>
      <c r="G173" s="55"/>
      <c r="H173" s="55"/>
      <c r="I173" s="55"/>
      <c r="J173" s="55"/>
      <c r="K173" s="55"/>
      <c r="L173" s="55"/>
      <c r="M173" s="55"/>
      <c r="N173" s="55"/>
      <c r="O173" s="55"/>
      <c r="P173" s="55"/>
      <c r="Q173" s="55"/>
      <c r="R173" s="55"/>
      <c r="S173" s="55"/>
      <c r="T173" s="55"/>
      <c r="U173" s="55"/>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8"/>
      <c r="BT173" s="58"/>
      <c r="BU173" s="58"/>
      <c r="BV173" s="58"/>
      <c r="BW173" s="58"/>
      <c r="BX173" s="58"/>
      <c r="BY173" s="58"/>
      <c r="BZ173" s="58"/>
      <c r="CA173" s="58"/>
      <c r="CB173" s="58"/>
      <c r="CC173" s="58"/>
      <c r="CD173" s="58"/>
      <c r="CE173" s="58"/>
      <c r="CF173" s="58"/>
      <c r="CG173" s="58"/>
      <c r="CH173" s="58"/>
      <c r="CI173" s="58"/>
    </row>
    <row r="174" spans="1:87">
      <c r="A174" s="55"/>
      <c r="B174" s="55"/>
      <c r="C174" s="55"/>
      <c r="D174" s="55"/>
      <c r="E174" s="55"/>
      <c r="F174" s="55"/>
      <c r="G174" s="55"/>
      <c r="H174" s="55"/>
      <c r="I174" s="55"/>
      <c r="J174" s="55"/>
      <c r="K174" s="55"/>
      <c r="L174" s="55"/>
      <c r="M174" s="55"/>
      <c r="N174" s="55"/>
      <c r="O174" s="55"/>
      <c r="P174" s="55"/>
      <c r="Q174" s="55"/>
      <c r="R174" s="55"/>
      <c r="S174" s="55"/>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8"/>
      <c r="BT174" s="58"/>
      <c r="BU174" s="58"/>
      <c r="BV174" s="58"/>
      <c r="BW174" s="58"/>
      <c r="BX174" s="58"/>
      <c r="BY174" s="58"/>
      <c r="BZ174" s="58"/>
      <c r="CA174" s="58"/>
      <c r="CB174" s="58"/>
      <c r="CC174" s="58"/>
      <c r="CD174" s="58"/>
      <c r="CE174" s="58"/>
      <c r="CF174" s="58"/>
      <c r="CG174" s="58"/>
      <c r="CH174" s="58"/>
      <c r="CI174" s="58"/>
    </row>
    <row r="175" spans="1:87">
      <c r="A175" s="55"/>
      <c r="B175" s="55"/>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c r="AR175" s="55"/>
      <c r="AS175" s="55"/>
      <c r="AT175" s="55"/>
      <c r="AU175" s="55"/>
      <c r="AV175" s="55"/>
      <c r="AW175" s="55"/>
      <c r="AX175" s="55"/>
      <c r="AY175" s="55"/>
      <c r="AZ175" s="55"/>
      <c r="BA175" s="55"/>
      <c r="BB175" s="55"/>
      <c r="BC175" s="55"/>
      <c r="BD175" s="55"/>
      <c r="BE175" s="55"/>
      <c r="BF175" s="55"/>
      <c r="BG175" s="55"/>
      <c r="BH175" s="55"/>
      <c r="BI175" s="55"/>
      <c r="BJ175" s="55"/>
      <c r="BK175" s="55"/>
      <c r="BL175" s="55"/>
      <c r="BM175" s="55"/>
      <c r="BN175" s="55"/>
      <c r="BO175" s="55"/>
      <c r="BP175" s="55"/>
      <c r="BQ175" s="55"/>
      <c r="BR175" s="55"/>
      <c r="BS175" s="58"/>
      <c r="BT175" s="58"/>
      <c r="BU175" s="58"/>
      <c r="BV175" s="58"/>
      <c r="BW175" s="58"/>
      <c r="BX175" s="58"/>
      <c r="BY175" s="58"/>
      <c r="BZ175" s="58"/>
      <c r="CA175" s="58"/>
      <c r="CB175" s="58"/>
      <c r="CC175" s="58"/>
      <c r="CD175" s="58"/>
      <c r="CE175" s="58"/>
      <c r="CF175" s="58"/>
      <c r="CG175" s="58"/>
      <c r="CH175" s="58"/>
      <c r="CI175" s="58"/>
    </row>
    <row r="176" spans="1:87">
      <c r="A176" s="55"/>
      <c r="B176" s="55"/>
      <c r="C176" s="55"/>
      <c r="D176" s="55"/>
      <c r="E176" s="55"/>
      <c r="F176" s="55"/>
      <c r="G176" s="55"/>
      <c r="H176" s="55"/>
      <c r="I176" s="55"/>
      <c r="J176" s="55"/>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c r="AY176" s="55"/>
      <c r="AZ176" s="55"/>
      <c r="BA176" s="55"/>
      <c r="BB176" s="55"/>
      <c r="BC176" s="55"/>
      <c r="BD176" s="55"/>
      <c r="BE176" s="55"/>
      <c r="BF176" s="55"/>
      <c r="BG176" s="55"/>
      <c r="BH176" s="55"/>
      <c r="BI176" s="55"/>
      <c r="BJ176" s="55"/>
      <c r="BK176" s="55"/>
      <c r="BL176" s="55"/>
      <c r="BM176" s="55"/>
      <c r="BN176" s="55"/>
      <c r="BO176" s="55"/>
      <c r="BP176" s="55"/>
      <c r="BQ176" s="55"/>
      <c r="BR176" s="55"/>
      <c r="BS176" s="58"/>
      <c r="BT176" s="58"/>
      <c r="BU176" s="58"/>
      <c r="BV176" s="58"/>
      <c r="BW176" s="58"/>
      <c r="BX176" s="58"/>
      <c r="BY176" s="58"/>
      <c r="BZ176" s="58"/>
      <c r="CA176" s="58"/>
      <c r="CB176" s="58"/>
      <c r="CC176" s="58"/>
      <c r="CD176" s="58"/>
      <c r="CE176" s="58"/>
      <c r="CF176" s="58"/>
      <c r="CG176" s="58"/>
      <c r="CH176" s="58"/>
      <c r="CI176" s="58"/>
    </row>
    <row r="177" spans="1:87">
      <c r="A177" s="55"/>
      <c r="B177" s="55"/>
      <c r="C177" s="55"/>
      <c r="D177" s="55"/>
      <c r="E177" s="55"/>
      <c r="F177" s="55"/>
      <c r="G177" s="55"/>
      <c r="H177" s="55"/>
      <c r="I177" s="55"/>
      <c r="J177" s="55"/>
      <c r="K177" s="55"/>
      <c r="L177" s="55"/>
      <c r="M177" s="55"/>
      <c r="N177" s="55"/>
      <c r="O177" s="55"/>
      <c r="P177" s="55"/>
      <c r="Q177" s="55"/>
      <c r="R177" s="55"/>
      <c r="S177" s="55"/>
      <c r="T177" s="55"/>
      <c r="U177" s="55"/>
      <c r="V177" s="55"/>
      <c r="W177" s="55"/>
      <c r="X177" s="55"/>
      <c r="Y177" s="55"/>
      <c r="Z177" s="55"/>
      <c r="AA177" s="55"/>
      <c r="AB177" s="55"/>
      <c r="AC177" s="55"/>
      <c r="AD177" s="55"/>
      <c r="AE177" s="55"/>
      <c r="AF177" s="55"/>
      <c r="AG177" s="55"/>
      <c r="AH177" s="55"/>
      <c r="AI177" s="55"/>
      <c r="AJ177" s="55"/>
      <c r="AK177" s="55"/>
      <c r="AL177" s="55"/>
      <c r="AM177" s="55"/>
      <c r="AN177" s="55"/>
      <c r="AO177" s="55"/>
      <c r="AP177" s="55"/>
      <c r="AQ177" s="55"/>
      <c r="AR177" s="55"/>
      <c r="AS177" s="55"/>
      <c r="AT177" s="55"/>
      <c r="AU177" s="55"/>
      <c r="AV177" s="55"/>
      <c r="AW177" s="55"/>
      <c r="AX177" s="55"/>
      <c r="AY177" s="55"/>
      <c r="AZ177" s="55"/>
      <c r="BA177" s="55"/>
      <c r="BB177" s="55"/>
      <c r="BC177" s="55"/>
      <c r="BD177" s="55"/>
      <c r="BE177" s="55"/>
      <c r="BF177" s="55"/>
      <c r="BG177" s="55"/>
      <c r="BH177" s="55"/>
      <c r="BI177" s="55"/>
      <c r="BJ177" s="55"/>
      <c r="BK177" s="55"/>
      <c r="BL177" s="55"/>
      <c r="BM177" s="55"/>
      <c r="BN177" s="55"/>
      <c r="BO177" s="55"/>
      <c r="BP177" s="55"/>
      <c r="BQ177" s="55"/>
      <c r="BR177" s="55"/>
      <c r="BS177" s="58"/>
      <c r="BT177" s="58"/>
      <c r="BU177" s="58"/>
      <c r="BV177" s="58"/>
      <c r="BW177" s="58"/>
      <c r="BX177" s="58"/>
      <c r="BY177" s="58"/>
      <c r="BZ177" s="58"/>
      <c r="CA177" s="58"/>
      <c r="CB177" s="58"/>
      <c r="CC177" s="58"/>
      <c r="CD177" s="58"/>
      <c r="CE177" s="58"/>
      <c r="CF177" s="58"/>
      <c r="CG177" s="58"/>
      <c r="CH177" s="58"/>
      <c r="CI177" s="58"/>
    </row>
    <row r="178" spans="1:87">
      <c r="A178" s="55"/>
      <c r="B178" s="55"/>
      <c r="C178" s="55"/>
      <c r="D178" s="55"/>
      <c r="E178" s="55"/>
      <c r="F178" s="55"/>
      <c r="G178" s="55"/>
      <c r="H178" s="55"/>
      <c r="I178" s="55"/>
      <c r="J178" s="55"/>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c r="AY178" s="55"/>
      <c r="AZ178" s="55"/>
      <c r="BA178" s="55"/>
      <c r="BB178" s="55"/>
      <c r="BC178" s="55"/>
      <c r="BD178" s="55"/>
      <c r="BE178" s="55"/>
      <c r="BF178" s="55"/>
      <c r="BG178" s="55"/>
      <c r="BH178" s="55"/>
      <c r="BI178" s="55"/>
      <c r="BJ178" s="55"/>
      <c r="BK178" s="55"/>
      <c r="BL178" s="55"/>
      <c r="BM178" s="55"/>
      <c r="BN178" s="55"/>
      <c r="BO178" s="55"/>
      <c r="BP178" s="55"/>
      <c r="BQ178" s="55"/>
      <c r="BR178" s="55"/>
      <c r="BS178" s="58"/>
      <c r="BT178" s="58"/>
      <c r="BU178" s="58"/>
      <c r="BV178" s="58"/>
      <c r="BW178" s="58"/>
      <c r="BX178" s="58"/>
      <c r="BY178" s="58"/>
      <c r="BZ178" s="58"/>
      <c r="CA178" s="58"/>
      <c r="CB178" s="58"/>
      <c r="CC178" s="58"/>
      <c r="CD178" s="58"/>
      <c r="CE178" s="58"/>
      <c r="CF178" s="58"/>
      <c r="CG178" s="58"/>
      <c r="CH178" s="58"/>
      <c r="CI178" s="58"/>
    </row>
    <row r="179" spans="1:87" ht="16.5">
      <c r="A179" s="63"/>
      <c r="B179" s="63"/>
      <c r="C179" s="63"/>
      <c r="D179" s="63"/>
      <c r="E179" s="63"/>
      <c r="F179" s="63"/>
      <c r="G179" s="63"/>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c r="AE179" s="63"/>
      <c r="AF179" s="63"/>
      <c r="AG179" s="63"/>
      <c r="AH179" s="63"/>
      <c r="AI179" s="63"/>
      <c r="AJ179" s="63"/>
      <c r="AK179" s="63"/>
      <c r="AL179" s="63"/>
      <c r="AM179" s="63"/>
      <c r="AN179" s="63"/>
      <c r="AO179" s="63"/>
      <c r="AP179" s="63"/>
      <c r="AQ179" s="63"/>
      <c r="AR179" s="63"/>
      <c r="AS179" s="63"/>
      <c r="AT179" s="63"/>
      <c r="AU179" s="63"/>
      <c r="AV179" s="63"/>
      <c r="AW179" s="63"/>
      <c r="AX179" s="63"/>
      <c r="AY179" s="63"/>
      <c r="AZ179" s="63"/>
      <c r="BA179" s="63"/>
      <c r="BB179" s="63"/>
      <c r="BC179" s="63"/>
      <c r="BD179" s="63"/>
      <c r="BE179" s="63"/>
      <c r="BF179" s="63"/>
      <c r="BG179" s="63"/>
      <c r="BH179" s="63"/>
      <c r="BI179" s="63"/>
      <c r="BJ179" s="63"/>
      <c r="BK179" s="63"/>
      <c r="BL179" s="63"/>
      <c r="BM179" s="63"/>
      <c r="BN179" s="63"/>
      <c r="BO179" s="63"/>
      <c r="BP179" s="63"/>
      <c r="BQ179" s="63"/>
      <c r="BR179" s="63"/>
    </row>
    <row r="180" spans="1:87" ht="16.5">
      <c r="A180" s="63"/>
      <c r="B180" s="63"/>
      <c r="C180" s="63"/>
      <c r="D180" s="63"/>
      <c r="E180" s="63"/>
      <c r="F180" s="63"/>
      <c r="G180" s="63"/>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c r="AE180" s="63"/>
      <c r="AF180" s="63"/>
      <c r="AG180" s="63"/>
      <c r="AH180" s="63"/>
      <c r="AI180" s="63"/>
      <c r="AJ180" s="63"/>
      <c r="AK180" s="63"/>
      <c r="AL180" s="63"/>
      <c r="AM180" s="63"/>
      <c r="AN180" s="63"/>
      <c r="AO180" s="63"/>
      <c r="AP180" s="63"/>
      <c r="AQ180" s="63"/>
      <c r="AR180" s="63"/>
      <c r="AS180" s="63"/>
      <c r="AT180" s="63"/>
      <c r="AU180" s="63"/>
      <c r="AV180" s="63"/>
      <c r="AW180" s="63"/>
      <c r="AX180" s="63"/>
      <c r="AY180" s="63"/>
      <c r="AZ180" s="63"/>
      <c r="BA180" s="63"/>
      <c r="BB180" s="63"/>
      <c r="BC180" s="63"/>
      <c r="BD180" s="63"/>
      <c r="BE180" s="63"/>
      <c r="BF180" s="63"/>
      <c r="BG180" s="63"/>
      <c r="BH180" s="63"/>
      <c r="BI180" s="63"/>
      <c r="BJ180" s="63"/>
      <c r="BK180" s="63"/>
      <c r="BL180" s="63"/>
      <c r="BM180" s="63"/>
      <c r="BN180" s="63"/>
      <c r="BO180" s="63"/>
      <c r="BP180" s="63"/>
      <c r="BQ180" s="63"/>
      <c r="BR180" s="63"/>
    </row>
    <row r="181" spans="1:87" ht="16.5">
      <c r="A181" s="63"/>
      <c r="B181" s="63"/>
      <c r="C181" s="63"/>
      <c r="D181" s="63"/>
      <c r="E181" s="63"/>
      <c r="F181" s="63"/>
      <c r="G181" s="63"/>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c r="AE181" s="63"/>
      <c r="AF181" s="63"/>
      <c r="AG181" s="63"/>
      <c r="AH181" s="63"/>
      <c r="AI181" s="63"/>
      <c r="AJ181" s="63"/>
      <c r="AK181" s="63"/>
      <c r="AL181" s="63"/>
      <c r="AM181" s="63"/>
      <c r="AN181" s="63"/>
      <c r="AO181" s="63"/>
      <c r="AP181" s="63"/>
      <c r="AQ181" s="63"/>
      <c r="AR181" s="63"/>
      <c r="AS181" s="63"/>
      <c r="AT181" s="63"/>
      <c r="AU181" s="63"/>
      <c r="AV181" s="63"/>
      <c r="AW181" s="63"/>
      <c r="AX181" s="63"/>
      <c r="AY181" s="63"/>
      <c r="AZ181" s="63"/>
      <c r="BA181" s="63"/>
      <c r="BB181" s="63"/>
      <c r="BC181" s="63"/>
      <c r="BD181" s="63"/>
      <c r="BE181" s="63"/>
      <c r="BF181" s="63"/>
      <c r="BG181" s="63"/>
      <c r="BH181" s="63"/>
      <c r="BI181" s="63"/>
      <c r="BJ181" s="63"/>
      <c r="BK181" s="63"/>
      <c r="BL181" s="63"/>
      <c r="BM181" s="63"/>
      <c r="BN181" s="63"/>
      <c r="BO181" s="63"/>
      <c r="BP181" s="63"/>
      <c r="BQ181" s="63"/>
      <c r="BR181" s="63"/>
    </row>
    <row r="182" spans="1:87" ht="16.5">
      <c r="A182" s="63"/>
      <c r="B182" s="63"/>
      <c r="C182" s="63"/>
      <c r="D182" s="63"/>
      <c r="E182" s="63"/>
      <c r="F182" s="63"/>
      <c r="G182" s="63"/>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s="63"/>
      <c r="AN182" s="63"/>
      <c r="AO182" s="63"/>
      <c r="AP182" s="63"/>
      <c r="AQ182" s="63"/>
      <c r="AR182" s="63"/>
      <c r="AS182" s="63"/>
      <c r="AT182" s="63"/>
      <c r="AU182" s="63"/>
      <c r="AV182" s="63"/>
      <c r="AW182" s="63"/>
      <c r="AX182" s="63"/>
      <c r="AY182" s="63"/>
      <c r="AZ182" s="63"/>
      <c r="BA182" s="63"/>
      <c r="BB182" s="63"/>
      <c r="BC182" s="63"/>
      <c r="BD182" s="63"/>
      <c r="BE182" s="63"/>
      <c r="BF182" s="63"/>
      <c r="BG182" s="63"/>
      <c r="BH182" s="63"/>
      <c r="BI182" s="63"/>
      <c r="BJ182" s="63"/>
      <c r="BK182" s="63"/>
      <c r="BL182" s="63"/>
      <c r="BM182" s="63"/>
      <c r="BN182" s="63"/>
      <c r="BO182" s="63"/>
      <c r="BP182" s="63"/>
      <c r="BQ182" s="63"/>
      <c r="BR182" s="63"/>
    </row>
    <row r="183" spans="1:87" ht="16.5">
      <c r="A183" s="63"/>
      <c r="B183" s="63"/>
      <c r="C183" s="63"/>
      <c r="D183" s="63"/>
      <c r="E183" s="63"/>
      <c r="F183" s="63"/>
      <c r="G183" s="63"/>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c r="AE183" s="63"/>
      <c r="AF183" s="63"/>
      <c r="AG183" s="63"/>
      <c r="AH183" s="63"/>
      <c r="AI183" s="63"/>
      <c r="AJ183" s="63"/>
      <c r="AK183" s="63"/>
      <c r="AL183" s="63"/>
      <c r="AM183" s="63"/>
      <c r="AN183" s="63"/>
      <c r="AO183" s="63"/>
      <c r="AP183" s="63"/>
      <c r="AQ183" s="63"/>
      <c r="AR183" s="63"/>
      <c r="AS183" s="63"/>
      <c r="AT183" s="63"/>
      <c r="AU183" s="63"/>
      <c r="AV183" s="63"/>
      <c r="AW183" s="63"/>
      <c r="AX183" s="63"/>
      <c r="AY183" s="63"/>
      <c r="AZ183" s="63"/>
      <c r="BA183" s="63"/>
      <c r="BB183" s="63"/>
      <c r="BC183" s="63"/>
      <c r="BD183" s="63"/>
      <c r="BE183" s="63"/>
      <c r="BF183" s="63"/>
      <c r="BG183" s="63"/>
      <c r="BH183" s="63"/>
      <c r="BI183" s="63"/>
      <c r="BJ183" s="63"/>
      <c r="BK183" s="63"/>
      <c r="BL183" s="63"/>
      <c r="BM183" s="63"/>
      <c r="BN183" s="63"/>
      <c r="BO183" s="63"/>
      <c r="BP183" s="63"/>
      <c r="BQ183" s="63"/>
      <c r="BR183" s="63"/>
    </row>
    <row r="184" spans="1:87" ht="16.5">
      <c r="A184" s="63"/>
      <c r="B184" s="63"/>
      <c r="C184" s="63"/>
      <c r="D184" s="63"/>
      <c r="E184" s="63"/>
      <c r="F184" s="63"/>
      <c r="G184" s="63"/>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c r="AE184" s="63"/>
      <c r="AF184" s="63"/>
      <c r="AG184" s="63"/>
      <c r="AH184" s="63"/>
      <c r="AI184" s="63"/>
      <c r="AJ184" s="63"/>
      <c r="AK184" s="63"/>
      <c r="AL184" s="63"/>
      <c r="AM184" s="63"/>
      <c r="AN184" s="63"/>
      <c r="AO184" s="63"/>
      <c r="AP184" s="63"/>
      <c r="AQ184" s="63"/>
      <c r="AR184" s="63"/>
      <c r="AS184" s="63"/>
      <c r="AT184" s="63"/>
      <c r="AU184" s="63"/>
      <c r="AV184" s="63"/>
      <c r="AW184" s="63"/>
      <c r="AX184" s="63"/>
      <c r="AY184" s="63"/>
      <c r="AZ184" s="63"/>
      <c r="BA184" s="63"/>
      <c r="BB184" s="63"/>
      <c r="BC184" s="63"/>
      <c r="BD184" s="63"/>
      <c r="BE184" s="63"/>
      <c r="BF184" s="63"/>
      <c r="BG184" s="63"/>
      <c r="BH184" s="63"/>
      <c r="BI184" s="63"/>
      <c r="BJ184" s="63"/>
      <c r="BK184" s="63"/>
      <c r="BL184" s="63"/>
      <c r="BM184" s="63"/>
      <c r="BN184" s="63"/>
      <c r="BO184" s="63"/>
      <c r="BP184" s="63"/>
      <c r="BQ184" s="63"/>
      <c r="BR184" s="63"/>
    </row>
    <row r="185" spans="1:87" ht="16.5">
      <c r="A185" s="63"/>
      <c r="B185" s="63"/>
      <c r="C185" s="63"/>
      <c r="D185" s="63"/>
      <c r="E185" s="63"/>
      <c r="F185" s="63"/>
      <c r="G185" s="63"/>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c r="AM185" s="63"/>
      <c r="AN185" s="63"/>
      <c r="AO185" s="63"/>
      <c r="AP185" s="63"/>
      <c r="AQ185" s="63"/>
      <c r="AR185" s="63"/>
      <c r="AS185" s="63"/>
      <c r="AT185" s="63"/>
      <c r="AU185" s="63"/>
      <c r="AV185" s="63"/>
      <c r="AW185" s="63"/>
      <c r="AX185" s="63"/>
      <c r="AY185" s="63"/>
      <c r="AZ185" s="63"/>
      <c r="BA185" s="63"/>
      <c r="BB185" s="63"/>
      <c r="BC185" s="63"/>
      <c r="BD185" s="63"/>
      <c r="BE185" s="63"/>
      <c r="BF185" s="63"/>
      <c r="BG185" s="63"/>
      <c r="BH185" s="63"/>
      <c r="BI185" s="63"/>
      <c r="BJ185" s="63"/>
      <c r="BK185" s="63"/>
      <c r="BL185" s="63"/>
      <c r="BM185" s="63"/>
      <c r="BN185" s="63"/>
      <c r="BO185" s="63"/>
      <c r="BP185" s="63"/>
      <c r="BQ185" s="63"/>
      <c r="BR185" s="63"/>
    </row>
    <row r="186" spans="1:87" ht="16.5">
      <c r="A186" s="63"/>
      <c r="B186" s="63"/>
      <c r="C186" s="63"/>
      <c r="D186" s="63"/>
      <c r="E186" s="63"/>
      <c r="F186" s="63"/>
      <c r="G186" s="63"/>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c r="AR186" s="63"/>
      <c r="AS186" s="63"/>
      <c r="AT186" s="63"/>
      <c r="AU186" s="63"/>
      <c r="AV186" s="63"/>
      <c r="AW186" s="63"/>
      <c r="AX186" s="63"/>
      <c r="AY186" s="63"/>
      <c r="AZ186" s="63"/>
      <c r="BA186" s="63"/>
      <c r="BB186" s="63"/>
      <c r="BC186" s="63"/>
      <c r="BD186" s="63"/>
      <c r="BE186" s="63"/>
      <c r="BF186" s="63"/>
      <c r="BG186" s="63"/>
      <c r="BH186" s="63"/>
      <c r="BI186" s="63"/>
      <c r="BJ186" s="63"/>
      <c r="BK186" s="63"/>
      <c r="BL186" s="63"/>
      <c r="BM186" s="63"/>
      <c r="BN186" s="63"/>
      <c r="BO186" s="63"/>
      <c r="BP186" s="63"/>
      <c r="BQ186" s="63"/>
      <c r="BR186" s="63"/>
    </row>
    <row r="187" spans="1:87" ht="16.5">
      <c r="A187" s="63"/>
      <c r="B187" s="63"/>
      <c r="C187" s="63"/>
      <c r="D187" s="63"/>
      <c r="E187" s="63"/>
      <c r="F187" s="63"/>
      <c r="G187" s="63"/>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c r="AE187" s="63"/>
      <c r="AF187" s="63"/>
      <c r="AG187" s="63"/>
      <c r="AH187" s="63"/>
      <c r="AI187" s="63"/>
      <c r="AJ187" s="63"/>
      <c r="AK187" s="63"/>
      <c r="AL187" s="63"/>
      <c r="AM187" s="63"/>
      <c r="AN187" s="63"/>
      <c r="AO187" s="63"/>
      <c r="AP187" s="63"/>
      <c r="AQ187" s="63"/>
      <c r="AR187" s="63"/>
      <c r="AS187" s="63"/>
      <c r="AT187" s="63"/>
      <c r="AU187" s="63"/>
      <c r="AV187" s="63"/>
      <c r="AW187" s="63"/>
      <c r="AX187" s="63"/>
      <c r="AY187" s="63"/>
      <c r="AZ187" s="63"/>
      <c r="BA187" s="63"/>
      <c r="BB187" s="63"/>
      <c r="BC187" s="63"/>
      <c r="BD187" s="63"/>
      <c r="BE187" s="63"/>
      <c r="BF187" s="63"/>
      <c r="BG187" s="63"/>
      <c r="BH187" s="63"/>
      <c r="BI187" s="63"/>
      <c r="BJ187" s="63"/>
      <c r="BK187" s="63"/>
      <c r="BL187" s="63"/>
      <c r="BM187" s="63"/>
      <c r="BN187" s="63"/>
      <c r="BO187" s="63"/>
      <c r="BP187" s="63"/>
      <c r="BQ187" s="63"/>
      <c r="BR187" s="63"/>
    </row>
    <row r="188" spans="1:87" ht="16.5">
      <c r="A188" s="63"/>
      <c r="B188" s="63"/>
      <c r="C188" s="63"/>
      <c r="D188" s="63"/>
      <c r="E188" s="63"/>
      <c r="F188" s="63"/>
      <c r="G188" s="63"/>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c r="AE188" s="63"/>
      <c r="AF188" s="63"/>
      <c r="AG188" s="63"/>
      <c r="AH188" s="63"/>
      <c r="AI188" s="63"/>
      <c r="AJ188" s="63"/>
      <c r="AK188" s="63"/>
      <c r="AL188" s="63"/>
      <c r="AM188" s="63"/>
      <c r="AN188" s="63"/>
      <c r="AO188" s="63"/>
      <c r="AP188" s="63"/>
      <c r="AQ188" s="63"/>
      <c r="AR188" s="63"/>
      <c r="AS188" s="63"/>
      <c r="AT188" s="63"/>
      <c r="AU188" s="63"/>
      <c r="AV188" s="63"/>
      <c r="AW188" s="63"/>
      <c r="AX188" s="63"/>
      <c r="AY188" s="63"/>
      <c r="AZ188" s="63"/>
      <c r="BA188" s="63"/>
      <c r="BB188" s="63"/>
      <c r="BC188" s="63"/>
      <c r="BD188" s="63"/>
      <c r="BE188" s="63"/>
      <c r="BF188" s="63"/>
      <c r="BG188" s="63"/>
      <c r="BH188" s="63"/>
      <c r="BI188" s="63"/>
      <c r="BJ188" s="63"/>
      <c r="BK188" s="63"/>
      <c r="BL188" s="63"/>
      <c r="BM188" s="63"/>
      <c r="BN188" s="63"/>
      <c r="BO188" s="63"/>
      <c r="BP188" s="63"/>
      <c r="BQ188" s="63"/>
      <c r="BR188" s="63"/>
    </row>
    <row r="189" spans="1:87" ht="16.5">
      <c r="A189" s="63"/>
      <c r="B189" s="63"/>
      <c r="C189" s="63"/>
      <c r="D189" s="63"/>
      <c r="E189" s="63"/>
      <c r="F189" s="63"/>
      <c r="G189" s="63"/>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c r="AE189" s="63"/>
      <c r="AF189" s="63"/>
      <c r="AG189" s="63"/>
      <c r="AH189" s="63"/>
      <c r="AI189" s="63"/>
      <c r="AJ189" s="63"/>
      <c r="AK189" s="63"/>
      <c r="AL189" s="63"/>
      <c r="AM189" s="63"/>
      <c r="AN189" s="63"/>
      <c r="AO189" s="63"/>
      <c r="AP189" s="63"/>
      <c r="AQ189" s="63"/>
      <c r="AR189" s="63"/>
      <c r="AS189" s="63"/>
      <c r="AT189" s="63"/>
      <c r="AU189" s="63"/>
      <c r="AV189" s="63"/>
      <c r="AW189" s="63"/>
      <c r="AX189" s="63"/>
      <c r="AY189" s="63"/>
      <c r="AZ189" s="63"/>
      <c r="BA189" s="63"/>
      <c r="BB189" s="63"/>
      <c r="BC189" s="63"/>
      <c r="BD189" s="63"/>
      <c r="BE189" s="63"/>
      <c r="BF189" s="63"/>
      <c r="BG189" s="63"/>
      <c r="BH189" s="63"/>
      <c r="BI189" s="63"/>
      <c r="BJ189" s="63"/>
      <c r="BK189" s="63"/>
      <c r="BL189" s="63"/>
      <c r="BM189" s="63"/>
      <c r="BN189" s="63"/>
      <c r="BO189" s="63"/>
      <c r="BP189" s="63"/>
      <c r="BQ189" s="63"/>
      <c r="BR189" s="63"/>
    </row>
    <row r="190" spans="1:87" ht="16.5">
      <c r="A190" s="63"/>
      <c r="B190" s="63"/>
      <c r="C190" s="63"/>
      <c r="D190" s="63"/>
      <c r="E190" s="63"/>
      <c r="F190" s="63"/>
      <c r="G190" s="63"/>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c r="AE190" s="63"/>
      <c r="AF190" s="63"/>
      <c r="AG190" s="63"/>
      <c r="AH190" s="63"/>
      <c r="AI190" s="63"/>
      <c r="AJ190" s="63"/>
      <c r="AK190" s="63"/>
      <c r="AL190" s="63"/>
      <c r="AM190" s="63"/>
      <c r="AN190" s="63"/>
      <c r="AO190" s="63"/>
      <c r="AP190" s="63"/>
      <c r="AQ190" s="63"/>
      <c r="AR190" s="63"/>
      <c r="AS190" s="63"/>
      <c r="AT190" s="63"/>
      <c r="AU190" s="63"/>
      <c r="AV190" s="63"/>
      <c r="AW190" s="63"/>
      <c r="AX190" s="63"/>
      <c r="AY190" s="63"/>
      <c r="AZ190" s="63"/>
      <c r="BA190" s="63"/>
      <c r="BB190" s="63"/>
      <c r="BC190" s="63"/>
      <c r="BD190" s="63"/>
      <c r="BE190" s="63"/>
      <c r="BF190" s="63"/>
      <c r="BG190" s="63"/>
      <c r="BH190" s="63"/>
      <c r="BI190" s="63"/>
      <c r="BJ190" s="63"/>
      <c r="BK190" s="63"/>
      <c r="BL190" s="63"/>
      <c r="BM190" s="63"/>
      <c r="BN190" s="63"/>
      <c r="BO190" s="63"/>
      <c r="BP190" s="63"/>
      <c r="BQ190" s="63"/>
      <c r="BR190" s="63"/>
    </row>
    <row r="191" spans="1:87" ht="16.5">
      <c r="A191" s="63"/>
      <c r="B191" s="63"/>
      <c r="C191" s="63"/>
      <c r="D191" s="63"/>
      <c r="E191" s="63"/>
      <c r="F191" s="63"/>
      <c r="G191" s="63"/>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c r="AE191" s="63"/>
      <c r="AF191" s="63"/>
      <c r="AG191" s="63"/>
      <c r="AH191" s="63"/>
      <c r="AI191" s="63"/>
      <c r="AJ191" s="63"/>
      <c r="AK191" s="63"/>
      <c r="AL191" s="63"/>
      <c r="AM191" s="63"/>
      <c r="AN191" s="63"/>
      <c r="AO191" s="63"/>
      <c r="AP191" s="63"/>
      <c r="AQ191" s="63"/>
      <c r="AR191" s="63"/>
      <c r="AS191" s="63"/>
      <c r="AT191" s="63"/>
      <c r="AU191" s="63"/>
      <c r="AV191" s="63"/>
      <c r="AW191" s="63"/>
      <c r="AX191" s="63"/>
      <c r="AY191" s="63"/>
      <c r="AZ191" s="63"/>
      <c r="BA191" s="63"/>
      <c r="BB191" s="63"/>
      <c r="BC191" s="63"/>
      <c r="BD191" s="63"/>
      <c r="BE191" s="63"/>
      <c r="BF191" s="63"/>
      <c r="BG191" s="63"/>
      <c r="BH191" s="63"/>
      <c r="BI191" s="63"/>
      <c r="BJ191" s="63"/>
      <c r="BK191" s="63"/>
      <c r="BL191" s="63"/>
      <c r="BM191" s="63"/>
      <c r="BN191" s="63"/>
      <c r="BO191" s="63"/>
      <c r="BP191" s="63"/>
      <c r="BQ191" s="63"/>
      <c r="BR191" s="63"/>
    </row>
    <row r="192" spans="1:87" ht="16.5">
      <c r="A192" s="63"/>
      <c r="B192" s="63"/>
      <c r="C192" s="63"/>
      <c r="D192" s="63"/>
      <c r="E192" s="63"/>
      <c r="F192" s="63"/>
      <c r="G192" s="63"/>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c r="AE192" s="63"/>
      <c r="AF192" s="63"/>
      <c r="AG192" s="63"/>
      <c r="AH192" s="63"/>
      <c r="AI192" s="63"/>
      <c r="AJ192" s="63"/>
      <c r="AK192" s="63"/>
      <c r="AL192" s="63"/>
      <c r="AM192" s="63"/>
      <c r="AN192" s="63"/>
      <c r="AO192" s="63"/>
      <c r="AP192" s="63"/>
      <c r="AQ192" s="63"/>
      <c r="AR192" s="63"/>
      <c r="AS192" s="63"/>
      <c r="AT192" s="63"/>
      <c r="AU192" s="63"/>
      <c r="AV192" s="63"/>
      <c r="AW192" s="63"/>
      <c r="AX192" s="63"/>
      <c r="AY192" s="63"/>
      <c r="AZ192" s="63"/>
      <c r="BA192" s="63"/>
      <c r="BB192" s="63"/>
      <c r="BC192" s="63"/>
      <c r="BD192" s="63"/>
      <c r="BE192" s="63"/>
      <c r="BF192" s="63"/>
      <c r="BG192" s="63"/>
      <c r="BH192" s="63"/>
      <c r="BI192" s="63"/>
      <c r="BJ192" s="63"/>
      <c r="BK192" s="63"/>
      <c r="BL192" s="63"/>
      <c r="BM192" s="63"/>
      <c r="BN192" s="63"/>
      <c r="BO192" s="63"/>
      <c r="BP192" s="63"/>
      <c r="BQ192" s="63"/>
      <c r="BR192" s="63"/>
    </row>
    <row r="193" spans="1:70" ht="16.5">
      <c r="A193" s="63"/>
      <c r="B193" s="63"/>
      <c r="C193" s="63"/>
      <c r="D193" s="63"/>
      <c r="E193" s="63"/>
      <c r="F193" s="63"/>
      <c r="G193" s="63"/>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c r="AE193" s="63"/>
      <c r="AF193" s="63"/>
      <c r="AG193" s="63"/>
      <c r="AH193" s="63"/>
      <c r="AI193" s="63"/>
      <c r="AJ193" s="63"/>
      <c r="AK193" s="63"/>
      <c r="AL193" s="63"/>
      <c r="AM193" s="63"/>
      <c r="AN193" s="63"/>
      <c r="AO193" s="63"/>
      <c r="AP193" s="63"/>
      <c r="AQ193" s="63"/>
      <c r="AR193" s="63"/>
      <c r="AS193" s="63"/>
      <c r="AT193" s="63"/>
      <c r="AU193" s="63"/>
      <c r="AV193" s="63"/>
      <c r="AW193" s="63"/>
      <c r="AX193" s="63"/>
      <c r="AY193" s="63"/>
      <c r="AZ193" s="63"/>
      <c r="BA193" s="63"/>
      <c r="BB193" s="63"/>
      <c r="BC193" s="63"/>
      <c r="BD193" s="63"/>
      <c r="BE193" s="63"/>
      <c r="BF193" s="63"/>
      <c r="BG193" s="63"/>
      <c r="BH193" s="63"/>
      <c r="BI193" s="63"/>
      <c r="BJ193" s="63"/>
      <c r="BK193" s="63"/>
      <c r="BL193" s="63"/>
      <c r="BM193" s="63"/>
      <c r="BN193" s="63"/>
      <c r="BO193" s="63"/>
      <c r="BP193" s="63"/>
      <c r="BQ193" s="63"/>
      <c r="BR193" s="63"/>
    </row>
    <row r="194" spans="1:70" ht="16.5">
      <c r="A194" s="63"/>
      <c r="B194" s="63"/>
      <c r="C194" s="63"/>
      <c r="D194" s="63"/>
      <c r="E194" s="63"/>
      <c r="F194" s="63"/>
      <c r="G194" s="63"/>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c r="AE194" s="63"/>
      <c r="AF194" s="63"/>
      <c r="AG194" s="63"/>
      <c r="AH194" s="63"/>
      <c r="AI194" s="63"/>
      <c r="AJ194" s="63"/>
      <c r="AK194" s="63"/>
      <c r="AL194" s="63"/>
      <c r="AM194" s="63"/>
      <c r="AN194" s="63"/>
      <c r="AO194" s="63"/>
      <c r="AP194" s="63"/>
      <c r="AQ194" s="63"/>
      <c r="AR194" s="63"/>
      <c r="AS194" s="63"/>
      <c r="AT194" s="63"/>
      <c r="AU194" s="63"/>
      <c r="AV194" s="63"/>
      <c r="AW194" s="63"/>
      <c r="AX194" s="63"/>
      <c r="AY194" s="63"/>
      <c r="AZ194" s="63"/>
      <c r="BA194" s="63"/>
      <c r="BB194" s="63"/>
      <c r="BC194" s="63"/>
      <c r="BD194" s="63"/>
      <c r="BE194" s="63"/>
      <c r="BF194" s="63"/>
      <c r="BG194" s="63"/>
      <c r="BH194" s="63"/>
      <c r="BI194" s="63"/>
      <c r="BJ194" s="63"/>
      <c r="BK194" s="63"/>
      <c r="BL194" s="63"/>
      <c r="BM194" s="63"/>
      <c r="BN194" s="63"/>
      <c r="BO194" s="63"/>
      <c r="BP194" s="63"/>
      <c r="BQ194" s="63"/>
      <c r="BR194" s="63"/>
    </row>
    <row r="195" spans="1:70" ht="16.5">
      <c r="A195" s="63"/>
      <c r="B195" s="63"/>
      <c r="C195" s="63"/>
      <c r="D195" s="63"/>
      <c r="E195" s="63"/>
      <c r="F195" s="63"/>
      <c r="G195" s="63"/>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c r="AE195" s="63"/>
      <c r="AF195" s="63"/>
      <c r="AG195" s="63"/>
      <c r="AH195" s="63"/>
      <c r="AI195" s="63"/>
      <c r="AJ195" s="63"/>
      <c r="AK195" s="63"/>
      <c r="AL195" s="63"/>
      <c r="AM195" s="63"/>
      <c r="AN195" s="63"/>
      <c r="AO195" s="63"/>
      <c r="AP195" s="63"/>
      <c r="AQ195" s="63"/>
      <c r="AR195" s="63"/>
      <c r="AS195" s="63"/>
      <c r="AT195" s="63"/>
      <c r="AU195" s="63"/>
      <c r="AV195" s="63"/>
      <c r="AW195" s="63"/>
      <c r="AX195" s="63"/>
      <c r="AY195" s="63"/>
      <c r="AZ195" s="63"/>
      <c r="BA195" s="63"/>
      <c r="BB195" s="63"/>
      <c r="BC195" s="63"/>
      <c r="BD195" s="63"/>
      <c r="BE195" s="63"/>
      <c r="BF195" s="63"/>
      <c r="BG195" s="63"/>
      <c r="BH195" s="63"/>
      <c r="BI195" s="63"/>
      <c r="BJ195" s="63"/>
      <c r="BK195" s="63"/>
      <c r="BL195" s="63"/>
      <c r="BM195" s="63"/>
      <c r="BN195" s="63"/>
      <c r="BO195" s="63"/>
      <c r="BP195" s="63"/>
      <c r="BQ195" s="63"/>
      <c r="BR195" s="63"/>
    </row>
    <row r="196" spans="1:70" ht="16.5">
      <c r="A196" s="63"/>
      <c r="B196" s="63"/>
      <c r="C196" s="63"/>
      <c r="D196" s="63"/>
      <c r="E196" s="63"/>
      <c r="F196" s="63"/>
      <c r="G196" s="63"/>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c r="AE196" s="63"/>
      <c r="AF196" s="63"/>
      <c r="AG196" s="63"/>
      <c r="AH196" s="63"/>
      <c r="AI196" s="63"/>
      <c r="AJ196" s="63"/>
      <c r="AK196" s="63"/>
      <c r="AL196" s="63"/>
      <c r="AM196" s="63"/>
      <c r="AN196" s="63"/>
      <c r="AO196" s="63"/>
      <c r="AP196" s="63"/>
      <c r="AQ196" s="63"/>
      <c r="AR196" s="63"/>
      <c r="AS196" s="63"/>
      <c r="AT196" s="63"/>
      <c r="AU196" s="63"/>
      <c r="AV196" s="63"/>
      <c r="AW196" s="63"/>
      <c r="AX196" s="63"/>
      <c r="AY196" s="63"/>
      <c r="AZ196" s="63"/>
      <c r="BA196" s="63"/>
      <c r="BB196" s="63"/>
      <c r="BC196" s="63"/>
      <c r="BD196" s="63"/>
      <c r="BE196" s="63"/>
      <c r="BF196" s="63"/>
      <c r="BG196" s="63"/>
      <c r="BH196" s="63"/>
      <c r="BI196" s="63"/>
      <c r="BJ196" s="63"/>
      <c r="BK196" s="63"/>
      <c r="BL196" s="63"/>
      <c r="BM196" s="63"/>
      <c r="BN196" s="63"/>
      <c r="BO196" s="63"/>
      <c r="BP196" s="63"/>
      <c r="BQ196" s="63"/>
      <c r="BR196" s="63"/>
    </row>
    <row r="197" spans="1:70" ht="16.5">
      <c r="A197" s="63"/>
      <c r="B197" s="63"/>
      <c r="C197" s="63"/>
      <c r="D197" s="63"/>
      <c r="E197" s="63"/>
      <c r="F197" s="63"/>
      <c r="G197" s="63"/>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c r="AE197" s="63"/>
      <c r="AF197" s="63"/>
      <c r="AG197" s="63"/>
      <c r="AH197" s="63"/>
      <c r="AI197" s="63"/>
      <c r="AJ197" s="63"/>
      <c r="AK197" s="63"/>
      <c r="AL197" s="63"/>
      <c r="AM197" s="63"/>
      <c r="AN197" s="63"/>
      <c r="AO197" s="63"/>
      <c r="AP197" s="63"/>
      <c r="AQ197" s="63"/>
      <c r="AR197" s="63"/>
      <c r="AS197" s="63"/>
      <c r="AT197" s="63"/>
      <c r="AU197" s="63"/>
      <c r="AV197" s="63"/>
      <c r="AW197" s="63"/>
      <c r="AX197" s="63"/>
      <c r="AY197" s="63"/>
      <c r="AZ197" s="63"/>
      <c r="BA197" s="63"/>
      <c r="BB197" s="63"/>
      <c r="BC197" s="63"/>
      <c r="BD197" s="63"/>
      <c r="BE197" s="63"/>
      <c r="BF197" s="63"/>
      <c r="BG197" s="63"/>
      <c r="BH197" s="63"/>
      <c r="BI197" s="63"/>
      <c r="BJ197" s="63"/>
      <c r="BK197" s="63"/>
      <c r="BL197" s="63"/>
      <c r="BM197" s="63"/>
      <c r="BN197" s="63"/>
      <c r="BO197" s="63"/>
      <c r="BP197" s="63"/>
      <c r="BQ197" s="63"/>
      <c r="BR197" s="63"/>
    </row>
    <row r="198" spans="1:70" ht="16.5">
      <c r="A198" s="63"/>
      <c r="B198" s="63"/>
      <c r="C198" s="63"/>
      <c r="D198" s="63"/>
      <c r="E198" s="63"/>
      <c r="F198" s="63"/>
      <c r="G198" s="63"/>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c r="AE198" s="63"/>
      <c r="AF198" s="63"/>
      <c r="AG198" s="63"/>
      <c r="AH198" s="63"/>
      <c r="AI198" s="63"/>
      <c r="AJ198" s="63"/>
      <c r="AK198" s="63"/>
      <c r="AL198" s="63"/>
      <c r="AM198" s="63"/>
      <c r="AN198" s="63"/>
      <c r="AO198" s="63"/>
      <c r="AP198" s="63"/>
      <c r="AQ198" s="63"/>
      <c r="AR198" s="63"/>
      <c r="AS198" s="63"/>
      <c r="AT198" s="63"/>
      <c r="AU198" s="63"/>
      <c r="AV198" s="63"/>
      <c r="AW198" s="63"/>
      <c r="AX198" s="63"/>
      <c r="AY198" s="63"/>
      <c r="AZ198" s="63"/>
      <c r="BA198" s="63"/>
      <c r="BB198" s="63"/>
      <c r="BC198" s="63"/>
      <c r="BD198" s="63"/>
      <c r="BE198" s="63"/>
      <c r="BF198" s="63"/>
      <c r="BG198" s="63"/>
      <c r="BH198" s="63"/>
      <c r="BI198" s="63"/>
      <c r="BJ198" s="63"/>
      <c r="BK198" s="63"/>
      <c r="BL198" s="63"/>
      <c r="BM198" s="63"/>
      <c r="BN198" s="63"/>
      <c r="BO198" s="63"/>
      <c r="BP198" s="63"/>
      <c r="BQ198" s="63"/>
      <c r="BR198" s="63"/>
    </row>
    <row r="199" spans="1:70" ht="16.5">
      <c r="A199" s="63"/>
      <c r="B199" s="63"/>
      <c r="C199" s="63"/>
      <c r="D199" s="63"/>
      <c r="E199" s="63"/>
      <c r="F199" s="63"/>
      <c r="G199" s="63"/>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c r="AE199" s="63"/>
      <c r="AF199" s="63"/>
      <c r="AG199" s="63"/>
      <c r="AH199" s="63"/>
      <c r="AI199" s="63"/>
      <c r="AJ199" s="63"/>
      <c r="AK199" s="63"/>
      <c r="AL199" s="63"/>
      <c r="AM199" s="63"/>
      <c r="AN199" s="63"/>
      <c r="AO199" s="63"/>
      <c r="AP199" s="63"/>
      <c r="AQ199" s="63"/>
      <c r="AR199" s="63"/>
      <c r="AS199" s="63"/>
      <c r="AT199" s="63"/>
      <c r="AU199" s="63"/>
      <c r="AV199" s="63"/>
      <c r="AW199" s="63"/>
      <c r="AX199" s="63"/>
      <c r="AY199" s="63"/>
      <c r="AZ199" s="63"/>
      <c r="BA199" s="63"/>
      <c r="BB199" s="63"/>
      <c r="BC199" s="63"/>
      <c r="BD199" s="63"/>
      <c r="BE199" s="63"/>
      <c r="BF199" s="63"/>
      <c r="BG199" s="63"/>
      <c r="BH199" s="63"/>
      <c r="BI199" s="63"/>
      <c r="BJ199" s="63"/>
      <c r="BK199" s="63"/>
      <c r="BL199" s="63"/>
      <c r="BM199" s="63"/>
      <c r="BN199" s="63"/>
      <c r="BO199" s="63"/>
      <c r="BP199" s="63"/>
      <c r="BQ199" s="63"/>
      <c r="BR199" s="63"/>
    </row>
    <row r="200" spans="1:70" ht="16.5">
      <c r="A200" s="63"/>
      <c r="B200" s="63"/>
      <c r="C200" s="63"/>
      <c r="D200" s="63"/>
      <c r="E200" s="63"/>
      <c r="F200" s="63"/>
      <c r="G200" s="63"/>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c r="AE200" s="63"/>
      <c r="AF200" s="63"/>
      <c r="AG200" s="63"/>
      <c r="AH200" s="63"/>
      <c r="AI200" s="63"/>
      <c r="AJ200" s="63"/>
      <c r="AK200" s="63"/>
      <c r="AL200" s="63"/>
      <c r="AM200" s="63"/>
      <c r="AN200" s="63"/>
      <c r="AO200" s="63"/>
      <c r="AP200" s="63"/>
      <c r="AQ200" s="63"/>
      <c r="AR200" s="63"/>
      <c r="AS200" s="63"/>
      <c r="AT200" s="63"/>
      <c r="AU200" s="63"/>
      <c r="AV200" s="63"/>
      <c r="AW200" s="63"/>
      <c r="AX200" s="63"/>
      <c r="AY200" s="63"/>
      <c r="AZ200" s="63"/>
      <c r="BA200" s="63"/>
      <c r="BB200" s="63"/>
      <c r="BC200" s="63"/>
      <c r="BD200" s="63"/>
      <c r="BE200" s="63"/>
      <c r="BF200" s="63"/>
      <c r="BG200" s="63"/>
      <c r="BH200" s="63"/>
      <c r="BI200" s="63"/>
      <c r="BJ200" s="63"/>
      <c r="BK200" s="63"/>
      <c r="BL200" s="63"/>
      <c r="BM200" s="63"/>
      <c r="BN200" s="63"/>
      <c r="BO200" s="63"/>
      <c r="BP200" s="63"/>
      <c r="BQ200" s="63"/>
      <c r="BR200" s="63"/>
    </row>
    <row r="201" spans="1:70" ht="16.5">
      <c r="A201" s="63"/>
      <c r="B201" s="63"/>
      <c r="C201" s="63"/>
      <c r="D201" s="63"/>
      <c r="E201" s="63"/>
      <c r="F201" s="63"/>
      <c r="G201" s="63"/>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c r="AE201" s="63"/>
      <c r="AF201" s="63"/>
      <c r="AG201" s="63"/>
      <c r="AH201" s="63"/>
      <c r="AI201" s="63"/>
      <c r="AJ201" s="63"/>
      <c r="AK201" s="63"/>
      <c r="AL201" s="63"/>
      <c r="AM201" s="63"/>
      <c r="AN201" s="63"/>
      <c r="AO201" s="63"/>
      <c r="AP201" s="63"/>
      <c r="AQ201" s="63"/>
      <c r="AR201" s="63"/>
      <c r="AS201" s="63"/>
      <c r="AT201" s="63"/>
      <c r="AU201" s="63"/>
      <c r="AV201" s="63"/>
      <c r="AW201" s="63"/>
      <c r="AX201" s="63"/>
      <c r="AY201" s="63"/>
      <c r="AZ201" s="63"/>
      <c r="BA201" s="63"/>
      <c r="BB201" s="63"/>
      <c r="BC201" s="63"/>
      <c r="BD201" s="63"/>
      <c r="BE201" s="63"/>
      <c r="BF201" s="63"/>
      <c r="BG201" s="63"/>
      <c r="BH201" s="63"/>
      <c r="BI201" s="63"/>
      <c r="BJ201" s="63"/>
      <c r="BK201" s="63"/>
      <c r="BL201" s="63"/>
      <c r="BM201" s="63"/>
      <c r="BN201" s="63"/>
      <c r="BO201" s="63"/>
      <c r="BP201" s="63"/>
      <c r="BQ201" s="63"/>
      <c r="BR201" s="63"/>
    </row>
    <row r="202" spans="1:70" ht="16.5">
      <c r="A202" s="63"/>
      <c r="B202" s="63"/>
      <c r="C202" s="63"/>
      <c r="D202" s="63"/>
      <c r="E202" s="63"/>
      <c r="F202" s="63"/>
      <c r="G202" s="63"/>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c r="AE202" s="63"/>
      <c r="AF202" s="63"/>
      <c r="AG202" s="63"/>
      <c r="AH202" s="63"/>
      <c r="AI202" s="63"/>
      <c r="AJ202" s="63"/>
      <c r="AK202" s="63"/>
      <c r="AL202" s="63"/>
      <c r="AM202" s="63"/>
      <c r="AN202" s="63"/>
      <c r="AO202" s="63"/>
      <c r="AP202" s="63"/>
      <c r="AQ202" s="63"/>
      <c r="AR202" s="63"/>
      <c r="AS202" s="63"/>
      <c r="AT202" s="63"/>
      <c r="AU202" s="63"/>
      <c r="AV202" s="63"/>
      <c r="AW202" s="63"/>
      <c r="AX202" s="63"/>
      <c r="AY202" s="63"/>
      <c r="AZ202" s="63"/>
      <c r="BA202" s="63"/>
      <c r="BB202" s="63"/>
      <c r="BC202" s="63"/>
      <c r="BD202" s="63"/>
      <c r="BE202" s="63"/>
      <c r="BF202" s="63"/>
      <c r="BG202" s="63"/>
      <c r="BH202" s="63"/>
      <c r="BI202" s="63"/>
      <c r="BJ202" s="63"/>
      <c r="BK202" s="63"/>
      <c r="BL202" s="63"/>
      <c r="BM202" s="63"/>
      <c r="BN202" s="63"/>
      <c r="BO202" s="63"/>
      <c r="BP202" s="63"/>
      <c r="BQ202" s="63"/>
      <c r="BR202" s="63"/>
    </row>
    <row r="203" spans="1:70" ht="16.5">
      <c r="A203" s="63"/>
      <c r="B203" s="63"/>
      <c r="C203" s="63"/>
      <c r="D203" s="63"/>
      <c r="E203" s="63"/>
      <c r="F203" s="63"/>
      <c r="G203" s="63"/>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c r="AE203" s="63"/>
      <c r="AF203" s="63"/>
      <c r="AG203" s="63"/>
      <c r="AH203" s="63"/>
      <c r="AI203" s="63"/>
      <c r="AJ203" s="63"/>
      <c r="AK203" s="63"/>
      <c r="AL203" s="63"/>
      <c r="AM203" s="63"/>
      <c r="AN203" s="63"/>
      <c r="AO203" s="63"/>
      <c r="AP203" s="63"/>
      <c r="AQ203" s="63"/>
      <c r="AR203" s="63"/>
      <c r="AS203" s="63"/>
      <c r="AT203" s="63"/>
      <c r="AU203" s="63"/>
      <c r="AV203" s="63"/>
      <c r="AW203" s="63"/>
      <c r="AX203" s="63"/>
      <c r="AY203" s="63"/>
      <c r="AZ203" s="63"/>
      <c r="BA203" s="63"/>
      <c r="BB203" s="63"/>
      <c r="BC203" s="63"/>
      <c r="BD203" s="63"/>
      <c r="BE203" s="63"/>
      <c r="BF203" s="63"/>
      <c r="BG203" s="63"/>
      <c r="BH203" s="63"/>
      <c r="BI203" s="63"/>
      <c r="BJ203" s="63"/>
      <c r="BK203" s="63"/>
      <c r="BL203" s="63"/>
      <c r="BM203" s="63"/>
      <c r="BN203" s="63"/>
      <c r="BO203" s="63"/>
      <c r="BP203" s="63"/>
      <c r="BQ203" s="63"/>
      <c r="BR203" s="63"/>
    </row>
    <row r="204" spans="1:70" ht="16.5">
      <c r="A204" s="63"/>
      <c r="B204" s="63"/>
      <c r="C204" s="63"/>
      <c r="D204" s="63"/>
      <c r="E204" s="63"/>
      <c r="F204" s="63"/>
      <c r="G204" s="63"/>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c r="AE204" s="63"/>
      <c r="AF204" s="63"/>
      <c r="AG204" s="63"/>
      <c r="AH204" s="63"/>
      <c r="AI204" s="63"/>
      <c r="AJ204" s="63"/>
      <c r="AK204" s="63"/>
      <c r="AL204" s="63"/>
      <c r="AM204" s="63"/>
      <c r="AN204" s="63"/>
      <c r="AO204" s="63"/>
      <c r="AP204" s="63"/>
      <c r="AQ204" s="63"/>
      <c r="AR204" s="63"/>
      <c r="AS204" s="63"/>
      <c r="AT204" s="63"/>
      <c r="AU204" s="63"/>
      <c r="AV204" s="63"/>
      <c r="AW204" s="63"/>
      <c r="AX204" s="63"/>
      <c r="AY204" s="63"/>
      <c r="AZ204" s="63"/>
      <c r="BA204" s="63"/>
      <c r="BB204" s="63"/>
      <c r="BC204" s="63"/>
      <c r="BD204" s="63"/>
      <c r="BE204" s="63"/>
      <c r="BF204" s="63"/>
      <c r="BG204" s="63"/>
      <c r="BH204" s="63"/>
      <c r="BI204" s="63"/>
      <c r="BJ204" s="63"/>
      <c r="BK204" s="63"/>
      <c r="BL204" s="63"/>
      <c r="BM204" s="63"/>
      <c r="BN204" s="63"/>
      <c r="BO204" s="63"/>
      <c r="BP204" s="63"/>
      <c r="BQ204" s="63"/>
      <c r="BR204" s="63"/>
    </row>
    <row r="205" spans="1:70" ht="16.5">
      <c r="A205" s="63"/>
      <c r="B205" s="63"/>
      <c r="C205" s="63"/>
      <c r="D205" s="63"/>
      <c r="E205" s="63"/>
      <c r="F205" s="63"/>
      <c r="G205" s="63"/>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c r="AE205" s="63"/>
      <c r="AF205" s="63"/>
      <c r="AG205" s="63"/>
      <c r="AH205" s="63"/>
      <c r="AI205" s="63"/>
      <c r="AJ205" s="63"/>
      <c r="AK205" s="63"/>
      <c r="AL205" s="63"/>
      <c r="AM205" s="63"/>
      <c r="AN205" s="63"/>
      <c r="AO205" s="63"/>
      <c r="AP205" s="63"/>
      <c r="AQ205" s="63"/>
      <c r="AR205" s="63"/>
      <c r="AS205" s="63"/>
      <c r="AT205" s="63"/>
      <c r="AU205" s="63"/>
      <c r="AV205" s="63"/>
      <c r="AW205" s="63"/>
      <c r="AX205" s="63"/>
      <c r="AY205" s="63"/>
      <c r="AZ205" s="63"/>
      <c r="BA205" s="63"/>
      <c r="BB205" s="63"/>
      <c r="BC205" s="63"/>
      <c r="BD205" s="63"/>
      <c r="BE205" s="63"/>
      <c r="BF205" s="63"/>
      <c r="BG205" s="63"/>
      <c r="BH205" s="63"/>
      <c r="BI205" s="63"/>
      <c r="BJ205" s="63"/>
      <c r="BK205" s="63"/>
      <c r="BL205" s="63"/>
      <c r="BM205" s="63"/>
      <c r="BN205" s="63"/>
      <c r="BO205" s="63"/>
      <c r="BP205" s="63"/>
      <c r="BQ205" s="63"/>
      <c r="BR205" s="63"/>
    </row>
    <row r="206" spans="1:70" ht="16.5">
      <c r="A206" s="63"/>
      <c r="B206" s="63"/>
      <c r="C206" s="63"/>
      <c r="D206" s="63"/>
      <c r="E206" s="63"/>
      <c r="F206" s="63"/>
      <c r="G206" s="63"/>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c r="AE206" s="63"/>
      <c r="AF206" s="63"/>
      <c r="AG206" s="63"/>
      <c r="AH206" s="63"/>
      <c r="AI206" s="63"/>
      <c r="AJ206" s="63"/>
      <c r="AK206" s="63"/>
      <c r="AL206" s="63"/>
      <c r="AM206" s="63"/>
      <c r="AN206" s="63"/>
      <c r="AO206" s="63"/>
      <c r="AP206" s="63"/>
      <c r="AQ206" s="63"/>
      <c r="AR206" s="63"/>
      <c r="AS206" s="63"/>
      <c r="AT206" s="63"/>
      <c r="AU206" s="63"/>
      <c r="AV206" s="63"/>
      <c r="AW206" s="63"/>
      <c r="AX206" s="63"/>
      <c r="AY206" s="63"/>
      <c r="AZ206" s="63"/>
      <c r="BA206" s="63"/>
      <c r="BB206" s="63"/>
      <c r="BC206" s="63"/>
      <c r="BD206" s="63"/>
      <c r="BE206" s="63"/>
      <c r="BF206" s="63"/>
      <c r="BG206" s="63"/>
      <c r="BH206" s="63"/>
      <c r="BI206" s="63"/>
      <c r="BJ206" s="63"/>
      <c r="BK206" s="63"/>
      <c r="BL206" s="63"/>
      <c r="BM206" s="63"/>
      <c r="BN206" s="63"/>
      <c r="BO206" s="63"/>
      <c r="BP206" s="63"/>
      <c r="BQ206" s="63"/>
      <c r="BR206" s="63"/>
    </row>
    <row r="207" spans="1:70" ht="16.5">
      <c r="A207" s="63"/>
      <c r="B207" s="63"/>
      <c r="C207" s="63"/>
      <c r="D207" s="63"/>
      <c r="E207" s="63"/>
      <c r="F207" s="63"/>
      <c r="G207" s="63"/>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c r="AE207" s="63"/>
      <c r="AF207" s="63"/>
      <c r="AG207" s="63"/>
      <c r="AH207" s="63"/>
      <c r="AI207" s="63"/>
      <c r="AJ207" s="63"/>
      <c r="AK207" s="63"/>
      <c r="AL207" s="63"/>
      <c r="AM207" s="63"/>
      <c r="AN207" s="63"/>
      <c r="AO207" s="63"/>
      <c r="AP207" s="63"/>
      <c r="AQ207" s="63"/>
      <c r="AR207" s="63"/>
      <c r="AS207" s="63"/>
      <c r="AT207" s="63"/>
      <c r="AU207" s="63"/>
      <c r="AV207" s="63"/>
      <c r="AW207" s="63"/>
      <c r="AX207" s="63"/>
      <c r="AY207" s="63"/>
      <c r="AZ207" s="63"/>
      <c r="BA207" s="63"/>
      <c r="BB207" s="63"/>
      <c r="BC207" s="63"/>
      <c r="BD207" s="63"/>
      <c r="BE207" s="63"/>
      <c r="BF207" s="63"/>
      <c r="BG207" s="63"/>
      <c r="BH207" s="63"/>
      <c r="BI207" s="63"/>
      <c r="BJ207" s="63"/>
      <c r="BK207" s="63"/>
      <c r="BL207" s="63"/>
      <c r="BM207" s="63"/>
      <c r="BN207" s="63"/>
      <c r="BO207" s="63"/>
      <c r="BP207" s="63"/>
      <c r="BQ207" s="63"/>
      <c r="BR207" s="63"/>
    </row>
    <row r="208" spans="1:70" ht="16.5">
      <c r="A208" s="63"/>
      <c r="B208" s="63"/>
      <c r="C208" s="63"/>
      <c r="D208" s="63"/>
      <c r="E208" s="63"/>
      <c r="F208" s="63"/>
      <c r="G208" s="63"/>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c r="AE208" s="63"/>
      <c r="AF208" s="63"/>
      <c r="AG208" s="63"/>
      <c r="AH208" s="63"/>
      <c r="AI208" s="63"/>
      <c r="AJ208" s="63"/>
      <c r="AK208" s="63"/>
      <c r="AL208" s="63"/>
      <c r="AM208" s="63"/>
      <c r="AN208" s="63"/>
      <c r="AO208" s="63"/>
      <c r="AP208" s="63"/>
      <c r="AQ208" s="63"/>
      <c r="AR208" s="63"/>
      <c r="AS208" s="63"/>
      <c r="AT208" s="63"/>
      <c r="AU208" s="63"/>
      <c r="AV208" s="63"/>
      <c r="AW208" s="63"/>
      <c r="AX208" s="63"/>
      <c r="AY208" s="63"/>
      <c r="AZ208" s="63"/>
      <c r="BA208" s="63"/>
      <c r="BB208" s="63"/>
      <c r="BC208" s="63"/>
      <c r="BD208" s="63"/>
      <c r="BE208" s="63"/>
      <c r="BF208" s="63"/>
      <c r="BG208" s="63"/>
      <c r="BH208" s="63"/>
      <c r="BI208" s="63"/>
      <c r="BJ208" s="63"/>
      <c r="BK208" s="63"/>
      <c r="BL208" s="63"/>
      <c r="BM208" s="63"/>
      <c r="BN208" s="63"/>
      <c r="BO208" s="63"/>
      <c r="BP208" s="63"/>
      <c r="BQ208" s="63"/>
      <c r="BR208" s="63"/>
    </row>
    <row r="209" spans="1:70" ht="16.5">
      <c r="A209" s="63"/>
      <c r="B209" s="63"/>
      <c r="C209" s="63"/>
      <c r="D209" s="63"/>
      <c r="E209" s="63"/>
      <c r="F209" s="63"/>
      <c r="G209" s="63"/>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c r="AE209" s="63"/>
      <c r="AF209" s="63"/>
      <c r="AG209" s="63"/>
      <c r="AH209" s="63"/>
      <c r="AI209" s="63"/>
      <c r="AJ209" s="63"/>
      <c r="AK209" s="63"/>
      <c r="AL209" s="63"/>
      <c r="AM209" s="63"/>
      <c r="AN209" s="63"/>
      <c r="AO209" s="63"/>
      <c r="AP209" s="63"/>
      <c r="AQ209" s="63"/>
      <c r="AR209" s="63"/>
      <c r="AS209" s="63"/>
      <c r="AT209" s="63"/>
      <c r="AU209" s="63"/>
      <c r="AV209" s="63"/>
      <c r="AW209" s="63"/>
      <c r="AX209" s="63"/>
      <c r="AY209" s="63"/>
      <c r="AZ209" s="63"/>
      <c r="BA209" s="63"/>
      <c r="BB209" s="63"/>
      <c r="BC209" s="63"/>
      <c r="BD209" s="63"/>
      <c r="BE209" s="63"/>
      <c r="BF209" s="63"/>
      <c r="BG209" s="63"/>
      <c r="BH209" s="63"/>
      <c r="BI209" s="63"/>
      <c r="BJ209" s="63"/>
      <c r="BK209" s="63"/>
      <c r="BL209" s="63"/>
      <c r="BM209" s="63"/>
      <c r="BN209" s="63"/>
      <c r="BO209" s="63"/>
      <c r="BP209" s="63"/>
      <c r="BQ209" s="63"/>
      <c r="BR209" s="63"/>
    </row>
    <row r="210" spans="1:70" ht="16.5">
      <c r="A210" s="63"/>
      <c r="B210" s="63"/>
      <c r="C210" s="63"/>
      <c r="D210" s="63"/>
      <c r="E210" s="63"/>
      <c r="F210" s="63"/>
      <c r="G210" s="63"/>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c r="AE210" s="63"/>
      <c r="AF210" s="63"/>
      <c r="AG210" s="63"/>
      <c r="AH210" s="63"/>
      <c r="AI210" s="63"/>
      <c r="AJ210" s="63"/>
      <c r="AK210" s="63"/>
      <c r="AL210" s="63"/>
      <c r="AM210" s="63"/>
      <c r="AN210" s="63"/>
      <c r="AO210" s="63"/>
      <c r="AP210" s="63"/>
      <c r="AQ210" s="63"/>
      <c r="AR210" s="63"/>
      <c r="AS210" s="63"/>
      <c r="AT210" s="63"/>
      <c r="AU210" s="63"/>
      <c r="AV210" s="63"/>
      <c r="AW210" s="63"/>
      <c r="AX210" s="63"/>
      <c r="AY210" s="63"/>
      <c r="AZ210" s="63"/>
      <c r="BA210" s="63"/>
      <c r="BB210" s="63"/>
      <c r="BC210" s="63"/>
      <c r="BD210" s="63"/>
      <c r="BE210" s="63"/>
      <c r="BF210" s="63"/>
      <c r="BG210" s="63"/>
      <c r="BH210" s="63"/>
      <c r="BI210" s="63"/>
      <c r="BJ210" s="63"/>
      <c r="BK210" s="63"/>
      <c r="BL210" s="63"/>
      <c r="BM210" s="63"/>
      <c r="BN210" s="63"/>
      <c r="BO210" s="63"/>
      <c r="BP210" s="63"/>
      <c r="BQ210" s="63"/>
      <c r="BR210" s="63"/>
    </row>
    <row r="211" spans="1:70" ht="16.5">
      <c r="A211" s="63"/>
      <c r="B211" s="63"/>
      <c r="C211" s="63"/>
      <c r="D211" s="63"/>
      <c r="E211" s="63"/>
      <c r="F211" s="63"/>
      <c r="G211" s="63"/>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c r="AE211" s="63"/>
      <c r="AF211" s="63"/>
      <c r="AG211" s="63"/>
      <c r="AH211" s="63"/>
      <c r="AI211" s="63"/>
      <c r="AJ211" s="63"/>
      <c r="AK211" s="63"/>
      <c r="AL211" s="63"/>
      <c r="AM211" s="63"/>
      <c r="AN211" s="63"/>
      <c r="AO211" s="63"/>
      <c r="AP211" s="63"/>
      <c r="AQ211" s="63"/>
      <c r="AR211" s="63"/>
      <c r="AS211" s="63"/>
      <c r="AT211" s="63"/>
      <c r="AU211" s="63"/>
      <c r="AV211" s="63"/>
      <c r="AW211" s="63"/>
      <c r="AX211" s="63"/>
      <c r="AY211" s="63"/>
      <c r="AZ211" s="63"/>
      <c r="BA211" s="63"/>
      <c r="BB211" s="63"/>
      <c r="BC211" s="63"/>
      <c r="BD211" s="63"/>
      <c r="BE211" s="63"/>
      <c r="BF211" s="63"/>
      <c r="BG211" s="63"/>
      <c r="BH211" s="63"/>
      <c r="BI211" s="63"/>
      <c r="BJ211" s="63"/>
      <c r="BK211" s="63"/>
      <c r="BL211" s="63"/>
      <c r="BM211" s="63"/>
      <c r="BN211" s="63"/>
      <c r="BO211" s="63"/>
      <c r="BP211" s="63"/>
      <c r="BQ211" s="63"/>
      <c r="BR211" s="63"/>
    </row>
    <row r="212" spans="1:70" ht="16.5">
      <c r="A212" s="63"/>
      <c r="B212" s="63"/>
      <c r="C212" s="63"/>
      <c r="D212" s="63"/>
      <c r="E212" s="63"/>
      <c r="F212" s="63"/>
      <c r="G212" s="63"/>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c r="AE212" s="63"/>
      <c r="AF212" s="63"/>
      <c r="AG212" s="63"/>
      <c r="AH212" s="63"/>
      <c r="AI212" s="63"/>
      <c r="AJ212" s="63"/>
      <c r="AK212" s="63"/>
      <c r="AL212" s="63"/>
      <c r="AM212" s="63"/>
      <c r="AN212" s="63"/>
      <c r="AO212" s="63"/>
      <c r="AP212" s="63"/>
      <c r="AQ212" s="63"/>
      <c r="AR212" s="63"/>
      <c r="AS212" s="63"/>
      <c r="AT212" s="63"/>
      <c r="AU212" s="63"/>
      <c r="AV212" s="63"/>
      <c r="AW212" s="63"/>
      <c r="AX212" s="63"/>
      <c r="AY212" s="63"/>
      <c r="AZ212" s="63"/>
      <c r="BA212" s="63"/>
      <c r="BB212" s="63"/>
      <c r="BC212" s="63"/>
      <c r="BD212" s="63"/>
      <c r="BE212" s="63"/>
      <c r="BF212" s="63"/>
      <c r="BG212" s="63"/>
      <c r="BH212" s="63"/>
      <c r="BI212" s="63"/>
      <c r="BJ212" s="63"/>
      <c r="BK212" s="63"/>
      <c r="BL212" s="63"/>
      <c r="BM212" s="63"/>
      <c r="BN212" s="63"/>
      <c r="BO212" s="63"/>
      <c r="BP212" s="63"/>
      <c r="BQ212" s="63"/>
      <c r="BR212" s="63"/>
    </row>
    <row r="213" spans="1:70" ht="16.5">
      <c r="A213" s="63"/>
      <c r="B213" s="63"/>
      <c r="C213" s="63"/>
      <c r="D213" s="63"/>
      <c r="E213" s="63"/>
      <c r="F213" s="63"/>
      <c r="G213" s="63"/>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c r="AE213" s="63"/>
      <c r="AF213" s="63"/>
      <c r="AG213" s="63"/>
      <c r="AH213" s="63"/>
      <c r="AI213" s="63"/>
      <c r="AJ213" s="63"/>
      <c r="AK213" s="63"/>
      <c r="AL213" s="63"/>
      <c r="AM213" s="63"/>
      <c r="AN213" s="63"/>
      <c r="AO213" s="63"/>
      <c r="AP213" s="63"/>
      <c r="AQ213" s="63"/>
      <c r="AR213" s="63"/>
      <c r="AS213" s="63"/>
      <c r="AT213" s="63"/>
      <c r="AU213" s="63"/>
      <c r="AV213" s="63"/>
      <c r="AW213" s="63"/>
      <c r="AX213" s="63"/>
      <c r="AY213" s="63"/>
      <c r="AZ213" s="63"/>
      <c r="BA213" s="63"/>
      <c r="BB213" s="63"/>
      <c r="BC213" s="63"/>
      <c r="BD213" s="63"/>
      <c r="BE213" s="63"/>
      <c r="BF213" s="63"/>
      <c r="BG213" s="63"/>
      <c r="BH213" s="63"/>
      <c r="BI213" s="63"/>
      <c r="BJ213" s="63"/>
      <c r="BK213" s="63"/>
      <c r="BL213" s="63"/>
      <c r="BM213" s="63"/>
      <c r="BN213" s="63"/>
      <c r="BO213" s="63"/>
      <c r="BP213" s="63"/>
      <c r="BQ213" s="63"/>
      <c r="BR213" s="63"/>
    </row>
    <row r="214" spans="1:70" ht="16.5">
      <c r="A214" s="63"/>
      <c r="B214" s="63"/>
      <c r="C214" s="63"/>
      <c r="D214" s="63"/>
      <c r="E214" s="63"/>
      <c r="F214" s="63"/>
      <c r="G214" s="63"/>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c r="AE214" s="63"/>
      <c r="AF214" s="63"/>
      <c r="AG214" s="63"/>
      <c r="AH214" s="63"/>
      <c r="AI214" s="63"/>
      <c r="AJ214" s="63"/>
      <c r="AK214" s="63"/>
      <c r="AL214" s="63"/>
      <c r="AM214" s="63"/>
      <c r="AN214" s="63"/>
      <c r="AO214" s="63"/>
      <c r="AP214" s="63"/>
      <c r="AQ214" s="63"/>
      <c r="AR214" s="63"/>
      <c r="AS214" s="63"/>
      <c r="AT214" s="63"/>
      <c r="AU214" s="63"/>
      <c r="AV214" s="63"/>
      <c r="AW214" s="63"/>
      <c r="AX214" s="63"/>
      <c r="AY214" s="63"/>
      <c r="AZ214" s="63"/>
      <c r="BA214" s="63"/>
      <c r="BB214" s="63"/>
      <c r="BC214" s="63"/>
      <c r="BD214" s="63"/>
      <c r="BE214" s="63"/>
      <c r="BF214" s="63"/>
      <c r="BG214" s="63"/>
      <c r="BH214" s="63"/>
      <c r="BI214" s="63"/>
      <c r="BJ214" s="63"/>
      <c r="BK214" s="63"/>
      <c r="BL214" s="63"/>
      <c r="BM214" s="63"/>
      <c r="BN214" s="63"/>
      <c r="BO214" s="63"/>
      <c r="BP214" s="63"/>
      <c r="BQ214" s="63"/>
      <c r="BR214" s="63"/>
    </row>
    <row r="215" spans="1:70" ht="16.5">
      <c r="A215" s="63"/>
      <c r="B215" s="63"/>
      <c r="C215" s="63"/>
      <c r="D215" s="63"/>
      <c r="E215" s="63"/>
      <c r="F215" s="63"/>
      <c r="G215" s="63"/>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c r="AE215" s="63"/>
      <c r="AF215" s="63"/>
      <c r="AG215" s="63"/>
      <c r="AH215" s="63"/>
      <c r="AI215" s="63"/>
      <c r="AJ215" s="63"/>
      <c r="AK215" s="63"/>
      <c r="AL215" s="63"/>
      <c r="AM215" s="63"/>
      <c r="AN215" s="63"/>
      <c r="AO215" s="63"/>
      <c r="AP215" s="63"/>
      <c r="AQ215" s="63"/>
      <c r="AR215" s="63"/>
      <c r="AS215" s="63"/>
      <c r="AT215" s="63"/>
      <c r="AU215" s="63"/>
      <c r="AV215" s="63"/>
      <c r="AW215" s="63"/>
      <c r="AX215" s="63"/>
      <c r="AY215" s="63"/>
      <c r="AZ215" s="63"/>
      <c r="BA215" s="63"/>
      <c r="BB215" s="63"/>
      <c r="BC215" s="63"/>
      <c r="BD215" s="63"/>
      <c r="BE215" s="63"/>
      <c r="BF215" s="63"/>
      <c r="BG215" s="63"/>
      <c r="BH215" s="63"/>
      <c r="BI215" s="63"/>
      <c r="BJ215" s="63"/>
      <c r="BK215" s="63"/>
      <c r="BL215" s="63"/>
      <c r="BM215" s="63"/>
      <c r="BN215" s="63"/>
      <c r="BO215" s="63"/>
      <c r="BP215" s="63"/>
      <c r="BQ215" s="63"/>
      <c r="BR215" s="63"/>
    </row>
    <row r="216" spans="1:70" ht="16.5">
      <c r="A216" s="63"/>
      <c r="B216" s="63"/>
      <c r="C216" s="63"/>
      <c r="D216" s="63"/>
      <c r="E216" s="63"/>
      <c r="F216" s="63"/>
      <c r="G216" s="63"/>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c r="AM216" s="63"/>
      <c r="AN216" s="63"/>
      <c r="AO216" s="63"/>
      <c r="AP216" s="63"/>
      <c r="AQ216" s="63"/>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row>
    <row r="217" spans="1:70" ht="16.5">
      <c r="A217" s="63"/>
      <c r="B217" s="63"/>
      <c r="C217" s="63"/>
      <c r="D217" s="63"/>
      <c r="E217" s="63"/>
      <c r="F217" s="63"/>
      <c r="G217" s="63"/>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c r="AE217" s="63"/>
      <c r="AF217" s="63"/>
      <c r="AG217" s="63"/>
      <c r="AH217" s="63"/>
      <c r="AI217" s="63"/>
      <c r="AJ217" s="63"/>
      <c r="AK217" s="63"/>
      <c r="AL217" s="63"/>
      <c r="AM217" s="63"/>
      <c r="AN217" s="63"/>
      <c r="AO217" s="63"/>
      <c r="AP217" s="63"/>
      <c r="AQ217" s="63"/>
      <c r="AR217" s="63"/>
      <c r="AS217" s="63"/>
      <c r="AT217" s="63"/>
      <c r="AU217" s="63"/>
      <c r="AV217" s="63"/>
      <c r="AW217" s="63"/>
      <c r="AX217" s="63"/>
      <c r="AY217" s="63"/>
      <c r="AZ217" s="63"/>
      <c r="BA217" s="63"/>
      <c r="BB217" s="63"/>
      <c r="BC217" s="63"/>
      <c r="BD217" s="63"/>
      <c r="BE217" s="63"/>
      <c r="BF217" s="63"/>
      <c r="BG217" s="63"/>
      <c r="BH217" s="63"/>
      <c r="BI217" s="63"/>
      <c r="BJ217" s="63"/>
      <c r="BK217" s="63"/>
      <c r="BL217" s="63"/>
      <c r="BM217" s="63"/>
      <c r="BN217" s="63"/>
      <c r="BO217" s="63"/>
      <c r="BP217" s="63"/>
      <c r="BQ217" s="63"/>
      <c r="BR217" s="63"/>
    </row>
    <row r="218" spans="1:70" ht="16.5">
      <c r="A218" s="63"/>
      <c r="B218" s="63"/>
      <c r="C218" s="63"/>
      <c r="D218" s="63"/>
      <c r="E218" s="63"/>
      <c r="F218" s="63"/>
      <c r="G218" s="63"/>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c r="AE218" s="63"/>
      <c r="AF218" s="63"/>
      <c r="AG218" s="63"/>
      <c r="AH218" s="63"/>
      <c r="AI218" s="63"/>
      <c r="AJ218" s="63"/>
      <c r="AK218" s="63"/>
      <c r="AL218" s="63"/>
      <c r="AM218" s="63"/>
      <c r="AN218" s="63"/>
      <c r="AO218" s="63"/>
      <c r="AP218" s="63"/>
      <c r="AQ218" s="63"/>
      <c r="AR218" s="63"/>
      <c r="AS218" s="63"/>
      <c r="AT218" s="63"/>
      <c r="AU218" s="63"/>
      <c r="AV218" s="63"/>
      <c r="AW218" s="63"/>
      <c r="AX218" s="63"/>
      <c r="AY218" s="63"/>
      <c r="AZ218" s="63"/>
      <c r="BA218" s="63"/>
      <c r="BB218" s="63"/>
      <c r="BC218" s="63"/>
      <c r="BD218" s="63"/>
      <c r="BE218" s="63"/>
      <c r="BF218" s="63"/>
      <c r="BG218" s="63"/>
      <c r="BH218" s="63"/>
      <c r="BI218" s="63"/>
      <c r="BJ218" s="63"/>
      <c r="BK218" s="63"/>
      <c r="BL218" s="63"/>
      <c r="BM218" s="63"/>
      <c r="BN218" s="63"/>
      <c r="BO218" s="63"/>
      <c r="BP218" s="63"/>
      <c r="BQ218" s="63"/>
      <c r="BR218" s="63"/>
    </row>
    <row r="219" spans="1:70" ht="16.5">
      <c r="A219" s="63"/>
      <c r="B219" s="63"/>
      <c r="C219" s="63"/>
      <c r="D219" s="63"/>
      <c r="E219" s="63"/>
      <c r="F219" s="63"/>
      <c r="G219" s="63"/>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c r="AE219" s="63"/>
      <c r="AF219" s="63"/>
      <c r="AG219" s="63"/>
      <c r="AH219" s="63"/>
      <c r="AI219" s="63"/>
      <c r="AJ219" s="63"/>
      <c r="AK219" s="63"/>
      <c r="AL219" s="63"/>
      <c r="AM219" s="63"/>
      <c r="AN219" s="63"/>
      <c r="AO219" s="63"/>
      <c r="AP219" s="63"/>
      <c r="AQ219" s="63"/>
      <c r="AR219" s="63"/>
      <c r="AS219" s="63"/>
      <c r="AT219" s="63"/>
      <c r="AU219" s="63"/>
      <c r="AV219" s="63"/>
      <c r="AW219" s="63"/>
      <c r="AX219" s="63"/>
      <c r="AY219" s="63"/>
      <c r="AZ219" s="63"/>
      <c r="BA219" s="63"/>
      <c r="BB219" s="63"/>
      <c r="BC219" s="63"/>
      <c r="BD219" s="63"/>
      <c r="BE219" s="63"/>
      <c r="BF219" s="63"/>
      <c r="BG219" s="63"/>
      <c r="BH219" s="63"/>
      <c r="BI219" s="63"/>
      <c r="BJ219" s="63"/>
      <c r="BK219" s="63"/>
      <c r="BL219" s="63"/>
      <c r="BM219" s="63"/>
      <c r="BN219" s="63"/>
      <c r="BO219" s="63"/>
      <c r="BP219" s="63"/>
      <c r="BQ219" s="63"/>
      <c r="BR219" s="63"/>
    </row>
    <row r="220" spans="1:70" ht="16.5">
      <c r="A220" s="63"/>
      <c r="B220" s="63"/>
      <c r="C220" s="63"/>
      <c r="D220" s="63"/>
      <c r="E220" s="63"/>
      <c r="F220" s="63"/>
      <c r="G220" s="63"/>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c r="AE220" s="63"/>
      <c r="AF220" s="63"/>
      <c r="AG220" s="63"/>
      <c r="AH220" s="63"/>
      <c r="AI220" s="63"/>
      <c r="AJ220" s="63"/>
      <c r="AK220" s="63"/>
      <c r="AL220" s="63"/>
      <c r="AM220" s="63"/>
      <c r="AN220" s="63"/>
      <c r="AO220" s="63"/>
      <c r="AP220" s="63"/>
      <c r="AQ220" s="63"/>
      <c r="AR220" s="63"/>
      <c r="AS220" s="63"/>
      <c r="AT220" s="63"/>
      <c r="AU220" s="63"/>
      <c r="AV220" s="63"/>
      <c r="AW220" s="63"/>
      <c r="AX220" s="63"/>
      <c r="AY220" s="63"/>
      <c r="AZ220" s="63"/>
      <c r="BA220" s="63"/>
      <c r="BB220" s="63"/>
      <c r="BC220" s="63"/>
      <c r="BD220" s="63"/>
      <c r="BE220" s="63"/>
      <c r="BF220" s="63"/>
      <c r="BG220" s="63"/>
      <c r="BH220" s="63"/>
      <c r="BI220" s="63"/>
      <c r="BJ220" s="63"/>
      <c r="BK220" s="63"/>
      <c r="BL220" s="63"/>
      <c r="BM220" s="63"/>
      <c r="BN220" s="63"/>
      <c r="BO220" s="63"/>
      <c r="BP220" s="63"/>
      <c r="BQ220" s="63"/>
      <c r="BR220" s="63"/>
    </row>
    <row r="221" spans="1:70" ht="16.5">
      <c r="A221" s="63"/>
      <c r="B221" s="63"/>
      <c r="C221" s="63"/>
      <c r="D221" s="63"/>
      <c r="E221" s="63"/>
      <c r="F221" s="63"/>
      <c r="G221" s="63"/>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c r="AE221" s="63"/>
      <c r="AF221" s="63"/>
      <c r="AG221" s="63"/>
      <c r="AH221" s="63"/>
      <c r="AI221" s="63"/>
      <c r="AJ221" s="63"/>
      <c r="AK221" s="63"/>
      <c r="AL221" s="63"/>
      <c r="AM221" s="63"/>
      <c r="AN221" s="63"/>
      <c r="AO221" s="63"/>
      <c r="AP221" s="63"/>
      <c r="AQ221" s="63"/>
      <c r="AR221" s="63"/>
      <c r="AS221" s="63"/>
      <c r="AT221" s="63"/>
      <c r="AU221" s="63"/>
      <c r="AV221" s="63"/>
      <c r="AW221" s="63"/>
      <c r="AX221" s="63"/>
      <c r="AY221" s="63"/>
      <c r="AZ221" s="63"/>
      <c r="BA221" s="63"/>
      <c r="BB221" s="63"/>
      <c r="BC221" s="63"/>
      <c r="BD221" s="63"/>
      <c r="BE221" s="63"/>
      <c r="BF221" s="63"/>
      <c r="BG221" s="63"/>
      <c r="BH221" s="63"/>
      <c r="BI221" s="63"/>
      <c r="BJ221" s="63"/>
      <c r="BK221" s="63"/>
      <c r="BL221" s="63"/>
      <c r="BM221" s="63"/>
      <c r="BN221" s="63"/>
      <c r="BO221" s="63"/>
      <c r="BP221" s="63"/>
      <c r="BQ221" s="63"/>
      <c r="BR221" s="63"/>
    </row>
    <row r="222" spans="1:70" ht="16.5">
      <c r="A222" s="63"/>
      <c r="B222" s="63"/>
      <c r="C222" s="63"/>
      <c r="D222" s="63"/>
      <c r="E222" s="63"/>
      <c r="F222" s="63"/>
      <c r="G222" s="63"/>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c r="AE222" s="63"/>
      <c r="AF222" s="63"/>
      <c r="AG222" s="63"/>
      <c r="AH222" s="63"/>
      <c r="AI222" s="63"/>
      <c r="AJ222" s="63"/>
      <c r="AK222" s="63"/>
      <c r="AL222" s="63"/>
      <c r="AM222" s="63"/>
      <c r="AN222" s="63"/>
      <c r="AO222" s="63"/>
      <c r="AP222" s="63"/>
      <c r="AQ222" s="63"/>
      <c r="AR222" s="63"/>
      <c r="AS222" s="63"/>
      <c r="AT222" s="63"/>
      <c r="AU222" s="63"/>
      <c r="AV222" s="63"/>
      <c r="AW222" s="63"/>
      <c r="AX222" s="63"/>
      <c r="AY222" s="63"/>
      <c r="AZ222" s="63"/>
      <c r="BA222" s="63"/>
      <c r="BB222" s="63"/>
      <c r="BC222" s="63"/>
      <c r="BD222" s="63"/>
      <c r="BE222" s="63"/>
      <c r="BF222" s="63"/>
      <c r="BG222" s="63"/>
      <c r="BH222" s="63"/>
      <c r="BI222" s="63"/>
      <c r="BJ222" s="63"/>
      <c r="BK222" s="63"/>
      <c r="BL222" s="63"/>
      <c r="BM222" s="63"/>
      <c r="BN222" s="63"/>
      <c r="BO222" s="63"/>
      <c r="BP222" s="63"/>
      <c r="BQ222" s="63"/>
      <c r="BR222" s="63"/>
    </row>
    <row r="223" spans="1:70" ht="16.5">
      <c r="A223" s="63"/>
      <c r="B223" s="63"/>
      <c r="C223" s="63"/>
      <c r="D223" s="63"/>
      <c r="E223" s="63"/>
      <c r="F223" s="63"/>
      <c r="G223" s="63"/>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c r="AE223" s="63"/>
      <c r="AF223" s="63"/>
      <c r="AG223" s="63"/>
      <c r="AH223" s="63"/>
      <c r="AI223" s="63"/>
      <c r="AJ223" s="63"/>
      <c r="AK223" s="63"/>
      <c r="AL223" s="63"/>
      <c r="AM223" s="63"/>
      <c r="AN223" s="63"/>
      <c r="AO223" s="63"/>
      <c r="AP223" s="63"/>
      <c r="AQ223" s="63"/>
      <c r="AR223" s="63"/>
      <c r="AS223" s="63"/>
      <c r="AT223" s="63"/>
      <c r="AU223" s="63"/>
      <c r="AV223" s="63"/>
      <c r="AW223" s="63"/>
      <c r="AX223" s="63"/>
      <c r="AY223" s="63"/>
      <c r="AZ223" s="63"/>
      <c r="BA223" s="63"/>
      <c r="BB223" s="63"/>
      <c r="BC223" s="63"/>
      <c r="BD223" s="63"/>
      <c r="BE223" s="63"/>
      <c r="BF223" s="63"/>
      <c r="BG223" s="63"/>
      <c r="BH223" s="63"/>
      <c r="BI223" s="63"/>
      <c r="BJ223" s="63"/>
      <c r="BK223" s="63"/>
      <c r="BL223" s="63"/>
      <c r="BM223" s="63"/>
      <c r="BN223" s="63"/>
      <c r="BO223" s="63"/>
      <c r="BP223" s="63"/>
      <c r="BQ223" s="63"/>
      <c r="BR223" s="63"/>
    </row>
    <row r="224" spans="1:70" ht="16.5">
      <c r="A224" s="63"/>
      <c r="B224" s="63"/>
      <c r="C224" s="63"/>
      <c r="D224" s="63"/>
      <c r="E224" s="63"/>
      <c r="F224" s="63"/>
      <c r="G224" s="63"/>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c r="AE224" s="63"/>
      <c r="AF224" s="63"/>
      <c r="AG224" s="63"/>
      <c r="AH224" s="63"/>
      <c r="AI224" s="63"/>
      <c r="AJ224" s="63"/>
      <c r="AK224" s="63"/>
      <c r="AL224" s="63"/>
      <c r="AM224" s="63"/>
      <c r="AN224" s="63"/>
      <c r="AO224" s="63"/>
      <c r="AP224" s="63"/>
      <c r="AQ224" s="63"/>
      <c r="AR224" s="63"/>
      <c r="AS224" s="63"/>
      <c r="AT224" s="63"/>
      <c r="AU224" s="63"/>
      <c r="AV224" s="63"/>
      <c r="AW224" s="63"/>
      <c r="AX224" s="63"/>
      <c r="AY224" s="63"/>
      <c r="AZ224" s="63"/>
      <c r="BA224" s="63"/>
      <c r="BB224" s="63"/>
      <c r="BC224" s="63"/>
      <c r="BD224" s="63"/>
      <c r="BE224" s="63"/>
      <c r="BF224" s="63"/>
      <c r="BG224" s="63"/>
      <c r="BH224" s="63"/>
      <c r="BI224" s="63"/>
      <c r="BJ224" s="63"/>
      <c r="BK224" s="63"/>
      <c r="BL224" s="63"/>
      <c r="BM224" s="63"/>
      <c r="BN224" s="63"/>
      <c r="BO224" s="63"/>
      <c r="BP224" s="63"/>
      <c r="BQ224" s="63"/>
      <c r="BR224" s="63"/>
    </row>
    <row r="225" spans="1:70" ht="16.5">
      <c r="A225" s="63"/>
      <c r="B225" s="63"/>
      <c r="C225" s="63"/>
      <c r="D225" s="63"/>
      <c r="E225" s="63"/>
      <c r="F225" s="63"/>
      <c r="G225" s="63"/>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c r="AE225" s="63"/>
      <c r="AF225" s="63"/>
      <c r="AG225" s="63"/>
      <c r="AH225" s="63"/>
      <c r="AI225" s="63"/>
      <c r="AJ225" s="63"/>
      <c r="AK225" s="63"/>
      <c r="AL225" s="63"/>
      <c r="AM225" s="63"/>
      <c r="AN225" s="63"/>
      <c r="AO225" s="63"/>
      <c r="AP225" s="63"/>
      <c r="AQ225" s="63"/>
      <c r="AR225" s="63"/>
      <c r="AS225" s="63"/>
      <c r="AT225" s="63"/>
      <c r="AU225" s="63"/>
      <c r="AV225" s="63"/>
      <c r="AW225" s="63"/>
      <c r="AX225" s="63"/>
      <c r="AY225" s="63"/>
      <c r="AZ225" s="63"/>
      <c r="BA225" s="63"/>
      <c r="BB225" s="63"/>
      <c r="BC225" s="63"/>
      <c r="BD225" s="63"/>
      <c r="BE225" s="63"/>
      <c r="BF225" s="63"/>
      <c r="BG225" s="63"/>
      <c r="BH225" s="63"/>
      <c r="BI225" s="63"/>
      <c r="BJ225" s="63"/>
      <c r="BK225" s="63"/>
      <c r="BL225" s="63"/>
      <c r="BM225" s="63"/>
      <c r="BN225" s="63"/>
      <c r="BO225" s="63"/>
      <c r="BP225" s="63"/>
      <c r="BQ225" s="63"/>
      <c r="BR225" s="63"/>
    </row>
    <row r="226" spans="1:70" ht="16.5">
      <c r="A226" s="63"/>
      <c r="B226" s="63"/>
      <c r="C226" s="63"/>
      <c r="D226" s="63"/>
      <c r="E226" s="63"/>
      <c r="F226" s="63"/>
      <c r="G226" s="63"/>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c r="AE226" s="63"/>
      <c r="AF226" s="63"/>
      <c r="AG226" s="63"/>
      <c r="AH226" s="63"/>
      <c r="AI226" s="63"/>
      <c r="AJ226" s="63"/>
      <c r="AK226" s="63"/>
      <c r="AL226" s="63"/>
      <c r="AM226" s="63"/>
      <c r="AN226" s="63"/>
      <c r="AO226" s="63"/>
      <c r="AP226" s="63"/>
      <c r="AQ226" s="63"/>
      <c r="AR226" s="63"/>
      <c r="AS226" s="63"/>
      <c r="AT226" s="63"/>
      <c r="AU226" s="63"/>
      <c r="AV226" s="63"/>
      <c r="AW226" s="63"/>
      <c r="AX226" s="63"/>
      <c r="AY226" s="63"/>
      <c r="AZ226" s="63"/>
      <c r="BA226" s="63"/>
      <c r="BB226" s="63"/>
      <c r="BC226" s="63"/>
      <c r="BD226" s="63"/>
      <c r="BE226" s="63"/>
      <c r="BF226" s="63"/>
      <c r="BG226" s="63"/>
      <c r="BH226" s="63"/>
      <c r="BI226" s="63"/>
      <c r="BJ226" s="63"/>
      <c r="BK226" s="63"/>
      <c r="BL226" s="63"/>
      <c r="BM226" s="63"/>
      <c r="BN226" s="63"/>
      <c r="BO226" s="63"/>
      <c r="BP226" s="63"/>
      <c r="BQ226" s="63"/>
      <c r="BR226" s="63"/>
    </row>
    <row r="227" spans="1:70" ht="16.5">
      <c r="A227" s="63"/>
      <c r="B227" s="63"/>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63"/>
      <c r="AK227" s="63"/>
      <c r="AL227" s="63"/>
      <c r="AM227" s="63"/>
      <c r="AN227" s="63"/>
      <c r="AO227" s="63"/>
      <c r="AP227" s="63"/>
      <c r="AQ227" s="63"/>
      <c r="AR227" s="63"/>
      <c r="AS227" s="63"/>
      <c r="AT227" s="63"/>
      <c r="AU227" s="63"/>
      <c r="AV227" s="63"/>
      <c r="AW227" s="63"/>
      <c r="AX227" s="63"/>
      <c r="AY227" s="63"/>
      <c r="AZ227" s="63"/>
      <c r="BA227" s="63"/>
      <c r="BB227" s="63"/>
      <c r="BC227" s="63"/>
      <c r="BD227" s="63"/>
      <c r="BE227" s="63"/>
      <c r="BF227" s="63"/>
      <c r="BG227" s="63"/>
      <c r="BH227" s="63"/>
      <c r="BI227" s="63"/>
      <c r="BJ227" s="63"/>
      <c r="BK227" s="63"/>
      <c r="BL227" s="63"/>
      <c r="BM227" s="63"/>
      <c r="BN227" s="63"/>
      <c r="BO227" s="63"/>
      <c r="BP227" s="63"/>
      <c r="BQ227" s="63"/>
      <c r="BR227" s="63"/>
    </row>
    <row r="228" spans="1:70" ht="16.5">
      <c r="A228" s="63"/>
      <c r="B228" s="63"/>
      <c r="C228" s="63"/>
      <c r="D228" s="63"/>
      <c r="E228" s="63"/>
      <c r="F228" s="63"/>
      <c r="G228" s="63"/>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c r="AE228" s="63"/>
      <c r="AF228" s="63"/>
      <c r="AG228" s="63"/>
      <c r="AH228" s="63"/>
      <c r="AI228" s="63"/>
      <c r="AJ228" s="63"/>
      <c r="AK228" s="63"/>
      <c r="AL228" s="63"/>
      <c r="AM228" s="63"/>
      <c r="AN228" s="63"/>
      <c r="AO228" s="63"/>
      <c r="AP228" s="63"/>
      <c r="AQ228" s="63"/>
      <c r="AR228" s="63"/>
      <c r="AS228" s="63"/>
      <c r="AT228" s="63"/>
      <c r="AU228" s="63"/>
      <c r="AV228" s="63"/>
      <c r="AW228" s="63"/>
      <c r="AX228" s="63"/>
      <c r="AY228" s="63"/>
      <c r="AZ228" s="63"/>
      <c r="BA228" s="63"/>
      <c r="BB228" s="63"/>
      <c r="BC228" s="63"/>
      <c r="BD228" s="63"/>
      <c r="BE228" s="63"/>
      <c r="BF228" s="63"/>
      <c r="BG228" s="63"/>
      <c r="BH228" s="63"/>
      <c r="BI228" s="63"/>
      <c r="BJ228" s="63"/>
      <c r="BK228" s="63"/>
      <c r="BL228" s="63"/>
      <c r="BM228" s="63"/>
      <c r="BN228" s="63"/>
      <c r="BO228" s="63"/>
      <c r="BP228" s="63"/>
      <c r="BQ228" s="63"/>
      <c r="BR228" s="63"/>
    </row>
    <row r="229" spans="1:70" ht="16.5">
      <c r="A229" s="63"/>
      <c r="B229" s="63"/>
      <c r="C229" s="63"/>
      <c r="D229" s="63"/>
      <c r="E229" s="63"/>
      <c r="F229" s="63"/>
      <c r="G229" s="63"/>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c r="AE229" s="63"/>
      <c r="AF229" s="63"/>
      <c r="AG229" s="63"/>
      <c r="AH229" s="63"/>
      <c r="AI229" s="63"/>
      <c r="AJ229" s="63"/>
      <c r="AK229" s="63"/>
      <c r="AL229" s="63"/>
      <c r="AM229" s="63"/>
      <c r="AN229" s="63"/>
      <c r="AO229" s="63"/>
      <c r="AP229" s="63"/>
      <c r="AQ229" s="63"/>
      <c r="AR229" s="63"/>
      <c r="AS229" s="63"/>
      <c r="AT229" s="63"/>
      <c r="AU229" s="63"/>
      <c r="AV229" s="63"/>
      <c r="AW229" s="63"/>
      <c r="AX229" s="63"/>
      <c r="AY229" s="63"/>
      <c r="AZ229" s="63"/>
      <c r="BA229" s="63"/>
      <c r="BB229" s="63"/>
      <c r="BC229" s="63"/>
      <c r="BD229" s="63"/>
      <c r="BE229" s="63"/>
      <c r="BF229" s="63"/>
      <c r="BG229" s="63"/>
      <c r="BH229" s="63"/>
      <c r="BI229" s="63"/>
      <c r="BJ229" s="63"/>
      <c r="BK229" s="63"/>
      <c r="BL229" s="63"/>
      <c r="BM229" s="63"/>
      <c r="BN229" s="63"/>
      <c r="BO229" s="63"/>
      <c r="BP229" s="63"/>
      <c r="BQ229" s="63"/>
      <c r="BR229" s="63"/>
    </row>
    <row r="230" spans="1:70" ht="16.5">
      <c r="A230" s="63"/>
      <c r="B230" s="63"/>
      <c r="C230" s="63"/>
      <c r="D230" s="63"/>
      <c r="E230" s="63"/>
      <c r="F230" s="63"/>
      <c r="G230" s="63"/>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c r="AE230" s="63"/>
      <c r="AF230" s="63"/>
      <c r="AG230" s="63"/>
      <c r="AH230" s="63"/>
      <c r="AI230" s="63"/>
      <c r="AJ230" s="63"/>
      <c r="AK230" s="63"/>
      <c r="AL230" s="63"/>
      <c r="AM230" s="63"/>
      <c r="AN230" s="63"/>
      <c r="AO230" s="63"/>
      <c r="AP230" s="63"/>
      <c r="AQ230" s="63"/>
      <c r="AR230" s="63"/>
      <c r="AS230" s="63"/>
      <c r="AT230" s="63"/>
      <c r="AU230" s="63"/>
      <c r="AV230" s="63"/>
      <c r="AW230" s="63"/>
      <c r="AX230" s="63"/>
      <c r="AY230" s="63"/>
      <c r="AZ230" s="63"/>
      <c r="BA230" s="63"/>
      <c r="BB230" s="63"/>
      <c r="BC230" s="63"/>
      <c r="BD230" s="63"/>
      <c r="BE230" s="63"/>
      <c r="BF230" s="63"/>
      <c r="BG230" s="63"/>
      <c r="BH230" s="63"/>
      <c r="BI230" s="63"/>
      <c r="BJ230" s="63"/>
      <c r="BK230" s="63"/>
      <c r="BL230" s="63"/>
      <c r="BM230" s="63"/>
      <c r="BN230" s="63"/>
      <c r="BO230" s="63"/>
      <c r="BP230" s="63"/>
      <c r="BQ230" s="63"/>
      <c r="BR230" s="63"/>
    </row>
    <row r="231" spans="1:70" ht="16.5">
      <c r="A231" s="63"/>
      <c r="B231" s="63"/>
      <c r="C231" s="63"/>
      <c r="D231" s="63"/>
      <c r="E231" s="63"/>
      <c r="F231" s="63"/>
      <c r="G231" s="63"/>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c r="AE231" s="63"/>
      <c r="AF231" s="63"/>
      <c r="AG231" s="63"/>
      <c r="AH231" s="63"/>
      <c r="AI231" s="63"/>
      <c r="AJ231" s="63"/>
      <c r="AK231" s="63"/>
      <c r="AL231" s="63"/>
      <c r="AM231" s="63"/>
      <c r="AN231" s="63"/>
      <c r="AO231" s="63"/>
      <c r="AP231" s="63"/>
      <c r="AQ231" s="63"/>
      <c r="AR231" s="63"/>
      <c r="AS231" s="63"/>
      <c r="AT231" s="63"/>
      <c r="AU231" s="63"/>
      <c r="AV231" s="63"/>
      <c r="AW231" s="63"/>
      <c r="AX231" s="63"/>
      <c r="AY231" s="63"/>
      <c r="AZ231" s="63"/>
      <c r="BA231" s="63"/>
      <c r="BB231" s="63"/>
      <c r="BC231" s="63"/>
      <c r="BD231" s="63"/>
      <c r="BE231" s="63"/>
      <c r="BF231" s="63"/>
      <c r="BG231" s="63"/>
      <c r="BH231" s="63"/>
      <c r="BI231" s="63"/>
      <c r="BJ231" s="63"/>
      <c r="BK231" s="63"/>
      <c r="BL231" s="63"/>
      <c r="BM231" s="63"/>
      <c r="BN231" s="63"/>
      <c r="BO231" s="63"/>
      <c r="BP231" s="63"/>
      <c r="BQ231" s="63"/>
      <c r="BR231" s="63"/>
    </row>
    <row r="232" spans="1:70" ht="16.5">
      <c r="A232" s="63"/>
      <c r="B232" s="63"/>
      <c r="C232" s="63"/>
      <c r="D232" s="63"/>
      <c r="E232" s="63"/>
      <c r="F232" s="63"/>
      <c r="G232" s="63"/>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c r="AE232" s="63"/>
      <c r="AF232" s="63"/>
      <c r="AG232" s="63"/>
      <c r="AH232" s="63"/>
      <c r="AI232" s="63"/>
      <c r="AJ232" s="63"/>
      <c r="AK232" s="63"/>
      <c r="AL232" s="63"/>
      <c r="AM232" s="63"/>
      <c r="AN232" s="63"/>
      <c r="AO232" s="63"/>
      <c r="AP232" s="63"/>
      <c r="AQ232" s="63"/>
      <c r="AR232" s="63"/>
      <c r="AS232" s="63"/>
      <c r="AT232" s="63"/>
      <c r="AU232" s="63"/>
      <c r="AV232" s="63"/>
      <c r="AW232" s="63"/>
      <c r="AX232" s="63"/>
      <c r="AY232" s="63"/>
      <c r="AZ232" s="63"/>
      <c r="BA232" s="63"/>
      <c r="BB232" s="63"/>
      <c r="BC232" s="63"/>
      <c r="BD232" s="63"/>
      <c r="BE232" s="63"/>
      <c r="BF232" s="63"/>
      <c r="BG232" s="63"/>
      <c r="BH232" s="63"/>
      <c r="BI232" s="63"/>
      <c r="BJ232" s="63"/>
      <c r="BK232" s="63"/>
      <c r="BL232" s="63"/>
      <c r="BM232" s="63"/>
      <c r="BN232" s="63"/>
      <c r="BO232" s="63"/>
      <c r="BP232" s="63"/>
      <c r="BQ232" s="63"/>
      <c r="BR232" s="63"/>
    </row>
    <row r="233" spans="1:70" ht="16.5">
      <c r="A233" s="63"/>
      <c r="B233" s="63"/>
      <c r="C233" s="63"/>
      <c r="D233" s="63"/>
      <c r="E233" s="63"/>
      <c r="F233" s="63"/>
      <c r="G233" s="63"/>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c r="AE233" s="63"/>
      <c r="AF233" s="63"/>
      <c r="AG233" s="63"/>
      <c r="AH233" s="63"/>
      <c r="AI233" s="63"/>
      <c r="AJ233" s="63"/>
      <c r="AK233" s="63"/>
      <c r="AL233" s="63"/>
      <c r="AM233" s="63"/>
      <c r="AN233" s="63"/>
      <c r="AO233" s="63"/>
      <c r="AP233" s="63"/>
      <c r="AQ233" s="63"/>
      <c r="AR233" s="63"/>
      <c r="AS233" s="63"/>
      <c r="AT233" s="63"/>
      <c r="AU233" s="63"/>
      <c r="AV233" s="63"/>
      <c r="AW233" s="63"/>
      <c r="AX233" s="63"/>
      <c r="AY233" s="63"/>
      <c r="AZ233" s="63"/>
      <c r="BA233" s="63"/>
      <c r="BB233" s="63"/>
      <c r="BC233" s="63"/>
      <c r="BD233" s="63"/>
      <c r="BE233" s="63"/>
      <c r="BF233" s="63"/>
      <c r="BG233" s="63"/>
      <c r="BH233" s="63"/>
      <c r="BI233" s="63"/>
      <c r="BJ233" s="63"/>
      <c r="BK233" s="63"/>
      <c r="BL233" s="63"/>
      <c r="BM233" s="63"/>
      <c r="BN233" s="63"/>
      <c r="BO233" s="63"/>
      <c r="BP233" s="63"/>
      <c r="BQ233" s="63"/>
      <c r="BR233" s="63"/>
    </row>
    <row r="234" spans="1:70" ht="16.5">
      <c r="A234" s="63"/>
      <c r="B234" s="63"/>
      <c r="C234" s="63"/>
      <c r="D234" s="63"/>
      <c r="E234" s="63"/>
      <c r="F234" s="63"/>
      <c r="G234" s="63"/>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c r="AE234" s="63"/>
      <c r="AF234" s="63"/>
      <c r="AG234" s="63"/>
      <c r="AH234" s="63"/>
      <c r="AI234" s="63"/>
      <c r="AJ234" s="63"/>
      <c r="AK234" s="63"/>
      <c r="AL234" s="63"/>
      <c r="AM234" s="63"/>
      <c r="AN234" s="63"/>
      <c r="AO234" s="63"/>
      <c r="AP234" s="63"/>
      <c r="AQ234" s="63"/>
      <c r="AR234" s="63"/>
      <c r="AS234" s="63"/>
      <c r="AT234" s="63"/>
      <c r="AU234" s="63"/>
      <c r="AV234" s="63"/>
      <c r="AW234" s="63"/>
      <c r="AX234" s="63"/>
      <c r="AY234" s="63"/>
      <c r="AZ234" s="63"/>
      <c r="BA234" s="63"/>
      <c r="BB234" s="63"/>
      <c r="BC234" s="63"/>
      <c r="BD234" s="63"/>
      <c r="BE234" s="63"/>
      <c r="BF234" s="63"/>
      <c r="BG234" s="63"/>
      <c r="BH234" s="63"/>
      <c r="BI234" s="63"/>
      <c r="BJ234" s="63"/>
      <c r="BK234" s="63"/>
      <c r="BL234" s="63"/>
      <c r="BM234" s="63"/>
      <c r="BN234" s="63"/>
      <c r="BO234" s="63"/>
      <c r="BP234" s="63"/>
      <c r="BQ234" s="63"/>
      <c r="BR234" s="63"/>
    </row>
    <row r="235" spans="1:70" ht="16.5">
      <c r="A235" s="63"/>
      <c r="B235" s="63"/>
      <c r="C235" s="63"/>
      <c r="D235" s="63"/>
      <c r="E235" s="63"/>
      <c r="F235" s="63"/>
      <c r="G235" s="63"/>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c r="AE235" s="63"/>
      <c r="AF235" s="63"/>
      <c r="AG235" s="63"/>
      <c r="AH235" s="63"/>
      <c r="AI235" s="63"/>
      <c r="AJ235" s="63"/>
      <c r="AK235" s="63"/>
      <c r="AL235" s="63"/>
      <c r="AM235" s="63"/>
      <c r="AN235" s="63"/>
      <c r="AO235" s="63"/>
      <c r="AP235" s="63"/>
      <c r="AQ235" s="63"/>
      <c r="AR235" s="63"/>
      <c r="AS235" s="63"/>
      <c r="AT235" s="63"/>
      <c r="AU235" s="63"/>
      <c r="AV235" s="63"/>
      <c r="AW235" s="63"/>
      <c r="AX235" s="63"/>
      <c r="AY235" s="63"/>
      <c r="AZ235" s="63"/>
      <c r="BA235" s="63"/>
      <c r="BB235" s="63"/>
      <c r="BC235" s="63"/>
      <c r="BD235" s="63"/>
      <c r="BE235" s="63"/>
      <c r="BF235" s="63"/>
      <c r="BG235" s="63"/>
      <c r="BH235" s="63"/>
      <c r="BI235" s="63"/>
      <c r="BJ235" s="63"/>
      <c r="BK235" s="63"/>
      <c r="BL235" s="63"/>
      <c r="BM235" s="63"/>
      <c r="BN235" s="63"/>
      <c r="BO235" s="63"/>
      <c r="BP235" s="63"/>
      <c r="BQ235" s="63"/>
      <c r="BR235" s="63"/>
    </row>
    <row r="236" spans="1:70" ht="16.5">
      <c r="A236" s="63"/>
      <c r="B236" s="63"/>
      <c r="C236" s="63"/>
      <c r="D236" s="63"/>
      <c r="E236" s="63"/>
      <c r="F236" s="63"/>
      <c r="G236" s="63"/>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c r="AE236" s="63"/>
      <c r="AF236" s="63"/>
      <c r="AG236" s="63"/>
      <c r="AH236" s="63"/>
      <c r="AI236" s="63"/>
      <c r="AJ236" s="63"/>
      <c r="AK236" s="63"/>
      <c r="AL236" s="63"/>
      <c r="AM236" s="63"/>
      <c r="AN236" s="63"/>
      <c r="AO236" s="63"/>
      <c r="AP236" s="63"/>
      <c r="AQ236" s="63"/>
      <c r="AR236" s="63"/>
      <c r="AS236" s="63"/>
      <c r="AT236" s="63"/>
      <c r="AU236" s="63"/>
      <c r="AV236" s="63"/>
      <c r="AW236" s="63"/>
      <c r="AX236" s="63"/>
      <c r="AY236" s="63"/>
      <c r="AZ236" s="63"/>
      <c r="BA236" s="63"/>
      <c r="BB236" s="63"/>
      <c r="BC236" s="63"/>
      <c r="BD236" s="63"/>
      <c r="BE236" s="63"/>
      <c r="BF236" s="63"/>
      <c r="BG236" s="63"/>
      <c r="BH236" s="63"/>
      <c r="BI236" s="63"/>
      <c r="BJ236" s="63"/>
      <c r="BK236" s="63"/>
      <c r="BL236" s="63"/>
      <c r="BM236" s="63"/>
      <c r="BN236" s="63"/>
      <c r="BO236" s="63"/>
      <c r="BP236" s="63"/>
      <c r="BQ236" s="63"/>
      <c r="BR236" s="63"/>
    </row>
    <row r="237" spans="1:70" ht="16.5">
      <c r="A237" s="63"/>
      <c r="B237" s="63"/>
      <c r="C237" s="63"/>
      <c r="D237" s="63"/>
      <c r="E237" s="63"/>
      <c r="F237" s="63"/>
      <c r="G237" s="63"/>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c r="AE237" s="63"/>
      <c r="AF237" s="63"/>
      <c r="AG237" s="63"/>
      <c r="AH237" s="63"/>
      <c r="AI237" s="63"/>
      <c r="AJ237" s="63"/>
      <c r="AK237" s="63"/>
      <c r="AL237" s="63"/>
      <c r="AM237" s="63"/>
      <c r="AN237" s="63"/>
      <c r="AO237" s="63"/>
      <c r="AP237" s="63"/>
      <c r="AQ237" s="63"/>
      <c r="AR237" s="63"/>
      <c r="AS237" s="63"/>
      <c r="AT237" s="63"/>
      <c r="AU237" s="63"/>
      <c r="AV237" s="63"/>
      <c r="AW237" s="63"/>
      <c r="AX237" s="63"/>
      <c r="AY237" s="63"/>
      <c r="AZ237" s="63"/>
      <c r="BA237" s="63"/>
      <c r="BB237" s="63"/>
      <c r="BC237" s="63"/>
      <c r="BD237" s="63"/>
      <c r="BE237" s="63"/>
      <c r="BF237" s="63"/>
      <c r="BG237" s="63"/>
      <c r="BH237" s="63"/>
      <c r="BI237" s="63"/>
      <c r="BJ237" s="63"/>
      <c r="BK237" s="63"/>
      <c r="BL237" s="63"/>
      <c r="BM237" s="63"/>
      <c r="BN237" s="63"/>
      <c r="BO237" s="63"/>
      <c r="BP237" s="63"/>
      <c r="BQ237" s="63"/>
      <c r="BR237" s="63"/>
    </row>
    <row r="238" spans="1:70" ht="16.5">
      <c r="A238" s="63"/>
      <c r="B238" s="63"/>
      <c r="C238" s="63"/>
      <c r="D238" s="63"/>
      <c r="E238" s="63"/>
      <c r="F238" s="63"/>
      <c r="G238" s="63"/>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c r="AE238" s="63"/>
      <c r="AF238" s="63"/>
      <c r="AG238" s="63"/>
      <c r="AH238" s="63"/>
      <c r="AI238" s="63"/>
      <c r="AJ238" s="63"/>
      <c r="AK238" s="63"/>
      <c r="AL238" s="63"/>
      <c r="AM238" s="63"/>
      <c r="AN238" s="63"/>
      <c r="AO238" s="63"/>
      <c r="AP238" s="63"/>
      <c r="AQ238" s="63"/>
      <c r="AR238" s="63"/>
      <c r="AS238" s="63"/>
      <c r="AT238" s="63"/>
      <c r="AU238" s="63"/>
      <c r="AV238" s="63"/>
      <c r="AW238" s="63"/>
      <c r="AX238" s="63"/>
      <c r="AY238" s="63"/>
      <c r="AZ238" s="63"/>
      <c r="BA238" s="63"/>
      <c r="BB238" s="63"/>
      <c r="BC238" s="63"/>
      <c r="BD238" s="63"/>
      <c r="BE238" s="63"/>
      <c r="BF238" s="63"/>
      <c r="BG238" s="63"/>
      <c r="BH238" s="63"/>
      <c r="BI238" s="63"/>
      <c r="BJ238" s="63"/>
      <c r="BK238" s="63"/>
      <c r="BL238" s="63"/>
      <c r="BM238" s="63"/>
      <c r="BN238" s="63"/>
      <c r="BO238" s="63"/>
      <c r="BP238" s="63"/>
      <c r="BQ238" s="63"/>
      <c r="BR238" s="63"/>
    </row>
    <row r="239" spans="1:70" ht="16.5">
      <c r="A239" s="63"/>
      <c r="B239" s="63"/>
      <c r="C239" s="63"/>
      <c r="D239" s="63"/>
      <c r="E239" s="63"/>
      <c r="F239" s="63"/>
      <c r="G239" s="63"/>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c r="AE239" s="63"/>
      <c r="AF239" s="63"/>
      <c r="AG239" s="63"/>
      <c r="AH239" s="63"/>
      <c r="AI239" s="63"/>
      <c r="AJ239" s="63"/>
      <c r="AK239" s="63"/>
      <c r="AL239" s="63"/>
      <c r="AM239" s="63"/>
      <c r="AN239" s="63"/>
      <c r="AO239" s="63"/>
      <c r="AP239" s="63"/>
      <c r="AQ239" s="63"/>
      <c r="AR239" s="63"/>
      <c r="AS239" s="63"/>
      <c r="AT239" s="63"/>
      <c r="AU239" s="63"/>
      <c r="AV239" s="63"/>
      <c r="AW239" s="63"/>
      <c r="AX239" s="63"/>
      <c r="AY239" s="63"/>
      <c r="AZ239" s="63"/>
      <c r="BA239" s="63"/>
      <c r="BB239" s="63"/>
      <c r="BC239" s="63"/>
      <c r="BD239" s="63"/>
      <c r="BE239" s="63"/>
      <c r="BF239" s="63"/>
      <c r="BG239" s="63"/>
      <c r="BH239" s="63"/>
      <c r="BI239" s="63"/>
      <c r="BJ239" s="63"/>
      <c r="BK239" s="63"/>
      <c r="BL239" s="63"/>
      <c r="BM239" s="63"/>
      <c r="BN239" s="63"/>
      <c r="BO239" s="63"/>
      <c r="BP239" s="63"/>
      <c r="BQ239" s="63"/>
      <c r="BR239" s="63"/>
    </row>
    <row r="240" spans="1:70" ht="16.5">
      <c r="A240" s="63"/>
      <c r="B240" s="63"/>
      <c r="C240" s="63"/>
      <c r="D240" s="63"/>
      <c r="E240" s="63"/>
      <c r="F240" s="63"/>
      <c r="G240" s="63"/>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c r="AE240" s="63"/>
      <c r="AF240" s="63"/>
      <c r="AG240" s="63"/>
      <c r="AH240" s="63"/>
      <c r="AI240" s="63"/>
      <c r="AJ240" s="63"/>
      <c r="AK240" s="63"/>
      <c r="AL240" s="63"/>
      <c r="AM240" s="63"/>
      <c r="AN240" s="63"/>
      <c r="AO240" s="63"/>
      <c r="AP240" s="63"/>
      <c r="AQ240" s="63"/>
      <c r="AR240" s="63"/>
      <c r="AS240" s="63"/>
      <c r="AT240" s="63"/>
      <c r="AU240" s="63"/>
      <c r="AV240" s="63"/>
      <c r="AW240" s="63"/>
      <c r="AX240" s="63"/>
      <c r="AY240" s="63"/>
      <c r="AZ240" s="63"/>
      <c r="BA240" s="63"/>
      <c r="BB240" s="63"/>
      <c r="BC240" s="63"/>
      <c r="BD240" s="63"/>
      <c r="BE240" s="63"/>
      <c r="BF240" s="63"/>
      <c r="BG240" s="63"/>
      <c r="BH240" s="63"/>
      <c r="BI240" s="63"/>
      <c r="BJ240" s="63"/>
      <c r="BK240" s="63"/>
      <c r="BL240" s="63"/>
      <c r="BM240" s="63"/>
      <c r="BN240" s="63"/>
      <c r="BO240" s="63"/>
      <c r="BP240" s="63"/>
      <c r="BQ240" s="63"/>
      <c r="BR240" s="63"/>
    </row>
    <row r="241" spans="1:70" ht="16.5">
      <c r="A241" s="63"/>
      <c r="B241" s="63"/>
      <c r="C241" s="63"/>
      <c r="D241" s="63"/>
      <c r="E241" s="63"/>
      <c r="F241" s="63"/>
      <c r="G241" s="63"/>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c r="AE241" s="63"/>
      <c r="AF241" s="63"/>
      <c r="AG241" s="63"/>
      <c r="AH241" s="63"/>
      <c r="AI241" s="63"/>
      <c r="AJ241" s="63"/>
      <c r="AK241" s="63"/>
      <c r="AL241" s="63"/>
      <c r="AM241" s="63"/>
      <c r="AN241" s="63"/>
      <c r="AO241" s="63"/>
      <c r="AP241" s="63"/>
      <c r="AQ241" s="63"/>
      <c r="AR241" s="63"/>
      <c r="AS241" s="63"/>
      <c r="AT241" s="63"/>
      <c r="AU241" s="63"/>
      <c r="AV241" s="63"/>
      <c r="AW241" s="63"/>
      <c r="AX241" s="63"/>
      <c r="AY241" s="63"/>
      <c r="AZ241" s="63"/>
      <c r="BA241" s="63"/>
      <c r="BB241" s="63"/>
      <c r="BC241" s="63"/>
      <c r="BD241" s="63"/>
      <c r="BE241" s="63"/>
      <c r="BF241" s="63"/>
      <c r="BG241" s="63"/>
      <c r="BH241" s="63"/>
      <c r="BI241" s="63"/>
      <c r="BJ241" s="63"/>
      <c r="BK241" s="63"/>
      <c r="BL241" s="63"/>
      <c r="BM241" s="63"/>
      <c r="BN241" s="63"/>
      <c r="BO241" s="63"/>
      <c r="BP241" s="63"/>
      <c r="BQ241" s="63"/>
      <c r="BR241" s="63"/>
    </row>
    <row r="242" spans="1:70" ht="16.5">
      <c r="A242" s="63"/>
      <c r="B242" s="63"/>
      <c r="C242" s="63"/>
      <c r="D242" s="63"/>
      <c r="E242" s="63"/>
      <c r="F242" s="63"/>
      <c r="G242" s="63"/>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c r="AE242" s="63"/>
      <c r="AF242" s="63"/>
      <c r="AG242" s="63"/>
      <c r="AH242" s="63"/>
      <c r="AI242" s="63"/>
      <c r="AJ242" s="63"/>
      <c r="AK242" s="63"/>
      <c r="AL242" s="63"/>
      <c r="AM242" s="63"/>
      <c r="AN242" s="63"/>
      <c r="AO242" s="63"/>
      <c r="AP242" s="63"/>
      <c r="AQ242" s="63"/>
      <c r="AR242" s="63"/>
      <c r="AS242" s="63"/>
      <c r="AT242" s="63"/>
      <c r="AU242" s="63"/>
      <c r="AV242" s="63"/>
      <c r="AW242" s="63"/>
      <c r="AX242" s="63"/>
      <c r="AY242" s="63"/>
      <c r="AZ242" s="63"/>
      <c r="BA242" s="63"/>
      <c r="BB242" s="63"/>
      <c r="BC242" s="63"/>
      <c r="BD242" s="63"/>
      <c r="BE242" s="63"/>
      <c r="BF242" s="63"/>
      <c r="BG242" s="63"/>
      <c r="BH242" s="63"/>
      <c r="BI242" s="63"/>
      <c r="BJ242" s="63"/>
      <c r="BK242" s="63"/>
      <c r="BL242" s="63"/>
      <c r="BM242" s="63"/>
      <c r="BN242" s="63"/>
      <c r="BO242" s="63"/>
      <c r="BP242" s="63"/>
      <c r="BQ242" s="63"/>
      <c r="BR242" s="63"/>
    </row>
    <row r="243" spans="1:70" ht="16.5">
      <c r="A243" s="63"/>
      <c r="B243" s="63"/>
      <c r="C243" s="63"/>
      <c r="D243" s="63"/>
      <c r="E243" s="63"/>
      <c r="F243" s="63"/>
      <c r="G243" s="63"/>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c r="AE243" s="63"/>
      <c r="AF243" s="63"/>
      <c r="AG243" s="63"/>
      <c r="AH243" s="63"/>
      <c r="AI243" s="63"/>
      <c r="AJ243" s="63"/>
      <c r="AK243" s="63"/>
      <c r="AL243" s="63"/>
      <c r="AM243" s="63"/>
      <c r="AN243" s="63"/>
      <c r="AO243" s="63"/>
      <c r="AP243" s="63"/>
      <c r="AQ243" s="63"/>
      <c r="AR243" s="63"/>
      <c r="AS243" s="63"/>
      <c r="AT243" s="63"/>
      <c r="AU243" s="63"/>
      <c r="AV243" s="63"/>
      <c r="AW243" s="63"/>
      <c r="AX243" s="63"/>
      <c r="AY243" s="63"/>
      <c r="AZ243" s="63"/>
      <c r="BA243" s="63"/>
      <c r="BB243" s="63"/>
      <c r="BC243" s="63"/>
      <c r="BD243" s="63"/>
      <c r="BE243" s="63"/>
      <c r="BF243" s="63"/>
      <c r="BG243" s="63"/>
      <c r="BH243" s="63"/>
      <c r="BI243" s="63"/>
      <c r="BJ243" s="63"/>
      <c r="BK243" s="63"/>
      <c r="BL243" s="63"/>
      <c r="BM243" s="63"/>
      <c r="BN243" s="63"/>
      <c r="BO243" s="63"/>
      <c r="BP243" s="63"/>
      <c r="BQ243" s="63"/>
      <c r="BR243" s="63"/>
    </row>
    <row r="244" spans="1:70" ht="16.5">
      <c r="A244" s="63"/>
      <c r="B244" s="63"/>
      <c r="C244" s="63"/>
      <c r="D244" s="63"/>
      <c r="E244" s="63"/>
      <c r="F244" s="63"/>
      <c r="G244" s="63"/>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c r="AE244" s="63"/>
      <c r="AF244" s="63"/>
      <c r="AG244" s="63"/>
      <c r="AH244" s="63"/>
      <c r="AI244" s="63"/>
      <c r="AJ244" s="63"/>
      <c r="AK244" s="63"/>
      <c r="AL244" s="63"/>
      <c r="AM244" s="63"/>
      <c r="AN244" s="63"/>
      <c r="AO244" s="63"/>
      <c r="AP244" s="63"/>
      <c r="AQ244" s="63"/>
      <c r="AR244" s="63"/>
      <c r="AS244" s="63"/>
      <c r="AT244" s="63"/>
      <c r="AU244" s="63"/>
      <c r="AV244" s="63"/>
      <c r="AW244" s="63"/>
      <c r="AX244" s="63"/>
      <c r="AY244" s="63"/>
      <c r="AZ244" s="63"/>
      <c r="BA244" s="63"/>
      <c r="BB244" s="63"/>
      <c r="BC244" s="63"/>
      <c r="BD244" s="63"/>
      <c r="BE244" s="63"/>
      <c r="BF244" s="63"/>
      <c r="BG244" s="63"/>
      <c r="BH244" s="63"/>
      <c r="BI244" s="63"/>
      <c r="BJ244" s="63"/>
      <c r="BK244" s="63"/>
      <c r="BL244" s="63"/>
      <c r="BM244" s="63"/>
      <c r="BN244" s="63"/>
      <c r="BO244" s="63"/>
      <c r="BP244" s="63"/>
      <c r="BQ244" s="63"/>
      <c r="BR244" s="63"/>
    </row>
    <row r="245" spans="1:70" ht="16.5">
      <c r="A245" s="63"/>
      <c r="B245" s="63"/>
      <c r="C245" s="63"/>
      <c r="D245" s="63"/>
      <c r="E245" s="63"/>
      <c r="F245" s="63"/>
      <c r="G245" s="63"/>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c r="AE245" s="63"/>
      <c r="AF245" s="63"/>
      <c r="AG245" s="63"/>
      <c r="AH245" s="63"/>
      <c r="AI245" s="63"/>
      <c r="AJ245" s="63"/>
      <c r="AK245" s="63"/>
      <c r="AL245" s="63"/>
      <c r="AM245" s="63"/>
      <c r="AN245" s="63"/>
      <c r="AO245" s="63"/>
      <c r="AP245" s="63"/>
      <c r="AQ245" s="63"/>
      <c r="AR245" s="63"/>
      <c r="AS245" s="63"/>
      <c r="AT245" s="63"/>
      <c r="AU245" s="63"/>
      <c r="AV245" s="63"/>
      <c r="AW245" s="63"/>
      <c r="AX245" s="63"/>
      <c r="AY245" s="63"/>
      <c r="AZ245" s="63"/>
      <c r="BA245" s="63"/>
      <c r="BB245" s="63"/>
      <c r="BC245" s="63"/>
      <c r="BD245" s="63"/>
      <c r="BE245" s="63"/>
      <c r="BF245" s="63"/>
      <c r="BG245" s="63"/>
      <c r="BH245" s="63"/>
      <c r="BI245" s="63"/>
      <c r="BJ245" s="63"/>
      <c r="BK245" s="63"/>
      <c r="BL245" s="63"/>
      <c r="BM245" s="63"/>
      <c r="BN245" s="63"/>
      <c r="BO245" s="63"/>
      <c r="BP245" s="63"/>
      <c r="BQ245" s="63"/>
      <c r="BR245" s="63"/>
    </row>
    <row r="246" spans="1:70" ht="16.5">
      <c r="A246" s="63"/>
      <c r="B246" s="63"/>
      <c r="C246" s="63"/>
      <c r="D246" s="63"/>
      <c r="E246" s="63"/>
      <c r="F246" s="63"/>
      <c r="G246" s="63"/>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c r="AE246" s="63"/>
      <c r="AF246" s="63"/>
      <c r="AG246" s="63"/>
      <c r="AH246" s="63"/>
      <c r="AI246" s="63"/>
      <c r="AJ246" s="63"/>
      <c r="AK246" s="63"/>
      <c r="AL246" s="63"/>
      <c r="AM246" s="63"/>
      <c r="AN246" s="63"/>
      <c r="AO246" s="63"/>
      <c r="AP246" s="63"/>
      <c r="AQ246" s="63"/>
      <c r="AR246" s="63"/>
      <c r="AS246" s="63"/>
      <c r="AT246" s="63"/>
      <c r="AU246" s="63"/>
      <c r="AV246" s="63"/>
      <c r="AW246" s="63"/>
      <c r="AX246" s="63"/>
      <c r="AY246" s="63"/>
      <c r="AZ246" s="63"/>
      <c r="BA246" s="63"/>
      <c r="BB246" s="63"/>
      <c r="BC246" s="63"/>
      <c r="BD246" s="63"/>
      <c r="BE246" s="63"/>
      <c r="BF246" s="63"/>
      <c r="BG246" s="63"/>
      <c r="BH246" s="63"/>
      <c r="BI246" s="63"/>
      <c r="BJ246" s="63"/>
      <c r="BK246" s="63"/>
      <c r="BL246" s="63"/>
      <c r="BM246" s="63"/>
      <c r="BN246" s="63"/>
      <c r="BO246" s="63"/>
      <c r="BP246" s="63"/>
      <c r="BQ246" s="63"/>
      <c r="BR246" s="63"/>
    </row>
    <row r="247" spans="1:70" ht="16.5">
      <c r="A247" s="63"/>
      <c r="B247" s="63"/>
      <c r="C247" s="63"/>
      <c r="D247" s="63"/>
      <c r="E247" s="63"/>
      <c r="F247" s="63"/>
      <c r="G247" s="63"/>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c r="AE247" s="63"/>
      <c r="AF247" s="63"/>
      <c r="AG247" s="63"/>
      <c r="AH247" s="63"/>
      <c r="AI247" s="63"/>
      <c r="AJ247" s="63"/>
      <c r="AK247" s="63"/>
      <c r="AL247" s="63"/>
      <c r="AM247" s="63"/>
      <c r="AN247" s="63"/>
      <c r="AO247" s="63"/>
      <c r="AP247" s="63"/>
      <c r="AQ247" s="63"/>
      <c r="AR247" s="63"/>
      <c r="AS247" s="63"/>
      <c r="AT247" s="63"/>
      <c r="AU247" s="63"/>
      <c r="AV247" s="63"/>
      <c r="AW247" s="63"/>
      <c r="AX247" s="63"/>
      <c r="AY247" s="63"/>
      <c r="AZ247" s="63"/>
      <c r="BA247" s="63"/>
      <c r="BB247" s="63"/>
      <c r="BC247" s="63"/>
      <c r="BD247" s="63"/>
      <c r="BE247" s="63"/>
      <c r="BF247" s="63"/>
      <c r="BG247" s="63"/>
      <c r="BH247" s="63"/>
      <c r="BI247" s="63"/>
      <c r="BJ247" s="63"/>
      <c r="BK247" s="63"/>
      <c r="BL247" s="63"/>
      <c r="BM247" s="63"/>
      <c r="BN247" s="63"/>
      <c r="BO247" s="63"/>
      <c r="BP247" s="63"/>
      <c r="BQ247" s="63"/>
      <c r="BR247" s="63"/>
    </row>
    <row r="248" spans="1:70" ht="16.5">
      <c r="A248" s="63"/>
      <c r="B248" s="63"/>
      <c r="C248" s="63"/>
      <c r="D248" s="63"/>
      <c r="E248" s="63"/>
      <c r="F248" s="63"/>
      <c r="G248" s="63"/>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c r="AM248" s="63"/>
      <c r="AN248" s="63"/>
      <c r="AO248" s="63"/>
      <c r="AP248" s="63"/>
      <c r="AQ248" s="63"/>
      <c r="AR248" s="63"/>
      <c r="AS248" s="63"/>
      <c r="AT248" s="63"/>
      <c r="AU248" s="63"/>
      <c r="AV248" s="63"/>
      <c r="AW248" s="63"/>
      <c r="AX248" s="63"/>
      <c r="AY248" s="63"/>
      <c r="AZ248" s="63"/>
      <c r="BA248" s="63"/>
      <c r="BB248" s="63"/>
      <c r="BC248" s="63"/>
      <c r="BD248" s="63"/>
      <c r="BE248" s="63"/>
      <c r="BF248" s="63"/>
      <c r="BG248" s="63"/>
      <c r="BH248" s="63"/>
      <c r="BI248" s="63"/>
      <c r="BJ248" s="63"/>
      <c r="BK248" s="63"/>
      <c r="BL248" s="63"/>
      <c r="BM248" s="63"/>
      <c r="BN248" s="63"/>
      <c r="BO248" s="63"/>
      <c r="BP248" s="63"/>
      <c r="BQ248" s="63"/>
      <c r="BR248" s="63"/>
    </row>
    <row r="249" spans="1:70" ht="16.5">
      <c r="A249" s="63"/>
      <c r="B249" s="63"/>
      <c r="C249" s="63"/>
      <c r="D249" s="63"/>
      <c r="E249" s="63"/>
      <c r="F249" s="63"/>
      <c r="G249" s="63"/>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63"/>
      <c r="AK249" s="63"/>
      <c r="AL249" s="63"/>
      <c r="AM249" s="63"/>
      <c r="AN249" s="63"/>
      <c r="AO249" s="63"/>
      <c r="AP249" s="63"/>
      <c r="AQ249" s="63"/>
      <c r="AR249" s="63"/>
      <c r="AS249" s="63"/>
      <c r="AT249" s="63"/>
      <c r="AU249" s="63"/>
      <c r="AV249" s="63"/>
      <c r="AW249" s="63"/>
      <c r="AX249" s="63"/>
      <c r="AY249" s="63"/>
      <c r="AZ249" s="63"/>
      <c r="BA249" s="63"/>
      <c r="BB249" s="63"/>
      <c r="BC249" s="63"/>
      <c r="BD249" s="63"/>
      <c r="BE249" s="63"/>
      <c r="BF249" s="63"/>
      <c r="BG249" s="63"/>
      <c r="BH249" s="63"/>
      <c r="BI249" s="63"/>
      <c r="BJ249" s="63"/>
      <c r="BK249" s="63"/>
      <c r="BL249" s="63"/>
      <c r="BM249" s="63"/>
      <c r="BN249" s="63"/>
      <c r="BO249" s="63"/>
      <c r="BP249" s="63"/>
      <c r="BQ249" s="63"/>
      <c r="BR249" s="63"/>
    </row>
    <row r="250" spans="1:70" ht="16.5">
      <c r="A250" s="63"/>
      <c r="B250" s="63"/>
      <c r="C250" s="63"/>
      <c r="D250" s="63"/>
      <c r="E250" s="63"/>
      <c r="F250" s="63"/>
      <c r="G250" s="63"/>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c r="AM250" s="63"/>
      <c r="AN250" s="63"/>
      <c r="AO250" s="63"/>
      <c r="AP250" s="63"/>
      <c r="AQ250" s="63"/>
      <c r="AR250" s="63"/>
      <c r="AS250" s="63"/>
      <c r="AT250" s="63"/>
      <c r="AU250" s="63"/>
      <c r="AV250" s="63"/>
      <c r="AW250" s="63"/>
      <c r="AX250" s="63"/>
      <c r="AY250" s="63"/>
      <c r="AZ250" s="63"/>
      <c r="BA250" s="63"/>
      <c r="BB250" s="63"/>
      <c r="BC250" s="63"/>
      <c r="BD250" s="63"/>
      <c r="BE250" s="63"/>
      <c r="BF250" s="63"/>
      <c r="BG250" s="63"/>
      <c r="BH250" s="63"/>
      <c r="BI250" s="63"/>
      <c r="BJ250" s="63"/>
      <c r="BK250" s="63"/>
      <c r="BL250" s="63"/>
      <c r="BM250" s="63"/>
      <c r="BN250" s="63"/>
      <c r="BO250" s="63"/>
      <c r="BP250" s="63"/>
      <c r="BQ250" s="63"/>
      <c r="BR250" s="63"/>
    </row>
    <row r="251" spans="1:70" ht="16.5">
      <c r="A251" s="63"/>
      <c r="B251" s="63"/>
      <c r="C251" s="63"/>
      <c r="D251" s="63"/>
      <c r="E251" s="63"/>
      <c r="F251" s="63"/>
      <c r="G251" s="63"/>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c r="AM251" s="63"/>
      <c r="AN251" s="63"/>
      <c r="AO251" s="63"/>
      <c r="AP251" s="63"/>
      <c r="AQ251" s="63"/>
      <c r="AR251" s="63"/>
      <c r="AS251" s="63"/>
      <c r="AT251" s="63"/>
      <c r="AU251" s="63"/>
      <c r="AV251" s="63"/>
      <c r="AW251" s="63"/>
      <c r="AX251" s="63"/>
      <c r="AY251" s="63"/>
      <c r="AZ251" s="63"/>
      <c r="BA251" s="63"/>
      <c r="BB251" s="63"/>
      <c r="BC251" s="63"/>
      <c r="BD251" s="63"/>
      <c r="BE251" s="63"/>
      <c r="BF251" s="63"/>
      <c r="BG251" s="63"/>
      <c r="BH251" s="63"/>
      <c r="BI251" s="63"/>
      <c r="BJ251" s="63"/>
      <c r="BK251" s="63"/>
      <c r="BL251" s="63"/>
      <c r="BM251" s="63"/>
      <c r="BN251" s="63"/>
      <c r="BO251" s="63"/>
      <c r="BP251" s="63"/>
      <c r="BQ251" s="63"/>
      <c r="BR251" s="63"/>
    </row>
    <row r="252" spans="1:70" ht="16.5">
      <c r="A252" s="63"/>
      <c r="B252" s="63"/>
      <c r="C252" s="63"/>
      <c r="D252" s="63"/>
      <c r="E252" s="63"/>
      <c r="F252" s="63"/>
      <c r="G252" s="63"/>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c r="AM252" s="63"/>
      <c r="AN252" s="63"/>
      <c r="AO252" s="63"/>
      <c r="AP252" s="63"/>
      <c r="AQ252" s="63"/>
      <c r="AR252" s="63"/>
      <c r="AS252" s="63"/>
      <c r="AT252" s="63"/>
      <c r="AU252" s="63"/>
      <c r="AV252" s="63"/>
      <c r="AW252" s="63"/>
      <c r="AX252" s="63"/>
      <c r="AY252" s="63"/>
      <c r="AZ252" s="63"/>
      <c r="BA252" s="63"/>
      <c r="BB252" s="63"/>
      <c r="BC252" s="63"/>
      <c r="BD252" s="63"/>
      <c r="BE252" s="63"/>
      <c r="BF252" s="63"/>
      <c r="BG252" s="63"/>
      <c r="BH252" s="63"/>
      <c r="BI252" s="63"/>
      <c r="BJ252" s="63"/>
      <c r="BK252" s="63"/>
      <c r="BL252" s="63"/>
      <c r="BM252" s="63"/>
      <c r="BN252" s="63"/>
      <c r="BO252" s="63"/>
      <c r="BP252" s="63"/>
      <c r="BQ252" s="63"/>
      <c r="BR252" s="6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B2:AB62"/>
  <sheetViews>
    <sheetView workbookViewId="0">
      <selection activeCell="I22" sqref="I22"/>
    </sheetView>
  </sheetViews>
  <sheetFormatPr defaultRowHeight="12.3"/>
  <cols>
    <col min="2" max="2" width="10.83203125" bestFit="1" customWidth="1"/>
    <col min="12" max="12" width="11.83203125" customWidth="1"/>
    <col min="13" max="13" width="11.44140625" customWidth="1"/>
    <col min="16" max="16" width="11.44140625" bestFit="1" customWidth="1"/>
  </cols>
  <sheetData>
    <row r="2" spans="2:26">
      <c r="J2" s="7" t="s">
        <v>866</v>
      </c>
      <c r="M2" s="22" t="e">
        <f>'Prices for Graph'!K12</f>
        <v>#N/A</v>
      </c>
      <c r="X2" s="7" t="s">
        <v>866</v>
      </c>
      <c r="Z2" s="22" t="e">
        <f>'Prices for Graph'!N12</f>
        <v>#N/A</v>
      </c>
    </row>
    <row r="4" spans="2:26">
      <c r="L4" s="7" t="s">
        <v>842</v>
      </c>
      <c r="M4">
        <v>3</v>
      </c>
      <c r="X4" s="7" t="s">
        <v>842</v>
      </c>
      <c r="Z4">
        <v>3</v>
      </c>
    </row>
    <row r="7" spans="2:26">
      <c r="C7" s="7" t="str">
        <f>'Prices for Graph'!U4</f>
        <v>Maize</v>
      </c>
      <c r="M7" s="7" t="str">
        <f>C7</f>
        <v>Maize</v>
      </c>
      <c r="Z7" s="7" t="s">
        <v>822</v>
      </c>
    </row>
    <row r="8" spans="2:26">
      <c r="B8" s="7" t="s">
        <v>841</v>
      </c>
      <c r="C8">
        <f ca="1">AVERAGE(First)</f>
        <v>109.18175561728397</v>
      </c>
      <c r="L8" s="7" t="s">
        <v>841</v>
      </c>
      <c r="M8" s="14">
        <f ca="1">AVERAGE(LN_First)</f>
        <v>6.7451531089098727E-3</v>
      </c>
      <c r="X8" s="7" t="s">
        <v>841</v>
      </c>
      <c r="Z8">
        <f ca="1">AVERAGE(LN_second)</f>
        <v>1.0476047246022097E-2</v>
      </c>
    </row>
    <row r="9" spans="2:26">
      <c r="B9" s="7" t="s">
        <v>817</v>
      </c>
      <c r="C9">
        <f ca="1">STDEV(First)</f>
        <v>22.230267126188785</v>
      </c>
      <c r="L9" s="7" t="s">
        <v>817</v>
      </c>
      <c r="M9" s="16">
        <f ca="1">STDEV(LN_First)</f>
        <v>5.3712541937213816E-2</v>
      </c>
      <c r="X9" s="7" t="s">
        <v>817</v>
      </c>
      <c r="Z9">
        <f ca="1">STDEV(LN_second)</f>
        <v>5.1787350808039118E-2</v>
      </c>
    </row>
    <row r="10" spans="2:26">
      <c r="B10" s="7" t="s">
        <v>823</v>
      </c>
      <c r="C10">
        <f ca="1">C8+4*C9</f>
        <v>198.10282412203912</v>
      </c>
      <c r="L10" s="7" t="s">
        <v>843</v>
      </c>
      <c r="M10" s="16">
        <f ca="1">M8+M4*M9</f>
        <v>0.16788277892055134</v>
      </c>
      <c r="X10" s="7" t="s">
        <v>843</v>
      </c>
      <c r="Z10">
        <f ca="1">Z8-Z4*Z9</f>
        <v>-0.14488600517809525</v>
      </c>
    </row>
    <row r="11" spans="2:26">
      <c r="B11" s="7" t="s">
        <v>824</v>
      </c>
      <c r="C11">
        <f ca="1">MAX(C9-4*C10,0)</f>
        <v>0</v>
      </c>
      <c r="L11" s="7" t="s">
        <v>844</v>
      </c>
      <c r="M11" s="14">
        <f ca="1">M8-M4*M9</f>
        <v>-0.15439247270273157</v>
      </c>
      <c r="X11" s="7" t="s">
        <v>844</v>
      </c>
      <c r="Z11">
        <f ca="1">Z8+Z9*Z4</f>
        <v>0.16583809967013946</v>
      </c>
    </row>
    <row r="13" spans="2:26">
      <c r="B13" s="7" t="s">
        <v>825</v>
      </c>
      <c r="C13">
        <v>40</v>
      </c>
      <c r="L13" s="7" t="s">
        <v>825</v>
      </c>
      <c r="M13">
        <v>40</v>
      </c>
      <c r="X13" s="7" t="s">
        <v>825</v>
      </c>
      <c r="Z13">
        <v>40</v>
      </c>
    </row>
    <row r="14" spans="2:26">
      <c r="B14" s="7" t="s">
        <v>826</v>
      </c>
      <c r="C14">
        <f ca="1">(C10-C11)/C13</f>
        <v>4.9525706030509777</v>
      </c>
      <c r="L14" s="7" t="s">
        <v>826</v>
      </c>
      <c r="M14">
        <f ca="1">(M10-M11)/M13</f>
        <v>8.0568812905820724E-3</v>
      </c>
      <c r="X14" s="7" t="s">
        <v>826</v>
      </c>
      <c r="Z14">
        <f ca="1">(Z11-Z10)/Z13</f>
        <v>7.7681026212058678E-3</v>
      </c>
    </row>
    <row r="21" spans="2:27">
      <c r="D21" s="7" t="s">
        <v>827</v>
      </c>
      <c r="E21" s="7" t="s">
        <v>828</v>
      </c>
      <c r="F21" s="7" t="s">
        <v>829</v>
      </c>
      <c r="I21" s="7"/>
      <c r="J21" s="7"/>
      <c r="L21" s="7"/>
      <c r="M21" s="7"/>
      <c r="N21" s="7" t="s">
        <v>827</v>
      </c>
      <c r="O21" s="7" t="s">
        <v>828</v>
      </c>
      <c r="P21" s="7" t="s">
        <v>829</v>
      </c>
      <c r="Y21" s="7" t="s">
        <v>827</v>
      </c>
      <c r="Z21" s="7" t="s">
        <v>828</v>
      </c>
      <c r="AA21" s="7" t="s">
        <v>829</v>
      </c>
    </row>
    <row r="22" spans="2:27">
      <c r="B22">
        <v>1</v>
      </c>
      <c r="C22">
        <f ca="1">C11</f>
        <v>0</v>
      </c>
      <c r="D22">
        <f t="array" aca="1" ref="D22:D61" ca="1">FREQUENCY(First,C22:C61)</f>
        <v>0</v>
      </c>
      <c r="E22">
        <f ca="1">D22/SUM($D$22:$D$61)</f>
        <v>0</v>
      </c>
      <c r="F22">
        <f ca="1">NORMDIST(C22,$C$8,$C$9,FALSE)*$C$14</f>
        <v>5.138079465942982E-7</v>
      </c>
      <c r="L22" s="17"/>
      <c r="M22" s="9">
        <f ca="1">M11</f>
        <v>-0.15439247270273157</v>
      </c>
      <c r="N22">
        <f t="array" aca="1" ref="N22:N61" ca="1">FREQUENCY(LN_First,M22:M61)</f>
        <v>1</v>
      </c>
      <c r="O22" s="15">
        <f ca="1">N22/(SUM($N$22:$N$61))</f>
        <v>1.2345679012345678E-2</v>
      </c>
      <c r="P22" s="15">
        <f ca="1">NORMDIST(M22,$M$8,$M$9,FALSE)*$M$14</f>
        <v>6.6477726179070106E-4</v>
      </c>
      <c r="X22" s="9">
        <f ca="1">Z10</f>
        <v>-0.14488600517809525</v>
      </c>
      <c r="Y22">
        <f t="array" aca="1" ref="Y22:Y61" ca="1">FREQUENCY(LN_second,X22:X61)</f>
        <v>1</v>
      </c>
      <c r="Z22" s="23">
        <f ca="1">Y22/SUM(Y:Y)</f>
        <v>1.2500000000000001E-2</v>
      </c>
      <c r="AA22">
        <f ca="1">NORMDIST(X22,$Z$8,$Z$9,0)*$Z$14</f>
        <v>6.6477726179070117E-4</v>
      </c>
    </row>
    <row r="23" spans="2:27">
      <c r="B23">
        <f>B22+1</f>
        <v>2</v>
      </c>
      <c r="C23">
        <f ca="1">C22+$C$14</f>
        <v>4.9525706030509777</v>
      </c>
      <c r="D23">
        <f ca="1"/>
        <v>0</v>
      </c>
      <c r="E23">
        <f t="shared" ref="E23:E61" ca="1" si="0">D23/SUM($D$22:$D$61)</f>
        <v>0</v>
      </c>
      <c r="F23">
        <f t="shared" ref="F23:F61" ca="1" si="1">NORMDIST(C23,$C$8,$C$9,FALSE)*$C$14</f>
        <v>1.4970017492824704E-6</v>
      </c>
      <c r="L23" s="17"/>
      <c r="M23" s="9">
        <f ca="1">M22+$M$14</f>
        <v>-0.1463355914121495</v>
      </c>
      <c r="N23">
        <f ca="1"/>
        <v>0</v>
      </c>
      <c r="O23" s="15">
        <f t="shared" ref="O23:O61" ca="1" si="2">N23/(SUM($N$22:$N$61))</f>
        <v>0</v>
      </c>
      <c r="P23" s="15">
        <f t="shared" ref="P23:P61" ca="1" si="3">NORMDIST(M23,$M$8,$M$9,FALSE)*$M$14</f>
        <v>1.0309150035920957E-3</v>
      </c>
      <c r="X23" s="9">
        <f ca="1">X22+$Z$14</f>
        <v>-0.13711790255688938</v>
      </c>
      <c r="Y23">
        <f ca="1"/>
        <v>1</v>
      </c>
      <c r="Z23" s="23">
        <f t="shared" ref="Z23:Z61" ca="1" si="4">Y23/SUM(Y:Y)</f>
        <v>1.2500000000000001E-2</v>
      </c>
      <c r="AA23">
        <f t="shared" ref="AA23:AA61" ca="1" si="5">NORMDIST(X23,$Z$8,$Z$9,0)*$Z$14</f>
        <v>1.0309150035920957E-3</v>
      </c>
    </row>
    <row r="24" spans="2:27">
      <c r="B24">
        <f t="shared" ref="B24:B61" si="6">B23+1</f>
        <v>3</v>
      </c>
      <c r="C24">
        <f t="shared" ref="C24:C61" ca="1" si="7">C23+$C$14</f>
        <v>9.9051412061019555</v>
      </c>
      <c r="D24">
        <f ca="1"/>
        <v>0</v>
      </c>
      <c r="E24">
        <f t="shared" ca="1" si="0"/>
        <v>0</v>
      </c>
      <c r="F24">
        <f t="shared" ca="1" si="1"/>
        <v>4.1503850329240164E-6</v>
      </c>
      <c r="L24" s="17"/>
      <c r="M24" s="9">
        <f t="shared" ref="M24:M61" ca="1" si="8">M23+$M$14</f>
        <v>-0.13827871012156742</v>
      </c>
      <c r="N24">
        <f ca="1"/>
        <v>0</v>
      </c>
      <c r="O24" s="15">
        <f t="shared" ca="1" si="2"/>
        <v>0</v>
      </c>
      <c r="P24" s="15">
        <f t="shared" ca="1" si="3"/>
        <v>1.5631402221633886E-3</v>
      </c>
      <c r="X24" s="9">
        <f t="shared" ref="X24:X61" ca="1" si="9">X23+$Z$14</f>
        <v>-0.12934979993568352</v>
      </c>
      <c r="Y24">
        <f ca="1"/>
        <v>0</v>
      </c>
      <c r="Z24" s="23">
        <f t="shared" ca="1" si="4"/>
        <v>0</v>
      </c>
      <c r="AA24">
        <f t="shared" ca="1" si="5"/>
        <v>1.5631402221633886E-3</v>
      </c>
    </row>
    <row r="25" spans="2:27">
      <c r="B25">
        <f t="shared" si="6"/>
        <v>4</v>
      </c>
      <c r="C25">
        <f t="shared" ca="1" si="7"/>
        <v>14.857711809152933</v>
      </c>
      <c r="D25">
        <f ca="1"/>
        <v>0</v>
      </c>
      <c r="E25">
        <f t="shared" ca="1" si="0"/>
        <v>0</v>
      </c>
      <c r="F25">
        <f t="shared" ca="1" si="1"/>
        <v>1.094962026730162E-5</v>
      </c>
      <c r="L25" s="17"/>
      <c r="M25" s="9">
        <f t="shared" ca="1" si="8"/>
        <v>-0.13022182883098535</v>
      </c>
      <c r="N25">
        <f ca="1"/>
        <v>0</v>
      </c>
      <c r="O25" s="15">
        <f t="shared" ca="1" si="2"/>
        <v>0</v>
      </c>
      <c r="P25" s="15">
        <f t="shared" ca="1" si="3"/>
        <v>2.317402070159276E-3</v>
      </c>
      <c r="X25" s="9">
        <f t="shared" ca="1" si="9"/>
        <v>-0.12158169731447765</v>
      </c>
      <c r="Y25">
        <f ca="1"/>
        <v>0</v>
      </c>
      <c r="Z25" s="23">
        <f t="shared" ca="1" si="4"/>
        <v>0</v>
      </c>
      <c r="AA25">
        <f t="shared" ca="1" si="5"/>
        <v>2.3174020701592739E-3</v>
      </c>
    </row>
    <row r="26" spans="2:27">
      <c r="B26">
        <f t="shared" si="6"/>
        <v>5</v>
      </c>
      <c r="C26">
        <f t="shared" ca="1" si="7"/>
        <v>19.810282412203911</v>
      </c>
      <c r="D26">
        <f ca="1"/>
        <v>0</v>
      </c>
      <c r="E26">
        <f t="shared" ca="1" si="0"/>
        <v>0</v>
      </c>
      <c r="F26">
        <f t="shared" ca="1" si="1"/>
        <v>2.7488707328061311E-5</v>
      </c>
      <c r="L26" s="17"/>
      <c r="M26" s="9">
        <f t="shared" ca="1" si="8"/>
        <v>-0.12216494754040327</v>
      </c>
      <c r="N26">
        <f ca="1"/>
        <v>0</v>
      </c>
      <c r="O26" s="15">
        <f t="shared" ca="1" si="2"/>
        <v>0</v>
      </c>
      <c r="P26" s="15">
        <f t="shared" ca="1" si="3"/>
        <v>3.3591795442264351E-3</v>
      </c>
      <c r="X26" s="9">
        <f t="shared" ca="1" si="9"/>
        <v>-0.11381359469327179</v>
      </c>
      <c r="Y26">
        <f ca="1"/>
        <v>0</v>
      </c>
      <c r="Z26" s="23">
        <f t="shared" ca="1" si="4"/>
        <v>0</v>
      </c>
      <c r="AA26">
        <f t="shared" ca="1" si="5"/>
        <v>3.3591795442264351E-3</v>
      </c>
    </row>
    <row r="27" spans="2:27">
      <c r="B27">
        <f t="shared" si="6"/>
        <v>6</v>
      </c>
      <c r="C27">
        <f t="shared" ca="1" si="7"/>
        <v>24.76285301525489</v>
      </c>
      <c r="D27">
        <f ca="1"/>
        <v>0</v>
      </c>
      <c r="E27">
        <f t="shared" ca="1" si="0"/>
        <v>0</v>
      </c>
      <c r="F27">
        <f t="shared" ca="1" si="1"/>
        <v>6.5668056937861092E-5</v>
      </c>
      <c r="L27" s="17"/>
      <c r="M27" s="9">
        <f t="shared" ca="1" si="8"/>
        <v>-0.1141080662498212</v>
      </c>
      <c r="N27">
        <f ca="1"/>
        <v>1</v>
      </c>
      <c r="O27" s="15">
        <f t="shared" ca="1" si="2"/>
        <v>1.2345679012345678E-2</v>
      </c>
      <c r="P27" s="15">
        <f t="shared" ca="1" si="3"/>
        <v>4.7609477753501172E-3</v>
      </c>
      <c r="X27" s="9">
        <f t="shared" ca="1" si="9"/>
        <v>-0.10604549207206593</v>
      </c>
      <c r="Y27">
        <f ca="1"/>
        <v>0</v>
      </c>
      <c r="Z27" s="23">
        <f t="shared" ca="1" si="4"/>
        <v>0</v>
      </c>
      <c r="AA27">
        <f t="shared" ca="1" si="5"/>
        <v>4.7609477753501129E-3</v>
      </c>
    </row>
    <row r="28" spans="2:27">
      <c r="B28">
        <f t="shared" si="6"/>
        <v>7</v>
      </c>
      <c r="C28">
        <f t="shared" ca="1" si="7"/>
        <v>29.71542361830587</v>
      </c>
      <c r="D28">
        <f ca="1"/>
        <v>0</v>
      </c>
      <c r="E28">
        <f t="shared" ca="1" si="0"/>
        <v>0</v>
      </c>
      <c r="F28">
        <f t="shared" ca="1" si="1"/>
        <v>1.4927896117640158E-4</v>
      </c>
      <c r="L28" s="17"/>
      <c r="M28" s="9">
        <f t="shared" ca="1" si="8"/>
        <v>-0.10605118495923913</v>
      </c>
      <c r="N28">
        <f ca="1"/>
        <v>1</v>
      </c>
      <c r="O28" s="15">
        <f t="shared" ca="1" si="2"/>
        <v>1.2345679012345678E-2</v>
      </c>
      <c r="P28" s="15">
        <f t="shared" ca="1" si="3"/>
        <v>6.5975393970640842E-3</v>
      </c>
      <c r="X28" s="9">
        <f t="shared" ca="1" si="9"/>
        <v>-9.8277389450860064E-2</v>
      </c>
      <c r="Y28">
        <f ca="1"/>
        <v>0</v>
      </c>
      <c r="Z28" s="23">
        <f t="shared" ca="1" si="4"/>
        <v>0</v>
      </c>
      <c r="AA28">
        <f t="shared" ca="1" si="5"/>
        <v>6.597539397064079E-3</v>
      </c>
    </row>
    <row r="29" spans="2:27">
      <c r="B29">
        <f t="shared" si="6"/>
        <v>8</v>
      </c>
      <c r="C29">
        <f t="shared" ca="1" si="7"/>
        <v>34.667994221356849</v>
      </c>
      <c r="D29">
        <f ca="1"/>
        <v>0</v>
      </c>
      <c r="E29">
        <f t="shared" ca="1" si="0"/>
        <v>0</v>
      </c>
      <c r="F29">
        <f t="shared" ca="1" si="1"/>
        <v>3.2291456312971429E-4</v>
      </c>
      <c r="L29" s="17"/>
      <c r="M29" s="9">
        <f t="shared" ca="1" si="8"/>
        <v>-9.7994303668657051E-2</v>
      </c>
      <c r="N29">
        <f ca="1"/>
        <v>1</v>
      </c>
      <c r="O29" s="15">
        <f t="shared" ca="1" si="2"/>
        <v>1.2345679012345678E-2</v>
      </c>
      <c r="P29" s="15">
        <f t="shared" ca="1" si="3"/>
        <v>8.9392059103224168E-3</v>
      </c>
      <c r="X29" s="9">
        <f t="shared" ca="1" si="9"/>
        <v>-9.0509286829654201E-2</v>
      </c>
      <c r="Y29">
        <f ca="1"/>
        <v>2</v>
      </c>
      <c r="Z29" s="23">
        <f t="shared" ca="1" si="4"/>
        <v>2.5000000000000001E-2</v>
      </c>
      <c r="AA29">
        <f t="shared" ca="1" si="5"/>
        <v>8.9392059103224047E-3</v>
      </c>
    </row>
    <row r="30" spans="2:27">
      <c r="B30">
        <f t="shared" si="6"/>
        <v>9</v>
      </c>
      <c r="C30">
        <f t="shared" ca="1" si="7"/>
        <v>39.620564824407829</v>
      </c>
      <c r="D30">
        <f ca="1"/>
        <v>0</v>
      </c>
      <c r="E30">
        <f t="shared" ca="1" si="0"/>
        <v>0</v>
      </c>
      <c r="F30">
        <f t="shared" ca="1" si="1"/>
        <v>6.6469321962543476E-4</v>
      </c>
      <c r="L30" s="17"/>
      <c r="M30" s="9">
        <f t="shared" ca="1" si="8"/>
        <v>-8.9937422378074977E-2</v>
      </c>
      <c r="N30">
        <f ca="1"/>
        <v>0</v>
      </c>
      <c r="O30" s="15">
        <f t="shared" ca="1" si="2"/>
        <v>0</v>
      </c>
      <c r="P30" s="15">
        <f t="shared" ca="1" si="3"/>
        <v>1.1842523745134132E-2</v>
      </c>
      <c r="X30" s="9">
        <f t="shared" ca="1" si="9"/>
        <v>-8.2741184208448337E-2</v>
      </c>
      <c r="Y30">
        <f ca="1"/>
        <v>0</v>
      </c>
      <c r="Z30" s="23">
        <f t="shared" ca="1" si="4"/>
        <v>0</v>
      </c>
      <c r="AA30">
        <f t="shared" ca="1" si="5"/>
        <v>1.1842523745134117E-2</v>
      </c>
    </row>
    <row r="31" spans="2:27">
      <c r="B31">
        <f t="shared" si="6"/>
        <v>10</v>
      </c>
      <c r="C31">
        <f t="shared" ca="1" si="7"/>
        <v>44.573135427458809</v>
      </c>
      <c r="D31">
        <f ca="1"/>
        <v>0</v>
      </c>
      <c r="E31">
        <f t="shared" ca="1" si="0"/>
        <v>0</v>
      </c>
      <c r="F31">
        <f t="shared" ca="1" si="1"/>
        <v>1.3019654363172798E-3</v>
      </c>
      <c r="L31" s="17"/>
      <c r="M31" s="9">
        <f t="shared" ca="1" si="8"/>
        <v>-8.1880541087492903E-2</v>
      </c>
      <c r="N31">
        <f ca="1"/>
        <v>0</v>
      </c>
      <c r="O31" s="15">
        <f t="shared" ca="1" si="2"/>
        <v>0</v>
      </c>
      <c r="P31" s="15">
        <f t="shared" ca="1" si="3"/>
        <v>1.5339738684596711E-2</v>
      </c>
      <c r="X31" s="9">
        <f t="shared" ca="1" si="9"/>
        <v>-7.4973081587242474E-2</v>
      </c>
      <c r="Y31">
        <f ca="1"/>
        <v>0</v>
      </c>
      <c r="Z31" s="23">
        <f ca="1">Y31/SUM(Y:Y)</f>
        <v>0</v>
      </c>
      <c r="AA31">
        <f t="shared" ca="1" si="5"/>
        <v>1.5339738684596696E-2</v>
      </c>
    </row>
    <row r="32" spans="2:27">
      <c r="B32">
        <f t="shared" si="6"/>
        <v>11</v>
      </c>
      <c r="C32">
        <f t="shared" ca="1" si="7"/>
        <v>49.525706030509788</v>
      </c>
      <c r="D32">
        <f ca="1"/>
        <v>0</v>
      </c>
      <c r="E32">
        <f t="shared" ca="1" si="0"/>
        <v>0</v>
      </c>
      <c r="F32">
        <f t="shared" ca="1" si="1"/>
        <v>2.4267344242178061E-3</v>
      </c>
      <c r="L32" s="17"/>
      <c r="M32" s="9">
        <f t="shared" ca="1" si="8"/>
        <v>-7.3823659796910829E-2</v>
      </c>
      <c r="N32">
        <f ca="1"/>
        <v>0</v>
      </c>
      <c r="O32" s="15">
        <f t="shared" ca="1" si="2"/>
        <v>0</v>
      </c>
      <c r="P32" s="15">
        <f t="shared" ca="1" si="3"/>
        <v>1.9427639349883771E-2</v>
      </c>
      <c r="X32" s="9">
        <f t="shared" ca="1" si="9"/>
        <v>-6.720497896603661E-2</v>
      </c>
      <c r="Y32">
        <f ca="1"/>
        <v>0</v>
      </c>
      <c r="Z32" s="23">
        <f t="shared" ca="1" si="4"/>
        <v>0</v>
      </c>
      <c r="AA32">
        <f t="shared" ca="1" si="5"/>
        <v>1.9427639349883747E-2</v>
      </c>
    </row>
    <row r="33" spans="2:27">
      <c r="B33">
        <f t="shared" si="6"/>
        <v>12</v>
      </c>
      <c r="C33">
        <f t="shared" ca="1" si="7"/>
        <v>54.478276633560768</v>
      </c>
      <c r="D33">
        <f ca="1"/>
        <v>0</v>
      </c>
      <c r="E33">
        <f t="shared" ca="1" si="0"/>
        <v>0</v>
      </c>
      <c r="F33">
        <f t="shared" ca="1" si="1"/>
        <v>4.3041721792626397E-3</v>
      </c>
      <c r="L33" s="17"/>
      <c r="M33" s="9">
        <f t="shared" ca="1" si="8"/>
        <v>-6.5766778506328755E-2</v>
      </c>
      <c r="N33">
        <f ca="1"/>
        <v>1</v>
      </c>
      <c r="O33" s="15">
        <f t="shared" ca="1" si="2"/>
        <v>1.2345679012345678E-2</v>
      </c>
      <c r="P33" s="15">
        <f t="shared" ca="1" si="3"/>
        <v>2.4057499101287957E-2</v>
      </c>
      <c r="X33" s="9">
        <f t="shared" ca="1" si="9"/>
        <v>-5.943687634483074E-2</v>
      </c>
      <c r="Y33">
        <f ca="1"/>
        <v>0</v>
      </c>
      <c r="Z33" s="23">
        <f t="shared" ca="1" si="4"/>
        <v>0</v>
      </c>
      <c r="AA33">
        <f t="shared" ca="1" si="5"/>
        <v>2.4057499101287926E-2</v>
      </c>
    </row>
    <row r="34" spans="2:27">
      <c r="B34">
        <f t="shared" si="6"/>
        <v>13</v>
      </c>
      <c r="C34">
        <f t="shared" ca="1" si="7"/>
        <v>59.430847236611747</v>
      </c>
      <c r="D34">
        <f ca="1"/>
        <v>0</v>
      </c>
      <c r="E34">
        <f t="shared" ca="1" si="0"/>
        <v>0</v>
      </c>
      <c r="F34">
        <f t="shared" ca="1" si="1"/>
        <v>7.264431127393672E-3</v>
      </c>
      <c r="L34" s="17"/>
      <c r="M34" s="9">
        <f t="shared" ca="1" si="8"/>
        <v>-5.7709897215746681E-2</v>
      </c>
      <c r="N34">
        <f ca="1"/>
        <v>1</v>
      </c>
      <c r="O34" s="15">
        <f t="shared" ca="1" si="2"/>
        <v>1.2345679012345678E-2</v>
      </c>
      <c r="P34" s="15">
        <f t="shared" ca="1" si="3"/>
        <v>2.912790824748196E-2</v>
      </c>
      <c r="X34" s="9">
        <f t="shared" ca="1" si="9"/>
        <v>-5.166877372362487E-2</v>
      </c>
      <c r="Y34">
        <f ca="1"/>
        <v>0</v>
      </c>
      <c r="Z34" s="23">
        <f t="shared" ca="1" si="4"/>
        <v>0</v>
      </c>
      <c r="AA34">
        <f t="shared" ca="1" si="5"/>
        <v>2.9127908247481928E-2</v>
      </c>
    </row>
    <row r="35" spans="2:27">
      <c r="B35">
        <f t="shared" si="6"/>
        <v>14</v>
      </c>
      <c r="C35">
        <f t="shared" ca="1" si="7"/>
        <v>64.383417839662727</v>
      </c>
      <c r="D35">
        <f ca="1"/>
        <v>0</v>
      </c>
      <c r="E35">
        <f t="shared" ca="1" si="0"/>
        <v>0</v>
      </c>
      <c r="F35">
        <f t="shared" ca="1" si="1"/>
        <v>1.1666972513745537E-2</v>
      </c>
      <c r="L35" s="17"/>
      <c r="M35" s="9">
        <f t="shared" ca="1" si="8"/>
        <v>-4.9653015925164606E-2</v>
      </c>
      <c r="N35">
        <f ca="1"/>
        <v>2</v>
      </c>
      <c r="O35" s="15">
        <f t="shared" ca="1" si="2"/>
        <v>2.4691358024691357E-2</v>
      </c>
      <c r="P35" s="15">
        <f t="shared" ca="1" si="3"/>
        <v>3.448232110263498E-2</v>
      </c>
      <c r="X35" s="9">
        <f t="shared" ca="1" si="9"/>
        <v>-4.3900671102418999E-2</v>
      </c>
      <c r="Y35">
        <f ca="1"/>
        <v>1</v>
      </c>
      <c r="Z35" s="23">
        <f t="shared" ca="1" si="4"/>
        <v>1.2500000000000001E-2</v>
      </c>
      <c r="AA35">
        <f t="shared" ca="1" si="5"/>
        <v>3.4482321102634932E-2</v>
      </c>
    </row>
    <row r="36" spans="2:27">
      <c r="B36">
        <f t="shared" si="6"/>
        <v>15</v>
      </c>
      <c r="C36">
        <f t="shared" ca="1" si="7"/>
        <v>69.335988442713699</v>
      </c>
      <c r="D36">
        <f ca="1"/>
        <v>0</v>
      </c>
      <c r="E36">
        <f t="shared" ca="1" si="0"/>
        <v>0</v>
      </c>
      <c r="F36">
        <f t="shared" ca="1" si="1"/>
        <v>1.7830327828190929E-2</v>
      </c>
      <c r="L36" s="17"/>
      <c r="M36" s="9">
        <f t="shared" ca="1" si="8"/>
        <v>-4.1596134634582532E-2</v>
      </c>
      <c r="N36">
        <f ca="1"/>
        <v>2</v>
      </c>
      <c r="O36" s="15">
        <f t="shared" ca="1" si="2"/>
        <v>2.4691358024691357E-2</v>
      </c>
      <c r="P36" s="15">
        <f t="shared" ca="1" si="3"/>
        <v>3.9912787484813243E-2</v>
      </c>
      <c r="X36" s="9">
        <f t="shared" ca="1" si="9"/>
        <v>-3.6132568481213129E-2</v>
      </c>
      <c r="Y36">
        <f ca="1"/>
        <v>3</v>
      </c>
      <c r="Z36" s="23">
        <f t="shared" ca="1" si="4"/>
        <v>3.7499999999999999E-2</v>
      </c>
      <c r="AA36">
        <f t="shared" ca="1" si="5"/>
        <v>3.9912787484813216E-2</v>
      </c>
    </row>
    <row r="37" spans="2:27">
      <c r="B37">
        <f t="shared" si="6"/>
        <v>16</v>
      </c>
      <c r="C37">
        <f t="shared" ca="1" si="7"/>
        <v>74.288559045764671</v>
      </c>
      <c r="D37">
        <f ca="1"/>
        <v>0</v>
      </c>
      <c r="E37">
        <f t="shared" ca="1" si="0"/>
        <v>0</v>
      </c>
      <c r="F37">
        <f t="shared" ca="1" si="1"/>
        <v>2.5930152507648775E-2</v>
      </c>
      <c r="L37" s="17"/>
      <c r="M37" s="9">
        <f t="shared" ca="1" si="8"/>
        <v>-3.3539253344000458E-2</v>
      </c>
      <c r="N37">
        <f ca="1"/>
        <v>7</v>
      </c>
      <c r="O37" s="15">
        <f t="shared" ca="1" si="2"/>
        <v>8.6419753086419748E-2</v>
      </c>
      <c r="P37" s="15">
        <f t="shared" ca="1" si="3"/>
        <v>4.5170614823220684E-2</v>
      </c>
      <c r="X37" s="9">
        <f t="shared" ca="1" si="9"/>
        <v>-2.8364465860007262E-2</v>
      </c>
      <c r="Y37">
        <f ca="1"/>
        <v>6</v>
      </c>
      <c r="Z37" s="23">
        <f t="shared" ca="1" si="4"/>
        <v>7.4999999999999997E-2</v>
      </c>
      <c r="AA37">
        <f t="shared" ca="1" si="5"/>
        <v>4.5170614823220656E-2</v>
      </c>
    </row>
    <row r="38" spans="2:27">
      <c r="B38">
        <f t="shared" si="6"/>
        <v>17</v>
      </c>
      <c r="C38">
        <f t="shared" ca="1" si="7"/>
        <v>79.241129648815644</v>
      </c>
      <c r="D38">
        <f ca="1"/>
        <v>0</v>
      </c>
      <c r="E38">
        <f t="shared" ca="1" si="0"/>
        <v>0</v>
      </c>
      <c r="F38">
        <f t="shared" ca="1" si="1"/>
        <v>3.5883550135501131E-2</v>
      </c>
      <c r="L38" s="17"/>
      <c r="M38" s="9">
        <f t="shared" ca="1" si="8"/>
        <v>-2.5482372053418384E-2</v>
      </c>
      <c r="N38">
        <f ca="1"/>
        <v>3</v>
      </c>
      <c r="O38" s="15">
        <f t="shared" ca="1" si="2"/>
        <v>3.7037037037037035E-2</v>
      </c>
      <c r="P38" s="15">
        <f t="shared" ca="1" si="3"/>
        <v>4.9983690433769969E-2</v>
      </c>
      <c r="X38" s="9">
        <f t="shared" ca="1" si="9"/>
        <v>-2.0596363238801395E-2</v>
      </c>
      <c r="Y38">
        <f ca="1"/>
        <v>5</v>
      </c>
      <c r="Z38" s="23">
        <f t="shared" ca="1" si="4"/>
        <v>6.25E-2</v>
      </c>
      <c r="AA38">
        <f t="shared" ca="1" si="5"/>
        <v>4.9983690433769934E-2</v>
      </c>
    </row>
    <row r="39" spans="2:27">
      <c r="B39">
        <f t="shared" si="6"/>
        <v>18</v>
      </c>
      <c r="C39">
        <f t="shared" ca="1" si="7"/>
        <v>84.193700251866616</v>
      </c>
      <c r="D39">
        <f ca="1"/>
        <v>2</v>
      </c>
      <c r="E39">
        <f t="shared" ca="1" si="0"/>
        <v>2.4691358024691357E-2</v>
      </c>
      <c r="F39">
        <f t="shared" ca="1" si="1"/>
        <v>4.7253102154629315E-2</v>
      </c>
      <c r="L39" s="17"/>
      <c r="M39" s="9">
        <f t="shared" ca="1" si="8"/>
        <v>-1.742549076283631E-2</v>
      </c>
      <c r="N39">
        <f ca="1"/>
        <v>6</v>
      </c>
      <c r="O39" s="15">
        <f t="shared" ca="1" si="2"/>
        <v>7.407407407407407E-2</v>
      </c>
      <c r="P39" s="15">
        <f t="shared" ca="1" si="3"/>
        <v>5.4079044369247216E-2</v>
      </c>
      <c r="X39" s="9">
        <f t="shared" ca="1" si="9"/>
        <v>-1.2828260617595528E-2</v>
      </c>
      <c r="Y39">
        <f ca="1"/>
        <v>1</v>
      </c>
      <c r="Z39" s="23">
        <f t="shared" ca="1" si="4"/>
        <v>1.2500000000000001E-2</v>
      </c>
      <c r="AA39">
        <f t="shared" ca="1" si="5"/>
        <v>5.4079044369247181E-2</v>
      </c>
    </row>
    <row r="40" spans="2:27">
      <c r="B40">
        <f t="shared" si="6"/>
        <v>19</v>
      </c>
      <c r="C40">
        <f t="shared" ca="1" si="7"/>
        <v>89.146270854917589</v>
      </c>
      <c r="D40">
        <f ca="1"/>
        <v>3</v>
      </c>
      <c r="E40">
        <f t="shared" ca="1" si="0"/>
        <v>3.7037037037037035E-2</v>
      </c>
      <c r="F40">
        <f t="shared" ca="1" si="1"/>
        <v>5.9212014423366204E-2</v>
      </c>
      <c r="L40" s="17"/>
      <c r="M40" s="9">
        <f t="shared" ca="1" si="8"/>
        <v>-9.3686094722542374E-3</v>
      </c>
      <c r="N40">
        <f ca="1"/>
        <v>3</v>
      </c>
      <c r="O40" s="15">
        <f t="shared" ca="1" si="2"/>
        <v>3.7037037037037035E-2</v>
      </c>
      <c r="P40" s="15">
        <f t="shared" ca="1" si="3"/>
        <v>5.7208172319078626E-2</v>
      </c>
      <c r="X40" s="9">
        <f t="shared" ca="1" si="9"/>
        <v>-5.06015799638966E-3</v>
      </c>
      <c r="Y40">
        <f ca="1"/>
        <v>8</v>
      </c>
      <c r="Z40" s="23">
        <f t="shared" ca="1" si="4"/>
        <v>0.1</v>
      </c>
      <c r="AA40">
        <f t="shared" ca="1" si="5"/>
        <v>5.7208172319078605E-2</v>
      </c>
    </row>
    <row r="41" spans="2:27">
      <c r="B41">
        <f t="shared" si="6"/>
        <v>20</v>
      </c>
      <c r="C41">
        <f t="shared" ca="1" si="7"/>
        <v>94.098841457968561</v>
      </c>
      <c r="D41">
        <f ca="1"/>
        <v>15</v>
      </c>
      <c r="E41">
        <f t="shared" ca="1" si="0"/>
        <v>0.18518518518518517</v>
      </c>
      <c r="F41">
        <f t="shared" ca="1" si="1"/>
        <v>7.0604752800476789E-2</v>
      </c>
      <c r="L41" s="17"/>
      <c r="M41" s="9">
        <f t="shared" ca="1" si="8"/>
        <v>-1.311728181672165E-3</v>
      </c>
      <c r="N41">
        <f ca="1"/>
        <v>9</v>
      </c>
      <c r="O41" s="15">
        <f t="shared" ca="1" si="2"/>
        <v>0.1111111111111111</v>
      </c>
      <c r="P41" s="15">
        <f t="shared" ca="1" si="3"/>
        <v>5.9171899636183335E-2</v>
      </c>
      <c r="X41" s="9">
        <f t="shared" ca="1" si="9"/>
        <v>2.7079446248162078E-3</v>
      </c>
      <c r="Y41">
        <f ca="1"/>
        <v>9</v>
      </c>
      <c r="Z41" s="23">
        <f ca="1">Y41/SUM(Y:Y)</f>
        <v>0.1125</v>
      </c>
      <c r="AA41">
        <f t="shared" ca="1" si="5"/>
        <v>5.9171899636183328E-2</v>
      </c>
    </row>
    <row r="42" spans="2:27">
      <c r="B42">
        <f t="shared" si="6"/>
        <v>21</v>
      </c>
      <c r="C42">
        <f t="shared" ca="1" si="7"/>
        <v>99.051412061019533</v>
      </c>
      <c r="D42">
        <f ca="1"/>
        <v>13</v>
      </c>
      <c r="E42">
        <f t="shared" ca="1" si="0"/>
        <v>0.16049382716049382</v>
      </c>
      <c r="F42">
        <f t="shared" ca="1" si="1"/>
        <v>8.0112932060796033E-2</v>
      </c>
      <c r="L42" s="17"/>
      <c r="M42" s="9">
        <f t="shared" ca="1" si="8"/>
        <v>6.7451531089099074E-3</v>
      </c>
      <c r="N42">
        <f ca="1"/>
        <v>3</v>
      </c>
      <c r="O42" s="15">
        <f t="shared" ca="1" si="2"/>
        <v>3.7037037037037035E-2</v>
      </c>
      <c r="P42" s="15">
        <f t="shared" ca="1" si="3"/>
        <v>5.9841342060214908E-2</v>
      </c>
      <c r="X42" s="9">
        <f t="shared" ca="1" si="9"/>
        <v>1.0476047246022076E-2</v>
      </c>
      <c r="Y42">
        <f ca="1"/>
        <v>9</v>
      </c>
      <c r="Z42" s="23">
        <f t="shared" ca="1" si="4"/>
        <v>0.1125</v>
      </c>
      <c r="AA42">
        <f t="shared" ca="1" si="5"/>
        <v>5.9841342060214908E-2</v>
      </c>
    </row>
    <row r="43" spans="2:27">
      <c r="B43">
        <f t="shared" si="6"/>
        <v>22</v>
      </c>
      <c r="C43">
        <f t="shared" ca="1" si="7"/>
        <v>104.00398266407051</v>
      </c>
      <c r="D43">
        <f ca="1"/>
        <v>6</v>
      </c>
      <c r="E43">
        <f t="shared" ca="1" si="0"/>
        <v>7.407407407407407E-2</v>
      </c>
      <c r="F43">
        <f t="shared" ca="1" si="1"/>
        <v>8.6499959917349184E-2</v>
      </c>
      <c r="L43" s="17"/>
      <c r="M43" s="9">
        <f t="shared" ca="1" si="8"/>
        <v>1.480203439949198E-2</v>
      </c>
      <c r="N43">
        <f ca="1"/>
        <v>2</v>
      </c>
      <c r="O43" s="15">
        <f t="shared" ca="1" si="2"/>
        <v>2.4691358024691357E-2</v>
      </c>
      <c r="P43" s="15">
        <f t="shared" ca="1" si="3"/>
        <v>5.9171899636183335E-2</v>
      </c>
      <c r="X43" s="9">
        <f t="shared" ca="1" si="9"/>
        <v>1.8244149867227943E-2</v>
      </c>
      <c r="Y43">
        <f ca="1"/>
        <v>3</v>
      </c>
      <c r="Z43" s="23">
        <f t="shared" ca="1" si="4"/>
        <v>3.7499999999999999E-2</v>
      </c>
      <c r="AA43">
        <f t="shared" ca="1" si="5"/>
        <v>5.9171899636183342E-2</v>
      </c>
    </row>
    <row r="44" spans="2:27">
      <c r="B44">
        <f t="shared" si="6"/>
        <v>23</v>
      </c>
      <c r="C44">
        <f t="shared" ca="1" si="7"/>
        <v>108.95655326712148</v>
      </c>
      <c r="D44">
        <f ca="1"/>
        <v>18</v>
      </c>
      <c r="E44">
        <f t="shared" ca="1" si="0"/>
        <v>0.22222222222222221</v>
      </c>
      <c r="F44">
        <f t="shared" ca="1" si="1"/>
        <v>8.8873805165297665E-2</v>
      </c>
      <c r="L44" s="17"/>
      <c r="M44" s="9">
        <f t="shared" ca="1" si="8"/>
        <v>2.2858915690074054E-2</v>
      </c>
      <c r="N44">
        <f ca="1"/>
        <v>5</v>
      </c>
      <c r="O44" s="15">
        <f t="shared" ca="1" si="2"/>
        <v>6.1728395061728392E-2</v>
      </c>
      <c r="P44" s="15">
        <f t="shared" ca="1" si="3"/>
        <v>5.7208172319078605E-2</v>
      </c>
      <c r="X44" s="9">
        <f t="shared" ca="1" si="9"/>
        <v>2.601225248843381E-2</v>
      </c>
      <c r="Y44">
        <f ca="1"/>
        <v>6</v>
      </c>
      <c r="Z44" s="23">
        <f t="shared" ca="1" si="4"/>
        <v>7.4999999999999997E-2</v>
      </c>
      <c r="AA44">
        <f t="shared" ca="1" si="5"/>
        <v>5.7208172319078626E-2</v>
      </c>
    </row>
    <row r="45" spans="2:27">
      <c r="B45">
        <f t="shared" si="6"/>
        <v>24</v>
      </c>
      <c r="C45">
        <f t="shared" ca="1" si="7"/>
        <v>113.90912387017245</v>
      </c>
      <c r="D45">
        <f ca="1"/>
        <v>4</v>
      </c>
      <c r="E45">
        <f t="shared" ca="1" si="0"/>
        <v>4.9382716049382713E-2</v>
      </c>
      <c r="F45">
        <f t="shared" ca="1" si="1"/>
        <v>8.6891287684852367E-2</v>
      </c>
      <c r="L45" s="17"/>
      <c r="M45" s="9">
        <f t="shared" ca="1" si="8"/>
        <v>3.0915796980656128E-2</v>
      </c>
      <c r="N45">
        <f ca="1"/>
        <v>7</v>
      </c>
      <c r="O45" s="15">
        <f t="shared" ca="1" si="2"/>
        <v>8.6419753086419748E-2</v>
      </c>
      <c r="P45" s="15">
        <f t="shared" ca="1" si="3"/>
        <v>5.4079044369247167E-2</v>
      </c>
      <c r="X45" s="9">
        <f t="shared" ca="1" si="9"/>
        <v>3.3780355109639677E-2</v>
      </c>
      <c r="Y45">
        <f ca="1"/>
        <v>3</v>
      </c>
      <c r="Z45" s="23">
        <f t="shared" ca="1" si="4"/>
        <v>3.7499999999999999E-2</v>
      </c>
      <c r="AA45">
        <f t="shared" ca="1" si="5"/>
        <v>5.4079044369247216E-2</v>
      </c>
    </row>
    <row r="46" spans="2:27">
      <c r="B46">
        <f t="shared" si="6"/>
        <v>25</v>
      </c>
      <c r="C46">
        <f t="shared" ca="1" si="7"/>
        <v>118.86169447322342</v>
      </c>
      <c r="D46">
        <f ca="1"/>
        <v>4</v>
      </c>
      <c r="E46">
        <f t="shared" ca="1" si="0"/>
        <v>4.9382716049382713E-2</v>
      </c>
      <c r="F46">
        <f t="shared" ca="1" si="1"/>
        <v>8.0839437133701605E-2</v>
      </c>
      <c r="L46" s="17"/>
      <c r="M46" s="9">
        <f t="shared" ca="1" si="8"/>
        <v>3.8972678271238202E-2</v>
      </c>
      <c r="N46">
        <f ca="1"/>
        <v>5</v>
      </c>
      <c r="O46" s="15">
        <f t="shared" ca="1" si="2"/>
        <v>6.1728395061728392E-2</v>
      </c>
      <c r="P46" s="15">
        <f t="shared" ca="1" si="3"/>
        <v>4.9983690433769927E-2</v>
      </c>
      <c r="X46" s="9">
        <f t="shared" ca="1" si="9"/>
        <v>4.1548457730845548E-2</v>
      </c>
      <c r="Y46">
        <f ca="1"/>
        <v>2</v>
      </c>
      <c r="Z46" s="23">
        <f t="shared" ca="1" si="4"/>
        <v>2.5000000000000001E-2</v>
      </c>
      <c r="AA46">
        <f t="shared" ca="1" si="5"/>
        <v>4.9983690433769969E-2</v>
      </c>
    </row>
    <row r="47" spans="2:27">
      <c r="B47">
        <f t="shared" si="6"/>
        <v>26</v>
      </c>
      <c r="C47">
        <f t="shared" ca="1" si="7"/>
        <v>123.8142650762744</v>
      </c>
      <c r="D47">
        <f ca="1"/>
        <v>3</v>
      </c>
      <c r="E47">
        <f t="shared" ca="1" si="0"/>
        <v>3.7037037037037035E-2</v>
      </c>
      <c r="F47">
        <f t="shared" ca="1" si="1"/>
        <v>7.1567346970886528E-2</v>
      </c>
      <c r="L47" s="17"/>
      <c r="M47" s="9">
        <f t="shared" ca="1" si="8"/>
        <v>4.7029559561820276E-2</v>
      </c>
      <c r="N47">
        <f ca="1"/>
        <v>7</v>
      </c>
      <c r="O47" s="15">
        <f t="shared" ca="1" si="2"/>
        <v>8.6419753086419748E-2</v>
      </c>
      <c r="P47" s="15">
        <f t="shared" ca="1" si="3"/>
        <v>4.5170614823220642E-2</v>
      </c>
      <c r="X47" s="9">
        <f t="shared" ca="1" si="9"/>
        <v>4.9316560352051418E-2</v>
      </c>
      <c r="Y47">
        <f ca="1"/>
        <v>3</v>
      </c>
      <c r="Z47" s="23">
        <f t="shared" ca="1" si="4"/>
        <v>3.7499999999999999E-2</v>
      </c>
      <c r="AA47">
        <f t="shared" ca="1" si="5"/>
        <v>4.5170614823220684E-2</v>
      </c>
    </row>
    <row r="48" spans="2:27">
      <c r="B48">
        <f t="shared" si="6"/>
        <v>27</v>
      </c>
      <c r="C48">
        <f t="shared" ca="1" si="7"/>
        <v>128.76683567932537</v>
      </c>
      <c r="D48">
        <f ca="1"/>
        <v>2</v>
      </c>
      <c r="E48">
        <f t="shared" ca="1" si="0"/>
        <v>2.4691358024691357E-2</v>
      </c>
      <c r="F48">
        <f t="shared" ca="1" si="1"/>
        <v>6.0290813603201168E-2</v>
      </c>
      <c r="L48" s="17"/>
      <c r="M48" s="9">
        <f t="shared" ca="1" si="8"/>
        <v>5.508644085240235E-2</v>
      </c>
      <c r="N48">
        <f ca="1"/>
        <v>3</v>
      </c>
      <c r="O48" s="15">
        <f t="shared" ca="1" si="2"/>
        <v>3.7037037037037035E-2</v>
      </c>
      <c r="P48" s="15">
        <f t="shared" ca="1" si="3"/>
        <v>3.9912787484813202E-2</v>
      </c>
      <c r="X48" s="9">
        <f t="shared" ca="1" si="9"/>
        <v>5.7084662973257289E-2</v>
      </c>
      <c r="Y48">
        <f ca="1"/>
        <v>3</v>
      </c>
      <c r="Z48" s="23">
        <f t="shared" ca="1" si="4"/>
        <v>3.7499999999999999E-2</v>
      </c>
      <c r="AA48">
        <f t="shared" ca="1" si="5"/>
        <v>3.9912787484813229E-2</v>
      </c>
    </row>
    <row r="49" spans="2:28">
      <c r="B49">
        <f t="shared" si="6"/>
        <v>28</v>
      </c>
      <c r="C49">
        <f t="shared" ca="1" si="7"/>
        <v>133.71940628237635</v>
      </c>
      <c r="D49">
        <f ca="1"/>
        <v>1</v>
      </c>
      <c r="E49">
        <f t="shared" ca="1" si="0"/>
        <v>1.2345679012345678E-2</v>
      </c>
      <c r="F49">
        <f t="shared" ca="1" si="1"/>
        <v>4.8331687688533478E-2</v>
      </c>
      <c r="L49" s="17"/>
      <c r="M49" s="9">
        <f t="shared" ca="1" si="8"/>
        <v>6.3143322142984418E-2</v>
      </c>
      <c r="N49">
        <f ca="1"/>
        <v>2</v>
      </c>
      <c r="O49" s="15">
        <f t="shared" ca="1" si="2"/>
        <v>2.4691358024691357E-2</v>
      </c>
      <c r="P49" s="15">
        <f t="shared" ca="1" si="3"/>
        <v>3.4482321102634932E-2</v>
      </c>
      <c r="X49" s="9">
        <f t="shared" ca="1" si="9"/>
        <v>6.4852765594463152E-2</v>
      </c>
      <c r="Y49">
        <f ca="1"/>
        <v>4</v>
      </c>
      <c r="Z49" s="23">
        <f t="shared" ca="1" si="4"/>
        <v>0.05</v>
      </c>
      <c r="AA49">
        <f t="shared" ca="1" si="5"/>
        <v>3.4482321102634966E-2</v>
      </c>
    </row>
    <row r="50" spans="2:28">
      <c r="B50">
        <f t="shared" si="6"/>
        <v>29</v>
      </c>
      <c r="C50">
        <f t="shared" ca="1" si="7"/>
        <v>138.67197688542734</v>
      </c>
      <c r="D50">
        <f ca="1"/>
        <v>0</v>
      </c>
      <c r="E50">
        <f t="shared" ca="1" si="0"/>
        <v>0</v>
      </c>
      <c r="F50">
        <f t="shared" ca="1" si="1"/>
        <v>3.6868661058508057E-2</v>
      </c>
      <c r="L50" s="17"/>
      <c r="M50" s="9">
        <f t="shared" ca="1" si="8"/>
        <v>7.1200203433566492E-2</v>
      </c>
      <c r="N50">
        <f ca="1"/>
        <v>2</v>
      </c>
      <c r="O50" s="15">
        <f t="shared" ca="1" si="2"/>
        <v>2.4691358024691357E-2</v>
      </c>
      <c r="P50" s="15">
        <f t="shared" ca="1" si="3"/>
        <v>2.9127908247481914E-2</v>
      </c>
      <c r="X50" s="9">
        <f t="shared" ca="1" si="9"/>
        <v>7.2620868215669016E-2</v>
      </c>
      <c r="Y50">
        <f ca="1"/>
        <v>2</v>
      </c>
      <c r="Z50" s="23">
        <f t="shared" ca="1" si="4"/>
        <v>2.5000000000000001E-2</v>
      </c>
      <c r="AA50">
        <f t="shared" ca="1" si="5"/>
        <v>2.9127908247481956E-2</v>
      </c>
    </row>
    <row r="51" spans="2:28">
      <c r="B51">
        <f t="shared" si="6"/>
        <v>30</v>
      </c>
      <c r="C51">
        <f t="shared" ca="1" si="7"/>
        <v>143.62454748847833</v>
      </c>
      <c r="D51">
        <f ca="1"/>
        <v>1</v>
      </c>
      <c r="E51">
        <f t="shared" ca="1" si="0"/>
        <v>1.2345679012345678E-2</v>
      </c>
      <c r="F51">
        <f t="shared" ca="1" si="1"/>
        <v>2.6762541921590621E-2</v>
      </c>
      <c r="L51" s="17"/>
      <c r="M51" s="9">
        <f t="shared" ca="1" si="8"/>
        <v>7.9257084724148566E-2</v>
      </c>
      <c r="N51">
        <f ca="1"/>
        <v>1</v>
      </c>
      <c r="O51" s="15">
        <f t="shared" ca="1" si="2"/>
        <v>1.2345679012345678E-2</v>
      </c>
      <c r="P51" s="15">
        <f t="shared" ca="1" si="3"/>
        <v>2.4057499101287915E-2</v>
      </c>
      <c r="X51" s="9">
        <f t="shared" ca="1" si="9"/>
        <v>8.0388970836874879E-2</v>
      </c>
      <c r="Y51">
        <f ca="1"/>
        <v>3</v>
      </c>
      <c r="Z51" s="23">
        <f t="shared" ca="1" si="4"/>
        <v>3.7499999999999999E-2</v>
      </c>
      <c r="AA51">
        <f t="shared" ca="1" si="5"/>
        <v>2.4057499101287953E-2</v>
      </c>
    </row>
    <row r="52" spans="2:28">
      <c r="B52">
        <f t="shared" si="6"/>
        <v>31</v>
      </c>
      <c r="C52">
        <f t="shared" ca="1" si="7"/>
        <v>148.57711809152931</v>
      </c>
      <c r="D52">
        <f ca="1"/>
        <v>1</v>
      </c>
      <c r="E52">
        <f t="shared" ca="1" si="0"/>
        <v>1.2345679012345678E-2</v>
      </c>
      <c r="F52">
        <f t="shared" ca="1" si="1"/>
        <v>1.8485957267571334E-2</v>
      </c>
      <c r="L52" s="17"/>
      <c r="M52" s="9">
        <f t="shared" ca="1" si="8"/>
        <v>8.731396601473064E-2</v>
      </c>
      <c r="N52">
        <f ca="1"/>
        <v>0</v>
      </c>
      <c r="O52" s="15">
        <f t="shared" ca="1" si="2"/>
        <v>0</v>
      </c>
      <c r="P52" s="15">
        <f t="shared" ca="1" si="3"/>
        <v>1.9427639349883733E-2</v>
      </c>
      <c r="X52" s="9">
        <f t="shared" ca="1" si="9"/>
        <v>8.8157073458080742E-2</v>
      </c>
      <c r="Y52">
        <f ca="1"/>
        <v>2</v>
      </c>
      <c r="Z52" s="23">
        <f t="shared" ca="1" si="4"/>
        <v>2.5000000000000001E-2</v>
      </c>
      <c r="AA52">
        <f t="shared" ca="1" si="5"/>
        <v>1.9427639349883775E-2</v>
      </c>
    </row>
    <row r="53" spans="2:28">
      <c r="B53">
        <f t="shared" si="6"/>
        <v>32</v>
      </c>
      <c r="C53">
        <f t="shared" ca="1" si="7"/>
        <v>153.5296886945803</v>
      </c>
      <c r="D53">
        <f ca="1"/>
        <v>1</v>
      </c>
      <c r="E53">
        <f t="shared" ca="1" si="0"/>
        <v>1.2345679012345678E-2</v>
      </c>
      <c r="F53">
        <f t="shared" ca="1" si="1"/>
        <v>1.2150694966491354E-2</v>
      </c>
      <c r="L53" s="17"/>
      <c r="M53" s="9">
        <f t="shared" ca="1" si="8"/>
        <v>9.5370847305312714E-2</v>
      </c>
      <c r="N53">
        <f ca="1"/>
        <v>1</v>
      </c>
      <c r="O53" s="15">
        <f t="shared" ca="1" si="2"/>
        <v>1.2345679012345678E-2</v>
      </c>
      <c r="P53" s="15">
        <f t="shared" ca="1" si="3"/>
        <v>1.5339738684596682E-2</v>
      </c>
      <c r="X53" s="9">
        <f t="shared" ca="1" si="9"/>
        <v>9.5925176079286606E-2</v>
      </c>
      <c r="Y53">
        <f ca="1"/>
        <v>2</v>
      </c>
      <c r="Z53" s="23">
        <f t="shared" ca="1" si="4"/>
        <v>2.5000000000000001E-2</v>
      </c>
      <c r="AA53">
        <f t="shared" ca="1" si="5"/>
        <v>1.5339738684596715E-2</v>
      </c>
    </row>
    <row r="54" spans="2:28">
      <c r="B54">
        <f t="shared" si="6"/>
        <v>33</v>
      </c>
      <c r="C54">
        <f t="shared" ca="1" si="7"/>
        <v>158.48225929763129</v>
      </c>
      <c r="D54">
        <f ca="1"/>
        <v>0</v>
      </c>
      <c r="E54">
        <f t="shared" ca="1" si="0"/>
        <v>0</v>
      </c>
      <c r="F54">
        <f t="shared" ca="1" si="1"/>
        <v>7.5998475643818059E-3</v>
      </c>
      <c r="L54" s="17"/>
      <c r="M54" s="9">
        <f t="shared" ca="1" si="8"/>
        <v>0.10342772859589479</v>
      </c>
      <c r="N54">
        <f ca="1"/>
        <v>3</v>
      </c>
      <c r="O54" s="15">
        <f t="shared" ca="1" si="2"/>
        <v>3.7037037037037035E-2</v>
      </c>
      <c r="P54" s="15">
        <f t="shared" ca="1" si="3"/>
        <v>1.1842523745134103E-2</v>
      </c>
      <c r="X54" s="9">
        <f t="shared" ca="1" si="9"/>
        <v>0.10369327870049247</v>
      </c>
      <c r="Y54">
        <f ca="1"/>
        <v>0</v>
      </c>
      <c r="Z54" s="23">
        <f t="shared" ca="1" si="4"/>
        <v>0</v>
      </c>
      <c r="AA54">
        <f t="shared" ca="1" si="5"/>
        <v>1.1842523745134139E-2</v>
      </c>
    </row>
    <row r="55" spans="2:28">
      <c r="B55">
        <f t="shared" si="6"/>
        <v>34</v>
      </c>
      <c r="C55">
        <f t="shared" ca="1" si="7"/>
        <v>163.43482990068227</v>
      </c>
      <c r="D55">
        <f ca="1"/>
        <v>2</v>
      </c>
      <c r="E55">
        <f t="shared" ca="1" si="0"/>
        <v>2.4691358024691357E-2</v>
      </c>
      <c r="F55">
        <f t="shared" ca="1" si="1"/>
        <v>4.5232775168885225E-3</v>
      </c>
      <c r="L55" s="17"/>
      <c r="M55" s="9">
        <f t="shared" ca="1" si="8"/>
        <v>0.11148460988647686</v>
      </c>
      <c r="N55">
        <f ca="1"/>
        <v>0</v>
      </c>
      <c r="O55" s="15">
        <f t="shared" ca="1" si="2"/>
        <v>0</v>
      </c>
      <c r="P55" s="15">
        <f t="shared" ca="1" si="3"/>
        <v>8.939205910322396E-3</v>
      </c>
      <c r="X55" s="9">
        <f t="shared" ca="1" si="9"/>
        <v>0.11146138132169833</v>
      </c>
      <c r="Y55">
        <f ca="1"/>
        <v>0</v>
      </c>
      <c r="Z55" s="23">
        <f t="shared" ca="1" si="4"/>
        <v>0</v>
      </c>
      <c r="AA55">
        <f t="shared" ca="1" si="5"/>
        <v>8.9392059103224238E-3</v>
      </c>
    </row>
    <row r="56" spans="2:28">
      <c r="B56">
        <f t="shared" si="6"/>
        <v>35</v>
      </c>
      <c r="C56">
        <f t="shared" ca="1" si="7"/>
        <v>168.38740050373326</v>
      </c>
      <c r="D56">
        <f ca="1"/>
        <v>3</v>
      </c>
      <c r="E56">
        <f t="shared" ca="1" si="0"/>
        <v>3.7037037037037035E-2</v>
      </c>
      <c r="F56">
        <f t="shared" ca="1" si="1"/>
        <v>2.5618056298179108E-3</v>
      </c>
      <c r="L56" s="17"/>
      <c r="M56" s="9">
        <f t="shared" ca="1" si="8"/>
        <v>0.11954149117705894</v>
      </c>
      <c r="N56">
        <f ca="1"/>
        <v>0</v>
      </c>
      <c r="O56" s="15">
        <f t="shared" ca="1" si="2"/>
        <v>0</v>
      </c>
      <c r="P56" s="15">
        <f t="shared" ca="1" si="3"/>
        <v>6.5975393970640677E-3</v>
      </c>
      <c r="X56" s="9">
        <f t="shared" ca="1" si="9"/>
        <v>0.1192294839429042</v>
      </c>
      <c r="Y56">
        <f ca="1"/>
        <v>0</v>
      </c>
      <c r="Z56" s="23">
        <f t="shared" ca="1" si="4"/>
        <v>0</v>
      </c>
      <c r="AA56">
        <f t="shared" ca="1" si="5"/>
        <v>6.5975393970640912E-3</v>
      </c>
    </row>
    <row r="57" spans="2:28">
      <c r="B57">
        <f t="shared" si="6"/>
        <v>36</v>
      </c>
      <c r="C57">
        <f t="shared" ca="1" si="7"/>
        <v>173.33997110678425</v>
      </c>
      <c r="D57">
        <f ca="1"/>
        <v>1</v>
      </c>
      <c r="E57">
        <f t="shared" ca="1" si="0"/>
        <v>1.2345679012345678E-2</v>
      </c>
      <c r="F57">
        <f t="shared" ca="1" si="1"/>
        <v>1.3806503489641791E-3</v>
      </c>
      <c r="L57" s="17"/>
      <c r="M57" s="9">
        <f t="shared" ca="1" si="8"/>
        <v>0.127598372467641</v>
      </c>
      <c r="N57">
        <f ca="1"/>
        <v>0</v>
      </c>
      <c r="O57" s="15">
        <f t="shared" ca="1" si="2"/>
        <v>0</v>
      </c>
      <c r="P57" s="15">
        <f t="shared" ca="1" si="3"/>
        <v>4.7609477753501033E-3</v>
      </c>
      <c r="X57" s="9">
        <f t="shared" ca="1" si="9"/>
        <v>0.12699758656411006</v>
      </c>
      <c r="Y57">
        <f ca="1"/>
        <v>0</v>
      </c>
      <c r="Z57" s="23">
        <f t="shared" ca="1" si="4"/>
        <v>0</v>
      </c>
      <c r="AA57">
        <f t="shared" ca="1" si="5"/>
        <v>4.7609477753501207E-3</v>
      </c>
    </row>
    <row r="58" spans="2:28">
      <c r="B58">
        <f t="shared" si="6"/>
        <v>37</v>
      </c>
      <c r="C58">
        <f t="shared" ca="1" si="7"/>
        <v>178.29254170983523</v>
      </c>
      <c r="D58">
        <f ca="1"/>
        <v>1</v>
      </c>
      <c r="E58">
        <f t="shared" ca="1" si="0"/>
        <v>1.2345679012345678E-2</v>
      </c>
      <c r="F58">
        <f t="shared" ca="1" si="1"/>
        <v>7.0805309862372176E-4</v>
      </c>
      <c r="L58" s="17"/>
      <c r="M58" s="9">
        <f t="shared" ca="1" si="8"/>
        <v>0.13565525375822307</v>
      </c>
      <c r="N58">
        <f ca="1"/>
        <v>0</v>
      </c>
      <c r="O58" s="15">
        <f t="shared" ca="1" si="2"/>
        <v>0</v>
      </c>
      <c r="P58" s="15">
        <f t="shared" ca="1" si="3"/>
        <v>3.359179544226432E-3</v>
      </c>
      <c r="X58" s="9">
        <f t="shared" ca="1" si="9"/>
        <v>0.13476568918531592</v>
      </c>
      <c r="Y58">
        <f ca="1"/>
        <v>1</v>
      </c>
      <c r="Z58" s="23">
        <f t="shared" ca="1" si="4"/>
        <v>1.2500000000000001E-2</v>
      </c>
      <c r="AA58">
        <f t="shared" ca="1" si="5"/>
        <v>3.3591795442264429E-3</v>
      </c>
    </row>
    <row r="59" spans="2:28">
      <c r="B59">
        <f t="shared" si="6"/>
        <v>38</v>
      </c>
      <c r="C59">
        <f t="shared" ca="1" si="7"/>
        <v>183.24511231288622</v>
      </c>
      <c r="D59">
        <f ca="1"/>
        <v>0</v>
      </c>
      <c r="E59">
        <f t="shared" ca="1" si="0"/>
        <v>0</v>
      </c>
      <c r="F59">
        <f t="shared" ca="1" si="1"/>
        <v>3.4553539244425369E-4</v>
      </c>
      <c r="L59" s="17"/>
      <c r="M59" s="9">
        <f t="shared" ca="1" si="8"/>
        <v>0.14371213504880515</v>
      </c>
      <c r="N59">
        <f ca="1"/>
        <v>0</v>
      </c>
      <c r="O59" s="15">
        <f t="shared" ca="1" si="2"/>
        <v>0</v>
      </c>
      <c r="P59" s="15">
        <f t="shared" ca="1" si="3"/>
        <v>2.3174020701592713E-3</v>
      </c>
      <c r="X59" s="9">
        <f t="shared" ca="1" si="9"/>
        <v>0.14253379180652179</v>
      </c>
      <c r="Y59">
        <f ca="1"/>
        <v>0</v>
      </c>
      <c r="Z59" s="23">
        <f t="shared" ca="1" si="4"/>
        <v>0</v>
      </c>
      <c r="AA59">
        <f t="shared" ca="1" si="5"/>
        <v>2.3174020701592847E-3</v>
      </c>
    </row>
    <row r="60" spans="2:28">
      <c r="B60">
        <f t="shared" si="6"/>
        <v>39</v>
      </c>
      <c r="C60">
        <f t="shared" ca="1" si="7"/>
        <v>188.19768291593721</v>
      </c>
      <c r="D60">
        <f ca="1"/>
        <v>0</v>
      </c>
      <c r="E60">
        <f t="shared" ca="1" si="0"/>
        <v>0</v>
      </c>
      <c r="F60">
        <f t="shared" ca="1" si="1"/>
        <v>1.6045890987877883E-4</v>
      </c>
      <c r="L60" s="17"/>
      <c r="M60" s="9">
        <f t="shared" ca="1" si="8"/>
        <v>0.15176901633938722</v>
      </c>
      <c r="N60">
        <f ca="1"/>
        <v>1</v>
      </c>
      <c r="O60" s="15">
        <f t="shared" ca="1" si="2"/>
        <v>1.2345679012345678E-2</v>
      </c>
      <c r="P60" s="15">
        <f t="shared" ca="1" si="3"/>
        <v>1.5631402221633866E-3</v>
      </c>
      <c r="X60" s="9">
        <f t="shared" ca="1" si="9"/>
        <v>0.15030189442772765</v>
      </c>
      <c r="Y60">
        <f ca="1"/>
        <v>0</v>
      </c>
      <c r="Z60" s="23">
        <f t="shared" ca="1" si="4"/>
        <v>0</v>
      </c>
      <c r="AA60">
        <f t="shared" ca="1" si="5"/>
        <v>1.5631402221633962E-3</v>
      </c>
    </row>
    <row r="61" spans="2:28">
      <c r="B61">
        <f t="shared" si="6"/>
        <v>40</v>
      </c>
      <c r="C61">
        <f t="shared" ca="1" si="7"/>
        <v>193.15025351898819</v>
      </c>
      <c r="D61">
        <f ca="1"/>
        <v>0</v>
      </c>
      <c r="E61">
        <f t="shared" ca="1" si="0"/>
        <v>0</v>
      </c>
      <c r="F61">
        <f t="shared" ca="1" si="1"/>
        <v>7.0905467752610082E-5</v>
      </c>
      <c r="L61" s="17"/>
      <c r="M61" s="9">
        <f t="shared" ca="1" si="8"/>
        <v>0.15982589762996929</v>
      </c>
      <c r="N61">
        <f ca="1"/>
        <v>1</v>
      </c>
      <c r="O61" s="15">
        <f t="shared" ca="1" si="2"/>
        <v>1.2345679012345678E-2</v>
      </c>
      <c r="P61" s="15">
        <f t="shared" ca="1" si="3"/>
        <v>1.0309150035920948E-3</v>
      </c>
      <c r="X61" s="9">
        <f t="shared" ca="1" si="9"/>
        <v>0.15806999704893351</v>
      </c>
      <c r="Y61" s="7">
        <f ca="1"/>
        <v>0</v>
      </c>
      <c r="Z61" s="23">
        <f t="shared" ca="1" si="4"/>
        <v>0</v>
      </c>
      <c r="AA61">
        <f t="shared" ca="1" si="5"/>
        <v>1.0309150035921013E-3</v>
      </c>
      <c r="AB61" s="7"/>
    </row>
    <row r="62" spans="2:28">
      <c r="E62" s="7">
        <f ca="1">SUM(E22:E61)</f>
        <v>1.0000000000000002</v>
      </c>
      <c r="F62">
        <f ca="1">SUM(F22:F61)</f>
        <v>0.99995098922147474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Drop Down 1">
              <controlPr defaultSize="0" autoLine="0" autoPict="0">
                <anchor moveWithCells="1">
                  <from>
                    <xdr:col>3</xdr:col>
                    <xdr:colOff>247650</xdr:colOff>
                    <xdr:row>0</xdr:row>
                    <xdr:rowOff>144780</xdr:rowOff>
                  </from>
                  <to>
                    <xdr:col>5</xdr:col>
                    <xdr:colOff>220980</xdr:colOff>
                    <xdr:row>1</xdr:row>
                    <xdr:rowOff>125730</xdr:rowOff>
                  </to>
                </anchor>
              </controlPr>
            </control>
          </mc:Choice>
        </mc:AlternateContent>
        <mc:AlternateContent xmlns:mc="http://schemas.openxmlformats.org/markup-compatibility/2006">
          <mc:Choice Requires="x14">
            <control shapeId="22530" r:id="rId4" name="Drop Down 2">
              <controlPr defaultSize="0" autoLine="0" autoPict="0">
                <anchor moveWithCells="1">
                  <from>
                    <xdr:col>3</xdr:col>
                    <xdr:colOff>247650</xdr:colOff>
                    <xdr:row>2</xdr:row>
                    <xdr:rowOff>30480</xdr:rowOff>
                  </from>
                  <to>
                    <xdr:col>5</xdr:col>
                    <xdr:colOff>220980</xdr:colOff>
                    <xdr:row>3</xdr:row>
                    <xdr:rowOff>11430</xdr:rowOff>
                  </to>
                </anchor>
              </controlPr>
            </control>
          </mc:Choice>
        </mc:AlternateContent>
        <mc:AlternateContent xmlns:mc="http://schemas.openxmlformats.org/markup-compatibility/2006">
          <mc:Choice Requires="x14">
            <control shapeId="22531" r:id="rId5" name="Drop Down 3">
              <controlPr defaultSize="0" autoLine="0" autoPict="0">
                <anchor moveWithCells="1">
                  <from>
                    <xdr:col>5</xdr:col>
                    <xdr:colOff>457200</xdr:colOff>
                    <xdr:row>1</xdr:row>
                    <xdr:rowOff>11430</xdr:rowOff>
                  </from>
                  <to>
                    <xdr:col>8</xdr:col>
                    <xdr:colOff>19050</xdr:colOff>
                    <xdr:row>2</xdr:row>
                    <xdr:rowOff>30480</xdr:rowOff>
                  </to>
                </anchor>
              </controlPr>
            </control>
          </mc:Choice>
        </mc:AlternateContent>
        <mc:AlternateContent xmlns:mc="http://schemas.openxmlformats.org/markup-compatibility/2006">
          <mc:Choice Requires="x14">
            <control shapeId="22532" r:id="rId6" name="Drop Down 4">
              <controlPr defaultSize="0" autoLine="0" autoPict="0">
                <anchor moveWithCells="1">
                  <from>
                    <xdr:col>19</xdr:col>
                    <xdr:colOff>259080</xdr:colOff>
                    <xdr:row>1</xdr:row>
                    <xdr:rowOff>38100</xdr:rowOff>
                  </from>
                  <to>
                    <xdr:col>21</xdr:col>
                    <xdr:colOff>430530</xdr:colOff>
                    <xdr:row>2</xdr:row>
                    <xdr:rowOff>57150</xdr:rowOff>
                  </to>
                </anchor>
              </controlPr>
            </control>
          </mc:Choice>
        </mc:AlternateContent>
        <mc:AlternateContent xmlns:mc="http://schemas.openxmlformats.org/markup-compatibility/2006">
          <mc:Choice Requires="x14">
            <control shapeId="22533" r:id="rId7" name="Drop Down 5">
              <controlPr defaultSize="0" autoLine="0" autoPict="0">
                <anchor moveWithCells="1">
                  <from>
                    <xdr:col>27</xdr:col>
                    <xdr:colOff>247650</xdr:colOff>
                    <xdr:row>1</xdr:row>
                    <xdr:rowOff>144780</xdr:rowOff>
                  </from>
                  <to>
                    <xdr:col>29</xdr:col>
                    <xdr:colOff>220980</xdr:colOff>
                    <xdr:row>2</xdr:row>
                    <xdr:rowOff>125730</xdr:rowOff>
                  </to>
                </anchor>
              </controlPr>
            </control>
          </mc:Choice>
        </mc:AlternateContent>
        <mc:AlternateContent xmlns:mc="http://schemas.openxmlformats.org/markup-compatibility/2006">
          <mc:Choice Requires="x14">
            <control shapeId="22534" r:id="rId8" name="Drop Down 6">
              <controlPr defaultSize="0" autoLine="0" autoPict="0">
                <anchor moveWithCells="1">
                  <from>
                    <xdr:col>27</xdr:col>
                    <xdr:colOff>247650</xdr:colOff>
                    <xdr:row>3</xdr:row>
                    <xdr:rowOff>30480</xdr:rowOff>
                  </from>
                  <to>
                    <xdr:col>29</xdr:col>
                    <xdr:colOff>220980</xdr:colOff>
                    <xdr:row>4</xdr:row>
                    <xdr:rowOff>11430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S18"/>
  <sheetViews>
    <sheetView workbookViewId="0">
      <selection activeCell="M10" sqref="M10"/>
    </sheetView>
  </sheetViews>
  <sheetFormatPr defaultRowHeight="12.3"/>
  <cols>
    <col min="13" max="13" width="14.83203125" customWidth="1"/>
    <col min="17" max="17" width="9.5546875" bestFit="1" customWidth="1"/>
  </cols>
  <sheetData>
    <row r="1" spans="1:19">
      <c r="A1" t="s">
        <v>791</v>
      </c>
    </row>
    <row r="2" spans="1:19" ht="12.6" thickBot="1"/>
    <row r="3" spans="1:19" ht="12.6">
      <c r="A3" s="6" t="s">
        <v>792</v>
      </c>
      <c r="B3" s="6"/>
    </row>
    <row r="4" spans="1:19">
      <c r="A4" t="s">
        <v>793</v>
      </c>
      <c r="B4">
        <v>0.40537779536082336</v>
      </c>
    </row>
    <row r="5" spans="1:19">
      <c r="A5" t="s">
        <v>794</v>
      </c>
      <c r="B5">
        <v>0.16433115697160158</v>
      </c>
    </row>
    <row r="6" spans="1:19">
      <c r="A6" t="s">
        <v>795</v>
      </c>
      <c r="B6">
        <v>0.16015281275645957</v>
      </c>
      <c r="L6" s="7" t="s">
        <v>816</v>
      </c>
      <c r="M6">
        <f t="array" aca="1" ref="M6:O8" ca="1">LINEST(Second,First,,TRUE)</f>
        <v>0.85867433085900635</v>
      </c>
      <c r="N6">
        <f ca="1"/>
        <v>14.030533878625704</v>
      </c>
      <c r="O6" t="e">
        <f ca="1"/>
        <v>#N/A</v>
      </c>
      <c r="Q6">
        <f ca="1">SLOPE(Second,First)</f>
        <v>0.85867433085900657</v>
      </c>
    </row>
    <row r="7" spans="1:19">
      <c r="A7" t="s">
        <v>796</v>
      </c>
      <c r="B7">
        <v>72.631360977982183</v>
      </c>
      <c r="L7" s="7" t="s">
        <v>817</v>
      </c>
      <c r="M7">
        <f ca="1"/>
        <v>5.2807984447576388E-2</v>
      </c>
      <c r="N7">
        <f ca="1"/>
        <v>5.882520175352159</v>
      </c>
      <c r="O7" t="e">
        <f ca="1"/>
        <v>#N/A</v>
      </c>
      <c r="Q7">
        <f ca="1">INTERCEPT(Second,First)</f>
        <v>14.03053387862569</v>
      </c>
    </row>
    <row r="8" spans="1:19" ht="12.6" thickBot="1">
      <c r="A8" s="4" t="s">
        <v>797</v>
      </c>
      <c r="B8" s="4">
        <v>202</v>
      </c>
      <c r="L8" s="7" t="s">
        <v>818</v>
      </c>
      <c r="M8">
        <f ca="1"/>
        <v>0.76994608460510983</v>
      </c>
      <c r="N8">
        <f ca="1"/>
        <v>10.499999217178257</v>
      </c>
      <c r="O8" t="e">
        <f ca="1"/>
        <v>#N/A</v>
      </c>
    </row>
    <row r="10" spans="1:19" ht="12.6" thickBot="1">
      <c r="A10" t="s">
        <v>798</v>
      </c>
    </row>
    <row r="11" spans="1:19" ht="12.6">
      <c r="A11" s="5"/>
      <c r="B11" s="5" t="s">
        <v>803</v>
      </c>
      <c r="C11" s="5" t="s">
        <v>804</v>
      </c>
      <c r="D11" s="5" t="s">
        <v>805</v>
      </c>
      <c r="E11" s="5" t="s">
        <v>806</v>
      </c>
      <c r="F11" s="5" t="s">
        <v>807</v>
      </c>
    </row>
    <row r="12" spans="1:19">
      <c r="A12" t="s">
        <v>799</v>
      </c>
      <c r="B12">
        <v>1</v>
      </c>
      <c r="C12">
        <v>207474.18272938696</v>
      </c>
      <c r="D12">
        <v>207474.18272938696</v>
      </c>
      <c r="E12">
        <v>39.329253051023983</v>
      </c>
      <c r="F12">
        <v>2.1682996709420371E-9</v>
      </c>
      <c r="M12" t="str">
        <f>'Prices for Graph'!U4</f>
        <v>Maize</v>
      </c>
      <c r="N12" s="8" t="s">
        <v>819</v>
      </c>
      <c r="O12">
        <f ca="1">ROUND(Q7,3)</f>
        <v>14.031000000000001</v>
      </c>
      <c r="P12" s="8" t="s">
        <v>820</v>
      </c>
      <c r="Q12" s="17">
        <f ca="1">ROUND(Q6,3)</f>
        <v>0.85899999999999999</v>
      </c>
      <c r="R12" s="8" t="s">
        <v>821</v>
      </c>
      <c r="S12" t="str">
        <f>M13</f>
        <v>Barley</v>
      </c>
    </row>
    <row r="13" spans="1:19">
      <c r="A13" t="s">
        <v>800</v>
      </c>
      <c r="B13">
        <v>200</v>
      </c>
      <c r="C13">
        <v>1055062.9195027906</v>
      </c>
      <c r="D13">
        <v>5275.3145975139523</v>
      </c>
      <c r="M13" t="str">
        <f>'Prices for Graph'!V4</f>
        <v>Barley</v>
      </c>
      <c r="N13" s="7" t="s">
        <v>819</v>
      </c>
      <c r="O13" s="9">
        <v>0.56999999999999995</v>
      </c>
    </row>
    <row r="14" spans="1:19" ht="12.6" thickBot="1">
      <c r="A14" s="4" t="s">
        <v>801</v>
      </c>
      <c r="B14" s="4">
        <v>201</v>
      </c>
      <c r="C14" s="4">
        <v>1262537.1022321775</v>
      </c>
      <c r="D14" s="4"/>
      <c r="E14" s="4"/>
      <c r="F14" s="4"/>
    </row>
    <row r="15" spans="1:19" ht="12.6" thickBot="1"/>
    <row r="16" spans="1:19" ht="12.6">
      <c r="A16" s="5"/>
      <c r="B16" s="5" t="s">
        <v>808</v>
      </c>
      <c r="C16" s="5" t="s">
        <v>796</v>
      </c>
      <c r="D16" s="5" t="s">
        <v>809</v>
      </c>
      <c r="E16" s="5" t="s">
        <v>810</v>
      </c>
      <c r="F16" s="5" t="s">
        <v>811</v>
      </c>
      <c r="G16" s="5" t="s">
        <v>812</v>
      </c>
      <c r="H16" s="5" t="s">
        <v>813</v>
      </c>
      <c r="I16" s="5" t="s">
        <v>814</v>
      </c>
    </row>
    <row r="17" spans="1:13">
      <c r="A17" t="s">
        <v>802</v>
      </c>
      <c r="B17">
        <v>363.64747508917117</v>
      </c>
      <c r="C17">
        <v>28.571659623266481</v>
      </c>
      <c r="D17">
        <v>12.727558702716928</v>
      </c>
      <c r="E17">
        <v>1.4325920242394797E-27</v>
      </c>
      <c r="F17">
        <v>307.30712737509856</v>
      </c>
      <c r="G17">
        <v>419.98782280324377</v>
      </c>
      <c r="H17">
        <v>307.30712737509856</v>
      </c>
      <c r="I17">
        <v>419.98782280324377</v>
      </c>
    </row>
    <row r="18" spans="1:13" ht="12.6" thickBot="1">
      <c r="A18" s="4" t="s">
        <v>815</v>
      </c>
      <c r="B18" s="4">
        <v>-3.158831016954263</v>
      </c>
      <c r="C18" s="4">
        <v>0.50369604941148916</v>
      </c>
      <c r="D18" s="4">
        <v>-6.2713039354686098</v>
      </c>
      <c r="E18" s="4">
        <v>2.1682996709419577E-9</v>
      </c>
      <c r="F18" s="4">
        <v>-4.1520673546480973</v>
      </c>
      <c r="G18" s="4">
        <v>-2.1655946792604284</v>
      </c>
      <c r="H18" s="4">
        <v>-4.1520673546480973</v>
      </c>
      <c r="I18" s="4">
        <v>-2.1655946792604284</v>
      </c>
      <c r="M18" t="str">
        <f ca="1">addtext(M12:S12)</f>
        <v xml:space="preserve"> Maize = 14.031 + 0.859 * Barley</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D3:I20"/>
  <sheetViews>
    <sheetView workbookViewId="0">
      <selection activeCell="M36" sqref="M36"/>
    </sheetView>
  </sheetViews>
  <sheetFormatPr defaultRowHeight="12.3"/>
  <sheetData>
    <row r="3" spans="4:9">
      <c r="D3" t="s">
        <v>783</v>
      </c>
      <c r="E3">
        <v>1</v>
      </c>
    </row>
    <row r="4" spans="4:9">
      <c r="D4" t="s">
        <v>784</v>
      </c>
      <c r="E4">
        <v>1</v>
      </c>
    </row>
    <row r="5" spans="4:9">
      <c r="D5" t="s">
        <v>786</v>
      </c>
      <c r="E5">
        <v>1</v>
      </c>
    </row>
    <row r="6" spans="4:9">
      <c r="D6" t="s">
        <v>785</v>
      </c>
      <c r="E6">
        <v>4</v>
      </c>
    </row>
    <row r="8" spans="4:9">
      <c r="D8" s="3"/>
    </row>
    <row r="9" spans="4:9">
      <c r="E9">
        <v>100</v>
      </c>
      <c r="F9">
        <v>200</v>
      </c>
      <c r="G9">
        <v>300</v>
      </c>
      <c r="H9">
        <v>400</v>
      </c>
      <c r="I9">
        <v>500</v>
      </c>
    </row>
    <row r="10" spans="4:9">
      <c r="E10">
        <v>10</v>
      </c>
      <c r="F10">
        <v>99</v>
      </c>
      <c r="G10">
        <v>99</v>
      </c>
      <c r="H10">
        <v>65</v>
      </c>
      <c r="I10">
        <v>53</v>
      </c>
    </row>
    <row r="11" spans="4:9">
      <c r="E11">
        <v>20</v>
      </c>
      <c r="F11">
        <v>76</v>
      </c>
      <c r="G11">
        <v>75</v>
      </c>
      <c r="H11">
        <v>64</v>
      </c>
      <c r="I11">
        <v>94</v>
      </c>
    </row>
    <row r="12" spans="4:9">
      <c r="E12">
        <v>30</v>
      </c>
      <c r="F12">
        <v>68</v>
      </c>
      <c r="G12">
        <v>59</v>
      </c>
      <c r="H12">
        <v>86</v>
      </c>
      <c r="I12">
        <v>61</v>
      </c>
    </row>
    <row r="13" spans="4:9">
      <c r="E13">
        <v>40</v>
      </c>
      <c r="F13">
        <v>77</v>
      </c>
      <c r="G13">
        <v>72</v>
      </c>
      <c r="H13">
        <v>96</v>
      </c>
      <c r="I13">
        <v>78</v>
      </c>
    </row>
    <row r="15" spans="4:9">
      <c r="E15">
        <f ca="1">OFFSET(E9,2,3)</f>
        <v>64</v>
      </c>
    </row>
    <row r="16" spans="4:9">
      <c r="E16">
        <f ca="1">OFFSET(I13,-1,-1)</f>
        <v>86</v>
      </c>
    </row>
    <row r="18" spans="5:5">
      <c r="E18">
        <f ca="1">SUM(OFFSET(D8,E3,E4,E5,E6))</f>
        <v>1000</v>
      </c>
    </row>
    <row r="19" spans="5:5">
      <c r="E19">
        <f ca="1">STDEV(OFFSET(D8,E3,E4,E5,E6))</f>
        <v>129.09944487358058</v>
      </c>
    </row>
    <row r="20" spans="5:5">
      <c r="E20">
        <f ca="1">AVERAGE(Erlend)</f>
        <v>250</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C5:H84"/>
  <sheetViews>
    <sheetView workbookViewId="0">
      <selection activeCell="K1" sqref="K1"/>
    </sheetView>
  </sheetViews>
  <sheetFormatPr defaultRowHeight="12.3"/>
  <cols>
    <col min="3" max="3" width="26.1640625" customWidth="1"/>
  </cols>
  <sheetData>
    <row r="5" spans="3:8" ht="15">
      <c r="C5" s="10" t="str">
        <f t="array" ref="C5:C84">TRANSPOSE('Monthly Prices'!B5:CE5)</f>
        <v>Crude oil, average</v>
      </c>
      <c r="G5" s="1" t="s">
        <v>782</v>
      </c>
      <c r="H5" s="1" t="e">
        <f>MATCH(TRUE,FALSE)</f>
        <v>#N/A</v>
      </c>
    </row>
    <row r="6" spans="3:8" ht="15">
      <c r="C6" s="10" t="str">
        <v>Crude oil, Brent</v>
      </c>
    </row>
    <row r="7" spans="3:8" ht="15">
      <c r="C7" s="10" t="str">
        <v>Crude oil, Dubai</v>
      </c>
    </row>
    <row r="8" spans="3:8" ht="15">
      <c r="C8" s="10" t="str">
        <v>Crude oil, WTI</v>
      </c>
    </row>
    <row r="9" spans="3:8" ht="15">
      <c r="C9" s="10" t="str">
        <v>Coal, Australian</v>
      </c>
    </row>
    <row r="10" spans="3:8" ht="15">
      <c r="C10" s="10" t="str">
        <v>Coal, South African **</v>
      </c>
    </row>
    <row r="11" spans="3:8" ht="15">
      <c r="C11" s="10" t="str">
        <v>Natural gas, US</v>
      </c>
    </row>
    <row r="12" spans="3:8" ht="15">
      <c r="C12" s="10" t="str">
        <v>Natural gas, Europe</v>
      </c>
    </row>
    <row r="13" spans="3:8" ht="30">
      <c r="C13" s="10" t="str">
        <v>Liquefied natural gas, Japan</v>
      </c>
    </row>
    <row r="14" spans="3:8" ht="15">
      <c r="C14" s="10" t="str">
        <v>Natural gas index</v>
      </c>
    </row>
    <row r="15" spans="3:8" ht="15">
      <c r="C15" s="10" t="str">
        <v>Cocoa</v>
      </c>
    </row>
    <row r="16" spans="3:8" ht="15">
      <c r="C16" s="10" t="str">
        <v>Coffee, Arabica</v>
      </c>
    </row>
    <row r="17" spans="3:3" ht="15">
      <c r="C17" s="10" t="str">
        <v>Coffee, Robusta</v>
      </c>
    </row>
    <row r="18" spans="3:3" ht="15">
      <c r="C18" s="10" t="str">
        <v>Tea, avg 3 auctions</v>
      </c>
    </row>
    <row r="19" spans="3:3" ht="15">
      <c r="C19" s="10" t="str">
        <v>Tea, Colombo</v>
      </c>
    </row>
    <row r="20" spans="3:3" ht="15">
      <c r="C20" s="10" t="str">
        <v>Tea, Kolkata</v>
      </c>
    </row>
    <row r="21" spans="3:3" ht="15">
      <c r="C21" s="10" t="str">
        <v>Tea, Mombasa</v>
      </c>
    </row>
    <row r="22" spans="3:3" ht="15">
      <c r="C22" s="10" t="str">
        <v>Coconut oil</v>
      </c>
    </row>
    <row r="23" spans="3:3" ht="15">
      <c r="C23" s="10" t="str">
        <v>Groundnuts</v>
      </c>
    </row>
    <row r="24" spans="3:3" ht="15">
      <c r="C24" s="10" t="str">
        <v>Fish meal</v>
      </c>
    </row>
    <row r="25" spans="3:3" ht="15">
      <c r="C25" s="10" t="str">
        <v>Groundnut oil **</v>
      </c>
    </row>
    <row r="26" spans="3:3" ht="15">
      <c r="C26" s="10" t="str">
        <v>Palm oil</v>
      </c>
    </row>
    <row r="27" spans="3:3" ht="15">
      <c r="C27" s="10" t="str">
        <v>Palm kernel oil</v>
      </c>
    </row>
    <row r="28" spans="3:3" ht="15">
      <c r="C28" s="10" t="str">
        <v>Soybeans</v>
      </c>
    </row>
    <row r="29" spans="3:3" ht="15">
      <c r="C29" s="10" t="str">
        <v>Soybean oil</v>
      </c>
    </row>
    <row r="30" spans="3:3" ht="15">
      <c r="C30" s="10" t="str">
        <v>Soybean meal</v>
      </c>
    </row>
    <row r="31" spans="3:3" ht="15">
      <c r="C31" s="10" t="str">
        <v>Rapeseed oil</v>
      </c>
    </row>
    <row r="32" spans="3:3" ht="15">
      <c r="C32" s="10" t="str">
        <v>Sunflower oil</v>
      </c>
    </row>
    <row r="33" spans="3:3" ht="15">
      <c r="C33" s="10" t="str">
        <v>Barley</v>
      </c>
    </row>
    <row r="34" spans="3:3" ht="15">
      <c r="C34" s="10" t="str">
        <v>Maize</v>
      </c>
    </row>
    <row r="35" spans="3:3" ht="15">
      <c r="C35" s="10" t="str">
        <v>Sorghum</v>
      </c>
    </row>
    <row r="36" spans="3:3" ht="15">
      <c r="C36" s="10" t="str">
        <v xml:space="preserve">Rice, Thai 5% </v>
      </c>
    </row>
    <row r="37" spans="3:3" ht="15">
      <c r="C37" s="10" t="str">
        <v xml:space="preserve">Rice, Thai 25% </v>
      </c>
    </row>
    <row r="38" spans="3:3" ht="15">
      <c r="C38" s="10" t="str">
        <v>Rice, Thai A.1</v>
      </c>
    </row>
    <row r="39" spans="3:3" ht="15">
      <c r="C39" s="10" t="str">
        <v>Rice, Viet Namese 5%</v>
      </c>
    </row>
    <row r="40" spans="3:3" ht="15">
      <c r="C40" s="10" t="str">
        <v>Wheat, US SRW</v>
      </c>
    </row>
    <row r="41" spans="3:3" ht="15">
      <c r="C41" s="10" t="str">
        <v>Wheat, US HRW</v>
      </c>
    </row>
    <row r="42" spans="3:3" ht="15">
      <c r="C42" s="10" t="str">
        <v>Banana, Europe</v>
      </c>
    </row>
    <row r="43" spans="3:3" ht="15">
      <c r="C43" s="10" t="str">
        <v>Banana, US</v>
      </c>
    </row>
    <row r="44" spans="3:3" ht="15">
      <c r="C44" s="10" t="str">
        <v>Orange</v>
      </c>
    </row>
    <row r="45" spans="3:3" ht="15">
      <c r="C45" s="10" t="str">
        <v>Beef</v>
      </c>
    </row>
    <row r="46" spans="3:3" ht="15">
      <c r="C46" s="10" t="str">
        <v>Chicken</v>
      </c>
    </row>
    <row r="47" spans="3:3" ht="15">
      <c r="C47" s="10" t="str">
        <v>Lamb **</v>
      </c>
    </row>
    <row r="48" spans="3:3" ht="15">
      <c r="C48" s="10" t="str">
        <v>Shrimps, Mexican</v>
      </c>
    </row>
    <row r="49" spans="3:3" ht="15">
      <c r="C49" s="10" t="str">
        <v>Sugar, EU</v>
      </c>
    </row>
    <row r="50" spans="3:3" ht="15">
      <c r="C50" s="10" t="str">
        <v>Sugar, US</v>
      </c>
    </row>
    <row r="51" spans="3:3" ht="15">
      <c r="C51" s="10" t="str">
        <v>Sugar, world</v>
      </c>
    </row>
    <row r="52" spans="3:3" ht="15">
      <c r="C52" s="10" t="str">
        <v>Tobacco, US import u.v.</v>
      </c>
    </row>
    <row r="53" spans="3:3" ht="15">
      <c r="C53" s="10" t="str">
        <v>Logs, Cameroon</v>
      </c>
    </row>
    <row r="54" spans="3:3" ht="15">
      <c r="C54" s="10" t="str">
        <v>Logs, Malaysian</v>
      </c>
    </row>
    <row r="55" spans="3:3" ht="15">
      <c r="C55" s="10" t="str">
        <v>Sawnwood, Cameroon</v>
      </c>
    </row>
    <row r="56" spans="3:3" ht="15">
      <c r="C56" s="10" t="str">
        <v>Sawnwood, Malaysian</v>
      </c>
    </row>
    <row r="57" spans="3:3" ht="15">
      <c r="C57" s="10" t="str">
        <v>Plywood</v>
      </c>
    </row>
    <row r="58" spans="3:3" ht="15">
      <c r="C58" s="10" t="str">
        <v>Cotton, A Index</v>
      </c>
    </row>
    <row r="59" spans="3:3" ht="15">
      <c r="C59" s="10" t="str">
        <v>Rubber, TSR20 **</v>
      </c>
    </row>
    <row r="60" spans="3:3" ht="15">
      <c r="C60" s="10" t="str">
        <v>Rubber, RSS3</v>
      </c>
    </row>
    <row r="61" spans="3:3" ht="15">
      <c r="C61" s="10" t="str">
        <v>Phosphate rock</v>
      </c>
    </row>
    <row r="62" spans="3:3" ht="15">
      <c r="C62" s="10" t="str">
        <v>DAP</v>
      </c>
    </row>
    <row r="63" spans="3:3" ht="15">
      <c r="C63" s="10" t="str">
        <v>TSP</v>
      </c>
    </row>
    <row r="64" spans="3:3" ht="15">
      <c r="C64" s="10" t="str">
        <v xml:space="preserve">Urea </v>
      </c>
    </row>
    <row r="65" spans="3:3" ht="15">
      <c r="C65" s="10" t="str">
        <v>Potassium chloride **</v>
      </c>
    </row>
    <row r="66" spans="3:3" ht="15">
      <c r="C66" s="10" t="str">
        <v>Aluminum</v>
      </c>
    </row>
    <row r="67" spans="3:3" ht="15">
      <c r="C67" s="10" t="str">
        <v>Iron ore, cfr spot</v>
      </c>
    </row>
    <row r="68" spans="3:3" ht="15">
      <c r="C68" s="10" t="str">
        <v>Copper</v>
      </c>
    </row>
    <row r="69" spans="3:3" ht="15">
      <c r="C69" s="10" t="str">
        <v>Lead</v>
      </c>
    </row>
    <row r="70" spans="3:3" ht="15">
      <c r="C70" s="10" t="str">
        <v>Tin</v>
      </c>
    </row>
    <row r="71" spans="3:3" ht="15">
      <c r="C71" s="10" t="str">
        <v>Nickel</v>
      </c>
    </row>
    <row r="72" spans="3:3" ht="15">
      <c r="C72" s="10" t="str">
        <v>Zinc</v>
      </c>
    </row>
    <row r="73" spans="3:3" ht="15">
      <c r="C73" s="10" t="str">
        <v>Gold</v>
      </c>
    </row>
    <row r="74" spans="3:3" ht="15">
      <c r="C74" s="10" t="str">
        <v>Platinum</v>
      </c>
    </row>
    <row r="75" spans="3:3" ht="15">
      <c r="C75" s="10" t="str">
        <v>Silver</v>
      </c>
    </row>
    <row r="76" spans="3:3" ht="15">
      <c r="C76" s="2">
        <v>0</v>
      </c>
    </row>
    <row r="77" spans="3:3" ht="15">
      <c r="C77" s="2">
        <v>0</v>
      </c>
    </row>
    <row r="78" spans="3:3" ht="15">
      <c r="C78" s="2">
        <v>0</v>
      </c>
    </row>
    <row r="79" spans="3:3" ht="15">
      <c r="C79" s="2">
        <v>0</v>
      </c>
    </row>
    <row r="80" spans="3:3" ht="15">
      <c r="C80" s="2">
        <v>0</v>
      </c>
    </row>
    <row r="81" spans="3:3" ht="15">
      <c r="C81" s="2">
        <v>0</v>
      </c>
    </row>
    <row r="82" spans="3:3" ht="15">
      <c r="C82" s="2">
        <v>0</v>
      </c>
    </row>
    <row r="83" spans="3:3" ht="15">
      <c r="C83" s="2">
        <v>0</v>
      </c>
    </row>
    <row r="84" spans="3:3" ht="15">
      <c r="C84" s="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CI390"/>
  <sheetViews>
    <sheetView workbookViewId="0">
      <selection sqref="A1:XFD1048576"/>
    </sheetView>
  </sheetViews>
  <sheetFormatPr defaultColWidth="9.1640625" defaultRowHeight="15"/>
  <cols>
    <col min="1" max="1" width="4.27734375" style="47" customWidth="1"/>
    <col min="2" max="17" width="9.1640625" style="47"/>
    <col min="18" max="18" width="8.83203125" style="7" customWidth="1"/>
    <col min="19" max="16384" width="9.1640625" style="47"/>
  </cols>
  <sheetData>
    <row r="1" spans="1:87" s="99" customFormat="1" ht="28.5" customHeight="1">
      <c r="A1" s="144" t="s">
        <v>135</v>
      </c>
      <c r="B1" s="38"/>
      <c r="C1" s="38"/>
      <c r="D1" s="38"/>
      <c r="E1" s="38"/>
      <c r="F1" s="38"/>
      <c r="G1" s="38"/>
      <c r="H1" s="38"/>
      <c r="I1" s="38"/>
      <c r="J1" s="38"/>
      <c r="K1" s="38"/>
      <c r="L1" s="38"/>
      <c r="M1" s="38"/>
      <c r="N1" s="38"/>
      <c r="O1" s="38"/>
      <c r="P1" s="38"/>
      <c r="Q1" s="38"/>
      <c r="S1" s="38"/>
      <c r="T1" s="38"/>
      <c r="U1" s="38"/>
      <c r="V1" s="38"/>
      <c r="W1" s="38"/>
      <c r="X1" s="38"/>
      <c r="Y1" s="38"/>
      <c r="Z1" s="38"/>
      <c r="AA1" s="38"/>
    </row>
    <row r="2" spans="1:87" s="99" customFormat="1" ht="18" thickBot="1">
      <c r="A2" s="67" t="s">
        <v>958</v>
      </c>
      <c r="B2" s="68"/>
      <c r="C2" s="68"/>
      <c r="D2" s="68"/>
      <c r="E2" s="68"/>
      <c r="F2" s="68"/>
      <c r="G2" s="68"/>
      <c r="H2" s="68"/>
      <c r="I2" s="68"/>
      <c r="J2" s="68"/>
      <c r="K2" s="68"/>
      <c r="L2" s="68"/>
      <c r="M2" s="68"/>
      <c r="N2" s="68"/>
      <c r="O2" s="68"/>
      <c r="P2" s="68"/>
      <c r="Q2" s="68"/>
      <c r="R2" s="68"/>
      <c r="S2" s="68"/>
      <c r="T2" s="67" t="s">
        <v>959</v>
      </c>
      <c r="U2" s="68"/>
      <c r="V2" s="68"/>
      <c r="W2" s="68"/>
      <c r="X2" s="68"/>
      <c r="Y2" s="68"/>
      <c r="Z2" s="68"/>
      <c r="AA2" s="68"/>
      <c r="AB2" s="68"/>
      <c r="AC2" s="68"/>
      <c r="AD2" s="68"/>
      <c r="AE2" s="68"/>
      <c r="AF2" s="68"/>
      <c r="AG2" s="68"/>
      <c r="AH2" s="68"/>
    </row>
    <row r="3" spans="1:87" ht="15.3" thickTop="1">
      <c r="A3" s="7" t="s">
        <v>960</v>
      </c>
      <c r="B3" s="7"/>
      <c r="C3" s="7"/>
      <c r="D3" s="7"/>
      <c r="E3" s="7"/>
      <c r="F3" s="7"/>
      <c r="G3" s="7"/>
      <c r="H3" s="7"/>
      <c r="I3" s="7"/>
      <c r="J3" s="7"/>
      <c r="K3" s="7"/>
      <c r="L3" s="7"/>
      <c r="M3" s="7"/>
      <c r="N3" s="7"/>
      <c r="O3" s="7"/>
      <c r="P3" s="7"/>
      <c r="Q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row>
    <row r="4" spans="1:87" ht="13.15" customHeight="1">
      <c r="A4" s="145" t="s">
        <v>961</v>
      </c>
      <c r="B4" s="143" t="s">
        <v>1319</v>
      </c>
      <c r="C4" s="143"/>
      <c r="D4" s="143"/>
      <c r="E4" s="143"/>
      <c r="F4" s="143"/>
      <c r="G4" s="143"/>
      <c r="H4" s="143"/>
      <c r="I4" s="143"/>
      <c r="J4" s="143"/>
      <c r="K4" s="143"/>
      <c r="L4" s="143"/>
      <c r="M4" s="143"/>
      <c r="N4" s="143"/>
      <c r="O4" s="143"/>
      <c r="P4" s="143"/>
      <c r="Q4" s="143"/>
      <c r="S4" s="143"/>
      <c r="T4" s="143" t="s">
        <v>1320</v>
      </c>
      <c r="U4" s="143"/>
      <c r="V4" s="143"/>
      <c r="W4" s="143"/>
      <c r="X4" s="143"/>
      <c r="Y4" s="143"/>
      <c r="Z4" s="143"/>
      <c r="AA4" s="143"/>
      <c r="AB4" s="143"/>
      <c r="AC4" s="143"/>
      <c r="AD4" s="143"/>
      <c r="AE4" s="143"/>
      <c r="AF4" s="143"/>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row>
    <row r="5" spans="1:87" ht="13.15" customHeight="1">
      <c r="A5" s="145"/>
      <c r="B5" s="143" t="s">
        <v>962</v>
      </c>
      <c r="C5" s="143"/>
      <c r="D5" s="143"/>
      <c r="E5" s="143"/>
      <c r="F5" s="143"/>
      <c r="G5" s="143"/>
      <c r="H5" s="143"/>
      <c r="I5" s="143"/>
      <c r="J5" s="143"/>
      <c r="K5" s="143"/>
      <c r="L5" s="143"/>
      <c r="M5" s="143"/>
      <c r="N5" s="143"/>
      <c r="O5" s="143"/>
      <c r="P5" s="143"/>
      <c r="Q5" s="143"/>
      <c r="S5" s="143"/>
      <c r="T5" s="143" t="s">
        <v>1321</v>
      </c>
      <c r="U5" s="143"/>
      <c r="V5" s="143"/>
      <c r="W5" s="143"/>
      <c r="X5" s="143"/>
      <c r="Y5" s="143"/>
      <c r="Z5" s="143"/>
      <c r="AA5" s="143"/>
      <c r="AB5" s="143"/>
      <c r="AC5" s="143"/>
      <c r="AD5" s="143"/>
      <c r="AE5" s="143"/>
      <c r="AF5" s="143"/>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row>
    <row r="6" spans="1:87" ht="13.15" customHeight="1">
      <c r="A6" s="145"/>
      <c r="B6" s="143" t="s">
        <v>1322</v>
      </c>
      <c r="C6" s="143"/>
      <c r="D6" s="143"/>
      <c r="E6" s="143"/>
      <c r="F6" s="143"/>
      <c r="G6" s="143"/>
      <c r="H6" s="143"/>
      <c r="I6" s="143"/>
      <c r="J6" s="143"/>
      <c r="K6" s="143"/>
      <c r="L6" s="143"/>
      <c r="M6" s="143"/>
      <c r="N6" s="143"/>
      <c r="O6" s="143"/>
      <c r="P6" s="143"/>
      <c r="Q6" s="143"/>
      <c r="S6" s="143"/>
      <c r="T6" s="143" t="s">
        <v>1323</v>
      </c>
      <c r="U6" s="143"/>
      <c r="V6" s="143"/>
      <c r="W6" s="143"/>
      <c r="X6" s="143"/>
      <c r="Y6" s="143"/>
      <c r="Z6" s="143"/>
      <c r="AA6" s="143"/>
      <c r="AB6" s="143"/>
      <c r="AC6" s="143"/>
      <c r="AD6" s="143"/>
      <c r="AE6" s="143"/>
      <c r="AF6" s="143"/>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row>
    <row r="7" spans="1:87" ht="13.15" customHeight="1">
      <c r="A7" s="145" t="s">
        <v>961</v>
      </c>
      <c r="B7" s="143" t="s">
        <v>963</v>
      </c>
      <c r="C7" s="143"/>
      <c r="D7" s="143"/>
      <c r="E7" s="143"/>
      <c r="F7" s="143"/>
      <c r="G7" s="143"/>
      <c r="H7" s="143"/>
      <c r="I7" s="143"/>
      <c r="J7" s="143"/>
      <c r="K7" s="143"/>
      <c r="L7" s="143"/>
      <c r="M7" s="143"/>
      <c r="N7" s="143"/>
      <c r="O7" s="143"/>
      <c r="P7" s="143"/>
      <c r="Q7" s="143"/>
      <c r="S7" s="143"/>
      <c r="T7" s="143" t="s">
        <v>964</v>
      </c>
      <c r="U7" s="143"/>
      <c r="V7" s="143"/>
      <c r="W7" s="143"/>
      <c r="X7" s="143"/>
      <c r="Y7" s="143"/>
      <c r="Z7" s="143"/>
      <c r="AA7" s="143"/>
      <c r="AB7" s="143"/>
      <c r="AC7" s="143"/>
      <c r="AD7" s="143"/>
      <c r="AE7" s="143"/>
      <c r="AF7" s="143"/>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7"/>
      <c r="BJ7" s="7"/>
      <c r="BK7" s="7"/>
      <c r="BL7" s="7"/>
      <c r="BM7" s="7"/>
      <c r="BN7" s="7"/>
      <c r="BO7" s="7"/>
      <c r="BP7" s="7"/>
      <c r="BQ7" s="7"/>
      <c r="BR7" s="7"/>
      <c r="BS7" s="7"/>
      <c r="BT7" s="7"/>
      <c r="BU7" s="7"/>
      <c r="BV7" s="7"/>
      <c r="BW7" s="7"/>
      <c r="BX7" s="7"/>
      <c r="BY7" s="7"/>
      <c r="BZ7" s="7"/>
      <c r="CA7" s="7"/>
      <c r="CB7" s="7"/>
      <c r="CC7" s="7"/>
      <c r="CD7" s="7"/>
      <c r="CE7" s="7"/>
      <c r="CF7" s="7"/>
      <c r="CG7" s="7"/>
      <c r="CH7" s="7"/>
      <c r="CI7" s="7"/>
    </row>
    <row r="8" spans="1:87" ht="13.15" customHeight="1">
      <c r="A8" s="7"/>
      <c r="B8" s="143" t="s">
        <v>965</v>
      </c>
      <c r="C8" s="143"/>
      <c r="D8" s="143"/>
      <c r="E8" s="143"/>
      <c r="F8" s="143"/>
      <c r="G8" s="143"/>
      <c r="H8" s="143"/>
      <c r="I8" s="143"/>
      <c r="J8" s="143"/>
      <c r="K8" s="143"/>
      <c r="L8" s="143"/>
      <c r="M8" s="143"/>
      <c r="N8" s="143"/>
      <c r="O8" s="143"/>
      <c r="P8" s="143"/>
      <c r="Q8" s="143"/>
      <c r="S8" s="143"/>
      <c r="T8" s="143" t="s">
        <v>966</v>
      </c>
      <c r="U8" s="143"/>
      <c r="V8" s="143"/>
      <c r="W8" s="143"/>
      <c r="X8" s="143"/>
      <c r="Y8" s="143"/>
      <c r="Z8" s="143"/>
      <c r="AA8" s="143"/>
      <c r="AB8" s="143"/>
      <c r="AC8" s="143"/>
      <c r="AD8" s="143"/>
      <c r="AE8" s="143"/>
      <c r="AF8" s="143"/>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P8" s="7"/>
      <c r="BQ8" s="7"/>
      <c r="BR8" s="7"/>
      <c r="BS8" s="7"/>
      <c r="BT8" s="7"/>
      <c r="BU8" s="7"/>
      <c r="BV8" s="7"/>
      <c r="BW8" s="7"/>
      <c r="BX8" s="7"/>
      <c r="BY8" s="7"/>
      <c r="BZ8" s="7"/>
      <c r="CA8" s="7"/>
      <c r="CB8" s="7"/>
      <c r="CC8" s="7"/>
      <c r="CD8" s="7"/>
      <c r="CE8" s="7"/>
      <c r="CF8" s="7"/>
      <c r="CG8" s="7"/>
      <c r="CH8" s="7"/>
      <c r="CI8" s="7"/>
    </row>
    <row r="9" spans="1:87" ht="13.15" customHeight="1">
      <c r="A9" s="7"/>
      <c r="B9" s="143" t="s">
        <v>967</v>
      </c>
      <c r="C9" s="143"/>
      <c r="D9" s="143"/>
      <c r="E9" s="143"/>
      <c r="F9" s="143"/>
      <c r="G9" s="143"/>
      <c r="H9" s="143"/>
      <c r="I9" s="143"/>
      <c r="J9" s="143"/>
      <c r="K9" s="143"/>
      <c r="L9" s="143"/>
      <c r="M9" s="143"/>
      <c r="N9" s="143"/>
      <c r="O9" s="143"/>
      <c r="P9" s="143"/>
      <c r="Q9" s="143"/>
      <c r="S9" s="143"/>
      <c r="T9" s="143" t="s">
        <v>966</v>
      </c>
      <c r="U9" s="143"/>
      <c r="V9" s="143"/>
      <c r="W9" s="143"/>
      <c r="X9" s="143"/>
      <c r="Y9" s="143"/>
      <c r="Z9" s="143"/>
      <c r="AA9" s="143"/>
      <c r="AB9" s="143"/>
      <c r="AC9" s="143"/>
      <c r="AD9" s="143"/>
      <c r="AE9" s="143"/>
      <c r="AF9" s="143"/>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row>
    <row r="10" spans="1:87" ht="13.15" customHeight="1">
      <c r="A10" s="7"/>
      <c r="B10" s="143" t="s">
        <v>968</v>
      </c>
      <c r="C10" s="143"/>
      <c r="D10" s="143"/>
      <c r="E10" s="143"/>
      <c r="F10" s="143"/>
      <c r="G10" s="143"/>
      <c r="H10" s="143"/>
      <c r="I10" s="143"/>
      <c r="J10" s="143"/>
      <c r="K10" s="143"/>
      <c r="L10" s="143"/>
      <c r="M10" s="143"/>
      <c r="N10" s="143"/>
      <c r="O10" s="143"/>
      <c r="P10" s="143"/>
      <c r="Q10" s="143"/>
      <c r="S10" s="143"/>
      <c r="T10" s="143" t="s">
        <v>966</v>
      </c>
      <c r="U10" s="143"/>
      <c r="V10" s="143"/>
      <c r="W10" s="143"/>
      <c r="X10" s="143"/>
      <c r="Y10" s="143"/>
      <c r="Z10" s="143"/>
      <c r="AA10" s="143"/>
      <c r="AB10" s="143"/>
      <c r="AC10" s="143"/>
      <c r="AD10" s="143"/>
      <c r="AE10" s="143"/>
      <c r="AF10" s="143"/>
      <c r="AG10" s="7"/>
      <c r="AH10" s="7"/>
      <c r="AI10" s="7"/>
      <c r="AJ10" s="7"/>
      <c r="AK10" s="7"/>
      <c r="AL10" s="7"/>
      <c r="AM10" s="7"/>
      <c r="AN10" s="7"/>
      <c r="AO10" s="7"/>
      <c r="AP10" s="7"/>
      <c r="AQ10" s="7"/>
      <c r="AR10" s="7"/>
      <c r="AS10" s="7"/>
      <c r="AT10" s="7"/>
      <c r="AU10" s="7"/>
      <c r="AV10" s="7"/>
      <c r="AW10" s="7"/>
      <c r="AX10" s="7"/>
      <c r="AY10" s="7"/>
      <c r="AZ10" s="7"/>
      <c r="BA10" s="7"/>
      <c r="BB10" s="7"/>
      <c r="BC10" s="7"/>
      <c r="BD10" s="7"/>
      <c r="BE10" s="7"/>
      <c r="BF10" s="7"/>
      <c r="BG10" s="7"/>
      <c r="BH10" s="7"/>
      <c r="BI10" s="7"/>
      <c r="BJ10" s="7"/>
      <c r="BK10" s="7"/>
      <c r="BL10" s="7"/>
      <c r="BM10" s="7"/>
      <c r="BN10" s="7"/>
      <c r="BO10" s="7"/>
      <c r="BP10" s="7"/>
      <c r="BQ10" s="7"/>
      <c r="BR10" s="7"/>
      <c r="BS10" s="7"/>
      <c r="BT10" s="7"/>
      <c r="BU10" s="7"/>
      <c r="BV10" s="7"/>
      <c r="BW10" s="7"/>
      <c r="BX10" s="7"/>
      <c r="BY10" s="7"/>
      <c r="BZ10" s="7"/>
      <c r="CA10" s="7"/>
      <c r="CB10" s="7"/>
      <c r="CC10" s="7"/>
      <c r="CD10" s="7"/>
      <c r="CE10" s="7"/>
      <c r="CF10" s="7"/>
      <c r="CG10" s="7"/>
      <c r="CH10" s="7"/>
      <c r="CI10" s="7"/>
    </row>
    <row r="11" spans="1:87" ht="13.15" customHeight="1">
      <c r="A11" s="145" t="s">
        <v>961</v>
      </c>
      <c r="B11" s="143" t="s">
        <v>969</v>
      </c>
      <c r="C11" s="143"/>
      <c r="D11" s="143"/>
      <c r="E11" s="143"/>
      <c r="F11" s="143"/>
      <c r="G11" s="143"/>
      <c r="H11" s="143"/>
      <c r="I11" s="143"/>
      <c r="J11" s="143"/>
      <c r="K11" s="143"/>
      <c r="L11" s="143"/>
      <c r="M11" s="143"/>
      <c r="N11" s="143"/>
      <c r="O11" s="143"/>
      <c r="P11" s="143"/>
      <c r="Q11" s="143"/>
      <c r="S11" s="143"/>
      <c r="T11" s="143" t="s">
        <v>964</v>
      </c>
      <c r="U11" s="143"/>
      <c r="V11" s="143"/>
      <c r="W11" s="143"/>
      <c r="X11" s="143"/>
      <c r="Y11" s="143"/>
      <c r="Z11" s="143"/>
      <c r="AA11" s="143"/>
      <c r="AB11" s="143"/>
      <c r="AC11" s="143"/>
      <c r="AD11" s="143"/>
      <c r="AE11" s="143"/>
      <c r="AF11" s="143"/>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c r="CA11" s="7"/>
      <c r="CB11" s="7"/>
      <c r="CC11" s="7"/>
      <c r="CD11" s="7"/>
      <c r="CE11" s="7"/>
      <c r="CF11" s="7"/>
      <c r="CG11" s="7"/>
      <c r="CH11" s="7"/>
      <c r="CI11" s="7"/>
    </row>
    <row r="12" spans="1:87" ht="13.15" customHeight="1">
      <c r="A12" s="145" t="s">
        <v>961</v>
      </c>
      <c r="B12" s="143" t="s">
        <v>1324</v>
      </c>
      <c r="C12" s="143"/>
      <c r="D12" s="143"/>
      <c r="E12" s="143"/>
      <c r="F12" s="143"/>
      <c r="G12" s="143"/>
      <c r="H12" s="143"/>
      <c r="I12" s="143"/>
      <c r="J12" s="143"/>
      <c r="K12" s="143"/>
      <c r="L12" s="143"/>
      <c r="M12" s="143"/>
      <c r="N12" s="143"/>
      <c r="O12" s="143"/>
      <c r="P12" s="143"/>
      <c r="Q12" s="143"/>
      <c r="S12" s="143"/>
      <c r="T12" s="143" t="s">
        <v>1325</v>
      </c>
      <c r="U12" s="143"/>
      <c r="V12" s="143"/>
      <c r="W12" s="143"/>
      <c r="X12" s="143"/>
      <c r="Y12" s="143"/>
      <c r="Z12" s="143"/>
      <c r="AA12" s="143"/>
      <c r="AB12" s="143"/>
      <c r="AC12" s="143"/>
      <c r="AD12" s="143"/>
      <c r="AE12" s="143"/>
      <c r="AF12" s="143"/>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row>
    <row r="13" spans="1:87" ht="13.15" customHeight="1">
      <c r="A13" s="145" t="s">
        <v>961</v>
      </c>
      <c r="B13" s="143" t="s">
        <v>1326</v>
      </c>
      <c r="C13" s="143"/>
      <c r="D13" s="143"/>
      <c r="E13" s="143"/>
      <c r="F13" s="143"/>
      <c r="G13" s="143"/>
      <c r="H13" s="143"/>
      <c r="I13" s="143"/>
      <c r="J13" s="143"/>
      <c r="K13" s="143"/>
      <c r="L13" s="143"/>
      <c r="M13" s="143"/>
      <c r="N13" s="143"/>
      <c r="O13" s="143"/>
      <c r="P13" s="143"/>
      <c r="Q13" s="143"/>
      <c r="S13" s="143"/>
      <c r="T13" s="143" t="s">
        <v>1327</v>
      </c>
      <c r="U13" s="143"/>
      <c r="V13" s="143"/>
      <c r="W13" s="143"/>
      <c r="X13" s="143"/>
      <c r="Y13" s="143"/>
      <c r="Z13" s="143"/>
      <c r="AA13" s="143"/>
      <c r="AB13" s="143"/>
      <c r="AC13" s="143"/>
      <c r="AD13" s="143"/>
      <c r="AE13" s="143"/>
      <c r="AF13" s="143"/>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row>
    <row r="14" spans="1:87" ht="13.15" customHeight="1">
      <c r="A14" s="145" t="s">
        <v>961</v>
      </c>
      <c r="B14" s="143" t="s">
        <v>1376</v>
      </c>
      <c r="C14" s="143"/>
      <c r="D14" s="143"/>
      <c r="E14" s="143"/>
      <c r="F14" s="143"/>
      <c r="G14" s="143"/>
      <c r="H14" s="143"/>
      <c r="I14" s="143"/>
      <c r="J14" s="143"/>
      <c r="K14" s="143"/>
      <c r="L14" s="143"/>
      <c r="M14" s="143"/>
      <c r="N14" s="143"/>
      <c r="O14" s="143"/>
      <c r="P14" s="143"/>
      <c r="Q14" s="143"/>
      <c r="S14" s="143"/>
      <c r="T14" s="143" t="s">
        <v>1310</v>
      </c>
      <c r="U14" s="143"/>
      <c r="V14" s="143"/>
      <c r="W14" s="143"/>
      <c r="X14" s="143"/>
      <c r="Y14" s="143"/>
      <c r="Z14" s="143"/>
      <c r="AA14" s="143"/>
      <c r="AB14" s="143"/>
      <c r="AC14" s="143"/>
      <c r="AD14" s="143"/>
      <c r="AE14" s="143"/>
      <c r="AF14" s="143"/>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row>
    <row r="15" spans="1:87" ht="13.15" customHeight="1">
      <c r="A15" s="7"/>
      <c r="B15" s="143"/>
      <c r="C15" s="143"/>
      <c r="D15" s="143"/>
      <c r="E15" s="143"/>
      <c r="F15" s="143"/>
      <c r="G15" s="143"/>
      <c r="H15" s="143"/>
      <c r="I15" s="143"/>
      <c r="J15" s="143"/>
      <c r="K15" s="143"/>
      <c r="L15" s="143"/>
      <c r="M15" s="143"/>
      <c r="N15" s="143"/>
      <c r="O15" s="143"/>
      <c r="P15" s="143"/>
      <c r="Q15" s="143"/>
      <c r="S15" s="143"/>
      <c r="T15" s="143"/>
      <c r="U15" s="143"/>
      <c r="V15" s="143"/>
      <c r="W15" s="143"/>
      <c r="X15" s="143"/>
      <c r="Y15" s="143"/>
      <c r="Z15" s="143"/>
      <c r="AA15" s="143"/>
      <c r="AB15" s="143"/>
      <c r="AC15" s="143"/>
      <c r="AD15" s="143"/>
      <c r="AE15" s="143"/>
      <c r="AF15" s="143"/>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c r="CA15" s="7"/>
      <c r="CB15" s="7"/>
      <c r="CC15" s="7"/>
      <c r="CD15" s="7"/>
      <c r="CE15" s="7"/>
      <c r="CF15" s="7"/>
      <c r="CG15" s="7"/>
      <c r="CH15" s="7"/>
      <c r="CI15" s="7"/>
    </row>
    <row r="16" spans="1:87" ht="13.15" customHeight="1">
      <c r="A16" s="7"/>
      <c r="B16" s="143"/>
      <c r="C16" s="143"/>
      <c r="D16" s="143"/>
      <c r="E16" s="143"/>
      <c r="F16" s="143"/>
      <c r="G16" s="143"/>
      <c r="H16" s="143"/>
      <c r="I16" s="143"/>
      <c r="J16" s="143"/>
      <c r="K16" s="143"/>
      <c r="L16" s="143"/>
      <c r="M16" s="143"/>
      <c r="N16" s="143"/>
      <c r="O16" s="143"/>
      <c r="P16" s="143"/>
      <c r="Q16" s="143"/>
      <c r="S16" s="143"/>
      <c r="T16" s="143"/>
      <c r="U16" s="143"/>
      <c r="V16" s="143"/>
      <c r="W16" s="143"/>
      <c r="X16" s="143"/>
      <c r="Y16" s="143"/>
      <c r="Z16" s="143"/>
      <c r="AA16" s="143"/>
      <c r="AB16" s="143"/>
      <c r="AC16" s="143"/>
      <c r="AD16" s="143"/>
      <c r="AE16" s="143"/>
      <c r="AF16" s="143"/>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row>
    <row r="17" spans="1:87" ht="13.15" customHeight="1">
      <c r="A17" s="7" t="s">
        <v>970</v>
      </c>
      <c r="B17" s="143"/>
      <c r="C17" s="143"/>
      <c r="D17" s="143"/>
      <c r="E17" s="143"/>
      <c r="F17" s="143"/>
      <c r="G17" s="143"/>
      <c r="H17" s="143"/>
      <c r="I17" s="143"/>
      <c r="J17" s="143"/>
      <c r="K17" s="143"/>
      <c r="L17" s="143"/>
      <c r="M17" s="143"/>
      <c r="N17" s="143"/>
      <c r="O17" s="143"/>
      <c r="P17" s="143"/>
      <c r="Q17" s="143"/>
      <c r="S17" s="143"/>
      <c r="T17" s="143"/>
      <c r="U17" s="143"/>
      <c r="V17" s="143"/>
      <c r="W17" s="143"/>
      <c r="X17" s="143"/>
      <c r="Y17" s="143"/>
      <c r="Z17" s="143"/>
      <c r="AA17" s="143"/>
      <c r="AB17" s="143"/>
      <c r="AC17" s="143"/>
      <c r="AD17" s="143"/>
      <c r="AE17" s="143"/>
      <c r="AF17" s="143"/>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row>
    <row r="18" spans="1:87" ht="13.15" customHeight="1">
      <c r="A18" s="145" t="s">
        <v>961</v>
      </c>
      <c r="B18" s="143" t="s">
        <v>971</v>
      </c>
      <c r="C18" s="143"/>
      <c r="D18" s="143"/>
      <c r="E18" s="143"/>
      <c r="F18" s="143"/>
      <c r="G18" s="143"/>
      <c r="H18" s="143"/>
      <c r="I18" s="143"/>
      <c r="J18" s="143"/>
      <c r="K18" s="143"/>
      <c r="L18" s="143"/>
      <c r="M18" s="143"/>
      <c r="N18" s="143"/>
      <c r="O18" s="143"/>
      <c r="P18" s="143"/>
      <c r="Q18" s="143"/>
      <c r="S18" s="143"/>
      <c r="T18" s="143" t="s">
        <v>1328</v>
      </c>
      <c r="U18" s="143"/>
      <c r="V18" s="143"/>
      <c r="W18" s="143"/>
      <c r="X18" s="143"/>
      <c r="Y18" s="143"/>
      <c r="Z18" s="143"/>
      <c r="AA18" s="143"/>
      <c r="AB18" s="143"/>
      <c r="AC18" s="143"/>
      <c r="AD18" s="143"/>
      <c r="AE18" s="143"/>
      <c r="AF18" s="143"/>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row>
    <row r="19" spans="1:87" ht="13.15" customHeight="1">
      <c r="A19" s="145" t="s">
        <v>961</v>
      </c>
      <c r="B19" s="143" t="s">
        <v>972</v>
      </c>
      <c r="C19" s="143"/>
      <c r="D19" s="143"/>
      <c r="E19" s="143"/>
      <c r="F19" s="143"/>
      <c r="G19" s="143"/>
      <c r="H19" s="143"/>
      <c r="I19" s="143"/>
      <c r="J19" s="143"/>
      <c r="K19" s="143"/>
      <c r="L19" s="143"/>
      <c r="M19" s="143"/>
      <c r="N19" s="143"/>
      <c r="O19" s="143"/>
      <c r="P19" s="143"/>
      <c r="Q19" s="143"/>
      <c r="S19" s="143"/>
      <c r="T19" s="143" t="s">
        <v>1329</v>
      </c>
      <c r="U19" s="143"/>
      <c r="V19" s="143"/>
      <c r="W19" s="143"/>
      <c r="X19" s="143"/>
      <c r="Y19" s="143"/>
      <c r="Z19" s="143"/>
      <c r="AA19" s="143"/>
      <c r="AB19" s="143"/>
      <c r="AC19" s="143"/>
      <c r="AD19" s="143"/>
      <c r="AE19" s="143"/>
      <c r="AF19" s="143"/>
      <c r="AG19" s="7"/>
      <c r="AH19" s="7"/>
      <c r="AI19" s="7"/>
      <c r="AJ19" s="7"/>
      <c r="AK19" s="7"/>
      <c r="AL19" s="7"/>
      <c r="AM19" s="7"/>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c r="CA19" s="7"/>
      <c r="CB19" s="7"/>
      <c r="CC19" s="7"/>
      <c r="CD19" s="7"/>
      <c r="CE19" s="7"/>
      <c r="CF19" s="7"/>
      <c r="CG19" s="7"/>
      <c r="CH19" s="7"/>
      <c r="CI19" s="7"/>
    </row>
    <row r="20" spans="1:87" ht="13.15" customHeight="1">
      <c r="A20" s="145" t="s">
        <v>961</v>
      </c>
      <c r="B20" s="143" t="s">
        <v>973</v>
      </c>
      <c r="C20" s="143"/>
      <c r="D20" s="143"/>
      <c r="E20" s="143"/>
      <c r="F20" s="143"/>
      <c r="G20" s="143"/>
      <c r="H20" s="143"/>
      <c r="I20" s="143"/>
      <c r="J20" s="143"/>
      <c r="K20" s="143"/>
      <c r="L20" s="143"/>
      <c r="M20" s="143"/>
      <c r="N20" s="143"/>
      <c r="O20" s="143"/>
      <c r="P20" s="143"/>
      <c r="Q20" s="143"/>
      <c r="S20" s="143"/>
      <c r="T20" s="143" t="s">
        <v>1329</v>
      </c>
      <c r="U20" s="143"/>
      <c r="V20" s="143"/>
      <c r="W20" s="143"/>
      <c r="X20" s="143"/>
      <c r="Y20" s="143"/>
      <c r="Z20" s="143"/>
      <c r="AA20" s="143"/>
      <c r="AB20" s="143"/>
      <c r="AC20" s="143"/>
      <c r="AD20" s="143"/>
      <c r="AE20" s="143"/>
      <c r="AF20" s="143"/>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c r="CA20" s="7"/>
      <c r="CB20" s="7"/>
      <c r="CC20" s="7"/>
      <c r="CD20" s="7"/>
      <c r="CE20" s="7"/>
      <c r="CF20" s="7"/>
      <c r="CG20" s="7"/>
      <c r="CH20" s="7"/>
      <c r="CI20" s="7"/>
    </row>
    <row r="21" spans="1:87" ht="13.15" customHeight="1">
      <c r="A21" s="145" t="s">
        <v>961</v>
      </c>
      <c r="B21" s="143" t="s">
        <v>974</v>
      </c>
      <c r="C21" s="143"/>
      <c r="D21" s="143"/>
      <c r="E21" s="143"/>
      <c r="F21" s="143"/>
      <c r="G21" s="143"/>
      <c r="H21" s="143"/>
      <c r="I21" s="143"/>
      <c r="J21" s="143"/>
      <c r="K21" s="143"/>
      <c r="L21" s="143"/>
      <c r="M21" s="143"/>
      <c r="N21" s="143"/>
      <c r="O21" s="143"/>
      <c r="P21" s="143"/>
      <c r="Q21" s="143"/>
      <c r="S21" s="143"/>
      <c r="T21" s="143" t="s">
        <v>964</v>
      </c>
      <c r="U21" s="143"/>
      <c r="V21" s="143"/>
      <c r="W21" s="143"/>
      <c r="X21" s="143"/>
      <c r="Y21" s="143"/>
      <c r="Z21" s="143"/>
      <c r="AA21" s="143"/>
      <c r="AB21" s="143"/>
      <c r="AC21" s="143"/>
      <c r="AD21" s="143"/>
      <c r="AE21" s="143"/>
      <c r="AF21" s="143"/>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c r="CA21" s="7"/>
      <c r="CB21" s="7"/>
      <c r="CC21" s="7"/>
      <c r="CD21" s="7"/>
      <c r="CE21" s="7"/>
      <c r="CF21" s="7"/>
      <c r="CG21" s="7"/>
      <c r="CH21" s="7"/>
      <c r="CI21" s="7"/>
    </row>
    <row r="22" spans="1:87" ht="13.15" customHeight="1">
      <c r="A22" s="7"/>
      <c r="B22" s="143" t="s">
        <v>975</v>
      </c>
      <c r="C22" s="143"/>
      <c r="D22" s="143"/>
      <c r="E22" s="143"/>
      <c r="F22" s="143"/>
      <c r="G22" s="143"/>
      <c r="H22" s="143"/>
      <c r="I22" s="143"/>
      <c r="J22" s="143"/>
      <c r="K22" s="143"/>
      <c r="L22" s="143"/>
      <c r="M22" s="143"/>
      <c r="N22" s="143"/>
      <c r="O22" s="143"/>
      <c r="P22" s="143"/>
      <c r="Q22" s="143"/>
      <c r="S22" s="143"/>
      <c r="T22" s="143" t="s">
        <v>1330</v>
      </c>
      <c r="U22" s="143"/>
      <c r="V22" s="143"/>
      <c r="W22" s="143"/>
      <c r="X22" s="143"/>
      <c r="Y22" s="143"/>
      <c r="Z22" s="143"/>
      <c r="AA22" s="143"/>
      <c r="AB22" s="143"/>
      <c r="AC22" s="143"/>
      <c r="AD22" s="143"/>
      <c r="AE22" s="143"/>
      <c r="AF22" s="143"/>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row>
    <row r="23" spans="1:87" ht="13.15" customHeight="1">
      <c r="A23" s="7"/>
      <c r="B23" s="143" t="s">
        <v>976</v>
      </c>
      <c r="C23" s="143"/>
      <c r="D23" s="143"/>
      <c r="E23" s="143"/>
      <c r="F23" s="143"/>
      <c r="G23" s="143"/>
      <c r="H23" s="143"/>
      <c r="I23" s="143"/>
      <c r="J23" s="143"/>
      <c r="K23" s="143"/>
      <c r="L23" s="143"/>
      <c r="M23" s="143"/>
      <c r="N23" s="143"/>
      <c r="O23" s="143"/>
      <c r="P23" s="143"/>
      <c r="Q23" s="143"/>
      <c r="S23" s="143"/>
      <c r="T23" s="143" t="s">
        <v>1331</v>
      </c>
      <c r="U23" s="143"/>
      <c r="V23" s="143"/>
      <c r="W23" s="143"/>
      <c r="X23" s="143"/>
      <c r="Y23" s="143"/>
      <c r="Z23" s="143"/>
      <c r="AA23" s="143"/>
      <c r="AB23" s="143"/>
      <c r="AC23" s="143"/>
      <c r="AD23" s="143"/>
      <c r="AE23" s="143"/>
      <c r="AF23" s="143"/>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7"/>
      <c r="BZ23" s="7"/>
      <c r="CA23" s="7"/>
      <c r="CB23" s="7"/>
      <c r="CC23" s="7"/>
      <c r="CD23" s="7"/>
      <c r="CE23" s="7"/>
      <c r="CF23" s="7"/>
      <c r="CG23" s="7"/>
      <c r="CH23" s="7"/>
      <c r="CI23" s="7"/>
    </row>
    <row r="24" spans="1:87" ht="13.15" customHeight="1">
      <c r="A24" s="7"/>
      <c r="B24" s="143" t="s">
        <v>977</v>
      </c>
      <c r="C24" s="143"/>
      <c r="D24" s="143"/>
      <c r="E24" s="143"/>
      <c r="F24" s="143"/>
      <c r="G24" s="143"/>
      <c r="H24" s="143"/>
      <c r="I24" s="143"/>
      <c r="J24" s="143"/>
      <c r="K24" s="143"/>
      <c r="L24" s="143"/>
      <c r="M24" s="143"/>
      <c r="N24" s="143"/>
      <c r="O24" s="143"/>
      <c r="P24" s="143"/>
      <c r="Q24" s="143"/>
      <c r="S24" s="143"/>
      <c r="T24" s="143" t="s">
        <v>1332</v>
      </c>
      <c r="U24" s="143"/>
      <c r="V24" s="143"/>
      <c r="W24" s="143"/>
      <c r="X24" s="143"/>
      <c r="Y24" s="143"/>
      <c r="Z24" s="143"/>
      <c r="AA24" s="143"/>
      <c r="AB24" s="143"/>
      <c r="AC24" s="143"/>
      <c r="AD24" s="143"/>
      <c r="AE24" s="143"/>
      <c r="AF24" s="143"/>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c r="CA24" s="7"/>
      <c r="CB24" s="7"/>
      <c r="CC24" s="7"/>
      <c r="CD24" s="7"/>
      <c r="CE24" s="7"/>
      <c r="CF24" s="7"/>
      <c r="CG24" s="7"/>
      <c r="CH24" s="7"/>
      <c r="CI24" s="7"/>
    </row>
    <row r="25" spans="1:87" ht="13.15" customHeight="1">
      <c r="A25" s="7"/>
      <c r="B25" s="143"/>
      <c r="C25" s="143"/>
      <c r="D25" s="143"/>
      <c r="E25" s="143"/>
      <c r="F25" s="143"/>
      <c r="G25" s="143"/>
      <c r="H25" s="143"/>
      <c r="I25" s="143"/>
      <c r="J25" s="143"/>
      <c r="K25" s="143"/>
      <c r="L25" s="143"/>
      <c r="M25" s="143"/>
      <c r="N25" s="143"/>
      <c r="O25" s="143"/>
      <c r="P25" s="143"/>
      <c r="Q25" s="143"/>
      <c r="S25" s="143"/>
      <c r="T25" s="143"/>
      <c r="U25" s="143"/>
      <c r="V25" s="143"/>
      <c r="W25" s="143"/>
      <c r="X25" s="143"/>
      <c r="Y25" s="143"/>
      <c r="Z25" s="143"/>
      <c r="AA25" s="143"/>
      <c r="AB25" s="143"/>
      <c r="AC25" s="143"/>
      <c r="AD25" s="143"/>
      <c r="AE25" s="143"/>
      <c r="AF25" s="143"/>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row>
    <row r="26" spans="1:87" ht="13.15" customHeight="1">
      <c r="A26" s="7" t="s">
        <v>1059</v>
      </c>
      <c r="B26" s="143"/>
      <c r="C26" s="143"/>
      <c r="D26" s="143"/>
      <c r="E26" s="143"/>
      <c r="F26" s="143"/>
      <c r="G26" s="143"/>
      <c r="H26" s="143"/>
      <c r="I26" s="143"/>
      <c r="J26" s="143"/>
      <c r="K26" s="143"/>
      <c r="L26" s="143"/>
      <c r="M26" s="143"/>
      <c r="N26" s="143"/>
      <c r="O26" s="143"/>
      <c r="P26" s="143"/>
      <c r="Q26" s="143"/>
      <c r="S26" s="143"/>
      <c r="T26" s="143"/>
      <c r="U26" s="143"/>
      <c r="V26" s="143"/>
      <c r="W26" s="143"/>
      <c r="X26" s="143"/>
      <c r="Y26" s="143"/>
      <c r="Z26" s="143"/>
      <c r="AA26" s="143"/>
      <c r="AB26" s="143"/>
      <c r="AC26" s="143"/>
      <c r="AD26" s="143"/>
      <c r="AE26" s="143"/>
      <c r="AF26" s="143"/>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c r="CA26" s="7"/>
      <c r="CB26" s="7"/>
      <c r="CC26" s="7"/>
      <c r="CD26" s="7"/>
      <c r="CE26" s="7"/>
      <c r="CF26" s="7"/>
      <c r="CG26" s="7"/>
      <c r="CH26" s="7"/>
      <c r="CI26" s="7"/>
    </row>
    <row r="27" spans="1:87" ht="13.15" customHeight="1">
      <c r="A27" s="145" t="s">
        <v>961</v>
      </c>
      <c r="B27" s="143" t="s">
        <v>1401</v>
      </c>
      <c r="C27" s="143"/>
      <c r="D27" s="143"/>
      <c r="E27" s="143"/>
      <c r="F27" s="143"/>
      <c r="G27" s="143"/>
      <c r="H27" s="143"/>
      <c r="I27" s="143"/>
      <c r="J27" s="143"/>
      <c r="K27" s="143"/>
      <c r="L27" s="143"/>
      <c r="M27" s="143"/>
      <c r="N27" s="143"/>
      <c r="O27" s="143"/>
      <c r="P27" s="143"/>
      <c r="Q27" s="143"/>
      <c r="S27" s="143"/>
      <c r="T27" s="143" t="s">
        <v>1402</v>
      </c>
      <c r="U27" s="143"/>
      <c r="V27" s="143"/>
      <c r="W27" s="143"/>
      <c r="X27" s="143"/>
      <c r="Y27" s="143"/>
      <c r="Z27" s="143"/>
      <c r="AA27" s="143"/>
      <c r="AB27" s="143"/>
      <c r="AC27" s="143"/>
      <c r="AD27" s="143"/>
      <c r="AE27" s="143"/>
      <c r="AF27" s="143"/>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row>
    <row r="28" spans="1:87" ht="13.15" customHeight="1">
      <c r="A28" s="7"/>
      <c r="B28" s="143" t="s">
        <v>1333</v>
      </c>
      <c r="C28" s="143"/>
      <c r="D28" s="143"/>
      <c r="E28" s="143"/>
      <c r="F28" s="143"/>
      <c r="G28" s="143"/>
      <c r="H28" s="143"/>
      <c r="I28" s="143"/>
      <c r="J28" s="143"/>
      <c r="K28" s="143"/>
      <c r="L28" s="143"/>
      <c r="M28" s="143"/>
      <c r="N28" s="143"/>
      <c r="O28" s="143"/>
      <c r="P28" s="143"/>
      <c r="Q28" s="143"/>
      <c r="S28" s="143"/>
      <c r="T28" s="143" t="s">
        <v>1311</v>
      </c>
      <c r="U28" s="143"/>
      <c r="V28" s="143"/>
      <c r="W28" s="143"/>
      <c r="X28" s="143"/>
      <c r="Y28" s="143"/>
      <c r="Z28" s="143"/>
      <c r="AA28" s="143"/>
      <c r="AB28" s="143"/>
      <c r="AC28" s="143"/>
      <c r="AD28" s="143"/>
      <c r="AE28" s="143"/>
      <c r="AF28" s="143"/>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row>
    <row r="29" spans="1:87" ht="13.15" customHeight="1">
      <c r="A29" s="7"/>
      <c r="B29" s="7" t="s">
        <v>1403</v>
      </c>
      <c r="C29" s="143"/>
      <c r="D29" s="143"/>
      <c r="E29" s="143"/>
      <c r="F29" s="143"/>
      <c r="G29" s="143"/>
      <c r="H29" s="143"/>
      <c r="I29" s="143"/>
      <c r="J29" s="143"/>
      <c r="K29" s="143"/>
      <c r="L29" s="143"/>
      <c r="M29" s="143"/>
      <c r="N29" s="143"/>
      <c r="O29" s="143"/>
      <c r="P29" s="143"/>
      <c r="Q29" s="143"/>
      <c r="S29" s="143"/>
      <c r="T29" s="143" t="s">
        <v>1402</v>
      </c>
      <c r="U29" s="143"/>
      <c r="V29" s="143"/>
      <c r="W29" s="143"/>
      <c r="X29" s="143"/>
      <c r="Y29" s="143"/>
      <c r="Z29" s="143"/>
      <c r="AA29" s="143"/>
      <c r="AB29" s="143"/>
      <c r="AC29" s="143"/>
      <c r="AD29" s="143"/>
      <c r="AE29" s="143"/>
      <c r="AF29" s="143"/>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row>
    <row r="30" spans="1:87" ht="13.15" customHeight="1">
      <c r="A30" s="7"/>
      <c r="B30" s="143" t="s">
        <v>1377</v>
      </c>
      <c r="C30" s="143"/>
      <c r="D30" s="143"/>
      <c r="E30" s="143"/>
      <c r="F30" s="143"/>
      <c r="G30" s="143"/>
      <c r="H30" s="143"/>
      <c r="I30" s="143"/>
      <c r="J30" s="143"/>
      <c r="K30" s="143"/>
      <c r="L30" s="143"/>
      <c r="M30" s="143"/>
      <c r="N30" s="143"/>
      <c r="O30" s="143"/>
      <c r="P30" s="143"/>
      <c r="Q30" s="143"/>
      <c r="S30" s="143"/>
      <c r="T30" s="143" t="s">
        <v>1402</v>
      </c>
      <c r="U30" s="143"/>
      <c r="V30" s="143"/>
      <c r="W30" s="143"/>
      <c r="X30" s="143"/>
      <c r="Y30" s="143"/>
      <c r="Z30" s="143"/>
      <c r="AA30" s="143"/>
      <c r="AB30" s="143"/>
      <c r="AC30" s="143"/>
      <c r="AD30" s="143"/>
      <c r="AE30" s="143"/>
      <c r="AF30" s="143"/>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row>
    <row r="31" spans="1:87" ht="13.15" customHeight="1">
      <c r="A31" s="145" t="s">
        <v>961</v>
      </c>
      <c r="B31" s="7" t="s">
        <v>1378</v>
      </c>
      <c r="C31" s="143"/>
      <c r="D31" s="143"/>
      <c r="E31" s="143"/>
      <c r="F31" s="143"/>
      <c r="G31" s="143"/>
      <c r="H31" s="143"/>
      <c r="I31" s="143"/>
      <c r="J31" s="143"/>
      <c r="K31" s="143"/>
      <c r="L31" s="143"/>
      <c r="M31" s="143"/>
      <c r="N31" s="143"/>
      <c r="O31" s="143"/>
      <c r="P31" s="143"/>
      <c r="Q31" s="143"/>
      <c r="S31" s="143"/>
      <c r="T31" s="143" t="s">
        <v>1402</v>
      </c>
      <c r="U31" s="143"/>
      <c r="V31" s="143"/>
      <c r="W31" s="143"/>
      <c r="X31" s="143"/>
      <c r="Y31" s="143"/>
      <c r="Z31" s="143"/>
      <c r="AA31" s="143"/>
      <c r="AB31" s="143"/>
      <c r="AC31" s="143"/>
      <c r="AD31" s="143"/>
      <c r="AE31" s="143"/>
      <c r="AF31" s="143"/>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row>
    <row r="32" spans="1:87" ht="13.15" customHeight="1">
      <c r="A32" s="145" t="s">
        <v>961</v>
      </c>
      <c r="B32" s="7" t="s">
        <v>1404</v>
      </c>
      <c r="C32" s="143"/>
      <c r="D32" s="143"/>
      <c r="E32" s="143"/>
      <c r="F32" s="143"/>
      <c r="G32" s="143"/>
      <c r="H32" s="143"/>
      <c r="I32" s="143"/>
      <c r="J32" s="143"/>
      <c r="K32" s="143"/>
      <c r="L32" s="143"/>
      <c r="M32" s="143"/>
      <c r="N32" s="143"/>
      <c r="O32" s="143"/>
      <c r="P32" s="143"/>
      <c r="Q32" s="143"/>
      <c r="S32" s="143"/>
      <c r="T32" s="143" t="s">
        <v>1402</v>
      </c>
      <c r="U32" s="143"/>
      <c r="V32" s="143"/>
      <c r="W32" s="143"/>
      <c r="X32" s="143"/>
      <c r="Y32" s="143"/>
      <c r="Z32" s="143"/>
      <c r="AA32" s="143"/>
      <c r="AB32" s="143"/>
      <c r="AC32" s="143"/>
      <c r="AD32" s="143"/>
      <c r="AE32" s="143"/>
      <c r="AF32" s="143"/>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row>
    <row r="33" spans="1:87" ht="13.15" customHeight="1">
      <c r="A33" s="7"/>
      <c r="B33" s="7" t="s">
        <v>1405</v>
      </c>
      <c r="C33" s="143"/>
      <c r="D33" s="143"/>
      <c r="E33" s="143"/>
      <c r="F33" s="143"/>
      <c r="G33" s="143"/>
      <c r="H33" s="143"/>
      <c r="I33" s="143"/>
      <c r="J33" s="143"/>
      <c r="K33" s="143"/>
      <c r="L33" s="143"/>
      <c r="M33" s="143"/>
      <c r="N33" s="143"/>
      <c r="O33" s="143"/>
      <c r="P33" s="143"/>
      <c r="Q33" s="143"/>
      <c r="S33" s="143"/>
      <c r="T33" s="143" t="s">
        <v>1402</v>
      </c>
      <c r="U33" s="143"/>
      <c r="V33" s="143"/>
      <c r="W33" s="143"/>
      <c r="X33" s="143"/>
      <c r="Y33" s="143"/>
      <c r="Z33" s="143"/>
      <c r="AA33" s="143"/>
      <c r="AB33" s="143"/>
      <c r="AC33" s="143"/>
      <c r="AD33" s="143"/>
      <c r="AE33" s="143"/>
      <c r="AF33" s="143"/>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row>
    <row r="34" spans="1:87" ht="13.15" customHeight="1">
      <c r="A34" s="145" t="s">
        <v>961</v>
      </c>
      <c r="B34" s="143" t="s">
        <v>1406</v>
      </c>
      <c r="C34" s="143"/>
      <c r="D34" s="143"/>
      <c r="E34" s="143"/>
      <c r="F34" s="143"/>
      <c r="G34" s="143"/>
      <c r="H34" s="143"/>
      <c r="I34" s="143"/>
      <c r="J34" s="143"/>
      <c r="K34" s="143"/>
      <c r="L34" s="143"/>
      <c r="M34" s="143"/>
      <c r="N34" s="143"/>
      <c r="O34" s="143"/>
      <c r="P34" s="143"/>
      <c r="Q34" s="143"/>
      <c r="S34" s="143"/>
      <c r="T34" s="143" t="s">
        <v>1402</v>
      </c>
      <c r="U34" s="143"/>
      <c r="V34" s="143"/>
      <c r="W34" s="143"/>
      <c r="X34" s="143"/>
      <c r="Y34" s="143"/>
      <c r="Z34" s="143"/>
      <c r="AA34" s="143"/>
      <c r="AB34" s="143"/>
      <c r="AC34" s="143"/>
      <c r="AD34" s="143"/>
      <c r="AE34" s="143"/>
      <c r="AF34" s="143"/>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row>
    <row r="35" spans="1:87" ht="13.15" customHeight="1">
      <c r="A35" s="145" t="s">
        <v>961</v>
      </c>
      <c r="B35" s="7" t="s">
        <v>1407</v>
      </c>
      <c r="C35" s="143"/>
      <c r="D35" s="143"/>
      <c r="E35" s="143"/>
      <c r="F35" s="143"/>
      <c r="G35" s="143"/>
      <c r="H35" s="143"/>
      <c r="I35" s="143"/>
      <c r="J35" s="143"/>
      <c r="K35" s="143"/>
      <c r="L35" s="143"/>
      <c r="M35" s="143"/>
      <c r="N35" s="143"/>
      <c r="O35" s="143"/>
      <c r="P35" s="143"/>
      <c r="Q35" s="143"/>
      <c r="S35" s="143"/>
      <c r="T35" s="143" t="s">
        <v>1402</v>
      </c>
      <c r="U35" s="143"/>
      <c r="V35" s="143"/>
      <c r="W35" s="143"/>
      <c r="X35" s="143"/>
      <c r="Y35" s="143"/>
      <c r="Z35" s="143"/>
      <c r="AA35" s="143"/>
      <c r="AB35" s="143"/>
      <c r="AC35" s="143"/>
      <c r="AD35" s="143"/>
      <c r="AE35" s="143"/>
      <c r="AF35" s="143"/>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row>
    <row r="36" spans="1:87" ht="13.15" customHeight="1">
      <c r="A36" s="145" t="s">
        <v>961</v>
      </c>
      <c r="B36" s="7" t="s">
        <v>1408</v>
      </c>
      <c r="C36" s="143"/>
      <c r="D36" s="143"/>
      <c r="E36" s="143"/>
      <c r="F36" s="143"/>
      <c r="G36" s="143"/>
      <c r="H36" s="143"/>
      <c r="I36" s="143"/>
      <c r="J36" s="143"/>
      <c r="K36" s="143"/>
      <c r="L36" s="143"/>
      <c r="M36" s="143"/>
      <c r="N36" s="143"/>
      <c r="O36" s="143"/>
      <c r="P36" s="143"/>
      <c r="Q36" s="143"/>
      <c r="S36" s="143"/>
      <c r="T36" s="143" t="s">
        <v>1402</v>
      </c>
      <c r="U36" s="143"/>
      <c r="V36" s="143"/>
      <c r="W36" s="143"/>
      <c r="X36" s="143"/>
      <c r="Y36" s="143"/>
      <c r="Z36" s="143"/>
      <c r="AA36" s="143"/>
      <c r="AB36" s="143"/>
      <c r="AC36" s="143"/>
      <c r="AD36" s="143"/>
      <c r="AE36" s="143"/>
      <c r="AF36" s="143"/>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row>
    <row r="37" spans="1:87" ht="13.15" customHeight="1">
      <c r="A37" s="7"/>
      <c r="B37" s="143"/>
      <c r="C37" s="143"/>
      <c r="D37" s="143"/>
      <c r="E37" s="143"/>
      <c r="F37" s="143"/>
      <c r="G37" s="143"/>
      <c r="H37" s="143"/>
      <c r="I37" s="143"/>
      <c r="J37" s="143"/>
      <c r="K37" s="143"/>
      <c r="L37" s="143"/>
      <c r="M37" s="143"/>
      <c r="N37" s="143"/>
      <c r="O37" s="143"/>
      <c r="P37" s="143"/>
      <c r="Q37" s="143"/>
      <c r="S37" s="143"/>
      <c r="T37" s="143"/>
      <c r="U37" s="143"/>
      <c r="V37" s="143"/>
      <c r="W37" s="143"/>
      <c r="X37" s="143"/>
      <c r="Y37" s="143"/>
      <c r="Z37" s="143"/>
      <c r="AA37" s="143"/>
      <c r="AB37" s="143"/>
      <c r="AC37" s="143"/>
      <c r="AD37" s="143"/>
      <c r="AE37" s="143"/>
      <c r="AF37" s="143"/>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row>
    <row r="38" spans="1:87" ht="13.15" customHeight="1">
      <c r="A38" s="7" t="s">
        <v>979</v>
      </c>
      <c r="B38" s="143"/>
      <c r="C38" s="143"/>
      <c r="D38" s="143"/>
      <c r="E38" s="143"/>
      <c r="F38" s="143"/>
      <c r="G38" s="143"/>
      <c r="H38" s="143"/>
      <c r="I38" s="143"/>
      <c r="J38" s="143"/>
      <c r="K38" s="143"/>
      <c r="L38" s="143"/>
      <c r="M38" s="143"/>
      <c r="N38" s="143"/>
      <c r="O38" s="143"/>
      <c r="P38" s="143"/>
      <c r="Q38" s="143"/>
      <c r="S38" s="143"/>
      <c r="T38" s="143"/>
      <c r="U38" s="143"/>
      <c r="V38" s="143"/>
      <c r="W38" s="143"/>
      <c r="X38" s="143"/>
      <c r="Y38" s="143"/>
      <c r="Z38" s="143"/>
      <c r="AA38" s="143"/>
      <c r="AB38" s="143"/>
      <c r="AC38" s="143"/>
      <c r="AD38" s="143"/>
      <c r="AE38" s="143"/>
      <c r="AF38" s="143"/>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row>
    <row r="39" spans="1:87" ht="13.15" customHeight="1">
      <c r="A39" s="145" t="s">
        <v>961</v>
      </c>
      <c r="B39" s="143" t="s">
        <v>1379</v>
      </c>
      <c r="C39" s="143"/>
      <c r="D39" s="143"/>
      <c r="E39" s="143"/>
      <c r="F39" s="143"/>
      <c r="G39" s="143"/>
      <c r="H39" s="143"/>
      <c r="I39" s="143"/>
      <c r="J39" s="143"/>
      <c r="K39" s="143"/>
      <c r="L39" s="143"/>
      <c r="M39" s="143"/>
      <c r="N39" s="143"/>
      <c r="O39" s="143"/>
      <c r="P39" s="143"/>
      <c r="Q39" s="143"/>
      <c r="S39" s="143"/>
      <c r="T39" s="143" t="s">
        <v>987</v>
      </c>
      <c r="U39" s="143"/>
      <c r="V39" s="143"/>
      <c r="W39" s="143"/>
      <c r="X39" s="143"/>
      <c r="Y39" s="143"/>
      <c r="Z39" s="143"/>
      <c r="AA39" s="143"/>
      <c r="AB39" s="143"/>
      <c r="AC39" s="143"/>
      <c r="AD39" s="143"/>
      <c r="AE39" s="143"/>
      <c r="AF39" s="143"/>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row>
    <row r="40" spans="1:87" ht="13.15" customHeight="1">
      <c r="A40" s="145" t="s">
        <v>961</v>
      </c>
      <c r="B40" s="143" t="s">
        <v>1380</v>
      </c>
      <c r="C40" s="143"/>
      <c r="D40" s="143"/>
      <c r="E40" s="143"/>
      <c r="F40" s="143"/>
      <c r="G40" s="143"/>
      <c r="H40" s="143"/>
      <c r="I40" s="143"/>
      <c r="J40" s="143"/>
      <c r="K40" s="143"/>
      <c r="L40" s="143"/>
      <c r="M40" s="143"/>
      <c r="N40" s="143"/>
      <c r="O40" s="143"/>
      <c r="P40" s="143"/>
      <c r="Q40" s="143"/>
      <c r="S40" s="143"/>
      <c r="T40" s="143" t="s">
        <v>987</v>
      </c>
      <c r="U40" s="143"/>
      <c r="V40" s="143"/>
      <c r="W40" s="143"/>
      <c r="X40" s="143"/>
      <c r="Y40" s="143"/>
      <c r="Z40" s="143"/>
      <c r="AA40" s="143"/>
      <c r="AB40" s="143"/>
      <c r="AC40" s="143"/>
      <c r="AD40" s="143"/>
      <c r="AE40" s="143"/>
      <c r="AF40" s="143"/>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row>
    <row r="41" spans="1:87" ht="13.15" customHeight="1">
      <c r="A41" s="145" t="s">
        <v>961</v>
      </c>
      <c r="B41" s="143" t="s">
        <v>981</v>
      </c>
      <c r="C41" s="143"/>
      <c r="D41" s="143"/>
      <c r="E41" s="143"/>
      <c r="F41" s="143"/>
      <c r="G41" s="143"/>
      <c r="H41" s="143"/>
      <c r="I41" s="143"/>
      <c r="J41" s="143"/>
      <c r="K41" s="143"/>
      <c r="L41" s="143"/>
      <c r="M41" s="143"/>
      <c r="N41" s="143"/>
      <c r="O41" s="143"/>
      <c r="P41" s="143"/>
      <c r="Q41" s="143"/>
      <c r="S41" s="143"/>
      <c r="T41" s="143" t="s">
        <v>1334</v>
      </c>
      <c r="U41" s="143"/>
      <c r="V41" s="143"/>
      <c r="W41" s="143"/>
      <c r="X41" s="143"/>
      <c r="Y41" s="143"/>
      <c r="Z41" s="143"/>
      <c r="AA41" s="143"/>
      <c r="AB41" s="143"/>
      <c r="AC41" s="143"/>
      <c r="AD41" s="143"/>
      <c r="AE41" s="143"/>
      <c r="AF41" s="143"/>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c r="CA41" s="7"/>
      <c r="CB41" s="7"/>
      <c r="CC41" s="7"/>
      <c r="CD41" s="7"/>
      <c r="CE41" s="7"/>
      <c r="CF41" s="7"/>
      <c r="CG41" s="7"/>
      <c r="CH41" s="7"/>
      <c r="CI41" s="7"/>
    </row>
    <row r="42" spans="1:87" ht="13.15" customHeight="1">
      <c r="A42" s="7"/>
      <c r="B42" s="143" t="s">
        <v>982</v>
      </c>
      <c r="C42" s="143"/>
      <c r="D42" s="143"/>
      <c r="E42" s="143"/>
      <c r="F42" s="143"/>
      <c r="G42" s="143"/>
      <c r="H42" s="143"/>
      <c r="I42" s="143"/>
      <c r="J42" s="143"/>
      <c r="K42" s="143"/>
      <c r="L42" s="143"/>
      <c r="M42" s="143"/>
      <c r="N42" s="143"/>
      <c r="O42" s="143"/>
      <c r="P42" s="143"/>
      <c r="Q42" s="143"/>
      <c r="S42" s="143"/>
      <c r="T42" s="143" t="s">
        <v>1334</v>
      </c>
      <c r="U42" s="143"/>
      <c r="V42" s="143"/>
      <c r="W42" s="143"/>
      <c r="X42" s="143"/>
      <c r="Y42" s="143"/>
      <c r="Z42" s="143"/>
      <c r="AA42" s="143"/>
      <c r="AB42" s="143"/>
      <c r="AC42" s="143"/>
      <c r="AD42" s="143"/>
      <c r="AE42" s="143"/>
      <c r="AF42" s="143"/>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row>
    <row r="43" spans="1:87" ht="13.15" customHeight="1">
      <c r="A43" s="7"/>
      <c r="B43" s="143" t="s">
        <v>983</v>
      </c>
      <c r="C43" s="143"/>
      <c r="D43" s="143"/>
      <c r="E43" s="143"/>
      <c r="F43" s="143"/>
      <c r="G43" s="143"/>
      <c r="H43" s="143"/>
      <c r="I43" s="143"/>
      <c r="J43" s="143"/>
      <c r="K43" s="143"/>
      <c r="L43" s="143"/>
      <c r="M43" s="143"/>
      <c r="N43" s="143"/>
      <c r="O43" s="143"/>
      <c r="P43" s="143"/>
      <c r="Q43" s="143"/>
      <c r="S43" s="143"/>
      <c r="T43" s="143" t="s">
        <v>1334</v>
      </c>
      <c r="U43" s="143"/>
      <c r="V43" s="143"/>
      <c r="W43" s="143"/>
      <c r="X43" s="143"/>
      <c r="Y43" s="143"/>
      <c r="Z43" s="143"/>
      <c r="AA43" s="143"/>
      <c r="AB43" s="143"/>
      <c r="AC43" s="143"/>
      <c r="AD43" s="143"/>
      <c r="AE43" s="143"/>
      <c r="AF43" s="143"/>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row>
    <row r="44" spans="1:87" ht="13.15" customHeight="1">
      <c r="A44" s="7"/>
      <c r="B44" s="143" t="s">
        <v>984</v>
      </c>
      <c r="C44" s="143"/>
      <c r="D44" s="143"/>
      <c r="E44" s="143"/>
      <c r="F44" s="143"/>
      <c r="G44" s="143"/>
      <c r="H44" s="143"/>
      <c r="I44" s="143"/>
      <c r="J44" s="143"/>
      <c r="K44" s="143"/>
      <c r="L44" s="143"/>
      <c r="M44" s="143"/>
      <c r="N44" s="143"/>
      <c r="O44" s="143"/>
      <c r="P44" s="143"/>
      <c r="Q44" s="143"/>
      <c r="S44" s="143"/>
      <c r="T44" s="143" t="s">
        <v>1334</v>
      </c>
      <c r="U44" s="143"/>
      <c r="V44" s="143"/>
      <c r="W44" s="143"/>
      <c r="X44" s="143"/>
      <c r="Y44" s="143"/>
      <c r="Z44" s="143"/>
      <c r="AA44" s="143"/>
      <c r="AB44" s="143"/>
      <c r="AC44" s="143"/>
      <c r="AD44" s="143"/>
      <c r="AE44" s="143"/>
      <c r="AF44" s="143"/>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row>
    <row r="45" spans="1:87" ht="13.15" customHeight="1">
      <c r="A45" s="7"/>
      <c r="B45" s="143" t="s">
        <v>1302</v>
      </c>
      <c r="C45" s="143"/>
      <c r="D45" s="143"/>
      <c r="E45" s="143"/>
      <c r="F45" s="143"/>
      <c r="G45" s="143"/>
      <c r="H45" s="143"/>
      <c r="I45" s="143"/>
      <c r="J45" s="143"/>
      <c r="K45" s="143"/>
      <c r="L45" s="143"/>
      <c r="M45" s="143"/>
      <c r="N45" s="143"/>
      <c r="O45" s="143"/>
      <c r="P45" s="143"/>
      <c r="Q45" s="143"/>
      <c r="S45" s="143"/>
      <c r="T45" s="143" t="s">
        <v>980</v>
      </c>
      <c r="U45" s="143"/>
      <c r="V45" s="143"/>
      <c r="W45" s="143"/>
      <c r="X45" s="143"/>
      <c r="Y45" s="143"/>
      <c r="Z45" s="143"/>
      <c r="AA45" s="143"/>
      <c r="AB45" s="143"/>
      <c r="AC45" s="143"/>
      <c r="AD45" s="143"/>
      <c r="AE45" s="143"/>
      <c r="AF45" s="143"/>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c r="CA45" s="7"/>
      <c r="CB45" s="7"/>
      <c r="CC45" s="7"/>
      <c r="CD45" s="7"/>
      <c r="CE45" s="7"/>
      <c r="CF45" s="7"/>
      <c r="CG45" s="7"/>
      <c r="CH45" s="7"/>
      <c r="CI45" s="7"/>
    </row>
    <row r="46" spans="1:87" ht="13.15" customHeight="1">
      <c r="A46" s="7"/>
      <c r="B46" s="143" t="s">
        <v>985</v>
      </c>
      <c r="C46" s="143"/>
      <c r="D46" s="143"/>
      <c r="E46" s="143"/>
      <c r="F46" s="143"/>
      <c r="G46" s="143"/>
      <c r="H46" s="143"/>
      <c r="I46" s="143"/>
      <c r="J46" s="143"/>
      <c r="K46" s="143"/>
      <c r="L46" s="143"/>
      <c r="M46" s="143"/>
      <c r="N46" s="143"/>
      <c r="O46" s="143"/>
      <c r="P46" s="143"/>
      <c r="Q46" s="143"/>
      <c r="S46" s="143"/>
      <c r="T46" s="143" t="s">
        <v>986</v>
      </c>
      <c r="U46" s="143"/>
      <c r="V46" s="143"/>
      <c r="W46" s="143"/>
      <c r="X46" s="143"/>
      <c r="Y46" s="143"/>
      <c r="Z46" s="143"/>
      <c r="AA46" s="143"/>
      <c r="AB46" s="143"/>
      <c r="AC46" s="143"/>
      <c r="AD46" s="143"/>
      <c r="AE46" s="143"/>
      <c r="AF46" s="143"/>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c r="CA46" s="7"/>
      <c r="CB46" s="7"/>
      <c r="CC46" s="7"/>
      <c r="CD46" s="7"/>
      <c r="CE46" s="7"/>
      <c r="CF46" s="7"/>
      <c r="CG46" s="7"/>
      <c r="CH46" s="7"/>
      <c r="CI46" s="7"/>
    </row>
    <row r="47" spans="1:87" ht="13.15" customHeight="1">
      <c r="A47" s="145" t="s">
        <v>961</v>
      </c>
      <c r="B47" s="143" t="s">
        <v>1426</v>
      </c>
      <c r="C47" s="143"/>
      <c r="D47" s="143"/>
      <c r="E47" s="143"/>
      <c r="F47" s="143"/>
      <c r="G47" s="143"/>
      <c r="H47" s="143"/>
      <c r="I47" s="143"/>
      <c r="J47" s="143"/>
      <c r="K47" s="143"/>
      <c r="L47" s="143"/>
      <c r="M47" s="143"/>
      <c r="N47" s="143"/>
      <c r="O47" s="143"/>
      <c r="P47" s="143"/>
      <c r="Q47" s="143"/>
      <c r="S47" s="143"/>
      <c r="T47" s="143" t="s">
        <v>987</v>
      </c>
      <c r="U47" s="143"/>
      <c r="V47" s="143"/>
      <c r="W47" s="143"/>
      <c r="X47" s="143"/>
      <c r="Y47" s="143"/>
      <c r="Z47" s="143"/>
      <c r="AA47" s="143"/>
      <c r="AB47" s="143"/>
      <c r="AC47" s="143"/>
      <c r="AD47" s="143"/>
      <c r="AE47" s="143"/>
      <c r="AF47" s="143"/>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row>
    <row r="48" spans="1:87" ht="13.15" customHeight="1">
      <c r="A48" s="7"/>
      <c r="B48" s="143" t="s">
        <v>1381</v>
      </c>
      <c r="C48" s="143"/>
      <c r="D48" s="143"/>
      <c r="E48" s="143"/>
      <c r="F48" s="143"/>
      <c r="G48" s="143"/>
      <c r="H48" s="143"/>
      <c r="I48" s="143"/>
      <c r="J48" s="143"/>
      <c r="K48" s="143"/>
      <c r="L48" s="143"/>
      <c r="M48" s="143"/>
      <c r="N48" s="143"/>
      <c r="O48" s="143"/>
      <c r="P48" s="143"/>
      <c r="Q48" s="143"/>
      <c r="S48" s="143"/>
      <c r="T48" s="143" t="s">
        <v>987</v>
      </c>
      <c r="U48" s="143"/>
      <c r="V48" s="143"/>
      <c r="W48" s="143"/>
      <c r="X48" s="143"/>
      <c r="Y48" s="143"/>
      <c r="Z48" s="143"/>
      <c r="AA48" s="143"/>
      <c r="AB48" s="143"/>
      <c r="AC48" s="143"/>
      <c r="AD48" s="143"/>
      <c r="AE48" s="143"/>
      <c r="AF48" s="143"/>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c r="CA48" s="7"/>
      <c r="CB48" s="7"/>
      <c r="CC48" s="7"/>
      <c r="CD48" s="7"/>
      <c r="CE48" s="7"/>
      <c r="CF48" s="7"/>
      <c r="CG48" s="7"/>
      <c r="CH48" s="7"/>
      <c r="CI48" s="7"/>
    </row>
    <row r="49" spans="1:87" ht="13.15" customHeight="1">
      <c r="A49" s="7"/>
      <c r="B49" s="143"/>
      <c r="C49" s="143"/>
      <c r="D49" s="143"/>
      <c r="E49" s="143"/>
      <c r="F49" s="143"/>
      <c r="G49" s="143"/>
      <c r="H49" s="143"/>
      <c r="I49" s="143"/>
      <c r="J49" s="143"/>
      <c r="K49" s="143"/>
      <c r="L49" s="143"/>
      <c r="M49" s="143"/>
      <c r="N49" s="143"/>
      <c r="O49" s="143"/>
      <c r="P49" s="143"/>
      <c r="Q49" s="143"/>
      <c r="S49" s="143"/>
      <c r="T49" s="143"/>
      <c r="U49" s="143"/>
      <c r="V49" s="143"/>
      <c r="W49" s="143"/>
      <c r="X49" s="143"/>
      <c r="Y49" s="143"/>
      <c r="Z49" s="143"/>
      <c r="AA49" s="143"/>
      <c r="AB49" s="143"/>
      <c r="AC49" s="143"/>
      <c r="AD49" s="143"/>
      <c r="AE49" s="143"/>
      <c r="AF49" s="143"/>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row>
    <row r="50" spans="1:87" ht="13.15" customHeight="1">
      <c r="A50" s="7" t="s">
        <v>988</v>
      </c>
      <c r="B50" s="143"/>
      <c r="C50" s="143"/>
      <c r="D50" s="143"/>
      <c r="E50" s="143"/>
      <c r="F50" s="143"/>
      <c r="G50" s="143"/>
      <c r="H50" s="143"/>
      <c r="I50" s="143"/>
      <c r="J50" s="143"/>
      <c r="K50" s="143"/>
      <c r="L50" s="143"/>
      <c r="M50" s="143"/>
      <c r="N50" s="143"/>
      <c r="O50" s="143"/>
      <c r="P50" s="143"/>
      <c r="Q50" s="143"/>
      <c r="S50" s="143"/>
      <c r="T50" s="143"/>
      <c r="U50" s="143"/>
      <c r="V50" s="143"/>
      <c r="W50" s="143"/>
      <c r="X50" s="143"/>
      <c r="Y50" s="143"/>
      <c r="Z50" s="143"/>
      <c r="AA50" s="143"/>
      <c r="AB50" s="143"/>
      <c r="AC50" s="143"/>
      <c r="AD50" s="143"/>
      <c r="AE50" s="143"/>
      <c r="AF50" s="143"/>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c r="CA50" s="7"/>
      <c r="CB50" s="7"/>
      <c r="CC50" s="7"/>
      <c r="CD50" s="7"/>
      <c r="CE50" s="7"/>
      <c r="CF50" s="7"/>
      <c r="CG50" s="7"/>
      <c r="CH50" s="7"/>
      <c r="CI50" s="7"/>
    </row>
    <row r="51" spans="1:87" ht="13.15" customHeight="1">
      <c r="A51" s="7"/>
      <c r="B51" s="143" t="s">
        <v>1369</v>
      </c>
      <c r="C51" s="143"/>
      <c r="D51" s="143"/>
      <c r="E51" s="143"/>
      <c r="F51" s="143"/>
      <c r="G51" s="143"/>
      <c r="H51" s="143"/>
      <c r="I51" s="143"/>
      <c r="J51" s="143"/>
      <c r="K51" s="143"/>
      <c r="L51" s="143"/>
      <c r="M51" s="143"/>
      <c r="N51" s="143"/>
      <c r="O51" s="143"/>
      <c r="P51" s="143"/>
      <c r="Q51" s="143"/>
      <c r="S51" s="143"/>
      <c r="T51" s="143" t="s">
        <v>1370</v>
      </c>
      <c r="U51" s="143"/>
      <c r="V51" s="143"/>
      <c r="W51" s="143"/>
      <c r="X51" s="143"/>
      <c r="Y51" s="143"/>
      <c r="Z51" s="143"/>
      <c r="AA51" s="143"/>
      <c r="AB51" s="143"/>
      <c r="AC51" s="143"/>
      <c r="AD51" s="143"/>
      <c r="AE51" s="143"/>
      <c r="AF51" s="143"/>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row>
    <row r="52" spans="1:87" ht="13.15" customHeight="1">
      <c r="A52" s="145" t="s">
        <v>961</v>
      </c>
      <c r="B52" s="143" t="s">
        <v>1371</v>
      </c>
      <c r="C52" s="143"/>
      <c r="D52" s="143"/>
      <c r="E52" s="143"/>
      <c r="F52" s="143"/>
      <c r="G52" s="143"/>
      <c r="H52" s="143"/>
      <c r="I52" s="143"/>
      <c r="J52" s="143"/>
      <c r="K52" s="143"/>
      <c r="L52" s="143"/>
      <c r="M52" s="143"/>
      <c r="N52" s="143"/>
      <c r="O52" s="143"/>
      <c r="P52" s="143"/>
      <c r="Q52" s="143"/>
      <c r="S52" s="143"/>
      <c r="T52" s="143" t="s">
        <v>1370</v>
      </c>
      <c r="U52" s="143"/>
      <c r="V52" s="143"/>
      <c r="W52" s="143"/>
      <c r="X52" s="143"/>
      <c r="Y52" s="143"/>
      <c r="Z52" s="143"/>
      <c r="AA52" s="143"/>
      <c r="AB52" s="143"/>
      <c r="AC52" s="143"/>
      <c r="AD52" s="143"/>
      <c r="AE52" s="143"/>
      <c r="AF52" s="143"/>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row>
    <row r="53" spans="1:87" ht="13.15" customHeight="1">
      <c r="A53" s="145" t="s">
        <v>961</v>
      </c>
      <c r="B53" s="143" t="s">
        <v>1335</v>
      </c>
      <c r="C53" s="143"/>
      <c r="D53" s="143"/>
      <c r="E53" s="143"/>
      <c r="F53" s="143"/>
      <c r="G53" s="143"/>
      <c r="H53" s="143"/>
      <c r="I53" s="143"/>
      <c r="J53" s="143"/>
      <c r="K53" s="143"/>
      <c r="L53" s="143"/>
      <c r="M53" s="143"/>
      <c r="N53" s="143"/>
      <c r="O53" s="143"/>
      <c r="P53" s="143"/>
      <c r="Q53" s="143"/>
      <c r="S53" s="143"/>
      <c r="T53" s="143" t="s">
        <v>1336</v>
      </c>
      <c r="U53" s="143"/>
      <c r="V53" s="143"/>
      <c r="W53" s="143"/>
      <c r="X53" s="143"/>
      <c r="Y53" s="143"/>
      <c r="Z53" s="143"/>
      <c r="AA53" s="143"/>
      <c r="AB53" s="143"/>
      <c r="AC53" s="143"/>
      <c r="AD53" s="143"/>
      <c r="AE53" s="143"/>
      <c r="AF53" s="143"/>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c r="BW53" s="7"/>
      <c r="BX53" s="7"/>
      <c r="BY53" s="7"/>
      <c r="BZ53" s="7"/>
      <c r="CA53" s="7"/>
      <c r="CB53" s="7"/>
      <c r="CC53" s="7"/>
      <c r="CD53" s="7"/>
      <c r="CE53" s="7"/>
      <c r="CF53" s="7"/>
      <c r="CG53" s="7"/>
      <c r="CH53" s="7"/>
      <c r="CI53" s="7"/>
    </row>
    <row r="54" spans="1:87" ht="13.15" customHeight="1">
      <c r="A54" s="145" t="s">
        <v>961</v>
      </c>
      <c r="B54" s="143" t="s">
        <v>1303</v>
      </c>
      <c r="C54" s="143"/>
      <c r="D54" s="143"/>
      <c r="E54" s="143"/>
      <c r="F54" s="143"/>
      <c r="G54" s="143"/>
      <c r="H54" s="143"/>
      <c r="I54" s="143"/>
      <c r="J54" s="143"/>
      <c r="K54" s="143"/>
      <c r="L54" s="143"/>
      <c r="M54" s="143"/>
      <c r="N54" s="143"/>
      <c r="O54" s="143"/>
      <c r="P54" s="143"/>
      <c r="Q54" s="143"/>
      <c r="S54" s="143"/>
      <c r="T54" s="143" t="s">
        <v>1382</v>
      </c>
      <c r="U54" s="143"/>
      <c r="V54" s="143"/>
      <c r="W54" s="143"/>
      <c r="X54" s="143"/>
      <c r="Y54" s="143"/>
      <c r="Z54" s="143"/>
      <c r="AA54" s="143"/>
      <c r="AB54" s="143"/>
      <c r="AC54" s="143"/>
      <c r="AD54" s="143"/>
      <c r="AE54" s="143"/>
      <c r="AF54" s="143"/>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c r="CA54" s="7"/>
      <c r="CB54" s="7"/>
      <c r="CC54" s="7"/>
      <c r="CD54" s="7"/>
      <c r="CE54" s="7"/>
      <c r="CF54" s="7"/>
      <c r="CG54" s="7"/>
      <c r="CH54" s="7"/>
      <c r="CI54" s="7"/>
    </row>
    <row r="55" spans="1:87" ht="13.15" customHeight="1">
      <c r="A55" s="7"/>
      <c r="B55" s="143" t="s">
        <v>989</v>
      </c>
      <c r="C55" s="143"/>
      <c r="D55" s="143"/>
      <c r="E55" s="143"/>
      <c r="F55" s="143"/>
      <c r="G55" s="143"/>
      <c r="H55" s="143"/>
      <c r="I55" s="143"/>
      <c r="J55" s="143"/>
      <c r="K55" s="143"/>
      <c r="L55" s="143"/>
      <c r="M55" s="143"/>
      <c r="N55" s="143"/>
      <c r="O55" s="143"/>
      <c r="P55" s="143"/>
      <c r="Q55" s="143"/>
      <c r="S55" s="143"/>
      <c r="T55" s="143" t="s">
        <v>990</v>
      </c>
      <c r="U55" s="143"/>
      <c r="V55" s="143"/>
      <c r="W55" s="143"/>
      <c r="X55" s="143"/>
      <c r="Y55" s="143"/>
      <c r="Z55" s="143"/>
      <c r="AA55" s="143"/>
      <c r="AB55" s="143"/>
      <c r="AC55" s="143"/>
      <c r="AD55" s="143"/>
      <c r="AE55" s="143"/>
      <c r="AF55" s="143"/>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row>
    <row r="56" spans="1:87" ht="13.15" customHeight="1">
      <c r="A56" s="145" t="s">
        <v>961</v>
      </c>
      <c r="B56" s="143" t="s">
        <v>991</v>
      </c>
      <c r="C56" s="143"/>
      <c r="D56" s="143"/>
      <c r="E56" s="143"/>
      <c r="F56" s="143"/>
      <c r="G56" s="143"/>
      <c r="H56" s="143"/>
      <c r="I56" s="143"/>
      <c r="J56" s="143"/>
      <c r="K56" s="143"/>
      <c r="L56" s="143"/>
      <c r="M56" s="143"/>
      <c r="N56" s="143"/>
      <c r="O56" s="143"/>
      <c r="P56" s="143"/>
      <c r="Q56" s="143"/>
      <c r="S56" s="143"/>
      <c r="T56" s="143" t="s">
        <v>1337</v>
      </c>
      <c r="U56" s="143"/>
      <c r="V56" s="143"/>
      <c r="W56" s="143"/>
      <c r="X56" s="143"/>
      <c r="Y56" s="143"/>
      <c r="Z56" s="143"/>
      <c r="AA56" s="143"/>
      <c r="AB56" s="143"/>
      <c r="AC56" s="143"/>
      <c r="AD56" s="143"/>
      <c r="AE56" s="143"/>
      <c r="AF56" s="143"/>
      <c r="AG56" s="7"/>
      <c r="AH56" s="7"/>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7"/>
      <c r="BZ56" s="7"/>
      <c r="CA56" s="7"/>
      <c r="CB56" s="7"/>
      <c r="CC56" s="7"/>
      <c r="CD56" s="7"/>
      <c r="CE56" s="7"/>
      <c r="CF56" s="7"/>
      <c r="CG56" s="7"/>
      <c r="CH56" s="7"/>
      <c r="CI56" s="7"/>
    </row>
    <row r="57" spans="1:87" ht="13.15" customHeight="1">
      <c r="A57" s="145" t="s">
        <v>961</v>
      </c>
      <c r="B57" s="143" t="s">
        <v>1383</v>
      </c>
      <c r="C57" s="143"/>
      <c r="D57" s="143"/>
      <c r="E57" s="143"/>
      <c r="F57" s="143"/>
      <c r="G57" s="143"/>
      <c r="H57" s="143"/>
      <c r="I57" s="143"/>
      <c r="J57" s="143"/>
      <c r="K57" s="143"/>
      <c r="L57" s="143"/>
      <c r="M57" s="143"/>
      <c r="N57" s="143"/>
      <c r="O57" s="143"/>
      <c r="P57" s="143"/>
      <c r="Q57" s="143"/>
      <c r="S57" s="143"/>
      <c r="T57" s="143" t="s">
        <v>1338</v>
      </c>
      <c r="U57" s="143"/>
      <c r="V57" s="143"/>
      <c r="W57" s="143"/>
      <c r="X57" s="143"/>
      <c r="Y57" s="143"/>
      <c r="Z57" s="143"/>
      <c r="AA57" s="143"/>
      <c r="AB57" s="143"/>
      <c r="AC57" s="143"/>
      <c r="AD57" s="143"/>
      <c r="AE57" s="143"/>
      <c r="AF57" s="143"/>
      <c r="AG57" s="7"/>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c r="BP57" s="7"/>
      <c r="BQ57" s="7"/>
      <c r="BR57" s="7"/>
      <c r="BS57" s="7"/>
      <c r="BT57" s="7"/>
      <c r="BU57" s="7"/>
      <c r="BV57" s="7"/>
      <c r="BW57" s="7"/>
      <c r="BX57" s="7"/>
      <c r="BY57" s="7"/>
      <c r="BZ57" s="7"/>
      <c r="CA57" s="7"/>
      <c r="CB57" s="7"/>
      <c r="CC57" s="7"/>
      <c r="CD57" s="7"/>
      <c r="CE57" s="7"/>
      <c r="CF57" s="7"/>
      <c r="CG57" s="7"/>
      <c r="CH57" s="7"/>
      <c r="CI57" s="7"/>
    </row>
    <row r="58" spans="1:87" ht="13.15" customHeight="1">
      <c r="A58" s="7"/>
      <c r="B58" s="143" t="s">
        <v>992</v>
      </c>
      <c r="C58" s="143"/>
      <c r="D58" s="143"/>
      <c r="E58" s="143"/>
      <c r="F58" s="143"/>
      <c r="G58" s="143"/>
      <c r="H58" s="143"/>
      <c r="I58" s="143"/>
      <c r="J58" s="143"/>
      <c r="K58" s="143"/>
      <c r="L58" s="143"/>
      <c r="M58" s="143"/>
      <c r="N58" s="143"/>
      <c r="O58" s="143"/>
      <c r="P58" s="143"/>
      <c r="Q58" s="143"/>
      <c r="S58" s="143"/>
      <c r="T58" s="143" t="s">
        <v>993</v>
      </c>
      <c r="U58" s="143"/>
      <c r="V58" s="143"/>
      <c r="W58" s="143"/>
      <c r="X58" s="143"/>
      <c r="Y58" s="143"/>
      <c r="Z58" s="143"/>
      <c r="AA58" s="143"/>
      <c r="AB58" s="143"/>
      <c r="AC58" s="143"/>
      <c r="AD58" s="143"/>
      <c r="AE58" s="143"/>
      <c r="AF58" s="143"/>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7"/>
      <c r="BL58" s="7"/>
      <c r="BM58" s="7"/>
      <c r="BN58" s="7"/>
      <c r="BO58" s="7"/>
      <c r="BP58" s="7"/>
      <c r="BQ58" s="7"/>
      <c r="BR58" s="7"/>
      <c r="BS58" s="7"/>
      <c r="BT58" s="7"/>
      <c r="BU58" s="7"/>
      <c r="BV58" s="7"/>
      <c r="BW58" s="7"/>
      <c r="BX58" s="7"/>
      <c r="BY58" s="7"/>
      <c r="BZ58" s="7"/>
      <c r="CA58" s="7"/>
      <c r="CB58" s="7"/>
      <c r="CC58" s="7"/>
      <c r="CD58" s="7"/>
      <c r="CE58" s="7"/>
      <c r="CF58" s="7"/>
      <c r="CG58" s="7"/>
      <c r="CH58" s="7"/>
      <c r="CI58" s="7"/>
    </row>
    <row r="59" spans="1:87" ht="13.15" customHeight="1">
      <c r="A59" s="7"/>
      <c r="B59" s="143" t="s">
        <v>1384</v>
      </c>
      <c r="C59" s="143"/>
      <c r="D59" s="143"/>
      <c r="E59" s="143"/>
      <c r="F59" s="143"/>
      <c r="G59" s="143"/>
      <c r="H59" s="143"/>
      <c r="I59" s="143"/>
      <c r="J59" s="143"/>
      <c r="K59" s="143"/>
      <c r="L59" s="143"/>
      <c r="M59" s="143"/>
      <c r="N59" s="143"/>
      <c r="O59" s="143"/>
      <c r="P59" s="143"/>
      <c r="Q59" s="143"/>
      <c r="S59" s="143"/>
      <c r="T59" s="143" t="s">
        <v>994</v>
      </c>
      <c r="U59" s="143"/>
      <c r="V59" s="143"/>
      <c r="W59" s="143"/>
      <c r="X59" s="143"/>
      <c r="Y59" s="143"/>
      <c r="Z59" s="143"/>
      <c r="AA59" s="143"/>
      <c r="AB59" s="143"/>
      <c r="AC59" s="143"/>
      <c r="AD59" s="143"/>
      <c r="AE59" s="143"/>
      <c r="AF59" s="143"/>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row>
    <row r="60" spans="1:87" ht="13.15" customHeight="1">
      <c r="A60" s="145" t="s">
        <v>961</v>
      </c>
      <c r="B60" s="143" t="s">
        <v>1385</v>
      </c>
      <c r="C60" s="143"/>
      <c r="D60" s="143"/>
      <c r="E60" s="143"/>
      <c r="F60" s="143"/>
      <c r="G60" s="143"/>
      <c r="H60" s="143"/>
      <c r="I60" s="143"/>
      <c r="J60" s="143"/>
      <c r="K60" s="143"/>
      <c r="L60" s="143"/>
      <c r="M60" s="143"/>
      <c r="N60" s="143"/>
      <c r="O60" s="143"/>
      <c r="P60" s="143"/>
      <c r="Q60" s="143"/>
      <c r="S60" s="143"/>
      <c r="T60" s="143" t="s">
        <v>1339</v>
      </c>
      <c r="U60" s="143"/>
      <c r="V60" s="143"/>
      <c r="W60" s="143"/>
      <c r="X60" s="143"/>
      <c r="Y60" s="143"/>
      <c r="Z60" s="143"/>
      <c r="AA60" s="143"/>
      <c r="AB60" s="143"/>
      <c r="AC60" s="143"/>
      <c r="AD60" s="143"/>
      <c r="AE60" s="143"/>
      <c r="AF60" s="143"/>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row>
    <row r="61" spans="1:87" ht="13.15" customHeight="1">
      <c r="A61" s="7"/>
      <c r="B61" s="143"/>
      <c r="C61" s="143"/>
      <c r="D61" s="143"/>
      <c r="E61" s="143"/>
      <c r="F61" s="143"/>
      <c r="G61" s="143"/>
      <c r="H61" s="143"/>
      <c r="I61" s="143"/>
      <c r="J61" s="143"/>
      <c r="K61" s="143"/>
      <c r="L61" s="143"/>
      <c r="M61" s="143"/>
      <c r="N61" s="143"/>
      <c r="O61" s="143"/>
      <c r="P61" s="143"/>
      <c r="Q61" s="143"/>
      <c r="S61" s="143"/>
      <c r="T61" s="143"/>
      <c r="U61" s="143"/>
      <c r="V61" s="143"/>
      <c r="W61" s="143"/>
      <c r="X61" s="143"/>
      <c r="Y61" s="143"/>
      <c r="Z61" s="143"/>
      <c r="AA61" s="143"/>
      <c r="AB61" s="143"/>
      <c r="AC61" s="143"/>
      <c r="AD61" s="143"/>
      <c r="AE61" s="143"/>
      <c r="AF61" s="143"/>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7"/>
      <c r="BL61" s="7"/>
      <c r="BM61" s="7"/>
      <c r="BN61" s="7"/>
      <c r="BO61" s="7"/>
      <c r="BP61" s="7"/>
      <c r="BQ61" s="7"/>
      <c r="BR61" s="7"/>
      <c r="BS61" s="7"/>
      <c r="BT61" s="7"/>
      <c r="BU61" s="7"/>
      <c r="BV61" s="7"/>
      <c r="BW61" s="7"/>
      <c r="BX61" s="7"/>
      <c r="BY61" s="7"/>
      <c r="BZ61" s="7"/>
      <c r="CA61" s="7"/>
      <c r="CB61" s="7"/>
      <c r="CC61" s="7"/>
      <c r="CD61" s="7"/>
      <c r="CE61" s="7"/>
      <c r="CF61" s="7"/>
      <c r="CG61" s="7"/>
      <c r="CH61" s="7"/>
      <c r="CI61" s="7"/>
    </row>
    <row r="62" spans="1:87" ht="13.15" customHeight="1">
      <c r="A62" s="7"/>
      <c r="B62" s="143"/>
      <c r="C62" s="143"/>
      <c r="D62" s="143"/>
      <c r="E62" s="143"/>
      <c r="F62" s="143"/>
      <c r="G62" s="143"/>
      <c r="H62" s="143"/>
      <c r="I62" s="143"/>
      <c r="J62" s="143"/>
      <c r="K62" s="143"/>
      <c r="L62" s="143"/>
      <c r="M62" s="143"/>
      <c r="N62" s="143"/>
      <c r="O62" s="143"/>
      <c r="P62" s="143"/>
      <c r="Q62" s="143"/>
      <c r="S62" s="143"/>
      <c r="T62" s="143"/>
      <c r="U62" s="143"/>
      <c r="V62" s="143"/>
      <c r="W62" s="143"/>
      <c r="X62" s="143"/>
      <c r="Y62" s="143"/>
      <c r="Z62" s="143"/>
      <c r="AA62" s="143"/>
      <c r="AB62" s="143"/>
      <c r="AC62" s="143"/>
      <c r="AD62" s="143"/>
      <c r="AE62" s="143"/>
      <c r="AF62" s="143"/>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7"/>
      <c r="BL62" s="7"/>
      <c r="BM62" s="7"/>
      <c r="BN62" s="7"/>
      <c r="BO62" s="7"/>
      <c r="BP62" s="7"/>
      <c r="BQ62" s="7"/>
      <c r="BR62" s="7"/>
      <c r="BS62" s="7"/>
      <c r="BT62" s="7"/>
      <c r="BU62" s="7"/>
      <c r="BV62" s="7"/>
      <c r="BW62" s="7"/>
      <c r="BX62" s="7"/>
      <c r="BY62" s="7"/>
      <c r="BZ62" s="7"/>
      <c r="CA62" s="7"/>
      <c r="CB62" s="7"/>
      <c r="CC62" s="7"/>
      <c r="CD62" s="7"/>
      <c r="CE62" s="7"/>
      <c r="CF62" s="7"/>
      <c r="CG62" s="7"/>
      <c r="CH62" s="7"/>
      <c r="CI62" s="7"/>
    </row>
    <row r="63" spans="1:87" ht="13.15" customHeight="1">
      <c r="A63" s="7" t="s">
        <v>995</v>
      </c>
      <c r="B63" s="143"/>
      <c r="C63" s="143"/>
      <c r="D63" s="143"/>
      <c r="E63" s="143"/>
      <c r="F63" s="143"/>
      <c r="G63" s="143"/>
      <c r="H63" s="143"/>
      <c r="I63" s="143"/>
      <c r="J63" s="143"/>
      <c r="K63" s="143"/>
      <c r="L63" s="143"/>
      <c r="M63" s="143"/>
      <c r="N63" s="143"/>
      <c r="O63" s="143"/>
      <c r="P63" s="143"/>
      <c r="Q63" s="143"/>
      <c r="S63" s="143"/>
      <c r="T63" s="143"/>
      <c r="U63" s="143"/>
      <c r="V63" s="143"/>
      <c r="W63" s="143"/>
      <c r="X63" s="143"/>
      <c r="Y63" s="143"/>
      <c r="Z63" s="143"/>
      <c r="AA63" s="143"/>
      <c r="AB63" s="143"/>
      <c r="AC63" s="143"/>
      <c r="AD63" s="143"/>
      <c r="AE63" s="143"/>
      <c r="AF63" s="143"/>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c r="BX63" s="7"/>
      <c r="BY63" s="7"/>
      <c r="BZ63" s="7"/>
      <c r="CA63" s="7"/>
      <c r="CB63" s="7"/>
      <c r="CC63" s="7"/>
      <c r="CD63" s="7"/>
      <c r="CE63" s="7"/>
      <c r="CF63" s="7"/>
      <c r="CG63" s="7"/>
      <c r="CH63" s="7"/>
      <c r="CI63" s="7"/>
    </row>
    <row r="64" spans="1:87" ht="13.15" customHeight="1">
      <c r="A64" s="7" t="s">
        <v>996</v>
      </c>
      <c r="B64" s="143"/>
      <c r="C64" s="143"/>
      <c r="D64" s="143"/>
      <c r="E64" s="143"/>
      <c r="F64" s="143"/>
      <c r="G64" s="143"/>
      <c r="H64" s="143"/>
      <c r="I64" s="143"/>
      <c r="J64" s="143"/>
      <c r="K64" s="143"/>
      <c r="L64" s="143"/>
      <c r="M64" s="143"/>
      <c r="N64" s="143"/>
      <c r="O64" s="143"/>
      <c r="P64" s="143"/>
      <c r="Q64" s="143"/>
      <c r="S64" s="143"/>
      <c r="T64" s="143"/>
      <c r="U64" s="143"/>
      <c r="V64" s="143"/>
      <c r="W64" s="143"/>
      <c r="X64" s="143"/>
      <c r="Y64" s="143"/>
      <c r="Z64" s="143"/>
      <c r="AA64" s="143"/>
      <c r="AB64" s="143"/>
      <c r="AC64" s="143"/>
      <c r="AD64" s="143"/>
      <c r="AE64" s="143"/>
      <c r="AF64" s="143"/>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row>
    <row r="65" spans="1:87" ht="13.15" customHeight="1">
      <c r="A65" s="145" t="s">
        <v>961</v>
      </c>
      <c r="B65" s="143" t="s">
        <v>1386</v>
      </c>
      <c r="C65" s="143"/>
      <c r="D65" s="143"/>
      <c r="E65" s="143"/>
      <c r="F65" s="143"/>
      <c r="G65" s="143"/>
      <c r="H65" s="143"/>
      <c r="I65" s="143"/>
      <c r="J65" s="143"/>
      <c r="K65" s="143"/>
      <c r="L65" s="143"/>
      <c r="M65" s="143"/>
      <c r="N65" s="143"/>
      <c r="O65" s="143"/>
      <c r="P65" s="143"/>
      <c r="Q65" s="143"/>
      <c r="S65" s="143"/>
      <c r="T65" s="143" t="s">
        <v>997</v>
      </c>
      <c r="U65" s="143"/>
      <c r="V65" s="143"/>
      <c r="W65" s="143"/>
      <c r="X65" s="143"/>
      <c r="Y65" s="143"/>
      <c r="Z65" s="143"/>
      <c r="AA65" s="143"/>
      <c r="AB65" s="143"/>
      <c r="AC65" s="143"/>
      <c r="AD65" s="143"/>
      <c r="AE65" s="143"/>
      <c r="AF65" s="143"/>
      <c r="AG65" s="7"/>
      <c r="AH65" s="7"/>
      <c r="AI65" s="7"/>
      <c r="AJ65" s="7"/>
      <c r="AK65" s="7"/>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7"/>
      <c r="BL65" s="7"/>
      <c r="BM65" s="7"/>
      <c r="BN65" s="7"/>
      <c r="BO65" s="7"/>
      <c r="BP65" s="7"/>
      <c r="BQ65" s="7"/>
      <c r="BR65" s="7"/>
      <c r="BS65" s="7"/>
      <c r="BT65" s="7"/>
      <c r="BU65" s="7"/>
      <c r="BV65" s="7"/>
      <c r="BW65" s="7"/>
      <c r="BX65" s="7"/>
      <c r="BY65" s="7"/>
      <c r="BZ65" s="7"/>
      <c r="CA65" s="7"/>
      <c r="CB65" s="7"/>
      <c r="CC65" s="7"/>
      <c r="CD65" s="7"/>
      <c r="CE65" s="7"/>
      <c r="CF65" s="7"/>
      <c r="CG65" s="7"/>
      <c r="CH65" s="7"/>
      <c r="CI65" s="7"/>
    </row>
    <row r="66" spans="1:87" ht="13.15" customHeight="1">
      <c r="A66" s="145" t="s">
        <v>961</v>
      </c>
      <c r="B66" s="143" t="s">
        <v>1387</v>
      </c>
      <c r="C66" s="143"/>
      <c r="D66" s="143"/>
      <c r="E66" s="143"/>
      <c r="F66" s="143"/>
      <c r="G66" s="143"/>
      <c r="H66" s="143"/>
      <c r="I66" s="143"/>
      <c r="J66" s="143"/>
      <c r="K66" s="143"/>
      <c r="L66" s="143"/>
      <c r="M66" s="143"/>
      <c r="N66" s="143"/>
      <c r="O66" s="143"/>
      <c r="P66" s="143"/>
      <c r="Q66" s="143"/>
      <c r="S66" s="143"/>
      <c r="T66" s="143" t="s">
        <v>998</v>
      </c>
      <c r="U66" s="143"/>
      <c r="V66" s="143"/>
      <c r="W66" s="143"/>
      <c r="X66" s="143"/>
      <c r="Y66" s="143"/>
      <c r="Z66" s="143"/>
      <c r="AA66" s="143"/>
      <c r="AB66" s="143"/>
      <c r="AC66" s="143"/>
      <c r="AD66" s="143"/>
      <c r="AE66" s="143"/>
      <c r="AF66" s="143"/>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7"/>
      <c r="BL66" s="7"/>
      <c r="BM66" s="7"/>
      <c r="BN66" s="7"/>
      <c r="BO66" s="7"/>
      <c r="BP66" s="7"/>
      <c r="BQ66" s="7"/>
      <c r="BR66" s="7"/>
      <c r="BS66" s="7"/>
      <c r="BT66" s="7"/>
      <c r="BU66" s="7"/>
      <c r="BV66" s="7"/>
      <c r="BW66" s="7"/>
      <c r="BX66" s="7"/>
      <c r="BY66" s="7"/>
      <c r="BZ66" s="7"/>
      <c r="CA66" s="7"/>
      <c r="CB66" s="7"/>
      <c r="CC66" s="7"/>
      <c r="CD66" s="7"/>
      <c r="CE66" s="7"/>
      <c r="CF66" s="7"/>
      <c r="CG66" s="7"/>
      <c r="CH66" s="7"/>
      <c r="CI66" s="7"/>
    </row>
    <row r="67" spans="1:87" ht="13.15" customHeight="1">
      <c r="A67" s="7"/>
      <c r="B67" s="143" t="s">
        <v>999</v>
      </c>
      <c r="C67" s="143"/>
      <c r="D67" s="143"/>
      <c r="E67" s="143"/>
      <c r="F67" s="143"/>
      <c r="G67" s="143"/>
      <c r="H67" s="143"/>
      <c r="I67" s="143"/>
      <c r="J67" s="143"/>
      <c r="K67" s="143"/>
      <c r="L67" s="143"/>
      <c r="M67" s="143"/>
      <c r="N67" s="143"/>
      <c r="O67" s="143"/>
      <c r="P67" s="143"/>
      <c r="Q67" s="143"/>
      <c r="S67" s="143"/>
      <c r="T67" s="143" t="s">
        <v>1340</v>
      </c>
      <c r="U67" s="143"/>
      <c r="V67" s="143"/>
      <c r="W67" s="143"/>
      <c r="X67" s="143"/>
      <c r="Y67" s="143"/>
      <c r="Z67" s="143"/>
      <c r="AA67" s="143"/>
      <c r="AB67" s="143"/>
      <c r="AC67" s="143"/>
      <c r="AD67" s="143"/>
      <c r="AE67" s="143"/>
      <c r="AF67" s="143"/>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row>
    <row r="68" spans="1:87" ht="13.15" customHeight="1">
      <c r="A68" s="7"/>
      <c r="B68" s="143" t="s">
        <v>1388</v>
      </c>
      <c r="C68" s="143"/>
      <c r="D68" s="143"/>
      <c r="E68" s="143"/>
      <c r="F68" s="143"/>
      <c r="G68" s="143"/>
      <c r="H68" s="143"/>
      <c r="I68" s="143"/>
      <c r="J68" s="143"/>
      <c r="K68" s="143"/>
      <c r="L68" s="143"/>
      <c r="M68" s="143"/>
      <c r="N68" s="143"/>
      <c r="O68" s="143"/>
      <c r="P68" s="143"/>
      <c r="Q68" s="143"/>
      <c r="S68" s="143"/>
      <c r="T68" s="143" t="s">
        <v>997</v>
      </c>
      <c r="U68" s="143"/>
      <c r="V68" s="143"/>
      <c r="W68" s="143"/>
      <c r="X68" s="143"/>
      <c r="Y68" s="143"/>
      <c r="Z68" s="143"/>
      <c r="AA68" s="143"/>
      <c r="AB68" s="143"/>
      <c r="AC68" s="143"/>
      <c r="AD68" s="143"/>
      <c r="AE68" s="143"/>
      <c r="AF68" s="143"/>
      <c r="AG68" s="7"/>
      <c r="AH68" s="7"/>
      <c r="AI68" s="7"/>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7"/>
      <c r="BL68" s="7"/>
      <c r="BM68" s="7"/>
      <c r="BN68" s="7"/>
      <c r="BO68" s="7"/>
      <c r="BP68" s="7"/>
      <c r="BQ68" s="7"/>
      <c r="BR68" s="7"/>
      <c r="BS68" s="7"/>
      <c r="BT68" s="7"/>
      <c r="BU68" s="7"/>
      <c r="BV68" s="7"/>
      <c r="BW68" s="7"/>
      <c r="BX68" s="7"/>
      <c r="BY68" s="7"/>
      <c r="BZ68" s="7"/>
      <c r="CA68" s="7"/>
      <c r="CB68" s="7"/>
      <c r="CC68" s="7"/>
      <c r="CD68" s="7"/>
      <c r="CE68" s="7"/>
      <c r="CF68" s="7"/>
      <c r="CG68" s="7"/>
      <c r="CH68" s="7"/>
      <c r="CI68" s="7"/>
    </row>
    <row r="69" spans="1:87" ht="13.15" customHeight="1">
      <c r="A69" s="145" t="s">
        <v>961</v>
      </c>
      <c r="B69" s="143" t="s">
        <v>1389</v>
      </c>
      <c r="C69" s="143"/>
      <c r="D69" s="143"/>
      <c r="E69" s="143"/>
      <c r="F69" s="143"/>
      <c r="G69" s="143"/>
      <c r="H69" s="143"/>
      <c r="I69" s="143"/>
      <c r="J69" s="143"/>
      <c r="K69" s="143"/>
      <c r="L69" s="143"/>
      <c r="M69" s="143"/>
      <c r="N69" s="143"/>
      <c r="O69" s="143"/>
      <c r="P69" s="143"/>
      <c r="Q69" s="143"/>
      <c r="S69" s="143"/>
      <c r="T69" s="143" t="s">
        <v>1341</v>
      </c>
      <c r="U69" s="143"/>
      <c r="V69" s="143"/>
      <c r="W69" s="143"/>
      <c r="X69" s="143"/>
      <c r="Y69" s="143"/>
      <c r="Z69" s="143"/>
      <c r="AA69" s="143"/>
      <c r="AB69" s="143"/>
      <c r="AC69" s="143"/>
      <c r="AD69" s="143"/>
      <c r="AE69" s="143"/>
      <c r="AF69" s="143"/>
      <c r="AG69" s="7"/>
      <c r="AH69" s="7"/>
      <c r="AI69" s="7"/>
      <c r="AJ69" s="7"/>
      <c r="AK69" s="7"/>
      <c r="AL69" s="7"/>
      <c r="AM69" s="7"/>
      <c r="AN69" s="7"/>
      <c r="AO69" s="7"/>
      <c r="AP69" s="7"/>
      <c r="AQ69" s="7"/>
      <c r="AR69" s="7"/>
      <c r="AS69" s="7"/>
      <c r="AT69" s="7"/>
      <c r="AU69" s="7"/>
      <c r="AV69" s="7"/>
      <c r="AW69" s="7"/>
      <c r="AX69" s="7"/>
      <c r="AY69" s="7"/>
      <c r="AZ69" s="7"/>
      <c r="BA69" s="7"/>
      <c r="BB69" s="7"/>
      <c r="BC69" s="7"/>
      <c r="BD69" s="7"/>
      <c r="BE69" s="7"/>
      <c r="BF69" s="7"/>
      <c r="BG69" s="7"/>
      <c r="BH69" s="7"/>
      <c r="BI69" s="7"/>
      <c r="BJ69" s="7"/>
      <c r="BK69" s="7"/>
      <c r="BL69" s="7"/>
      <c r="BM69" s="7"/>
      <c r="BN69" s="7"/>
      <c r="BO69" s="7"/>
      <c r="BP69" s="7"/>
      <c r="BQ69" s="7"/>
      <c r="BR69" s="7"/>
      <c r="BS69" s="7"/>
      <c r="BT69" s="7"/>
      <c r="BU69" s="7"/>
      <c r="BV69" s="7"/>
      <c r="BW69" s="7"/>
      <c r="BX69" s="7"/>
      <c r="BY69" s="7"/>
      <c r="BZ69" s="7"/>
      <c r="CA69" s="7"/>
      <c r="CB69" s="7"/>
      <c r="CC69" s="7"/>
      <c r="CD69" s="7"/>
      <c r="CE69" s="7"/>
      <c r="CF69" s="7"/>
      <c r="CG69" s="7"/>
      <c r="CH69" s="7"/>
      <c r="CI69" s="7"/>
    </row>
    <row r="70" spans="1:87" ht="13.15" customHeight="1">
      <c r="A70" s="7"/>
      <c r="B70" s="143" t="s">
        <v>1000</v>
      </c>
      <c r="C70" s="143"/>
      <c r="D70" s="143"/>
      <c r="E70" s="143"/>
      <c r="F70" s="143"/>
      <c r="G70" s="143"/>
      <c r="H70" s="143"/>
      <c r="I70" s="143"/>
      <c r="J70" s="143"/>
      <c r="K70" s="143"/>
      <c r="L70" s="143"/>
      <c r="M70" s="143"/>
      <c r="N70" s="143"/>
      <c r="O70" s="143"/>
      <c r="P70" s="143"/>
      <c r="Q70" s="143"/>
      <c r="S70" s="143"/>
      <c r="T70" s="143" t="s">
        <v>1001</v>
      </c>
      <c r="U70" s="143"/>
      <c r="V70" s="143"/>
      <c r="W70" s="143"/>
      <c r="X70" s="143"/>
      <c r="Y70" s="143"/>
      <c r="Z70" s="143"/>
      <c r="AA70" s="143"/>
      <c r="AB70" s="143"/>
      <c r="AC70" s="143"/>
      <c r="AD70" s="143"/>
      <c r="AE70" s="143"/>
      <c r="AF70" s="143"/>
      <c r="AG70" s="7"/>
      <c r="AH70" s="7"/>
      <c r="AI70" s="7"/>
      <c r="AJ70" s="7"/>
      <c r="AK70" s="7"/>
      <c r="AL70" s="7"/>
      <c r="AM70" s="7"/>
      <c r="AN70" s="7"/>
      <c r="AO70" s="7"/>
      <c r="AP70" s="7"/>
      <c r="AQ70" s="7"/>
      <c r="AR70" s="7"/>
      <c r="AS70" s="7"/>
      <c r="AT70" s="7"/>
      <c r="AU70" s="7"/>
      <c r="AV70" s="7"/>
      <c r="AW70" s="7"/>
      <c r="AX70" s="7"/>
      <c r="AY70" s="7"/>
      <c r="AZ70" s="7"/>
      <c r="BA70" s="7"/>
      <c r="BB70" s="7"/>
      <c r="BC70" s="7"/>
      <c r="BD70" s="7"/>
      <c r="BE70" s="7"/>
      <c r="BF70" s="7"/>
      <c r="BG70" s="7"/>
      <c r="BH70" s="7"/>
      <c r="BI70" s="7"/>
      <c r="BJ70" s="7"/>
      <c r="BK70" s="7"/>
      <c r="BL70" s="7"/>
      <c r="BM70" s="7"/>
      <c r="BN70" s="7"/>
      <c r="BO70" s="7"/>
      <c r="BP70" s="7"/>
      <c r="BQ70" s="7"/>
      <c r="BR70" s="7"/>
      <c r="BS70" s="7"/>
      <c r="BT70" s="7"/>
      <c r="BU70" s="7"/>
      <c r="BV70" s="7"/>
      <c r="BW70" s="7"/>
      <c r="BX70" s="7"/>
      <c r="BY70" s="7"/>
      <c r="BZ70" s="7"/>
      <c r="CA70" s="7"/>
      <c r="CB70" s="7"/>
      <c r="CC70" s="7"/>
      <c r="CD70" s="7"/>
      <c r="CE70" s="7"/>
      <c r="CF70" s="7"/>
      <c r="CG70" s="7"/>
      <c r="CH70" s="7"/>
      <c r="CI70" s="7"/>
    </row>
    <row r="71" spans="1:87" ht="13.15" customHeight="1">
      <c r="A71" s="7"/>
      <c r="B71" s="143"/>
      <c r="C71" s="143"/>
      <c r="D71" s="143"/>
      <c r="E71" s="143"/>
      <c r="F71" s="143"/>
      <c r="G71" s="143"/>
      <c r="H71" s="143"/>
      <c r="I71" s="143"/>
      <c r="J71" s="143"/>
      <c r="K71" s="143"/>
      <c r="L71" s="143"/>
      <c r="M71" s="143"/>
      <c r="N71" s="143"/>
      <c r="O71" s="143"/>
      <c r="P71" s="143"/>
      <c r="Q71" s="143"/>
      <c r="S71" s="143"/>
      <c r="T71" s="143"/>
      <c r="U71" s="143"/>
      <c r="V71" s="143"/>
      <c r="W71" s="143"/>
      <c r="X71" s="143"/>
      <c r="Y71" s="143"/>
      <c r="Z71" s="143"/>
      <c r="AA71" s="143"/>
      <c r="AB71" s="143"/>
      <c r="AC71" s="143"/>
      <c r="AD71" s="143"/>
      <c r="AE71" s="143"/>
      <c r="AF71" s="143"/>
      <c r="AG71" s="7"/>
      <c r="AH71" s="7"/>
      <c r="AI71" s="7"/>
      <c r="AJ71" s="7"/>
      <c r="AK71" s="7"/>
      <c r="AL71" s="7"/>
      <c r="AM71" s="7"/>
      <c r="AN71" s="7"/>
      <c r="AO71" s="7"/>
      <c r="AP71" s="7"/>
      <c r="AQ71" s="7"/>
      <c r="AR71" s="7"/>
      <c r="AS71" s="7"/>
      <c r="AT71" s="7"/>
      <c r="AU71" s="7"/>
      <c r="AV71" s="7"/>
      <c r="AW71" s="7"/>
      <c r="AX71" s="7"/>
      <c r="AY71" s="7"/>
      <c r="AZ71" s="7"/>
      <c r="BA71" s="7"/>
      <c r="BB71" s="7"/>
      <c r="BC71" s="7"/>
      <c r="BD71" s="7"/>
      <c r="BE71" s="7"/>
      <c r="BF71" s="7"/>
      <c r="BG71" s="7"/>
      <c r="BH71" s="7"/>
      <c r="BI71" s="7"/>
      <c r="BJ71" s="7"/>
      <c r="BK71" s="7"/>
      <c r="BL71" s="7"/>
      <c r="BM71" s="7"/>
      <c r="BN71" s="7"/>
      <c r="BO71" s="7"/>
      <c r="BP71" s="7"/>
      <c r="BQ71" s="7"/>
      <c r="BR71" s="7"/>
      <c r="BS71" s="7"/>
      <c r="BT71" s="7"/>
      <c r="BU71" s="7"/>
      <c r="BV71" s="7"/>
      <c r="BW71" s="7"/>
      <c r="BX71" s="7"/>
      <c r="BY71" s="7"/>
      <c r="BZ71" s="7"/>
      <c r="CA71" s="7"/>
      <c r="CB71" s="7"/>
      <c r="CC71" s="7"/>
      <c r="CD71" s="7"/>
      <c r="CE71" s="7"/>
      <c r="CF71" s="7"/>
      <c r="CG71" s="7"/>
      <c r="CH71" s="7"/>
      <c r="CI71" s="7"/>
    </row>
    <row r="72" spans="1:87" ht="13.15" customHeight="1">
      <c r="A72" s="7" t="s">
        <v>1002</v>
      </c>
      <c r="B72" s="143"/>
      <c r="C72" s="143"/>
      <c r="D72" s="143"/>
      <c r="E72" s="143"/>
      <c r="F72" s="143"/>
      <c r="G72" s="143"/>
      <c r="H72" s="143"/>
      <c r="I72" s="143"/>
      <c r="J72" s="143"/>
      <c r="K72" s="143"/>
      <c r="L72" s="143"/>
      <c r="M72" s="143"/>
      <c r="N72" s="143"/>
      <c r="O72" s="143"/>
      <c r="P72" s="143"/>
      <c r="Q72" s="143"/>
      <c r="S72" s="143"/>
      <c r="T72" s="143"/>
      <c r="U72" s="143"/>
      <c r="V72" s="143"/>
      <c r="W72" s="143"/>
      <c r="X72" s="143"/>
      <c r="Y72" s="143"/>
      <c r="Z72" s="143"/>
      <c r="AA72" s="143"/>
      <c r="AB72" s="143"/>
      <c r="AC72" s="143"/>
      <c r="AD72" s="143"/>
      <c r="AE72" s="143"/>
      <c r="AF72" s="143"/>
      <c r="AG72" s="7"/>
      <c r="AH72" s="7"/>
      <c r="AI72" s="7"/>
      <c r="AJ72" s="7"/>
      <c r="AK72" s="7"/>
      <c r="AL72" s="7"/>
      <c r="AM72" s="7"/>
      <c r="AN72" s="7"/>
      <c r="AO72" s="7"/>
      <c r="AP72" s="7"/>
      <c r="AQ72" s="7"/>
      <c r="AR72" s="7"/>
      <c r="AS72" s="7"/>
      <c r="AT72" s="7"/>
      <c r="AU72" s="7"/>
      <c r="AV72" s="7"/>
      <c r="AW72" s="7"/>
      <c r="AX72" s="7"/>
      <c r="AY72" s="7"/>
      <c r="AZ72" s="7"/>
      <c r="BA72" s="7"/>
      <c r="BB72" s="7"/>
      <c r="BC72" s="7"/>
      <c r="BD72" s="7"/>
      <c r="BE72" s="7"/>
      <c r="BF72" s="7"/>
      <c r="BG72" s="7"/>
      <c r="BH72" s="7"/>
      <c r="BI72" s="7"/>
      <c r="BJ72" s="7"/>
      <c r="BK72" s="7"/>
      <c r="BL72" s="7"/>
      <c r="BM72" s="7"/>
      <c r="BN72" s="7"/>
      <c r="BO72" s="7"/>
      <c r="BP72" s="7"/>
      <c r="BQ72" s="7"/>
      <c r="BR72" s="7"/>
      <c r="BS72" s="7"/>
      <c r="BT72" s="7"/>
      <c r="BU72" s="7"/>
      <c r="BV72" s="7"/>
      <c r="BW72" s="7"/>
      <c r="BX72" s="7"/>
      <c r="BY72" s="7"/>
      <c r="BZ72" s="7"/>
      <c r="CA72" s="7"/>
      <c r="CB72" s="7"/>
      <c r="CC72" s="7"/>
      <c r="CD72" s="7"/>
      <c r="CE72" s="7"/>
      <c r="CF72" s="7"/>
      <c r="CG72" s="7"/>
      <c r="CH72" s="7"/>
      <c r="CI72" s="7"/>
    </row>
    <row r="73" spans="1:87" ht="13.15" customHeight="1">
      <c r="A73" s="145" t="s">
        <v>961</v>
      </c>
      <c r="B73" s="143" t="s">
        <v>1003</v>
      </c>
      <c r="C73" s="143"/>
      <c r="D73" s="143"/>
      <c r="E73" s="143"/>
      <c r="F73" s="143"/>
      <c r="G73" s="143"/>
      <c r="H73" s="143"/>
      <c r="I73" s="143"/>
      <c r="J73" s="143"/>
      <c r="K73" s="143"/>
      <c r="L73" s="143"/>
      <c r="M73" s="143"/>
      <c r="N73" s="143"/>
      <c r="O73" s="143"/>
      <c r="P73" s="143"/>
      <c r="Q73" s="143"/>
      <c r="S73" s="143"/>
      <c r="T73" s="143" t="s">
        <v>1342</v>
      </c>
      <c r="U73" s="143"/>
      <c r="V73" s="143"/>
      <c r="W73" s="143"/>
      <c r="X73" s="143"/>
      <c r="Y73" s="143"/>
      <c r="Z73" s="143"/>
      <c r="AA73" s="143"/>
      <c r="AB73" s="143"/>
      <c r="AC73" s="143"/>
      <c r="AD73" s="143"/>
      <c r="AE73" s="143"/>
      <c r="AF73" s="143"/>
      <c r="AG73" s="7"/>
      <c r="AH73" s="7"/>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7"/>
      <c r="BL73" s="7"/>
      <c r="BM73" s="7"/>
      <c r="BN73" s="7"/>
      <c r="BO73" s="7"/>
      <c r="BP73" s="7"/>
      <c r="BQ73" s="7"/>
      <c r="BR73" s="7"/>
      <c r="BS73" s="7"/>
      <c r="BT73" s="7"/>
      <c r="BU73" s="7"/>
      <c r="BV73" s="7"/>
      <c r="BW73" s="7"/>
      <c r="BX73" s="7"/>
      <c r="BY73" s="7"/>
      <c r="BZ73" s="7"/>
      <c r="CA73" s="7"/>
      <c r="CB73" s="7"/>
      <c r="CC73" s="7"/>
      <c r="CD73" s="7"/>
      <c r="CE73" s="7"/>
      <c r="CF73" s="7"/>
      <c r="CG73" s="7"/>
      <c r="CH73" s="7"/>
      <c r="CI73" s="7"/>
    </row>
    <row r="74" spans="1:87" ht="13.15" customHeight="1">
      <c r="A74" s="7"/>
      <c r="B74" s="143" t="s">
        <v>1005</v>
      </c>
      <c r="C74" s="143"/>
      <c r="D74" s="143"/>
      <c r="E74" s="143"/>
      <c r="F74" s="143"/>
      <c r="G74" s="143"/>
      <c r="H74" s="143"/>
      <c r="I74" s="143"/>
      <c r="J74" s="143"/>
      <c r="K74" s="143"/>
      <c r="L74" s="143"/>
      <c r="M74" s="143"/>
      <c r="N74" s="143"/>
      <c r="O74" s="143"/>
      <c r="P74" s="143"/>
      <c r="Q74" s="143"/>
      <c r="S74" s="143"/>
      <c r="T74" s="143" t="s">
        <v>1004</v>
      </c>
      <c r="U74" s="143"/>
      <c r="V74" s="143"/>
      <c r="W74" s="143"/>
      <c r="X74" s="143"/>
      <c r="Y74" s="143"/>
      <c r="Z74" s="143"/>
      <c r="AA74" s="143"/>
      <c r="AB74" s="143"/>
      <c r="AC74" s="143"/>
      <c r="AD74" s="143"/>
      <c r="AE74" s="143"/>
      <c r="AF74" s="143"/>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7"/>
      <c r="BL74" s="7"/>
      <c r="BM74" s="7"/>
      <c r="BN74" s="7"/>
      <c r="BO74" s="7"/>
      <c r="BP74" s="7"/>
      <c r="BQ74" s="7"/>
      <c r="BR74" s="7"/>
      <c r="BS74" s="7"/>
      <c r="BT74" s="7"/>
      <c r="BU74" s="7"/>
      <c r="BV74" s="7"/>
      <c r="BW74" s="7"/>
      <c r="BX74" s="7"/>
      <c r="BY74" s="7"/>
      <c r="BZ74" s="7"/>
      <c r="CA74" s="7"/>
      <c r="CB74" s="7"/>
      <c r="CC74" s="7"/>
      <c r="CD74" s="7"/>
      <c r="CE74" s="7"/>
      <c r="CF74" s="7"/>
      <c r="CG74" s="7"/>
      <c r="CH74" s="7"/>
      <c r="CI74" s="7"/>
    </row>
    <row r="75" spans="1:87" ht="13.15" customHeight="1">
      <c r="A75" s="145" t="s">
        <v>961</v>
      </c>
      <c r="B75" s="143" t="s">
        <v>1006</v>
      </c>
      <c r="C75" s="143"/>
      <c r="D75" s="143"/>
      <c r="E75" s="143"/>
      <c r="F75" s="143"/>
      <c r="G75" s="143"/>
      <c r="H75" s="143"/>
      <c r="I75" s="143"/>
      <c r="J75" s="143"/>
      <c r="K75" s="143"/>
      <c r="L75" s="143"/>
      <c r="M75" s="143"/>
      <c r="N75" s="143"/>
      <c r="O75" s="143"/>
      <c r="P75" s="143"/>
      <c r="Q75" s="143"/>
      <c r="S75" s="143"/>
      <c r="T75" s="143" t="s">
        <v>1343</v>
      </c>
      <c r="U75" s="143"/>
      <c r="V75" s="143"/>
      <c r="W75" s="143"/>
      <c r="X75" s="143"/>
      <c r="Y75" s="143"/>
      <c r="Z75" s="143"/>
      <c r="AA75" s="143"/>
      <c r="AB75" s="143"/>
      <c r="AC75" s="143"/>
      <c r="AD75" s="143"/>
      <c r="AE75" s="143"/>
      <c r="AF75" s="143"/>
      <c r="AG75" s="7"/>
      <c r="AH75" s="7"/>
      <c r="AI75" s="7"/>
      <c r="AJ75" s="7"/>
      <c r="AK75" s="7"/>
      <c r="AL75" s="7"/>
      <c r="AM75" s="7"/>
      <c r="AN75" s="7"/>
      <c r="AO75" s="7"/>
      <c r="AP75" s="7"/>
      <c r="AQ75" s="7"/>
      <c r="AR75" s="7"/>
      <c r="AS75" s="7"/>
      <c r="AT75" s="7"/>
      <c r="AU75" s="7"/>
      <c r="AV75" s="7"/>
      <c r="AW75" s="7"/>
      <c r="AX75" s="7"/>
      <c r="AY75" s="7"/>
      <c r="AZ75" s="7"/>
      <c r="BA75" s="7"/>
      <c r="BB75" s="7"/>
      <c r="BC75" s="7"/>
      <c r="BD75" s="7"/>
      <c r="BE75" s="7"/>
      <c r="BF75" s="7"/>
      <c r="BG75" s="7"/>
      <c r="BH75" s="7"/>
      <c r="BI75" s="7"/>
      <c r="BJ75" s="7"/>
      <c r="BK75" s="7"/>
      <c r="BL75" s="7"/>
      <c r="BM75" s="7"/>
      <c r="BN75" s="7"/>
      <c r="BO75" s="7"/>
      <c r="BP75" s="7"/>
      <c r="BQ75" s="7"/>
      <c r="BR75" s="7"/>
      <c r="BS75" s="7"/>
      <c r="BT75" s="7"/>
      <c r="BU75" s="7"/>
      <c r="BV75" s="7"/>
      <c r="BW75" s="7"/>
      <c r="BX75" s="7"/>
      <c r="BY75" s="7"/>
      <c r="BZ75" s="7"/>
      <c r="CA75" s="7"/>
      <c r="CB75" s="7"/>
      <c r="CC75" s="7"/>
      <c r="CD75" s="7"/>
      <c r="CE75" s="7"/>
      <c r="CF75" s="7"/>
      <c r="CG75" s="7"/>
      <c r="CH75" s="7"/>
      <c r="CI75" s="7"/>
    </row>
    <row r="76" spans="1:87" ht="13.15" customHeight="1">
      <c r="A76" s="7"/>
      <c r="B76" s="143" t="s">
        <v>1007</v>
      </c>
      <c r="C76" s="143"/>
      <c r="D76" s="143"/>
      <c r="E76" s="143"/>
      <c r="F76" s="143"/>
      <c r="G76" s="143"/>
      <c r="H76" s="143"/>
      <c r="I76" s="143"/>
      <c r="J76" s="143"/>
      <c r="K76" s="143"/>
      <c r="L76" s="143"/>
      <c r="M76" s="143"/>
      <c r="N76" s="143"/>
      <c r="O76" s="143"/>
      <c r="P76" s="143"/>
      <c r="Q76" s="143"/>
      <c r="S76" s="143"/>
      <c r="T76" s="143" t="s">
        <v>1008</v>
      </c>
      <c r="U76" s="143"/>
      <c r="V76" s="143"/>
      <c r="W76" s="143"/>
      <c r="X76" s="143"/>
      <c r="Y76" s="143"/>
      <c r="Z76" s="143"/>
      <c r="AA76" s="143"/>
      <c r="AB76" s="143"/>
      <c r="AC76" s="143"/>
      <c r="AD76" s="143"/>
      <c r="AE76" s="143"/>
      <c r="AF76" s="143"/>
      <c r="AG76" s="7"/>
      <c r="AH76" s="7"/>
      <c r="AI76" s="7"/>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7"/>
      <c r="BL76" s="7"/>
      <c r="BM76" s="7"/>
      <c r="BN76" s="7"/>
      <c r="BO76" s="7"/>
      <c r="BP76" s="7"/>
      <c r="BQ76" s="7"/>
      <c r="BR76" s="7"/>
      <c r="BS76" s="7"/>
      <c r="BT76" s="7"/>
      <c r="BU76" s="7"/>
      <c r="BV76" s="7"/>
      <c r="BW76" s="7"/>
      <c r="BX76" s="7"/>
      <c r="BY76" s="7"/>
      <c r="BZ76" s="7"/>
      <c r="CA76" s="7"/>
      <c r="CB76" s="7"/>
      <c r="CC76" s="7"/>
      <c r="CD76" s="7"/>
      <c r="CE76" s="7"/>
      <c r="CF76" s="7"/>
      <c r="CG76" s="7"/>
      <c r="CH76" s="7"/>
      <c r="CI76" s="7"/>
    </row>
    <row r="77" spans="1:87" ht="13.15" customHeight="1">
      <c r="A77" s="7"/>
      <c r="B77" s="143" t="s">
        <v>1009</v>
      </c>
      <c r="C77" s="143"/>
      <c r="D77" s="143"/>
      <c r="E77" s="143"/>
      <c r="F77" s="143"/>
      <c r="G77" s="143"/>
      <c r="H77" s="143"/>
      <c r="I77" s="143"/>
      <c r="J77" s="143"/>
      <c r="K77" s="143"/>
      <c r="L77" s="143"/>
      <c r="M77" s="143"/>
      <c r="N77" s="143"/>
      <c r="O77" s="143"/>
      <c r="P77" s="143"/>
      <c r="Q77" s="143"/>
      <c r="S77" s="143"/>
      <c r="T77" s="143" t="s">
        <v>1343</v>
      </c>
      <c r="U77" s="143"/>
      <c r="V77" s="143"/>
      <c r="W77" s="143"/>
      <c r="X77" s="143"/>
      <c r="Y77" s="143"/>
      <c r="Z77" s="143"/>
      <c r="AA77" s="143"/>
      <c r="AB77" s="143"/>
      <c r="AC77" s="143"/>
      <c r="AD77" s="143"/>
      <c r="AE77" s="143"/>
      <c r="AF77" s="143"/>
      <c r="AG77" s="7"/>
      <c r="AH77" s="7"/>
      <c r="AI77" s="7"/>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7"/>
      <c r="BL77" s="7"/>
      <c r="BM77" s="7"/>
      <c r="BN77" s="7"/>
      <c r="BO77" s="7"/>
      <c r="BP77" s="7"/>
      <c r="BQ77" s="7"/>
      <c r="BR77" s="7"/>
      <c r="BS77" s="7"/>
      <c r="BT77" s="7"/>
      <c r="BU77" s="7"/>
      <c r="BV77" s="7"/>
      <c r="BW77" s="7"/>
      <c r="BX77" s="7"/>
      <c r="BY77" s="7"/>
      <c r="BZ77" s="7"/>
      <c r="CA77" s="7"/>
      <c r="CB77" s="7"/>
      <c r="CC77" s="7"/>
      <c r="CD77" s="7"/>
      <c r="CE77" s="7"/>
      <c r="CF77" s="7"/>
      <c r="CG77" s="7"/>
      <c r="CH77" s="7"/>
      <c r="CI77" s="7"/>
    </row>
    <row r="78" spans="1:87" ht="13.15" customHeight="1">
      <c r="A78" s="145" t="s">
        <v>961</v>
      </c>
      <c r="B78" s="143" t="s">
        <v>1010</v>
      </c>
      <c r="C78" s="143"/>
      <c r="D78" s="143"/>
      <c r="E78" s="143"/>
      <c r="F78" s="143"/>
      <c r="G78" s="143"/>
      <c r="H78" s="143"/>
      <c r="I78" s="143"/>
      <c r="J78" s="143"/>
      <c r="K78" s="143"/>
      <c r="L78" s="143"/>
      <c r="M78" s="143"/>
      <c r="N78" s="143"/>
      <c r="O78" s="143"/>
      <c r="P78" s="143"/>
      <c r="Q78" s="143"/>
      <c r="S78" s="143"/>
      <c r="T78" s="143" t="s">
        <v>1011</v>
      </c>
      <c r="U78" s="143"/>
      <c r="V78" s="143"/>
      <c r="W78" s="143"/>
      <c r="X78" s="143"/>
      <c r="Y78" s="143"/>
      <c r="Z78" s="143"/>
      <c r="AA78" s="143"/>
      <c r="AB78" s="143"/>
      <c r="AC78" s="143"/>
      <c r="AD78" s="143"/>
      <c r="AE78" s="143"/>
      <c r="AF78" s="143"/>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c r="BT78" s="7"/>
      <c r="BU78" s="7"/>
      <c r="BV78" s="7"/>
      <c r="BW78" s="7"/>
      <c r="BX78" s="7"/>
      <c r="BY78" s="7"/>
      <c r="BZ78" s="7"/>
      <c r="CA78" s="7"/>
      <c r="CB78" s="7"/>
      <c r="CC78" s="7"/>
      <c r="CD78" s="7"/>
      <c r="CE78" s="7"/>
      <c r="CF78" s="7"/>
      <c r="CG78" s="7"/>
      <c r="CH78" s="7"/>
      <c r="CI78" s="7"/>
    </row>
    <row r="79" spans="1:87" ht="13.15" customHeight="1">
      <c r="A79" s="7"/>
      <c r="B79" s="143"/>
      <c r="C79" s="143"/>
      <c r="D79" s="143"/>
      <c r="E79" s="143"/>
      <c r="F79" s="143"/>
      <c r="G79" s="143"/>
      <c r="H79" s="143"/>
      <c r="I79" s="143"/>
      <c r="J79" s="143"/>
      <c r="K79" s="143"/>
      <c r="L79" s="143"/>
      <c r="M79" s="143"/>
      <c r="N79" s="143"/>
      <c r="O79" s="143"/>
      <c r="P79" s="143"/>
      <c r="Q79" s="143"/>
      <c r="S79" s="143"/>
      <c r="T79" s="143"/>
      <c r="U79" s="143"/>
      <c r="V79" s="143"/>
      <c r="W79" s="143"/>
      <c r="X79" s="143"/>
      <c r="Y79" s="143"/>
      <c r="Z79" s="143"/>
      <c r="AA79" s="143"/>
      <c r="AB79" s="143"/>
      <c r="AC79" s="143"/>
      <c r="AD79" s="143"/>
      <c r="AE79" s="143"/>
      <c r="AF79" s="143"/>
      <c r="AG79" s="7"/>
      <c r="AH79" s="7"/>
      <c r="AI79" s="7"/>
      <c r="AJ79" s="7"/>
      <c r="AK79" s="7"/>
      <c r="AL79" s="7"/>
      <c r="AM79" s="7"/>
      <c r="AN79" s="7"/>
      <c r="AO79" s="7"/>
      <c r="AP79" s="7"/>
      <c r="AQ79" s="7"/>
      <c r="AR79" s="7"/>
      <c r="AS79" s="7"/>
      <c r="AT79" s="7"/>
      <c r="AU79" s="7"/>
      <c r="AV79" s="7"/>
      <c r="AW79" s="7"/>
      <c r="AX79" s="7"/>
      <c r="AY79" s="7"/>
      <c r="AZ79" s="7"/>
      <c r="BA79" s="7"/>
      <c r="BB79" s="7"/>
      <c r="BC79" s="7"/>
      <c r="BD79" s="7"/>
      <c r="BE79" s="7"/>
      <c r="BF79" s="7"/>
      <c r="BG79" s="7"/>
      <c r="BH79" s="7"/>
      <c r="BI79" s="7"/>
      <c r="BJ79" s="7"/>
      <c r="BK79" s="7"/>
      <c r="BL79" s="7"/>
      <c r="BM79" s="7"/>
      <c r="BN79" s="7"/>
      <c r="BO79" s="7"/>
      <c r="BP79" s="7"/>
      <c r="BQ79" s="7"/>
      <c r="BR79" s="7"/>
      <c r="BS79" s="7"/>
      <c r="BT79" s="7"/>
      <c r="BU79" s="7"/>
      <c r="BV79" s="7"/>
      <c r="BW79" s="7"/>
      <c r="BX79" s="7"/>
      <c r="BY79" s="7"/>
      <c r="BZ79" s="7"/>
      <c r="CA79" s="7"/>
      <c r="CB79" s="7"/>
      <c r="CC79" s="7"/>
      <c r="CD79" s="7"/>
      <c r="CE79" s="7"/>
      <c r="CF79" s="7"/>
      <c r="CG79" s="7"/>
      <c r="CH79" s="7"/>
      <c r="CI79" s="7"/>
    </row>
    <row r="80" spans="1:87" ht="13.15" customHeight="1">
      <c r="A80" s="7" t="s">
        <v>1012</v>
      </c>
      <c r="B80" s="143"/>
      <c r="C80" s="143"/>
      <c r="D80" s="143"/>
      <c r="E80" s="143"/>
      <c r="F80" s="143"/>
      <c r="G80" s="143"/>
      <c r="H80" s="143"/>
      <c r="I80" s="143"/>
      <c r="J80" s="143"/>
      <c r="K80" s="143"/>
      <c r="L80" s="143"/>
      <c r="M80" s="143"/>
      <c r="N80" s="143"/>
      <c r="O80" s="143"/>
      <c r="P80" s="143"/>
      <c r="Q80" s="143"/>
      <c r="S80" s="143"/>
      <c r="T80" s="143"/>
      <c r="U80" s="143"/>
      <c r="V80" s="143"/>
      <c r="W80" s="143"/>
      <c r="X80" s="143"/>
      <c r="Y80" s="143"/>
      <c r="Z80" s="143"/>
      <c r="AA80" s="143"/>
      <c r="AB80" s="143"/>
      <c r="AC80" s="143"/>
      <c r="AD80" s="143"/>
      <c r="AE80" s="143"/>
      <c r="AF80" s="143"/>
      <c r="AG80" s="7"/>
      <c r="AH80" s="7"/>
      <c r="AI80" s="7"/>
      <c r="AJ80" s="7"/>
      <c r="AK80" s="7"/>
      <c r="AL80" s="7"/>
      <c r="AM80" s="7"/>
      <c r="AN80" s="7"/>
      <c r="AO80" s="7"/>
      <c r="AP80" s="7"/>
      <c r="AQ80" s="7"/>
      <c r="AR80" s="7"/>
      <c r="AS80" s="7"/>
      <c r="AT80" s="7"/>
      <c r="AU80" s="7"/>
      <c r="AV80" s="7"/>
      <c r="AW80" s="7"/>
      <c r="AX80" s="7"/>
      <c r="AY80" s="7"/>
      <c r="AZ80" s="7"/>
      <c r="BA80" s="7"/>
      <c r="BB80" s="7"/>
      <c r="BC80" s="7"/>
      <c r="BD80" s="7"/>
      <c r="BE80" s="7"/>
      <c r="BF80" s="7"/>
      <c r="BG80" s="7"/>
      <c r="BH80" s="7"/>
      <c r="BI80" s="7"/>
      <c r="BJ80" s="7"/>
      <c r="BK80" s="7"/>
      <c r="BL80" s="7"/>
      <c r="BM80" s="7"/>
      <c r="BN80" s="7"/>
      <c r="BO80" s="7"/>
      <c r="BP80" s="7"/>
      <c r="BQ80" s="7"/>
      <c r="BR80" s="7"/>
      <c r="BS80" s="7"/>
      <c r="BT80" s="7"/>
      <c r="BU80" s="7"/>
      <c r="BV80" s="7"/>
      <c r="BW80" s="7"/>
      <c r="BX80" s="7"/>
      <c r="BY80" s="7"/>
      <c r="BZ80" s="7"/>
      <c r="CA80" s="7"/>
      <c r="CB80" s="7"/>
      <c r="CC80" s="7"/>
      <c r="CD80" s="7"/>
      <c r="CE80" s="7"/>
      <c r="CF80" s="7"/>
      <c r="CG80" s="7"/>
      <c r="CH80" s="7"/>
      <c r="CI80" s="7"/>
    </row>
    <row r="81" spans="1:87" ht="13.15" customHeight="1">
      <c r="A81" s="145" t="s">
        <v>961</v>
      </c>
      <c r="B81" s="69" t="s">
        <v>1312</v>
      </c>
      <c r="C81" s="143"/>
      <c r="D81" s="143"/>
      <c r="E81" s="143"/>
      <c r="F81" s="143"/>
      <c r="G81" s="143"/>
      <c r="H81" s="143"/>
      <c r="I81" s="143"/>
      <c r="J81" s="143"/>
      <c r="K81" s="143"/>
      <c r="L81" s="143"/>
      <c r="M81" s="143"/>
      <c r="N81" s="143"/>
      <c r="O81" s="143"/>
      <c r="P81" s="143"/>
      <c r="Q81" s="143"/>
      <c r="S81" s="143"/>
      <c r="T81" s="143" t="s">
        <v>1372</v>
      </c>
      <c r="U81" s="143"/>
      <c r="V81" s="143"/>
      <c r="W81" s="143"/>
      <c r="X81" s="143"/>
      <c r="Y81" s="143"/>
      <c r="Z81" s="143"/>
      <c r="AA81" s="143"/>
      <c r="AB81" s="143"/>
      <c r="AC81" s="143"/>
      <c r="AD81" s="143"/>
      <c r="AE81" s="143"/>
      <c r="AF81" s="143"/>
      <c r="AG81" s="7"/>
      <c r="AH81" s="7"/>
      <c r="AI81" s="7"/>
      <c r="AJ81" s="7"/>
      <c r="AK81" s="7"/>
      <c r="AL81" s="7"/>
      <c r="AM81" s="7"/>
      <c r="AN81" s="7"/>
      <c r="AO81" s="7"/>
      <c r="AP81" s="7"/>
      <c r="AQ81" s="7"/>
      <c r="AR81" s="7"/>
      <c r="AS81" s="7"/>
      <c r="AT81" s="7"/>
      <c r="AU81" s="7"/>
      <c r="AV81" s="7"/>
      <c r="AW81" s="7"/>
      <c r="AX81" s="7"/>
      <c r="AY81" s="7"/>
      <c r="AZ81" s="7"/>
      <c r="BA81" s="7"/>
      <c r="BB81" s="7"/>
      <c r="BC81" s="7"/>
      <c r="BD81" s="7"/>
      <c r="BE81" s="7"/>
      <c r="BF81" s="7"/>
      <c r="BG81" s="7"/>
      <c r="BH81" s="7"/>
      <c r="BI81" s="7"/>
      <c r="BJ81" s="7"/>
      <c r="BK81" s="7"/>
      <c r="BL81" s="7"/>
      <c r="BM81" s="7"/>
      <c r="BN81" s="7"/>
      <c r="BO81" s="7"/>
      <c r="BP81" s="7"/>
      <c r="BQ81" s="7"/>
      <c r="BR81" s="7"/>
      <c r="BS81" s="7"/>
      <c r="BT81" s="7"/>
      <c r="BU81" s="7"/>
      <c r="BV81" s="7"/>
      <c r="BW81" s="7"/>
      <c r="BX81" s="7"/>
      <c r="BY81" s="7"/>
      <c r="BZ81" s="7"/>
      <c r="CA81" s="7"/>
      <c r="CB81" s="7"/>
      <c r="CC81" s="7"/>
      <c r="CD81" s="7"/>
      <c r="CE81" s="7"/>
      <c r="CF81" s="7"/>
      <c r="CG81" s="7"/>
      <c r="CH81" s="7"/>
      <c r="CI81" s="7"/>
    </row>
    <row r="82" spans="1:87" ht="13.15" customHeight="1">
      <c r="A82" s="145" t="s">
        <v>961</v>
      </c>
      <c r="B82" s="69" t="s">
        <v>1313</v>
      </c>
      <c r="C82" s="143"/>
      <c r="D82" s="143"/>
      <c r="E82" s="143"/>
      <c r="F82" s="143"/>
      <c r="G82" s="143"/>
      <c r="H82" s="143"/>
      <c r="I82" s="143"/>
      <c r="J82" s="143"/>
      <c r="K82" s="143"/>
      <c r="L82" s="143"/>
      <c r="M82" s="143"/>
      <c r="N82" s="143"/>
      <c r="O82" s="143"/>
      <c r="P82" s="143"/>
      <c r="Q82" s="143"/>
      <c r="S82" s="143"/>
      <c r="T82" s="143" t="s">
        <v>1372</v>
      </c>
      <c r="U82" s="143"/>
      <c r="V82" s="143"/>
      <c r="W82" s="143"/>
      <c r="X82" s="143"/>
      <c r="Y82" s="143"/>
      <c r="Z82" s="143"/>
      <c r="AA82" s="143"/>
      <c r="AB82" s="143"/>
      <c r="AC82" s="143"/>
      <c r="AD82" s="143"/>
      <c r="AE82" s="143"/>
      <c r="AF82" s="143"/>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7"/>
      <c r="BL82" s="7"/>
      <c r="BM82" s="7"/>
      <c r="BN82" s="7"/>
      <c r="BO82" s="7"/>
      <c r="BP82" s="7"/>
      <c r="BQ82" s="7"/>
      <c r="BR82" s="7"/>
      <c r="BS82" s="7"/>
      <c r="BT82" s="7"/>
      <c r="BU82" s="7"/>
      <c r="BV82" s="7"/>
      <c r="BW82" s="7"/>
      <c r="BX82" s="7"/>
      <c r="BY82" s="7"/>
      <c r="BZ82" s="7"/>
      <c r="CA82" s="7"/>
      <c r="CB82" s="7"/>
      <c r="CC82" s="7"/>
      <c r="CD82" s="7"/>
      <c r="CE82" s="7"/>
      <c r="CF82" s="7"/>
      <c r="CG82" s="7"/>
      <c r="CH82" s="7"/>
      <c r="CI82" s="7"/>
    </row>
    <row r="83" spans="1:87" ht="13.15" customHeight="1">
      <c r="A83" s="145" t="s">
        <v>961</v>
      </c>
      <c r="B83" s="69" t="s">
        <v>1344</v>
      </c>
      <c r="C83" s="143"/>
      <c r="D83" s="143"/>
      <c r="E83" s="143"/>
      <c r="F83" s="143"/>
      <c r="G83" s="143"/>
      <c r="H83" s="143"/>
      <c r="I83" s="143"/>
      <c r="J83" s="143"/>
      <c r="K83" s="143"/>
      <c r="L83" s="143"/>
      <c r="M83" s="143"/>
      <c r="N83" s="143"/>
      <c r="O83" s="143"/>
      <c r="P83" s="143"/>
      <c r="Q83" s="143"/>
      <c r="S83" s="143"/>
      <c r="T83" s="143" t="s">
        <v>1372</v>
      </c>
      <c r="U83" s="143"/>
      <c r="V83" s="143"/>
      <c r="W83" s="143"/>
      <c r="X83" s="143"/>
      <c r="Y83" s="143"/>
      <c r="Z83" s="143"/>
      <c r="AA83" s="143"/>
      <c r="AB83" s="143"/>
      <c r="AC83" s="143"/>
      <c r="AD83" s="143"/>
      <c r="AE83" s="143"/>
      <c r="AF83" s="143"/>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7"/>
      <c r="BL83" s="7"/>
      <c r="BM83" s="7"/>
      <c r="BN83" s="7"/>
      <c r="BO83" s="7"/>
      <c r="BP83" s="7"/>
      <c r="BQ83" s="7"/>
      <c r="BR83" s="7"/>
      <c r="BS83" s="7"/>
      <c r="BT83" s="7"/>
      <c r="BU83" s="7"/>
      <c r="BV83" s="7"/>
      <c r="BW83" s="7"/>
      <c r="BX83" s="7"/>
      <c r="BY83" s="7"/>
      <c r="BZ83" s="7"/>
      <c r="CA83" s="7"/>
      <c r="CB83" s="7"/>
      <c r="CC83" s="7"/>
      <c r="CD83" s="7"/>
      <c r="CE83" s="7"/>
      <c r="CF83" s="7"/>
      <c r="CG83" s="7"/>
      <c r="CH83" s="7"/>
      <c r="CI83" s="7"/>
    </row>
    <row r="84" spans="1:87" ht="13.15" customHeight="1">
      <c r="A84" s="145" t="s">
        <v>961</v>
      </c>
      <c r="B84" s="69" t="s">
        <v>1314</v>
      </c>
      <c r="C84" s="143"/>
      <c r="D84" s="143"/>
      <c r="E84" s="143"/>
      <c r="F84" s="143"/>
      <c r="G84" s="143"/>
      <c r="H84" s="143"/>
      <c r="I84" s="143"/>
      <c r="J84" s="143"/>
      <c r="K84" s="143"/>
      <c r="L84" s="143"/>
      <c r="M84" s="143"/>
      <c r="N84" s="143"/>
      <c r="O84" s="143"/>
      <c r="P84" s="143"/>
      <c r="Q84" s="143"/>
      <c r="S84" s="143"/>
      <c r="T84" s="143" t="s">
        <v>1372</v>
      </c>
      <c r="U84" s="143"/>
      <c r="V84" s="143"/>
      <c r="W84" s="143"/>
      <c r="X84" s="143"/>
      <c r="Y84" s="143"/>
      <c r="Z84" s="143"/>
      <c r="AA84" s="143"/>
      <c r="AB84" s="143"/>
      <c r="AC84" s="143"/>
      <c r="AD84" s="143"/>
      <c r="AE84" s="143"/>
      <c r="AF84" s="143"/>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7"/>
      <c r="BL84" s="7"/>
      <c r="BM84" s="7"/>
      <c r="BN84" s="7"/>
      <c r="BO84" s="7"/>
      <c r="BP84" s="7"/>
      <c r="BQ84" s="7"/>
      <c r="BR84" s="7"/>
      <c r="BS84" s="7"/>
      <c r="BT84" s="7"/>
      <c r="BU84" s="7"/>
      <c r="BV84" s="7"/>
      <c r="BW84" s="7"/>
      <c r="BX84" s="7"/>
      <c r="BY84" s="7"/>
      <c r="BZ84" s="7"/>
      <c r="CA84" s="7"/>
      <c r="CB84" s="7"/>
      <c r="CC84" s="7"/>
      <c r="CD84" s="7"/>
      <c r="CE84" s="7"/>
      <c r="CF84" s="7"/>
      <c r="CG84" s="7"/>
      <c r="CH84" s="7"/>
      <c r="CI84" s="7"/>
    </row>
    <row r="85" spans="1:87" ht="13.15" customHeight="1">
      <c r="A85" s="145" t="s">
        <v>961</v>
      </c>
      <c r="B85" s="69" t="s">
        <v>1315</v>
      </c>
      <c r="C85" s="143"/>
      <c r="D85" s="143"/>
      <c r="E85" s="143"/>
      <c r="F85" s="143"/>
      <c r="G85" s="143"/>
      <c r="H85" s="143"/>
      <c r="I85" s="143"/>
      <c r="J85" s="143"/>
      <c r="K85" s="143"/>
      <c r="L85" s="143"/>
      <c r="M85" s="143"/>
      <c r="N85" s="143"/>
      <c r="O85" s="143"/>
      <c r="P85" s="143"/>
      <c r="Q85" s="143"/>
      <c r="S85" s="143"/>
      <c r="T85" s="143" t="s">
        <v>1372</v>
      </c>
      <c r="U85" s="143"/>
      <c r="V85" s="143"/>
      <c r="W85" s="143"/>
      <c r="X85" s="143"/>
      <c r="Y85" s="143"/>
      <c r="Z85" s="143"/>
      <c r="AA85" s="143"/>
      <c r="AB85" s="143"/>
      <c r="AC85" s="143"/>
      <c r="AD85" s="143"/>
      <c r="AE85" s="143"/>
      <c r="AF85" s="143"/>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7"/>
      <c r="BL85" s="7"/>
      <c r="BM85" s="7"/>
      <c r="BN85" s="7"/>
      <c r="BO85" s="7"/>
      <c r="BP85" s="7"/>
      <c r="BQ85" s="7"/>
      <c r="BR85" s="7"/>
      <c r="BS85" s="7"/>
      <c r="BT85" s="7"/>
      <c r="BU85" s="7"/>
      <c r="BV85" s="7"/>
      <c r="BW85" s="7"/>
      <c r="BX85" s="7"/>
      <c r="BY85" s="7"/>
      <c r="BZ85" s="7"/>
      <c r="CA85" s="7"/>
      <c r="CB85" s="7"/>
      <c r="CC85" s="7"/>
      <c r="CD85" s="7"/>
      <c r="CE85" s="7"/>
      <c r="CF85" s="7"/>
      <c r="CG85" s="7"/>
      <c r="CH85" s="7"/>
      <c r="CI85" s="7"/>
    </row>
    <row r="86" spans="1:87" ht="13.15" customHeight="1">
      <c r="A86" s="7"/>
      <c r="B86" s="143"/>
      <c r="C86" s="143"/>
      <c r="D86" s="143"/>
      <c r="E86" s="143"/>
      <c r="F86" s="143"/>
      <c r="G86" s="143"/>
      <c r="H86" s="143"/>
      <c r="I86" s="143"/>
      <c r="J86" s="143"/>
      <c r="K86" s="143"/>
      <c r="L86" s="143"/>
      <c r="M86" s="143"/>
      <c r="N86" s="143"/>
      <c r="O86" s="143"/>
      <c r="P86" s="143"/>
      <c r="Q86" s="143"/>
      <c r="S86" s="143"/>
      <c r="T86" s="143"/>
      <c r="U86" s="143"/>
      <c r="V86" s="143"/>
      <c r="W86" s="143"/>
      <c r="X86" s="143"/>
      <c r="Y86" s="143"/>
      <c r="Z86" s="143"/>
      <c r="AA86" s="143"/>
      <c r="AB86" s="143"/>
      <c r="AC86" s="143"/>
      <c r="AD86" s="143"/>
      <c r="AE86" s="143"/>
      <c r="AF86" s="143"/>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7"/>
      <c r="BL86" s="7"/>
      <c r="BM86" s="7"/>
      <c r="BN86" s="7"/>
      <c r="BO86" s="7"/>
      <c r="BP86" s="7"/>
      <c r="BQ86" s="7"/>
      <c r="BR86" s="7"/>
      <c r="BS86" s="7"/>
      <c r="BT86" s="7"/>
      <c r="BU86" s="7"/>
      <c r="BV86" s="7"/>
      <c r="BW86" s="7"/>
      <c r="BX86" s="7"/>
      <c r="BY86" s="7"/>
      <c r="BZ86" s="7"/>
      <c r="CA86" s="7"/>
      <c r="CB86" s="7"/>
      <c r="CC86" s="7"/>
      <c r="CD86" s="7"/>
      <c r="CE86" s="7"/>
      <c r="CF86" s="7"/>
      <c r="CG86" s="7"/>
      <c r="CH86" s="7"/>
      <c r="CI86" s="7"/>
    </row>
    <row r="87" spans="1:87" ht="13.15" customHeight="1">
      <c r="A87" s="7" t="s">
        <v>1013</v>
      </c>
      <c r="B87" s="143"/>
      <c r="C87" s="143"/>
      <c r="D87" s="143"/>
      <c r="E87" s="143"/>
      <c r="F87" s="143"/>
      <c r="G87" s="143"/>
      <c r="H87" s="143"/>
      <c r="I87" s="143"/>
      <c r="J87" s="143"/>
      <c r="K87" s="143"/>
      <c r="L87" s="143"/>
      <c r="M87" s="143"/>
      <c r="N87" s="143"/>
      <c r="O87" s="143"/>
      <c r="P87" s="143"/>
      <c r="Q87" s="143"/>
      <c r="S87" s="143"/>
      <c r="T87" s="143"/>
      <c r="U87" s="143"/>
      <c r="V87" s="143"/>
      <c r="W87" s="143"/>
      <c r="X87" s="143"/>
      <c r="Y87" s="143"/>
      <c r="Z87" s="143"/>
      <c r="AA87" s="143"/>
      <c r="AB87" s="143"/>
      <c r="AC87" s="143"/>
      <c r="AD87" s="143"/>
      <c r="AE87" s="143"/>
      <c r="AF87" s="143"/>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row>
    <row r="88" spans="1:87" ht="13.15" customHeight="1">
      <c r="A88" s="145" t="s">
        <v>961</v>
      </c>
      <c r="B88" s="143" t="s">
        <v>1014</v>
      </c>
      <c r="C88" s="143"/>
      <c r="D88" s="143"/>
      <c r="E88" s="143"/>
      <c r="F88" s="143"/>
      <c r="G88" s="143"/>
      <c r="H88" s="143"/>
      <c r="I88" s="143"/>
      <c r="J88" s="143"/>
      <c r="K88" s="143"/>
      <c r="L88" s="143"/>
      <c r="M88" s="143"/>
      <c r="N88" s="143"/>
      <c r="O88" s="143"/>
      <c r="P88" s="143"/>
      <c r="Q88" s="143"/>
      <c r="S88" s="143"/>
      <c r="T88" s="143" t="s">
        <v>1345</v>
      </c>
      <c r="U88" s="143"/>
      <c r="V88" s="143"/>
      <c r="W88" s="143"/>
      <c r="X88" s="143"/>
      <c r="Y88" s="143"/>
      <c r="Z88" s="143"/>
      <c r="AA88" s="143"/>
      <c r="AB88" s="143"/>
      <c r="AC88" s="143"/>
      <c r="AD88" s="143"/>
      <c r="AE88" s="143"/>
      <c r="AF88" s="143"/>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7"/>
      <c r="BL88" s="7"/>
      <c r="BM88" s="7"/>
      <c r="BN88" s="7"/>
      <c r="BO88" s="7"/>
      <c r="BP88" s="7"/>
      <c r="BQ88" s="7"/>
      <c r="BR88" s="7"/>
      <c r="BS88" s="7"/>
      <c r="BT88" s="7"/>
      <c r="BU88" s="7"/>
      <c r="BV88" s="7"/>
      <c r="BW88" s="7"/>
      <c r="BX88" s="7"/>
      <c r="BY88" s="7"/>
      <c r="BZ88" s="7"/>
      <c r="CA88" s="7"/>
      <c r="CB88" s="7"/>
      <c r="CC88" s="7"/>
      <c r="CD88" s="7"/>
      <c r="CE88" s="7"/>
      <c r="CF88" s="7"/>
      <c r="CG88" s="7"/>
      <c r="CH88" s="7"/>
      <c r="CI88" s="7"/>
    </row>
    <row r="89" spans="1:87" ht="13.15" customHeight="1">
      <c r="A89" s="145" t="s">
        <v>961</v>
      </c>
      <c r="B89" s="143" t="s">
        <v>1015</v>
      </c>
      <c r="C89" s="143"/>
      <c r="D89" s="143"/>
      <c r="E89" s="143"/>
      <c r="F89" s="143"/>
      <c r="G89" s="143"/>
      <c r="H89" s="143"/>
      <c r="I89" s="143"/>
      <c r="J89" s="143"/>
      <c r="K89" s="143"/>
      <c r="L89" s="143"/>
      <c r="M89" s="143"/>
      <c r="N89" s="143"/>
      <c r="O89" s="143"/>
      <c r="P89" s="143"/>
      <c r="Q89" s="143"/>
      <c r="S89" s="143"/>
      <c r="T89" s="143" t="s">
        <v>1345</v>
      </c>
      <c r="U89" s="143"/>
      <c r="V89" s="143"/>
      <c r="W89" s="143"/>
      <c r="X89" s="143"/>
      <c r="Y89" s="143"/>
      <c r="Z89" s="143"/>
      <c r="AA89" s="143"/>
      <c r="AB89" s="143"/>
      <c r="AC89" s="143"/>
      <c r="AD89" s="143"/>
      <c r="AE89" s="143"/>
      <c r="AF89" s="143"/>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7"/>
      <c r="BZ89" s="7"/>
      <c r="CA89" s="7"/>
      <c r="CB89" s="7"/>
      <c r="CC89" s="7"/>
      <c r="CD89" s="7"/>
      <c r="CE89" s="7"/>
      <c r="CF89" s="7"/>
      <c r="CG89" s="7"/>
      <c r="CH89" s="7"/>
      <c r="CI89" s="7"/>
    </row>
    <row r="90" spans="1:87" ht="13.15" customHeight="1">
      <c r="A90" s="7"/>
      <c r="B90" s="143" t="s">
        <v>1016</v>
      </c>
      <c r="C90" s="143"/>
      <c r="D90" s="143"/>
      <c r="E90" s="143"/>
      <c r="F90" s="143"/>
      <c r="G90" s="143"/>
      <c r="H90" s="143"/>
      <c r="I90" s="143"/>
      <c r="J90" s="143"/>
      <c r="K90" s="143"/>
      <c r="L90" s="143"/>
      <c r="M90" s="143"/>
      <c r="N90" s="143"/>
      <c r="O90" s="143"/>
      <c r="P90" s="143"/>
      <c r="Q90" s="143"/>
      <c r="S90" s="143"/>
      <c r="T90" s="143" t="s">
        <v>1017</v>
      </c>
      <c r="U90" s="143"/>
      <c r="V90" s="143"/>
      <c r="W90" s="143"/>
      <c r="X90" s="143"/>
      <c r="Y90" s="143"/>
      <c r="Z90" s="143"/>
      <c r="AA90" s="143"/>
      <c r="AB90" s="143"/>
      <c r="AC90" s="143"/>
      <c r="AD90" s="143"/>
      <c r="AE90" s="143"/>
      <c r="AF90" s="143"/>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
      <c r="BO90" s="7"/>
      <c r="BP90" s="7"/>
      <c r="BQ90" s="7"/>
      <c r="BR90" s="7"/>
      <c r="BS90" s="7"/>
      <c r="BT90" s="7"/>
      <c r="BU90" s="7"/>
      <c r="BV90" s="7"/>
      <c r="BW90" s="7"/>
      <c r="BX90" s="7"/>
      <c r="BY90" s="7"/>
      <c r="BZ90" s="7"/>
      <c r="CA90" s="7"/>
      <c r="CB90" s="7"/>
      <c r="CC90" s="7"/>
      <c r="CD90" s="7"/>
      <c r="CE90" s="7"/>
      <c r="CF90" s="7"/>
      <c r="CG90" s="7"/>
      <c r="CH90" s="7"/>
      <c r="CI90" s="7"/>
    </row>
    <row r="91" spans="1:87" ht="13.15" customHeight="1">
      <c r="A91" s="145" t="s">
        <v>961</v>
      </c>
      <c r="B91" s="143" t="s">
        <v>1018</v>
      </c>
      <c r="C91" s="143"/>
      <c r="D91" s="143"/>
      <c r="E91" s="143"/>
      <c r="F91" s="143"/>
      <c r="G91" s="143"/>
      <c r="H91" s="143"/>
      <c r="I91" s="143"/>
      <c r="J91" s="143"/>
      <c r="K91" s="143"/>
      <c r="L91" s="143"/>
      <c r="M91" s="143"/>
      <c r="N91" s="143"/>
      <c r="O91" s="143"/>
      <c r="P91" s="143"/>
      <c r="Q91" s="143"/>
      <c r="S91" s="143"/>
      <c r="T91" s="143" t="s">
        <v>1346</v>
      </c>
      <c r="U91" s="143"/>
      <c r="V91" s="143"/>
      <c r="W91" s="143"/>
      <c r="X91" s="143"/>
      <c r="Y91" s="143"/>
      <c r="Z91" s="143"/>
      <c r="AA91" s="143"/>
      <c r="AB91" s="143"/>
      <c r="AC91" s="143"/>
      <c r="AD91" s="143"/>
      <c r="AE91" s="143"/>
      <c r="AF91" s="143"/>
      <c r="AG91" s="7"/>
      <c r="AH91" s="7"/>
      <c r="AI91" s="7"/>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
      <c r="BO91" s="7"/>
      <c r="BP91" s="7"/>
      <c r="BQ91" s="7"/>
      <c r="BR91" s="7"/>
      <c r="BS91" s="7"/>
      <c r="BT91" s="7"/>
      <c r="BU91" s="7"/>
      <c r="BV91" s="7"/>
      <c r="BW91" s="7"/>
      <c r="BX91" s="7"/>
      <c r="BY91" s="7"/>
      <c r="BZ91" s="7"/>
      <c r="CA91" s="7"/>
      <c r="CB91" s="7"/>
      <c r="CC91" s="7"/>
      <c r="CD91" s="7"/>
      <c r="CE91" s="7"/>
      <c r="CF91" s="7"/>
      <c r="CG91" s="7"/>
      <c r="CH91" s="7"/>
      <c r="CI91" s="7"/>
    </row>
    <row r="92" spans="1:87" ht="13.15" customHeight="1">
      <c r="A92" s="145" t="s">
        <v>961</v>
      </c>
      <c r="B92" s="143" t="s">
        <v>1019</v>
      </c>
      <c r="C92" s="143"/>
      <c r="D92" s="143"/>
      <c r="E92" s="143"/>
      <c r="F92" s="143"/>
      <c r="G92" s="143"/>
      <c r="H92" s="143"/>
      <c r="I92" s="143"/>
      <c r="J92" s="143"/>
      <c r="K92" s="143"/>
      <c r="L92" s="143"/>
      <c r="M92" s="143"/>
      <c r="N92" s="143"/>
      <c r="O92" s="143"/>
      <c r="P92" s="143"/>
      <c r="Q92" s="143"/>
      <c r="S92" s="143"/>
      <c r="T92" s="143" t="s">
        <v>1345</v>
      </c>
      <c r="U92" s="143"/>
      <c r="V92" s="143"/>
      <c r="W92" s="143"/>
      <c r="X92" s="143"/>
      <c r="Y92" s="143"/>
      <c r="Z92" s="143"/>
      <c r="AA92" s="143"/>
      <c r="AB92" s="143"/>
      <c r="AC92" s="143"/>
      <c r="AD92" s="143"/>
      <c r="AE92" s="143"/>
      <c r="AF92" s="143"/>
      <c r="AG92" s="7"/>
      <c r="AH92" s="7"/>
      <c r="AI92" s="7"/>
      <c r="AJ92" s="7"/>
      <c r="AK92" s="7"/>
      <c r="AL92" s="7"/>
      <c r="AM92" s="7"/>
      <c r="AN92" s="7"/>
      <c r="AO92" s="7"/>
      <c r="AP92" s="7"/>
      <c r="AQ92" s="7"/>
      <c r="AR92" s="7"/>
      <c r="AS92" s="7"/>
      <c r="AT92" s="7"/>
      <c r="AU92" s="7"/>
      <c r="AV92" s="7"/>
      <c r="AW92" s="7"/>
      <c r="AX92" s="7"/>
      <c r="AY92" s="7"/>
      <c r="AZ92" s="7"/>
      <c r="BA92" s="7"/>
      <c r="BB92" s="7"/>
      <c r="BC92" s="7"/>
      <c r="BD92" s="7"/>
      <c r="BE92" s="7"/>
      <c r="BF92" s="7"/>
      <c r="BG92" s="7"/>
      <c r="BH92" s="7"/>
      <c r="BI92" s="7"/>
      <c r="BJ92" s="7"/>
      <c r="BK92" s="7"/>
      <c r="BL92" s="7"/>
      <c r="BM92" s="7"/>
      <c r="BN92" s="7"/>
      <c r="BO92" s="7"/>
      <c r="BP92" s="7"/>
      <c r="BQ92" s="7"/>
      <c r="BR92" s="7"/>
      <c r="BS92" s="7"/>
      <c r="BT92" s="7"/>
      <c r="BU92" s="7"/>
      <c r="BV92" s="7"/>
      <c r="BW92" s="7"/>
      <c r="BX92" s="7"/>
      <c r="BY92" s="7"/>
      <c r="BZ92" s="7"/>
      <c r="CA92" s="7"/>
      <c r="CB92" s="7"/>
      <c r="CC92" s="7"/>
      <c r="CD92" s="7"/>
      <c r="CE92" s="7"/>
      <c r="CF92" s="7"/>
      <c r="CG92" s="7"/>
      <c r="CH92" s="7"/>
      <c r="CI92" s="7"/>
    </row>
    <row r="93" spans="1:87" ht="13.15" customHeight="1">
      <c r="A93" s="145" t="s">
        <v>961</v>
      </c>
      <c r="B93" s="143" t="s">
        <v>1020</v>
      </c>
      <c r="C93" s="143"/>
      <c r="D93" s="143"/>
      <c r="E93" s="143"/>
      <c r="F93" s="143"/>
      <c r="G93" s="143"/>
      <c r="H93" s="143"/>
      <c r="I93" s="143"/>
      <c r="J93" s="143"/>
      <c r="K93" s="143"/>
      <c r="L93" s="143"/>
      <c r="M93" s="143"/>
      <c r="N93" s="143"/>
      <c r="O93" s="143"/>
      <c r="P93" s="143"/>
      <c r="Q93" s="143"/>
      <c r="S93" s="143"/>
      <c r="T93" s="143" t="s">
        <v>1347</v>
      </c>
      <c r="U93" s="143"/>
      <c r="V93" s="143"/>
      <c r="W93" s="143"/>
      <c r="X93" s="143"/>
      <c r="Y93" s="143"/>
      <c r="Z93" s="143"/>
      <c r="AA93" s="143"/>
      <c r="AB93" s="143"/>
      <c r="AC93" s="143"/>
      <c r="AD93" s="143"/>
      <c r="AE93" s="143"/>
      <c r="AF93" s="143"/>
      <c r="AG93" s="7"/>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7"/>
      <c r="BL93" s="7"/>
      <c r="BM93" s="7"/>
      <c r="BN93" s="7"/>
      <c r="BO93" s="7"/>
      <c r="BP93" s="7"/>
      <c r="BQ93" s="7"/>
      <c r="BR93" s="7"/>
      <c r="BS93" s="7"/>
      <c r="BT93" s="7"/>
      <c r="BU93" s="7"/>
      <c r="BV93" s="7"/>
      <c r="BW93" s="7"/>
      <c r="BX93" s="7"/>
      <c r="BY93" s="7"/>
      <c r="BZ93" s="7"/>
      <c r="CA93" s="7"/>
      <c r="CB93" s="7"/>
      <c r="CC93" s="7"/>
      <c r="CD93" s="7"/>
      <c r="CE93" s="7"/>
      <c r="CF93" s="7"/>
      <c r="CG93" s="7"/>
      <c r="CH93" s="7"/>
      <c r="CI93" s="7"/>
    </row>
    <row r="94" spans="1:87" ht="13.15" customHeight="1">
      <c r="A94" s="7"/>
      <c r="B94" s="143" t="s">
        <v>1021</v>
      </c>
      <c r="C94" s="143"/>
      <c r="D94" s="143"/>
      <c r="E94" s="143"/>
      <c r="F94" s="143"/>
      <c r="G94" s="143"/>
      <c r="H94" s="143"/>
      <c r="I94" s="143"/>
      <c r="J94" s="143"/>
      <c r="K94" s="143"/>
      <c r="L94" s="143"/>
      <c r="M94" s="143"/>
      <c r="N94" s="143"/>
      <c r="O94" s="143"/>
      <c r="P94" s="143"/>
      <c r="Q94" s="143"/>
      <c r="S94" s="143"/>
      <c r="T94" s="143" t="s">
        <v>964</v>
      </c>
      <c r="U94" s="143"/>
      <c r="V94" s="143"/>
      <c r="W94" s="143"/>
      <c r="X94" s="143"/>
      <c r="Y94" s="143"/>
      <c r="Z94" s="143"/>
      <c r="AA94" s="143"/>
      <c r="AB94" s="143"/>
      <c r="AC94" s="143"/>
      <c r="AD94" s="143"/>
      <c r="AE94" s="143"/>
      <c r="AF94" s="143"/>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7"/>
      <c r="BL94" s="7"/>
      <c r="BM94" s="7"/>
      <c r="BN94" s="7"/>
      <c r="BO94" s="7"/>
      <c r="BP94" s="7"/>
      <c r="BQ94" s="7"/>
      <c r="BR94" s="7"/>
      <c r="BS94" s="7"/>
      <c r="BT94" s="7"/>
      <c r="BU94" s="7"/>
      <c r="BV94" s="7"/>
      <c r="BW94" s="7"/>
      <c r="BX94" s="7"/>
      <c r="BY94" s="7"/>
      <c r="BZ94" s="7"/>
      <c r="CA94" s="7"/>
      <c r="CB94" s="7"/>
      <c r="CC94" s="7"/>
      <c r="CD94" s="7"/>
      <c r="CE94" s="7"/>
      <c r="CF94" s="7"/>
      <c r="CG94" s="7"/>
      <c r="CH94" s="7"/>
      <c r="CI94" s="7"/>
    </row>
    <row r="95" spans="1:87" ht="13.15" customHeight="1">
      <c r="A95" s="7"/>
      <c r="B95" s="143" t="s">
        <v>1022</v>
      </c>
      <c r="C95" s="143"/>
      <c r="D95" s="143"/>
      <c r="E95" s="143"/>
      <c r="F95" s="143"/>
      <c r="G95" s="143"/>
      <c r="H95" s="143"/>
      <c r="I95" s="143"/>
      <c r="J95" s="143"/>
      <c r="K95" s="143"/>
      <c r="L95" s="143"/>
      <c r="M95" s="143"/>
      <c r="N95" s="143"/>
      <c r="O95" s="143"/>
      <c r="P95" s="143"/>
      <c r="Q95" s="143"/>
      <c r="S95" s="143"/>
      <c r="T95" s="143" t="s">
        <v>1023</v>
      </c>
      <c r="U95" s="143"/>
      <c r="V95" s="143"/>
      <c r="W95" s="143"/>
      <c r="X95" s="143"/>
      <c r="Y95" s="143"/>
      <c r="Z95" s="143"/>
      <c r="AA95" s="143"/>
      <c r="AB95" s="143"/>
      <c r="AC95" s="143"/>
      <c r="AD95" s="143"/>
      <c r="AE95" s="143"/>
      <c r="AF95" s="143"/>
      <c r="AG95" s="7"/>
      <c r="AH95" s="7"/>
      <c r="AI95" s="7"/>
      <c r="AJ95" s="7"/>
      <c r="AK95" s="7"/>
      <c r="AL95" s="7"/>
      <c r="AM95" s="7"/>
      <c r="AN95" s="7"/>
      <c r="AO95" s="7"/>
      <c r="AP95" s="7"/>
      <c r="AQ95" s="7"/>
      <c r="AR95" s="7"/>
      <c r="AS95" s="7"/>
      <c r="AT95" s="7"/>
      <c r="AU95" s="7"/>
      <c r="AV95" s="7"/>
      <c r="AW95" s="7"/>
      <c r="AX95" s="7"/>
      <c r="AY95" s="7"/>
      <c r="AZ95" s="7"/>
      <c r="BA95" s="7"/>
      <c r="BB95" s="7"/>
      <c r="BC95" s="7"/>
      <c r="BD95" s="7"/>
      <c r="BE95" s="7"/>
      <c r="BF95" s="7"/>
      <c r="BG95" s="7"/>
      <c r="BH95" s="7"/>
      <c r="BI95" s="7"/>
      <c r="BJ95" s="7"/>
      <c r="BK95" s="7"/>
      <c r="BL95" s="7"/>
      <c r="BM95" s="7"/>
      <c r="BN95" s="7"/>
      <c r="BO95" s="7"/>
      <c r="BP95" s="7"/>
      <c r="BQ95" s="7"/>
      <c r="BR95" s="7"/>
      <c r="BS95" s="7"/>
      <c r="BT95" s="7"/>
      <c r="BU95" s="7"/>
      <c r="BV95" s="7"/>
      <c r="BW95" s="7"/>
      <c r="BX95" s="7"/>
      <c r="BY95" s="7"/>
      <c r="BZ95" s="7"/>
      <c r="CA95" s="7"/>
      <c r="CB95" s="7"/>
      <c r="CC95" s="7"/>
      <c r="CD95" s="7"/>
      <c r="CE95" s="7"/>
      <c r="CF95" s="7"/>
      <c r="CG95" s="7"/>
      <c r="CH95" s="7"/>
      <c r="CI95" s="7"/>
    </row>
    <row r="96" spans="1:87" ht="13.15" customHeight="1">
      <c r="A96" s="7"/>
      <c r="B96" s="143" t="s">
        <v>1024</v>
      </c>
      <c r="C96" s="143"/>
      <c r="D96" s="143"/>
      <c r="E96" s="143"/>
      <c r="F96" s="143"/>
      <c r="G96" s="143"/>
      <c r="H96" s="143"/>
      <c r="I96" s="143"/>
      <c r="J96" s="143"/>
      <c r="K96" s="143"/>
      <c r="L96" s="143"/>
      <c r="M96" s="143"/>
      <c r="N96" s="143"/>
      <c r="O96" s="143"/>
      <c r="P96" s="143"/>
      <c r="Q96" s="143"/>
      <c r="S96" s="143"/>
      <c r="T96" s="143" t="s">
        <v>1023</v>
      </c>
      <c r="U96" s="143"/>
      <c r="V96" s="143"/>
      <c r="W96" s="143"/>
      <c r="X96" s="143"/>
      <c r="Y96" s="143"/>
      <c r="Z96" s="143"/>
      <c r="AA96" s="143"/>
      <c r="AB96" s="143"/>
      <c r="AC96" s="143"/>
      <c r="AD96" s="143"/>
      <c r="AE96" s="143"/>
      <c r="AF96" s="143"/>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7"/>
      <c r="BZ96" s="7"/>
      <c r="CA96" s="7"/>
      <c r="CB96" s="7"/>
      <c r="CC96" s="7"/>
      <c r="CD96" s="7"/>
      <c r="CE96" s="7"/>
      <c r="CF96" s="7"/>
      <c r="CG96" s="7"/>
      <c r="CH96" s="7"/>
      <c r="CI96" s="7"/>
    </row>
    <row r="97" spans="1:87" ht="13.15" customHeight="1">
      <c r="A97" s="7"/>
      <c r="B97" s="143" t="s">
        <v>1025</v>
      </c>
      <c r="C97" s="143"/>
      <c r="D97" s="143"/>
      <c r="E97" s="143"/>
      <c r="F97" s="143"/>
      <c r="G97" s="143"/>
      <c r="H97" s="143"/>
      <c r="I97" s="143"/>
      <c r="J97" s="143"/>
      <c r="K97" s="143"/>
      <c r="L97" s="143"/>
      <c r="M97" s="143"/>
      <c r="N97" s="143"/>
      <c r="O97" s="143"/>
      <c r="P97" s="143"/>
      <c r="Q97" s="143"/>
      <c r="S97" s="143"/>
      <c r="T97" s="143" t="s">
        <v>1023</v>
      </c>
      <c r="U97" s="143"/>
      <c r="V97" s="143"/>
      <c r="W97" s="143"/>
      <c r="X97" s="143"/>
      <c r="Y97" s="143"/>
      <c r="Z97" s="143"/>
      <c r="AA97" s="143"/>
      <c r="AB97" s="143"/>
      <c r="AC97" s="143"/>
      <c r="AD97" s="143"/>
      <c r="AE97" s="143"/>
      <c r="AF97" s="143"/>
      <c r="AG97" s="7"/>
      <c r="AH97" s="7"/>
      <c r="AI97" s="7"/>
      <c r="AJ97" s="7"/>
      <c r="AK97" s="7"/>
      <c r="AL97" s="7"/>
      <c r="AM97" s="7"/>
      <c r="AN97" s="7"/>
      <c r="AO97" s="7"/>
      <c r="AP97" s="7"/>
      <c r="AQ97" s="7"/>
      <c r="AR97" s="7"/>
      <c r="AS97" s="7"/>
      <c r="AT97" s="7"/>
      <c r="AU97" s="7"/>
      <c r="AV97" s="7"/>
      <c r="AW97" s="7"/>
      <c r="AX97" s="7"/>
      <c r="AY97" s="7"/>
      <c r="AZ97" s="7"/>
      <c r="BA97" s="7"/>
      <c r="BB97" s="7"/>
      <c r="BC97" s="7"/>
      <c r="BD97" s="7"/>
      <c r="BE97" s="7"/>
      <c r="BF97" s="7"/>
      <c r="BG97" s="7"/>
      <c r="BH97" s="7"/>
      <c r="BI97" s="7"/>
      <c r="BJ97" s="7"/>
      <c r="BK97" s="7"/>
      <c r="BL97" s="7"/>
      <c r="BM97" s="7"/>
      <c r="BN97" s="7"/>
      <c r="BO97" s="7"/>
      <c r="BP97" s="7"/>
      <c r="BQ97" s="7"/>
      <c r="BR97" s="7"/>
      <c r="BS97" s="7"/>
      <c r="BT97" s="7"/>
      <c r="BU97" s="7"/>
      <c r="BV97" s="7"/>
      <c r="BW97" s="7"/>
      <c r="BX97" s="7"/>
      <c r="BY97" s="7"/>
      <c r="BZ97" s="7"/>
      <c r="CA97" s="7"/>
      <c r="CB97" s="7"/>
      <c r="CC97" s="7"/>
      <c r="CD97" s="7"/>
      <c r="CE97" s="7"/>
      <c r="CF97" s="7"/>
      <c r="CG97" s="7"/>
      <c r="CH97" s="7"/>
      <c r="CI97" s="7"/>
    </row>
    <row r="98" spans="1:87" ht="13.15" customHeight="1">
      <c r="A98" s="7"/>
      <c r="B98" s="143" t="s">
        <v>1026</v>
      </c>
      <c r="C98" s="143"/>
      <c r="D98" s="143"/>
      <c r="E98" s="143"/>
      <c r="F98" s="143"/>
      <c r="G98" s="143"/>
      <c r="H98" s="143"/>
      <c r="I98" s="143"/>
      <c r="J98" s="143"/>
      <c r="K98" s="143"/>
      <c r="L98" s="143"/>
      <c r="M98" s="143"/>
      <c r="N98" s="143"/>
      <c r="O98" s="143"/>
      <c r="P98" s="143"/>
      <c r="Q98" s="143"/>
      <c r="S98" s="143"/>
      <c r="T98" s="143" t="s">
        <v>1023</v>
      </c>
      <c r="U98" s="143"/>
      <c r="V98" s="143"/>
      <c r="W98" s="143"/>
      <c r="X98" s="143"/>
      <c r="Y98" s="143"/>
      <c r="Z98" s="143"/>
      <c r="AA98" s="143"/>
      <c r="AB98" s="143"/>
      <c r="AC98" s="143"/>
      <c r="AD98" s="143"/>
      <c r="AE98" s="143"/>
      <c r="AF98" s="143"/>
      <c r="AG98" s="7"/>
      <c r="AH98" s="7"/>
      <c r="AI98" s="7"/>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7"/>
      <c r="BL98" s="7"/>
      <c r="BM98" s="7"/>
      <c r="BN98" s="7"/>
      <c r="BO98" s="7"/>
      <c r="BP98" s="7"/>
      <c r="BQ98" s="7"/>
      <c r="BR98" s="7"/>
      <c r="BS98" s="7"/>
      <c r="BT98" s="7"/>
      <c r="BU98" s="7"/>
      <c r="BV98" s="7"/>
      <c r="BW98" s="7"/>
      <c r="BX98" s="7"/>
      <c r="BY98" s="7"/>
      <c r="BZ98" s="7"/>
      <c r="CA98" s="7"/>
      <c r="CB98" s="7"/>
      <c r="CC98" s="7"/>
      <c r="CD98" s="7"/>
      <c r="CE98" s="7"/>
      <c r="CF98" s="7"/>
      <c r="CG98" s="7"/>
      <c r="CH98" s="7"/>
      <c r="CI98" s="7"/>
    </row>
    <row r="99" spans="1:87" ht="13.15" customHeight="1">
      <c r="A99" s="145" t="s">
        <v>961</v>
      </c>
      <c r="B99" s="143" t="s">
        <v>1027</v>
      </c>
      <c r="C99" s="143"/>
      <c r="D99" s="143"/>
      <c r="E99" s="143"/>
      <c r="F99" s="143"/>
      <c r="G99" s="143"/>
      <c r="H99" s="143"/>
      <c r="I99" s="143"/>
      <c r="J99" s="143"/>
      <c r="K99" s="143"/>
      <c r="L99" s="143"/>
      <c r="M99" s="143"/>
      <c r="N99" s="143"/>
      <c r="O99" s="143"/>
      <c r="P99" s="143"/>
      <c r="Q99" s="143"/>
      <c r="S99" s="143"/>
      <c r="T99" s="143" t="s">
        <v>1345</v>
      </c>
      <c r="U99" s="143"/>
      <c r="V99" s="143"/>
      <c r="W99" s="143"/>
      <c r="X99" s="143"/>
      <c r="Y99" s="143"/>
      <c r="Z99" s="143"/>
      <c r="AA99" s="143"/>
      <c r="AB99" s="143"/>
      <c r="AC99" s="143"/>
      <c r="AD99" s="143"/>
      <c r="AE99" s="143"/>
      <c r="AF99" s="143"/>
      <c r="AG99" s="7"/>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c r="BT99" s="7"/>
      <c r="BU99" s="7"/>
      <c r="BV99" s="7"/>
      <c r="BW99" s="7"/>
      <c r="BX99" s="7"/>
      <c r="BY99" s="7"/>
      <c r="BZ99" s="7"/>
      <c r="CA99" s="7"/>
      <c r="CB99" s="7"/>
      <c r="CC99" s="7"/>
      <c r="CD99" s="7"/>
      <c r="CE99" s="7"/>
      <c r="CF99" s="7"/>
      <c r="CG99" s="7"/>
      <c r="CH99" s="7"/>
      <c r="CI99" s="7"/>
    </row>
    <row r="100" spans="1:87" ht="13.15" customHeight="1">
      <c r="A100" s="145" t="s">
        <v>961</v>
      </c>
      <c r="B100" s="143" t="s">
        <v>1028</v>
      </c>
      <c r="C100" s="143"/>
      <c r="D100" s="143"/>
      <c r="E100" s="143"/>
      <c r="F100" s="143"/>
      <c r="G100" s="143"/>
      <c r="H100" s="143"/>
      <c r="I100" s="143"/>
      <c r="J100" s="143"/>
      <c r="K100" s="143"/>
      <c r="L100" s="143"/>
      <c r="M100" s="143"/>
      <c r="N100" s="143"/>
      <c r="O100" s="143"/>
      <c r="P100" s="143"/>
      <c r="Q100" s="143"/>
      <c r="S100" s="143"/>
      <c r="T100" s="143" t="s">
        <v>1345</v>
      </c>
      <c r="U100" s="143"/>
      <c r="V100" s="143"/>
      <c r="W100" s="143"/>
      <c r="X100" s="143"/>
      <c r="Y100" s="143"/>
      <c r="Z100" s="143"/>
      <c r="AA100" s="143"/>
      <c r="AB100" s="143"/>
      <c r="AC100" s="143"/>
      <c r="AD100" s="143"/>
      <c r="AE100" s="143"/>
      <c r="AF100" s="143"/>
      <c r="AG100" s="7"/>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c r="BT100" s="7"/>
      <c r="BU100" s="7"/>
      <c r="BV100" s="7"/>
      <c r="BW100" s="7"/>
      <c r="BX100" s="7"/>
      <c r="BY100" s="7"/>
      <c r="BZ100" s="7"/>
      <c r="CA100" s="7"/>
      <c r="CB100" s="7"/>
      <c r="CC100" s="7"/>
      <c r="CD100" s="7"/>
      <c r="CE100" s="7"/>
      <c r="CF100" s="7"/>
      <c r="CG100" s="7"/>
      <c r="CH100" s="7"/>
      <c r="CI100" s="7"/>
    </row>
    <row r="101" spans="1:87">
      <c r="A101" s="7"/>
      <c r="B101" s="143"/>
      <c r="C101" s="143"/>
      <c r="D101" s="143"/>
      <c r="E101" s="143"/>
      <c r="F101" s="143"/>
      <c r="G101" s="143"/>
      <c r="H101" s="143"/>
      <c r="I101" s="143"/>
      <c r="J101" s="143"/>
      <c r="K101" s="143"/>
      <c r="L101" s="143"/>
      <c r="M101" s="143"/>
      <c r="N101" s="143"/>
      <c r="O101" s="143"/>
      <c r="P101" s="143"/>
      <c r="Q101" s="143"/>
      <c r="S101" s="143"/>
      <c r="T101" s="143"/>
      <c r="U101" s="143"/>
      <c r="V101" s="143"/>
      <c r="W101" s="143"/>
      <c r="X101" s="143"/>
      <c r="Y101" s="143"/>
      <c r="Z101" s="143"/>
      <c r="AA101" s="143"/>
      <c r="AB101" s="143"/>
      <c r="AC101" s="143"/>
      <c r="AD101" s="143"/>
      <c r="AE101" s="143"/>
      <c r="AF101" s="143"/>
      <c r="AG101" s="7"/>
      <c r="AH101" s="7"/>
      <c r="AI101" s="7"/>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c r="BT101" s="7"/>
      <c r="BU101" s="7"/>
      <c r="BV101" s="7"/>
      <c r="BW101" s="7"/>
      <c r="BX101" s="7"/>
      <c r="BY101" s="7"/>
      <c r="BZ101" s="7"/>
      <c r="CA101" s="7"/>
      <c r="CB101" s="7"/>
      <c r="CC101" s="7"/>
      <c r="CD101" s="7"/>
      <c r="CE101" s="7"/>
      <c r="CF101" s="7"/>
      <c r="CG101" s="7"/>
      <c r="CH101" s="7"/>
      <c r="CI101" s="7"/>
    </row>
    <row r="102" spans="1:87">
      <c r="A102" s="7" t="s">
        <v>1029</v>
      </c>
      <c r="B102" s="143"/>
      <c r="C102" s="143"/>
      <c r="D102" s="143"/>
      <c r="E102" s="143"/>
      <c r="F102" s="143"/>
      <c r="G102" s="143"/>
      <c r="H102" s="143"/>
      <c r="I102" s="143"/>
      <c r="J102" s="143"/>
      <c r="K102" s="143"/>
      <c r="L102" s="143"/>
      <c r="M102" s="143"/>
      <c r="N102" s="143"/>
      <c r="O102" s="143"/>
      <c r="P102" s="143"/>
      <c r="Q102" s="143"/>
      <c r="S102" s="143"/>
      <c r="T102" s="143"/>
      <c r="U102" s="143"/>
      <c r="V102" s="143"/>
      <c r="W102" s="143"/>
      <c r="X102" s="143"/>
      <c r="Y102" s="143"/>
      <c r="Z102" s="143"/>
      <c r="AA102" s="143"/>
      <c r="AB102" s="143"/>
      <c r="AC102" s="143"/>
      <c r="AD102" s="143"/>
      <c r="AE102" s="143"/>
      <c r="AF102" s="143"/>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c r="BT102" s="7"/>
      <c r="BU102" s="7"/>
      <c r="BV102" s="7"/>
      <c r="BW102" s="7"/>
      <c r="BX102" s="7"/>
      <c r="BY102" s="7"/>
      <c r="BZ102" s="7"/>
      <c r="CA102" s="7"/>
      <c r="CB102" s="7"/>
      <c r="CC102" s="7"/>
      <c r="CD102" s="7"/>
      <c r="CE102" s="7"/>
      <c r="CF102" s="7"/>
      <c r="CG102" s="7"/>
      <c r="CH102" s="7"/>
      <c r="CI102" s="7"/>
    </row>
    <row r="103" spans="1:87" ht="13.15" customHeight="1">
      <c r="A103" s="145" t="s">
        <v>961</v>
      </c>
      <c r="B103" s="143" t="s">
        <v>1030</v>
      </c>
      <c r="C103" s="143"/>
      <c r="D103" s="143"/>
      <c r="E103" s="143"/>
      <c r="F103" s="143"/>
      <c r="G103" s="143"/>
      <c r="H103" s="143"/>
      <c r="I103" s="143"/>
      <c r="J103" s="143"/>
      <c r="K103" s="143"/>
      <c r="L103" s="143"/>
      <c r="M103" s="143"/>
      <c r="N103" s="143"/>
      <c r="O103" s="143"/>
      <c r="P103" s="143"/>
      <c r="Q103" s="143"/>
      <c r="S103" s="143"/>
      <c r="T103" s="143" t="s">
        <v>1348</v>
      </c>
      <c r="U103" s="143"/>
      <c r="V103" s="143"/>
      <c r="W103" s="143"/>
      <c r="X103" s="143"/>
      <c r="Y103" s="143"/>
      <c r="Z103" s="143"/>
      <c r="AA103" s="143"/>
      <c r="AB103" s="143"/>
      <c r="AC103" s="143"/>
      <c r="AD103" s="143"/>
      <c r="AE103" s="143"/>
      <c r="AF103" s="143"/>
      <c r="AG103" s="7"/>
      <c r="AH103" s="7"/>
      <c r="AI103" s="7"/>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7"/>
      <c r="BL103" s="7"/>
      <c r="BM103" s="7"/>
      <c r="BN103" s="7"/>
      <c r="BO103" s="7"/>
      <c r="BP103" s="7"/>
      <c r="BQ103" s="7"/>
      <c r="BR103" s="7"/>
      <c r="BS103" s="7"/>
      <c r="BT103" s="7"/>
      <c r="BU103" s="7"/>
      <c r="BV103" s="7"/>
      <c r="BW103" s="7"/>
      <c r="BX103" s="7"/>
      <c r="BY103" s="7"/>
      <c r="BZ103" s="7"/>
      <c r="CA103" s="7"/>
      <c r="CB103" s="7"/>
      <c r="CC103" s="7"/>
      <c r="CD103" s="7"/>
      <c r="CE103" s="7"/>
      <c r="CF103" s="7"/>
      <c r="CG103" s="7"/>
      <c r="CH103" s="7"/>
      <c r="CI103" s="7"/>
    </row>
    <row r="104" spans="1:87" ht="13.15" customHeight="1">
      <c r="A104" s="145"/>
      <c r="B104" s="143" t="s">
        <v>1031</v>
      </c>
      <c r="C104" s="143"/>
      <c r="D104" s="143"/>
      <c r="E104" s="143"/>
      <c r="F104" s="143"/>
      <c r="G104" s="143"/>
      <c r="H104" s="143"/>
      <c r="I104" s="143"/>
      <c r="J104" s="143"/>
      <c r="K104" s="143"/>
      <c r="L104" s="143"/>
      <c r="M104" s="143"/>
      <c r="N104" s="143"/>
      <c r="O104" s="143"/>
      <c r="P104" s="143"/>
      <c r="Q104" s="143"/>
      <c r="S104" s="143"/>
      <c r="T104" s="143" t="s">
        <v>1349</v>
      </c>
      <c r="U104" s="143"/>
      <c r="V104" s="143"/>
      <c r="W104" s="143"/>
      <c r="X104" s="143"/>
      <c r="Y104" s="143"/>
      <c r="Z104" s="143"/>
      <c r="AA104" s="143"/>
      <c r="AB104" s="143"/>
      <c r="AC104" s="143"/>
      <c r="AD104" s="143"/>
      <c r="AE104" s="143"/>
      <c r="AF104" s="143"/>
      <c r="AG104" s="7"/>
      <c r="AH104" s="7"/>
      <c r="AI104" s="7"/>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7"/>
      <c r="BL104" s="7"/>
      <c r="BM104" s="7"/>
      <c r="BN104" s="7"/>
      <c r="BO104" s="7"/>
      <c r="BP104" s="7"/>
      <c r="BQ104" s="7"/>
      <c r="BR104" s="7"/>
      <c r="BS104" s="7"/>
      <c r="BT104" s="7"/>
      <c r="BU104" s="7"/>
      <c r="BV104" s="7"/>
      <c r="BW104" s="7"/>
      <c r="BX104" s="7"/>
      <c r="BY104" s="7"/>
      <c r="BZ104" s="7"/>
      <c r="CA104" s="7"/>
      <c r="CB104" s="7"/>
      <c r="CC104" s="7"/>
      <c r="CD104" s="7"/>
      <c r="CE104" s="7"/>
      <c r="CF104" s="7"/>
      <c r="CG104" s="7"/>
      <c r="CH104" s="7"/>
      <c r="CI104" s="7"/>
    </row>
    <row r="105" spans="1:87" ht="13.15" customHeight="1">
      <c r="A105" s="145" t="s">
        <v>961</v>
      </c>
      <c r="B105" s="143" t="s">
        <v>1032</v>
      </c>
      <c r="C105" s="143"/>
      <c r="D105" s="143"/>
      <c r="E105" s="143"/>
      <c r="F105" s="143"/>
      <c r="G105" s="143"/>
      <c r="H105" s="143"/>
      <c r="I105" s="143"/>
      <c r="J105" s="143"/>
      <c r="K105" s="143"/>
      <c r="L105" s="143"/>
      <c r="M105" s="143"/>
      <c r="N105" s="143"/>
      <c r="O105" s="143"/>
      <c r="P105" s="143"/>
      <c r="Q105" s="143"/>
      <c r="S105" s="143"/>
      <c r="T105" s="143" t="s">
        <v>1350</v>
      </c>
      <c r="U105" s="143"/>
      <c r="V105" s="143"/>
      <c r="W105" s="143"/>
      <c r="X105" s="143"/>
      <c r="Y105" s="143"/>
      <c r="Z105" s="143"/>
      <c r="AA105" s="143"/>
      <c r="AB105" s="143"/>
      <c r="AC105" s="143"/>
      <c r="AD105" s="143"/>
      <c r="AE105" s="143"/>
      <c r="AF105" s="143"/>
      <c r="AG105" s="7"/>
      <c r="AH105" s="7"/>
      <c r="AI105" s="7"/>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7"/>
      <c r="BL105" s="7"/>
      <c r="BM105" s="7"/>
      <c r="BN105" s="7"/>
      <c r="BO105" s="7"/>
      <c r="BP105" s="7"/>
      <c r="BQ105" s="7"/>
      <c r="BR105" s="7"/>
      <c r="BS105" s="7"/>
      <c r="BT105" s="7"/>
      <c r="BU105" s="7"/>
      <c r="BV105" s="7"/>
      <c r="BW105" s="7"/>
      <c r="BX105" s="7"/>
      <c r="BY105" s="7"/>
      <c r="BZ105" s="7"/>
      <c r="CA105" s="7"/>
      <c r="CB105" s="7"/>
      <c r="CC105" s="7"/>
      <c r="CD105" s="7"/>
      <c r="CE105" s="7"/>
      <c r="CF105" s="7"/>
      <c r="CG105" s="7"/>
      <c r="CH105" s="7"/>
      <c r="CI105" s="7"/>
    </row>
    <row r="106" spans="1:87" ht="13.15" customHeight="1">
      <c r="A106" s="145"/>
      <c r="B106" s="143"/>
      <c r="C106" s="143"/>
      <c r="D106" s="143"/>
      <c r="E106" s="143"/>
      <c r="F106" s="143"/>
      <c r="G106" s="143"/>
      <c r="H106" s="143"/>
      <c r="I106" s="143"/>
      <c r="J106" s="143"/>
      <c r="K106" s="143"/>
      <c r="L106" s="143"/>
      <c r="M106" s="143"/>
      <c r="N106" s="143"/>
      <c r="O106" s="143"/>
      <c r="P106" s="143"/>
      <c r="Q106" s="143"/>
      <c r="S106" s="143"/>
      <c r="T106" s="143"/>
      <c r="U106" s="143"/>
      <c r="V106" s="143"/>
      <c r="W106" s="143"/>
      <c r="X106" s="143"/>
      <c r="Y106" s="143"/>
      <c r="Z106" s="143"/>
      <c r="AA106" s="143"/>
      <c r="AB106" s="143"/>
      <c r="AC106" s="143"/>
      <c r="AD106" s="143"/>
      <c r="AE106" s="143"/>
      <c r="AF106" s="143"/>
      <c r="AG106" s="7"/>
      <c r="AH106" s="7"/>
      <c r="AI106" s="7"/>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7"/>
      <c r="BL106" s="7"/>
      <c r="BM106" s="7"/>
      <c r="BN106" s="7"/>
      <c r="BO106" s="7"/>
      <c r="BP106" s="7"/>
      <c r="BQ106" s="7"/>
      <c r="BR106" s="7"/>
      <c r="BS106" s="7"/>
      <c r="BT106" s="7"/>
      <c r="BU106" s="7"/>
      <c r="BV106" s="7"/>
      <c r="BW106" s="7"/>
      <c r="BX106" s="7"/>
      <c r="BY106" s="7"/>
      <c r="BZ106" s="7"/>
      <c r="CA106" s="7"/>
      <c r="CB106" s="7"/>
      <c r="CC106" s="7"/>
      <c r="CD106" s="7"/>
      <c r="CE106" s="7"/>
      <c r="CF106" s="7"/>
      <c r="CG106" s="7"/>
      <c r="CH106" s="7"/>
      <c r="CI106" s="7"/>
    </row>
    <row r="107" spans="1:87">
      <c r="A107" s="7"/>
      <c r="B107" s="143"/>
      <c r="C107" s="143"/>
      <c r="D107" s="143"/>
      <c r="E107" s="143"/>
      <c r="F107" s="143"/>
      <c r="G107" s="143"/>
      <c r="H107" s="143"/>
      <c r="I107" s="143"/>
      <c r="J107" s="143"/>
      <c r="K107" s="143"/>
      <c r="L107" s="143"/>
      <c r="M107" s="143"/>
      <c r="N107" s="143"/>
      <c r="O107" s="143"/>
      <c r="P107" s="143"/>
      <c r="Q107" s="143"/>
      <c r="S107" s="143"/>
      <c r="T107" s="143"/>
      <c r="U107" s="143"/>
      <c r="V107" s="143"/>
      <c r="W107" s="143"/>
      <c r="X107" s="143"/>
      <c r="Y107" s="143"/>
      <c r="Z107" s="143"/>
      <c r="AA107" s="143"/>
      <c r="AB107" s="143"/>
      <c r="AC107" s="143"/>
      <c r="AD107" s="143"/>
      <c r="AE107" s="143"/>
      <c r="AF107" s="143"/>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c r="BT107" s="7"/>
      <c r="BU107" s="7"/>
      <c r="BV107" s="7"/>
      <c r="BW107" s="7"/>
      <c r="BX107" s="7"/>
      <c r="BY107" s="7"/>
      <c r="BZ107" s="7"/>
      <c r="CA107" s="7"/>
      <c r="CB107" s="7"/>
      <c r="CC107" s="7"/>
      <c r="CD107" s="7"/>
      <c r="CE107" s="7"/>
      <c r="CF107" s="7"/>
      <c r="CG107" s="7"/>
      <c r="CH107" s="7"/>
      <c r="CI107" s="7"/>
    </row>
    <row r="108" spans="1:87" ht="15.6">
      <c r="A108" s="145" t="s">
        <v>961</v>
      </c>
      <c r="B108" s="143" t="s">
        <v>1033</v>
      </c>
      <c r="C108" s="143"/>
      <c r="D108" s="143"/>
      <c r="E108" s="143"/>
      <c r="F108" s="143"/>
      <c r="G108" s="143"/>
      <c r="H108" s="143"/>
      <c r="I108" s="143"/>
      <c r="J108" s="143"/>
      <c r="K108" s="143"/>
      <c r="L108" s="143"/>
      <c r="M108" s="143"/>
      <c r="N108" s="143"/>
      <c r="O108" s="143"/>
      <c r="P108" s="143"/>
      <c r="Q108" s="143"/>
      <c r="S108" s="143"/>
      <c r="T108" s="143"/>
      <c r="U108" s="143"/>
      <c r="V108" s="143"/>
      <c r="W108" s="143"/>
      <c r="X108" s="143"/>
      <c r="Y108" s="143"/>
      <c r="Z108" s="143"/>
      <c r="AA108" s="143"/>
      <c r="AB108" s="143"/>
      <c r="AC108" s="143"/>
      <c r="AD108" s="143"/>
      <c r="AE108" s="143"/>
      <c r="AF108" s="143"/>
      <c r="AG108" s="7"/>
      <c r="AH108" s="7"/>
      <c r="AI108" s="7"/>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7"/>
      <c r="BL108" s="7"/>
      <c r="BM108" s="7"/>
      <c r="BN108" s="7"/>
      <c r="BO108" s="7"/>
      <c r="BP108" s="7"/>
      <c r="BQ108" s="7"/>
      <c r="BR108" s="7"/>
      <c r="BS108" s="7"/>
      <c r="BT108" s="7"/>
      <c r="BU108" s="7"/>
      <c r="BV108" s="7"/>
      <c r="BW108" s="7"/>
      <c r="BX108" s="7"/>
      <c r="BY108" s="7"/>
      <c r="BZ108" s="7"/>
      <c r="CA108" s="7"/>
      <c r="CB108" s="7"/>
      <c r="CC108" s="7"/>
      <c r="CD108" s="7"/>
      <c r="CE108" s="7"/>
      <c r="CF108" s="7"/>
      <c r="CG108" s="7"/>
      <c r="CH108" s="7"/>
      <c r="CI108" s="7"/>
    </row>
    <row r="109" spans="1:87">
      <c r="A109" s="7"/>
      <c r="B109" s="143"/>
      <c r="C109" s="143"/>
      <c r="D109" s="143"/>
      <c r="E109" s="143"/>
      <c r="F109" s="143"/>
      <c r="G109" s="143"/>
      <c r="H109" s="143"/>
      <c r="I109" s="143"/>
      <c r="J109" s="143"/>
      <c r="K109" s="143"/>
      <c r="L109" s="143"/>
      <c r="M109" s="143"/>
      <c r="N109" s="143"/>
      <c r="O109" s="143"/>
      <c r="P109" s="143"/>
      <c r="Q109" s="143"/>
      <c r="S109" s="143"/>
      <c r="T109" s="143"/>
      <c r="U109" s="143"/>
      <c r="V109" s="143"/>
      <c r="W109" s="143"/>
      <c r="X109" s="143"/>
      <c r="Y109" s="143"/>
      <c r="Z109" s="143"/>
      <c r="AA109" s="143"/>
      <c r="AB109" s="143"/>
      <c r="AC109" s="143"/>
      <c r="AD109" s="143"/>
      <c r="AE109" s="143"/>
      <c r="AF109" s="143"/>
      <c r="AG109" s="7"/>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7"/>
      <c r="BL109" s="7"/>
      <c r="BM109" s="7"/>
      <c r="BN109" s="7"/>
      <c r="BO109" s="7"/>
      <c r="BP109" s="7"/>
      <c r="BQ109" s="7"/>
      <c r="BR109" s="7"/>
      <c r="BS109" s="7"/>
      <c r="BT109" s="7"/>
      <c r="BU109" s="7"/>
      <c r="BV109" s="7"/>
      <c r="BW109" s="7"/>
      <c r="BX109" s="7"/>
      <c r="BY109" s="7"/>
      <c r="BZ109" s="7"/>
      <c r="CA109" s="7"/>
      <c r="CB109" s="7"/>
      <c r="CC109" s="7"/>
      <c r="CD109" s="7"/>
      <c r="CE109" s="7"/>
      <c r="CF109" s="7"/>
      <c r="CG109" s="7"/>
      <c r="CH109" s="7"/>
      <c r="CI109" s="7"/>
    </row>
    <row r="110" spans="1:87">
      <c r="A110" s="7"/>
      <c r="B110" s="143"/>
      <c r="C110" s="143"/>
      <c r="D110" s="143"/>
      <c r="E110" s="143"/>
      <c r="F110" s="143"/>
      <c r="G110" s="143"/>
      <c r="H110" s="143"/>
      <c r="I110" s="143"/>
      <c r="J110" s="143"/>
      <c r="K110" s="143"/>
      <c r="L110" s="143"/>
      <c r="M110" s="143"/>
      <c r="N110" s="143"/>
      <c r="O110" s="143"/>
      <c r="P110" s="143"/>
      <c r="Q110" s="143"/>
      <c r="S110" s="143"/>
      <c r="T110" s="143"/>
      <c r="U110" s="143"/>
      <c r="V110" s="143"/>
      <c r="W110" s="143"/>
      <c r="X110" s="143"/>
      <c r="Y110" s="143"/>
      <c r="Z110" s="143"/>
      <c r="AA110" s="143"/>
      <c r="AB110" s="143"/>
      <c r="AC110" s="143"/>
      <c r="AD110" s="143"/>
      <c r="AE110" s="143"/>
      <c r="AF110" s="143"/>
      <c r="AG110" s="7"/>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7"/>
      <c r="BL110" s="7"/>
      <c r="BM110" s="7"/>
      <c r="BN110" s="7"/>
      <c r="BO110" s="7"/>
      <c r="BP110" s="7"/>
      <c r="BQ110" s="7"/>
      <c r="BR110" s="7"/>
      <c r="BS110" s="7"/>
      <c r="BT110" s="7"/>
      <c r="BU110" s="7"/>
      <c r="BV110" s="7"/>
      <c r="BW110" s="7"/>
      <c r="BX110" s="7"/>
      <c r="BY110" s="7"/>
      <c r="BZ110" s="7"/>
      <c r="CA110" s="7"/>
      <c r="CB110" s="7"/>
      <c r="CC110" s="7"/>
      <c r="CD110" s="7"/>
      <c r="CE110" s="7"/>
      <c r="CF110" s="7"/>
      <c r="CG110" s="7"/>
      <c r="CH110" s="7"/>
      <c r="CI110" s="7"/>
    </row>
    <row r="111" spans="1:87">
      <c r="A111" s="7"/>
      <c r="B111" s="143"/>
      <c r="C111" s="143"/>
      <c r="D111" s="143"/>
      <c r="E111" s="143"/>
      <c r="F111" s="143"/>
      <c r="G111" s="143"/>
      <c r="H111" s="143"/>
      <c r="I111" s="143"/>
      <c r="J111" s="143"/>
      <c r="K111" s="143"/>
      <c r="L111" s="143"/>
      <c r="M111" s="143"/>
      <c r="N111" s="143"/>
      <c r="O111" s="143"/>
      <c r="P111" s="143"/>
      <c r="Q111" s="143"/>
      <c r="S111" s="143"/>
      <c r="T111" s="143"/>
      <c r="U111" s="143"/>
      <c r="V111" s="143"/>
      <c r="W111" s="143"/>
      <c r="X111" s="143"/>
      <c r="Y111" s="143"/>
      <c r="Z111" s="143"/>
      <c r="AA111" s="143"/>
      <c r="AB111" s="143"/>
      <c r="AC111" s="143"/>
      <c r="AD111" s="143"/>
      <c r="AE111" s="143"/>
      <c r="AF111" s="143"/>
      <c r="AG111" s="7"/>
      <c r="AH111" s="7"/>
      <c r="AI111" s="7"/>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7"/>
      <c r="BL111" s="7"/>
      <c r="BM111" s="7"/>
      <c r="BN111" s="7"/>
      <c r="BO111" s="7"/>
      <c r="BP111" s="7"/>
      <c r="BQ111" s="7"/>
      <c r="BR111" s="7"/>
      <c r="BS111" s="7"/>
      <c r="BT111" s="7"/>
      <c r="BU111" s="7"/>
      <c r="BV111" s="7"/>
      <c r="BW111" s="7"/>
      <c r="BX111" s="7"/>
      <c r="BY111" s="7"/>
      <c r="BZ111" s="7"/>
      <c r="CA111" s="7"/>
      <c r="CB111" s="7"/>
      <c r="CC111" s="7"/>
      <c r="CD111" s="7"/>
      <c r="CE111" s="7"/>
      <c r="CF111" s="7"/>
      <c r="CG111" s="7"/>
      <c r="CH111" s="7"/>
      <c r="CI111" s="7"/>
    </row>
    <row r="112" spans="1:87">
      <c r="A112" s="7"/>
      <c r="B112" s="143"/>
      <c r="C112" s="143"/>
      <c r="D112" s="143"/>
      <c r="E112" s="143"/>
      <c r="F112" s="143"/>
      <c r="G112" s="143"/>
      <c r="H112" s="143"/>
      <c r="I112" s="143"/>
      <c r="J112" s="143"/>
      <c r="K112" s="143"/>
      <c r="L112" s="143"/>
      <c r="M112" s="143"/>
      <c r="N112" s="143"/>
      <c r="O112" s="143"/>
      <c r="P112" s="143"/>
      <c r="Q112" s="143"/>
      <c r="S112" s="143"/>
      <c r="T112" s="143"/>
      <c r="U112" s="143"/>
      <c r="V112" s="143"/>
      <c r="W112" s="143"/>
      <c r="X112" s="143"/>
      <c r="Y112" s="143"/>
      <c r="Z112" s="143"/>
      <c r="AA112" s="143"/>
      <c r="AB112" s="143"/>
      <c r="AC112" s="143"/>
      <c r="AD112" s="143"/>
      <c r="AE112" s="143"/>
      <c r="AF112" s="143"/>
      <c r="AG112" s="7"/>
      <c r="AH112" s="7"/>
      <c r="AI112" s="7"/>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7"/>
      <c r="BL112" s="7"/>
      <c r="BM112" s="7"/>
      <c r="BN112" s="7"/>
      <c r="BO112" s="7"/>
      <c r="BP112" s="7"/>
      <c r="BQ112" s="7"/>
      <c r="BR112" s="7"/>
      <c r="BS112" s="7"/>
      <c r="BT112" s="7"/>
      <c r="BU112" s="7"/>
      <c r="BV112" s="7"/>
      <c r="BW112" s="7"/>
      <c r="BX112" s="7"/>
      <c r="BY112" s="7"/>
      <c r="BZ112" s="7"/>
      <c r="CA112" s="7"/>
      <c r="CB112" s="7"/>
      <c r="CC112" s="7"/>
      <c r="CD112" s="7"/>
      <c r="CE112" s="7"/>
      <c r="CF112" s="7"/>
      <c r="CG112" s="7"/>
      <c r="CH112" s="7"/>
      <c r="CI112" s="7"/>
    </row>
    <row r="113" spans="1:87">
      <c r="A113" s="7" t="s">
        <v>1409</v>
      </c>
      <c r="B113" s="143"/>
      <c r="C113" s="143"/>
      <c r="D113" s="143"/>
      <c r="E113" s="143"/>
      <c r="F113" s="143"/>
      <c r="G113" s="143"/>
      <c r="H113" s="143"/>
      <c r="I113" s="143"/>
      <c r="J113" s="143"/>
      <c r="K113" s="143"/>
      <c r="L113" s="143"/>
      <c r="M113" s="143"/>
      <c r="N113" s="143"/>
      <c r="O113" s="143"/>
      <c r="P113" s="143"/>
      <c r="Q113" s="143"/>
      <c r="S113" s="143"/>
      <c r="T113" s="143"/>
      <c r="U113" s="143"/>
      <c r="V113" s="143"/>
      <c r="W113" s="143"/>
      <c r="X113" s="143"/>
      <c r="Y113" s="143"/>
      <c r="Z113" s="143"/>
      <c r="AA113" s="143"/>
      <c r="AB113" s="143"/>
      <c r="AC113" s="143"/>
      <c r="AD113" s="143"/>
      <c r="AE113" s="143"/>
      <c r="AF113" s="143"/>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F113" s="7"/>
      <c r="BG113" s="7"/>
      <c r="BH113" s="7"/>
      <c r="BI113" s="7"/>
      <c r="BJ113" s="7"/>
      <c r="BK113" s="7"/>
      <c r="BL113" s="7"/>
      <c r="BM113" s="7"/>
      <c r="BN113" s="7"/>
      <c r="BO113" s="7"/>
      <c r="BP113" s="7"/>
      <c r="BQ113" s="7"/>
      <c r="BR113" s="7"/>
      <c r="BS113" s="7"/>
      <c r="BT113" s="7"/>
      <c r="BU113" s="7"/>
      <c r="BV113" s="7"/>
      <c r="BW113" s="7"/>
      <c r="BX113" s="7"/>
      <c r="BY113" s="7"/>
      <c r="BZ113" s="7"/>
      <c r="CA113" s="7"/>
      <c r="CB113" s="7"/>
      <c r="CC113" s="7"/>
      <c r="CD113" s="7"/>
      <c r="CE113" s="7"/>
      <c r="CF113" s="7"/>
      <c r="CG113" s="7"/>
      <c r="CH113" s="7"/>
      <c r="CI113" s="7"/>
    </row>
    <row r="114" spans="1:87">
      <c r="A114" s="7"/>
      <c r="B114" s="143"/>
      <c r="C114" s="143"/>
      <c r="D114" s="143"/>
      <c r="E114" s="143"/>
      <c r="F114" s="143"/>
      <c r="G114" s="143"/>
      <c r="H114" s="143"/>
      <c r="I114" s="143"/>
      <c r="J114" s="143"/>
      <c r="K114" s="143"/>
      <c r="L114" s="143"/>
      <c r="M114" s="143"/>
      <c r="N114" s="143"/>
      <c r="O114" s="143"/>
      <c r="P114" s="143"/>
      <c r="Q114" s="143"/>
      <c r="S114" s="143"/>
      <c r="T114" s="143"/>
      <c r="U114" s="143"/>
      <c r="V114" s="143"/>
      <c r="W114" s="143"/>
      <c r="X114" s="143"/>
      <c r="Y114" s="143"/>
      <c r="Z114" s="143"/>
      <c r="AA114" s="143"/>
      <c r="AB114" s="143"/>
      <c r="AC114" s="143"/>
      <c r="AD114" s="143"/>
      <c r="AE114" s="143"/>
      <c r="AF114" s="143"/>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7"/>
      <c r="BL114" s="7"/>
      <c r="BM114" s="7"/>
      <c r="BN114" s="7"/>
      <c r="BO114" s="7"/>
      <c r="BP114" s="7"/>
      <c r="BQ114" s="7"/>
      <c r="BR114" s="7"/>
      <c r="BS114" s="7"/>
      <c r="BT114" s="7"/>
      <c r="BU114" s="7"/>
      <c r="BV114" s="7"/>
      <c r="BW114" s="7"/>
      <c r="BX114" s="7"/>
      <c r="BY114" s="7"/>
      <c r="BZ114" s="7"/>
      <c r="CA114" s="7"/>
      <c r="CB114" s="7"/>
      <c r="CC114" s="7"/>
      <c r="CD114" s="7"/>
      <c r="CE114" s="7"/>
      <c r="CF114" s="7"/>
      <c r="CG114" s="7"/>
      <c r="CH114" s="7"/>
      <c r="CI114" s="7"/>
    </row>
    <row r="115" spans="1:87">
      <c r="A115" s="7"/>
      <c r="B115" s="143"/>
      <c r="C115" s="143"/>
      <c r="D115" s="143"/>
      <c r="E115" s="143"/>
      <c r="F115" s="143"/>
      <c r="G115" s="143"/>
      <c r="H115" s="143"/>
      <c r="I115" s="143"/>
      <c r="J115" s="143"/>
      <c r="K115" s="143"/>
      <c r="L115" s="143"/>
      <c r="M115" s="143"/>
      <c r="N115" s="143"/>
      <c r="O115" s="143"/>
      <c r="P115" s="143"/>
      <c r="Q115" s="143"/>
      <c r="S115" s="143"/>
      <c r="T115" s="143"/>
      <c r="U115" s="143"/>
      <c r="V115" s="143"/>
      <c r="W115" s="143"/>
      <c r="X115" s="143"/>
      <c r="Y115" s="143"/>
      <c r="Z115" s="143"/>
      <c r="AA115" s="143"/>
      <c r="AB115" s="143"/>
      <c r="AC115" s="143"/>
      <c r="AD115" s="143"/>
      <c r="AE115" s="143"/>
      <c r="AF115" s="143"/>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7"/>
      <c r="BL115" s="7"/>
      <c r="BM115" s="7"/>
      <c r="BN115" s="7"/>
      <c r="BO115" s="7"/>
      <c r="BP115" s="7"/>
      <c r="BQ115" s="7"/>
      <c r="BR115" s="7"/>
      <c r="BS115" s="7"/>
      <c r="BT115" s="7"/>
      <c r="BU115" s="7"/>
      <c r="BV115" s="7"/>
      <c r="BW115" s="7"/>
      <c r="BX115" s="7"/>
      <c r="BY115" s="7"/>
      <c r="BZ115" s="7"/>
      <c r="CA115" s="7"/>
      <c r="CB115" s="7"/>
      <c r="CC115" s="7"/>
      <c r="CD115" s="7"/>
      <c r="CE115" s="7"/>
      <c r="CF115" s="7"/>
      <c r="CG115" s="7"/>
      <c r="CH115" s="7"/>
      <c r="CI115" s="7"/>
    </row>
    <row r="116" spans="1:87">
      <c r="A116" s="7"/>
      <c r="B116" s="143"/>
      <c r="C116" s="143"/>
      <c r="D116" s="143"/>
      <c r="E116" s="143"/>
      <c r="F116" s="143"/>
      <c r="G116" s="143"/>
      <c r="H116" s="143"/>
      <c r="I116" s="143"/>
      <c r="J116" s="143"/>
      <c r="K116" s="143"/>
      <c r="L116" s="143"/>
      <c r="M116" s="143"/>
      <c r="N116" s="143"/>
      <c r="O116" s="143"/>
      <c r="P116" s="143"/>
      <c r="Q116" s="143"/>
      <c r="S116" s="143"/>
      <c r="T116" s="143"/>
      <c r="U116" s="143"/>
      <c r="V116" s="143"/>
      <c r="W116" s="143"/>
      <c r="X116" s="143"/>
      <c r="Y116" s="143"/>
      <c r="Z116" s="143"/>
      <c r="AA116" s="143"/>
      <c r="AB116" s="143"/>
      <c r="AC116" s="143"/>
      <c r="AD116" s="143"/>
      <c r="AE116" s="143"/>
      <c r="AF116" s="143"/>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7"/>
      <c r="BL116" s="7"/>
      <c r="BM116" s="7"/>
      <c r="BN116" s="7"/>
      <c r="BO116" s="7"/>
      <c r="BP116" s="7"/>
      <c r="BQ116" s="7"/>
      <c r="BR116" s="7"/>
      <c r="BS116" s="7"/>
      <c r="BT116" s="7"/>
      <c r="BU116" s="7"/>
      <c r="BV116" s="7"/>
      <c r="BW116" s="7"/>
      <c r="BX116" s="7"/>
      <c r="BY116" s="7"/>
      <c r="BZ116" s="7"/>
      <c r="CA116" s="7"/>
      <c r="CB116" s="7"/>
      <c r="CC116" s="7"/>
      <c r="CD116" s="7"/>
      <c r="CE116" s="7"/>
      <c r="CF116" s="7"/>
      <c r="CG116" s="7"/>
      <c r="CH116" s="7"/>
      <c r="CI116" s="7"/>
    </row>
    <row r="117" spans="1:87">
      <c r="A117" s="7"/>
      <c r="B117" s="143"/>
      <c r="C117" s="143"/>
      <c r="D117" s="143"/>
      <c r="E117" s="143"/>
      <c r="F117" s="143"/>
      <c r="G117" s="143"/>
      <c r="H117" s="143"/>
      <c r="I117" s="143"/>
      <c r="J117" s="143"/>
      <c r="K117" s="143"/>
      <c r="L117" s="143"/>
      <c r="M117" s="143"/>
      <c r="N117" s="143"/>
      <c r="O117" s="143"/>
      <c r="P117" s="143"/>
      <c r="Q117" s="143"/>
      <c r="S117" s="143"/>
      <c r="T117" s="143"/>
      <c r="U117" s="143"/>
      <c r="V117" s="143"/>
      <c r="W117" s="143"/>
      <c r="X117" s="143"/>
      <c r="Y117" s="143"/>
      <c r="Z117" s="143"/>
      <c r="AA117" s="143"/>
      <c r="AB117" s="143"/>
      <c r="AC117" s="143"/>
      <c r="AD117" s="143"/>
      <c r="AE117" s="143"/>
      <c r="AF117" s="143"/>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7"/>
      <c r="BL117" s="7"/>
      <c r="BM117" s="7"/>
      <c r="BN117" s="7"/>
      <c r="BO117" s="7"/>
      <c r="BP117" s="7"/>
      <c r="BQ117" s="7"/>
      <c r="BR117" s="7"/>
      <c r="BS117" s="7"/>
      <c r="BT117" s="7"/>
      <c r="BU117" s="7"/>
      <c r="BV117" s="7"/>
      <c r="BW117" s="7"/>
      <c r="BX117" s="7"/>
      <c r="BY117" s="7"/>
      <c r="BZ117" s="7"/>
      <c r="CA117" s="7"/>
      <c r="CB117" s="7"/>
      <c r="CC117" s="7"/>
      <c r="CD117" s="7"/>
      <c r="CE117" s="7"/>
      <c r="CF117" s="7"/>
      <c r="CG117" s="7"/>
      <c r="CH117" s="7"/>
      <c r="CI117" s="7"/>
    </row>
    <row r="118" spans="1:87">
      <c r="A118" s="7"/>
      <c r="B118" s="143"/>
      <c r="C118" s="143"/>
      <c r="D118" s="143"/>
      <c r="E118" s="143"/>
      <c r="F118" s="143"/>
      <c r="G118" s="143"/>
      <c r="H118" s="143"/>
      <c r="I118" s="143"/>
      <c r="J118" s="143"/>
      <c r="K118" s="143"/>
      <c r="L118" s="143"/>
      <c r="M118" s="143"/>
      <c r="N118" s="143"/>
      <c r="O118" s="143"/>
      <c r="P118" s="143"/>
      <c r="Q118" s="143"/>
      <c r="S118" s="143"/>
      <c r="T118" s="143"/>
      <c r="U118" s="143"/>
      <c r="V118" s="143"/>
      <c r="W118" s="143"/>
      <c r="X118" s="143"/>
      <c r="Y118" s="143"/>
      <c r="Z118" s="143"/>
      <c r="AA118" s="143"/>
      <c r="AB118" s="143"/>
      <c r="AC118" s="143"/>
      <c r="AD118" s="143"/>
      <c r="AE118" s="143"/>
      <c r="AF118" s="143"/>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7"/>
      <c r="BL118" s="7"/>
      <c r="BM118" s="7"/>
      <c r="BN118" s="7"/>
      <c r="BO118" s="7"/>
      <c r="BP118" s="7"/>
      <c r="BQ118" s="7"/>
      <c r="BR118" s="7"/>
      <c r="BS118" s="7"/>
      <c r="BT118" s="7"/>
      <c r="BU118" s="7"/>
      <c r="BV118" s="7"/>
      <c r="BW118" s="7"/>
      <c r="BX118" s="7"/>
      <c r="BY118" s="7"/>
      <c r="BZ118" s="7"/>
      <c r="CA118" s="7"/>
      <c r="CB118" s="7"/>
      <c r="CC118" s="7"/>
      <c r="CD118" s="7"/>
      <c r="CE118" s="7"/>
      <c r="CF118" s="7"/>
      <c r="CG118" s="7"/>
      <c r="CH118" s="7"/>
      <c r="CI118" s="7"/>
    </row>
    <row r="119" spans="1:87">
      <c r="A119" s="7"/>
      <c r="B119" s="143"/>
      <c r="C119" s="143"/>
      <c r="D119" s="143"/>
      <c r="E119" s="143"/>
      <c r="F119" s="143"/>
      <c r="G119" s="143"/>
      <c r="H119" s="143"/>
      <c r="I119" s="143"/>
      <c r="J119" s="143"/>
      <c r="K119" s="143"/>
      <c r="L119" s="143"/>
      <c r="M119" s="143"/>
      <c r="N119" s="143"/>
      <c r="O119" s="143"/>
      <c r="P119" s="143"/>
      <c r="Q119" s="143"/>
      <c r="S119" s="143"/>
      <c r="T119" s="143"/>
      <c r="U119" s="143"/>
      <c r="V119" s="143"/>
      <c r="W119" s="143"/>
      <c r="X119" s="143"/>
      <c r="Y119" s="143"/>
      <c r="Z119" s="143"/>
      <c r="AA119" s="143"/>
      <c r="AB119" s="143"/>
      <c r="AC119" s="143"/>
      <c r="AD119" s="143"/>
      <c r="AE119" s="143"/>
      <c r="AF119" s="143"/>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7"/>
      <c r="BL119" s="7"/>
      <c r="BM119" s="7"/>
      <c r="BN119" s="7"/>
      <c r="BO119" s="7"/>
      <c r="BP119" s="7"/>
      <c r="BQ119" s="7"/>
      <c r="BR119" s="7"/>
      <c r="BS119" s="7"/>
      <c r="BT119" s="7"/>
      <c r="BU119" s="7"/>
      <c r="BV119" s="7"/>
      <c r="BW119" s="7"/>
      <c r="BX119" s="7"/>
      <c r="BY119" s="7"/>
      <c r="BZ119" s="7"/>
      <c r="CA119" s="7"/>
      <c r="CB119" s="7"/>
      <c r="CC119" s="7"/>
      <c r="CD119" s="7"/>
      <c r="CE119" s="7"/>
      <c r="CF119" s="7"/>
      <c r="CG119" s="7"/>
      <c r="CH119" s="7"/>
      <c r="CI119" s="7"/>
    </row>
    <row r="120" spans="1:87">
      <c r="A120" s="7"/>
      <c r="B120" s="143"/>
      <c r="C120" s="143"/>
      <c r="D120" s="143"/>
      <c r="E120" s="143"/>
      <c r="F120" s="143"/>
      <c r="G120" s="143"/>
      <c r="H120" s="143"/>
      <c r="I120" s="143"/>
      <c r="J120" s="143"/>
      <c r="K120" s="143"/>
      <c r="L120" s="143"/>
      <c r="M120" s="143"/>
      <c r="N120" s="143"/>
      <c r="O120" s="143"/>
      <c r="P120" s="143"/>
      <c r="Q120" s="143"/>
      <c r="S120" s="143"/>
      <c r="T120" s="143"/>
      <c r="U120" s="143"/>
      <c r="V120" s="143"/>
      <c r="W120" s="143"/>
      <c r="X120" s="143"/>
      <c r="Y120" s="143"/>
      <c r="Z120" s="143"/>
      <c r="AA120" s="143"/>
      <c r="AB120" s="143"/>
      <c r="AC120" s="143"/>
      <c r="AD120" s="143"/>
      <c r="AE120" s="143"/>
      <c r="AF120" s="143"/>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7"/>
      <c r="BL120" s="7"/>
      <c r="BM120" s="7"/>
      <c r="BN120" s="7"/>
      <c r="BO120" s="7"/>
      <c r="BP120" s="7"/>
      <c r="BQ120" s="7"/>
      <c r="BR120" s="7"/>
      <c r="BS120" s="7"/>
      <c r="BT120" s="7"/>
      <c r="BU120" s="7"/>
      <c r="BV120" s="7"/>
      <c r="BW120" s="7"/>
      <c r="BX120" s="7"/>
      <c r="BY120" s="7"/>
      <c r="BZ120" s="7"/>
      <c r="CA120" s="7"/>
      <c r="CB120" s="7"/>
      <c r="CC120" s="7"/>
      <c r="CD120" s="7"/>
      <c r="CE120" s="7"/>
      <c r="CF120" s="7"/>
      <c r="CG120" s="7"/>
      <c r="CH120" s="7"/>
      <c r="CI120" s="7"/>
    </row>
    <row r="121" spans="1:87">
      <c r="A121" s="7"/>
      <c r="B121" s="143"/>
      <c r="C121" s="143"/>
      <c r="D121" s="143"/>
      <c r="E121" s="143"/>
      <c r="F121" s="143"/>
      <c r="G121" s="143"/>
      <c r="H121" s="143"/>
      <c r="I121" s="143"/>
      <c r="J121" s="143"/>
      <c r="K121" s="143"/>
      <c r="L121" s="143"/>
      <c r="M121" s="143"/>
      <c r="N121" s="143"/>
      <c r="O121" s="143"/>
      <c r="P121" s="143"/>
      <c r="Q121" s="143"/>
      <c r="S121" s="143"/>
      <c r="T121" s="143"/>
      <c r="U121" s="143"/>
      <c r="V121" s="143"/>
      <c r="W121" s="143"/>
      <c r="X121" s="143"/>
      <c r="Y121" s="143"/>
      <c r="Z121" s="143"/>
      <c r="AA121" s="143"/>
      <c r="AB121" s="143"/>
      <c r="AC121" s="143"/>
      <c r="AD121" s="143"/>
      <c r="AE121" s="143"/>
      <c r="AF121" s="143"/>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7"/>
      <c r="BL121" s="7"/>
      <c r="BM121" s="7"/>
      <c r="BN121" s="7"/>
      <c r="BO121" s="7"/>
      <c r="BP121" s="7"/>
      <c r="BQ121" s="7"/>
      <c r="BR121" s="7"/>
      <c r="BS121" s="7"/>
      <c r="BT121" s="7"/>
      <c r="BU121" s="7"/>
      <c r="BV121" s="7"/>
      <c r="BW121" s="7"/>
      <c r="BX121" s="7"/>
      <c r="BY121" s="7"/>
      <c r="BZ121" s="7"/>
      <c r="CA121" s="7"/>
      <c r="CB121" s="7"/>
      <c r="CC121" s="7"/>
      <c r="CD121" s="7"/>
      <c r="CE121" s="7"/>
      <c r="CF121" s="7"/>
      <c r="CG121" s="7"/>
      <c r="CH121" s="7"/>
      <c r="CI121" s="7"/>
    </row>
    <row r="122" spans="1:87">
      <c r="A122" s="7"/>
      <c r="B122" s="143"/>
      <c r="C122" s="143"/>
      <c r="D122" s="143"/>
      <c r="E122" s="143"/>
      <c r="F122" s="143"/>
      <c r="G122" s="143"/>
      <c r="H122" s="143"/>
      <c r="I122" s="143"/>
      <c r="J122" s="143"/>
      <c r="K122" s="143"/>
      <c r="L122" s="143"/>
      <c r="M122" s="143"/>
      <c r="N122" s="143"/>
      <c r="O122" s="143"/>
      <c r="P122" s="143"/>
      <c r="Q122" s="143"/>
      <c r="S122" s="143"/>
      <c r="T122" s="143"/>
      <c r="U122" s="143"/>
      <c r="V122" s="143"/>
      <c r="W122" s="143"/>
      <c r="X122" s="143"/>
      <c r="Y122" s="143"/>
      <c r="Z122" s="143"/>
      <c r="AA122" s="143"/>
      <c r="AB122" s="143"/>
      <c r="AC122" s="143"/>
      <c r="AD122" s="143"/>
      <c r="AE122" s="143"/>
      <c r="AF122" s="143"/>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7"/>
      <c r="BL122" s="7"/>
      <c r="BM122" s="7"/>
      <c r="BN122" s="7"/>
      <c r="BO122" s="7"/>
      <c r="BP122" s="7"/>
      <c r="BQ122" s="7"/>
      <c r="BR122" s="7"/>
      <c r="BS122" s="7"/>
      <c r="BT122" s="7"/>
      <c r="BU122" s="7"/>
      <c r="BV122" s="7"/>
      <c r="BW122" s="7"/>
      <c r="BX122" s="7"/>
      <c r="BY122" s="7"/>
      <c r="BZ122" s="7"/>
      <c r="CA122" s="7"/>
      <c r="CB122" s="7"/>
      <c r="CC122" s="7"/>
      <c r="CD122" s="7"/>
      <c r="CE122" s="7"/>
      <c r="CF122" s="7"/>
      <c r="CG122" s="7"/>
      <c r="CH122" s="7"/>
      <c r="CI122" s="7"/>
    </row>
    <row r="123" spans="1:87">
      <c r="A123" s="7"/>
      <c r="B123" s="143"/>
      <c r="C123" s="143"/>
      <c r="D123" s="143"/>
      <c r="E123" s="143"/>
      <c r="F123" s="143"/>
      <c r="G123" s="143"/>
      <c r="H123" s="143"/>
      <c r="I123" s="143"/>
      <c r="J123" s="143"/>
      <c r="K123" s="143"/>
      <c r="L123" s="143"/>
      <c r="M123" s="143"/>
      <c r="N123" s="143"/>
      <c r="O123" s="143"/>
      <c r="P123" s="143"/>
      <c r="Q123" s="143"/>
      <c r="S123" s="143"/>
      <c r="T123" s="143"/>
      <c r="U123" s="143"/>
      <c r="V123" s="143"/>
      <c r="W123" s="143"/>
      <c r="X123" s="143"/>
      <c r="Y123" s="143"/>
      <c r="Z123" s="143"/>
      <c r="AA123" s="143"/>
      <c r="AB123" s="143"/>
      <c r="AC123" s="143"/>
      <c r="AD123" s="143"/>
      <c r="AE123" s="143"/>
      <c r="AF123" s="143"/>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7"/>
      <c r="BL123" s="7"/>
      <c r="BM123" s="7"/>
      <c r="BN123" s="7"/>
      <c r="BO123" s="7"/>
      <c r="BP123" s="7"/>
      <c r="BQ123" s="7"/>
      <c r="BR123" s="7"/>
      <c r="BS123" s="7"/>
      <c r="BT123" s="7"/>
      <c r="BU123" s="7"/>
      <c r="BV123" s="7"/>
      <c r="BW123" s="7"/>
      <c r="BX123" s="7"/>
      <c r="BY123" s="7"/>
      <c r="BZ123" s="7"/>
      <c r="CA123" s="7"/>
      <c r="CB123" s="7"/>
      <c r="CC123" s="7"/>
      <c r="CD123" s="7"/>
      <c r="CE123" s="7"/>
      <c r="CF123" s="7"/>
      <c r="CG123" s="7"/>
      <c r="CH123" s="7"/>
      <c r="CI123" s="7"/>
    </row>
    <row r="124" spans="1:87">
      <c r="A124" s="7"/>
      <c r="B124" s="143"/>
      <c r="C124" s="143"/>
      <c r="D124" s="143"/>
      <c r="E124" s="143"/>
      <c r="F124" s="143"/>
      <c r="G124" s="143"/>
      <c r="H124" s="143"/>
      <c r="I124" s="143"/>
      <c r="J124" s="143"/>
      <c r="K124" s="143"/>
      <c r="L124" s="143"/>
      <c r="M124" s="143"/>
      <c r="N124" s="143"/>
      <c r="O124" s="143"/>
      <c r="P124" s="143"/>
      <c r="Q124" s="143"/>
      <c r="S124" s="143"/>
      <c r="T124" s="143"/>
      <c r="U124" s="143"/>
      <c r="V124" s="143"/>
      <c r="W124" s="143"/>
      <c r="X124" s="143"/>
      <c r="Y124" s="143"/>
      <c r="Z124" s="143"/>
      <c r="AA124" s="143"/>
      <c r="AB124" s="143"/>
      <c r="AC124" s="143"/>
      <c r="AD124" s="143"/>
      <c r="AE124" s="143"/>
      <c r="AF124" s="143"/>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row>
    <row r="125" spans="1:87">
      <c r="A125" s="7"/>
      <c r="B125" s="143"/>
      <c r="C125" s="143"/>
      <c r="D125" s="143"/>
      <c r="E125" s="143"/>
      <c r="F125" s="143"/>
      <c r="G125" s="143"/>
      <c r="H125" s="143"/>
      <c r="I125" s="143"/>
      <c r="J125" s="143"/>
      <c r="K125" s="143"/>
      <c r="L125" s="143"/>
      <c r="M125" s="143"/>
      <c r="N125" s="143"/>
      <c r="O125" s="143"/>
      <c r="P125" s="143"/>
      <c r="Q125" s="143"/>
      <c r="S125" s="143"/>
      <c r="T125" s="143"/>
      <c r="U125" s="143"/>
      <c r="V125" s="143"/>
      <c r="W125" s="143"/>
      <c r="X125" s="143"/>
      <c r="Y125" s="143"/>
      <c r="Z125" s="143"/>
      <c r="AA125" s="143"/>
      <c r="AB125" s="143"/>
      <c r="AC125" s="143"/>
      <c r="AD125" s="143"/>
      <c r="AE125" s="143"/>
      <c r="AF125" s="143"/>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7"/>
      <c r="BL125" s="7"/>
      <c r="BM125" s="7"/>
      <c r="BN125" s="7"/>
      <c r="BO125" s="7"/>
      <c r="BP125" s="7"/>
      <c r="BQ125" s="7"/>
      <c r="BR125" s="7"/>
      <c r="BS125" s="7"/>
      <c r="BT125" s="7"/>
      <c r="BU125" s="7"/>
      <c r="BV125" s="7"/>
      <c r="BW125" s="7"/>
      <c r="BX125" s="7"/>
      <c r="BY125" s="7"/>
      <c r="BZ125" s="7"/>
      <c r="CA125" s="7"/>
      <c r="CB125" s="7"/>
      <c r="CC125" s="7"/>
      <c r="CD125" s="7"/>
      <c r="CE125" s="7"/>
      <c r="CF125" s="7"/>
      <c r="CG125" s="7"/>
      <c r="CH125" s="7"/>
      <c r="CI125" s="7"/>
    </row>
    <row r="126" spans="1:87">
      <c r="A126" s="7"/>
      <c r="B126" s="143"/>
      <c r="C126" s="143"/>
      <c r="D126" s="143"/>
      <c r="E126" s="143"/>
      <c r="F126" s="143"/>
      <c r="G126" s="143"/>
      <c r="H126" s="143"/>
      <c r="I126" s="143"/>
      <c r="J126" s="143"/>
      <c r="K126" s="143"/>
      <c r="L126" s="143"/>
      <c r="M126" s="143"/>
      <c r="N126" s="143"/>
      <c r="O126" s="143"/>
      <c r="P126" s="143"/>
      <c r="Q126" s="143"/>
      <c r="S126" s="143"/>
      <c r="T126" s="143"/>
      <c r="U126" s="143"/>
      <c r="V126" s="143"/>
      <c r="W126" s="143"/>
      <c r="X126" s="143"/>
      <c r="Y126" s="143"/>
      <c r="Z126" s="143"/>
      <c r="AA126" s="143"/>
      <c r="AB126" s="143"/>
      <c r="AC126" s="143"/>
      <c r="AD126" s="143"/>
      <c r="AE126" s="143"/>
      <c r="AF126" s="143"/>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7"/>
      <c r="BL126" s="7"/>
      <c r="BM126" s="7"/>
      <c r="BN126" s="7"/>
      <c r="BO126" s="7"/>
      <c r="BP126" s="7"/>
      <c r="BQ126" s="7"/>
      <c r="BR126" s="7"/>
      <c r="BS126" s="7"/>
      <c r="BT126" s="7"/>
      <c r="BU126" s="7"/>
      <c r="BV126" s="7"/>
      <c r="BW126" s="7"/>
      <c r="BX126" s="7"/>
      <c r="BY126" s="7"/>
      <c r="BZ126" s="7"/>
      <c r="CA126" s="7"/>
      <c r="CB126" s="7"/>
      <c r="CC126" s="7"/>
      <c r="CD126" s="7"/>
      <c r="CE126" s="7"/>
      <c r="CF126" s="7"/>
      <c r="CG126" s="7"/>
      <c r="CH126" s="7"/>
      <c r="CI126" s="7"/>
    </row>
    <row r="127" spans="1:87">
      <c r="A127" s="7"/>
      <c r="B127" s="143"/>
      <c r="C127" s="143"/>
      <c r="D127" s="143"/>
      <c r="E127" s="143"/>
      <c r="F127" s="143"/>
      <c r="G127" s="143"/>
      <c r="H127" s="143"/>
      <c r="I127" s="143"/>
      <c r="J127" s="143"/>
      <c r="K127" s="143"/>
      <c r="L127" s="143"/>
      <c r="M127" s="143"/>
      <c r="N127" s="143"/>
      <c r="O127" s="143"/>
      <c r="P127" s="143"/>
      <c r="Q127" s="143"/>
      <c r="S127" s="143"/>
      <c r="T127" s="143"/>
      <c r="U127" s="143"/>
      <c r="V127" s="143"/>
      <c r="W127" s="143"/>
      <c r="X127" s="143"/>
      <c r="Y127" s="143"/>
      <c r="Z127" s="143"/>
      <c r="AA127" s="143"/>
      <c r="AB127" s="143"/>
      <c r="AC127" s="143"/>
      <c r="AD127" s="143"/>
      <c r="AE127" s="143"/>
      <c r="AF127" s="143"/>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c r="BQ127" s="7"/>
      <c r="BR127" s="7"/>
      <c r="BS127" s="7"/>
      <c r="BT127" s="7"/>
      <c r="BU127" s="7"/>
      <c r="BV127" s="7"/>
      <c r="BW127" s="7"/>
      <c r="BX127" s="7"/>
      <c r="BY127" s="7"/>
      <c r="BZ127" s="7"/>
      <c r="CA127" s="7"/>
      <c r="CB127" s="7"/>
      <c r="CC127" s="7"/>
      <c r="CD127" s="7"/>
      <c r="CE127" s="7"/>
      <c r="CF127" s="7"/>
      <c r="CG127" s="7"/>
      <c r="CH127" s="7"/>
      <c r="CI127" s="7"/>
    </row>
    <row r="128" spans="1:87">
      <c r="A128" s="7"/>
      <c r="B128" s="143"/>
      <c r="C128" s="143"/>
      <c r="D128" s="143"/>
      <c r="E128" s="143"/>
      <c r="F128" s="143"/>
      <c r="G128" s="143"/>
      <c r="H128" s="143"/>
      <c r="I128" s="143"/>
      <c r="J128" s="143"/>
      <c r="K128" s="143"/>
      <c r="L128" s="143"/>
      <c r="M128" s="143"/>
      <c r="N128" s="143"/>
      <c r="O128" s="143"/>
      <c r="P128" s="143"/>
      <c r="Q128" s="143"/>
      <c r="S128" s="143"/>
      <c r="T128" s="143"/>
      <c r="U128" s="143"/>
      <c r="V128" s="143"/>
      <c r="W128" s="143"/>
      <c r="X128" s="143"/>
      <c r="Y128" s="143"/>
      <c r="Z128" s="143"/>
      <c r="AA128" s="143"/>
      <c r="AB128" s="143"/>
      <c r="AC128" s="143"/>
      <c r="AD128" s="143"/>
      <c r="AE128" s="143"/>
      <c r="AF128" s="143"/>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7"/>
      <c r="BL128" s="7"/>
      <c r="BM128" s="7"/>
      <c r="BN128" s="7"/>
      <c r="BO128" s="7"/>
      <c r="BP128" s="7"/>
      <c r="BQ128" s="7"/>
      <c r="BR128" s="7"/>
      <c r="BS128" s="7"/>
      <c r="BT128" s="7"/>
      <c r="BU128" s="7"/>
      <c r="BV128" s="7"/>
      <c r="BW128" s="7"/>
      <c r="BX128" s="7"/>
      <c r="BY128" s="7"/>
      <c r="BZ128" s="7"/>
      <c r="CA128" s="7"/>
      <c r="CB128" s="7"/>
      <c r="CC128" s="7"/>
      <c r="CD128" s="7"/>
      <c r="CE128" s="7"/>
      <c r="CF128" s="7"/>
      <c r="CG128" s="7"/>
      <c r="CH128" s="7"/>
      <c r="CI128" s="7"/>
    </row>
    <row r="129" spans="1:87">
      <c r="A129" s="7"/>
      <c r="B129" s="143"/>
      <c r="C129" s="143"/>
      <c r="D129" s="143"/>
      <c r="E129" s="143"/>
      <c r="F129" s="143"/>
      <c r="G129" s="143"/>
      <c r="H129" s="143"/>
      <c r="I129" s="143"/>
      <c r="J129" s="143"/>
      <c r="K129" s="143"/>
      <c r="L129" s="143"/>
      <c r="M129" s="143"/>
      <c r="N129" s="143"/>
      <c r="O129" s="143"/>
      <c r="P129" s="143"/>
      <c r="Q129" s="143"/>
      <c r="S129" s="143"/>
      <c r="T129" s="143"/>
      <c r="U129" s="143"/>
      <c r="V129" s="143"/>
      <c r="W129" s="143"/>
      <c r="X129" s="143"/>
      <c r="Y129" s="143"/>
      <c r="Z129" s="143"/>
      <c r="AA129" s="143"/>
      <c r="AB129" s="143"/>
      <c r="AC129" s="143"/>
      <c r="AD129" s="143"/>
      <c r="AE129" s="143"/>
      <c r="AF129" s="143"/>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7"/>
      <c r="BL129" s="7"/>
      <c r="BM129" s="7"/>
      <c r="BN129" s="7"/>
      <c r="BO129" s="7"/>
      <c r="BP129" s="7"/>
      <c r="BQ129" s="7"/>
      <c r="BR129" s="7"/>
      <c r="BS129" s="7"/>
      <c r="BT129" s="7"/>
      <c r="BU129" s="7"/>
      <c r="BV129" s="7"/>
      <c r="BW129" s="7"/>
      <c r="BX129" s="7"/>
      <c r="BY129" s="7"/>
      <c r="BZ129" s="7"/>
      <c r="CA129" s="7"/>
      <c r="CB129" s="7"/>
      <c r="CC129" s="7"/>
      <c r="CD129" s="7"/>
      <c r="CE129" s="7"/>
      <c r="CF129" s="7"/>
      <c r="CG129" s="7"/>
      <c r="CH129" s="7"/>
      <c r="CI129" s="7"/>
    </row>
    <row r="130" spans="1:87">
      <c r="A130" s="7"/>
      <c r="B130" s="143"/>
      <c r="C130" s="143"/>
      <c r="D130" s="143"/>
      <c r="E130" s="143"/>
      <c r="F130" s="143"/>
      <c r="G130" s="143"/>
      <c r="H130" s="143"/>
      <c r="I130" s="143"/>
      <c r="J130" s="143"/>
      <c r="K130" s="143"/>
      <c r="L130" s="143"/>
      <c r="M130" s="143"/>
      <c r="N130" s="143"/>
      <c r="O130" s="143"/>
      <c r="P130" s="143"/>
      <c r="Q130" s="143"/>
      <c r="S130" s="143"/>
      <c r="T130" s="143"/>
      <c r="U130" s="143"/>
      <c r="V130" s="143"/>
      <c r="W130" s="143"/>
      <c r="X130" s="143"/>
      <c r="Y130" s="143"/>
      <c r="Z130" s="143"/>
      <c r="AA130" s="143"/>
      <c r="AB130" s="143"/>
      <c r="AC130" s="143"/>
      <c r="AD130" s="143"/>
      <c r="AE130" s="143"/>
      <c r="AF130" s="143"/>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7"/>
      <c r="BY130" s="7"/>
      <c r="BZ130" s="7"/>
      <c r="CA130" s="7"/>
      <c r="CB130" s="7"/>
      <c r="CC130" s="7"/>
      <c r="CD130" s="7"/>
      <c r="CE130" s="7"/>
      <c r="CF130" s="7"/>
      <c r="CG130" s="7"/>
      <c r="CH130" s="7"/>
      <c r="CI130" s="7"/>
    </row>
    <row r="131" spans="1:87">
      <c r="B131" s="146"/>
      <c r="C131" s="146"/>
      <c r="D131" s="146"/>
      <c r="E131" s="146"/>
      <c r="F131" s="146"/>
      <c r="G131" s="146"/>
      <c r="H131" s="146"/>
      <c r="I131" s="146"/>
      <c r="J131" s="146"/>
      <c r="K131" s="146"/>
      <c r="L131" s="146"/>
      <c r="M131" s="146"/>
      <c r="N131" s="146"/>
      <c r="O131" s="146"/>
      <c r="P131" s="146"/>
      <c r="Q131" s="146"/>
      <c r="R131" s="47"/>
      <c r="S131" s="146"/>
      <c r="T131" s="146"/>
      <c r="U131" s="146"/>
      <c r="V131" s="146"/>
      <c r="W131" s="146"/>
      <c r="X131" s="146"/>
      <c r="Y131" s="146"/>
      <c r="Z131" s="146"/>
      <c r="AA131" s="146"/>
      <c r="AB131" s="146"/>
      <c r="AC131" s="146"/>
      <c r="AD131" s="146"/>
      <c r="AE131" s="146"/>
      <c r="AF131" s="146"/>
    </row>
    <row r="132" spans="1:87">
      <c r="B132" s="146"/>
      <c r="C132" s="146"/>
      <c r="D132" s="146"/>
      <c r="E132" s="146"/>
      <c r="F132" s="146"/>
      <c r="G132" s="146"/>
      <c r="H132" s="146"/>
      <c r="I132" s="146"/>
      <c r="J132" s="146"/>
      <c r="K132" s="146"/>
      <c r="L132" s="146"/>
      <c r="M132" s="146"/>
      <c r="N132" s="146"/>
      <c r="O132" s="146"/>
      <c r="P132" s="146"/>
      <c r="Q132" s="146"/>
      <c r="R132" s="47"/>
      <c r="S132" s="146"/>
      <c r="T132" s="146"/>
      <c r="U132" s="146"/>
      <c r="V132" s="146"/>
      <c r="W132" s="146"/>
      <c r="X132" s="146"/>
      <c r="Y132" s="146"/>
      <c r="Z132" s="146"/>
      <c r="AA132" s="146"/>
      <c r="AB132" s="146"/>
      <c r="AC132" s="146"/>
      <c r="AD132" s="146"/>
      <c r="AE132" s="146"/>
      <c r="AF132" s="146"/>
    </row>
    <row r="133" spans="1:87">
      <c r="B133" s="146"/>
      <c r="C133" s="146"/>
      <c r="D133" s="146"/>
      <c r="E133" s="146"/>
      <c r="F133" s="146"/>
      <c r="G133" s="146"/>
      <c r="H133" s="146"/>
      <c r="I133" s="146"/>
      <c r="J133" s="146"/>
      <c r="K133" s="146"/>
      <c r="L133" s="146"/>
      <c r="M133" s="146"/>
      <c r="N133" s="146"/>
      <c r="O133" s="146"/>
      <c r="P133" s="146"/>
      <c r="Q133" s="146"/>
      <c r="R133" s="47"/>
      <c r="S133" s="146"/>
      <c r="T133" s="146"/>
      <c r="U133" s="146"/>
      <c r="V133" s="146"/>
      <c r="W133" s="146"/>
      <c r="X133" s="146"/>
      <c r="Y133" s="146"/>
      <c r="Z133" s="146"/>
      <c r="AA133" s="146"/>
      <c r="AB133" s="146"/>
      <c r="AC133" s="146"/>
      <c r="AD133" s="146"/>
      <c r="AE133" s="146"/>
      <c r="AF133" s="146"/>
    </row>
    <row r="134" spans="1:87">
      <c r="B134" s="146"/>
      <c r="C134" s="146"/>
      <c r="D134" s="146"/>
      <c r="E134" s="146"/>
      <c r="F134" s="146"/>
      <c r="G134" s="146"/>
      <c r="H134" s="146"/>
      <c r="I134" s="146"/>
      <c r="J134" s="146"/>
      <c r="K134" s="146"/>
      <c r="L134" s="146"/>
      <c r="M134" s="146"/>
      <c r="N134" s="146"/>
      <c r="O134" s="146"/>
      <c r="P134" s="146"/>
      <c r="Q134" s="146"/>
      <c r="R134" s="47"/>
      <c r="S134" s="146"/>
      <c r="T134" s="146"/>
      <c r="U134" s="146"/>
      <c r="V134" s="146"/>
      <c r="W134" s="146"/>
      <c r="X134" s="146"/>
      <c r="Y134" s="146"/>
      <c r="Z134" s="146"/>
      <c r="AA134" s="146"/>
      <c r="AB134" s="146"/>
      <c r="AC134" s="146"/>
      <c r="AD134" s="146"/>
      <c r="AE134" s="146"/>
      <c r="AF134" s="146"/>
    </row>
    <row r="135" spans="1:87">
      <c r="B135" s="146"/>
      <c r="C135" s="146"/>
      <c r="D135" s="146"/>
      <c r="E135" s="146"/>
      <c r="F135" s="146"/>
      <c r="G135" s="146"/>
      <c r="H135" s="146"/>
      <c r="I135" s="146"/>
      <c r="J135" s="146"/>
      <c r="K135" s="146"/>
      <c r="L135" s="146"/>
      <c r="M135" s="146"/>
      <c r="N135" s="146"/>
      <c r="O135" s="146"/>
      <c r="P135" s="146"/>
      <c r="Q135" s="146"/>
      <c r="R135" s="47"/>
      <c r="S135" s="146"/>
      <c r="T135" s="146"/>
      <c r="U135" s="146"/>
      <c r="V135" s="146"/>
      <c r="W135" s="146"/>
      <c r="X135" s="146"/>
      <c r="Y135" s="146"/>
      <c r="Z135" s="146"/>
      <c r="AA135" s="146"/>
      <c r="AB135" s="146"/>
      <c r="AC135" s="146"/>
      <c r="AD135" s="146"/>
      <c r="AE135" s="146"/>
      <c r="AF135" s="146"/>
    </row>
    <row r="136" spans="1:87">
      <c r="B136" s="146"/>
      <c r="C136" s="146"/>
      <c r="D136" s="146"/>
      <c r="E136" s="146"/>
      <c r="F136" s="146"/>
      <c r="G136" s="146"/>
      <c r="H136" s="146"/>
      <c r="I136" s="146"/>
      <c r="J136" s="146"/>
      <c r="K136" s="146"/>
      <c r="L136" s="146"/>
      <c r="M136" s="146"/>
      <c r="N136" s="146"/>
      <c r="O136" s="146"/>
      <c r="P136" s="146"/>
      <c r="Q136" s="146"/>
      <c r="R136" s="47"/>
      <c r="S136" s="146"/>
      <c r="T136" s="146"/>
      <c r="U136" s="146"/>
      <c r="V136" s="146"/>
      <c r="W136" s="146"/>
      <c r="X136" s="146"/>
      <c r="Y136" s="146"/>
      <c r="Z136" s="146"/>
      <c r="AA136" s="146"/>
      <c r="AB136" s="146"/>
      <c r="AC136" s="146"/>
      <c r="AD136" s="146"/>
      <c r="AE136" s="146"/>
      <c r="AF136" s="146"/>
    </row>
    <row r="137" spans="1:87">
      <c r="B137" s="146"/>
      <c r="C137" s="146"/>
      <c r="D137" s="146"/>
      <c r="E137" s="146"/>
      <c r="F137" s="146"/>
      <c r="G137" s="146"/>
      <c r="H137" s="146"/>
      <c r="I137" s="146"/>
      <c r="J137" s="146"/>
      <c r="K137" s="146"/>
      <c r="L137" s="146"/>
      <c r="M137" s="146"/>
      <c r="N137" s="146"/>
      <c r="O137" s="146"/>
      <c r="P137" s="146"/>
      <c r="Q137" s="146"/>
      <c r="R137" s="47"/>
      <c r="S137" s="146"/>
      <c r="T137" s="146"/>
      <c r="U137" s="146"/>
      <c r="V137" s="146"/>
      <c r="W137" s="146"/>
      <c r="X137" s="146"/>
      <c r="Y137" s="146"/>
      <c r="Z137" s="146"/>
      <c r="AA137" s="146"/>
      <c r="AB137" s="146"/>
      <c r="AC137" s="146"/>
      <c r="AD137" s="146"/>
      <c r="AE137" s="146"/>
      <c r="AF137" s="146"/>
    </row>
    <row r="138" spans="1:87">
      <c r="B138" s="146"/>
      <c r="C138" s="146"/>
      <c r="D138" s="146"/>
      <c r="E138" s="146"/>
      <c r="F138" s="146"/>
      <c r="G138" s="146"/>
      <c r="H138" s="146"/>
      <c r="I138" s="146"/>
      <c r="J138" s="146"/>
      <c r="K138" s="146"/>
      <c r="L138" s="146"/>
      <c r="M138" s="146"/>
      <c r="N138" s="146"/>
      <c r="O138" s="146"/>
      <c r="P138" s="146"/>
      <c r="Q138" s="146"/>
      <c r="R138" s="47"/>
      <c r="S138" s="146"/>
      <c r="T138" s="146"/>
      <c r="U138" s="146"/>
      <c r="V138" s="146"/>
      <c r="W138" s="146"/>
      <c r="X138" s="146"/>
      <c r="Y138" s="146"/>
      <c r="Z138" s="146"/>
      <c r="AA138" s="146"/>
      <c r="AB138" s="146"/>
      <c r="AC138" s="146"/>
      <c r="AD138" s="146"/>
      <c r="AE138" s="146"/>
      <c r="AF138" s="146"/>
    </row>
    <row r="139" spans="1:87">
      <c r="B139" s="146"/>
      <c r="C139" s="146"/>
      <c r="D139" s="146"/>
      <c r="E139" s="146"/>
      <c r="F139" s="146"/>
      <c r="G139" s="146"/>
      <c r="H139" s="146"/>
      <c r="I139" s="146"/>
      <c r="J139" s="146"/>
      <c r="K139" s="146"/>
      <c r="L139" s="146"/>
      <c r="M139" s="146"/>
      <c r="N139" s="146"/>
      <c r="O139" s="146"/>
      <c r="P139" s="146"/>
      <c r="Q139" s="146"/>
      <c r="R139" s="47"/>
      <c r="S139" s="146"/>
      <c r="T139" s="146"/>
      <c r="U139" s="146"/>
      <c r="V139" s="146"/>
      <c r="W139" s="146"/>
      <c r="X139" s="146"/>
      <c r="Y139" s="146"/>
      <c r="Z139" s="146"/>
      <c r="AA139" s="146"/>
      <c r="AB139" s="146"/>
      <c r="AC139" s="146"/>
      <c r="AD139" s="146"/>
      <c r="AE139" s="146"/>
      <c r="AF139" s="146"/>
    </row>
    <row r="140" spans="1:87">
      <c r="B140" s="146"/>
      <c r="C140" s="146"/>
      <c r="D140" s="146"/>
      <c r="E140" s="146"/>
      <c r="F140" s="146"/>
      <c r="G140" s="146"/>
      <c r="H140" s="146"/>
      <c r="I140" s="146"/>
      <c r="J140" s="146"/>
      <c r="K140" s="146"/>
      <c r="L140" s="146"/>
      <c r="M140" s="146"/>
      <c r="N140" s="146"/>
      <c r="O140" s="146"/>
      <c r="P140" s="146"/>
      <c r="Q140" s="146"/>
      <c r="R140" s="47"/>
      <c r="S140" s="146"/>
      <c r="T140" s="146"/>
      <c r="U140" s="146"/>
      <c r="V140" s="146"/>
      <c r="W140" s="146"/>
      <c r="X140" s="146"/>
      <c r="Y140" s="146"/>
      <c r="Z140" s="146"/>
      <c r="AA140" s="146"/>
      <c r="AB140" s="146"/>
      <c r="AC140" s="146"/>
      <c r="AD140" s="146"/>
      <c r="AE140" s="146"/>
      <c r="AF140" s="146"/>
    </row>
    <row r="141" spans="1:87">
      <c r="B141" s="146"/>
      <c r="C141" s="146"/>
      <c r="D141" s="146"/>
      <c r="E141" s="146"/>
      <c r="F141" s="146"/>
      <c r="G141" s="146"/>
      <c r="H141" s="146"/>
      <c r="I141" s="146"/>
      <c r="J141" s="146"/>
      <c r="K141" s="146"/>
      <c r="L141" s="146"/>
      <c r="M141" s="146"/>
      <c r="N141" s="146"/>
      <c r="O141" s="146"/>
      <c r="P141" s="146"/>
      <c r="Q141" s="146"/>
      <c r="R141" s="47"/>
      <c r="S141" s="146"/>
      <c r="T141" s="146"/>
      <c r="U141" s="146"/>
      <c r="V141" s="146"/>
      <c r="W141" s="146"/>
      <c r="X141" s="146"/>
      <c r="Y141" s="146"/>
      <c r="Z141" s="146"/>
      <c r="AA141" s="146"/>
      <c r="AB141" s="146"/>
      <c r="AC141" s="146"/>
      <c r="AD141" s="146"/>
      <c r="AE141" s="146"/>
      <c r="AF141" s="146"/>
    </row>
    <row r="142" spans="1:87">
      <c r="B142" s="146"/>
      <c r="C142" s="146"/>
      <c r="D142" s="146"/>
      <c r="E142" s="146"/>
      <c r="F142" s="146"/>
      <c r="G142" s="146"/>
      <c r="H142" s="146"/>
      <c r="I142" s="146"/>
      <c r="J142" s="146"/>
      <c r="K142" s="146"/>
      <c r="L142" s="146"/>
      <c r="M142" s="146"/>
      <c r="N142" s="146"/>
      <c r="O142" s="146"/>
      <c r="P142" s="146"/>
      <c r="Q142" s="146"/>
      <c r="R142" s="47"/>
      <c r="S142" s="146"/>
      <c r="T142" s="146"/>
      <c r="U142" s="146"/>
      <c r="V142" s="146"/>
      <c r="W142" s="146"/>
      <c r="X142" s="146"/>
      <c r="Y142" s="146"/>
      <c r="Z142" s="146"/>
      <c r="AA142" s="146"/>
      <c r="AB142" s="146"/>
      <c r="AC142" s="146"/>
      <c r="AD142" s="146"/>
      <c r="AE142" s="146"/>
      <c r="AF142" s="146"/>
    </row>
    <row r="143" spans="1:87">
      <c r="B143" s="146"/>
      <c r="C143" s="146"/>
      <c r="D143" s="146"/>
      <c r="E143" s="146"/>
      <c r="F143" s="146"/>
      <c r="G143" s="146"/>
      <c r="H143" s="146"/>
      <c r="I143" s="146"/>
      <c r="J143" s="146"/>
      <c r="K143" s="146"/>
      <c r="L143" s="146"/>
      <c r="M143" s="146"/>
      <c r="N143" s="146"/>
      <c r="O143" s="146"/>
      <c r="P143" s="146"/>
      <c r="Q143" s="146"/>
      <c r="R143" s="47"/>
      <c r="S143" s="146"/>
      <c r="T143" s="146"/>
      <c r="U143" s="146"/>
      <c r="V143" s="146"/>
      <c r="W143" s="146"/>
      <c r="X143" s="146"/>
      <c r="Y143" s="146"/>
      <c r="Z143" s="146"/>
      <c r="AA143" s="146"/>
      <c r="AB143" s="146"/>
      <c r="AC143" s="146"/>
      <c r="AD143" s="146"/>
      <c r="AE143" s="146"/>
      <c r="AF143" s="146"/>
    </row>
    <row r="144" spans="1:87">
      <c r="R144" s="47"/>
    </row>
    <row r="145" s="47" customFormat="1"/>
    <row r="146" s="47" customFormat="1"/>
    <row r="147" s="47" customFormat="1"/>
    <row r="148" s="47" customFormat="1"/>
    <row r="149" s="47" customFormat="1"/>
    <row r="150" s="47" customFormat="1"/>
    <row r="151" s="47" customFormat="1"/>
    <row r="152" s="47" customFormat="1"/>
    <row r="153" s="47" customFormat="1"/>
    <row r="154" s="47" customFormat="1"/>
    <row r="155" s="47" customFormat="1"/>
    <row r="156" s="47" customFormat="1"/>
    <row r="157" s="47" customFormat="1"/>
    <row r="158" s="47" customFormat="1"/>
    <row r="159" s="47" customFormat="1"/>
    <row r="160" s="47" customFormat="1"/>
    <row r="161" s="47" customFormat="1"/>
    <row r="162" s="47" customFormat="1"/>
    <row r="163" s="47" customFormat="1"/>
    <row r="164" s="47" customFormat="1"/>
    <row r="165" s="47" customFormat="1"/>
    <row r="166" s="47" customFormat="1"/>
    <row r="167" s="47" customFormat="1"/>
    <row r="168" s="47" customFormat="1"/>
    <row r="169" s="47" customFormat="1"/>
    <row r="170" s="47" customFormat="1"/>
    <row r="171" s="47" customFormat="1"/>
    <row r="172" s="47" customFormat="1"/>
    <row r="173" s="47" customFormat="1"/>
    <row r="174" s="47" customFormat="1"/>
    <row r="175" s="47" customFormat="1"/>
    <row r="176" s="47" customFormat="1"/>
    <row r="177" s="47" customFormat="1"/>
    <row r="178" s="47" customFormat="1"/>
    <row r="179" s="47" customFormat="1"/>
    <row r="180" s="47" customFormat="1"/>
    <row r="181" s="47" customFormat="1"/>
    <row r="182" s="47" customFormat="1"/>
    <row r="183" s="47" customFormat="1"/>
    <row r="184" s="47" customFormat="1"/>
    <row r="185" s="47" customFormat="1"/>
    <row r="186" s="47" customFormat="1"/>
    <row r="187" s="47" customFormat="1"/>
    <row r="188" s="47" customFormat="1"/>
    <row r="189" s="47" customFormat="1"/>
    <row r="190" s="47" customFormat="1"/>
    <row r="191" s="47" customFormat="1"/>
    <row r="192" s="47" customFormat="1"/>
    <row r="193" s="47" customFormat="1"/>
    <row r="194" s="47" customFormat="1"/>
    <row r="195" s="47" customFormat="1"/>
    <row r="196" s="47" customFormat="1"/>
    <row r="197" s="47" customFormat="1"/>
    <row r="198" s="47" customFormat="1"/>
    <row r="199" s="47" customFormat="1"/>
    <row r="200" s="47" customFormat="1"/>
    <row r="201" s="47" customFormat="1"/>
    <row r="202" s="47" customFormat="1"/>
    <row r="203" s="47" customFormat="1"/>
    <row r="204" s="47" customFormat="1"/>
    <row r="205" s="47" customFormat="1"/>
    <row r="206" s="47" customFormat="1"/>
    <row r="207" s="47" customFormat="1"/>
    <row r="208" s="47" customFormat="1"/>
    <row r="209" s="47" customFormat="1"/>
    <row r="210" s="47" customFormat="1"/>
    <row r="211" s="47" customFormat="1"/>
    <row r="212" s="47" customFormat="1"/>
    <row r="213" s="47" customFormat="1"/>
    <row r="214" s="47" customFormat="1"/>
    <row r="215" s="47" customFormat="1"/>
    <row r="216" s="47" customFormat="1"/>
    <row r="217" s="47" customFormat="1"/>
    <row r="218" s="47" customFormat="1"/>
    <row r="219" s="47" customFormat="1"/>
    <row r="220" s="47" customFormat="1"/>
    <row r="221" s="47" customFormat="1"/>
    <row r="222" s="47" customFormat="1"/>
    <row r="223" s="47" customFormat="1"/>
    <row r="224" s="47" customFormat="1"/>
    <row r="225" s="47" customFormat="1"/>
    <row r="226" s="47" customFormat="1"/>
    <row r="227" s="47" customFormat="1"/>
    <row r="228" s="47" customFormat="1"/>
    <row r="229" s="47" customFormat="1"/>
    <row r="230" s="47" customFormat="1"/>
    <row r="231" s="47" customFormat="1"/>
    <row r="232" s="47" customFormat="1"/>
    <row r="233" s="47" customFormat="1"/>
    <row r="234" s="47" customFormat="1"/>
    <row r="235" s="47" customFormat="1"/>
    <row r="236" s="47" customFormat="1"/>
    <row r="237" s="47" customFormat="1"/>
    <row r="238" s="47" customFormat="1"/>
    <row r="239" s="47" customFormat="1"/>
    <row r="240" s="47" customFormat="1"/>
    <row r="241" s="47" customFormat="1"/>
    <row r="242" s="47" customFormat="1"/>
    <row r="243" s="47" customFormat="1"/>
    <row r="244" s="47" customFormat="1"/>
    <row r="245" s="47" customFormat="1"/>
    <row r="246" s="47" customFormat="1"/>
    <row r="247" s="47" customFormat="1"/>
    <row r="248" s="47" customFormat="1"/>
    <row r="249" s="47" customFormat="1"/>
    <row r="250" s="47" customFormat="1"/>
    <row r="251" s="47" customFormat="1"/>
    <row r="252" s="47" customFormat="1"/>
    <row r="253" s="47" customFormat="1"/>
    <row r="254" s="47" customFormat="1"/>
    <row r="255" s="47" customFormat="1"/>
    <row r="256" s="47" customFormat="1"/>
    <row r="257" s="47" customFormat="1"/>
    <row r="258" s="47" customFormat="1"/>
    <row r="259" s="47" customFormat="1"/>
    <row r="260" s="47" customFormat="1"/>
    <row r="261" s="47" customFormat="1"/>
    <row r="262" s="47" customFormat="1"/>
    <row r="263" s="47" customFormat="1"/>
    <row r="264" s="47" customFormat="1"/>
    <row r="265" s="47" customFormat="1"/>
    <row r="266" s="47" customFormat="1"/>
    <row r="267" s="47" customFormat="1"/>
    <row r="268" s="47" customFormat="1"/>
    <row r="269" s="47" customFormat="1"/>
    <row r="270" s="47" customFormat="1"/>
    <row r="271" s="47" customFormat="1"/>
    <row r="272" s="47" customFormat="1"/>
    <row r="273" s="47" customFormat="1"/>
    <row r="274" s="47" customFormat="1"/>
    <row r="275" s="47" customFormat="1"/>
    <row r="276" s="47" customFormat="1"/>
    <row r="277" s="47" customFormat="1"/>
    <row r="278" s="47" customFormat="1"/>
    <row r="279" s="47" customFormat="1"/>
    <row r="280" s="47" customFormat="1"/>
    <row r="281" s="47" customFormat="1"/>
    <row r="282" s="47" customFormat="1"/>
    <row r="283" s="47" customFormat="1"/>
    <row r="284" s="47" customFormat="1"/>
    <row r="285" s="47" customFormat="1"/>
    <row r="286" s="47" customFormat="1"/>
    <row r="287" s="47" customFormat="1"/>
    <row r="288" s="47" customFormat="1"/>
    <row r="289" s="47" customFormat="1"/>
    <row r="290" s="47" customFormat="1"/>
    <row r="291" s="47" customFormat="1"/>
    <row r="292" s="47" customFormat="1"/>
    <row r="293" s="47" customFormat="1"/>
    <row r="294" s="47" customFormat="1"/>
    <row r="295" s="47" customFormat="1"/>
    <row r="296" s="47" customFormat="1"/>
    <row r="297" s="47" customFormat="1"/>
    <row r="298" s="47" customFormat="1"/>
    <row r="299" s="47" customFormat="1"/>
    <row r="300" s="47" customFormat="1"/>
    <row r="301" s="47" customFormat="1"/>
    <row r="302" s="47" customFormat="1"/>
    <row r="303" s="47" customFormat="1"/>
    <row r="304" s="47" customFormat="1"/>
    <row r="305" s="47" customFormat="1"/>
    <row r="306" s="47" customFormat="1"/>
    <row r="307" s="47" customFormat="1"/>
    <row r="308" s="47" customFormat="1"/>
    <row r="309" s="47" customFormat="1"/>
    <row r="310" s="47" customFormat="1"/>
    <row r="311" s="47" customFormat="1"/>
    <row r="312" s="47" customFormat="1"/>
    <row r="313" s="47" customFormat="1"/>
    <row r="314" s="47" customFormat="1"/>
    <row r="315" s="47" customFormat="1"/>
    <row r="316" s="47" customFormat="1"/>
    <row r="317" s="47" customFormat="1"/>
    <row r="318" s="47" customFormat="1"/>
    <row r="319" s="47" customFormat="1"/>
    <row r="320" s="47" customFormat="1"/>
    <row r="321" s="47" customFormat="1"/>
    <row r="322" s="47" customFormat="1"/>
    <row r="323" s="47" customFormat="1"/>
    <row r="324" s="47" customFormat="1"/>
    <row r="325" s="47" customFormat="1"/>
    <row r="326" s="47" customFormat="1"/>
    <row r="327" s="47" customFormat="1"/>
    <row r="328" s="47" customFormat="1"/>
    <row r="329" s="47" customFormat="1"/>
    <row r="330" s="47" customFormat="1"/>
    <row r="331" s="47" customFormat="1"/>
    <row r="332" s="47" customFormat="1"/>
    <row r="333" s="47" customFormat="1"/>
    <row r="334" s="47" customFormat="1"/>
    <row r="335" s="47" customFormat="1"/>
    <row r="336" s="47" customFormat="1"/>
    <row r="337" s="47" customFormat="1"/>
    <row r="338" s="47" customFormat="1"/>
    <row r="339" s="47" customFormat="1"/>
    <row r="340" s="47" customFormat="1"/>
    <row r="341" s="47" customFormat="1"/>
    <row r="342" s="47" customFormat="1"/>
    <row r="343" s="47" customFormat="1"/>
    <row r="344" s="47" customFormat="1"/>
    <row r="345" s="47" customFormat="1"/>
    <row r="346" s="47" customFormat="1"/>
    <row r="347" s="47" customFormat="1"/>
    <row r="348" s="47" customFormat="1"/>
    <row r="349" s="47" customFormat="1"/>
    <row r="350" s="47" customFormat="1"/>
    <row r="351" s="47" customFormat="1"/>
    <row r="352" s="47" customFormat="1"/>
    <row r="353" s="47" customFormat="1"/>
    <row r="354" s="47" customFormat="1"/>
    <row r="355" s="47" customFormat="1"/>
    <row r="356" s="47" customFormat="1"/>
    <row r="357" s="47" customFormat="1"/>
    <row r="358" s="47" customFormat="1"/>
    <row r="359" s="47" customFormat="1"/>
    <row r="360" s="47" customFormat="1"/>
    <row r="361" s="47" customFormat="1"/>
    <row r="362" s="47" customFormat="1"/>
    <row r="363" s="47" customFormat="1"/>
    <row r="364" s="47" customFormat="1"/>
    <row r="365" s="47" customFormat="1"/>
    <row r="366" s="47" customFormat="1"/>
    <row r="367" s="47" customFormat="1"/>
    <row r="368" s="47" customFormat="1"/>
    <row r="369" s="47" customFormat="1"/>
    <row r="370" s="47" customFormat="1"/>
    <row r="371" s="47" customFormat="1"/>
    <row r="372" s="47" customFormat="1"/>
    <row r="373" s="47" customFormat="1"/>
    <row r="374" s="47" customFormat="1"/>
    <row r="375" s="47" customFormat="1"/>
    <row r="376" s="47" customFormat="1"/>
    <row r="377" s="47" customFormat="1"/>
    <row r="378" s="47" customFormat="1"/>
    <row r="379" s="47" customFormat="1"/>
    <row r="380" s="47" customFormat="1"/>
    <row r="381" s="47" customFormat="1"/>
    <row r="382" s="47" customFormat="1"/>
    <row r="383" s="47" customFormat="1"/>
    <row r="384" s="47" customFormat="1"/>
    <row r="385" s="47" customFormat="1"/>
    <row r="386" s="47" customFormat="1"/>
    <row r="387" s="47" customFormat="1"/>
    <row r="388" s="47" customFormat="1"/>
    <row r="389" s="47" customFormat="1"/>
    <row r="390" s="47" customFormat="1"/>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dimension ref="A3:B14"/>
  <sheetViews>
    <sheetView workbookViewId="0">
      <selection activeCell="L19" sqref="L19"/>
    </sheetView>
  </sheetViews>
  <sheetFormatPr defaultRowHeight="17.7"/>
  <cols>
    <col min="1" max="1" width="2.5546875" style="38" customWidth="1"/>
  </cols>
  <sheetData>
    <row r="3" spans="1:2">
      <c r="A3" s="38" t="s">
        <v>1209</v>
      </c>
    </row>
    <row r="4" spans="1:2">
      <c r="A4" s="38" t="s">
        <v>1210</v>
      </c>
    </row>
    <row r="5" spans="1:2">
      <c r="A5" s="38" t="s">
        <v>1211</v>
      </c>
    </row>
    <row r="6" spans="1:2">
      <c r="A6" s="38" t="s">
        <v>1212</v>
      </c>
    </row>
    <row r="7" spans="1:2">
      <c r="A7" s="38" t="s">
        <v>1213</v>
      </c>
    </row>
    <row r="8" spans="1:2">
      <c r="B8" s="7" t="s">
        <v>1240</v>
      </c>
    </row>
    <row r="9" spans="1:2">
      <c r="B9" s="7" t="s">
        <v>1241</v>
      </c>
    </row>
    <row r="10" spans="1:2">
      <c r="B10" s="7" t="s">
        <v>1242</v>
      </c>
    </row>
    <row r="11" spans="1:2">
      <c r="B11" s="7" t="s">
        <v>1243</v>
      </c>
    </row>
    <row r="12" spans="1:2">
      <c r="B12" s="7" t="s">
        <v>1248</v>
      </c>
    </row>
    <row r="13" spans="1:2">
      <c r="B13" s="7" t="s">
        <v>1250</v>
      </c>
    </row>
    <row r="14" spans="1:2">
      <c r="B14" s="7" t="s">
        <v>1254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D2E22-6326-461C-92B2-170FE6EAB7DF}">
  <sheetPr codeName="Sheet18"/>
  <dimension ref="D2:Q11"/>
  <sheetViews>
    <sheetView showGridLines="0" workbookViewId="0">
      <selection activeCell="G12" sqref="G12"/>
    </sheetView>
  </sheetViews>
  <sheetFormatPr defaultRowHeight="12.3"/>
  <cols>
    <col min="1" max="3" width="1.83203125" customWidth="1"/>
    <col min="17" max="17" width="16.27734375" customWidth="1"/>
  </cols>
  <sheetData>
    <row r="2" spans="4:17">
      <c r="D2" s="7" t="s">
        <v>1441</v>
      </c>
      <c r="E2">
        <v>3</v>
      </c>
      <c r="G2">
        <f>COUNTA(D4:D5)</f>
        <v>2</v>
      </c>
      <c r="H2" s="7" t="s">
        <v>1518</v>
      </c>
    </row>
    <row r="4" spans="4:17" ht="14.4">
      <c r="D4" s="7" t="s">
        <v>1583</v>
      </c>
      <c r="F4" s="18" t="s">
        <v>1442</v>
      </c>
      <c r="P4" s="7" t="s">
        <v>1265</v>
      </c>
      <c r="Q4" s="164">
        <v>0.7185300925925926</v>
      </c>
    </row>
    <row r="5" spans="4:17" ht="14.4">
      <c r="D5" s="7" t="s">
        <v>1582</v>
      </c>
      <c r="F5" s="18" t="s">
        <v>1443</v>
      </c>
      <c r="P5" s="7" t="s">
        <v>918</v>
      </c>
      <c r="Q5" s="164">
        <v>0.71865740740740736</v>
      </c>
    </row>
    <row r="6" spans="4:17" ht="14.4">
      <c r="D6" s="7" t="s">
        <v>1594</v>
      </c>
      <c r="F6" s="18" t="s">
        <v>1442</v>
      </c>
      <c r="P6" s="7"/>
      <c r="Q6" s="164"/>
    </row>
    <row r="8" spans="4:17">
      <c r="D8" t="str" cm="1">
        <f t="array" ref="D8">INDEX(D4:D6,code)</f>
        <v>US CPI Month</v>
      </c>
      <c r="F8" t="str" cm="1">
        <f t="array" ref="F8">INDEX(F4:F6,$E$2)</f>
        <v>https://research.stlouisfed.org/fred2/data/CPALTT01USM659N.txt</v>
      </c>
    </row>
    <row r="11" spans="4:17">
      <c r="F11" t="s">
        <v>1593</v>
      </c>
    </row>
  </sheetData>
  <hyperlinks>
    <hyperlink ref="F4" r:id="rId1" display="https://research.stlouisfed.org/fred2/data/" xr:uid="{038981C2-8376-4127-8F7D-1FEE4057C518}"/>
    <hyperlink ref="F5" r:id="rId2" display="https://research.stlouisfed.org/fred2/data/" xr:uid="{D79F42B1-4E24-44CF-8F6C-46D756B87FF5}"/>
    <hyperlink ref="F6" r:id="rId3" display="https://research.stlouisfed.org/fred2/data/" xr:uid="{8A37E810-B1A0-45F4-A566-44EF4F919F27}"/>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43361" r:id="rId6" name="Button 1">
              <controlPr defaultSize="0" print="0" autoFill="0" autoPict="0" macro="[0]!GetData_inflation_workbooks_open">
                <anchor moveWithCells="1" sizeWithCells="1">
                  <from>
                    <xdr:col>11</xdr:col>
                    <xdr:colOff>563880</xdr:colOff>
                    <xdr:row>2</xdr:row>
                    <xdr:rowOff>76200</xdr:rowOff>
                  </from>
                  <to>
                    <xdr:col>13</xdr:col>
                    <xdr:colOff>464820</xdr:colOff>
                    <xdr:row>4</xdr:row>
                    <xdr:rowOff>102870</xdr:rowOff>
                  </to>
                </anchor>
              </controlPr>
            </control>
          </mc:Choice>
        </mc:AlternateContent>
        <mc:AlternateContent xmlns:mc="http://schemas.openxmlformats.org/markup-compatibility/2006">
          <mc:Choice Requires="x14">
            <control shapeId="143362" r:id="rId7" name="Button 2">
              <controlPr defaultSize="0" print="0" autoFill="0" autoPict="0" macro="[0]!get_all_data_inflation">
                <anchor moveWithCells="1" sizeWithCells="1">
                  <from>
                    <xdr:col>11</xdr:col>
                    <xdr:colOff>582930</xdr:colOff>
                    <xdr:row>7</xdr:row>
                    <xdr:rowOff>19050</xdr:rowOff>
                  </from>
                  <to>
                    <xdr:col>13</xdr:col>
                    <xdr:colOff>483870</xdr:colOff>
                    <xdr:row>9</xdr:row>
                    <xdr:rowOff>68580</xdr:rowOff>
                  </to>
                </anchor>
              </controlPr>
            </control>
          </mc:Choice>
        </mc:AlternateContent>
        <mc:AlternateContent xmlns:mc="http://schemas.openxmlformats.org/markup-compatibility/2006">
          <mc:Choice Requires="x14">
            <control shapeId="143363" r:id="rId8" name="Button 3">
              <controlPr defaultSize="0" print="0" autoFill="0" autoPict="0" macro="[0]!clear_sheets_inflation">
                <anchor moveWithCells="1" sizeWithCells="1">
                  <from>
                    <xdr:col>12</xdr:col>
                    <xdr:colOff>0</xdr:colOff>
                    <xdr:row>11</xdr:row>
                    <xdr:rowOff>0</xdr:rowOff>
                  </from>
                  <to>
                    <xdr:col>13</xdr:col>
                    <xdr:colOff>506730</xdr:colOff>
                    <xdr:row>13</xdr:row>
                    <xdr:rowOff>49530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9533F-ED4E-446D-AF26-DE61331FA8AF}">
  <sheetPr codeName="Sheet25"/>
  <dimension ref="A1:K769"/>
  <sheetViews>
    <sheetView workbookViewId="0">
      <selection activeCell="A23" sqref="A23"/>
    </sheetView>
  </sheetViews>
  <sheetFormatPr defaultColWidth="8.71875" defaultRowHeight="14.4"/>
  <cols>
    <col min="1" max="16384" width="8.71875" style="161"/>
  </cols>
  <sheetData>
    <row r="1" spans="1:11">
      <c r="A1" s="161" t="s">
        <v>1444</v>
      </c>
      <c r="B1" s="161" t="s">
        <v>1445</v>
      </c>
      <c r="C1" s="161" t="s">
        <v>1446</v>
      </c>
      <c r="D1" s="161" t="s">
        <v>1447</v>
      </c>
      <c r="E1" s="161" t="s">
        <v>801</v>
      </c>
      <c r="F1" s="161" t="s">
        <v>1448</v>
      </c>
      <c r="G1" s="161" t="s">
        <v>1449</v>
      </c>
      <c r="H1" s="161" t="s">
        <v>1450</v>
      </c>
      <c r="I1" s="161" t="s">
        <v>1451</v>
      </c>
      <c r="J1" s="161" t="s">
        <v>1452</v>
      </c>
      <c r="K1" s="161" t="s">
        <v>1453</v>
      </c>
    </row>
    <row r="2" spans="1:11">
      <c r="A2" s="161" t="s">
        <v>1454</v>
      </c>
      <c r="B2" s="161" t="s">
        <v>1455</v>
      </c>
      <c r="C2" s="161" t="s">
        <v>1456</v>
      </c>
    </row>
    <row r="3" spans="1:11">
      <c r="A3" s="161" t="s">
        <v>1457</v>
      </c>
      <c r="B3" s="161" t="s">
        <v>1458</v>
      </c>
      <c r="C3" s="161" t="s">
        <v>1450</v>
      </c>
      <c r="D3" s="161" t="s">
        <v>1459</v>
      </c>
      <c r="E3" s="161" t="s">
        <v>1460</v>
      </c>
      <c r="F3" s="161" t="s">
        <v>1461</v>
      </c>
      <c r="G3" s="161" t="s">
        <v>1462</v>
      </c>
    </row>
    <row r="4" spans="1:11">
      <c r="A4" s="161" t="s">
        <v>1463</v>
      </c>
      <c r="B4" s="161" t="s">
        <v>1464</v>
      </c>
      <c r="C4" s="161" t="s">
        <v>1459</v>
      </c>
      <c r="D4" s="161" t="s">
        <v>1465</v>
      </c>
      <c r="E4" s="161" t="s">
        <v>1466</v>
      </c>
      <c r="F4" s="161" t="s">
        <v>840</v>
      </c>
      <c r="G4" s="161" t="s">
        <v>1467</v>
      </c>
      <c r="H4" s="161" t="s">
        <v>1468</v>
      </c>
    </row>
    <row r="5" spans="1:11">
      <c r="A5" s="161" t="s">
        <v>1469</v>
      </c>
      <c r="B5" s="161" t="s">
        <v>1470</v>
      </c>
      <c r="C5" s="161" t="s">
        <v>1471</v>
      </c>
      <c r="D5" s="161" t="s">
        <v>1472</v>
      </c>
      <c r="E5" s="161" t="s">
        <v>1473</v>
      </c>
    </row>
    <row r="6" spans="1:11">
      <c r="A6" s="161" t="s">
        <v>1474</v>
      </c>
      <c r="B6" s="161" t="s">
        <v>883</v>
      </c>
    </row>
    <row r="7" spans="1:11">
      <c r="A7" s="161" t="s">
        <v>1475</v>
      </c>
      <c r="B7" s="161" t="s">
        <v>1476</v>
      </c>
      <c r="C7" s="161" t="s">
        <v>1477</v>
      </c>
      <c r="D7" s="161" t="s">
        <v>1478</v>
      </c>
      <c r="E7" s="161" t="s">
        <v>1479</v>
      </c>
      <c r="F7" s="161" t="s">
        <v>1480</v>
      </c>
      <c r="G7" s="161" t="s">
        <v>856</v>
      </c>
    </row>
    <row r="8" spans="1:11">
      <c r="A8" s="161" t="s">
        <v>787</v>
      </c>
      <c r="B8" s="161" t="s">
        <v>1481</v>
      </c>
      <c r="C8" s="162">
        <v>21916</v>
      </c>
      <c r="D8" s="161" t="s">
        <v>1482</v>
      </c>
      <c r="E8" s="162">
        <v>44713</v>
      </c>
    </row>
    <row r="9" spans="1:11">
      <c r="A9" s="161" t="s">
        <v>1483</v>
      </c>
      <c r="B9" s="161" t="s">
        <v>1484</v>
      </c>
      <c r="C9" s="162">
        <v>44784</v>
      </c>
      <c r="D9" s="163">
        <v>0.11875000000000001</v>
      </c>
      <c r="E9" s="161" t="s">
        <v>1485</v>
      </c>
      <c r="F9" s="161" t="s">
        <v>1486</v>
      </c>
    </row>
    <row r="10" spans="1:11">
      <c r="A10" s="161" t="s">
        <v>1487</v>
      </c>
      <c r="B10" s="161" t="s">
        <v>1488</v>
      </c>
      <c r="C10" s="161" t="s">
        <v>1489</v>
      </c>
      <c r="D10" s="161" t="s">
        <v>1455</v>
      </c>
      <c r="E10" s="161" t="s">
        <v>1490</v>
      </c>
    </row>
    <row r="11" spans="1:11">
      <c r="B11" s="161" t="s">
        <v>1488</v>
      </c>
      <c r="C11" s="161" t="s">
        <v>1491</v>
      </c>
      <c r="D11" s="161" t="s">
        <v>1455</v>
      </c>
      <c r="E11" s="161" t="s">
        <v>1492</v>
      </c>
    </row>
    <row r="12" spans="1:11">
      <c r="B12" s="161" t="s">
        <v>1488</v>
      </c>
      <c r="C12" s="161" t="s">
        <v>1493</v>
      </c>
      <c r="D12" s="161" t="s">
        <v>1455</v>
      </c>
      <c r="E12" s="161" t="s">
        <v>1494</v>
      </c>
    </row>
    <row r="14" spans="1:11">
      <c r="B14" s="161" t="s">
        <v>1448</v>
      </c>
      <c r="C14" s="161" t="s">
        <v>1488</v>
      </c>
      <c r="D14" s="161" t="s">
        <v>1495</v>
      </c>
      <c r="E14" s="161" t="s">
        <v>1496</v>
      </c>
      <c r="F14" s="161" t="s">
        <v>1497</v>
      </c>
      <c r="G14" s="161" t="s">
        <v>1498</v>
      </c>
      <c r="H14" s="161" t="s">
        <v>1499</v>
      </c>
      <c r="I14" s="161" t="s">
        <v>1500</v>
      </c>
      <c r="J14" s="161" t="s">
        <v>1501</v>
      </c>
      <c r="K14" s="161" t="s">
        <v>1502</v>
      </c>
    </row>
    <row r="15" spans="1:11">
      <c r="B15" s="161" t="s">
        <v>1465</v>
      </c>
      <c r="C15" s="161" t="s">
        <v>1503</v>
      </c>
      <c r="D15" s="161" t="s">
        <v>1504</v>
      </c>
      <c r="E15" s="161" t="s">
        <v>1505</v>
      </c>
      <c r="F15" s="161" t="s">
        <v>1464</v>
      </c>
      <c r="G15" s="161" t="s">
        <v>1459</v>
      </c>
      <c r="H15" s="161" t="s">
        <v>1465</v>
      </c>
    </row>
    <row r="16" spans="1:11">
      <c r="B16" s="161" t="s">
        <v>1506</v>
      </c>
      <c r="C16" s="161" t="s">
        <v>1507</v>
      </c>
      <c r="D16" s="161" t="s">
        <v>1508</v>
      </c>
      <c r="E16" s="161" t="s">
        <v>1509</v>
      </c>
    </row>
    <row r="17" spans="1:7">
      <c r="B17" s="161" t="s">
        <v>1510</v>
      </c>
      <c r="C17" s="161" t="s">
        <v>1511</v>
      </c>
      <c r="D17" s="161" t="s">
        <v>1512</v>
      </c>
      <c r="E17" s="161" t="s">
        <v>1513</v>
      </c>
      <c r="F17" s="161" t="s">
        <v>1514</v>
      </c>
      <c r="G17" s="161" t="s">
        <v>1515</v>
      </c>
    </row>
    <row r="19" spans="1:7">
      <c r="A19" s="161" t="s">
        <v>1516</v>
      </c>
      <c r="B19" s="161" t="s">
        <v>1517</v>
      </c>
    </row>
    <row r="20" spans="1:7">
      <c r="A20" s="162">
        <v>21916</v>
      </c>
      <c r="B20" s="161">
        <v>1.0344827590000001</v>
      </c>
    </row>
    <row r="21" spans="1:7">
      <c r="A21" s="162">
        <v>21947</v>
      </c>
      <c r="B21" s="161">
        <v>1.730103806</v>
      </c>
    </row>
    <row r="22" spans="1:7">
      <c r="A22" s="162">
        <v>21976</v>
      </c>
      <c r="B22" s="161">
        <v>1.730103806</v>
      </c>
    </row>
    <row r="23" spans="1:7">
      <c r="A23" s="162">
        <v>22007</v>
      </c>
      <c r="B23" s="161">
        <v>1.724137931</v>
      </c>
    </row>
    <row r="24" spans="1:7">
      <c r="A24" s="162">
        <v>22037</v>
      </c>
      <c r="B24" s="161">
        <v>1.724137931</v>
      </c>
    </row>
    <row r="25" spans="1:7">
      <c r="A25" s="162">
        <v>22068</v>
      </c>
      <c r="B25" s="161">
        <v>1.7182130579999999</v>
      </c>
    </row>
    <row r="26" spans="1:7">
      <c r="A26" s="162">
        <v>22098</v>
      </c>
      <c r="B26" s="161">
        <v>1.3698630140000001</v>
      </c>
    </row>
    <row r="27" spans="1:7">
      <c r="A27" s="162">
        <v>22129</v>
      </c>
      <c r="B27" s="161">
        <v>1.3698630140000001</v>
      </c>
    </row>
    <row r="28" spans="1:7">
      <c r="A28" s="162">
        <v>22160</v>
      </c>
      <c r="B28" s="161">
        <v>1.0238907850000001</v>
      </c>
    </row>
    <row r="29" spans="1:7">
      <c r="A29" s="162">
        <v>22190</v>
      </c>
      <c r="B29" s="161">
        <v>1.360544218</v>
      </c>
    </row>
    <row r="30" spans="1:7">
      <c r="A30" s="162">
        <v>22221</v>
      </c>
      <c r="B30" s="161">
        <v>1.360544218</v>
      </c>
    </row>
    <row r="31" spans="1:7">
      <c r="A31" s="162">
        <v>22251</v>
      </c>
      <c r="B31" s="161">
        <v>1.360544218</v>
      </c>
    </row>
    <row r="32" spans="1:7">
      <c r="A32" s="162">
        <v>22282</v>
      </c>
      <c r="B32" s="161">
        <v>1.7064846419999999</v>
      </c>
    </row>
    <row r="33" spans="1:2">
      <c r="A33" s="162">
        <v>22313</v>
      </c>
      <c r="B33" s="161">
        <v>1.360544218</v>
      </c>
    </row>
    <row r="34" spans="1:2">
      <c r="A34" s="162">
        <v>22341</v>
      </c>
      <c r="B34" s="161">
        <v>1.360544218</v>
      </c>
    </row>
    <row r="35" spans="1:2">
      <c r="A35" s="162">
        <v>22372</v>
      </c>
      <c r="B35" s="161">
        <v>1.0169491530000001</v>
      </c>
    </row>
    <row r="36" spans="1:2">
      <c r="A36" s="162">
        <v>22402</v>
      </c>
      <c r="B36" s="161">
        <v>1.0169491530000001</v>
      </c>
    </row>
    <row r="37" spans="1:2">
      <c r="A37" s="162">
        <v>22433</v>
      </c>
      <c r="B37" s="161">
        <v>0.675675676</v>
      </c>
    </row>
    <row r="38" spans="1:2">
      <c r="A38" s="162">
        <v>22463</v>
      </c>
      <c r="B38" s="161">
        <v>1.3513513509999999</v>
      </c>
    </row>
    <row r="39" spans="1:2">
      <c r="A39" s="162">
        <v>22494</v>
      </c>
      <c r="B39" s="161">
        <v>1.013513514</v>
      </c>
    </row>
    <row r="40" spans="1:2">
      <c r="A40" s="162">
        <v>22525</v>
      </c>
      <c r="B40" s="161">
        <v>1.3513513509999999</v>
      </c>
    </row>
    <row r="41" spans="1:2">
      <c r="A41" s="162">
        <v>22555</v>
      </c>
      <c r="B41" s="161">
        <v>0.67114094000000002</v>
      </c>
    </row>
    <row r="42" spans="1:2">
      <c r="A42" s="162">
        <v>22586</v>
      </c>
      <c r="B42" s="161">
        <v>0.67114094000000002</v>
      </c>
    </row>
    <row r="43" spans="1:2">
      <c r="A43" s="162">
        <v>22616</v>
      </c>
      <c r="B43" s="161">
        <v>0.67114094000000002</v>
      </c>
    </row>
    <row r="44" spans="1:2">
      <c r="A44" s="162">
        <v>22647</v>
      </c>
      <c r="B44" s="161">
        <v>0.67114094000000002</v>
      </c>
    </row>
    <row r="45" spans="1:2">
      <c r="A45" s="162">
        <v>22678</v>
      </c>
      <c r="B45" s="161">
        <v>1.006711409</v>
      </c>
    </row>
    <row r="46" spans="1:2">
      <c r="A46" s="162">
        <v>22706</v>
      </c>
      <c r="B46" s="161">
        <v>1.006711409</v>
      </c>
    </row>
    <row r="47" spans="1:2">
      <c r="A47" s="162">
        <v>22737</v>
      </c>
      <c r="B47" s="161">
        <v>1.342281879</v>
      </c>
    </row>
    <row r="48" spans="1:2">
      <c r="A48" s="162">
        <v>22767</v>
      </c>
      <c r="B48" s="161">
        <v>1.342281879</v>
      </c>
    </row>
    <row r="49" spans="1:2">
      <c r="A49" s="162">
        <v>22798</v>
      </c>
      <c r="B49" s="161">
        <v>1.342281879</v>
      </c>
    </row>
    <row r="50" spans="1:2">
      <c r="A50" s="162">
        <v>22828</v>
      </c>
      <c r="B50" s="161">
        <v>1</v>
      </c>
    </row>
    <row r="51" spans="1:2">
      <c r="A51" s="162">
        <v>22859</v>
      </c>
      <c r="B51" s="161">
        <v>1.3377926419999999</v>
      </c>
    </row>
    <row r="52" spans="1:2">
      <c r="A52" s="162">
        <v>22890</v>
      </c>
      <c r="B52" s="161">
        <v>1.3333333329999999</v>
      </c>
    </row>
    <row r="53" spans="1:2">
      <c r="A53" s="162">
        <v>22920</v>
      </c>
      <c r="B53" s="161">
        <v>1.3333333329999999</v>
      </c>
    </row>
    <row r="54" spans="1:2">
      <c r="A54" s="162">
        <v>22951</v>
      </c>
      <c r="B54" s="161">
        <v>1.3333333329999999</v>
      </c>
    </row>
    <row r="55" spans="1:2">
      <c r="A55" s="162">
        <v>22981</v>
      </c>
      <c r="B55" s="161">
        <v>1.3333333329999999</v>
      </c>
    </row>
    <row r="56" spans="1:2">
      <c r="A56" s="162">
        <v>23012</v>
      </c>
      <c r="B56" s="161">
        <v>1.3333333329999999</v>
      </c>
    </row>
    <row r="57" spans="1:2">
      <c r="A57" s="162">
        <v>23043</v>
      </c>
      <c r="B57" s="161">
        <v>0.99667774099999995</v>
      </c>
    </row>
    <row r="58" spans="1:2">
      <c r="A58" s="162">
        <v>23071</v>
      </c>
      <c r="B58" s="161">
        <v>1.3289036540000001</v>
      </c>
    </row>
    <row r="59" spans="1:2">
      <c r="A59" s="162">
        <v>23102</v>
      </c>
      <c r="B59" s="161">
        <v>0.99337748299999995</v>
      </c>
    </row>
    <row r="60" spans="1:2">
      <c r="A60" s="162">
        <v>23132</v>
      </c>
      <c r="B60" s="161">
        <v>0.99337748299999995</v>
      </c>
    </row>
    <row r="61" spans="1:2">
      <c r="A61" s="162">
        <v>23163</v>
      </c>
      <c r="B61" s="161">
        <v>1.324503311</v>
      </c>
    </row>
    <row r="62" spans="1:2">
      <c r="A62" s="162">
        <v>23193</v>
      </c>
      <c r="B62" s="161">
        <v>1.320132013</v>
      </c>
    </row>
    <row r="63" spans="1:2">
      <c r="A63" s="162">
        <v>23224</v>
      </c>
      <c r="B63" s="161">
        <v>1.320132013</v>
      </c>
    </row>
    <row r="64" spans="1:2">
      <c r="A64" s="162">
        <v>23255</v>
      </c>
      <c r="B64" s="161">
        <v>0.98684210500000002</v>
      </c>
    </row>
    <row r="65" spans="1:2">
      <c r="A65" s="162">
        <v>23285</v>
      </c>
      <c r="B65" s="161">
        <v>1.315789474</v>
      </c>
    </row>
    <row r="66" spans="1:2">
      <c r="A66" s="162">
        <v>23316</v>
      </c>
      <c r="B66" s="161">
        <v>1.315789474</v>
      </c>
    </row>
    <row r="67" spans="1:2">
      <c r="A67" s="162">
        <v>23346</v>
      </c>
      <c r="B67" s="161">
        <v>1.6447368419999999</v>
      </c>
    </row>
    <row r="68" spans="1:2">
      <c r="A68" s="162">
        <v>23377</v>
      </c>
      <c r="B68" s="161">
        <v>1.6447368419999999</v>
      </c>
    </row>
    <row r="69" spans="1:2">
      <c r="A69" s="162">
        <v>23408</v>
      </c>
      <c r="B69" s="161">
        <v>1.6447368419999999</v>
      </c>
    </row>
    <row r="70" spans="1:2">
      <c r="A70" s="162">
        <v>23437</v>
      </c>
      <c r="B70" s="161">
        <v>1.3114754099999999</v>
      </c>
    </row>
    <row r="71" spans="1:2">
      <c r="A71" s="162">
        <v>23468</v>
      </c>
      <c r="B71" s="161">
        <v>1.3114754099999999</v>
      </c>
    </row>
    <row r="72" spans="1:2">
      <c r="A72" s="162">
        <v>23498</v>
      </c>
      <c r="B72" s="161">
        <v>1.3114754099999999</v>
      </c>
    </row>
    <row r="73" spans="1:2">
      <c r="A73" s="162">
        <v>23529</v>
      </c>
      <c r="B73" s="161">
        <v>1.3071895419999999</v>
      </c>
    </row>
    <row r="74" spans="1:2">
      <c r="A74" s="162">
        <v>23559</v>
      </c>
      <c r="B74" s="161">
        <v>1.3029315960000001</v>
      </c>
    </row>
    <row r="75" spans="1:2">
      <c r="A75" s="162">
        <v>23590</v>
      </c>
      <c r="B75" s="161">
        <v>0.97719869699999995</v>
      </c>
    </row>
    <row r="76" spans="1:2">
      <c r="A76" s="162">
        <v>23621</v>
      </c>
      <c r="B76" s="161">
        <v>1.3029315960000001</v>
      </c>
    </row>
    <row r="77" spans="1:2">
      <c r="A77" s="162">
        <v>23651</v>
      </c>
      <c r="B77" s="161">
        <v>0.97402597400000002</v>
      </c>
    </row>
    <row r="78" spans="1:2">
      <c r="A78" s="162">
        <v>23682</v>
      </c>
      <c r="B78" s="161">
        <v>1.298701299</v>
      </c>
    </row>
    <row r="79" spans="1:2">
      <c r="A79" s="162">
        <v>23712</v>
      </c>
      <c r="B79" s="161">
        <v>0.97087378599999996</v>
      </c>
    </row>
    <row r="80" spans="1:2">
      <c r="A80" s="162">
        <v>23743</v>
      </c>
      <c r="B80" s="161">
        <v>0.97087378599999996</v>
      </c>
    </row>
    <row r="81" spans="1:2">
      <c r="A81" s="162">
        <v>23774</v>
      </c>
      <c r="B81" s="161">
        <v>0.97087378599999996</v>
      </c>
    </row>
    <row r="82" spans="1:2">
      <c r="A82" s="162">
        <v>23802</v>
      </c>
      <c r="B82" s="161">
        <v>1.294498382</v>
      </c>
    </row>
    <row r="83" spans="1:2">
      <c r="A83" s="162">
        <v>23833</v>
      </c>
      <c r="B83" s="161">
        <v>1.6181229770000001</v>
      </c>
    </row>
    <row r="84" spans="1:2">
      <c r="A84" s="162">
        <v>23863</v>
      </c>
      <c r="B84" s="161">
        <v>1.6181229770000001</v>
      </c>
    </row>
    <row r="85" spans="1:2">
      <c r="A85" s="162">
        <v>23894</v>
      </c>
      <c r="B85" s="161">
        <v>1.935483871</v>
      </c>
    </row>
    <row r="86" spans="1:2">
      <c r="A86" s="162">
        <v>23924</v>
      </c>
      <c r="B86" s="161">
        <v>1.607717042</v>
      </c>
    </row>
    <row r="87" spans="1:2">
      <c r="A87" s="162">
        <v>23955</v>
      </c>
      <c r="B87" s="161">
        <v>1.935483871</v>
      </c>
    </row>
    <row r="88" spans="1:2">
      <c r="A88" s="162">
        <v>23986</v>
      </c>
      <c r="B88" s="161">
        <v>1.607717042</v>
      </c>
    </row>
    <row r="89" spans="1:2">
      <c r="A89" s="162">
        <v>24016</v>
      </c>
      <c r="B89" s="161">
        <v>1.9292604499999999</v>
      </c>
    </row>
    <row r="90" spans="1:2">
      <c r="A90" s="162">
        <v>24047</v>
      </c>
      <c r="B90" s="161">
        <v>1.602564103</v>
      </c>
    </row>
    <row r="91" spans="1:2">
      <c r="A91" s="162">
        <v>24077</v>
      </c>
      <c r="B91" s="161">
        <v>1.923076923</v>
      </c>
    </row>
    <row r="92" spans="1:2">
      <c r="A92" s="162">
        <v>24108</v>
      </c>
      <c r="B92" s="161">
        <v>1.923076923</v>
      </c>
    </row>
    <row r="93" spans="1:2">
      <c r="A93" s="162">
        <v>24139</v>
      </c>
      <c r="B93" s="161">
        <v>2.5641025640000001</v>
      </c>
    </row>
    <row r="94" spans="1:2">
      <c r="A94" s="162">
        <v>24167</v>
      </c>
      <c r="B94" s="161">
        <v>2.555910543</v>
      </c>
    </row>
    <row r="95" spans="1:2">
      <c r="A95" s="162">
        <v>24198</v>
      </c>
      <c r="B95" s="161">
        <v>2.8662420380000002</v>
      </c>
    </row>
    <row r="96" spans="1:2">
      <c r="A96" s="162">
        <v>24228</v>
      </c>
      <c r="B96" s="161">
        <v>2.8662420380000002</v>
      </c>
    </row>
    <row r="97" spans="1:2">
      <c r="A97" s="162">
        <v>24259</v>
      </c>
      <c r="B97" s="161">
        <v>2.5316455699999998</v>
      </c>
    </row>
    <row r="98" spans="1:2">
      <c r="A98" s="162">
        <v>24289</v>
      </c>
      <c r="B98" s="161">
        <v>2.848101266</v>
      </c>
    </row>
    <row r="99" spans="1:2">
      <c r="A99" s="162">
        <v>24320</v>
      </c>
      <c r="B99" s="161">
        <v>3.481012658</v>
      </c>
    </row>
    <row r="100" spans="1:2">
      <c r="A100" s="162">
        <v>24351</v>
      </c>
      <c r="B100" s="161">
        <v>3.481012658</v>
      </c>
    </row>
    <row r="101" spans="1:2">
      <c r="A101" s="162">
        <v>24381</v>
      </c>
      <c r="B101" s="161">
        <v>3.7854889589999998</v>
      </c>
    </row>
    <row r="102" spans="1:2">
      <c r="A102" s="162">
        <v>24412</v>
      </c>
      <c r="B102" s="161">
        <v>3.7854889589999998</v>
      </c>
    </row>
    <row r="103" spans="1:2">
      <c r="A103" s="162">
        <v>24442</v>
      </c>
      <c r="B103" s="161">
        <v>3.4591194970000001</v>
      </c>
    </row>
    <row r="104" spans="1:2">
      <c r="A104" s="162">
        <v>24473</v>
      </c>
      <c r="B104" s="161">
        <v>3.4591194970000001</v>
      </c>
    </row>
    <row r="105" spans="1:2">
      <c r="A105" s="162">
        <v>24504</v>
      </c>
      <c r="B105" s="161">
        <v>2.8125</v>
      </c>
    </row>
    <row r="106" spans="1:2">
      <c r="A106" s="162">
        <v>24532</v>
      </c>
      <c r="B106" s="161">
        <v>2.8037383180000002</v>
      </c>
    </row>
    <row r="107" spans="1:2">
      <c r="A107" s="162">
        <v>24563</v>
      </c>
      <c r="B107" s="161">
        <v>2.4767801860000001</v>
      </c>
    </row>
    <row r="108" spans="1:2">
      <c r="A108" s="162">
        <v>24593</v>
      </c>
      <c r="B108" s="161">
        <v>2.7863777089999999</v>
      </c>
    </row>
    <row r="109" spans="1:2">
      <c r="A109" s="162">
        <v>24624</v>
      </c>
      <c r="B109" s="161">
        <v>2.7777777779999999</v>
      </c>
    </row>
    <row r="110" spans="1:2">
      <c r="A110" s="162">
        <v>24654</v>
      </c>
      <c r="B110" s="161">
        <v>2.769230769</v>
      </c>
    </row>
    <row r="111" spans="1:2">
      <c r="A111" s="162">
        <v>24685</v>
      </c>
      <c r="B111" s="161">
        <v>2.44648318</v>
      </c>
    </row>
    <row r="112" spans="1:2">
      <c r="A112" s="162">
        <v>24716</v>
      </c>
      <c r="B112" s="161">
        <v>2.7522935780000002</v>
      </c>
    </row>
    <row r="113" spans="1:2">
      <c r="A113" s="162">
        <v>24746</v>
      </c>
      <c r="B113" s="161">
        <v>2.4316109419999998</v>
      </c>
    </row>
    <row r="114" spans="1:2">
      <c r="A114" s="162">
        <v>24777</v>
      </c>
      <c r="B114" s="161">
        <v>2.7355623100000002</v>
      </c>
    </row>
    <row r="115" spans="1:2">
      <c r="A115" s="162">
        <v>24807</v>
      </c>
      <c r="B115" s="161">
        <v>3.0395136780000001</v>
      </c>
    </row>
    <row r="116" spans="1:2">
      <c r="A116" s="162">
        <v>24838</v>
      </c>
      <c r="B116" s="161">
        <v>3.6474164130000002</v>
      </c>
    </row>
    <row r="117" spans="1:2">
      <c r="A117" s="162">
        <v>24869</v>
      </c>
      <c r="B117" s="161">
        <v>3.9513677810000001</v>
      </c>
    </row>
    <row r="118" spans="1:2">
      <c r="A118" s="162">
        <v>24898</v>
      </c>
      <c r="B118" s="161">
        <v>3.9393939389999999</v>
      </c>
    </row>
    <row r="119" spans="1:2">
      <c r="A119" s="162">
        <v>24929</v>
      </c>
      <c r="B119" s="161">
        <v>3.9274924470000001</v>
      </c>
    </row>
    <row r="120" spans="1:2">
      <c r="A120" s="162">
        <v>24959</v>
      </c>
      <c r="B120" s="161">
        <v>3.9156626509999999</v>
      </c>
    </row>
    <row r="121" spans="1:2">
      <c r="A121" s="162">
        <v>24990</v>
      </c>
      <c r="B121" s="161">
        <v>4.2042042039999998</v>
      </c>
    </row>
    <row r="122" spans="1:2">
      <c r="A122" s="162">
        <v>25020</v>
      </c>
      <c r="B122" s="161">
        <v>4.4910179640000001</v>
      </c>
    </row>
    <row r="123" spans="1:2">
      <c r="A123" s="162">
        <v>25051</v>
      </c>
      <c r="B123" s="161">
        <v>4.4776119400000001</v>
      </c>
    </row>
    <row r="124" spans="1:2">
      <c r="A124" s="162">
        <v>25082</v>
      </c>
      <c r="B124" s="161">
        <v>4.4642857139999998</v>
      </c>
    </row>
    <row r="125" spans="1:2">
      <c r="A125" s="162">
        <v>25112</v>
      </c>
      <c r="B125" s="161">
        <v>4.7477744810000004</v>
      </c>
    </row>
    <row r="126" spans="1:2">
      <c r="A126" s="162">
        <v>25143</v>
      </c>
      <c r="B126" s="161">
        <v>4.7337278109999996</v>
      </c>
    </row>
    <row r="127" spans="1:2">
      <c r="A127" s="162">
        <v>25173</v>
      </c>
      <c r="B127" s="161">
        <v>4.7197640119999997</v>
      </c>
    </row>
    <row r="128" spans="1:2">
      <c r="A128" s="162">
        <v>25204</v>
      </c>
      <c r="B128" s="161">
        <v>4.3988269789999999</v>
      </c>
    </row>
    <row r="129" spans="1:2">
      <c r="A129" s="162">
        <v>25235</v>
      </c>
      <c r="B129" s="161">
        <v>4.6783625730000002</v>
      </c>
    </row>
    <row r="130" spans="1:2">
      <c r="A130" s="162">
        <v>25263</v>
      </c>
      <c r="B130" s="161">
        <v>5.2478134110000001</v>
      </c>
    </row>
    <row r="131" spans="1:2">
      <c r="A131" s="162">
        <v>25294</v>
      </c>
      <c r="B131" s="161">
        <v>5.5232558139999997</v>
      </c>
    </row>
    <row r="132" spans="1:2">
      <c r="A132" s="162">
        <v>25324</v>
      </c>
      <c r="B132" s="161">
        <v>5.5072463770000004</v>
      </c>
    </row>
    <row r="133" spans="1:2">
      <c r="A133" s="162">
        <v>25355</v>
      </c>
      <c r="B133" s="161">
        <v>5.475504323</v>
      </c>
    </row>
    <row r="134" spans="1:2">
      <c r="A134" s="162">
        <v>25385</v>
      </c>
      <c r="B134" s="161">
        <v>5.4441260739999997</v>
      </c>
    </row>
    <row r="135" spans="1:2">
      <c r="A135" s="162">
        <v>25416</v>
      </c>
      <c r="B135" s="161">
        <v>5.7142857139999998</v>
      </c>
    </row>
    <row r="136" spans="1:2">
      <c r="A136" s="162">
        <v>25447</v>
      </c>
      <c r="B136" s="161">
        <v>5.6980056980000002</v>
      </c>
    </row>
    <row r="137" spans="1:2">
      <c r="A137" s="162">
        <v>25477</v>
      </c>
      <c r="B137" s="161">
        <v>5.6657223800000001</v>
      </c>
    </row>
    <row r="138" spans="1:2">
      <c r="A138" s="162">
        <v>25508</v>
      </c>
      <c r="B138" s="161">
        <v>5.9322033899999997</v>
      </c>
    </row>
    <row r="139" spans="1:2">
      <c r="A139" s="162">
        <v>25538</v>
      </c>
      <c r="B139" s="161">
        <v>6.1971830990000001</v>
      </c>
    </row>
    <row r="140" spans="1:2">
      <c r="A140" s="162">
        <v>25569</v>
      </c>
      <c r="B140" s="161">
        <v>6.1797752810000004</v>
      </c>
    </row>
    <row r="141" spans="1:2">
      <c r="A141" s="162">
        <v>25600</v>
      </c>
      <c r="B141" s="161">
        <v>6.145251397</v>
      </c>
    </row>
    <row r="142" spans="1:2">
      <c r="A142" s="162">
        <v>25628</v>
      </c>
      <c r="B142" s="161">
        <v>5.8171745149999996</v>
      </c>
    </row>
    <row r="143" spans="1:2">
      <c r="A143" s="162">
        <v>25659</v>
      </c>
      <c r="B143" s="161">
        <v>6.0606060609999997</v>
      </c>
    </row>
    <row r="144" spans="1:2">
      <c r="A144" s="162">
        <v>25689</v>
      </c>
      <c r="B144" s="161">
        <v>6.0439560439999997</v>
      </c>
    </row>
    <row r="145" spans="1:2">
      <c r="A145" s="162">
        <v>25720</v>
      </c>
      <c r="B145" s="161">
        <v>6.0109289620000004</v>
      </c>
    </row>
    <row r="146" spans="1:2">
      <c r="A146" s="162">
        <v>25750</v>
      </c>
      <c r="B146" s="161">
        <v>5.9782608699999997</v>
      </c>
    </row>
    <row r="147" spans="1:2">
      <c r="A147" s="162">
        <v>25781</v>
      </c>
      <c r="B147" s="161">
        <v>5.4054054049999998</v>
      </c>
    </row>
    <row r="148" spans="1:2">
      <c r="A148" s="162">
        <v>25812</v>
      </c>
      <c r="B148" s="161">
        <v>5.6603773579999999</v>
      </c>
    </row>
    <row r="149" spans="1:2">
      <c r="A149" s="162">
        <v>25842</v>
      </c>
      <c r="B149" s="161">
        <v>5.6300268100000004</v>
      </c>
    </row>
    <row r="150" spans="1:2">
      <c r="A150" s="162">
        <v>25873</v>
      </c>
      <c r="B150" s="161">
        <v>5.6</v>
      </c>
    </row>
    <row r="151" spans="1:2">
      <c r="A151" s="162">
        <v>25903</v>
      </c>
      <c r="B151" s="161">
        <v>5.5702917769999996</v>
      </c>
    </row>
    <row r="152" spans="1:2">
      <c r="A152" s="162">
        <v>25934</v>
      </c>
      <c r="B152" s="161">
        <v>5.2910052910000003</v>
      </c>
    </row>
    <row r="153" spans="1:2">
      <c r="A153" s="162">
        <v>25965</v>
      </c>
      <c r="B153" s="161">
        <v>5</v>
      </c>
    </row>
    <row r="154" spans="1:2">
      <c r="A154" s="162">
        <v>25993</v>
      </c>
      <c r="B154" s="161">
        <v>4.7120418849999997</v>
      </c>
    </row>
    <row r="155" spans="1:2">
      <c r="A155" s="162">
        <v>26024</v>
      </c>
      <c r="B155" s="161">
        <v>4.1558441559999997</v>
      </c>
    </row>
    <row r="156" spans="1:2">
      <c r="A156" s="162">
        <v>26054</v>
      </c>
      <c r="B156" s="161">
        <v>4.404145078</v>
      </c>
    </row>
    <row r="157" spans="1:2">
      <c r="A157" s="162">
        <v>26085</v>
      </c>
      <c r="B157" s="161">
        <v>4.6391752579999999</v>
      </c>
    </row>
    <row r="158" spans="1:2">
      <c r="A158" s="162">
        <v>26115</v>
      </c>
      <c r="B158" s="161">
        <v>4.3589743590000003</v>
      </c>
    </row>
    <row r="159" spans="1:2">
      <c r="A159" s="162">
        <v>26146</v>
      </c>
      <c r="B159" s="161">
        <v>4.615384615</v>
      </c>
    </row>
    <row r="160" spans="1:2">
      <c r="A160" s="162">
        <v>26177</v>
      </c>
      <c r="B160" s="161">
        <v>4.0816326529999998</v>
      </c>
    </row>
    <row r="161" spans="1:2">
      <c r="A161" s="162">
        <v>26207</v>
      </c>
      <c r="B161" s="161">
        <v>3.8071065989999999</v>
      </c>
    </row>
    <row r="162" spans="1:2">
      <c r="A162" s="162">
        <v>26238</v>
      </c>
      <c r="B162" s="161">
        <v>3.2828282830000002</v>
      </c>
    </row>
    <row r="163" spans="1:2">
      <c r="A163" s="162">
        <v>26268</v>
      </c>
      <c r="B163" s="161">
        <v>3.2663316579999999</v>
      </c>
    </row>
    <row r="164" spans="1:2">
      <c r="A164" s="162">
        <v>26299</v>
      </c>
      <c r="B164" s="161">
        <v>3.2663316579999999</v>
      </c>
    </row>
    <row r="165" spans="1:2">
      <c r="A165" s="162">
        <v>26330</v>
      </c>
      <c r="B165" s="161">
        <v>3.50877193</v>
      </c>
    </row>
    <row r="166" spans="1:2">
      <c r="A166" s="162">
        <v>26359</v>
      </c>
      <c r="B166" s="161">
        <v>3.5</v>
      </c>
    </row>
    <row r="167" spans="1:2">
      <c r="A167" s="162">
        <v>26390</v>
      </c>
      <c r="B167" s="161">
        <v>3.4912718200000001</v>
      </c>
    </row>
    <row r="168" spans="1:2">
      <c r="A168" s="162">
        <v>26420</v>
      </c>
      <c r="B168" s="161">
        <v>3.225806452</v>
      </c>
    </row>
    <row r="169" spans="1:2">
      <c r="A169" s="162">
        <v>26451</v>
      </c>
      <c r="B169" s="161">
        <v>2.709359606</v>
      </c>
    </row>
    <row r="170" spans="1:2">
      <c r="A170" s="162">
        <v>26481</v>
      </c>
      <c r="B170" s="161">
        <v>2.948402948</v>
      </c>
    </row>
    <row r="171" spans="1:2">
      <c r="A171" s="162">
        <v>26512</v>
      </c>
      <c r="B171" s="161">
        <v>2.9411764709999999</v>
      </c>
    </row>
    <row r="172" spans="1:2">
      <c r="A172" s="162">
        <v>26543</v>
      </c>
      <c r="B172" s="161">
        <v>3.1862745100000001</v>
      </c>
    </row>
    <row r="173" spans="1:2">
      <c r="A173" s="162">
        <v>26573</v>
      </c>
      <c r="B173" s="161">
        <v>3.4229828850000001</v>
      </c>
    </row>
    <row r="174" spans="1:2">
      <c r="A174" s="162">
        <v>26604</v>
      </c>
      <c r="B174" s="161">
        <v>3.6674816629999998</v>
      </c>
    </row>
    <row r="175" spans="1:2">
      <c r="A175" s="162">
        <v>26634</v>
      </c>
      <c r="B175" s="161">
        <v>3.4063260340000001</v>
      </c>
    </row>
    <row r="176" spans="1:2">
      <c r="A176" s="162">
        <v>26665</v>
      </c>
      <c r="B176" s="161">
        <v>3.6496350359999998</v>
      </c>
    </row>
    <row r="177" spans="1:2">
      <c r="A177" s="162">
        <v>26696</v>
      </c>
      <c r="B177" s="161">
        <v>3.87409201</v>
      </c>
    </row>
    <row r="178" spans="1:2">
      <c r="A178" s="162">
        <v>26724</v>
      </c>
      <c r="B178" s="161">
        <v>4.5893719810000002</v>
      </c>
    </row>
    <row r="179" spans="1:2">
      <c r="A179" s="162">
        <v>26755</v>
      </c>
      <c r="B179" s="161">
        <v>5.0602409640000001</v>
      </c>
    </row>
    <row r="180" spans="1:2">
      <c r="A180" s="162">
        <v>26785</v>
      </c>
      <c r="B180" s="161">
        <v>5.528846154</v>
      </c>
    </row>
    <row r="181" spans="1:2">
      <c r="A181" s="162">
        <v>26816</v>
      </c>
      <c r="B181" s="161">
        <v>5.995203837</v>
      </c>
    </row>
    <row r="182" spans="1:2">
      <c r="A182" s="162">
        <v>26846</v>
      </c>
      <c r="B182" s="161">
        <v>5.7279236280000001</v>
      </c>
    </row>
    <row r="183" spans="1:2">
      <c r="A183" s="162">
        <v>26877</v>
      </c>
      <c r="B183" s="161">
        <v>7.3809523810000002</v>
      </c>
    </row>
    <row r="184" spans="1:2">
      <c r="A184" s="162">
        <v>26908</v>
      </c>
      <c r="B184" s="161">
        <v>7.3634204280000004</v>
      </c>
    </row>
    <row r="185" spans="1:2">
      <c r="A185" s="162">
        <v>26938</v>
      </c>
      <c r="B185" s="161">
        <v>7.80141844</v>
      </c>
    </row>
    <row r="186" spans="1:2">
      <c r="A186" s="162">
        <v>26969</v>
      </c>
      <c r="B186" s="161">
        <v>8.2547169809999996</v>
      </c>
    </row>
    <row r="187" spans="1:2">
      <c r="A187" s="162">
        <v>26999</v>
      </c>
      <c r="B187" s="161">
        <v>8.7058823529999998</v>
      </c>
    </row>
    <row r="188" spans="1:2">
      <c r="A188" s="162">
        <v>27030</v>
      </c>
      <c r="B188" s="161">
        <v>9.3896713619999996</v>
      </c>
    </row>
    <row r="189" spans="1:2">
      <c r="A189" s="162">
        <v>27061</v>
      </c>
      <c r="B189" s="161">
        <v>10.02331002</v>
      </c>
    </row>
    <row r="190" spans="1:2">
      <c r="A190" s="162">
        <v>27089</v>
      </c>
      <c r="B190" s="161">
        <v>10.3926097</v>
      </c>
    </row>
    <row r="191" spans="1:2">
      <c r="A191" s="162">
        <v>27120</v>
      </c>
      <c r="B191" s="161">
        <v>10.09174312</v>
      </c>
    </row>
    <row r="192" spans="1:2">
      <c r="A192" s="162">
        <v>27150</v>
      </c>
      <c r="B192" s="161">
        <v>10.706150340000001</v>
      </c>
    </row>
    <row r="193" spans="1:2">
      <c r="A193" s="162">
        <v>27181</v>
      </c>
      <c r="B193" s="161">
        <v>10.85972851</v>
      </c>
    </row>
    <row r="194" spans="1:2">
      <c r="A194" s="162">
        <v>27211</v>
      </c>
      <c r="B194" s="161">
        <v>11.512415349999999</v>
      </c>
    </row>
    <row r="195" spans="1:2">
      <c r="A195" s="162">
        <v>27242</v>
      </c>
      <c r="B195" s="161">
        <v>10.86474501</v>
      </c>
    </row>
    <row r="196" spans="1:2">
      <c r="A196" s="162">
        <v>27273</v>
      </c>
      <c r="B196" s="161">
        <v>11.94690265</v>
      </c>
    </row>
    <row r="197" spans="1:2">
      <c r="A197" s="162">
        <v>27303</v>
      </c>
      <c r="B197" s="161">
        <v>12.06140351</v>
      </c>
    </row>
    <row r="198" spans="1:2">
      <c r="A198" s="162">
        <v>27334</v>
      </c>
      <c r="B198" s="161">
        <v>12.200435730000001</v>
      </c>
    </row>
    <row r="199" spans="1:2">
      <c r="A199" s="162">
        <v>27364</v>
      </c>
      <c r="B199" s="161">
        <v>12.33766234</v>
      </c>
    </row>
    <row r="200" spans="1:2">
      <c r="A200" s="162">
        <v>27395</v>
      </c>
      <c r="B200" s="161">
        <v>11.802575109999999</v>
      </c>
    </row>
    <row r="201" spans="1:2">
      <c r="A201" s="162">
        <v>27426</v>
      </c>
      <c r="B201" s="161">
        <v>11.228813560000001</v>
      </c>
    </row>
    <row r="202" spans="1:2">
      <c r="A202" s="162">
        <v>27454</v>
      </c>
      <c r="B202" s="161">
        <v>10.251046029999999</v>
      </c>
    </row>
    <row r="203" spans="1:2">
      <c r="A203" s="162">
        <v>27485</v>
      </c>
      <c r="B203" s="161">
        <v>10.20833333</v>
      </c>
    </row>
    <row r="204" spans="1:2">
      <c r="A204" s="162">
        <v>27515</v>
      </c>
      <c r="B204" s="161">
        <v>9.4650205760000006</v>
      </c>
    </row>
    <row r="205" spans="1:2">
      <c r="A205" s="162">
        <v>27546</v>
      </c>
      <c r="B205" s="161">
        <v>9.3877551019999999</v>
      </c>
    </row>
    <row r="206" spans="1:2">
      <c r="A206" s="162">
        <v>27576</v>
      </c>
      <c r="B206" s="161">
        <v>9.7165991900000002</v>
      </c>
    </row>
    <row r="207" spans="1:2">
      <c r="A207" s="162">
        <v>27607</v>
      </c>
      <c r="B207" s="161">
        <v>8.6</v>
      </c>
    </row>
    <row r="208" spans="1:2">
      <c r="A208" s="162">
        <v>27638</v>
      </c>
      <c r="B208" s="161">
        <v>7.9051383399999997</v>
      </c>
    </row>
    <row r="209" spans="1:2">
      <c r="A209" s="162">
        <v>27668</v>
      </c>
      <c r="B209" s="161">
        <v>7.436399217</v>
      </c>
    </row>
    <row r="210" spans="1:2">
      <c r="A210" s="162">
        <v>27699</v>
      </c>
      <c r="B210" s="161">
        <v>7.3786407770000002</v>
      </c>
    </row>
    <row r="211" spans="1:2">
      <c r="A211" s="162">
        <v>27729</v>
      </c>
      <c r="B211" s="161">
        <v>6.9364161849999997</v>
      </c>
    </row>
    <row r="212" spans="1:2">
      <c r="A212" s="162">
        <v>27760</v>
      </c>
      <c r="B212" s="161">
        <v>6.7178502880000002</v>
      </c>
    </row>
    <row r="213" spans="1:2">
      <c r="A213" s="162">
        <v>27791</v>
      </c>
      <c r="B213" s="161">
        <v>6.2857142860000002</v>
      </c>
    </row>
    <row r="214" spans="1:2">
      <c r="A214" s="162">
        <v>27820</v>
      </c>
      <c r="B214" s="161">
        <v>6.0721062620000001</v>
      </c>
    </row>
    <row r="215" spans="1:2">
      <c r="A215" s="162">
        <v>27851</v>
      </c>
      <c r="B215" s="161">
        <v>6.0491493380000003</v>
      </c>
    </row>
    <row r="216" spans="1:2">
      <c r="A216" s="162">
        <v>27881</v>
      </c>
      <c r="B216" s="161">
        <v>6.2030075189999998</v>
      </c>
    </row>
    <row r="217" spans="1:2">
      <c r="A217" s="162">
        <v>27912</v>
      </c>
      <c r="B217" s="161">
        <v>5.9701492539999998</v>
      </c>
    </row>
    <row r="218" spans="1:2">
      <c r="A218" s="162">
        <v>27942</v>
      </c>
      <c r="B218" s="161">
        <v>5.3505535059999998</v>
      </c>
    </row>
    <row r="219" spans="1:2">
      <c r="A219" s="162">
        <v>27973</v>
      </c>
      <c r="B219" s="161">
        <v>5.7090239409999999</v>
      </c>
    </row>
    <row r="220" spans="1:2">
      <c r="A220" s="162">
        <v>28004</v>
      </c>
      <c r="B220" s="161">
        <v>5.4945054950000003</v>
      </c>
    </row>
    <row r="221" spans="1:2">
      <c r="A221" s="162">
        <v>28034</v>
      </c>
      <c r="B221" s="161">
        <v>5.4644808740000004</v>
      </c>
    </row>
    <row r="222" spans="1:2">
      <c r="A222" s="162">
        <v>28065</v>
      </c>
      <c r="B222" s="161">
        <v>4.882459313</v>
      </c>
    </row>
    <row r="223" spans="1:2">
      <c r="A223" s="162">
        <v>28095</v>
      </c>
      <c r="B223" s="161">
        <v>4.8648648650000004</v>
      </c>
    </row>
    <row r="224" spans="1:2">
      <c r="A224" s="162">
        <v>28126</v>
      </c>
      <c r="B224" s="161">
        <v>5.2158273380000004</v>
      </c>
    </row>
    <row r="225" spans="1:2">
      <c r="A225" s="162">
        <v>28157</v>
      </c>
      <c r="B225" s="161">
        <v>5.9139784950000003</v>
      </c>
    </row>
    <row r="226" spans="1:2">
      <c r="A226" s="162">
        <v>28185</v>
      </c>
      <c r="B226" s="161">
        <v>6.4400715560000004</v>
      </c>
    </row>
    <row r="227" spans="1:2">
      <c r="A227" s="162">
        <v>28216</v>
      </c>
      <c r="B227" s="161">
        <v>6.951871658</v>
      </c>
    </row>
    <row r="228" spans="1:2">
      <c r="A228" s="162">
        <v>28246</v>
      </c>
      <c r="B228" s="161">
        <v>6.7256637169999998</v>
      </c>
    </row>
    <row r="229" spans="1:2">
      <c r="A229" s="162">
        <v>28277</v>
      </c>
      <c r="B229" s="161">
        <v>6.8661971829999997</v>
      </c>
    </row>
    <row r="230" spans="1:2">
      <c r="A230" s="162">
        <v>28307</v>
      </c>
      <c r="B230" s="161">
        <v>6.8301225920000004</v>
      </c>
    </row>
    <row r="231" spans="1:2">
      <c r="A231" s="162">
        <v>28338</v>
      </c>
      <c r="B231" s="161">
        <v>6.6202090589999996</v>
      </c>
    </row>
    <row r="232" spans="1:2">
      <c r="A232" s="162">
        <v>28369</v>
      </c>
      <c r="B232" s="161">
        <v>6.5972222220000001</v>
      </c>
    </row>
    <row r="233" spans="1:2">
      <c r="A233" s="162">
        <v>28399</v>
      </c>
      <c r="B233" s="161">
        <v>6.3903281520000004</v>
      </c>
    </row>
    <row r="234" spans="1:2">
      <c r="A234" s="162">
        <v>28430</v>
      </c>
      <c r="B234" s="161">
        <v>6.7241379309999996</v>
      </c>
    </row>
    <row r="235" spans="1:2">
      <c r="A235" s="162">
        <v>28460</v>
      </c>
      <c r="B235" s="161">
        <v>6.7010309279999998</v>
      </c>
    </row>
    <row r="236" spans="1:2">
      <c r="A236" s="162">
        <v>28491</v>
      </c>
      <c r="B236" s="161">
        <v>6.8376068380000001</v>
      </c>
    </row>
    <row r="237" spans="1:2">
      <c r="A237" s="162">
        <v>28522</v>
      </c>
      <c r="B237" s="161">
        <v>6.4297800340000002</v>
      </c>
    </row>
    <row r="238" spans="1:2">
      <c r="A238" s="162">
        <v>28550</v>
      </c>
      <c r="B238" s="161">
        <v>6.5546218490000001</v>
      </c>
    </row>
    <row r="239" spans="1:2">
      <c r="A239" s="162">
        <v>28581</v>
      </c>
      <c r="B239" s="161">
        <v>6.5</v>
      </c>
    </row>
    <row r="240" spans="1:2">
      <c r="A240" s="162">
        <v>28611</v>
      </c>
      <c r="B240" s="161">
        <v>6.9651741290000002</v>
      </c>
    </row>
    <row r="241" spans="1:2">
      <c r="A241" s="162">
        <v>28642</v>
      </c>
      <c r="B241" s="161">
        <v>7.4135090610000001</v>
      </c>
    </row>
    <row r="242" spans="1:2">
      <c r="A242" s="162">
        <v>28672</v>
      </c>
      <c r="B242" s="161">
        <v>7.7049180330000002</v>
      </c>
    </row>
    <row r="243" spans="1:2">
      <c r="A243" s="162">
        <v>28703</v>
      </c>
      <c r="B243" s="161">
        <v>7.8431372550000003</v>
      </c>
    </row>
    <row r="244" spans="1:2">
      <c r="A244" s="162">
        <v>28734</v>
      </c>
      <c r="B244" s="161">
        <v>8.3061889250000007</v>
      </c>
    </row>
    <row r="245" spans="1:2">
      <c r="A245" s="162">
        <v>28764</v>
      </c>
      <c r="B245" s="161">
        <v>8.9285714289999998</v>
      </c>
    </row>
    <row r="246" spans="1:2">
      <c r="A246" s="162">
        <v>28795</v>
      </c>
      <c r="B246" s="161">
        <v>8.8852988689999997</v>
      </c>
    </row>
    <row r="247" spans="1:2">
      <c r="A247" s="162">
        <v>28825</v>
      </c>
      <c r="B247" s="161">
        <v>9.0177133660000006</v>
      </c>
    </row>
    <row r="248" spans="1:2">
      <c r="A248" s="162">
        <v>28856</v>
      </c>
      <c r="B248" s="161">
        <v>9.2799999999999994</v>
      </c>
    </row>
    <row r="249" spans="1:2">
      <c r="A249" s="162">
        <v>28887</v>
      </c>
      <c r="B249" s="161">
        <v>9.8569157389999997</v>
      </c>
    </row>
    <row r="250" spans="1:2">
      <c r="A250" s="162">
        <v>28915</v>
      </c>
      <c r="B250" s="161">
        <v>10.094637219999999</v>
      </c>
    </row>
    <row r="251" spans="1:2">
      <c r="A251" s="162">
        <v>28946</v>
      </c>
      <c r="B251" s="161">
        <v>10.485133019999999</v>
      </c>
    </row>
    <row r="252" spans="1:2">
      <c r="A252" s="162">
        <v>28976</v>
      </c>
      <c r="B252" s="161">
        <v>10.85271318</v>
      </c>
    </row>
    <row r="253" spans="1:2">
      <c r="A253" s="162">
        <v>29007</v>
      </c>
      <c r="B253" s="161">
        <v>10.88957055</v>
      </c>
    </row>
    <row r="254" spans="1:2">
      <c r="A254" s="162">
        <v>29037</v>
      </c>
      <c r="B254" s="161">
        <v>11.26331811</v>
      </c>
    </row>
    <row r="255" spans="1:2">
      <c r="A255" s="162">
        <v>29068</v>
      </c>
      <c r="B255" s="161">
        <v>11.81818182</v>
      </c>
    </row>
    <row r="256" spans="1:2">
      <c r="A256" s="162">
        <v>29099</v>
      </c>
      <c r="B256" s="161">
        <v>12.18045113</v>
      </c>
    </row>
    <row r="257" spans="1:2">
      <c r="A257" s="162">
        <v>29129</v>
      </c>
      <c r="B257" s="161">
        <v>12.071535020000001</v>
      </c>
    </row>
    <row r="258" spans="1:2">
      <c r="A258" s="162">
        <v>29160</v>
      </c>
      <c r="B258" s="161">
        <v>12.61127596</v>
      </c>
    </row>
    <row r="259" spans="1:2">
      <c r="A259" s="162">
        <v>29190</v>
      </c>
      <c r="B259" s="161">
        <v>13.29394387</v>
      </c>
    </row>
    <row r="260" spans="1:2">
      <c r="A260" s="162">
        <v>29221</v>
      </c>
      <c r="B260" s="161">
        <v>13.909224010000001</v>
      </c>
    </row>
    <row r="261" spans="1:2">
      <c r="A261" s="162">
        <v>29252</v>
      </c>
      <c r="B261" s="161">
        <v>14.182344430000001</v>
      </c>
    </row>
    <row r="262" spans="1:2">
      <c r="A262" s="162">
        <v>29281</v>
      </c>
      <c r="B262" s="161">
        <v>14.756446990000001</v>
      </c>
    </row>
    <row r="263" spans="1:2">
      <c r="A263" s="162">
        <v>29312</v>
      </c>
      <c r="B263" s="161">
        <v>14.73087819</v>
      </c>
    </row>
    <row r="264" spans="1:2">
      <c r="A264" s="162">
        <v>29342</v>
      </c>
      <c r="B264" s="161">
        <v>14.405594410000001</v>
      </c>
    </row>
    <row r="265" spans="1:2">
      <c r="A265" s="162">
        <v>29373</v>
      </c>
      <c r="B265" s="161">
        <v>14.38450899</v>
      </c>
    </row>
    <row r="266" spans="1:2">
      <c r="A266" s="162">
        <v>29403</v>
      </c>
      <c r="B266" s="161">
        <v>13.13269494</v>
      </c>
    </row>
    <row r="267" spans="1:2">
      <c r="A267" s="162">
        <v>29434</v>
      </c>
      <c r="B267" s="161">
        <v>12.872628730000001</v>
      </c>
    </row>
    <row r="268" spans="1:2">
      <c r="A268" s="162">
        <v>29465</v>
      </c>
      <c r="B268" s="161">
        <v>12.60053619</v>
      </c>
    </row>
    <row r="269" spans="1:2">
      <c r="A269" s="162">
        <v>29495</v>
      </c>
      <c r="B269" s="161">
        <v>12.76595745</v>
      </c>
    </row>
    <row r="270" spans="1:2">
      <c r="A270" s="162">
        <v>29526</v>
      </c>
      <c r="B270" s="161">
        <v>12.648221339999999</v>
      </c>
    </row>
    <row r="271" spans="1:2">
      <c r="A271" s="162">
        <v>29556</v>
      </c>
      <c r="B271" s="161">
        <v>12.51629726</v>
      </c>
    </row>
    <row r="272" spans="1:2">
      <c r="A272" s="162">
        <v>29587</v>
      </c>
      <c r="B272" s="161">
        <v>11.8251928</v>
      </c>
    </row>
    <row r="273" spans="1:2">
      <c r="A273" s="162">
        <v>29618</v>
      </c>
      <c r="B273" s="161">
        <v>11.40684411</v>
      </c>
    </row>
    <row r="274" spans="1:2">
      <c r="A274" s="162">
        <v>29646</v>
      </c>
      <c r="B274" s="161">
        <v>10.48689139</v>
      </c>
    </row>
    <row r="275" spans="1:2">
      <c r="A275" s="162">
        <v>29677</v>
      </c>
      <c r="B275" s="161">
        <v>10</v>
      </c>
    </row>
    <row r="276" spans="1:2">
      <c r="A276" s="162">
        <v>29707</v>
      </c>
      <c r="B276" s="161">
        <v>9.7799510999999999</v>
      </c>
    </row>
    <row r="277" spans="1:2">
      <c r="A277" s="162">
        <v>29738</v>
      </c>
      <c r="B277" s="161">
        <v>9.5525997579999995</v>
      </c>
    </row>
    <row r="278" spans="1:2">
      <c r="A278" s="162">
        <v>29768</v>
      </c>
      <c r="B278" s="161">
        <v>10.7617896</v>
      </c>
    </row>
    <row r="279" spans="1:2">
      <c r="A279" s="162">
        <v>29799</v>
      </c>
      <c r="B279" s="161">
        <v>10.80432173</v>
      </c>
    </row>
    <row r="280" spans="1:2">
      <c r="A280" s="162">
        <v>29830</v>
      </c>
      <c r="B280" s="161">
        <v>10.95238095</v>
      </c>
    </row>
    <row r="281" spans="1:2">
      <c r="A281" s="162">
        <v>29860</v>
      </c>
      <c r="B281" s="161">
        <v>10.141509429999999</v>
      </c>
    </row>
    <row r="282" spans="1:2">
      <c r="A282" s="162">
        <v>29891</v>
      </c>
      <c r="B282" s="161">
        <v>9.5906432749999997</v>
      </c>
    </row>
    <row r="283" spans="1:2">
      <c r="A283" s="162">
        <v>29921</v>
      </c>
      <c r="B283" s="161">
        <v>8.9223638469999997</v>
      </c>
    </row>
    <row r="284" spans="1:2">
      <c r="A284" s="162">
        <v>29952</v>
      </c>
      <c r="B284" s="161">
        <v>8.3908045980000008</v>
      </c>
    </row>
    <row r="285" spans="1:2">
      <c r="A285" s="162">
        <v>29983</v>
      </c>
      <c r="B285" s="161">
        <v>7.6222980659999999</v>
      </c>
    </row>
    <row r="286" spans="1:2">
      <c r="A286" s="162">
        <v>30011</v>
      </c>
      <c r="B286" s="161">
        <v>6.7796610169999996</v>
      </c>
    </row>
    <row r="287" spans="1:2">
      <c r="A287" s="162">
        <v>30042</v>
      </c>
      <c r="B287" s="161">
        <v>6.5095398429999998</v>
      </c>
    </row>
    <row r="288" spans="1:2">
      <c r="A288" s="162">
        <v>30072</v>
      </c>
      <c r="B288" s="161">
        <v>6.6815144770000003</v>
      </c>
    </row>
    <row r="289" spans="1:2">
      <c r="A289" s="162">
        <v>30103</v>
      </c>
      <c r="B289" s="161">
        <v>7.0640176600000002</v>
      </c>
    </row>
    <row r="290" spans="1:2">
      <c r="A290" s="162">
        <v>30133</v>
      </c>
      <c r="B290" s="161">
        <v>6.4410480349999997</v>
      </c>
    </row>
    <row r="291" spans="1:2">
      <c r="A291" s="162">
        <v>30164</v>
      </c>
      <c r="B291" s="161">
        <v>5.8504875409999997</v>
      </c>
    </row>
    <row r="292" spans="1:2">
      <c r="A292" s="162">
        <v>30195</v>
      </c>
      <c r="B292" s="161">
        <v>5.0429184549999997</v>
      </c>
    </row>
    <row r="293" spans="1:2">
      <c r="A293" s="162">
        <v>30225</v>
      </c>
      <c r="B293" s="161">
        <v>5.1391862960000001</v>
      </c>
    </row>
    <row r="294" spans="1:2">
      <c r="A294" s="162">
        <v>30256</v>
      </c>
      <c r="B294" s="161">
        <v>4.5891141940000004</v>
      </c>
    </row>
    <row r="295" spans="1:2">
      <c r="A295" s="162">
        <v>30286</v>
      </c>
      <c r="B295" s="161">
        <v>3.8297872339999999</v>
      </c>
    </row>
    <row r="296" spans="1:2">
      <c r="A296" s="162">
        <v>30317</v>
      </c>
      <c r="B296" s="161">
        <v>3.7115588549999998</v>
      </c>
    </row>
    <row r="297" spans="1:2">
      <c r="A297" s="162">
        <v>30348</v>
      </c>
      <c r="B297" s="161">
        <v>3.4883720930000002</v>
      </c>
    </row>
    <row r="298" spans="1:2">
      <c r="A298" s="162">
        <v>30376</v>
      </c>
      <c r="B298" s="161">
        <v>3.5978835980000001</v>
      </c>
    </row>
    <row r="299" spans="1:2">
      <c r="A299" s="162">
        <v>30407</v>
      </c>
      <c r="B299" s="161">
        <v>3.8988408849999998</v>
      </c>
    </row>
    <row r="300" spans="1:2">
      <c r="A300" s="162">
        <v>30437</v>
      </c>
      <c r="B300" s="161">
        <v>3.549060543</v>
      </c>
    </row>
    <row r="301" spans="1:2">
      <c r="A301" s="162">
        <v>30468</v>
      </c>
      <c r="B301" s="161">
        <v>2.5773195879999999</v>
      </c>
    </row>
    <row r="302" spans="1:2">
      <c r="A302" s="162">
        <v>30498</v>
      </c>
      <c r="B302" s="161">
        <v>2.461538462</v>
      </c>
    </row>
    <row r="303" spans="1:2">
      <c r="A303" s="162">
        <v>30529</v>
      </c>
      <c r="B303" s="161">
        <v>2.5588536340000001</v>
      </c>
    </row>
    <row r="304" spans="1:2">
      <c r="A304" s="162">
        <v>30560</v>
      </c>
      <c r="B304" s="161">
        <v>2.8600612870000002</v>
      </c>
    </row>
    <row r="305" spans="1:2">
      <c r="A305" s="162">
        <v>30590</v>
      </c>
      <c r="B305" s="161">
        <v>2.851323829</v>
      </c>
    </row>
    <row r="306" spans="1:2">
      <c r="A306" s="162">
        <v>30621</v>
      </c>
      <c r="B306" s="161">
        <v>3.2653061220000001</v>
      </c>
    </row>
    <row r="307" spans="1:2">
      <c r="A307" s="162">
        <v>30651</v>
      </c>
      <c r="B307" s="161">
        <v>3.7909836069999998</v>
      </c>
    </row>
    <row r="308" spans="1:2">
      <c r="A308" s="162">
        <v>30682</v>
      </c>
      <c r="B308" s="161">
        <v>4.1922290389999999</v>
      </c>
    </row>
    <row r="309" spans="1:2">
      <c r="A309" s="162">
        <v>30713</v>
      </c>
      <c r="B309" s="161">
        <v>4.5965270680000003</v>
      </c>
    </row>
    <row r="310" spans="1:2">
      <c r="A310" s="162">
        <v>30742</v>
      </c>
      <c r="B310" s="161">
        <v>4.8008171600000002</v>
      </c>
    </row>
    <row r="311" spans="1:2">
      <c r="A311" s="162">
        <v>30773</v>
      </c>
      <c r="B311" s="161">
        <v>4.5638945230000001</v>
      </c>
    </row>
    <row r="312" spans="1:2">
      <c r="A312" s="162">
        <v>30803</v>
      </c>
      <c r="B312" s="161">
        <v>4.2338709679999997</v>
      </c>
    </row>
    <row r="313" spans="1:2">
      <c r="A313" s="162">
        <v>30834</v>
      </c>
      <c r="B313" s="161">
        <v>4.2211055279999998</v>
      </c>
    </row>
    <row r="314" spans="1:2">
      <c r="A314" s="162">
        <v>30864</v>
      </c>
      <c r="B314" s="161">
        <v>4.2042042039999998</v>
      </c>
    </row>
    <row r="315" spans="1:2">
      <c r="A315" s="162">
        <v>30895</v>
      </c>
      <c r="B315" s="161">
        <v>4.2914171659999996</v>
      </c>
    </row>
    <row r="316" spans="1:2">
      <c r="A316" s="162">
        <v>30926</v>
      </c>
      <c r="B316" s="161">
        <v>4.2701092349999996</v>
      </c>
    </row>
    <row r="317" spans="1:2">
      <c r="A317" s="162">
        <v>30956</v>
      </c>
      <c r="B317" s="161">
        <v>4.2574257429999998</v>
      </c>
    </row>
    <row r="318" spans="1:2">
      <c r="A318" s="162">
        <v>30987</v>
      </c>
      <c r="B318" s="161">
        <v>4.0513833989999997</v>
      </c>
    </row>
    <row r="319" spans="1:2">
      <c r="A319" s="162">
        <v>31017</v>
      </c>
      <c r="B319" s="161">
        <v>3.9486673250000002</v>
      </c>
    </row>
    <row r="320" spans="1:2">
      <c r="A320" s="162">
        <v>31048</v>
      </c>
      <c r="B320" s="161">
        <v>3.532875368</v>
      </c>
    </row>
    <row r="321" spans="1:2">
      <c r="A321" s="162">
        <v>31079</v>
      </c>
      <c r="B321" s="161">
        <v>3.515625</v>
      </c>
    </row>
    <row r="322" spans="1:2">
      <c r="A322" s="162">
        <v>31107</v>
      </c>
      <c r="B322" s="161">
        <v>3.703703704</v>
      </c>
    </row>
    <row r="323" spans="1:2">
      <c r="A323" s="162">
        <v>31138</v>
      </c>
      <c r="B323" s="161">
        <v>3.6857419980000001</v>
      </c>
    </row>
    <row r="324" spans="1:2">
      <c r="A324" s="162">
        <v>31168</v>
      </c>
      <c r="B324" s="161">
        <v>3.7717601549999999</v>
      </c>
    </row>
    <row r="325" spans="1:2">
      <c r="A325" s="162">
        <v>31199</v>
      </c>
      <c r="B325" s="161">
        <v>3.7608486019999998</v>
      </c>
    </row>
    <row r="326" spans="1:2">
      <c r="A326" s="162">
        <v>31229</v>
      </c>
      <c r="B326" s="161">
        <v>3.554274736</v>
      </c>
    </row>
    <row r="327" spans="1:2">
      <c r="A327" s="162">
        <v>31260</v>
      </c>
      <c r="B327" s="161">
        <v>3.3492822969999998</v>
      </c>
    </row>
    <row r="328" spans="1:2">
      <c r="A328" s="162">
        <v>31291</v>
      </c>
      <c r="B328" s="161">
        <v>3.1428571430000001</v>
      </c>
    </row>
    <row r="329" spans="1:2">
      <c r="A329" s="162">
        <v>31321</v>
      </c>
      <c r="B329" s="161">
        <v>3.228869896</v>
      </c>
    </row>
    <row r="330" spans="1:2">
      <c r="A330" s="162">
        <v>31352</v>
      </c>
      <c r="B330" s="161">
        <v>3.5137701799999999</v>
      </c>
    </row>
    <row r="331" spans="1:2">
      <c r="A331" s="162">
        <v>31382</v>
      </c>
      <c r="B331" s="161">
        <v>3.7986704649999998</v>
      </c>
    </row>
    <row r="332" spans="1:2">
      <c r="A332" s="162">
        <v>31413</v>
      </c>
      <c r="B332" s="161">
        <v>3.8862559239999999</v>
      </c>
    </row>
    <row r="333" spans="1:2">
      <c r="A333" s="162">
        <v>31444</v>
      </c>
      <c r="B333" s="161">
        <v>3.113207547</v>
      </c>
    </row>
    <row r="334" spans="1:2">
      <c r="A334" s="162">
        <v>31472</v>
      </c>
      <c r="B334" s="161">
        <v>2.2556390980000001</v>
      </c>
    </row>
    <row r="335" spans="1:2">
      <c r="A335" s="162">
        <v>31503</v>
      </c>
      <c r="B335" s="161">
        <v>1.590271282</v>
      </c>
    </row>
    <row r="336" spans="1:2">
      <c r="A336" s="162">
        <v>31533</v>
      </c>
      <c r="B336" s="161">
        <v>1.4911463190000001</v>
      </c>
    </row>
    <row r="337" spans="1:2">
      <c r="A337" s="162">
        <v>31564</v>
      </c>
      <c r="B337" s="161">
        <v>1.7657992570000001</v>
      </c>
    </row>
    <row r="338" spans="1:2">
      <c r="A338" s="162">
        <v>31594</v>
      </c>
      <c r="B338" s="161">
        <v>1.5769944339999999</v>
      </c>
    </row>
    <row r="339" spans="1:2">
      <c r="A339" s="162">
        <v>31625</v>
      </c>
      <c r="B339" s="161">
        <v>1.5740740740000001</v>
      </c>
    </row>
    <row r="340" spans="1:2">
      <c r="A340" s="162">
        <v>31656</v>
      </c>
      <c r="B340" s="161">
        <v>1.754385965</v>
      </c>
    </row>
    <row r="341" spans="1:2">
      <c r="A341" s="162">
        <v>31686</v>
      </c>
      <c r="B341" s="161">
        <v>1.471941122</v>
      </c>
    </row>
    <row r="342" spans="1:2">
      <c r="A342" s="162">
        <v>31717</v>
      </c>
      <c r="B342" s="161">
        <v>1.2844036700000001</v>
      </c>
    </row>
    <row r="343" spans="1:2">
      <c r="A343" s="162">
        <v>31747</v>
      </c>
      <c r="B343" s="161">
        <v>1.0978957</v>
      </c>
    </row>
    <row r="344" spans="1:2">
      <c r="A344" s="162">
        <v>31778</v>
      </c>
      <c r="B344" s="161">
        <v>1.4598540149999999</v>
      </c>
    </row>
    <row r="345" spans="1:2">
      <c r="A345" s="162">
        <v>31809</v>
      </c>
      <c r="B345" s="161">
        <v>2.1043000909999998</v>
      </c>
    </row>
    <row r="346" spans="1:2">
      <c r="A346" s="162">
        <v>31837</v>
      </c>
      <c r="B346" s="161">
        <v>3.0330882350000001</v>
      </c>
    </row>
    <row r="347" spans="1:2">
      <c r="A347" s="162">
        <v>31868</v>
      </c>
      <c r="B347" s="161">
        <v>3.775322284</v>
      </c>
    </row>
    <row r="348" spans="1:2">
      <c r="A348" s="162">
        <v>31898</v>
      </c>
      <c r="B348" s="161">
        <v>3.8567493110000002</v>
      </c>
    </row>
    <row r="349" spans="1:2">
      <c r="A349" s="162">
        <v>31929</v>
      </c>
      <c r="B349" s="161">
        <v>3.6529680369999999</v>
      </c>
    </row>
    <row r="350" spans="1:2">
      <c r="A350" s="162">
        <v>31959</v>
      </c>
      <c r="B350" s="161">
        <v>3.9269406390000001</v>
      </c>
    </row>
    <row r="351" spans="1:2">
      <c r="A351" s="162">
        <v>31990</v>
      </c>
      <c r="B351" s="161">
        <v>4.2844120329999997</v>
      </c>
    </row>
    <row r="352" spans="1:2">
      <c r="A352" s="162">
        <v>32021</v>
      </c>
      <c r="B352" s="161">
        <v>4.355716878</v>
      </c>
    </row>
    <row r="353" spans="1:2">
      <c r="A353" s="162">
        <v>32051</v>
      </c>
      <c r="B353" s="161">
        <v>4.5330915679999997</v>
      </c>
    </row>
    <row r="354" spans="1:2">
      <c r="A354" s="162">
        <v>32082</v>
      </c>
      <c r="B354" s="161">
        <v>4.5289855069999998</v>
      </c>
    </row>
    <row r="355" spans="1:2">
      <c r="A355" s="162">
        <v>32112</v>
      </c>
      <c r="B355" s="161">
        <v>4.4343891400000004</v>
      </c>
    </row>
    <row r="356" spans="1:2">
      <c r="A356" s="162">
        <v>32143</v>
      </c>
      <c r="B356" s="161">
        <v>4.0467625900000002</v>
      </c>
    </row>
    <row r="357" spans="1:2">
      <c r="A357" s="162">
        <v>32174</v>
      </c>
      <c r="B357" s="161">
        <v>3.94265233</v>
      </c>
    </row>
    <row r="358" spans="1:2">
      <c r="A358" s="162">
        <v>32203</v>
      </c>
      <c r="B358" s="161">
        <v>3.925066905</v>
      </c>
    </row>
    <row r="359" spans="1:2">
      <c r="A359" s="162">
        <v>32234</v>
      </c>
      <c r="B359" s="161">
        <v>3.9041703640000001</v>
      </c>
    </row>
    <row r="360" spans="1:2">
      <c r="A360" s="162">
        <v>32264</v>
      </c>
      <c r="B360" s="161">
        <v>3.8903625110000002</v>
      </c>
    </row>
    <row r="361" spans="1:2">
      <c r="A361" s="162">
        <v>32295</v>
      </c>
      <c r="B361" s="161">
        <v>3.9647577090000001</v>
      </c>
    </row>
    <row r="362" spans="1:2">
      <c r="A362" s="162">
        <v>32325</v>
      </c>
      <c r="B362" s="161">
        <v>4.1300527239999996</v>
      </c>
    </row>
    <row r="363" spans="1:2">
      <c r="A363" s="162">
        <v>32356</v>
      </c>
      <c r="B363" s="161">
        <v>4.0209790209999996</v>
      </c>
    </row>
    <row r="364" spans="1:2">
      <c r="A364" s="162">
        <v>32387</v>
      </c>
      <c r="B364" s="161">
        <v>4.1739130429999998</v>
      </c>
    </row>
    <row r="365" spans="1:2">
      <c r="A365" s="162">
        <v>32417</v>
      </c>
      <c r="B365" s="161">
        <v>4.2497831740000001</v>
      </c>
    </row>
    <row r="366" spans="1:2">
      <c r="A366" s="162">
        <v>32448</v>
      </c>
      <c r="B366" s="161">
        <v>4.2461005199999997</v>
      </c>
    </row>
    <row r="367" spans="1:2">
      <c r="A367" s="162">
        <v>32478</v>
      </c>
      <c r="B367" s="161">
        <v>4.4194107450000004</v>
      </c>
    </row>
    <row r="368" spans="1:2">
      <c r="A368" s="162">
        <v>32509</v>
      </c>
      <c r="B368" s="161">
        <v>4.6672428689999998</v>
      </c>
    </row>
    <row r="369" spans="1:2">
      <c r="A369" s="162">
        <v>32540</v>
      </c>
      <c r="B369" s="161">
        <v>4.8275862070000004</v>
      </c>
    </row>
    <row r="370" spans="1:2">
      <c r="A370" s="162">
        <v>32568</v>
      </c>
      <c r="B370" s="161">
        <v>4.9785407729999998</v>
      </c>
    </row>
    <row r="371" spans="1:2">
      <c r="A371" s="162">
        <v>32599</v>
      </c>
      <c r="B371" s="161">
        <v>5.1238257899999997</v>
      </c>
    </row>
    <row r="372" spans="1:2">
      <c r="A372" s="162">
        <v>32629</v>
      </c>
      <c r="B372" s="161">
        <v>5.3617021280000001</v>
      </c>
    </row>
    <row r="373" spans="1:2">
      <c r="A373" s="162">
        <v>32660</v>
      </c>
      <c r="B373" s="161">
        <v>5.1694915249999998</v>
      </c>
    </row>
    <row r="374" spans="1:2">
      <c r="A374" s="162">
        <v>32690</v>
      </c>
      <c r="B374" s="161">
        <v>4.9789029539999996</v>
      </c>
    </row>
    <row r="375" spans="1:2">
      <c r="A375" s="162">
        <v>32721</v>
      </c>
      <c r="B375" s="161">
        <v>4.7058823529999998</v>
      </c>
    </row>
    <row r="376" spans="1:2">
      <c r="A376" s="162">
        <v>32752</v>
      </c>
      <c r="B376" s="161">
        <v>4.3405676130000002</v>
      </c>
    </row>
    <row r="377" spans="1:2">
      <c r="A377" s="162">
        <v>32782</v>
      </c>
      <c r="B377" s="161">
        <v>4.4925124790000002</v>
      </c>
    </row>
    <row r="378" spans="1:2">
      <c r="A378" s="162">
        <v>32813</v>
      </c>
      <c r="B378" s="161">
        <v>4.6550290939999996</v>
      </c>
    </row>
    <row r="379" spans="1:2">
      <c r="A379" s="162">
        <v>32843</v>
      </c>
      <c r="B379" s="161">
        <v>4.6473029050000001</v>
      </c>
    </row>
    <row r="380" spans="1:2">
      <c r="A380" s="162">
        <v>32874</v>
      </c>
      <c r="B380" s="161">
        <v>5.202312139</v>
      </c>
    </row>
    <row r="381" spans="1:2">
      <c r="A381" s="162">
        <v>32905</v>
      </c>
      <c r="B381" s="161">
        <v>5.263157895</v>
      </c>
    </row>
    <row r="382" spans="1:2">
      <c r="A382" s="162">
        <v>32933</v>
      </c>
      <c r="B382" s="161">
        <v>5.2330335239999997</v>
      </c>
    </row>
    <row r="383" spans="1:2">
      <c r="A383" s="162">
        <v>32964</v>
      </c>
      <c r="B383" s="161">
        <v>4.7116165719999996</v>
      </c>
    </row>
    <row r="384" spans="1:2">
      <c r="A384" s="162">
        <v>32994</v>
      </c>
      <c r="B384" s="161">
        <v>4.3618739900000003</v>
      </c>
    </row>
    <row r="385" spans="1:2">
      <c r="A385" s="162">
        <v>33025</v>
      </c>
      <c r="B385" s="161">
        <v>4.6736502819999997</v>
      </c>
    </row>
    <row r="386" spans="1:2">
      <c r="A386" s="162">
        <v>33055</v>
      </c>
      <c r="B386" s="161">
        <v>4.8231511249999999</v>
      </c>
    </row>
    <row r="387" spans="1:2">
      <c r="A387" s="162">
        <v>33086</v>
      </c>
      <c r="B387" s="161">
        <v>5.6179775279999999</v>
      </c>
    </row>
    <row r="388" spans="1:2">
      <c r="A388" s="162">
        <v>33117</v>
      </c>
      <c r="B388" s="161">
        <v>6.16</v>
      </c>
    </row>
    <row r="389" spans="1:2">
      <c r="A389" s="162">
        <v>33147</v>
      </c>
      <c r="B389" s="161">
        <v>6.2898089170000002</v>
      </c>
    </row>
    <row r="390" spans="1:2">
      <c r="A390" s="162">
        <v>33178</v>
      </c>
      <c r="B390" s="161">
        <v>6.274821287</v>
      </c>
    </row>
    <row r="391" spans="1:2">
      <c r="A391" s="162">
        <v>33208</v>
      </c>
      <c r="B391" s="161">
        <v>6.1062648690000003</v>
      </c>
    </row>
    <row r="392" spans="1:2">
      <c r="A392" s="162">
        <v>33239</v>
      </c>
      <c r="B392" s="161">
        <v>5.6514913660000001</v>
      </c>
    </row>
    <row r="393" spans="1:2">
      <c r="A393" s="162">
        <v>33270</v>
      </c>
      <c r="B393" s="161">
        <v>5.3125</v>
      </c>
    </row>
    <row r="394" spans="1:2">
      <c r="A394" s="162">
        <v>33298</v>
      </c>
      <c r="B394" s="161">
        <v>4.8951048950000002</v>
      </c>
    </row>
    <row r="395" spans="1:2">
      <c r="A395" s="162">
        <v>33329</v>
      </c>
      <c r="B395" s="161">
        <v>4.8875096969999996</v>
      </c>
    </row>
    <row r="396" spans="1:2">
      <c r="A396" s="162">
        <v>33359</v>
      </c>
      <c r="B396" s="161">
        <v>4.9535603720000001</v>
      </c>
    </row>
    <row r="397" spans="1:2">
      <c r="A397" s="162">
        <v>33390</v>
      </c>
      <c r="B397" s="161">
        <v>4.6959199380000003</v>
      </c>
    </row>
    <row r="398" spans="1:2">
      <c r="A398" s="162">
        <v>33420</v>
      </c>
      <c r="B398" s="161">
        <v>4.447852761</v>
      </c>
    </row>
    <row r="399" spans="1:2">
      <c r="A399" s="162">
        <v>33451</v>
      </c>
      <c r="B399" s="161">
        <v>3.7993920970000001</v>
      </c>
    </row>
    <row r="400" spans="1:2">
      <c r="A400" s="162">
        <v>33482</v>
      </c>
      <c r="B400" s="161">
        <v>3.3911077619999999</v>
      </c>
    </row>
    <row r="401" spans="1:2">
      <c r="A401" s="162">
        <v>33512</v>
      </c>
      <c r="B401" s="161">
        <v>2.9213483149999999</v>
      </c>
    </row>
    <row r="402" spans="1:2">
      <c r="A402" s="162">
        <v>33543</v>
      </c>
      <c r="B402" s="161">
        <v>2.9895366220000001</v>
      </c>
    </row>
    <row r="403" spans="1:2">
      <c r="A403" s="162">
        <v>33573</v>
      </c>
      <c r="B403" s="161">
        <v>3.0642750369999998</v>
      </c>
    </row>
    <row r="404" spans="1:2">
      <c r="A404" s="162">
        <v>33604</v>
      </c>
      <c r="B404" s="161">
        <v>2.6002971769999998</v>
      </c>
    </row>
    <row r="405" spans="1:2">
      <c r="A405" s="162">
        <v>33635</v>
      </c>
      <c r="B405" s="161">
        <v>2.8189910980000001</v>
      </c>
    </row>
    <row r="406" spans="1:2">
      <c r="A406" s="162">
        <v>33664</v>
      </c>
      <c r="B406" s="161">
        <v>3.1851851849999999</v>
      </c>
    </row>
    <row r="407" spans="1:2">
      <c r="A407" s="162">
        <v>33695</v>
      </c>
      <c r="B407" s="161">
        <v>3.1804733729999999</v>
      </c>
    </row>
    <row r="408" spans="1:2">
      <c r="A408" s="162">
        <v>33725</v>
      </c>
      <c r="B408" s="161">
        <v>3.0235988200000001</v>
      </c>
    </row>
    <row r="409" spans="1:2">
      <c r="A409" s="162">
        <v>33756</v>
      </c>
      <c r="B409" s="161">
        <v>3.088235294</v>
      </c>
    </row>
    <row r="410" spans="1:2">
      <c r="A410" s="162">
        <v>33786</v>
      </c>
      <c r="B410" s="161">
        <v>3.15712188</v>
      </c>
    </row>
    <row r="411" spans="1:2">
      <c r="A411" s="162">
        <v>33817</v>
      </c>
      <c r="B411" s="161">
        <v>3.147877013</v>
      </c>
    </row>
    <row r="412" spans="1:2">
      <c r="A412" s="162">
        <v>33848</v>
      </c>
      <c r="B412" s="161">
        <v>2.9883381920000001</v>
      </c>
    </row>
    <row r="413" spans="1:2">
      <c r="A413" s="162">
        <v>33878</v>
      </c>
      <c r="B413" s="161">
        <v>3.2023289670000001</v>
      </c>
    </row>
    <row r="414" spans="1:2">
      <c r="A414" s="162">
        <v>33909</v>
      </c>
      <c r="B414" s="161">
        <v>3.0478955010000002</v>
      </c>
    </row>
    <row r="415" spans="1:2">
      <c r="A415" s="162">
        <v>33939</v>
      </c>
      <c r="B415" s="161">
        <v>2.9006526469999998</v>
      </c>
    </row>
    <row r="416" spans="1:2">
      <c r="A416" s="162">
        <v>33970</v>
      </c>
      <c r="B416" s="161">
        <v>3.2585083269999999</v>
      </c>
    </row>
    <row r="417" spans="1:2">
      <c r="A417" s="162">
        <v>34001</v>
      </c>
      <c r="B417" s="161">
        <v>3.246753247</v>
      </c>
    </row>
    <row r="418" spans="1:2">
      <c r="A418" s="162">
        <v>34029</v>
      </c>
      <c r="B418" s="161">
        <v>3.086862886</v>
      </c>
    </row>
    <row r="419" spans="1:2">
      <c r="A419" s="162">
        <v>34060</v>
      </c>
      <c r="B419" s="161">
        <v>3.225806452</v>
      </c>
    </row>
    <row r="420" spans="1:2">
      <c r="A420" s="162">
        <v>34090</v>
      </c>
      <c r="B420" s="161">
        <v>3.221188261</v>
      </c>
    </row>
    <row r="421" spans="1:2">
      <c r="A421" s="162">
        <v>34121</v>
      </c>
      <c r="B421" s="161">
        <v>2.9957203990000001</v>
      </c>
    </row>
    <row r="422" spans="1:2">
      <c r="A422" s="162">
        <v>34151</v>
      </c>
      <c r="B422" s="161">
        <v>2.7758007120000001</v>
      </c>
    </row>
    <row r="423" spans="1:2">
      <c r="A423" s="162">
        <v>34182</v>
      </c>
      <c r="B423" s="161">
        <v>2.7679205109999998</v>
      </c>
    </row>
    <row r="424" spans="1:2">
      <c r="A424" s="162">
        <v>34213</v>
      </c>
      <c r="B424" s="161">
        <v>2.689313517</v>
      </c>
    </row>
    <row r="425" spans="1:2">
      <c r="A425" s="162">
        <v>34243</v>
      </c>
      <c r="B425" s="161">
        <v>2.7503526090000001</v>
      </c>
    </row>
    <row r="426" spans="1:2">
      <c r="A426" s="162">
        <v>34274</v>
      </c>
      <c r="B426" s="161">
        <v>2.676056338</v>
      </c>
    </row>
    <row r="427" spans="1:2">
      <c r="A427" s="162">
        <v>34304</v>
      </c>
      <c r="B427" s="161">
        <v>2.7484143759999999</v>
      </c>
    </row>
    <row r="428" spans="1:2">
      <c r="A428" s="162">
        <v>34335</v>
      </c>
      <c r="B428" s="161">
        <v>2.5245441799999999</v>
      </c>
    </row>
    <row r="429" spans="1:2">
      <c r="A429" s="162">
        <v>34366</v>
      </c>
      <c r="B429" s="161">
        <v>2.5157232700000001</v>
      </c>
    </row>
    <row r="430" spans="1:2">
      <c r="A430" s="162">
        <v>34394</v>
      </c>
      <c r="B430" s="161">
        <v>2.5069637880000002</v>
      </c>
    </row>
    <row r="431" spans="1:2">
      <c r="A431" s="162">
        <v>34425</v>
      </c>
      <c r="B431" s="161">
        <v>2.361111111</v>
      </c>
    </row>
    <row r="432" spans="1:2">
      <c r="A432" s="162">
        <v>34455</v>
      </c>
      <c r="B432" s="161">
        <v>2.2884882110000002</v>
      </c>
    </row>
    <row r="433" spans="1:2">
      <c r="A433" s="162">
        <v>34486</v>
      </c>
      <c r="B433" s="161">
        <v>2.4930747919999998</v>
      </c>
    </row>
    <row r="434" spans="1:2">
      <c r="A434" s="162">
        <v>34516</v>
      </c>
      <c r="B434" s="161">
        <v>2.7700831020000001</v>
      </c>
    </row>
    <row r="435" spans="1:2">
      <c r="A435" s="162">
        <v>34547</v>
      </c>
      <c r="B435" s="161">
        <v>2.900552486</v>
      </c>
    </row>
    <row r="436" spans="1:2">
      <c r="A436" s="162">
        <v>34578</v>
      </c>
      <c r="B436" s="161">
        <v>2.963473467</v>
      </c>
    </row>
    <row r="437" spans="1:2">
      <c r="A437" s="162">
        <v>34608</v>
      </c>
      <c r="B437" s="161">
        <v>2.6080988330000001</v>
      </c>
    </row>
    <row r="438" spans="1:2">
      <c r="A438" s="162">
        <v>34639</v>
      </c>
      <c r="B438" s="161">
        <v>2.6748971190000002</v>
      </c>
    </row>
    <row r="439" spans="1:2">
      <c r="A439" s="162">
        <v>34669</v>
      </c>
      <c r="B439" s="161">
        <v>2.6748971190000002</v>
      </c>
    </row>
    <row r="440" spans="1:2">
      <c r="A440" s="162">
        <v>34700</v>
      </c>
      <c r="B440" s="161">
        <v>2.8043775649999998</v>
      </c>
    </row>
    <row r="441" spans="1:2">
      <c r="A441" s="162">
        <v>34731</v>
      </c>
      <c r="B441" s="161">
        <v>2.8629856849999999</v>
      </c>
    </row>
    <row r="442" spans="1:2">
      <c r="A442" s="162">
        <v>34759</v>
      </c>
      <c r="B442" s="161">
        <v>2.8532608700000002</v>
      </c>
    </row>
    <row r="443" spans="1:2">
      <c r="A443" s="162">
        <v>34790</v>
      </c>
      <c r="B443" s="161">
        <v>3.052917232</v>
      </c>
    </row>
    <row r="444" spans="1:2">
      <c r="A444" s="162">
        <v>34820</v>
      </c>
      <c r="B444" s="161">
        <v>3.1864406779999999</v>
      </c>
    </row>
    <row r="445" spans="1:2">
      <c r="A445" s="162">
        <v>34851</v>
      </c>
      <c r="B445" s="161">
        <v>3.0405405409999999</v>
      </c>
    </row>
    <row r="446" spans="1:2">
      <c r="A446" s="162">
        <v>34881</v>
      </c>
      <c r="B446" s="161">
        <v>2.7628032349999998</v>
      </c>
    </row>
    <row r="447" spans="1:2">
      <c r="A447" s="162">
        <v>34912</v>
      </c>
      <c r="B447" s="161">
        <v>2.617449664</v>
      </c>
    </row>
    <row r="448" spans="1:2">
      <c r="A448" s="162">
        <v>34943</v>
      </c>
      <c r="B448" s="161">
        <v>2.5435073629999998</v>
      </c>
    </row>
    <row r="449" spans="1:2">
      <c r="A449" s="162">
        <v>34973</v>
      </c>
      <c r="B449" s="161">
        <v>2.809364548</v>
      </c>
    </row>
    <row r="450" spans="1:2">
      <c r="A450" s="162">
        <v>35004</v>
      </c>
      <c r="B450" s="161">
        <v>2.6052104210000002</v>
      </c>
    </row>
    <row r="451" spans="1:2">
      <c r="A451" s="162">
        <v>35034</v>
      </c>
      <c r="B451" s="161">
        <v>2.5384101540000001</v>
      </c>
    </row>
    <row r="452" spans="1:2">
      <c r="A452" s="162">
        <v>35065</v>
      </c>
      <c r="B452" s="161">
        <v>2.7278775780000002</v>
      </c>
    </row>
    <row r="453" spans="1:2">
      <c r="A453" s="162">
        <v>35096</v>
      </c>
      <c r="B453" s="161">
        <v>2.6507620940000001</v>
      </c>
    </row>
    <row r="454" spans="1:2">
      <c r="A454" s="162">
        <v>35125</v>
      </c>
      <c r="B454" s="161">
        <v>2.8401585200000001</v>
      </c>
    </row>
    <row r="455" spans="1:2">
      <c r="A455" s="162">
        <v>35156</v>
      </c>
      <c r="B455" s="161">
        <v>2.8966425280000001</v>
      </c>
    </row>
    <row r="456" spans="1:2">
      <c r="A456" s="162">
        <v>35186</v>
      </c>
      <c r="B456" s="161">
        <v>2.8909329829999999</v>
      </c>
    </row>
    <row r="457" spans="1:2">
      <c r="A457" s="162">
        <v>35217</v>
      </c>
      <c r="B457" s="161">
        <v>2.7540983610000001</v>
      </c>
    </row>
    <row r="458" spans="1:2">
      <c r="A458" s="162">
        <v>35247</v>
      </c>
      <c r="B458" s="161">
        <v>2.9508196720000002</v>
      </c>
    </row>
    <row r="459" spans="1:2">
      <c r="A459" s="162">
        <v>35278</v>
      </c>
      <c r="B459" s="161">
        <v>2.8776978419999999</v>
      </c>
    </row>
    <row r="460" spans="1:2">
      <c r="A460" s="162">
        <v>35309</v>
      </c>
      <c r="B460" s="161">
        <v>3.0026109660000002</v>
      </c>
    </row>
    <row r="461" spans="1:2">
      <c r="A461" s="162">
        <v>35339</v>
      </c>
      <c r="B461" s="161">
        <v>2.9928432009999999</v>
      </c>
    </row>
    <row r="462" spans="1:2">
      <c r="A462" s="162">
        <v>35370</v>
      </c>
      <c r="B462" s="161">
        <v>3.2552083330000001</v>
      </c>
    </row>
    <row r="463" spans="1:2">
      <c r="A463" s="162">
        <v>35400</v>
      </c>
      <c r="B463" s="161">
        <v>3.3224755699999999</v>
      </c>
    </row>
    <row r="464" spans="1:2">
      <c r="A464" s="162">
        <v>35431</v>
      </c>
      <c r="B464" s="161">
        <v>3.044041451</v>
      </c>
    </row>
    <row r="465" spans="1:2">
      <c r="A465" s="162">
        <v>35462</v>
      </c>
      <c r="B465" s="161">
        <v>3.0342156230000001</v>
      </c>
    </row>
    <row r="466" spans="1:2">
      <c r="A466" s="162">
        <v>35490</v>
      </c>
      <c r="B466" s="161">
        <v>2.7617212590000002</v>
      </c>
    </row>
    <row r="467" spans="1:2">
      <c r="A467" s="162">
        <v>35521</v>
      </c>
      <c r="B467" s="161">
        <v>2.4952015360000002</v>
      </c>
    </row>
    <row r="468" spans="1:2">
      <c r="A468" s="162">
        <v>35551</v>
      </c>
      <c r="B468" s="161">
        <v>2.234993614</v>
      </c>
    </row>
    <row r="469" spans="1:2">
      <c r="A469" s="162">
        <v>35582</v>
      </c>
      <c r="B469" s="161">
        <v>2.2973835349999998</v>
      </c>
    </row>
    <row r="470" spans="1:2">
      <c r="A470" s="162">
        <v>35612</v>
      </c>
      <c r="B470" s="161">
        <v>2.229299363</v>
      </c>
    </row>
    <row r="471" spans="1:2">
      <c r="A471" s="162">
        <v>35643</v>
      </c>
      <c r="B471" s="161">
        <v>2.2250476799999999</v>
      </c>
    </row>
    <row r="472" spans="1:2">
      <c r="A472" s="162">
        <v>35674</v>
      </c>
      <c r="B472" s="161">
        <v>2.1546261090000001</v>
      </c>
    </row>
    <row r="473" spans="1:2">
      <c r="A473" s="162">
        <v>35704</v>
      </c>
      <c r="B473" s="161">
        <v>2.0846494</v>
      </c>
    </row>
    <row r="474" spans="1:2">
      <c r="A474" s="162">
        <v>35735</v>
      </c>
      <c r="B474" s="161">
        <v>1.828499369</v>
      </c>
    </row>
    <row r="475" spans="1:2">
      <c r="A475" s="162">
        <v>35765</v>
      </c>
      <c r="B475" s="161">
        <v>1.702395965</v>
      </c>
    </row>
    <row r="476" spans="1:2">
      <c r="A476" s="162">
        <v>35796</v>
      </c>
      <c r="B476" s="161">
        <v>1.5713387809999999</v>
      </c>
    </row>
    <row r="477" spans="1:2">
      <c r="A477" s="162">
        <v>35827</v>
      </c>
      <c r="B477" s="161">
        <v>1.4411027569999999</v>
      </c>
    </row>
    <row r="478" spans="1:2">
      <c r="A478" s="162">
        <v>35855</v>
      </c>
      <c r="B478" s="161">
        <v>1.375</v>
      </c>
    </row>
    <row r="479" spans="1:2">
      <c r="A479" s="162">
        <v>35886</v>
      </c>
      <c r="B479" s="161">
        <v>1.435705368</v>
      </c>
    </row>
    <row r="480" spans="1:2">
      <c r="A480" s="162">
        <v>35916</v>
      </c>
      <c r="B480" s="161">
        <v>1.6864459709999999</v>
      </c>
    </row>
    <row r="481" spans="1:2">
      <c r="A481" s="162">
        <v>35947</v>
      </c>
      <c r="B481" s="161">
        <v>1.6843418590000001</v>
      </c>
    </row>
    <row r="482" spans="1:2">
      <c r="A482" s="162">
        <v>35977</v>
      </c>
      <c r="B482" s="161">
        <v>1.6822429910000001</v>
      </c>
    </row>
    <row r="483" spans="1:2">
      <c r="A483" s="162">
        <v>36008</v>
      </c>
      <c r="B483" s="161">
        <v>1.616915423</v>
      </c>
    </row>
    <row r="484" spans="1:2">
      <c r="A484" s="162">
        <v>36039</v>
      </c>
      <c r="B484" s="161">
        <v>1.4888337469999999</v>
      </c>
    </row>
    <row r="485" spans="1:2">
      <c r="A485" s="162">
        <v>36069</v>
      </c>
      <c r="B485" s="161">
        <v>1.4851485149999999</v>
      </c>
    </row>
    <row r="486" spans="1:2">
      <c r="A486" s="162">
        <v>36100</v>
      </c>
      <c r="B486" s="161">
        <v>1.5479876159999999</v>
      </c>
    </row>
    <row r="487" spans="1:2">
      <c r="A487" s="162">
        <v>36130</v>
      </c>
      <c r="B487" s="161">
        <v>1.611903286</v>
      </c>
    </row>
    <row r="488" spans="1:2">
      <c r="A488" s="162">
        <v>36161</v>
      </c>
      <c r="B488" s="161">
        <v>1.6707920789999999</v>
      </c>
    </row>
    <row r="489" spans="1:2">
      <c r="A489" s="162">
        <v>36192</v>
      </c>
      <c r="B489" s="161">
        <v>1.605929586</v>
      </c>
    </row>
    <row r="490" spans="1:2">
      <c r="A490" s="162">
        <v>36220</v>
      </c>
      <c r="B490" s="161">
        <v>1.7262638720000001</v>
      </c>
    </row>
    <row r="491" spans="1:2">
      <c r="A491" s="162">
        <v>36251</v>
      </c>
      <c r="B491" s="161">
        <v>2.2769230770000002</v>
      </c>
    </row>
    <row r="492" spans="1:2">
      <c r="A492" s="162">
        <v>36281</v>
      </c>
      <c r="B492" s="161">
        <v>2.0884520879999999</v>
      </c>
    </row>
    <row r="493" spans="1:2">
      <c r="A493" s="162">
        <v>36312</v>
      </c>
      <c r="B493" s="161">
        <v>1.9631901839999999</v>
      </c>
    </row>
    <row r="494" spans="1:2">
      <c r="A494" s="162">
        <v>36342</v>
      </c>
      <c r="B494" s="161">
        <v>2.1446078430000002</v>
      </c>
    </row>
    <row r="495" spans="1:2">
      <c r="A495" s="162">
        <v>36373</v>
      </c>
      <c r="B495" s="161">
        <v>2.2643818850000001</v>
      </c>
    </row>
    <row r="496" spans="1:2">
      <c r="A496" s="162">
        <v>36404</v>
      </c>
      <c r="B496" s="161">
        <v>2.6283618579999999</v>
      </c>
    </row>
    <row r="497" spans="1:2">
      <c r="A497" s="162">
        <v>36434</v>
      </c>
      <c r="B497" s="161">
        <v>2.5609756099999998</v>
      </c>
    </row>
    <row r="498" spans="1:2">
      <c r="A498" s="162">
        <v>36465</v>
      </c>
      <c r="B498" s="161">
        <v>2.6219512200000001</v>
      </c>
    </row>
    <row r="499" spans="1:2">
      <c r="A499" s="162">
        <v>36495</v>
      </c>
      <c r="B499" s="161">
        <v>2.6845637579999999</v>
      </c>
    </row>
    <row r="500" spans="1:2">
      <c r="A500" s="162">
        <v>36526</v>
      </c>
      <c r="B500" s="161">
        <v>2.73889227</v>
      </c>
    </row>
    <row r="501" spans="1:2">
      <c r="A501" s="162">
        <v>36557</v>
      </c>
      <c r="B501" s="161">
        <v>3.2218844980000001</v>
      </c>
    </row>
    <row r="502" spans="1:2">
      <c r="A502" s="162">
        <v>36586</v>
      </c>
      <c r="B502" s="161">
        <v>3.7575757580000002</v>
      </c>
    </row>
    <row r="503" spans="1:2">
      <c r="A503" s="162">
        <v>36617</v>
      </c>
      <c r="B503" s="161">
        <v>3.0685920580000001</v>
      </c>
    </row>
    <row r="504" spans="1:2">
      <c r="A504" s="162">
        <v>36647</v>
      </c>
      <c r="B504" s="161">
        <v>3.188929001</v>
      </c>
    </row>
    <row r="505" spans="1:2">
      <c r="A505" s="162">
        <v>36678</v>
      </c>
      <c r="B505" s="161">
        <v>3.730445247</v>
      </c>
    </row>
    <row r="506" spans="1:2">
      <c r="A506" s="162">
        <v>36708</v>
      </c>
      <c r="B506" s="161">
        <v>3.6592681460000001</v>
      </c>
    </row>
    <row r="507" spans="1:2">
      <c r="A507" s="162">
        <v>36739</v>
      </c>
      <c r="B507" s="161">
        <v>3.4111310590000001</v>
      </c>
    </row>
    <row r="508" spans="1:2">
      <c r="A508" s="162">
        <v>36770</v>
      </c>
      <c r="B508" s="161">
        <v>3.4544371649999999</v>
      </c>
    </row>
    <row r="509" spans="1:2">
      <c r="A509" s="162">
        <v>36800</v>
      </c>
      <c r="B509" s="161">
        <v>3.448275862</v>
      </c>
    </row>
    <row r="510" spans="1:2">
      <c r="A510" s="162">
        <v>36831</v>
      </c>
      <c r="B510" s="161">
        <v>3.4462269760000002</v>
      </c>
    </row>
    <row r="511" spans="1:2">
      <c r="A511" s="162">
        <v>36861</v>
      </c>
      <c r="B511" s="161">
        <v>3.386809269</v>
      </c>
    </row>
    <row r="512" spans="1:2">
      <c r="A512" s="162">
        <v>36892</v>
      </c>
      <c r="B512" s="161">
        <v>3.7322274879999999</v>
      </c>
    </row>
    <row r="513" spans="1:2">
      <c r="A513" s="162">
        <v>36923</v>
      </c>
      <c r="B513" s="161">
        <v>3.5335689050000001</v>
      </c>
    </row>
    <row r="514" spans="1:2">
      <c r="A514" s="162">
        <v>36951</v>
      </c>
      <c r="B514" s="161">
        <v>2.9205607480000002</v>
      </c>
    </row>
    <row r="515" spans="1:2">
      <c r="A515" s="162">
        <v>36982</v>
      </c>
      <c r="B515" s="161">
        <v>3.2691185059999999</v>
      </c>
    </row>
    <row r="516" spans="1:2">
      <c r="A516" s="162">
        <v>37012</v>
      </c>
      <c r="B516" s="161">
        <v>3.61516035</v>
      </c>
    </row>
    <row r="517" spans="1:2">
      <c r="A517" s="162">
        <v>37043</v>
      </c>
      <c r="B517" s="161">
        <v>3.2482598610000002</v>
      </c>
    </row>
    <row r="518" spans="1:2">
      <c r="A518" s="162">
        <v>37073</v>
      </c>
      <c r="B518" s="161">
        <v>2.719907407</v>
      </c>
    </row>
    <row r="519" spans="1:2">
      <c r="A519" s="162">
        <v>37104</v>
      </c>
      <c r="B519" s="161">
        <v>2.719907407</v>
      </c>
    </row>
    <row r="520" spans="1:2">
      <c r="A520" s="162">
        <v>37135</v>
      </c>
      <c r="B520" s="161">
        <v>2.6482440989999998</v>
      </c>
    </row>
    <row r="521" spans="1:2">
      <c r="A521" s="162">
        <v>37165</v>
      </c>
      <c r="B521" s="161">
        <v>2.1264367819999999</v>
      </c>
    </row>
    <row r="522" spans="1:2">
      <c r="A522" s="162">
        <v>37196</v>
      </c>
      <c r="B522" s="161">
        <v>1.8954623779999999</v>
      </c>
    </row>
    <row r="523" spans="1:2">
      <c r="A523" s="162">
        <v>37226</v>
      </c>
      <c r="B523" s="161">
        <v>1.551724138</v>
      </c>
    </row>
    <row r="524" spans="1:2">
      <c r="A524" s="162">
        <v>37257</v>
      </c>
      <c r="B524" s="161">
        <v>1.1422044549999999</v>
      </c>
    </row>
    <row r="525" spans="1:2">
      <c r="A525" s="162">
        <v>37288</v>
      </c>
      <c r="B525" s="161">
        <v>1.1376564280000001</v>
      </c>
    </row>
    <row r="526" spans="1:2">
      <c r="A526" s="162">
        <v>37316</v>
      </c>
      <c r="B526" s="161">
        <v>1.4755959139999999</v>
      </c>
    </row>
    <row r="527" spans="1:2">
      <c r="A527" s="162">
        <v>37347</v>
      </c>
      <c r="B527" s="161">
        <v>1.6393442620000001</v>
      </c>
    </row>
    <row r="528" spans="1:2">
      <c r="A528" s="162">
        <v>37377</v>
      </c>
      <c r="B528" s="161">
        <v>1.1817670229999999</v>
      </c>
    </row>
    <row r="529" spans="1:2">
      <c r="A529" s="162">
        <v>37408</v>
      </c>
      <c r="B529" s="161">
        <v>1.06741573</v>
      </c>
    </row>
    <row r="530" spans="1:2">
      <c r="A530" s="162">
        <v>37438</v>
      </c>
      <c r="B530" s="161">
        <v>1.4647887319999999</v>
      </c>
    </row>
    <row r="531" spans="1:2">
      <c r="A531" s="162">
        <v>37469</v>
      </c>
      <c r="B531" s="161">
        <v>1.8028169009999999</v>
      </c>
    </row>
    <row r="532" spans="1:2">
      <c r="A532" s="162">
        <v>37500</v>
      </c>
      <c r="B532" s="161">
        <v>1.514301739</v>
      </c>
    </row>
    <row r="533" spans="1:2">
      <c r="A533" s="162">
        <v>37530</v>
      </c>
      <c r="B533" s="161">
        <v>2.0258863250000001</v>
      </c>
    </row>
    <row r="534" spans="1:2">
      <c r="A534" s="162">
        <v>37561</v>
      </c>
      <c r="B534" s="161">
        <v>2.1984216459999999</v>
      </c>
    </row>
    <row r="535" spans="1:2">
      <c r="A535" s="162">
        <v>37591</v>
      </c>
      <c r="B535" s="161">
        <v>2.3769100170000002</v>
      </c>
    </row>
    <row r="536" spans="1:2">
      <c r="A536" s="162">
        <v>37622</v>
      </c>
      <c r="B536" s="161">
        <v>2.5974025969999999</v>
      </c>
    </row>
    <row r="537" spans="1:2">
      <c r="A537" s="162">
        <v>37653</v>
      </c>
      <c r="B537" s="161">
        <v>2.9808773899999998</v>
      </c>
    </row>
    <row r="538" spans="1:2">
      <c r="A538" s="162">
        <v>37681</v>
      </c>
      <c r="B538" s="161">
        <v>3.0201342279999999</v>
      </c>
    </row>
    <row r="539" spans="1:2">
      <c r="A539" s="162">
        <v>37712</v>
      </c>
      <c r="B539" s="161">
        <v>2.2246941050000002</v>
      </c>
    </row>
    <row r="540" spans="1:2">
      <c r="A540" s="162">
        <v>37742</v>
      </c>
      <c r="B540" s="161">
        <v>2.0578420469999998</v>
      </c>
    </row>
    <row r="541" spans="1:2">
      <c r="A541" s="162">
        <v>37773</v>
      </c>
      <c r="B541" s="161">
        <v>2.112284603</v>
      </c>
    </row>
    <row r="542" spans="1:2">
      <c r="A542" s="162">
        <v>37803</v>
      </c>
      <c r="B542" s="161">
        <v>2.1099389230000001</v>
      </c>
    </row>
    <row r="543" spans="1:2">
      <c r="A543" s="162">
        <v>37834</v>
      </c>
      <c r="B543" s="161">
        <v>2.1582733809999999</v>
      </c>
    </row>
    <row r="544" spans="1:2">
      <c r="A544" s="162">
        <v>37865</v>
      </c>
      <c r="B544" s="161">
        <v>2.3204419889999999</v>
      </c>
    </row>
    <row r="545" spans="1:2">
      <c r="A545" s="162">
        <v>37895</v>
      </c>
      <c r="B545" s="161">
        <v>2.0408163269999999</v>
      </c>
    </row>
    <row r="546" spans="1:2">
      <c r="A546" s="162">
        <v>37926</v>
      </c>
      <c r="B546" s="161">
        <v>1.7650303359999999</v>
      </c>
    </row>
    <row r="547" spans="1:2">
      <c r="A547" s="162">
        <v>37956</v>
      </c>
      <c r="B547" s="161">
        <v>1.879491432</v>
      </c>
    </row>
    <row r="548" spans="1:2">
      <c r="A548" s="162">
        <v>37987</v>
      </c>
      <c r="B548" s="161">
        <v>1.926252064</v>
      </c>
    </row>
    <row r="549" spans="1:2">
      <c r="A549" s="162">
        <v>38018</v>
      </c>
      <c r="B549" s="161">
        <v>1.6930639000000001</v>
      </c>
    </row>
    <row r="550" spans="1:2">
      <c r="A550" s="162">
        <v>38047</v>
      </c>
      <c r="B550" s="161">
        <v>1.7372421280000001</v>
      </c>
    </row>
    <row r="551" spans="1:2">
      <c r="A551" s="162">
        <v>38078</v>
      </c>
      <c r="B551" s="161">
        <v>2.285092492</v>
      </c>
    </row>
    <row r="552" spans="1:2">
      <c r="A552" s="162">
        <v>38108</v>
      </c>
      <c r="B552" s="161">
        <v>3.0517711169999999</v>
      </c>
    </row>
    <row r="553" spans="1:2">
      <c r="A553" s="162">
        <v>38139</v>
      </c>
      <c r="B553" s="161">
        <v>3.2661948829999998</v>
      </c>
    </row>
    <row r="554" spans="1:2">
      <c r="A554" s="162">
        <v>38169</v>
      </c>
      <c r="B554" s="161">
        <v>2.9907558459999999</v>
      </c>
    </row>
    <row r="555" spans="1:2">
      <c r="A555" s="162">
        <v>38200</v>
      </c>
      <c r="B555" s="161">
        <v>2.654387866</v>
      </c>
    </row>
    <row r="556" spans="1:2">
      <c r="A556" s="162">
        <v>38231</v>
      </c>
      <c r="B556" s="161">
        <v>2.5377969760000001</v>
      </c>
    </row>
    <row r="557" spans="1:2">
      <c r="A557" s="162">
        <v>38261</v>
      </c>
      <c r="B557" s="161">
        <v>3.1891891889999999</v>
      </c>
    </row>
    <row r="558" spans="1:2">
      <c r="A558" s="162">
        <v>38292</v>
      </c>
      <c r="B558" s="161">
        <v>3.5230352300000001</v>
      </c>
    </row>
    <row r="559" spans="1:2">
      <c r="A559" s="162">
        <v>38322</v>
      </c>
      <c r="B559" s="161">
        <v>3.2555615840000001</v>
      </c>
    </row>
    <row r="560" spans="1:2">
      <c r="A560" s="162">
        <v>38353</v>
      </c>
      <c r="B560" s="161">
        <v>2.9697624189999998</v>
      </c>
    </row>
    <row r="561" spans="1:2">
      <c r="A561" s="162">
        <v>38384</v>
      </c>
      <c r="B561" s="161">
        <v>3.0075187969999999</v>
      </c>
    </row>
    <row r="562" spans="1:2">
      <c r="A562" s="162">
        <v>38412</v>
      </c>
      <c r="B562" s="161">
        <v>3.148345784</v>
      </c>
    </row>
    <row r="563" spans="1:2">
      <c r="A563" s="162">
        <v>38443</v>
      </c>
      <c r="B563" s="161">
        <v>3.5106382979999999</v>
      </c>
    </row>
    <row r="564" spans="1:2">
      <c r="A564" s="162">
        <v>38473</v>
      </c>
      <c r="B564" s="161">
        <v>2.8027498679999998</v>
      </c>
    </row>
    <row r="565" spans="1:2">
      <c r="A565" s="162">
        <v>38504</v>
      </c>
      <c r="B565" s="161">
        <v>2.5303110169999998</v>
      </c>
    </row>
    <row r="566" spans="1:2">
      <c r="A566" s="162">
        <v>38534</v>
      </c>
      <c r="B566" s="161">
        <v>3.167898627</v>
      </c>
    </row>
    <row r="567" spans="1:2">
      <c r="A567" s="162">
        <v>38565</v>
      </c>
      <c r="B567" s="161">
        <v>3.6411609500000002</v>
      </c>
    </row>
    <row r="568" spans="1:2">
      <c r="A568" s="162">
        <v>38596</v>
      </c>
      <c r="B568" s="161">
        <v>4.686677199</v>
      </c>
    </row>
    <row r="569" spans="1:2">
      <c r="A569" s="162">
        <v>38626</v>
      </c>
      <c r="B569" s="161">
        <v>4.3478260869999996</v>
      </c>
    </row>
    <row r="570" spans="1:2">
      <c r="A570" s="162">
        <v>38657</v>
      </c>
      <c r="B570" s="161">
        <v>3.4554973819999999</v>
      </c>
    </row>
    <row r="571" spans="1:2">
      <c r="A571" s="162">
        <v>38687</v>
      </c>
      <c r="B571" s="161">
        <v>3.4156594849999999</v>
      </c>
    </row>
    <row r="572" spans="1:2">
      <c r="A572" s="162">
        <v>38718</v>
      </c>
      <c r="B572" s="161">
        <v>3.9853172520000002</v>
      </c>
    </row>
    <row r="573" spans="1:2">
      <c r="A573" s="162">
        <v>38749</v>
      </c>
      <c r="B573" s="161">
        <v>3.5974973929999998</v>
      </c>
    </row>
    <row r="574" spans="1:2">
      <c r="A574" s="162">
        <v>38777</v>
      </c>
      <c r="B574" s="161">
        <v>3.3626487329999999</v>
      </c>
    </row>
    <row r="575" spans="1:2">
      <c r="A575" s="162">
        <v>38808</v>
      </c>
      <c r="B575" s="161">
        <v>3.5457348409999998</v>
      </c>
    </row>
    <row r="576" spans="1:2">
      <c r="A576" s="162">
        <v>38838</v>
      </c>
      <c r="B576" s="161">
        <v>4.1666666670000003</v>
      </c>
    </row>
    <row r="577" spans="1:2">
      <c r="A577" s="162">
        <v>38869</v>
      </c>
      <c r="B577" s="161">
        <v>4.3187660670000003</v>
      </c>
    </row>
    <row r="578" spans="1:2">
      <c r="A578" s="162">
        <v>38899</v>
      </c>
      <c r="B578" s="161">
        <v>4.1453428859999999</v>
      </c>
    </row>
    <row r="579" spans="1:2">
      <c r="A579" s="162">
        <v>38930</v>
      </c>
      <c r="B579" s="161">
        <v>3.8187372709999998</v>
      </c>
    </row>
    <row r="580" spans="1:2">
      <c r="A580" s="162">
        <v>38961</v>
      </c>
      <c r="B580" s="161">
        <v>2.062374245</v>
      </c>
    </row>
    <row r="581" spans="1:2">
      <c r="A581" s="162">
        <v>38991</v>
      </c>
      <c r="B581" s="161">
        <v>1.3052208839999999</v>
      </c>
    </row>
    <row r="582" spans="1:2">
      <c r="A582" s="162">
        <v>39022</v>
      </c>
      <c r="B582" s="161">
        <v>1.9736842109999999</v>
      </c>
    </row>
    <row r="583" spans="1:2">
      <c r="A583" s="162">
        <v>39052</v>
      </c>
      <c r="B583" s="161">
        <v>2.5406504070000002</v>
      </c>
    </row>
    <row r="584" spans="1:2">
      <c r="A584" s="162">
        <v>39083</v>
      </c>
      <c r="B584" s="161">
        <v>2.0756429650000001</v>
      </c>
    </row>
    <row r="585" spans="1:2">
      <c r="A585" s="162">
        <v>39114</v>
      </c>
      <c r="B585" s="161">
        <v>2.415198792</v>
      </c>
    </row>
    <row r="586" spans="1:2">
      <c r="A586" s="162">
        <v>39142</v>
      </c>
      <c r="B586" s="161">
        <v>2.778778779</v>
      </c>
    </row>
    <row r="587" spans="1:2">
      <c r="A587" s="162">
        <v>39173</v>
      </c>
      <c r="B587" s="161">
        <v>2.5736972699999998</v>
      </c>
    </row>
    <row r="588" spans="1:2">
      <c r="A588" s="162">
        <v>39203</v>
      </c>
      <c r="B588" s="161">
        <v>2.6908641979999999</v>
      </c>
    </row>
    <row r="589" spans="1:2">
      <c r="A589" s="162">
        <v>39234</v>
      </c>
      <c r="B589" s="161">
        <v>2.6870379500000001</v>
      </c>
    </row>
    <row r="590" spans="1:2">
      <c r="A590" s="162">
        <v>39264</v>
      </c>
      <c r="B590" s="161">
        <v>2.358230958</v>
      </c>
    </row>
    <row r="591" spans="1:2">
      <c r="A591" s="162">
        <v>39295</v>
      </c>
      <c r="B591" s="161">
        <v>1.9700833740000001</v>
      </c>
    </row>
    <row r="592" spans="1:2">
      <c r="A592" s="162">
        <v>39326</v>
      </c>
      <c r="B592" s="161">
        <v>2.7550517499999998</v>
      </c>
    </row>
    <row r="593" spans="1:2">
      <c r="A593" s="162">
        <v>39356</v>
      </c>
      <c r="B593" s="161">
        <v>3.53617443</v>
      </c>
    </row>
    <row r="594" spans="1:2">
      <c r="A594" s="162">
        <v>39387</v>
      </c>
      <c r="B594" s="161">
        <v>4.3062034740000001</v>
      </c>
    </row>
    <row r="595" spans="1:2">
      <c r="A595" s="162">
        <v>39417</v>
      </c>
      <c r="B595" s="161">
        <v>4.0812685829999999</v>
      </c>
    </row>
    <row r="596" spans="1:2">
      <c r="A596" s="162">
        <v>39448</v>
      </c>
      <c r="B596" s="161">
        <v>4.280294048</v>
      </c>
    </row>
    <row r="597" spans="1:2">
      <c r="A597" s="162">
        <v>39479</v>
      </c>
      <c r="B597" s="161">
        <v>4.0265554129999996</v>
      </c>
    </row>
    <row r="598" spans="1:2">
      <c r="A598" s="162">
        <v>39508</v>
      </c>
      <c r="B598" s="161">
        <v>3.9814562310000001</v>
      </c>
    </row>
    <row r="599" spans="1:2">
      <c r="A599" s="162">
        <v>39539</v>
      </c>
      <c r="B599" s="161">
        <v>3.936889775</v>
      </c>
    </row>
    <row r="600" spans="1:2">
      <c r="A600" s="162">
        <v>39569</v>
      </c>
      <c r="B600" s="161">
        <v>4.1755430420000001</v>
      </c>
    </row>
    <row r="601" spans="1:2">
      <c r="A601" s="162">
        <v>39600</v>
      </c>
      <c r="B601" s="161">
        <v>5.0217900479999997</v>
      </c>
    </row>
    <row r="602" spans="1:2">
      <c r="A602" s="162">
        <v>39630</v>
      </c>
      <c r="B602" s="161">
        <v>5.6001228999999997</v>
      </c>
    </row>
    <row r="603" spans="1:2">
      <c r="A603" s="162">
        <v>39661</v>
      </c>
      <c r="B603" s="161">
        <v>5.3718551149999998</v>
      </c>
    </row>
    <row r="604" spans="1:2">
      <c r="A604" s="162">
        <v>39692</v>
      </c>
      <c r="B604" s="161">
        <v>4.936927431</v>
      </c>
    </row>
    <row r="605" spans="1:2">
      <c r="A605" s="162">
        <v>39722</v>
      </c>
      <c r="B605" s="161">
        <v>3.6551862769999999</v>
      </c>
    </row>
    <row r="606" spans="1:2">
      <c r="A606" s="162">
        <v>39753</v>
      </c>
      <c r="B606" s="161">
        <v>1.069574692</v>
      </c>
    </row>
    <row r="607" spans="1:2">
      <c r="A607" s="162">
        <v>39783</v>
      </c>
      <c r="B607" s="161">
        <v>9.1412901000000005E-2</v>
      </c>
    </row>
    <row r="608" spans="1:2">
      <c r="A608" s="162">
        <v>39814</v>
      </c>
      <c r="B608" s="161">
        <v>2.9846503999999999E-2</v>
      </c>
    </row>
    <row r="609" spans="1:2">
      <c r="A609" s="162">
        <v>39845</v>
      </c>
      <c r="B609" s="161">
        <v>0.23619108799999999</v>
      </c>
    </row>
    <row r="610" spans="1:2">
      <c r="A610" s="162">
        <v>39873</v>
      </c>
      <c r="B610" s="161">
        <v>-0.38355625500000001</v>
      </c>
    </row>
    <row r="611" spans="1:2">
      <c r="A611" s="162">
        <v>39904</v>
      </c>
      <c r="B611" s="161">
        <v>-0.736885715</v>
      </c>
    </row>
    <row r="612" spans="1:2">
      <c r="A612" s="162">
        <v>39934</v>
      </c>
      <c r="B612" s="161">
        <v>-1.281435799</v>
      </c>
    </row>
    <row r="613" spans="1:2">
      <c r="A613" s="162">
        <v>39965</v>
      </c>
      <c r="B613" s="161">
        <v>-1.4267760439999999</v>
      </c>
    </row>
    <row r="614" spans="1:2">
      <c r="A614" s="162">
        <v>39995</v>
      </c>
      <c r="B614" s="161">
        <v>-2.0971613539999998</v>
      </c>
    </row>
    <row r="615" spans="1:2">
      <c r="A615" s="162">
        <v>40026</v>
      </c>
      <c r="B615" s="161">
        <v>-1.484348612</v>
      </c>
    </row>
    <row r="616" spans="1:2">
      <c r="A616" s="162">
        <v>40057</v>
      </c>
      <c r="B616" s="161">
        <v>-1.2862059669999999</v>
      </c>
    </row>
    <row r="617" spans="1:2">
      <c r="A617" s="162">
        <v>40087</v>
      </c>
      <c r="B617" s="161">
        <v>-0.182848277</v>
      </c>
    </row>
    <row r="618" spans="1:2">
      <c r="A618" s="162">
        <v>40118</v>
      </c>
      <c r="B618" s="161">
        <v>1.838295869</v>
      </c>
    </row>
    <row r="619" spans="1:2">
      <c r="A619" s="162">
        <v>40148</v>
      </c>
      <c r="B619" s="161">
        <v>2.7213311259999999</v>
      </c>
    </row>
    <row r="620" spans="1:2">
      <c r="A620" s="162">
        <v>40179</v>
      </c>
      <c r="B620" s="161">
        <v>2.6257086429999998</v>
      </c>
    </row>
    <row r="621" spans="1:2">
      <c r="A621" s="162">
        <v>40210</v>
      </c>
      <c r="B621" s="161">
        <v>2.1433317779999999</v>
      </c>
    </row>
    <row r="622" spans="1:2">
      <c r="A622" s="162">
        <v>40238</v>
      </c>
      <c r="B622" s="161">
        <v>2.3139594469999998</v>
      </c>
    </row>
    <row r="623" spans="1:2">
      <c r="A623" s="162">
        <v>40269</v>
      </c>
      <c r="B623" s="161">
        <v>2.2364471959999999</v>
      </c>
    </row>
    <row r="624" spans="1:2">
      <c r="A624" s="162">
        <v>40299</v>
      </c>
      <c r="B624" s="161">
        <v>2.020986084</v>
      </c>
    </row>
    <row r="625" spans="1:2">
      <c r="A625" s="162">
        <v>40330</v>
      </c>
      <c r="B625" s="161">
        <v>1.0533489730000001</v>
      </c>
    </row>
    <row r="626" spans="1:2">
      <c r="A626" s="162">
        <v>40360</v>
      </c>
      <c r="B626" s="161">
        <v>1.235192778</v>
      </c>
    </row>
    <row r="627" spans="1:2">
      <c r="A627" s="162">
        <v>40391</v>
      </c>
      <c r="B627" s="161">
        <v>1.1481045620000001</v>
      </c>
    </row>
    <row r="628" spans="1:2">
      <c r="A628" s="162">
        <v>40422</v>
      </c>
      <c r="B628" s="161">
        <v>1.1436826579999999</v>
      </c>
    </row>
    <row r="629" spans="1:2">
      <c r="A629" s="162">
        <v>40452</v>
      </c>
      <c r="B629" s="161">
        <v>1.172187606</v>
      </c>
    </row>
    <row r="630" spans="1:2">
      <c r="A630" s="162">
        <v>40483</v>
      </c>
      <c r="B630" s="161">
        <v>1.1431609119999999</v>
      </c>
    </row>
    <row r="631" spans="1:2">
      <c r="A631" s="162">
        <v>40513</v>
      </c>
      <c r="B631" s="161">
        <v>1.495723527</v>
      </c>
    </row>
    <row r="632" spans="1:2">
      <c r="A632" s="162">
        <v>40544</v>
      </c>
      <c r="B632" s="161">
        <v>1.631846857</v>
      </c>
    </row>
    <row r="633" spans="1:2">
      <c r="A633" s="162">
        <v>40575</v>
      </c>
      <c r="B633" s="161">
        <v>2.1075846290000002</v>
      </c>
    </row>
    <row r="634" spans="1:2">
      <c r="A634" s="162">
        <v>40603</v>
      </c>
      <c r="B634" s="161">
        <v>2.681603264</v>
      </c>
    </row>
    <row r="635" spans="1:2">
      <c r="A635" s="162">
        <v>40634</v>
      </c>
      <c r="B635" s="161">
        <v>3.163630859</v>
      </c>
    </row>
    <row r="636" spans="1:2">
      <c r="A636" s="162">
        <v>40664</v>
      </c>
      <c r="B636" s="161">
        <v>3.5686457850000002</v>
      </c>
    </row>
    <row r="637" spans="1:2">
      <c r="A637" s="162">
        <v>40695</v>
      </c>
      <c r="B637" s="161">
        <v>3.5588282520000001</v>
      </c>
    </row>
    <row r="638" spans="1:2">
      <c r="A638" s="162">
        <v>40725</v>
      </c>
      <c r="B638" s="161">
        <v>3.6287159820000001</v>
      </c>
    </row>
    <row r="639" spans="1:2">
      <c r="A639" s="162">
        <v>40756</v>
      </c>
      <c r="B639" s="161">
        <v>3.7712081789999998</v>
      </c>
    </row>
    <row r="640" spans="1:2">
      <c r="A640" s="162">
        <v>40787</v>
      </c>
      <c r="B640" s="161">
        <v>3.8683568410000002</v>
      </c>
    </row>
    <row r="641" spans="1:2">
      <c r="A641" s="162">
        <v>40817</v>
      </c>
      <c r="B641" s="161">
        <v>3.525199921</v>
      </c>
    </row>
    <row r="642" spans="1:2">
      <c r="A642" s="162">
        <v>40848</v>
      </c>
      <c r="B642" s="161">
        <v>3.394377591</v>
      </c>
    </row>
    <row r="643" spans="1:2">
      <c r="A643" s="162">
        <v>40878</v>
      </c>
      <c r="B643" s="161">
        <v>2.9624188450000002</v>
      </c>
    </row>
    <row r="644" spans="1:2">
      <c r="A644" s="162">
        <v>40909</v>
      </c>
      <c r="B644" s="161">
        <v>2.9252167120000001</v>
      </c>
    </row>
    <row r="645" spans="1:2">
      <c r="A645" s="162">
        <v>40940</v>
      </c>
      <c r="B645" s="161">
        <v>2.8710987800000001</v>
      </c>
    </row>
    <row r="646" spans="1:2">
      <c r="A646" s="162">
        <v>40969</v>
      </c>
      <c r="B646" s="161">
        <v>2.6513981929999999</v>
      </c>
    </row>
    <row r="647" spans="1:2">
      <c r="A647" s="162">
        <v>41000</v>
      </c>
      <c r="B647" s="161">
        <v>2.3027398109999999</v>
      </c>
    </row>
    <row r="648" spans="1:2">
      <c r="A648" s="162">
        <v>41030</v>
      </c>
      <c r="B648" s="161">
        <v>1.704253775</v>
      </c>
    </row>
    <row r="649" spans="1:2">
      <c r="A649" s="162">
        <v>41061</v>
      </c>
      <c r="B649" s="161">
        <v>1.663993762</v>
      </c>
    </row>
    <row r="650" spans="1:2">
      <c r="A650" s="162">
        <v>41091</v>
      </c>
      <c r="B650" s="161">
        <v>1.4084507040000001</v>
      </c>
    </row>
    <row r="651" spans="1:2">
      <c r="A651" s="162">
        <v>41122</v>
      </c>
      <c r="B651" s="161">
        <v>1.6923789979999999</v>
      </c>
    </row>
    <row r="652" spans="1:2">
      <c r="A652" s="162">
        <v>41153</v>
      </c>
      <c r="B652" s="161">
        <v>1.991282081</v>
      </c>
    </row>
    <row r="653" spans="1:2">
      <c r="A653" s="162">
        <v>41183</v>
      </c>
      <c r="B653" s="161">
        <v>2.1623435990000002</v>
      </c>
    </row>
    <row r="654" spans="1:2">
      <c r="A654" s="162">
        <v>41214</v>
      </c>
      <c r="B654" s="161">
        <v>1.764133846</v>
      </c>
    </row>
    <row r="655" spans="1:2">
      <c r="A655" s="162">
        <v>41244</v>
      </c>
      <c r="B655" s="161">
        <v>1.741022369</v>
      </c>
    </row>
    <row r="656" spans="1:2">
      <c r="A656" s="162">
        <v>41275</v>
      </c>
      <c r="B656" s="161">
        <v>1.594864668</v>
      </c>
    </row>
    <row r="657" spans="1:2">
      <c r="A657" s="162">
        <v>41306</v>
      </c>
      <c r="B657" s="161">
        <v>1.9779235100000001</v>
      </c>
    </row>
    <row r="658" spans="1:2">
      <c r="A658" s="162">
        <v>41334</v>
      </c>
      <c r="B658" s="161">
        <v>1.473896213</v>
      </c>
    </row>
    <row r="659" spans="1:2">
      <c r="A659" s="162">
        <v>41365</v>
      </c>
      <c r="B659" s="161">
        <v>1.0630853810000001</v>
      </c>
    </row>
    <row r="660" spans="1:2">
      <c r="A660" s="162">
        <v>41395</v>
      </c>
      <c r="B660" s="161">
        <v>1.3619650590000001</v>
      </c>
    </row>
    <row r="661" spans="1:2">
      <c r="A661" s="162">
        <v>41426</v>
      </c>
      <c r="B661" s="161">
        <v>1.754416545</v>
      </c>
    </row>
    <row r="662" spans="1:2">
      <c r="A662" s="162">
        <v>41456</v>
      </c>
      <c r="B662" s="161">
        <v>1.9606816119999999</v>
      </c>
    </row>
    <row r="663" spans="1:2">
      <c r="A663" s="162">
        <v>41487</v>
      </c>
      <c r="B663" s="161">
        <v>1.5183675599999999</v>
      </c>
    </row>
    <row r="664" spans="1:2">
      <c r="A664" s="162">
        <v>41518</v>
      </c>
      <c r="B664" s="161">
        <v>1.1849252619999999</v>
      </c>
    </row>
    <row r="665" spans="1:2">
      <c r="A665" s="162">
        <v>41548</v>
      </c>
      <c r="B665" s="161">
        <v>0.96361270499999996</v>
      </c>
    </row>
    <row r="666" spans="1:2">
      <c r="A666" s="162">
        <v>41579</v>
      </c>
      <c r="B666" s="161">
        <v>1.237072205</v>
      </c>
    </row>
    <row r="667" spans="1:2">
      <c r="A667" s="162">
        <v>41609</v>
      </c>
      <c r="B667" s="161">
        <v>1.50173562</v>
      </c>
    </row>
    <row r="668" spans="1:2">
      <c r="A668" s="162">
        <v>41640</v>
      </c>
      <c r="B668" s="161">
        <v>1.5789473679999999</v>
      </c>
    </row>
    <row r="669" spans="1:2">
      <c r="A669" s="162">
        <v>41671</v>
      </c>
      <c r="B669" s="161">
        <v>1.1263492500000001</v>
      </c>
    </row>
    <row r="670" spans="1:2">
      <c r="A670" s="162">
        <v>41699</v>
      </c>
      <c r="B670" s="161">
        <v>1.5122028759999999</v>
      </c>
    </row>
    <row r="671" spans="1:2">
      <c r="A671" s="162">
        <v>41730</v>
      </c>
      <c r="B671" s="161">
        <v>1.9528578990000001</v>
      </c>
    </row>
    <row r="672" spans="1:2">
      <c r="A672" s="162">
        <v>41760</v>
      </c>
      <c r="B672" s="161">
        <v>2.12711155</v>
      </c>
    </row>
    <row r="673" spans="1:2">
      <c r="A673" s="162">
        <v>41791</v>
      </c>
      <c r="B673" s="161">
        <v>2.072341373</v>
      </c>
    </row>
    <row r="674" spans="1:2">
      <c r="A674" s="162">
        <v>41821</v>
      </c>
      <c r="B674" s="161">
        <v>1.9923286360000001</v>
      </c>
    </row>
    <row r="675" spans="1:2">
      <c r="A675" s="162">
        <v>41852</v>
      </c>
      <c r="B675" s="161">
        <v>1.6996113340000001</v>
      </c>
    </row>
    <row r="676" spans="1:2">
      <c r="A676" s="162">
        <v>41883</v>
      </c>
      <c r="B676" s="161">
        <v>1.657918676</v>
      </c>
    </row>
    <row r="677" spans="1:2">
      <c r="A677" s="162">
        <v>41913</v>
      </c>
      <c r="B677" s="161">
        <v>1.664340216</v>
      </c>
    </row>
    <row r="678" spans="1:2">
      <c r="A678" s="162">
        <v>41944</v>
      </c>
      <c r="B678" s="161">
        <v>1.3223551819999999</v>
      </c>
    </row>
    <row r="679" spans="1:2">
      <c r="A679" s="162">
        <v>41974</v>
      </c>
      <c r="B679" s="161">
        <v>0.75649327</v>
      </c>
    </row>
    <row r="680" spans="1:2">
      <c r="A680" s="162">
        <v>42005</v>
      </c>
      <c r="B680" s="161">
        <v>-8.9348312999999999E-2</v>
      </c>
    </row>
    <row r="681" spans="1:2">
      <c r="A681" s="162">
        <v>42036</v>
      </c>
      <c r="B681" s="161">
        <v>-2.5129802E-2</v>
      </c>
    </row>
    <row r="682" spans="1:2">
      <c r="A682" s="162">
        <v>42064</v>
      </c>
      <c r="B682" s="161">
        <v>-7.3637390999999996E-2</v>
      </c>
    </row>
    <row r="683" spans="1:2">
      <c r="A683" s="162">
        <v>42095</v>
      </c>
      <c r="B683" s="161">
        <v>-0.19951744599999999</v>
      </c>
    </row>
    <row r="684" spans="1:2">
      <c r="A684" s="162">
        <v>42125</v>
      </c>
      <c r="B684" s="161">
        <v>-3.9932744999999999E-2</v>
      </c>
    </row>
    <row r="685" spans="1:2">
      <c r="A685" s="162">
        <v>42156</v>
      </c>
      <c r="B685" s="161">
        <v>0.123771204</v>
      </c>
    </row>
    <row r="686" spans="1:2">
      <c r="A686" s="162">
        <v>42186</v>
      </c>
      <c r="B686" s="161">
        <v>0.16956978</v>
      </c>
    </row>
    <row r="687" spans="1:2">
      <c r="A687" s="162">
        <v>42217</v>
      </c>
      <c r="B687" s="161">
        <v>0.19507929299999999</v>
      </c>
    </row>
    <row r="688" spans="1:2">
      <c r="A688" s="162">
        <v>42248</v>
      </c>
      <c r="B688" s="161">
        <v>-3.6129748000000003E-2</v>
      </c>
    </row>
    <row r="689" spans="1:2">
      <c r="A689" s="162">
        <v>42278</v>
      </c>
      <c r="B689" s="161">
        <v>0.170574436</v>
      </c>
    </row>
    <row r="690" spans="1:2">
      <c r="A690" s="162">
        <v>42309</v>
      </c>
      <c r="B690" s="161">
        <v>0.50179757899999999</v>
      </c>
    </row>
    <row r="691" spans="1:2">
      <c r="A691" s="162">
        <v>42339</v>
      </c>
      <c r="B691" s="161">
        <v>0.729519786</v>
      </c>
    </row>
    <row r="692" spans="1:2">
      <c r="A692" s="162">
        <v>42370</v>
      </c>
      <c r="B692" s="161">
        <v>1.3730868140000001</v>
      </c>
    </row>
    <row r="693" spans="1:2">
      <c r="A693" s="162">
        <v>42401</v>
      </c>
      <c r="B693" s="161">
        <v>1.01779978</v>
      </c>
    </row>
    <row r="694" spans="1:2">
      <c r="A694" s="162">
        <v>42430</v>
      </c>
      <c r="B694" s="161">
        <v>0.85253622100000004</v>
      </c>
    </row>
    <row r="695" spans="1:2">
      <c r="A695" s="162">
        <v>42461</v>
      </c>
      <c r="B695" s="161">
        <v>1.1251104190000001</v>
      </c>
    </row>
    <row r="696" spans="1:2">
      <c r="A696" s="162">
        <v>42491</v>
      </c>
      <c r="B696" s="161">
        <v>1.0193225539999999</v>
      </c>
    </row>
    <row r="697" spans="1:2">
      <c r="A697" s="162">
        <v>42522</v>
      </c>
      <c r="B697" s="161">
        <v>0.99732649500000004</v>
      </c>
    </row>
    <row r="698" spans="1:2">
      <c r="A698" s="162">
        <v>42552</v>
      </c>
      <c r="B698" s="161">
        <v>0.82713886999999997</v>
      </c>
    </row>
    <row r="699" spans="1:2">
      <c r="A699" s="162">
        <v>42583</v>
      </c>
      <c r="B699" s="161">
        <v>1.062874503</v>
      </c>
    </row>
    <row r="700" spans="1:2">
      <c r="A700" s="162">
        <v>42614</v>
      </c>
      <c r="B700" s="161">
        <v>1.4637836470000001</v>
      </c>
    </row>
    <row r="701" spans="1:2">
      <c r="A701" s="162">
        <v>42644</v>
      </c>
      <c r="B701" s="161">
        <v>1.6359875209999999</v>
      </c>
    </row>
    <row r="702" spans="1:2">
      <c r="A702" s="162">
        <v>42675</v>
      </c>
      <c r="B702" s="161">
        <v>1.6925371629999999</v>
      </c>
    </row>
    <row r="703" spans="1:2">
      <c r="A703" s="162">
        <v>42705</v>
      </c>
      <c r="B703" s="161">
        <v>2.0746221330000001</v>
      </c>
    </row>
    <row r="704" spans="1:2">
      <c r="A704" s="162">
        <v>42736</v>
      </c>
      <c r="B704" s="161">
        <v>2.5000422090000001</v>
      </c>
    </row>
    <row r="705" spans="1:2">
      <c r="A705" s="162">
        <v>42767</v>
      </c>
      <c r="B705" s="161">
        <v>2.7379581709999998</v>
      </c>
    </row>
    <row r="706" spans="1:2">
      <c r="A706" s="162">
        <v>42795</v>
      </c>
      <c r="B706" s="161">
        <v>2.380612433</v>
      </c>
    </row>
    <row r="707" spans="1:2">
      <c r="A707" s="162">
        <v>42826</v>
      </c>
      <c r="B707" s="161">
        <v>2.199689878</v>
      </c>
    </row>
    <row r="708" spans="1:2">
      <c r="A708" s="162">
        <v>42856</v>
      </c>
      <c r="B708" s="161">
        <v>1.8748777210000001</v>
      </c>
    </row>
    <row r="709" spans="1:2">
      <c r="A709" s="162">
        <v>42887</v>
      </c>
      <c r="B709" s="161">
        <v>1.6334879550000001</v>
      </c>
    </row>
    <row r="710" spans="1:2">
      <c r="A710" s="162">
        <v>42917</v>
      </c>
      <c r="B710" s="161">
        <v>1.727978456</v>
      </c>
    </row>
    <row r="711" spans="1:2">
      <c r="A711" s="162">
        <v>42948</v>
      </c>
      <c r="B711" s="161">
        <v>1.938974212</v>
      </c>
    </row>
    <row r="712" spans="1:2">
      <c r="A712" s="162">
        <v>42979</v>
      </c>
      <c r="B712" s="161">
        <v>2.2329638649999999</v>
      </c>
    </row>
    <row r="713" spans="1:2">
      <c r="A713" s="162">
        <v>43009</v>
      </c>
      <c r="B713" s="161">
        <v>2.041128702</v>
      </c>
    </row>
    <row r="714" spans="1:2">
      <c r="A714" s="162">
        <v>43040</v>
      </c>
      <c r="B714" s="161">
        <v>2.202582939</v>
      </c>
    </row>
    <row r="715" spans="1:2">
      <c r="A715" s="162">
        <v>43070</v>
      </c>
      <c r="B715" s="161">
        <v>2.1090824750000001</v>
      </c>
    </row>
    <row r="716" spans="1:2">
      <c r="A716" s="162">
        <v>43101</v>
      </c>
      <c r="B716" s="161">
        <v>2.0705076199999999</v>
      </c>
    </row>
    <row r="717" spans="1:2">
      <c r="A717" s="162">
        <v>43132</v>
      </c>
      <c r="B717" s="161">
        <v>2.2117954210000002</v>
      </c>
    </row>
    <row r="718" spans="1:2">
      <c r="A718" s="162">
        <v>43160</v>
      </c>
      <c r="B718" s="161">
        <v>2.359711404</v>
      </c>
    </row>
    <row r="719" spans="1:2">
      <c r="A719" s="162">
        <v>43191</v>
      </c>
      <c r="B719" s="161">
        <v>2.462743943</v>
      </c>
    </row>
    <row r="720" spans="1:2">
      <c r="A720" s="162">
        <v>43221</v>
      </c>
      <c r="B720" s="161">
        <v>2.801011715</v>
      </c>
    </row>
    <row r="721" spans="1:2">
      <c r="A721" s="162">
        <v>43252</v>
      </c>
      <c r="B721" s="161">
        <v>2.8715478349999999</v>
      </c>
    </row>
    <row r="722" spans="1:2">
      <c r="A722" s="162">
        <v>43282</v>
      </c>
      <c r="B722" s="161">
        <v>2.949515087</v>
      </c>
    </row>
    <row r="723" spans="1:2">
      <c r="A723" s="162">
        <v>43313</v>
      </c>
      <c r="B723" s="161">
        <v>2.6991801039999999</v>
      </c>
    </row>
    <row r="724" spans="1:2">
      <c r="A724" s="162">
        <v>43344</v>
      </c>
      <c r="B724" s="161">
        <v>2.2769721939999998</v>
      </c>
    </row>
    <row r="725" spans="1:2">
      <c r="A725" s="162">
        <v>43374</v>
      </c>
      <c r="B725" s="161">
        <v>2.5224699290000001</v>
      </c>
    </row>
    <row r="726" spans="1:2">
      <c r="A726" s="162">
        <v>43405</v>
      </c>
      <c r="B726" s="161">
        <v>2.1766010320000002</v>
      </c>
    </row>
    <row r="727" spans="1:2">
      <c r="A727" s="162">
        <v>43435</v>
      </c>
      <c r="B727" s="161">
        <v>1.9101588490000001</v>
      </c>
    </row>
    <row r="728" spans="1:2">
      <c r="A728" s="162">
        <v>43466</v>
      </c>
      <c r="B728" s="161">
        <v>1.551235138</v>
      </c>
    </row>
    <row r="729" spans="1:2">
      <c r="A729" s="162">
        <v>43497</v>
      </c>
      <c r="B729" s="161">
        <v>1.520135266</v>
      </c>
    </row>
    <row r="730" spans="1:2">
      <c r="A730" s="162">
        <v>43525</v>
      </c>
      <c r="B730" s="161">
        <v>1.862522741</v>
      </c>
    </row>
    <row r="731" spans="1:2">
      <c r="A731" s="162">
        <v>43556</v>
      </c>
      <c r="B731" s="161">
        <v>1.9964397760000001</v>
      </c>
    </row>
    <row r="732" spans="1:2">
      <c r="A732" s="162">
        <v>43586</v>
      </c>
      <c r="B732" s="161">
        <v>1.7902284690000001</v>
      </c>
    </row>
    <row r="733" spans="1:2">
      <c r="A733" s="162">
        <v>43617</v>
      </c>
      <c r="B733" s="161">
        <v>1.6484846559999999</v>
      </c>
    </row>
    <row r="734" spans="1:2">
      <c r="A734" s="162">
        <v>43647</v>
      </c>
      <c r="B734" s="161">
        <v>1.811464806</v>
      </c>
    </row>
    <row r="735" spans="1:2">
      <c r="A735" s="162">
        <v>43678</v>
      </c>
      <c r="B735" s="161">
        <v>1.749779889</v>
      </c>
    </row>
    <row r="736" spans="1:2">
      <c r="A736" s="162">
        <v>43709</v>
      </c>
      <c r="B736" s="161">
        <v>1.711304513</v>
      </c>
    </row>
    <row r="737" spans="1:2">
      <c r="A737" s="162">
        <v>43739</v>
      </c>
      <c r="B737" s="161">
        <v>1.7640429440000001</v>
      </c>
    </row>
    <row r="738" spans="1:2">
      <c r="A738" s="162">
        <v>43770</v>
      </c>
      <c r="B738" s="161">
        <v>2.0512779820000002</v>
      </c>
    </row>
    <row r="739" spans="1:2">
      <c r="A739" s="162">
        <v>43800</v>
      </c>
      <c r="B739" s="161">
        <v>2.2851297399999999</v>
      </c>
    </row>
    <row r="740" spans="1:2">
      <c r="A740" s="162">
        <v>43831</v>
      </c>
      <c r="B740" s="161">
        <v>2.4865719550000001</v>
      </c>
    </row>
    <row r="741" spans="1:2">
      <c r="A741" s="162">
        <v>43862</v>
      </c>
      <c r="B741" s="161">
        <v>2.334873564</v>
      </c>
    </row>
    <row r="742" spans="1:2">
      <c r="A742" s="162">
        <v>43891</v>
      </c>
      <c r="B742" s="161">
        <v>1.5393269919999999</v>
      </c>
    </row>
    <row r="743" spans="1:2">
      <c r="A743" s="162">
        <v>43922</v>
      </c>
      <c r="B743" s="161">
        <v>0.32909668600000003</v>
      </c>
    </row>
    <row r="744" spans="1:2">
      <c r="A744" s="162">
        <v>43952</v>
      </c>
      <c r="B744" s="161">
        <v>0.11792637</v>
      </c>
    </row>
    <row r="745" spans="1:2">
      <c r="A745" s="162">
        <v>43983</v>
      </c>
      <c r="B745" s="161">
        <v>0.64573304799999998</v>
      </c>
    </row>
    <row r="746" spans="1:2">
      <c r="A746" s="162">
        <v>44013</v>
      </c>
      <c r="B746" s="161">
        <v>0.98608182499999997</v>
      </c>
    </row>
    <row r="747" spans="1:2">
      <c r="A747" s="162">
        <v>44044</v>
      </c>
      <c r="B747" s="161">
        <v>1.309645382</v>
      </c>
    </row>
    <row r="748" spans="1:2">
      <c r="A748" s="162">
        <v>44075</v>
      </c>
      <c r="B748" s="161">
        <v>1.371324861</v>
      </c>
    </row>
    <row r="749" spans="1:2">
      <c r="A749" s="162">
        <v>44105</v>
      </c>
      <c r="B749" s="161">
        <v>1.182066168</v>
      </c>
    </row>
    <row r="750" spans="1:2">
      <c r="A750" s="162">
        <v>44136</v>
      </c>
      <c r="B750" s="161">
        <v>1.1745357839999999</v>
      </c>
    </row>
    <row r="751" spans="1:2">
      <c r="A751" s="162">
        <v>44166</v>
      </c>
      <c r="B751" s="161">
        <v>1.362005495</v>
      </c>
    </row>
    <row r="752" spans="1:2">
      <c r="A752" s="162">
        <v>44197</v>
      </c>
      <c r="B752" s="161">
        <v>1.3997697419999999</v>
      </c>
    </row>
    <row r="753" spans="1:2">
      <c r="A753" s="162">
        <v>44228</v>
      </c>
      <c r="B753" s="161">
        <v>1.676215217</v>
      </c>
    </row>
    <row r="754" spans="1:2">
      <c r="A754" s="162">
        <v>44256</v>
      </c>
      <c r="B754" s="161">
        <v>2.6197625090000001</v>
      </c>
    </row>
    <row r="755" spans="1:2">
      <c r="A755" s="162">
        <v>44287</v>
      </c>
      <c r="B755" s="161">
        <v>4.1596948390000001</v>
      </c>
    </row>
    <row r="756" spans="1:2">
      <c r="A756" s="162">
        <v>44317</v>
      </c>
      <c r="B756" s="161">
        <v>4.9927065380000002</v>
      </c>
    </row>
    <row r="757" spans="1:2">
      <c r="A757" s="162">
        <v>44348</v>
      </c>
      <c r="B757" s="161">
        <v>5.3914514130000004</v>
      </c>
    </row>
    <row r="758" spans="1:2">
      <c r="A758" s="162">
        <v>44378</v>
      </c>
      <c r="B758" s="161">
        <v>5.3654752390000002</v>
      </c>
    </row>
    <row r="759" spans="1:2">
      <c r="A759" s="162">
        <v>44409</v>
      </c>
      <c r="B759" s="161">
        <v>5.2512715549999998</v>
      </c>
    </row>
    <row r="760" spans="1:2">
      <c r="A760" s="162">
        <v>44440</v>
      </c>
      <c r="B760" s="161">
        <v>5.3903488550000001</v>
      </c>
    </row>
    <row r="761" spans="1:2">
      <c r="A761" s="162">
        <v>44470</v>
      </c>
      <c r="B761" s="161">
        <v>6.2218689029999998</v>
      </c>
    </row>
    <row r="762" spans="1:2">
      <c r="A762" s="162">
        <v>44501</v>
      </c>
      <c r="B762" s="161">
        <v>6.8090028399999998</v>
      </c>
    </row>
    <row r="763" spans="1:2">
      <c r="A763" s="162">
        <v>44531</v>
      </c>
      <c r="B763" s="161">
        <v>7.0364028660000004</v>
      </c>
    </row>
    <row r="764" spans="1:2">
      <c r="A764" s="162">
        <v>44562</v>
      </c>
      <c r="B764" s="161">
        <v>7.4798724679999999</v>
      </c>
    </row>
    <row r="765" spans="1:2">
      <c r="A765" s="162">
        <v>44593</v>
      </c>
      <c r="B765" s="161">
        <v>7.8710638980000001</v>
      </c>
    </row>
    <row r="766" spans="1:2">
      <c r="A766" s="162">
        <v>44621</v>
      </c>
      <c r="B766" s="161">
        <v>8.5424555550000001</v>
      </c>
    </row>
    <row r="767" spans="1:2">
      <c r="A767" s="162">
        <v>44652</v>
      </c>
      <c r="B767" s="161">
        <v>8.2586293410000007</v>
      </c>
    </row>
    <row r="768" spans="1:2">
      <c r="A768" s="162">
        <v>44682</v>
      </c>
      <c r="B768" s="161">
        <v>8.5815115439999996</v>
      </c>
    </row>
    <row r="769" spans="1:2">
      <c r="A769" s="162">
        <v>44713</v>
      </c>
      <c r="B769" s="161">
        <v>9.0597579649999993</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B49DF-5C29-4499-9F0A-8B1E801A47F4}">
  <sheetPr codeName="Sheet26"/>
  <dimension ref="A1:L316"/>
  <sheetViews>
    <sheetView topLeftCell="A289" workbookViewId="0">
      <selection activeCell="A317" sqref="A317"/>
    </sheetView>
  </sheetViews>
  <sheetFormatPr defaultColWidth="8.71875" defaultRowHeight="14.4"/>
  <cols>
    <col min="1" max="16384" width="8.71875" style="161"/>
  </cols>
  <sheetData>
    <row r="1" spans="1:12">
      <c r="A1" s="161" t="s">
        <v>1444</v>
      </c>
      <c r="B1" s="161" t="s">
        <v>1519</v>
      </c>
      <c r="C1" s="161" t="s">
        <v>1520</v>
      </c>
      <c r="D1" s="161" t="s">
        <v>1521</v>
      </c>
      <c r="E1" s="161" t="s">
        <v>1522</v>
      </c>
      <c r="F1" s="161" t="s">
        <v>1446</v>
      </c>
      <c r="G1" s="161" t="s">
        <v>1523</v>
      </c>
      <c r="H1" s="161" t="s">
        <v>1450</v>
      </c>
      <c r="I1" s="161" t="s">
        <v>1448</v>
      </c>
      <c r="J1" s="161" t="s">
        <v>1524</v>
      </c>
      <c r="K1" s="161" t="s">
        <v>1525</v>
      </c>
    </row>
    <row r="2" spans="1:12">
      <c r="A2" s="161" t="s">
        <v>1454</v>
      </c>
      <c r="B2" s="161" t="s">
        <v>1455</v>
      </c>
      <c r="C2" s="161" t="s">
        <v>1526</v>
      </c>
    </row>
    <row r="3" spans="1:12">
      <c r="A3" s="161" t="s">
        <v>1457</v>
      </c>
      <c r="B3" s="161" t="s">
        <v>1527</v>
      </c>
      <c r="C3" s="161" t="s">
        <v>1528</v>
      </c>
      <c r="D3" s="161" t="s">
        <v>1529</v>
      </c>
      <c r="E3" s="161" t="s">
        <v>1530</v>
      </c>
      <c r="F3" s="161" t="s">
        <v>1531</v>
      </c>
    </row>
    <row r="4" spans="1:12">
      <c r="A4" s="161" t="s">
        <v>1463</v>
      </c>
      <c r="B4" s="161" t="s">
        <v>1532</v>
      </c>
      <c r="C4" s="161" t="s">
        <v>1461</v>
      </c>
      <c r="D4" s="161" t="s">
        <v>1533</v>
      </c>
    </row>
    <row r="5" spans="1:12">
      <c r="A5" s="161" t="s">
        <v>1469</v>
      </c>
      <c r="B5" s="161" t="s">
        <v>1470</v>
      </c>
      <c r="C5" s="161" t="s">
        <v>1472</v>
      </c>
      <c r="D5" s="161" t="s">
        <v>1473</v>
      </c>
    </row>
    <row r="6" spans="1:12">
      <c r="A6" s="161" t="s">
        <v>1474</v>
      </c>
      <c r="B6" s="161" t="s">
        <v>1534</v>
      </c>
    </row>
    <row r="7" spans="1:12">
      <c r="A7" s="161" t="s">
        <v>1475</v>
      </c>
      <c r="B7" s="161" t="s">
        <v>1535</v>
      </c>
      <c r="C7" s="161" t="s">
        <v>1536</v>
      </c>
      <c r="D7" s="161" t="s">
        <v>1537</v>
      </c>
      <c r="E7" s="161" t="s">
        <v>1538</v>
      </c>
      <c r="F7" s="161" t="s">
        <v>1539</v>
      </c>
      <c r="G7" s="161" t="s">
        <v>856</v>
      </c>
      <c r="H7" s="161" t="s">
        <v>1540</v>
      </c>
    </row>
    <row r="8" spans="1:12">
      <c r="A8" s="161" t="s">
        <v>787</v>
      </c>
      <c r="B8" s="161" t="s">
        <v>1481</v>
      </c>
      <c r="C8" s="162">
        <v>17533</v>
      </c>
      <c r="D8" s="161" t="s">
        <v>1482</v>
      </c>
      <c r="E8" s="162">
        <v>44652</v>
      </c>
    </row>
    <row r="9" spans="1:12">
      <c r="A9" s="161" t="s">
        <v>1483</v>
      </c>
      <c r="B9" s="161" t="s">
        <v>1484</v>
      </c>
      <c r="C9" s="162">
        <v>44782</v>
      </c>
      <c r="D9" s="163">
        <v>0.31666666666666665</v>
      </c>
      <c r="E9" s="161" t="s">
        <v>1541</v>
      </c>
      <c r="F9" s="161" t="s">
        <v>1486</v>
      </c>
    </row>
    <row r="10" spans="1:12">
      <c r="A10" s="161" t="s">
        <v>1487</v>
      </c>
      <c r="B10" s="161" t="s">
        <v>1522</v>
      </c>
      <c r="C10" s="161" t="s">
        <v>1446</v>
      </c>
      <c r="D10" s="161" t="s">
        <v>1523</v>
      </c>
      <c r="E10" s="161" t="s">
        <v>1542</v>
      </c>
      <c r="F10" s="161" t="s">
        <v>1451</v>
      </c>
      <c r="G10" s="161" t="s">
        <v>1543</v>
      </c>
      <c r="H10" s="161" t="s">
        <v>1544</v>
      </c>
      <c r="I10" s="161" t="s">
        <v>1545</v>
      </c>
      <c r="J10" s="161" t="s">
        <v>1546</v>
      </c>
      <c r="K10" s="161" t="s">
        <v>1547</v>
      </c>
      <c r="L10" s="161" t="s">
        <v>1451</v>
      </c>
    </row>
    <row r="11" spans="1:12">
      <c r="B11" s="161" t="s">
        <v>1545</v>
      </c>
      <c r="C11" s="161" t="s">
        <v>1548</v>
      </c>
    </row>
    <row r="13" spans="1:12">
      <c r="B13" s="161" t="s">
        <v>1549</v>
      </c>
      <c r="C13" s="161" t="s">
        <v>1550</v>
      </c>
      <c r="D13" s="161" t="s">
        <v>1551</v>
      </c>
      <c r="E13" s="161" t="s">
        <v>1552</v>
      </c>
      <c r="F13" s="161" t="s">
        <v>1553</v>
      </c>
      <c r="G13" s="161" t="s">
        <v>1482</v>
      </c>
    </row>
    <row r="14" spans="1:12">
      <c r="B14" s="161" t="s">
        <v>1554</v>
      </c>
    </row>
    <row r="16" spans="1:12">
      <c r="B16" s="161" t="s">
        <v>1555</v>
      </c>
      <c r="C16" s="161" t="s">
        <v>1556</v>
      </c>
      <c r="D16" s="161" t="s">
        <v>1526</v>
      </c>
    </row>
    <row r="18" spans="1:2">
      <c r="A18" s="161" t="s">
        <v>1516</v>
      </c>
      <c r="B18" s="161" t="s">
        <v>1517</v>
      </c>
    </row>
    <row r="19" spans="1:2">
      <c r="A19" s="162">
        <v>17533</v>
      </c>
      <c r="B19" s="161">
        <v>7.4</v>
      </c>
    </row>
    <row r="20" spans="1:2">
      <c r="A20" s="162">
        <v>17624</v>
      </c>
      <c r="B20" s="161">
        <v>7.7</v>
      </c>
    </row>
    <row r="21" spans="1:2">
      <c r="A21" s="162">
        <v>17715</v>
      </c>
      <c r="B21" s="161">
        <v>5</v>
      </c>
    </row>
    <row r="22" spans="1:2">
      <c r="A22" s="162">
        <v>17807</v>
      </c>
      <c r="B22" s="161">
        <v>6.9</v>
      </c>
    </row>
    <row r="23" spans="1:2">
      <c r="A23" s="162">
        <v>17899</v>
      </c>
      <c r="B23" s="161">
        <v>4.3</v>
      </c>
    </row>
    <row r="24" spans="1:2">
      <c r="A24" s="162">
        <v>17989</v>
      </c>
      <c r="B24" s="161">
        <v>1.6</v>
      </c>
    </row>
    <row r="25" spans="1:2">
      <c r="A25" s="162">
        <v>18080</v>
      </c>
      <c r="B25" s="161">
        <v>-0.6</v>
      </c>
    </row>
    <row r="26" spans="1:2">
      <c r="A26" s="162">
        <v>18172</v>
      </c>
      <c r="B26" s="161">
        <v>-2.2000000000000002</v>
      </c>
    </row>
    <row r="27" spans="1:2">
      <c r="A27" s="162">
        <v>18264</v>
      </c>
      <c r="B27" s="161">
        <v>-1.2</v>
      </c>
    </row>
    <row r="28" spans="1:2">
      <c r="A28" s="162">
        <v>18354</v>
      </c>
      <c r="B28" s="161">
        <v>0.1</v>
      </c>
    </row>
    <row r="29" spans="1:2">
      <c r="A29" s="162">
        <v>18445</v>
      </c>
      <c r="B29" s="161">
        <v>1.5</v>
      </c>
    </row>
    <row r="30" spans="1:2">
      <c r="A30" s="162">
        <v>18537</v>
      </c>
      <c r="B30" s="161">
        <v>3.9</v>
      </c>
    </row>
    <row r="31" spans="1:2">
      <c r="A31" s="162">
        <v>18629</v>
      </c>
      <c r="B31" s="161">
        <v>6.4</v>
      </c>
    </row>
    <row r="32" spans="1:2">
      <c r="A32" s="162">
        <v>18719</v>
      </c>
      <c r="B32" s="161">
        <v>7.5</v>
      </c>
    </row>
    <row r="33" spans="1:2">
      <c r="A33" s="162">
        <v>18810</v>
      </c>
      <c r="B33" s="161">
        <v>7</v>
      </c>
    </row>
    <row r="34" spans="1:2">
      <c r="A34" s="162">
        <v>18902</v>
      </c>
      <c r="B34" s="161">
        <v>5.5</v>
      </c>
    </row>
    <row r="35" spans="1:2">
      <c r="A35" s="162">
        <v>18994</v>
      </c>
      <c r="B35" s="161">
        <v>2.7</v>
      </c>
    </row>
    <row r="36" spans="1:2">
      <c r="A36" s="162">
        <v>19085</v>
      </c>
      <c r="B36" s="161">
        <v>1.5</v>
      </c>
    </row>
    <row r="37" spans="1:2">
      <c r="A37" s="162">
        <v>19176</v>
      </c>
      <c r="B37" s="161">
        <v>2</v>
      </c>
    </row>
    <row r="38" spans="1:2">
      <c r="A38" s="162">
        <v>19268</v>
      </c>
      <c r="B38" s="161">
        <v>2</v>
      </c>
    </row>
    <row r="39" spans="1:2">
      <c r="A39" s="162">
        <v>19360</v>
      </c>
      <c r="B39" s="161">
        <v>2</v>
      </c>
    </row>
    <row r="40" spans="1:2">
      <c r="A40" s="162">
        <v>19450</v>
      </c>
      <c r="B40" s="161">
        <v>2.6</v>
      </c>
    </row>
    <row r="41" spans="1:2">
      <c r="A41" s="162">
        <v>19541</v>
      </c>
      <c r="B41" s="161">
        <v>1.8</v>
      </c>
    </row>
    <row r="42" spans="1:2">
      <c r="A42" s="162">
        <v>19633</v>
      </c>
      <c r="B42" s="161">
        <v>1.3</v>
      </c>
    </row>
    <row r="43" spans="1:2">
      <c r="A43" s="162">
        <v>19725</v>
      </c>
      <c r="B43" s="161">
        <v>1.5</v>
      </c>
    </row>
    <row r="44" spans="1:2">
      <c r="A44" s="162">
        <v>19815</v>
      </c>
      <c r="B44" s="161">
        <v>1</v>
      </c>
    </row>
    <row r="45" spans="1:2">
      <c r="A45" s="162">
        <v>19906</v>
      </c>
      <c r="B45" s="161">
        <v>0.4</v>
      </c>
    </row>
    <row r="46" spans="1:2">
      <c r="A46" s="162">
        <v>19998</v>
      </c>
      <c r="B46" s="161">
        <v>0.8</v>
      </c>
    </row>
    <row r="47" spans="1:2">
      <c r="A47" s="162">
        <v>20090</v>
      </c>
      <c r="B47" s="161">
        <v>0.9</v>
      </c>
    </row>
    <row r="48" spans="1:2">
      <c r="A48" s="162">
        <v>20180</v>
      </c>
      <c r="B48" s="161">
        <v>1.1000000000000001</v>
      </c>
    </row>
    <row r="49" spans="1:2">
      <c r="A49" s="162">
        <v>20271</v>
      </c>
      <c r="B49" s="161">
        <v>2.2000000000000002</v>
      </c>
    </row>
    <row r="50" spans="1:2">
      <c r="A50" s="162">
        <v>20363</v>
      </c>
      <c r="B50" s="161">
        <v>2.8</v>
      </c>
    </row>
    <row r="51" spans="1:2">
      <c r="A51" s="162">
        <v>20455</v>
      </c>
      <c r="B51" s="161">
        <v>3.3</v>
      </c>
    </row>
    <row r="52" spans="1:2">
      <c r="A52" s="162">
        <v>20546</v>
      </c>
      <c r="B52" s="161">
        <v>3.6</v>
      </c>
    </row>
    <row r="53" spans="1:2">
      <c r="A53" s="162">
        <v>20637</v>
      </c>
      <c r="B53" s="161">
        <v>3.8</v>
      </c>
    </row>
    <row r="54" spans="1:2">
      <c r="A54" s="162">
        <v>20729</v>
      </c>
      <c r="B54" s="161">
        <v>3.5</v>
      </c>
    </row>
    <row r="55" spans="1:2">
      <c r="A55" s="162">
        <v>20821</v>
      </c>
      <c r="B55" s="161">
        <v>3.7</v>
      </c>
    </row>
    <row r="56" spans="1:2">
      <c r="A56" s="162">
        <v>20911</v>
      </c>
      <c r="B56" s="161">
        <v>3.7</v>
      </c>
    </row>
    <row r="57" spans="1:2">
      <c r="A57" s="162">
        <v>21002</v>
      </c>
      <c r="B57" s="161">
        <v>2.9</v>
      </c>
    </row>
    <row r="58" spans="1:2">
      <c r="A58" s="162">
        <v>21094</v>
      </c>
      <c r="B58" s="161">
        <v>2.5</v>
      </c>
    </row>
    <row r="59" spans="1:2">
      <c r="A59" s="162">
        <v>21186</v>
      </c>
      <c r="B59" s="161">
        <v>1.7</v>
      </c>
    </row>
    <row r="60" spans="1:2">
      <c r="A60" s="162">
        <v>21276</v>
      </c>
      <c r="B60" s="161">
        <v>1.3</v>
      </c>
    </row>
    <row r="61" spans="1:2">
      <c r="A61" s="162">
        <v>21367</v>
      </c>
      <c r="B61" s="161">
        <v>1.3</v>
      </c>
    </row>
    <row r="62" spans="1:2">
      <c r="A62" s="162">
        <v>21459</v>
      </c>
      <c r="B62" s="161">
        <v>1.5</v>
      </c>
    </row>
    <row r="63" spans="1:2">
      <c r="A63" s="162">
        <v>21551</v>
      </c>
      <c r="B63" s="161">
        <v>1.6</v>
      </c>
    </row>
    <row r="64" spans="1:2">
      <c r="A64" s="162">
        <v>21641</v>
      </c>
      <c r="B64" s="161">
        <v>1.7</v>
      </c>
    </row>
    <row r="65" spans="1:2">
      <c r="A65" s="162">
        <v>21732</v>
      </c>
      <c r="B65" s="161">
        <v>1.6</v>
      </c>
    </row>
    <row r="66" spans="1:2">
      <c r="A66" s="162">
        <v>21824</v>
      </c>
      <c r="B66" s="161">
        <v>1.6</v>
      </c>
    </row>
    <row r="67" spans="1:2">
      <c r="A67" s="162">
        <v>21916</v>
      </c>
      <c r="B67" s="161">
        <v>1.2</v>
      </c>
    </row>
    <row r="68" spans="1:2">
      <c r="A68" s="162">
        <v>22007</v>
      </c>
      <c r="B68" s="161">
        <v>1.2</v>
      </c>
    </row>
    <row r="69" spans="1:2">
      <c r="A69" s="162">
        <v>22098</v>
      </c>
      <c r="B69" s="161">
        <v>1.2</v>
      </c>
    </row>
    <row r="70" spans="1:2">
      <c r="A70" s="162">
        <v>22190</v>
      </c>
      <c r="B70" s="161">
        <v>1</v>
      </c>
    </row>
    <row r="71" spans="1:2">
      <c r="A71" s="162">
        <v>22282</v>
      </c>
      <c r="B71" s="161">
        <v>1</v>
      </c>
    </row>
    <row r="72" spans="1:2">
      <c r="A72" s="162">
        <v>22372</v>
      </c>
      <c r="B72" s="161">
        <v>1</v>
      </c>
    </row>
    <row r="73" spans="1:2">
      <c r="A73" s="162">
        <v>22463</v>
      </c>
      <c r="B73" s="161">
        <v>0.7</v>
      </c>
    </row>
    <row r="74" spans="1:2">
      <c r="A74" s="162">
        <v>22555</v>
      </c>
      <c r="B74" s="161">
        <v>0.4</v>
      </c>
    </row>
    <row r="75" spans="1:2">
      <c r="A75" s="162">
        <v>22647</v>
      </c>
      <c r="B75" s="161">
        <v>0.8</v>
      </c>
    </row>
    <row r="76" spans="1:2">
      <c r="A76" s="162">
        <v>22737</v>
      </c>
      <c r="B76" s="161">
        <v>0.9</v>
      </c>
    </row>
    <row r="77" spans="1:2">
      <c r="A77" s="162">
        <v>22828</v>
      </c>
      <c r="B77" s="161">
        <v>1</v>
      </c>
    </row>
    <row r="78" spans="1:2">
      <c r="A78" s="162">
        <v>22920</v>
      </c>
      <c r="B78" s="161">
        <v>0.9</v>
      </c>
    </row>
    <row r="79" spans="1:2">
      <c r="A79" s="162">
        <v>23012</v>
      </c>
      <c r="B79" s="161">
        <v>1</v>
      </c>
    </row>
    <row r="80" spans="1:2">
      <c r="A80" s="162">
        <v>23102</v>
      </c>
      <c r="B80" s="161">
        <v>0.6</v>
      </c>
    </row>
    <row r="81" spans="1:2">
      <c r="A81" s="162">
        <v>23193</v>
      </c>
      <c r="B81" s="161">
        <v>0.5</v>
      </c>
    </row>
    <row r="82" spans="1:2">
      <c r="A82" s="162">
        <v>23285</v>
      </c>
      <c r="B82" s="161">
        <v>1.2</v>
      </c>
    </row>
    <row r="83" spans="1:2">
      <c r="A83" s="162">
        <v>23377</v>
      </c>
      <c r="B83" s="161">
        <v>0.9</v>
      </c>
    </row>
    <row r="84" spans="1:2">
      <c r="A84" s="162">
        <v>23468</v>
      </c>
      <c r="B84" s="161">
        <v>1.1000000000000001</v>
      </c>
    </row>
    <row r="85" spans="1:2">
      <c r="A85" s="162">
        <v>23559</v>
      </c>
      <c r="B85" s="161">
        <v>1.7</v>
      </c>
    </row>
    <row r="86" spans="1:2">
      <c r="A86" s="162">
        <v>23651</v>
      </c>
      <c r="B86" s="161">
        <v>1.4</v>
      </c>
    </row>
    <row r="87" spans="1:2">
      <c r="A87" s="162">
        <v>23743</v>
      </c>
      <c r="B87" s="161">
        <v>1.4</v>
      </c>
    </row>
    <row r="88" spans="1:2">
      <c r="A88" s="162">
        <v>23833</v>
      </c>
      <c r="B88" s="161">
        <v>1.3</v>
      </c>
    </row>
    <row r="89" spans="1:2">
      <c r="A89" s="162">
        <v>23924</v>
      </c>
      <c r="B89" s="161">
        <v>1.2</v>
      </c>
    </row>
    <row r="90" spans="1:2">
      <c r="A90" s="162">
        <v>24016</v>
      </c>
      <c r="B90" s="161">
        <v>1.3</v>
      </c>
    </row>
    <row r="91" spans="1:2">
      <c r="A91" s="162">
        <v>24108</v>
      </c>
      <c r="B91" s="161">
        <v>1.2</v>
      </c>
    </row>
    <row r="92" spans="1:2">
      <c r="A92" s="162">
        <v>24198</v>
      </c>
      <c r="B92" s="161">
        <v>2.1</v>
      </c>
    </row>
    <row r="93" spans="1:2">
      <c r="A93" s="162">
        <v>24289</v>
      </c>
      <c r="B93" s="161">
        <v>2.5</v>
      </c>
    </row>
    <row r="94" spans="1:2">
      <c r="A94" s="162">
        <v>24381</v>
      </c>
      <c r="B94" s="161">
        <v>3.3</v>
      </c>
    </row>
    <row r="95" spans="1:2">
      <c r="A95" s="162">
        <v>24473</v>
      </c>
      <c r="B95" s="161">
        <v>3.5</v>
      </c>
    </row>
    <row r="96" spans="1:2">
      <c r="A96" s="162">
        <v>24563</v>
      </c>
      <c r="B96" s="161">
        <v>3</v>
      </c>
    </row>
    <row r="97" spans="1:2">
      <c r="A97" s="162">
        <v>24654</v>
      </c>
      <c r="B97" s="161">
        <v>3.1</v>
      </c>
    </row>
    <row r="98" spans="1:2">
      <c r="A98" s="162">
        <v>24746</v>
      </c>
      <c r="B98" s="161">
        <v>2.9</v>
      </c>
    </row>
    <row r="99" spans="1:2">
      <c r="A99" s="162">
        <v>24838</v>
      </c>
      <c r="B99" s="161">
        <v>3.5</v>
      </c>
    </row>
    <row r="100" spans="1:2">
      <c r="A100" s="162">
        <v>24929</v>
      </c>
      <c r="B100" s="161">
        <v>4</v>
      </c>
    </row>
    <row r="101" spans="1:2">
      <c r="A101" s="162">
        <v>25020</v>
      </c>
      <c r="B101" s="161">
        <v>3.8</v>
      </c>
    </row>
    <row r="102" spans="1:2">
      <c r="A102" s="162">
        <v>25112</v>
      </c>
      <c r="B102" s="161">
        <v>4.2</v>
      </c>
    </row>
    <row r="103" spans="1:2">
      <c r="A103" s="162">
        <v>25204</v>
      </c>
      <c r="B103" s="161">
        <v>4.4000000000000004</v>
      </c>
    </row>
    <row r="104" spans="1:2">
      <c r="A104" s="162">
        <v>25294</v>
      </c>
      <c r="B104" s="161">
        <v>4.4000000000000004</v>
      </c>
    </row>
    <row r="105" spans="1:2">
      <c r="A105" s="162">
        <v>25385</v>
      </c>
      <c r="B105" s="161">
        <v>4.8</v>
      </c>
    </row>
    <row r="106" spans="1:2">
      <c r="A106" s="162">
        <v>25477</v>
      </c>
      <c r="B106" s="161">
        <v>4.4000000000000004</v>
      </c>
    </row>
    <row r="107" spans="1:2">
      <c r="A107" s="162">
        <v>25569</v>
      </c>
      <c r="B107" s="161">
        <v>4.3</v>
      </c>
    </row>
    <row r="108" spans="1:2">
      <c r="A108" s="162">
        <v>25659</v>
      </c>
      <c r="B108" s="161">
        <v>4.5999999999999996</v>
      </c>
    </row>
    <row r="109" spans="1:2">
      <c r="A109" s="162">
        <v>25750</v>
      </c>
      <c r="B109" s="161">
        <v>4.0999999999999996</v>
      </c>
    </row>
    <row r="110" spans="1:2">
      <c r="A110" s="162">
        <v>25842</v>
      </c>
      <c r="B110" s="161">
        <v>4.5999999999999996</v>
      </c>
    </row>
    <row r="111" spans="1:2">
      <c r="A111" s="162">
        <v>25934</v>
      </c>
      <c r="B111" s="161">
        <v>4.5999999999999996</v>
      </c>
    </row>
    <row r="112" spans="1:2">
      <c r="A112" s="162">
        <v>26024</v>
      </c>
      <c r="B112" s="161">
        <v>4.3</v>
      </c>
    </row>
    <row r="113" spans="1:2">
      <c r="A113" s="162">
        <v>26115</v>
      </c>
      <c r="B113" s="161">
        <v>4.7</v>
      </c>
    </row>
    <row r="114" spans="1:2">
      <c r="A114" s="162">
        <v>26207</v>
      </c>
      <c r="B114" s="161">
        <v>3.6</v>
      </c>
    </row>
    <row r="115" spans="1:2">
      <c r="A115" s="162">
        <v>26299</v>
      </c>
      <c r="B115" s="161">
        <v>3.8</v>
      </c>
    </row>
    <row r="116" spans="1:2">
      <c r="A116" s="162">
        <v>26390</v>
      </c>
      <c r="B116" s="161">
        <v>2.9</v>
      </c>
    </row>
    <row r="117" spans="1:2">
      <c r="A117" s="162">
        <v>26481</v>
      </c>
      <c r="B117" s="161">
        <v>2.6</v>
      </c>
    </row>
    <row r="118" spans="1:2">
      <c r="A118" s="162">
        <v>26573</v>
      </c>
      <c r="B118" s="161">
        <v>2.9</v>
      </c>
    </row>
    <row r="119" spans="1:2">
      <c r="A119" s="162">
        <v>26665</v>
      </c>
      <c r="B119" s="161">
        <v>2.2000000000000002</v>
      </c>
    </row>
    <row r="120" spans="1:2">
      <c r="A120" s="162">
        <v>26755</v>
      </c>
      <c r="B120" s="161">
        <v>2.9</v>
      </c>
    </row>
    <row r="121" spans="1:2">
      <c r="A121" s="162">
        <v>26846</v>
      </c>
      <c r="B121" s="161">
        <v>3.6</v>
      </c>
    </row>
    <row r="122" spans="1:2">
      <c r="A122" s="162">
        <v>26938</v>
      </c>
      <c r="B122" s="161">
        <v>5.4</v>
      </c>
    </row>
    <row r="123" spans="1:2">
      <c r="A123" s="162">
        <v>27030</v>
      </c>
      <c r="B123" s="161">
        <v>7.2</v>
      </c>
    </row>
    <row r="124" spans="1:2">
      <c r="A124" s="162">
        <v>27120</v>
      </c>
      <c r="B124" s="161">
        <v>9.9</v>
      </c>
    </row>
    <row r="125" spans="1:2">
      <c r="A125" s="162">
        <v>27211</v>
      </c>
      <c r="B125" s="161">
        <v>11.9</v>
      </c>
    </row>
    <row r="126" spans="1:2">
      <c r="A126" s="162">
        <v>27303</v>
      </c>
      <c r="B126" s="161">
        <v>12.6</v>
      </c>
    </row>
    <row r="127" spans="1:2">
      <c r="A127" s="162">
        <v>27395</v>
      </c>
      <c r="B127" s="161">
        <v>13.7</v>
      </c>
    </row>
    <row r="128" spans="1:2">
      <c r="A128" s="162">
        <v>27485</v>
      </c>
      <c r="B128" s="161">
        <v>11.3</v>
      </c>
    </row>
    <row r="129" spans="1:2">
      <c r="A129" s="162">
        <v>27576</v>
      </c>
      <c r="B129" s="161">
        <v>9.6</v>
      </c>
    </row>
    <row r="130" spans="1:2">
      <c r="A130" s="162">
        <v>27668</v>
      </c>
      <c r="B130" s="161">
        <v>8</v>
      </c>
    </row>
    <row r="131" spans="1:2">
      <c r="A131" s="162">
        <v>27760</v>
      </c>
      <c r="B131" s="161">
        <v>5.7</v>
      </c>
    </row>
    <row r="132" spans="1:2">
      <c r="A132" s="162">
        <v>27851</v>
      </c>
      <c r="B132" s="161">
        <v>5.3</v>
      </c>
    </row>
    <row r="133" spans="1:2">
      <c r="A133" s="162">
        <v>27942</v>
      </c>
      <c r="B133" s="161">
        <v>5.2</v>
      </c>
    </row>
    <row r="134" spans="1:2">
      <c r="A134" s="162">
        <v>28034</v>
      </c>
      <c r="B134" s="161">
        <v>5.6</v>
      </c>
    </row>
    <row r="135" spans="1:2">
      <c r="A135" s="162">
        <v>28126</v>
      </c>
      <c r="B135" s="161">
        <v>5.9</v>
      </c>
    </row>
    <row r="136" spans="1:2">
      <c r="A136" s="162">
        <v>28216</v>
      </c>
      <c r="B136" s="161">
        <v>6.4</v>
      </c>
    </row>
    <row r="137" spans="1:2">
      <c r="A137" s="162">
        <v>28307</v>
      </c>
      <c r="B137" s="161">
        <v>6.3</v>
      </c>
    </row>
    <row r="138" spans="1:2">
      <c r="A138" s="162">
        <v>28399</v>
      </c>
      <c r="B138" s="161">
        <v>6.2</v>
      </c>
    </row>
    <row r="139" spans="1:2">
      <c r="A139" s="162">
        <v>28491</v>
      </c>
      <c r="B139" s="161">
        <v>6</v>
      </c>
    </row>
    <row r="140" spans="1:2">
      <c r="A140" s="162">
        <v>28581</v>
      </c>
      <c r="B140" s="161">
        <v>6.2</v>
      </c>
    </row>
    <row r="141" spans="1:2">
      <c r="A141" s="162">
        <v>28672</v>
      </c>
      <c r="B141" s="161">
        <v>6.8</v>
      </c>
    </row>
    <row r="142" spans="1:2">
      <c r="A142" s="162">
        <v>28764</v>
      </c>
      <c r="B142" s="161">
        <v>7.1</v>
      </c>
    </row>
    <row r="143" spans="1:2">
      <c r="A143" s="162">
        <v>28856</v>
      </c>
      <c r="B143" s="161">
        <v>7.5</v>
      </c>
    </row>
    <row r="144" spans="1:2">
      <c r="A144" s="162">
        <v>28946</v>
      </c>
      <c r="B144" s="161">
        <v>8.6</v>
      </c>
    </row>
    <row r="145" spans="1:2">
      <c r="A145" s="162">
        <v>29037</v>
      </c>
      <c r="B145" s="161">
        <v>8.8000000000000007</v>
      </c>
    </row>
    <row r="146" spans="1:2">
      <c r="A146" s="162">
        <v>29129</v>
      </c>
      <c r="B146" s="161">
        <v>8.6999999999999993</v>
      </c>
    </row>
    <row r="147" spans="1:2">
      <c r="A147" s="162">
        <v>29221</v>
      </c>
      <c r="B147" s="161">
        <v>9.6999999999999993</v>
      </c>
    </row>
    <row r="148" spans="1:2">
      <c r="A148" s="162">
        <v>29312</v>
      </c>
      <c r="B148" s="161">
        <v>9.8000000000000007</v>
      </c>
    </row>
    <row r="149" spans="1:2">
      <c r="A149" s="162">
        <v>29403</v>
      </c>
      <c r="B149" s="161">
        <v>9.1999999999999993</v>
      </c>
    </row>
    <row r="150" spans="1:2">
      <c r="A150" s="162">
        <v>29495</v>
      </c>
      <c r="B150" s="161">
        <v>9.5</v>
      </c>
    </row>
    <row r="151" spans="1:2">
      <c r="A151" s="162">
        <v>29587</v>
      </c>
      <c r="B151" s="161">
        <v>10.1</v>
      </c>
    </row>
    <row r="152" spans="1:2">
      <c r="A152" s="162">
        <v>29677</v>
      </c>
      <c r="B152" s="161">
        <v>9.1999999999999993</v>
      </c>
    </row>
    <row r="153" spans="1:2">
      <c r="A153" s="162">
        <v>29768</v>
      </c>
      <c r="B153" s="161">
        <v>9.6999999999999993</v>
      </c>
    </row>
    <row r="154" spans="1:2">
      <c r="A154" s="162">
        <v>29860</v>
      </c>
      <c r="B154" s="161">
        <v>9.4</v>
      </c>
    </row>
    <row r="155" spans="1:2">
      <c r="A155" s="162">
        <v>29952</v>
      </c>
      <c r="B155" s="161">
        <v>7.4</v>
      </c>
    </row>
    <row r="156" spans="1:2">
      <c r="A156" s="162">
        <v>30042</v>
      </c>
      <c r="B156" s="161">
        <v>6.6</v>
      </c>
    </row>
    <row r="157" spans="1:2">
      <c r="A157" s="162">
        <v>30133</v>
      </c>
      <c r="B157" s="161">
        <v>5.7</v>
      </c>
    </row>
    <row r="158" spans="1:2">
      <c r="A158" s="162">
        <v>30225</v>
      </c>
      <c r="B158" s="161">
        <v>5</v>
      </c>
    </row>
    <row r="159" spans="1:2">
      <c r="A159" s="162">
        <v>30317</v>
      </c>
      <c r="B159" s="161">
        <v>4.0999999999999996</v>
      </c>
    </row>
    <row r="160" spans="1:2">
      <c r="A160" s="162">
        <v>30407</v>
      </c>
      <c r="B160" s="161">
        <v>3.3</v>
      </c>
    </row>
    <row r="161" spans="1:2">
      <c r="A161" s="162">
        <v>30498</v>
      </c>
      <c r="B161" s="161">
        <v>3.5</v>
      </c>
    </row>
    <row r="162" spans="1:2">
      <c r="A162" s="162">
        <v>30590</v>
      </c>
      <c r="B162" s="161">
        <v>2.9</v>
      </c>
    </row>
    <row r="163" spans="1:2">
      <c r="A163" s="162">
        <v>30682</v>
      </c>
      <c r="B163" s="161">
        <v>2.8</v>
      </c>
    </row>
    <row r="164" spans="1:2">
      <c r="A164" s="162">
        <v>30773</v>
      </c>
      <c r="B164" s="161">
        <v>3.2</v>
      </c>
    </row>
    <row r="165" spans="1:2">
      <c r="A165" s="162">
        <v>30864</v>
      </c>
      <c r="B165" s="161">
        <v>2.6</v>
      </c>
    </row>
    <row r="166" spans="1:2">
      <c r="A166" s="162">
        <v>30956</v>
      </c>
      <c r="B166" s="161">
        <v>2.5</v>
      </c>
    </row>
    <row r="167" spans="1:2">
      <c r="A167" s="162">
        <v>31048</v>
      </c>
      <c r="B167" s="161">
        <v>3.4</v>
      </c>
    </row>
    <row r="168" spans="1:2">
      <c r="A168" s="162">
        <v>31138</v>
      </c>
      <c r="B168" s="161">
        <v>3.1</v>
      </c>
    </row>
    <row r="169" spans="1:2">
      <c r="A169" s="162">
        <v>31229</v>
      </c>
      <c r="B169" s="161">
        <v>3</v>
      </c>
    </row>
    <row r="170" spans="1:2">
      <c r="A170" s="162">
        <v>31321</v>
      </c>
      <c r="B170" s="161">
        <v>2.7</v>
      </c>
    </row>
    <row r="171" spans="1:2">
      <c r="A171" s="162">
        <v>31413</v>
      </c>
      <c r="B171" s="161">
        <v>2.1</v>
      </c>
    </row>
    <row r="172" spans="1:2">
      <c r="A172" s="162">
        <v>31503</v>
      </c>
      <c r="B172" s="161">
        <v>1.5</v>
      </c>
    </row>
    <row r="173" spans="1:2">
      <c r="A173" s="162">
        <v>31594</v>
      </c>
      <c r="B173" s="161">
        <v>0.9</v>
      </c>
    </row>
    <row r="174" spans="1:2">
      <c r="A174" s="162">
        <v>31686</v>
      </c>
      <c r="B174" s="161">
        <v>1.1000000000000001</v>
      </c>
    </row>
    <row r="175" spans="1:2">
      <c r="A175" s="162">
        <v>31778</v>
      </c>
      <c r="B175" s="161">
        <v>1.2</v>
      </c>
    </row>
    <row r="176" spans="1:2">
      <c r="A176" s="162">
        <v>31868</v>
      </c>
      <c r="B176" s="161">
        <v>1.7</v>
      </c>
    </row>
    <row r="177" spans="1:2">
      <c r="A177" s="162">
        <v>31959</v>
      </c>
      <c r="B177" s="161">
        <v>2.2999999999999998</v>
      </c>
    </row>
    <row r="178" spans="1:2">
      <c r="A178" s="162">
        <v>32051</v>
      </c>
      <c r="B178" s="161">
        <v>2.2999999999999998</v>
      </c>
    </row>
    <row r="179" spans="1:2">
      <c r="A179" s="162">
        <v>32143</v>
      </c>
      <c r="B179" s="161">
        <v>2.4</v>
      </c>
    </row>
    <row r="180" spans="1:2">
      <c r="A180" s="162">
        <v>32234</v>
      </c>
      <c r="B180" s="161">
        <v>2.7</v>
      </c>
    </row>
    <row r="181" spans="1:2">
      <c r="A181" s="162">
        <v>32325</v>
      </c>
      <c r="B181" s="161">
        <v>3.1</v>
      </c>
    </row>
    <row r="182" spans="1:2">
      <c r="A182" s="162">
        <v>32417</v>
      </c>
      <c r="B182" s="161">
        <v>4</v>
      </c>
    </row>
    <row r="183" spans="1:2">
      <c r="A183" s="162">
        <v>32509</v>
      </c>
      <c r="B183" s="161">
        <v>3.8</v>
      </c>
    </row>
    <row r="184" spans="1:2">
      <c r="A184" s="162">
        <v>32599</v>
      </c>
      <c r="B184" s="161">
        <v>4.0999999999999996</v>
      </c>
    </row>
    <row r="185" spans="1:2">
      <c r="A185" s="162">
        <v>32690</v>
      </c>
      <c r="B185" s="161">
        <v>3.7</v>
      </c>
    </row>
    <row r="186" spans="1:2">
      <c r="A186" s="162">
        <v>32782</v>
      </c>
      <c r="B186" s="161">
        <v>3</v>
      </c>
    </row>
    <row r="187" spans="1:2">
      <c r="A187" s="162">
        <v>32874</v>
      </c>
      <c r="B187" s="161">
        <v>3.5</v>
      </c>
    </row>
    <row r="188" spans="1:2">
      <c r="A188" s="162">
        <v>32964</v>
      </c>
      <c r="B188" s="161">
        <v>3.2</v>
      </c>
    </row>
    <row r="189" spans="1:2">
      <c r="A189" s="162">
        <v>33055</v>
      </c>
      <c r="B189" s="161">
        <v>3.3</v>
      </c>
    </row>
    <row r="190" spans="1:2">
      <c r="A190" s="162">
        <v>33147</v>
      </c>
      <c r="B190" s="161">
        <v>3.8</v>
      </c>
    </row>
    <row r="191" spans="1:2">
      <c r="A191" s="162">
        <v>33239</v>
      </c>
      <c r="B191" s="161">
        <v>3.7</v>
      </c>
    </row>
    <row r="192" spans="1:2">
      <c r="A192" s="162">
        <v>33329</v>
      </c>
      <c r="B192" s="161">
        <v>3.2</v>
      </c>
    </row>
    <row r="193" spans="1:2">
      <c r="A193" s="162">
        <v>33420</v>
      </c>
      <c r="B193" s="161">
        <v>3</v>
      </c>
    </row>
    <row r="194" spans="1:2">
      <c r="A194" s="162">
        <v>33512</v>
      </c>
      <c r="B194" s="161">
        <v>2.5</v>
      </c>
    </row>
    <row r="195" spans="1:2">
      <c r="A195" s="162">
        <v>33604</v>
      </c>
      <c r="B195" s="161">
        <v>1.7</v>
      </c>
    </row>
    <row r="196" spans="1:2">
      <c r="A196" s="162">
        <v>33695</v>
      </c>
      <c r="B196" s="161">
        <v>1.6</v>
      </c>
    </row>
    <row r="197" spans="1:2">
      <c r="A197" s="162">
        <v>33786</v>
      </c>
      <c r="B197" s="161">
        <v>1.4</v>
      </c>
    </row>
    <row r="198" spans="1:2">
      <c r="A198" s="162">
        <v>33878</v>
      </c>
      <c r="B198" s="161">
        <v>1.9</v>
      </c>
    </row>
    <row r="199" spans="1:2">
      <c r="A199" s="162">
        <v>33970</v>
      </c>
      <c r="B199" s="161">
        <v>2.4</v>
      </c>
    </row>
    <row r="200" spans="1:2">
      <c r="A200" s="162">
        <v>34060</v>
      </c>
      <c r="B200" s="161">
        <v>2.5</v>
      </c>
    </row>
    <row r="201" spans="1:2">
      <c r="A201" s="162">
        <v>34151</v>
      </c>
      <c r="B201" s="161">
        <v>2.2999999999999998</v>
      </c>
    </row>
    <row r="202" spans="1:2">
      <c r="A202" s="162">
        <v>34243</v>
      </c>
      <c r="B202" s="161">
        <v>2.1</v>
      </c>
    </row>
    <row r="203" spans="1:2">
      <c r="A203" s="162">
        <v>34335</v>
      </c>
      <c r="B203" s="161">
        <v>1.8</v>
      </c>
    </row>
    <row r="204" spans="1:2">
      <c r="A204" s="162">
        <v>34425</v>
      </c>
      <c r="B204" s="161">
        <v>1.7</v>
      </c>
    </row>
    <row r="205" spans="1:2">
      <c r="A205" s="162">
        <v>34516</v>
      </c>
      <c r="B205" s="161">
        <v>2</v>
      </c>
    </row>
    <row r="206" spans="1:2">
      <c r="A206" s="162">
        <v>34608</v>
      </c>
      <c r="B206" s="161">
        <v>2</v>
      </c>
    </row>
    <row r="207" spans="1:2">
      <c r="A207" s="162">
        <v>34700</v>
      </c>
      <c r="B207" s="161">
        <v>2</v>
      </c>
    </row>
    <row r="208" spans="1:2">
      <c r="A208" s="162">
        <v>34790</v>
      </c>
      <c r="B208" s="161">
        <v>2</v>
      </c>
    </row>
    <row r="209" spans="1:2">
      <c r="A209" s="162">
        <v>34881</v>
      </c>
      <c r="B209" s="161">
        <v>1.7</v>
      </c>
    </row>
    <row r="210" spans="1:2">
      <c r="A210" s="162">
        <v>34973</v>
      </c>
      <c r="B210" s="161">
        <v>1.4</v>
      </c>
    </row>
    <row r="211" spans="1:2">
      <c r="A211" s="162">
        <v>35065</v>
      </c>
      <c r="B211" s="161">
        <v>1.3</v>
      </c>
    </row>
    <row r="212" spans="1:2">
      <c r="A212" s="162">
        <v>35156</v>
      </c>
      <c r="B212" s="161">
        <v>1.3</v>
      </c>
    </row>
    <row r="213" spans="1:2">
      <c r="A213" s="162">
        <v>35247</v>
      </c>
      <c r="B213" s="161">
        <v>1.3</v>
      </c>
    </row>
    <row r="214" spans="1:2">
      <c r="A214" s="162">
        <v>35339</v>
      </c>
      <c r="B214" s="161">
        <v>1.6</v>
      </c>
    </row>
    <row r="215" spans="1:2">
      <c r="A215" s="162">
        <v>35431</v>
      </c>
      <c r="B215" s="161">
        <v>1.9</v>
      </c>
    </row>
    <row r="216" spans="1:2">
      <c r="A216" s="162">
        <v>35521</v>
      </c>
      <c r="B216" s="161">
        <v>1.8</v>
      </c>
    </row>
    <row r="217" spans="1:2">
      <c r="A217" s="162">
        <v>35612</v>
      </c>
      <c r="B217" s="161">
        <v>1.8</v>
      </c>
    </row>
    <row r="218" spans="1:2">
      <c r="A218" s="162">
        <v>35704</v>
      </c>
      <c r="B218" s="161">
        <v>1.5</v>
      </c>
    </row>
    <row r="219" spans="1:2">
      <c r="A219" s="162">
        <v>35796</v>
      </c>
      <c r="B219" s="161">
        <v>0.7</v>
      </c>
    </row>
    <row r="220" spans="1:2">
      <c r="A220" s="162">
        <v>35886</v>
      </c>
      <c r="B220" s="161">
        <v>0.4</v>
      </c>
    </row>
    <row r="221" spans="1:2">
      <c r="A221" s="162">
        <v>35977</v>
      </c>
      <c r="B221" s="161">
        <v>0.4</v>
      </c>
    </row>
    <row r="222" spans="1:2">
      <c r="A222" s="162">
        <v>36069</v>
      </c>
      <c r="B222" s="161">
        <v>0</v>
      </c>
    </row>
    <row r="223" spans="1:2">
      <c r="A223" s="162">
        <v>36161</v>
      </c>
      <c r="B223" s="161">
        <v>0.4</v>
      </c>
    </row>
    <row r="224" spans="1:2">
      <c r="A224" s="162">
        <v>36251</v>
      </c>
      <c r="B224" s="161">
        <v>0.6</v>
      </c>
    </row>
    <row r="225" spans="1:2">
      <c r="A225" s="162">
        <v>36342</v>
      </c>
      <c r="B225" s="161">
        <v>0.6</v>
      </c>
    </row>
    <row r="226" spans="1:2">
      <c r="A226" s="162">
        <v>36434</v>
      </c>
      <c r="B226" s="161">
        <v>1.2</v>
      </c>
    </row>
    <row r="227" spans="1:2">
      <c r="A227" s="162">
        <v>36526</v>
      </c>
      <c r="B227" s="161">
        <v>1.7</v>
      </c>
    </row>
    <row r="228" spans="1:2">
      <c r="A228" s="162">
        <v>36617</v>
      </c>
      <c r="B228" s="161">
        <v>1.9</v>
      </c>
    </row>
    <row r="229" spans="1:2">
      <c r="A229" s="162">
        <v>36708</v>
      </c>
      <c r="B229" s="161">
        <v>2.2000000000000002</v>
      </c>
    </row>
    <row r="230" spans="1:2">
      <c r="A230" s="162">
        <v>36800</v>
      </c>
      <c r="B230" s="161">
        <v>2</v>
      </c>
    </row>
    <row r="231" spans="1:2">
      <c r="A231" s="162">
        <v>36892</v>
      </c>
      <c r="B231" s="161">
        <v>2</v>
      </c>
    </row>
    <row r="232" spans="1:2">
      <c r="A232" s="162">
        <v>36982</v>
      </c>
      <c r="B232" s="161">
        <v>1.9</v>
      </c>
    </row>
    <row r="233" spans="1:2">
      <c r="A233" s="162">
        <v>37073</v>
      </c>
      <c r="B233" s="161">
        <v>1.4</v>
      </c>
    </row>
    <row r="234" spans="1:2">
      <c r="A234" s="162">
        <v>37165</v>
      </c>
      <c r="B234" s="161">
        <v>1.2</v>
      </c>
    </row>
    <row r="235" spans="1:2">
      <c r="A235" s="162">
        <v>37257</v>
      </c>
      <c r="B235" s="161">
        <v>0.7</v>
      </c>
    </row>
    <row r="236" spans="1:2">
      <c r="A236" s="162">
        <v>37347</v>
      </c>
      <c r="B236" s="161">
        <v>0.7</v>
      </c>
    </row>
    <row r="237" spans="1:2">
      <c r="A237" s="162">
        <v>37438</v>
      </c>
      <c r="B237" s="161">
        <v>0.9</v>
      </c>
    </row>
    <row r="238" spans="1:2">
      <c r="A238" s="162">
        <v>37530</v>
      </c>
      <c r="B238" s="161">
        <v>1.1000000000000001</v>
      </c>
    </row>
    <row r="239" spans="1:2">
      <c r="A239" s="162">
        <v>37622</v>
      </c>
      <c r="B239" s="161">
        <v>1.5</v>
      </c>
    </row>
    <row r="240" spans="1:2">
      <c r="A240" s="162">
        <v>37712</v>
      </c>
      <c r="B240" s="161">
        <v>1.3</v>
      </c>
    </row>
    <row r="241" spans="1:2">
      <c r="A241" s="162">
        <v>37803</v>
      </c>
      <c r="B241" s="161">
        <v>1.3</v>
      </c>
    </row>
    <row r="242" spans="1:2">
      <c r="A242" s="162">
        <v>37895</v>
      </c>
      <c r="B242" s="161">
        <v>1.3</v>
      </c>
    </row>
    <row r="243" spans="1:2">
      <c r="A243" s="162">
        <v>37987</v>
      </c>
      <c r="B243" s="161">
        <v>1.8</v>
      </c>
    </row>
    <row r="244" spans="1:2">
      <c r="A244" s="162">
        <v>38078</v>
      </c>
      <c r="B244" s="161">
        <v>2.1</v>
      </c>
    </row>
    <row r="245" spans="1:2">
      <c r="A245" s="162">
        <v>38169</v>
      </c>
      <c r="B245" s="161">
        <v>2.4</v>
      </c>
    </row>
    <row r="246" spans="1:2">
      <c r="A246" s="162">
        <v>38261</v>
      </c>
      <c r="B246" s="161">
        <v>3</v>
      </c>
    </row>
    <row r="247" spans="1:2">
      <c r="A247" s="162">
        <v>38353</v>
      </c>
      <c r="B247" s="161">
        <v>3</v>
      </c>
    </row>
    <row r="248" spans="1:2">
      <c r="A248" s="162">
        <v>38443</v>
      </c>
      <c r="B248" s="161">
        <v>3.3</v>
      </c>
    </row>
    <row r="249" spans="1:2">
      <c r="A249" s="162">
        <v>38534</v>
      </c>
      <c r="B249" s="161">
        <v>3.6</v>
      </c>
    </row>
    <row r="250" spans="1:2">
      <c r="A250" s="162">
        <v>38626</v>
      </c>
      <c r="B250" s="161">
        <v>3.6</v>
      </c>
    </row>
    <row r="251" spans="1:2">
      <c r="A251" s="162">
        <v>38718</v>
      </c>
      <c r="B251" s="161">
        <v>3.3</v>
      </c>
    </row>
    <row r="252" spans="1:2">
      <c r="A252" s="162">
        <v>38808</v>
      </c>
      <c r="B252" s="161">
        <v>3.4</v>
      </c>
    </row>
    <row r="253" spans="1:2">
      <c r="A253" s="162">
        <v>38899</v>
      </c>
      <c r="B253" s="161">
        <v>2.9</v>
      </c>
    </row>
    <row r="254" spans="1:2">
      <c r="A254" s="162">
        <v>38991</v>
      </c>
      <c r="B254" s="161">
        <v>2.1</v>
      </c>
    </row>
    <row r="255" spans="1:2">
      <c r="A255" s="162">
        <v>39083</v>
      </c>
      <c r="B255" s="161">
        <v>2.2000000000000002</v>
      </c>
    </row>
    <row r="256" spans="1:2">
      <c r="A256" s="162">
        <v>39173</v>
      </c>
      <c r="B256" s="161">
        <v>2</v>
      </c>
    </row>
    <row r="257" spans="1:2">
      <c r="A257" s="162">
        <v>39264</v>
      </c>
      <c r="B257" s="161">
        <v>1.9</v>
      </c>
    </row>
    <row r="258" spans="1:2">
      <c r="A258" s="162">
        <v>39356</v>
      </c>
      <c r="B258" s="161">
        <v>2</v>
      </c>
    </row>
    <row r="259" spans="1:2">
      <c r="A259" s="162">
        <v>39448</v>
      </c>
      <c r="B259" s="161">
        <v>1.4</v>
      </c>
    </row>
    <row r="260" spans="1:2">
      <c r="A260" s="162">
        <v>39539</v>
      </c>
      <c r="B260" s="161">
        <v>1.2</v>
      </c>
    </row>
    <row r="261" spans="1:2">
      <c r="A261" s="162">
        <v>39630</v>
      </c>
      <c r="B261" s="161">
        <v>1.7</v>
      </c>
    </row>
    <row r="262" spans="1:2">
      <c r="A262" s="162">
        <v>39722</v>
      </c>
      <c r="B262" s="161">
        <v>1.5</v>
      </c>
    </row>
    <row r="263" spans="1:2">
      <c r="A263" s="162">
        <v>39814</v>
      </c>
      <c r="B263" s="161">
        <v>1.5</v>
      </c>
    </row>
    <row r="264" spans="1:2">
      <c r="A264" s="162">
        <v>39904</v>
      </c>
      <c r="B264" s="161">
        <v>0.4</v>
      </c>
    </row>
    <row r="265" spans="1:2">
      <c r="A265" s="162">
        <v>39995</v>
      </c>
      <c r="B265" s="161">
        <v>-0.4</v>
      </c>
    </row>
    <row r="266" spans="1:2">
      <c r="A266" s="162">
        <v>40087</v>
      </c>
      <c r="B266" s="161">
        <v>-0.2</v>
      </c>
    </row>
    <row r="267" spans="1:2">
      <c r="A267" s="162">
        <v>40179</v>
      </c>
      <c r="B267" s="161">
        <v>0.1</v>
      </c>
    </row>
    <row r="268" spans="1:2">
      <c r="A268" s="162">
        <v>40269</v>
      </c>
      <c r="B268" s="161">
        <v>1.2</v>
      </c>
    </row>
    <row r="269" spans="1:2">
      <c r="A269" s="162">
        <v>40360</v>
      </c>
      <c r="B269" s="161">
        <v>1.3</v>
      </c>
    </row>
    <row r="270" spans="1:2">
      <c r="A270" s="162">
        <v>40452</v>
      </c>
      <c r="B270" s="161">
        <v>1.7</v>
      </c>
    </row>
    <row r="271" spans="1:2">
      <c r="A271" s="162">
        <v>40544</v>
      </c>
      <c r="B271" s="161">
        <v>1.7</v>
      </c>
    </row>
    <row r="272" spans="1:2">
      <c r="A272" s="162">
        <v>40634</v>
      </c>
      <c r="B272" s="161">
        <v>1.8</v>
      </c>
    </row>
    <row r="273" spans="1:2">
      <c r="A273" s="162">
        <v>40725</v>
      </c>
      <c r="B273" s="161">
        <v>2.2000000000000002</v>
      </c>
    </row>
    <row r="274" spans="1:2">
      <c r="A274" s="162">
        <v>40817</v>
      </c>
      <c r="B274" s="161">
        <v>2</v>
      </c>
    </row>
    <row r="275" spans="1:2">
      <c r="A275" s="162">
        <v>40909</v>
      </c>
      <c r="B275" s="161">
        <v>1.9</v>
      </c>
    </row>
    <row r="276" spans="1:2">
      <c r="A276" s="162">
        <v>41000</v>
      </c>
      <c r="B276" s="161">
        <v>1.8</v>
      </c>
    </row>
    <row r="277" spans="1:2">
      <c r="A277" s="162">
        <v>41091</v>
      </c>
      <c r="B277" s="161">
        <v>1.7</v>
      </c>
    </row>
    <row r="278" spans="1:2">
      <c r="A278" s="162">
        <v>41183</v>
      </c>
      <c r="B278" s="161">
        <v>1.8</v>
      </c>
    </row>
    <row r="279" spans="1:2">
      <c r="A279" s="162">
        <v>41275</v>
      </c>
      <c r="B279" s="161">
        <v>1.5</v>
      </c>
    </row>
    <row r="280" spans="1:2">
      <c r="A280" s="162">
        <v>41365</v>
      </c>
      <c r="B280" s="161">
        <v>1.3</v>
      </c>
    </row>
    <row r="281" spans="1:2">
      <c r="A281" s="162">
        <v>41456</v>
      </c>
      <c r="B281" s="161">
        <v>1.3</v>
      </c>
    </row>
    <row r="282" spans="1:2">
      <c r="A282" s="162">
        <v>41548</v>
      </c>
      <c r="B282" s="161">
        <v>1.6</v>
      </c>
    </row>
    <row r="283" spans="1:2">
      <c r="A283" s="162">
        <v>41640</v>
      </c>
      <c r="B283" s="161">
        <v>1.8</v>
      </c>
    </row>
    <row r="284" spans="1:2">
      <c r="A284" s="162">
        <v>41730</v>
      </c>
      <c r="B284" s="161">
        <v>2.1</v>
      </c>
    </row>
    <row r="285" spans="1:2">
      <c r="A285" s="162">
        <v>41821</v>
      </c>
      <c r="B285" s="161">
        <v>2.1</v>
      </c>
    </row>
    <row r="286" spans="1:2">
      <c r="A286" s="162">
        <v>41913</v>
      </c>
      <c r="B286" s="161">
        <v>1.4</v>
      </c>
    </row>
    <row r="287" spans="1:2">
      <c r="A287" s="162">
        <v>42005</v>
      </c>
      <c r="B287" s="161">
        <v>0.9</v>
      </c>
    </row>
    <row r="288" spans="1:2">
      <c r="A288" s="162">
        <v>42095</v>
      </c>
      <c r="B288" s="161">
        <v>0.9</v>
      </c>
    </row>
    <row r="289" spans="1:2">
      <c r="A289" s="162">
        <v>42186</v>
      </c>
      <c r="B289" s="161">
        <v>0.7</v>
      </c>
    </row>
    <row r="290" spans="1:2">
      <c r="A290" s="162">
        <v>42278</v>
      </c>
      <c r="B290" s="161">
        <v>0.6</v>
      </c>
    </row>
    <row r="291" spans="1:2">
      <c r="A291" s="162">
        <v>42370</v>
      </c>
      <c r="B291" s="161">
        <v>0.5</v>
      </c>
    </row>
    <row r="292" spans="1:2">
      <c r="A292" s="162">
        <v>42461</v>
      </c>
      <c r="B292" s="161">
        <v>0.8</v>
      </c>
    </row>
    <row r="293" spans="1:2">
      <c r="A293" s="162">
        <v>42552</v>
      </c>
      <c r="B293" s="161">
        <v>0.9</v>
      </c>
    </row>
    <row r="294" spans="1:2">
      <c r="A294" s="162">
        <v>42644</v>
      </c>
      <c r="B294" s="161">
        <v>1.5</v>
      </c>
    </row>
    <row r="295" spans="1:2">
      <c r="A295" s="162">
        <v>42736</v>
      </c>
      <c r="B295" s="161">
        <v>1.9</v>
      </c>
    </row>
    <row r="296" spans="1:2">
      <c r="A296" s="162">
        <v>42826</v>
      </c>
      <c r="B296" s="161">
        <v>1.4</v>
      </c>
    </row>
    <row r="297" spans="1:2">
      <c r="A297" s="162">
        <v>42917</v>
      </c>
      <c r="B297" s="161">
        <v>1.6</v>
      </c>
    </row>
    <row r="298" spans="1:2">
      <c r="A298" s="162">
        <v>43009</v>
      </c>
      <c r="B298" s="161">
        <v>1.8</v>
      </c>
    </row>
    <row r="299" spans="1:2">
      <c r="A299" s="162">
        <v>43101</v>
      </c>
      <c r="B299" s="161">
        <v>1.9</v>
      </c>
    </row>
    <row r="300" spans="1:2">
      <c r="A300" s="162">
        <v>43191</v>
      </c>
      <c r="B300" s="161">
        <v>2.5</v>
      </c>
    </row>
    <row r="301" spans="1:2">
      <c r="A301" s="162">
        <v>43282</v>
      </c>
      <c r="B301" s="161">
        <v>2.2999999999999998</v>
      </c>
    </row>
    <row r="302" spans="1:2">
      <c r="A302" s="162">
        <v>43374</v>
      </c>
      <c r="B302" s="161">
        <v>2</v>
      </c>
    </row>
    <row r="303" spans="1:2">
      <c r="A303" s="162">
        <v>43466</v>
      </c>
      <c r="B303" s="161">
        <v>1.8</v>
      </c>
    </row>
    <row r="304" spans="1:2">
      <c r="A304" s="162">
        <v>43556</v>
      </c>
      <c r="B304" s="161">
        <v>1.5</v>
      </c>
    </row>
    <row r="305" spans="1:2">
      <c r="A305" s="162">
        <v>43647</v>
      </c>
      <c r="B305" s="161">
        <v>1.4</v>
      </c>
    </row>
    <row r="306" spans="1:2">
      <c r="A306" s="162">
        <v>43739</v>
      </c>
      <c r="B306" s="161">
        <v>1.4</v>
      </c>
    </row>
    <row r="307" spans="1:2">
      <c r="A307" s="162">
        <v>43831</v>
      </c>
      <c r="B307" s="161">
        <v>1.2</v>
      </c>
    </row>
    <row r="308" spans="1:2">
      <c r="A308" s="162">
        <v>43922</v>
      </c>
      <c r="B308" s="161">
        <v>-0.4</v>
      </c>
    </row>
    <row r="309" spans="1:2">
      <c r="A309" s="162">
        <v>44013</v>
      </c>
      <c r="B309" s="161">
        <v>0.5</v>
      </c>
    </row>
    <row r="310" spans="1:2">
      <c r="A310" s="162">
        <v>44105</v>
      </c>
      <c r="B310" s="161">
        <v>0.4</v>
      </c>
    </row>
    <row r="311" spans="1:2">
      <c r="A311" s="162">
        <v>44197</v>
      </c>
      <c r="B311" s="161">
        <v>1.5</v>
      </c>
    </row>
    <row r="312" spans="1:2">
      <c r="A312" s="162">
        <v>44287</v>
      </c>
      <c r="B312" s="161">
        <v>4.0999999999999996</v>
      </c>
    </row>
    <row r="313" spans="1:2">
      <c r="A313" s="162">
        <v>44378</v>
      </c>
      <c r="B313" s="161">
        <v>4.4000000000000004</v>
      </c>
    </row>
    <row r="314" spans="1:2">
      <c r="A314" s="162">
        <v>44470</v>
      </c>
      <c r="B314" s="161">
        <v>6.1</v>
      </c>
    </row>
    <row r="315" spans="1:2">
      <c r="A315" s="162">
        <v>44562</v>
      </c>
      <c r="B315" s="161">
        <v>7</v>
      </c>
    </row>
    <row r="316" spans="1:2">
      <c r="A316" s="162">
        <v>44652</v>
      </c>
      <c r="B316" s="161">
        <v>7.8</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5FC3-C72A-4A6B-AFAB-7227808410DF}">
  <sheetPr codeName="Sheet19"/>
  <dimension ref="A1"/>
  <sheetViews>
    <sheetView workbookViewId="0">
      <selection activeCell="J22" sqref="J22"/>
    </sheetView>
  </sheetViews>
  <sheetFormatPr defaultRowHeight="12.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BAA9C-BF67-4CF9-9D53-A867BA8F6FA9}">
  <sheetPr codeName="Sheet20"/>
  <dimension ref="A1:K776"/>
  <sheetViews>
    <sheetView topLeftCell="A748" workbookViewId="0">
      <selection activeCell="A776" sqref="A776"/>
    </sheetView>
  </sheetViews>
  <sheetFormatPr defaultColWidth="8.71875" defaultRowHeight="14.4"/>
  <cols>
    <col min="1" max="1" width="11.44140625" style="167" customWidth="1"/>
    <col min="2" max="16384" width="8.71875" style="167"/>
  </cols>
  <sheetData>
    <row r="1" spans="1:11">
      <c r="A1" s="167" t="s">
        <v>1444</v>
      </c>
      <c r="B1" s="167" t="s">
        <v>1445</v>
      </c>
      <c r="C1" s="167" t="s">
        <v>1446</v>
      </c>
      <c r="D1" s="167" t="s">
        <v>1447</v>
      </c>
      <c r="E1" s="167" t="s">
        <v>801</v>
      </c>
      <c r="F1" s="167" t="s">
        <v>1448</v>
      </c>
      <c r="G1" s="167" t="s">
        <v>1449</v>
      </c>
      <c r="H1" s="167" t="s">
        <v>1450</v>
      </c>
      <c r="I1" s="167" t="s">
        <v>1451</v>
      </c>
      <c r="J1" s="167" t="s">
        <v>1452</v>
      </c>
      <c r="K1" s="167" t="s">
        <v>1453</v>
      </c>
    </row>
    <row r="2" spans="1:11">
      <c r="A2" s="167" t="s">
        <v>1454</v>
      </c>
      <c r="B2" s="167" t="s">
        <v>1455</v>
      </c>
      <c r="C2" s="167" t="s">
        <v>1456</v>
      </c>
    </row>
    <row r="3" spans="1:11">
      <c r="A3" s="167" t="s">
        <v>1457</v>
      </c>
      <c r="B3" s="167" t="s">
        <v>1458</v>
      </c>
      <c r="C3" s="167" t="s">
        <v>1450</v>
      </c>
      <c r="D3" s="167" t="s">
        <v>1459</v>
      </c>
      <c r="E3" s="167" t="s">
        <v>1460</v>
      </c>
      <c r="F3" s="167" t="s">
        <v>1461</v>
      </c>
      <c r="G3" s="167" t="s">
        <v>1462</v>
      </c>
    </row>
    <row r="4" spans="1:11">
      <c r="A4" s="167" t="s">
        <v>1463</v>
      </c>
      <c r="B4" s="167" t="s">
        <v>1464</v>
      </c>
      <c r="C4" s="167" t="s">
        <v>1459</v>
      </c>
      <c r="D4" s="167" t="s">
        <v>1465</v>
      </c>
      <c r="E4" s="167" t="s">
        <v>1466</v>
      </c>
      <c r="F4" s="167" t="s">
        <v>840</v>
      </c>
      <c r="G4" s="167" t="s">
        <v>1467</v>
      </c>
      <c r="H4" s="167" t="s">
        <v>1468</v>
      </c>
    </row>
    <row r="5" spans="1:11">
      <c r="A5" s="167" t="s">
        <v>1469</v>
      </c>
      <c r="B5" s="167" t="s">
        <v>1470</v>
      </c>
      <c r="C5" s="167" t="s">
        <v>1471</v>
      </c>
      <c r="D5" s="167" t="s">
        <v>1472</v>
      </c>
      <c r="E5" s="167" t="s">
        <v>1473</v>
      </c>
    </row>
    <row r="6" spans="1:11">
      <c r="A6" s="167" t="s">
        <v>1474</v>
      </c>
      <c r="B6" s="167" t="s">
        <v>883</v>
      </c>
    </row>
    <row r="7" spans="1:11">
      <c r="A7" s="167" t="s">
        <v>1475</v>
      </c>
      <c r="B7" s="167" t="s">
        <v>1476</v>
      </c>
      <c r="C7" s="167" t="s">
        <v>1584</v>
      </c>
      <c r="D7" s="167" t="s">
        <v>1585</v>
      </c>
      <c r="E7" s="167" t="s">
        <v>1586</v>
      </c>
      <c r="F7" s="167" t="s">
        <v>1587</v>
      </c>
      <c r="G7" s="167" t="s">
        <v>1588</v>
      </c>
    </row>
    <row r="8" spans="1:11">
      <c r="A8" s="167" t="s">
        <v>787</v>
      </c>
      <c r="B8" s="167" t="s">
        <v>1481</v>
      </c>
      <c r="C8" s="168">
        <v>21916</v>
      </c>
      <c r="D8" s="167" t="s">
        <v>1482</v>
      </c>
      <c r="E8" s="168">
        <v>44927</v>
      </c>
    </row>
    <row r="9" spans="1:11">
      <c r="A9" s="167" t="s">
        <v>1483</v>
      </c>
      <c r="B9" s="167" t="s">
        <v>1484</v>
      </c>
      <c r="C9" s="168">
        <v>45000</v>
      </c>
      <c r="D9" s="169">
        <v>4.6527777777777779E-2</v>
      </c>
      <c r="E9" s="167" t="s">
        <v>1485</v>
      </c>
      <c r="F9" s="167" t="s">
        <v>1486</v>
      </c>
    </row>
    <row r="10" spans="1:11">
      <c r="A10" s="167" t="s">
        <v>1487</v>
      </c>
      <c r="B10" s="167" t="s">
        <v>1488</v>
      </c>
      <c r="C10" s="167" t="s">
        <v>1489</v>
      </c>
      <c r="D10" s="167" t="s">
        <v>1455</v>
      </c>
      <c r="E10" s="167" t="s">
        <v>1490</v>
      </c>
    </row>
    <row r="11" spans="1:11">
      <c r="B11" s="167" t="s">
        <v>1488</v>
      </c>
      <c r="C11" s="167" t="s">
        <v>1491</v>
      </c>
      <c r="D11" s="167" t="s">
        <v>1455</v>
      </c>
      <c r="E11" s="167" t="s">
        <v>1492</v>
      </c>
    </row>
    <row r="12" spans="1:11">
      <c r="B12" s="167" t="s">
        <v>1488</v>
      </c>
      <c r="C12" s="167" t="s">
        <v>1493</v>
      </c>
      <c r="D12" s="167" t="s">
        <v>1455</v>
      </c>
      <c r="E12" s="167" t="s">
        <v>1494</v>
      </c>
    </row>
    <row r="14" spans="1:11">
      <c r="B14" s="167" t="s">
        <v>1448</v>
      </c>
      <c r="C14" s="167" t="s">
        <v>1488</v>
      </c>
      <c r="D14" s="167" t="s">
        <v>1495</v>
      </c>
      <c r="E14" s="167" t="s">
        <v>1496</v>
      </c>
      <c r="F14" s="167" t="s">
        <v>1497</v>
      </c>
      <c r="G14" s="167" t="s">
        <v>1498</v>
      </c>
      <c r="H14" s="167" t="s">
        <v>1499</v>
      </c>
      <c r="I14" s="167" t="s">
        <v>1500</v>
      </c>
      <c r="J14" s="167" t="s">
        <v>1501</v>
      </c>
      <c r="K14" s="167" t="s">
        <v>1502</v>
      </c>
    </row>
    <row r="15" spans="1:11">
      <c r="B15" s="167" t="s">
        <v>1465</v>
      </c>
      <c r="C15" s="167" t="s">
        <v>1503</v>
      </c>
      <c r="D15" s="167" t="s">
        <v>1504</v>
      </c>
      <c r="E15" s="167" t="s">
        <v>1505</v>
      </c>
      <c r="F15" s="167" t="s">
        <v>1464</v>
      </c>
      <c r="G15" s="167" t="s">
        <v>1459</v>
      </c>
      <c r="H15" s="167" t="s">
        <v>1465</v>
      </c>
    </row>
    <row r="16" spans="1:11">
      <c r="B16" s="167" t="s">
        <v>1506</v>
      </c>
      <c r="C16" s="167" t="s">
        <v>1507</v>
      </c>
      <c r="D16" s="167" t="s">
        <v>1508</v>
      </c>
      <c r="E16" s="167" t="s">
        <v>1509</v>
      </c>
    </row>
    <row r="17" spans="1:7">
      <c r="B17" s="167" t="s">
        <v>1510</v>
      </c>
      <c r="C17" s="167" t="s">
        <v>1511</v>
      </c>
      <c r="D17" s="167" t="s">
        <v>1512</v>
      </c>
      <c r="E17" s="167" t="s">
        <v>1513</v>
      </c>
      <c r="F17" s="167" t="s">
        <v>1514</v>
      </c>
      <c r="G17" s="167" t="s">
        <v>1515</v>
      </c>
    </row>
    <row r="19" spans="1:7">
      <c r="A19" s="167" t="s">
        <v>1516</v>
      </c>
      <c r="B19" s="167" t="s">
        <v>1517</v>
      </c>
    </row>
    <row r="20" spans="1:7">
      <c r="A20" s="168">
        <v>21916</v>
      </c>
      <c r="B20" s="167">
        <v>1.0344827586206899</v>
      </c>
    </row>
    <row r="21" spans="1:7">
      <c r="A21" s="168">
        <v>21947</v>
      </c>
      <c r="B21" s="167">
        <v>1.73010380622838</v>
      </c>
    </row>
    <row r="22" spans="1:7">
      <c r="A22" s="168">
        <v>21976</v>
      </c>
      <c r="B22" s="167">
        <v>1.73010380622838</v>
      </c>
    </row>
    <row r="23" spans="1:7">
      <c r="A23" s="168">
        <v>22007</v>
      </c>
      <c r="B23" s="167">
        <v>1.72413793103448</v>
      </c>
    </row>
    <row r="24" spans="1:7">
      <c r="A24" s="168">
        <v>22037</v>
      </c>
      <c r="B24" s="167">
        <v>1.72413793103448</v>
      </c>
    </row>
    <row r="25" spans="1:7">
      <c r="A25" s="168">
        <v>22068</v>
      </c>
      <c r="B25" s="167">
        <v>1.7182130584192501</v>
      </c>
    </row>
    <row r="26" spans="1:7">
      <c r="A26" s="168">
        <v>22098</v>
      </c>
      <c r="B26" s="167">
        <v>1.3698630136986301</v>
      </c>
    </row>
    <row r="27" spans="1:7">
      <c r="A27" s="168">
        <v>22129</v>
      </c>
      <c r="B27" s="167">
        <v>1.3698630136986301</v>
      </c>
    </row>
    <row r="28" spans="1:7">
      <c r="A28" s="168">
        <v>22160</v>
      </c>
      <c r="B28" s="167">
        <v>1.0238907849829399</v>
      </c>
    </row>
    <row r="29" spans="1:7">
      <c r="A29" s="168">
        <v>22190</v>
      </c>
      <c r="B29" s="167">
        <v>1.3605442176870799</v>
      </c>
    </row>
    <row r="30" spans="1:7">
      <c r="A30" s="168">
        <v>22221</v>
      </c>
      <c r="B30" s="167">
        <v>1.3605442176870799</v>
      </c>
    </row>
    <row r="31" spans="1:7">
      <c r="A31" s="168">
        <v>22251</v>
      </c>
      <c r="B31" s="167">
        <v>1.3605442176870799</v>
      </c>
    </row>
    <row r="32" spans="1:7">
      <c r="A32" s="168">
        <v>22282</v>
      </c>
      <c r="B32" s="167">
        <v>1.70648464163823</v>
      </c>
    </row>
    <row r="33" spans="1:2">
      <c r="A33" s="168">
        <v>22313</v>
      </c>
      <c r="B33" s="167">
        <v>1.3605442176870799</v>
      </c>
    </row>
    <row r="34" spans="1:2">
      <c r="A34" s="168">
        <v>22341</v>
      </c>
      <c r="B34" s="167">
        <v>1.3605442176870799</v>
      </c>
    </row>
    <row r="35" spans="1:2">
      <c r="A35" s="168">
        <v>22372</v>
      </c>
      <c r="B35" s="167">
        <v>1.0169491525423699</v>
      </c>
    </row>
    <row r="36" spans="1:2">
      <c r="A36" s="168">
        <v>22402</v>
      </c>
      <c r="B36" s="167">
        <v>1.0169491525423699</v>
      </c>
    </row>
    <row r="37" spans="1:2">
      <c r="A37" s="168">
        <v>22433</v>
      </c>
      <c r="B37" s="167">
        <v>0.67567567567567599</v>
      </c>
    </row>
    <row r="38" spans="1:2">
      <c r="A38" s="168">
        <v>22463</v>
      </c>
      <c r="B38" s="167">
        <v>1.35135135135135</v>
      </c>
    </row>
    <row r="39" spans="1:2">
      <c r="A39" s="168">
        <v>22494</v>
      </c>
      <c r="B39" s="167">
        <v>1.01351351351351</v>
      </c>
    </row>
    <row r="40" spans="1:2">
      <c r="A40" s="168">
        <v>22525</v>
      </c>
      <c r="B40" s="167">
        <v>1.35135135135135</v>
      </c>
    </row>
    <row r="41" spans="1:2">
      <c r="A41" s="168">
        <v>22555</v>
      </c>
      <c r="B41" s="167">
        <v>0.67114093959731602</v>
      </c>
    </row>
    <row r="42" spans="1:2">
      <c r="A42" s="168">
        <v>22586</v>
      </c>
      <c r="B42" s="167">
        <v>0.67114093959731602</v>
      </c>
    </row>
    <row r="43" spans="1:2">
      <c r="A43" s="168">
        <v>22616</v>
      </c>
      <c r="B43" s="167">
        <v>0.67114093959731602</v>
      </c>
    </row>
    <row r="44" spans="1:2">
      <c r="A44" s="168">
        <v>22647</v>
      </c>
      <c r="B44" s="167">
        <v>0.67114093959731602</v>
      </c>
    </row>
    <row r="45" spans="1:2">
      <c r="A45" s="168">
        <v>22678</v>
      </c>
      <c r="B45" s="167">
        <v>1.0067114093959699</v>
      </c>
    </row>
    <row r="46" spans="1:2">
      <c r="A46" s="168">
        <v>22706</v>
      </c>
      <c r="B46" s="167">
        <v>1.0067114093959699</v>
      </c>
    </row>
    <row r="47" spans="1:2">
      <c r="A47" s="168">
        <v>22737</v>
      </c>
      <c r="B47" s="167">
        <v>1.34228187919463</v>
      </c>
    </row>
    <row r="48" spans="1:2">
      <c r="A48" s="168">
        <v>22767</v>
      </c>
      <c r="B48" s="167">
        <v>1.34228187919463</v>
      </c>
    </row>
    <row r="49" spans="1:2">
      <c r="A49" s="168">
        <v>22798</v>
      </c>
      <c r="B49" s="167">
        <v>1.34228187919463</v>
      </c>
    </row>
    <row r="50" spans="1:2">
      <c r="A50" s="168">
        <v>22828</v>
      </c>
      <c r="B50" s="167">
        <v>1</v>
      </c>
    </row>
    <row r="51" spans="1:2">
      <c r="A51" s="168">
        <v>22859</v>
      </c>
      <c r="B51" s="167">
        <v>1.33779264214047</v>
      </c>
    </row>
    <row r="52" spans="1:2">
      <c r="A52" s="168">
        <v>22890</v>
      </c>
      <c r="B52" s="167">
        <v>1.3333333333333299</v>
      </c>
    </row>
    <row r="53" spans="1:2">
      <c r="A53" s="168">
        <v>22920</v>
      </c>
      <c r="B53" s="167">
        <v>1.3333333333333299</v>
      </c>
    </row>
    <row r="54" spans="1:2">
      <c r="A54" s="168">
        <v>22951</v>
      </c>
      <c r="B54" s="167">
        <v>1.3333333333333299</v>
      </c>
    </row>
    <row r="55" spans="1:2">
      <c r="A55" s="168">
        <v>22981</v>
      </c>
      <c r="B55" s="167">
        <v>1.3333333333333299</v>
      </c>
    </row>
    <row r="56" spans="1:2">
      <c r="A56" s="168">
        <v>23012</v>
      </c>
      <c r="B56" s="167">
        <v>1.3333333333333299</v>
      </c>
    </row>
    <row r="57" spans="1:2">
      <c r="A57" s="168">
        <v>23043</v>
      </c>
      <c r="B57" s="167">
        <v>0.99667774086378802</v>
      </c>
    </row>
    <row r="58" spans="1:2">
      <c r="A58" s="168">
        <v>23071</v>
      </c>
      <c r="B58" s="167">
        <v>1.3289036544850501</v>
      </c>
    </row>
    <row r="59" spans="1:2">
      <c r="A59" s="168">
        <v>23102</v>
      </c>
      <c r="B59" s="167">
        <v>0.99337748344371002</v>
      </c>
    </row>
    <row r="60" spans="1:2">
      <c r="A60" s="168">
        <v>23132</v>
      </c>
      <c r="B60" s="167">
        <v>0.99337748344371002</v>
      </c>
    </row>
    <row r="61" spans="1:2">
      <c r="A61" s="168">
        <v>23163</v>
      </c>
      <c r="B61" s="167">
        <v>1.32450331125828</v>
      </c>
    </row>
    <row r="62" spans="1:2">
      <c r="A62" s="168">
        <v>23193</v>
      </c>
      <c r="B62" s="167">
        <v>1.3201320132013199</v>
      </c>
    </row>
    <row r="63" spans="1:2">
      <c r="A63" s="168">
        <v>23224</v>
      </c>
      <c r="B63" s="167">
        <v>1.3201320132013199</v>
      </c>
    </row>
    <row r="64" spans="1:2">
      <c r="A64" s="168">
        <v>23255</v>
      </c>
      <c r="B64" s="167">
        <v>0.98684210526315896</v>
      </c>
    </row>
    <row r="65" spans="1:2">
      <c r="A65" s="168">
        <v>23285</v>
      </c>
      <c r="B65" s="167">
        <v>1.31578947368421</v>
      </c>
    </row>
    <row r="66" spans="1:2">
      <c r="A66" s="168">
        <v>23316</v>
      </c>
      <c r="B66" s="167">
        <v>1.31578947368421</v>
      </c>
    </row>
    <row r="67" spans="1:2">
      <c r="A67" s="168">
        <v>23346</v>
      </c>
      <c r="B67" s="167">
        <v>1.6447368421052599</v>
      </c>
    </row>
    <row r="68" spans="1:2">
      <c r="A68" s="168">
        <v>23377</v>
      </c>
      <c r="B68" s="167">
        <v>1.6447368421052599</v>
      </c>
    </row>
    <row r="69" spans="1:2">
      <c r="A69" s="168">
        <v>23408</v>
      </c>
      <c r="B69" s="167">
        <v>1.6447368421052599</v>
      </c>
    </row>
    <row r="70" spans="1:2">
      <c r="A70" s="168">
        <v>23437</v>
      </c>
      <c r="B70" s="167">
        <v>1.3114754098360699</v>
      </c>
    </row>
    <row r="71" spans="1:2">
      <c r="A71" s="168">
        <v>23468</v>
      </c>
      <c r="B71" s="167">
        <v>1.3114754098360699</v>
      </c>
    </row>
    <row r="72" spans="1:2">
      <c r="A72" s="168">
        <v>23498</v>
      </c>
      <c r="B72" s="167">
        <v>1.3114754098360699</v>
      </c>
    </row>
    <row r="73" spans="1:2">
      <c r="A73" s="168">
        <v>23529</v>
      </c>
      <c r="B73" s="167">
        <v>1.3071895424836599</v>
      </c>
    </row>
    <row r="74" spans="1:2">
      <c r="A74" s="168">
        <v>23559</v>
      </c>
      <c r="B74" s="167">
        <v>1.30293159609121</v>
      </c>
    </row>
    <row r="75" spans="1:2">
      <c r="A75" s="168">
        <v>23590</v>
      </c>
      <c r="B75" s="167">
        <v>0.97719869706840501</v>
      </c>
    </row>
    <row r="76" spans="1:2">
      <c r="A76" s="168">
        <v>23621</v>
      </c>
      <c r="B76" s="167">
        <v>1.30293159609121</v>
      </c>
    </row>
    <row r="77" spans="1:2">
      <c r="A77" s="168">
        <v>23651</v>
      </c>
      <c r="B77" s="167">
        <v>0.97402597402597502</v>
      </c>
    </row>
    <row r="78" spans="1:2">
      <c r="A78" s="168">
        <v>23682</v>
      </c>
      <c r="B78" s="167">
        <v>1.2987012987013</v>
      </c>
    </row>
    <row r="79" spans="1:2">
      <c r="A79" s="168">
        <v>23712</v>
      </c>
      <c r="B79" s="167">
        <v>0.970873786407768</v>
      </c>
    </row>
    <row r="80" spans="1:2">
      <c r="A80" s="168">
        <v>23743</v>
      </c>
      <c r="B80" s="167">
        <v>0.970873786407768</v>
      </c>
    </row>
    <row r="81" spans="1:2">
      <c r="A81" s="168">
        <v>23774</v>
      </c>
      <c r="B81" s="167">
        <v>0.970873786407768</v>
      </c>
    </row>
    <row r="82" spans="1:2">
      <c r="A82" s="168">
        <v>23802</v>
      </c>
      <c r="B82" s="167">
        <v>1.2944983818770199</v>
      </c>
    </row>
    <row r="83" spans="1:2">
      <c r="A83" s="168">
        <v>23833</v>
      </c>
      <c r="B83" s="167">
        <v>1.61812297734628</v>
      </c>
    </row>
    <row r="84" spans="1:2">
      <c r="A84" s="168">
        <v>23863</v>
      </c>
      <c r="B84" s="167">
        <v>1.61812297734628</v>
      </c>
    </row>
    <row r="85" spans="1:2">
      <c r="A85" s="168">
        <v>23894</v>
      </c>
      <c r="B85" s="167">
        <v>1.93548387096774</v>
      </c>
    </row>
    <row r="86" spans="1:2">
      <c r="A86" s="168">
        <v>23924</v>
      </c>
      <c r="B86" s="167">
        <v>1.6077170418006399</v>
      </c>
    </row>
    <row r="87" spans="1:2">
      <c r="A87" s="168">
        <v>23955</v>
      </c>
      <c r="B87" s="167">
        <v>1.93548387096774</v>
      </c>
    </row>
    <row r="88" spans="1:2">
      <c r="A88" s="168">
        <v>23986</v>
      </c>
      <c r="B88" s="167">
        <v>1.6077170418006399</v>
      </c>
    </row>
    <row r="89" spans="1:2">
      <c r="A89" s="168">
        <v>24016</v>
      </c>
      <c r="B89" s="167">
        <v>1.92926045016077</v>
      </c>
    </row>
    <row r="90" spans="1:2">
      <c r="A90" s="168">
        <v>24047</v>
      </c>
      <c r="B90" s="167">
        <v>1.6025641025641</v>
      </c>
    </row>
    <row r="91" spans="1:2">
      <c r="A91" s="168">
        <v>24077</v>
      </c>
      <c r="B91" s="167">
        <v>1.92307692307692</v>
      </c>
    </row>
    <row r="92" spans="1:2">
      <c r="A92" s="168">
        <v>24108</v>
      </c>
      <c r="B92" s="167">
        <v>1.92307692307692</v>
      </c>
    </row>
    <row r="93" spans="1:2">
      <c r="A93" s="168">
        <v>24139</v>
      </c>
      <c r="B93" s="167">
        <v>2.5641025641025701</v>
      </c>
    </row>
    <row r="94" spans="1:2">
      <c r="A94" s="168">
        <v>24167</v>
      </c>
      <c r="B94" s="167">
        <v>2.5559105431309899</v>
      </c>
    </row>
    <row r="95" spans="1:2">
      <c r="A95" s="168">
        <v>24198</v>
      </c>
      <c r="B95" s="167">
        <v>2.8662420382165599</v>
      </c>
    </row>
    <row r="96" spans="1:2">
      <c r="A96" s="168">
        <v>24228</v>
      </c>
      <c r="B96" s="167">
        <v>2.8662420382165599</v>
      </c>
    </row>
    <row r="97" spans="1:2">
      <c r="A97" s="168">
        <v>24259</v>
      </c>
      <c r="B97" s="167">
        <v>2.53164556962026</v>
      </c>
    </row>
    <row r="98" spans="1:2">
      <c r="A98" s="168">
        <v>24289</v>
      </c>
      <c r="B98" s="167">
        <v>2.8481012658227902</v>
      </c>
    </row>
    <row r="99" spans="1:2">
      <c r="A99" s="168">
        <v>24320</v>
      </c>
      <c r="B99" s="167">
        <v>3.4810126582278502</v>
      </c>
    </row>
    <row r="100" spans="1:2">
      <c r="A100" s="168">
        <v>24351</v>
      </c>
      <c r="B100" s="167">
        <v>3.4810126582278502</v>
      </c>
    </row>
    <row r="101" spans="1:2">
      <c r="A101" s="168">
        <v>24381</v>
      </c>
      <c r="B101" s="167">
        <v>3.7854889589905398</v>
      </c>
    </row>
    <row r="102" spans="1:2">
      <c r="A102" s="168">
        <v>24412</v>
      </c>
      <c r="B102" s="167">
        <v>3.7854889589905398</v>
      </c>
    </row>
    <row r="103" spans="1:2">
      <c r="A103" s="168">
        <v>24442</v>
      </c>
      <c r="B103" s="167">
        <v>3.45911949685535</v>
      </c>
    </row>
    <row r="104" spans="1:2">
      <c r="A104" s="168">
        <v>24473</v>
      </c>
      <c r="B104" s="167">
        <v>3.45911949685535</v>
      </c>
    </row>
    <row r="105" spans="1:2">
      <c r="A105" s="168">
        <v>24504</v>
      </c>
      <c r="B105" s="167">
        <v>2.8125</v>
      </c>
    </row>
    <row r="106" spans="1:2">
      <c r="A106" s="168">
        <v>24532</v>
      </c>
      <c r="B106" s="167">
        <v>2.8037383177570101</v>
      </c>
    </row>
    <row r="107" spans="1:2">
      <c r="A107" s="168">
        <v>24563</v>
      </c>
      <c r="B107" s="167">
        <v>2.4767801857585199</v>
      </c>
    </row>
    <row r="108" spans="1:2">
      <c r="A108" s="168">
        <v>24593</v>
      </c>
      <c r="B108" s="167">
        <v>2.7863777089783301</v>
      </c>
    </row>
    <row r="109" spans="1:2">
      <c r="A109" s="168">
        <v>24624</v>
      </c>
      <c r="B109" s="167">
        <v>2.7777777777777799</v>
      </c>
    </row>
    <row r="110" spans="1:2">
      <c r="A110" s="168">
        <v>24654</v>
      </c>
      <c r="B110" s="167">
        <v>2.7692307692307701</v>
      </c>
    </row>
    <row r="111" spans="1:2">
      <c r="A111" s="168">
        <v>24685</v>
      </c>
      <c r="B111" s="167">
        <v>2.4464831804281402</v>
      </c>
    </row>
    <row r="112" spans="1:2">
      <c r="A112" s="168">
        <v>24716</v>
      </c>
      <c r="B112" s="167">
        <v>2.75229357798165</v>
      </c>
    </row>
    <row r="113" spans="1:2">
      <c r="A113" s="168">
        <v>24746</v>
      </c>
      <c r="B113" s="167">
        <v>2.43161094224924</v>
      </c>
    </row>
    <row r="114" spans="1:2">
      <c r="A114" s="168">
        <v>24777</v>
      </c>
      <c r="B114" s="167">
        <v>2.7355623100303998</v>
      </c>
    </row>
    <row r="115" spans="1:2">
      <c r="A115" s="168">
        <v>24807</v>
      </c>
      <c r="B115" s="167">
        <v>3.0395136778115499</v>
      </c>
    </row>
    <row r="116" spans="1:2">
      <c r="A116" s="168">
        <v>24838</v>
      </c>
      <c r="B116" s="167">
        <v>3.6474164133738598</v>
      </c>
    </row>
    <row r="117" spans="1:2">
      <c r="A117" s="168">
        <v>24869</v>
      </c>
      <c r="B117" s="167">
        <v>3.9513677811550201</v>
      </c>
    </row>
    <row r="118" spans="1:2">
      <c r="A118" s="168">
        <v>24898</v>
      </c>
      <c r="B118" s="167">
        <v>3.9393939393939399</v>
      </c>
    </row>
    <row r="119" spans="1:2">
      <c r="A119" s="168">
        <v>24929</v>
      </c>
      <c r="B119" s="167">
        <v>3.9274924471299002</v>
      </c>
    </row>
    <row r="120" spans="1:2">
      <c r="A120" s="168">
        <v>24959</v>
      </c>
      <c r="B120" s="167">
        <v>3.9156626506024002</v>
      </c>
    </row>
    <row r="121" spans="1:2">
      <c r="A121" s="168">
        <v>24990</v>
      </c>
      <c r="B121" s="167">
        <v>4.2042042042041903</v>
      </c>
    </row>
    <row r="122" spans="1:2">
      <c r="A122" s="168">
        <v>25020</v>
      </c>
      <c r="B122" s="167">
        <v>4.4910179640718404</v>
      </c>
    </row>
    <row r="123" spans="1:2">
      <c r="A123" s="168">
        <v>25051</v>
      </c>
      <c r="B123" s="167">
        <v>4.4776119402984902</v>
      </c>
    </row>
    <row r="124" spans="1:2">
      <c r="A124" s="168">
        <v>25082</v>
      </c>
      <c r="B124" s="167">
        <v>4.4642857142857002</v>
      </c>
    </row>
    <row r="125" spans="1:2">
      <c r="A125" s="168">
        <v>25112</v>
      </c>
      <c r="B125" s="167">
        <v>4.7477744807121498</v>
      </c>
    </row>
    <row r="126" spans="1:2">
      <c r="A126" s="168">
        <v>25143</v>
      </c>
      <c r="B126" s="167">
        <v>4.7337278106508798</v>
      </c>
    </row>
    <row r="127" spans="1:2">
      <c r="A127" s="168">
        <v>25173</v>
      </c>
      <c r="B127" s="167">
        <v>4.7197640117994002</v>
      </c>
    </row>
    <row r="128" spans="1:2">
      <c r="A128" s="168">
        <v>25204</v>
      </c>
      <c r="B128" s="167">
        <v>4.3988269794721298</v>
      </c>
    </row>
    <row r="129" spans="1:2">
      <c r="A129" s="168">
        <v>25235</v>
      </c>
      <c r="B129" s="167">
        <v>4.6783625730993998</v>
      </c>
    </row>
    <row r="130" spans="1:2">
      <c r="A130" s="168">
        <v>25263</v>
      </c>
      <c r="B130" s="167">
        <v>5.2478134110786998</v>
      </c>
    </row>
    <row r="131" spans="1:2">
      <c r="A131" s="168">
        <v>25294</v>
      </c>
      <c r="B131" s="167">
        <v>5.5232558139534902</v>
      </c>
    </row>
    <row r="132" spans="1:2">
      <c r="A132" s="168">
        <v>25324</v>
      </c>
      <c r="B132" s="167">
        <v>5.5072463768116</v>
      </c>
    </row>
    <row r="133" spans="1:2">
      <c r="A133" s="168">
        <v>25355</v>
      </c>
      <c r="B133" s="167">
        <v>5.4755043227665796</v>
      </c>
    </row>
    <row r="134" spans="1:2">
      <c r="A134" s="168">
        <v>25385</v>
      </c>
      <c r="B134" s="167">
        <v>5.4441260744985698</v>
      </c>
    </row>
    <row r="135" spans="1:2">
      <c r="A135" s="168">
        <v>25416</v>
      </c>
      <c r="B135" s="167">
        <v>5.7142857142857197</v>
      </c>
    </row>
    <row r="136" spans="1:2">
      <c r="A136" s="168">
        <v>25447</v>
      </c>
      <c r="B136" s="167">
        <v>5.6980056980056997</v>
      </c>
    </row>
    <row r="137" spans="1:2">
      <c r="A137" s="168">
        <v>25477</v>
      </c>
      <c r="B137" s="167">
        <v>5.6657223796034</v>
      </c>
    </row>
    <row r="138" spans="1:2">
      <c r="A138" s="168">
        <v>25508</v>
      </c>
      <c r="B138" s="167">
        <v>5.9322033898305104</v>
      </c>
    </row>
    <row r="139" spans="1:2">
      <c r="A139" s="168">
        <v>25538</v>
      </c>
      <c r="B139" s="167">
        <v>6.1971830985915597</v>
      </c>
    </row>
    <row r="140" spans="1:2">
      <c r="A140" s="168">
        <v>25569</v>
      </c>
      <c r="B140" s="167">
        <v>6.1797752808988804</v>
      </c>
    </row>
    <row r="141" spans="1:2">
      <c r="A141" s="168">
        <v>25600</v>
      </c>
      <c r="B141" s="167">
        <v>6.1452513966480504</v>
      </c>
    </row>
    <row r="142" spans="1:2">
      <c r="A142" s="168">
        <v>25628</v>
      </c>
      <c r="B142" s="167">
        <v>5.8171745152354601</v>
      </c>
    </row>
    <row r="143" spans="1:2">
      <c r="A143" s="168">
        <v>25659</v>
      </c>
      <c r="B143" s="167">
        <v>6.0606060606060703</v>
      </c>
    </row>
    <row r="144" spans="1:2">
      <c r="A144" s="168">
        <v>25689</v>
      </c>
      <c r="B144" s="167">
        <v>6.04395604395605</v>
      </c>
    </row>
    <row r="145" spans="1:2">
      <c r="A145" s="168">
        <v>25720</v>
      </c>
      <c r="B145" s="167">
        <v>6.0109289617486397</v>
      </c>
    </row>
    <row r="146" spans="1:2">
      <c r="A146" s="168">
        <v>25750</v>
      </c>
      <c r="B146" s="167">
        <v>5.9782608695652204</v>
      </c>
    </row>
    <row r="147" spans="1:2">
      <c r="A147" s="168">
        <v>25781</v>
      </c>
      <c r="B147" s="167">
        <v>5.4054054054054097</v>
      </c>
    </row>
    <row r="148" spans="1:2">
      <c r="A148" s="168">
        <v>25812</v>
      </c>
      <c r="B148" s="167">
        <v>5.6603773584905701</v>
      </c>
    </row>
    <row r="149" spans="1:2">
      <c r="A149" s="168">
        <v>25842</v>
      </c>
      <c r="B149" s="167">
        <v>5.6300268096514801</v>
      </c>
    </row>
    <row r="150" spans="1:2">
      <c r="A150" s="168">
        <v>25873</v>
      </c>
      <c r="B150" s="167">
        <v>5.6</v>
      </c>
    </row>
    <row r="151" spans="1:2">
      <c r="A151" s="168">
        <v>25903</v>
      </c>
      <c r="B151" s="167">
        <v>5.5702917771883298</v>
      </c>
    </row>
    <row r="152" spans="1:2">
      <c r="A152" s="168">
        <v>25934</v>
      </c>
      <c r="B152" s="167">
        <v>5.2910052910053</v>
      </c>
    </row>
    <row r="153" spans="1:2">
      <c r="A153" s="168">
        <v>25965</v>
      </c>
      <c r="B153" s="167">
        <v>5</v>
      </c>
    </row>
    <row r="154" spans="1:2">
      <c r="A154" s="168">
        <v>25993</v>
      </c>
      <c r="B154" s="167">
        <v>4.7120418848167596</v>
      </c>
    </row>
    <row r="155" spans="1:2">
      <c r="A155" s="168">
        <v>26024</v>
      </c>
      <c r="B155" s="167">
        <v>4.1558441558441599</v>
      </c>
    </row>
    <row r="156" spans="1:2">
      <c r="A156" s="168">
        <v>26054</v>
      </c>
      <c r="B156" s="167">
        <v>4.4041450777202096</v>
      </c>
    </row>
    <row r="157" spans="1:2">
      <c r="A157" s="168">
        <v>26085</v>
      </c>
      <c r="B157" s="167">
        <v>4.63917525773196</v>
      </c>
    </row>
    <row r="158" spans="1:2">
      <c r="A158" s="168">
        <v>26115</v>
      </c>
      <c r="B158" s="167">
        <v>4.3589743589743497</v>
      </c>
    </row>
    <row r="159" spans="1:2">
      <c r="A159" s="168">
        <v>26146</v>
      </c>
      <c r="B159" s="167">
        <v>4.6153846153845999</v>
      </c>
    </row>
    <row r="160" spans="1:2">
      <c r="A160" s="168">
        <v>26177</v>
      </c>
      <c r="B160" s="167">
        <v>4.0816326530612104</v>
      </c>
    </row>
    <row r="161" spans="1:2">
      <c r="A161" s="168">
        <v>26207</v>
      </c>
      <c r="B161" s="167">
        <v>3.8071065989847601</v>
      </c>
    </row>
    <row r="162" spans="1:2">
      <c r="A162" s="168">
        <v>26238</v>
      </c>
      <c r="B162" s="167">
        <v>3.28282828282827</v>
      </c>
    </row>
    <row r="163" spans="1:2">
      <c r="A163" s="168">
        <v>26268</v>
      </c>
      <c r="B163" s="167">
        <v>3.2663316582914499</v>
      </c>
    </row>
    <row r="164" spans="1:2">
      <c r="A164" s="168">
        <v>26299</v>
      </c>
      <c r="B164" s="167">
        <v>3.2663316582914499</v>
      </c>
    </row>
    <row r="165" spans="1:2">
      <c r="A165" s="168">
        <v>26330</v>
      </c>
      <c r="B165" s="167">
        <v>3.5087719298245501</v>
      </c>
    </row>
    <row r="166" spans="1:2">
      <c r="A166" s="168">
        <v>26359</v>
      </c>
      <c r="B166" s="167">
        <v>3.4999999999999898</v>
      </c>
    </row>
    <row r="167" spans="1:2">
      <c r="A167" s="168">
        <v>26390</v>
      </c>
      <c r="B167" s="167">
        <v>3.49127182044887</v>
      </c>
    </row>
    <row r="168" spans="1:2">
      <c r="A168" s="168">
        <v>26420</v>
      </c>
      <c r="B168" s="167">
        <v>3.2258064516128901</v>
      </c>
    </row>
    <row r="169" spans="1:2">
      <c r="A169" s="168">
        <v>26451</v>
      </c>
      <c r="B169" s="167">
        <v>2.7093596059113199</v>
      </c>
    </row>
    <row r="170" spans="1:2">
      <c r="A170" s="168">
        <v>26481</v>
      </c>
      <c r="B170" s="167">
        <v>2.9484029484029501</v>
      </c>
    </row>
    <row r="171" spans="1:2">
      <c r="A171" s="168">
        <v>26512</v>
      </c>
      <c r="B171" s="167">
        <v>2.9411764705882399</v>
      </c>
    </row>
    <row r="172" spans="1:2">
      <c r="A172" s="168">
        <v>26543</v>
      </c>
      <c r="B172" s="167">
        <v>3.18627450980392</v>
      </c>
    </row>
    <row r="173" spans="1:2">
      <c r="A173" s="168">
        <v>26573</v>
      </c>
      <c r="B173" s="167">
        <v>3.4229828850855801</v>
      </c>
    </row>
    <row r="174" spans="1:2">
      <c r="A174" s="168">
        <v>26604</v>
      </c>
      <c r="B174" s="167">
        <v>3.66748166259169</v>
      </c>
    </row>
    <row r="175" spans="1:2">
      <c r="A175" s="168">
        <v>26634</v>
      </c>
      <c r="B175" s="167">
        <v>3.4063260340632602</v>
      </c>
    </row>
    <row r="176" spans="1:2">
      <c r="A176" s="168">
        <v>26665</v>
      </c>
      <c r="B176" s="167">
        <v>3.6496350364963499</v>
      </c>
    </row>
    <row r="177" spans="1:2">
      <c r="A177" s="168">
        <v>26696</v>
      </c>
      <c r="B177" s="167">
        <v>3.87409200968523</v>
      </c>
    </row>
    <row r="178" spans="1:2">
      <c r="A178" s="168">
        <v>26724</v>
      </c>
      <c r="B178" s="167">
        <v>4.5893719806763302</v>
      </c>
    </row>
    <row r="179" spans="1:2">
      <c r="A179" s="168">
        <v>26755</v>
      </c>
      <c r="B179" s="167">
        <v>5.0602409638554304</v>
      </c>
    </row>
    <row r="180" spans="1:2">
      <c r="A180" s="168">
        <v>26785</v>
      </c>
      <c r="B180" s="167">
        <v>5.5288461538461604</v>
      </c>
    </row>
    <row r="181" spans="1:2">
      <c r="A181" s="168">
        <v>26816</v>
      </c>
      <c r="B181" s="167">
        <v>5.9952038369304601</v>
      </c>
    </row>
    <row r="182" spans="1:2">
      <c r="A182" s="168">
        <v>26846</v>
      </c>
      <c r="B182" s="167">
        <v>5.7279236276849703</v>
      </c>
    </row>
    <row r="183" spans="1:2">
      <c r="A183" s="168">
        <v>26877</v>
      </c>
      <c r="B183" s="167">
        <v>7.3809523809523903</v>
      </c>
    </row>
    <row r="184" spans="1:2">
      <c r="A184" s="168">
        <v>26908</v>
      </c>
      <c r="B184" s="167">
        <v>7.3634204275534501</v>
      </c>
    </row>
    <row r="185" spans="1:2">
      <c r="A185" s="168">
        <v>26938</v>
      </c>
      <c r="B185" s="167">
        <v>7.8014184397163202</v>
      </c>
    </row>
    <row r="186" spans="1:2">
      <c r="A186" s="168">
        <v>26969</v>
      </c>
      <c r="B186" s="167">
        <v>8.2547169811320806</v>
      </c>
    </row>
    <row r="187" spans="1:2">
      <c r="A187" s="168">
        <v>26999</v>
      </c>
      <c r="B187" s="167">
        <v>8.7058823529411793</v>
      </c>
    </row>
    <row r="188" spans="1:2">
      <c r="A188" s="168">
        <v>27030</v>
      </c>
      <c r="B188" s="167">
        <v>9.3896713615023604</v>
      </c>
    </row>
    <row r="189" spans="1:2">
      <c r="A189" s="168">
        <v>27061</v>
      </c>
      <c r="B189" s="167">
        <v>10.02331002331</v>
      </c>
    </row>
    <row r="190" spans="1:2">
      <c r="A190" s="168">
        <v>27089</v>
      </c>
      <c r="B190" s="167">
        <v>10.392609699769</v>
      </c>
    </row>
    <row r="191" spans="1:2">
      <c r="A191" s="168">
        <v>27120</v>
      </c>
      <c r="B191" s="167">
        <v>10.0917431192661</v>
      </c>
    </row>
    <row r="192" spans="1:2">
      <c r="A192" s="168">
        <v>27150</v>
      </c>
      <c r="B192" s="167">
        <v>10.7061503416856</v>
      </c>
    </row>
    <row r="193" spans="1:2">
      <c r="A193" s="168">
        <v>27181</v>
      </c>
      <c r="B193" s="167">
        <v>10.859728506787301</v>
      </c>
    </row>
    <row r="194" spans="1:2">
      <c r="A194" s="168">
        <v>27211</v>
      </c>
      <c r="B194" s="167">
        <v>11.5124153498871</v>
      </c>
    </row>
    <row r="195" spans="1:2">
      <c r="A195" s="168">
        <v>27242</v>
      </c>
      <c r="B195" s="167">
        <v>10.8647450110865</v>
      </c>
    </row>
    <row r="196" spans="1:2">
      <c r="A196" s="168">
        <v>27273</v>
      </c>
      <c r="B196" s="167">
        <v>11.9469026548673</v>
      </c>
    </row>
    <row r="197" spans="1:2">
      <c r="A197" s="168">
        <v>27303</v>
      </c>
      <c r="B197" s="167">
        <v>12.0614035087719</v>
      </c>
    </row>
    <row r="198" spans="1:2">
      <c r="A198" s="168">
        <v>27334</v>
      </c>
      <c r="B198" s="167">
        <v>12.2004357298475</v>
      </c>
    </row>
    <row r="199" spans="1:2">
      <c r="A199" s="168">
        <v>27364</v>
      </c>
      <c r="B199" s="167">
        <v>12.3376623376623</v>
      </c>
    </row>
    <row r="200" spans="1:2">
      <c r="A200" s="168">
        <v>27395</v>
      </c>
      <c r="B200" s="167">
        <v>11.8025751072961</v>
      </c>
    </row>
    <row r="201" spans="1:2">
      <c r="A201" s="168">
        <v>27426</v>
      </c>
      <c r="B201" s="167">
        <v>11.228813559322001</v>
      </c>
    </row>
    <row r="202" spans="1:2">
      <c r="A202" s="168">
        <v>27454</v>
      </c>
      <c r="B202" s="167">
        <v>10.2510460251046</v>
      </c>
    </row>
    <row r="203" spans="1:2">
      <c r="A203" s="168">
        <v>27485</v>
      </c>
      <c r="B203" s="167">
        <v>10.2083333333333</v>
      </c>
    </row>
    <row r="204" spans="1:2">
      <c r="A204" s="168">
        <v>27515</v>
      </c>
      <c r="B204" s="167">
        <v>9.4650205761316997</v>
      </c>
    </row>
    <row r="205" spans="1:2">
      <c r="A205" s="168">
        <v>27546</v>
      </c>
      <c r="B205" s="167">
        <v>9.3877551020408205</v>
      </c>
    </row>
    <row r="206" spans="1:2">
      <c r="A206" s="168">
        <v>27576</v>
      </c>
      <c r="B206" s="167">
        <v>9.7165991902834108</v>
      </c>
    </row>
    <row r="207" spans="1:2">
      <c r="A207" s="168">
        <v>27607</v>
      </c>
      <c r="B207" s="167">
        <v>8.6000000000000103</v>
      </c>
    </row>
    <row r="208" spans="1:2">
      <c r="A208" s="168">
        <v>27638</v>
      </c>
      <c r="B208" s="167">
        <v>7.9051383399209598</v>
      </c>
    </row>
    <row r="209" spans="1:2">
      <c r="A209" s="168">
        <v>27668</v>
      </c>
      <c r="B209" s="167">
        <v>7.4363992172211404</v>
      </c>
    </row>
    <row r="210" spans="1:2">
      <c r="A210" s="168">
        <v>27699</v>
      </c>
      <c r="B210" s="167">
        <v>7.3786407766990401</v>
      </c>
    </row>
    <row r="211" spans="1:2">
      <c r="A211" s="168">
        <v>27729</v>
      </c>
      <c r="B211" s="167">
        <v>6.9364161849711001</v>
      </c>
    </row>
    <row r="212" spans="1:2">
      <c r="A212" s="168">
        <v>27760</v>
      </c>
      <c r="B212" s="167">
        <v>6.7178502879078801</v>
      </c>
    </row>
    <row r="213" spans="1:2">
      <c r="A213" s="168">
        <v>27791</v>
      </c>
      <c r="B213" s="167">
        <v>6.28571428571429</v>
      </c>
    </row>
    <row r="214" spans="1:2">
      <c r="A214" s="168">
        <v>27820</v>
      </c>
      <c r="B214" s="167">
        <v>6.0721062618595898</v>
      </c>
    </row>
    <row r="215" spans="1:2">
      <c r="A215" s="168">
        <v>27851</v>
      </c>
      <c r="B215" s="167">
        <v>6.0491493383743</v>
      </c>
    </row>
    <row r="216" spans="1:2">
      <c r="A216" s="168">
        <v>27881</v>
      </c>
      <c r="B216" s="167">
        <v>6.20300751879698</v>
      </c>
    </row>
    <row r="217" spans="1:2">
      <c r="A217" s="168">
        <v>27912</v>
      </c>
      <c r="B217" s="167">
        <v>5.9701492537313303</v>
      </c>
    </row>
    <row r="218" spans="1:2">
      <c r="A218" s="168">
        <v>27942</v>
      </c>
      <c r="B218" s="167">
        <v>5.3505535055350402</v>
      </c>
    </row>
    <row r="219" spans="1:2">
      <c r="A219" s="168">
        <v>27973</v>
      </c>
      <c r="B219" s="167">
        <v>5.7090239410681196</v>
      </c>
    </row>
    <row r="220" spans="1:2">
      <c r="A220" s="168">
        <v>28004</v>
      </c>
      <c r="B220" s="167">
        <v>5.4945054945054803</v>
      </c>
    </row>
    <row r="221" spans="1:2">
      <c r="A221" s="168">
        <v>28034</v>
      </c>
      <c r="B221" s="167">
        <v>5.4644808743169202</v>
      </c>
    </row>
    <row r="222" spans="1:2">
      <c r="A222" s="168">
        <v>28065</v>
      </c>
      <c r="B222" s="167">
        <v>4.8824593128390399</v>
      </c>
    </row>
    <row r="223" spans="1:2">
      <c r="A223" s="168">
        <v>28095</v>
      </c>
      <c r="B223" s="167">
        <v>4.8648648648648498</v>
      </c>
    </row>
    <row r="224" spans="1:2">
      <c r="A224" s="168">
        <v>28126</v>
      </c>
      <c r="B224" s="167">
        <v>5.21582733812948</v>
      </c>
    </row>
    <row r="225" spans="1:2">
      <c r="A225" s="168">
        <v>28157</v>
      </c>
      <c r="B225" s="167">
        <v>5.91397849462364</v>
      </c>
    </row>
    <row r="226" spans="1:2">
      <c r="A226" s="168">
        <v>28185</v>
      </c>
      <c r="B226" s="167">
        <v>6.4400715563506097</v>
      </c>
    </row>
    <row r="227" spans="1:2">
      <c r="A227" s="168">
        <v>28216</v>
      </c>
      <c r="B227" s="167">
        <v>6.9518716577540003</v>
      </c>
    </row>
    <row r="228" spans="1:2">
      <c r="A228" s="168">
        <v>28246</v>
      </c>
      <c r="B228" s="167">
        <v>6.7256637168141697</v>
      </c>
    </row>
    <row r="229" spans="1:2">
      <c r="A229" s="168">
        <v>28277</v>
      </c>
      <c r="B229" s="167">
        <v>6.8661971830985999</v>
      </c>
    </row>
    <row r="230" spans="1:2">
      <c r="A230" s="168">
        <v>28307</v>
      </c>
      <c r="B230" s="167">
        <v>6.8301225919439599</v>
      </c>
    </row>
    <row r="231" spans="1:2">
      <c r="A231" s="168">
        <v>28338</v>
      </c>
      <c r="B231" s="167">
        <v>6.6202090592334599</v>
      </c>
    </row>
    <row r="232" spans="1:2">
      <c r="A232" s="168">
        <v>28369</v>
      </c>
      <c r="B232" s="167">
        <v>6.5972222222222303</v>
      </c>
    </row>
    <row r="233" spans="1:2">
      <c r="A233" s="168">
        <v>28399</v>
      </c>
      <c r="B233" s="167">
        <v>6.3903281519861901</v>
      </c>
    </row>
    <row r="234" spans="1:2">
      <c r="A234" s="168">
        <v>28430</v>
      </c>
      <c r="B234" s="167">
        <v>6.7241379310344902</v>
      </c>
    </row>
    <row r="235" spans="1:2">
      <c r="A235" s="168">
        <v>28460</v>
      </c>
      <c r="B235" s="167">
        <v>6.7010309278350597</v>
      </c>
    </row>
    <row r="236" spans="1:2">
      <c r="A236" s="168">
        <v>28491</v>
      </c>
      <c r="B236" s="167">
        <v>6.83760683760684</v>
      </c>
    </row>
    <row r="237" spans="1:2">
      <c r="A237" s="168">
        <v>28522</v>
      </c>
      <c r="B237" s="167">
        <v>6.4297800338409496</v>
      </c>
    </row>
    <row r="238" spans="1:2">
      <c r="A238" s="168">
        <v>28550</v>
      </c>
      <c r="B238" s="167">
        <v>6.5546218487395</v>
      </c>
    </row>
    <row r="239" spans="1:2">
      <c r="A239" s="168">
        <v>28581</v>
      </c>
      <c r="B239" s="167">
        <v>6.5000000000000098</v>
      </c>
    </row>
    <row r="240" spans="1:2">
      <c r="A240" s="168">
        <v>28611</v>
      </c>
      <c r="B240" s="167">
        <v>6.9651741293532403</v>
      </c>
    </row>
    <row r="241" spans="1:2">
      <c r="A241" s="168">
        <v>28642</v>
      </c>
      <c r="B241" s="167">
        <v>7.4135090609555201</v>
      </c>
    </row>
    <row r="242" spans="1:2">
      <c r="A242" s="168">
        <v>28672</v>
      </c>
      <c r="B242" s="167">
        <v>7.7049180327868898</v>
      </c>
    </row>
    <row r="243" spans="1:2">
      <c r="A243" s="168">
        <v>28703</v>
      </c>
      <c r="B243" s="167">
        <v>7.8431372549019702</v>
      </c>
    </row>
    <row r="244" spans="1:2">
      <c r="A244" s="168">
        <v>28734</v>
      </c>
      <c r="B244" s="167">
        <v>8.3061889250814396</v>
      </c>
    </row>
    <row r="245" spans="1:2">
      <c r="A245" s="168">
        <v>28764</v>
      </c>
      <c r="B245" s="167">
        <v>8.9285714285714395</v>
      </c>
    </row>
    <row r="246" spans="1:2">
      <c r="A246" s="168">
        <v>28795</v>
      </c>
      <c r="B246" s="167">
        <v>8.8852988691437904</v>
      </c>
    </row>
    <row r="247" spans="1:2">
      <c r="A247" s="168">
        <v>28825</v>
      </c>
      <c r="B247" s="167">
        <v>9.0177133655394606</v>
      </c>
    </row>
    <row r="248" spans="1:2">
      <c r="A248" s="168">
        <v>28856</v>
      </c>
      <c r="B248" s="167">
        <v>9.28000000000001</v>
      </c>
    </row>
    <row r="249" spans="1:2">
      <c r="A249" s="168">
        <v>28887</v>
      </c>
      <c r="B249" s="167">
        <v>9.8569157392686702</v>
      </c>
    </row>
    <row r="250" spans="1:2">
      <c r="A250" s="168">
        <v>28915</v>
      </c>
      <c r="B250" s="167">
        <v>10.0946372239748</v>
      </c>
    </row>
    <row r="251" spans="1:2">
      <c r="A251" s="168">
        <v>28946</v>
      </c>
      <c r="B251" s="167">
        <v>10.4851330203443</v>
      </c>
    </row>
    <row r="252" spans="1:2">
      <c r="A252" s="168">
        <v>28976</v>
      </c>
      <c r="B252" s="167">
        <v>10.8527131782946</v>
      </c>
    </row>
    <row r="253" spans="1:2">
      <c r="A253" s="168">
        <v>29007</v>
      </c>
      <c r="B253" s="167">
        <v>10.8895705521472</v>
      </c>
    </row>
    <row r="254" spans="1:2">
      <c r="A254" s="168">
        <v>29037</v>
      </c>
      <c r="B254" s="167">
        <v>11.2633181126332</v>
      </c>
    </row>
    <row r="255" spans="1:2">
      <c r="A255" s="168">
        <v>29068</v>
      </c>
      <c r="B255" s="167">
        <v>11.818181818181801</v>
      </c>
    </row>
    <row r="256" spans="1:2">
      <c r="A256" s="168">
        <v>29099</v>
      </c>
      <c r="B256" s="167">
        <v>12.1804511278195</v>
      </c>
    </row>
    <row r="257" spans="1:2">
      <c r="A257" s="168">
        <v>29129</v>
      </c>
      <c r="B257" s="167">
        <v>12.0715350223547</v>
      </c>
    </row>
    <row r="258" spans="1:2">
      <c r="A258" s="168">
        <v>29160</v>
      </c>
      <c r="B258" s="167">
        <v>12.6112759643917</v>
      </c>
    </row>
    <row r="259" spans="1:2">
      <c r="A259" s="168">
        <v>29190</v>
      </c>
      <c r="B259" s="167">
        <v>13.2939438700148</v>
      </c>
    </row>
    <row r="260" spans="1:2">
      <c r="A260" s="168">
        <v>29221</v>
      </c>
      <c r="B260" s="167">
        <v>13.909224011713</v>
      </c>
    </row>
    <row r="261" spans="1:2">
      <c r="A261" s="168">
        <v>29252</v>
      </c>
      <c r="B261" s="167">
        <v>14.182344428364701</v>
      </c>
    </row>
    <row r="262" spans="1:2">
      <c r="A262" s="168">
        <v>29281</v>
      </c>
      <c r="B262" s="167">
        <v>14.756446991403999</v>
      </c>
    </row>
    <row r="263" spans="1:2">
      <c r="A263" s="168">
        <v>29312</v>
      </c>
      <c r="B263" s="167">
        <v>14.7308781869689</v>
      </c>
    </row>
    <row r="264" spans="1:2">
      <c r="A264" s="168">
        <v>29342</v>
      </c>
      <c r="B264" s="167">
        <v>14.4055944055944</v>
      </c>
    </row>
    <row r="265" spans="1:2">
      <c r="A265" s="168">
        <v>29373</v>
      </c>
      <c r="B265" s="167">
        <v>14.3845089903181</v>
      </c>
    </row>
    <row r="266" spans="1:2">
      <c r="A266" s="168">
        <v>29403</v>
      </c>
      <c r="B266" s="167">
        <v>13.132694938440499</v>
      </c>
    </row>
    <row r="267" spans="1:2">
      <c r="A267" s="168">
        <v>29434</v>
      </c>
      <c r="B267" s="167">
        <v>12.872628726287299</v>
      </c>
    </row>
    <row r="268" spans="1:2">
      <c r="A268" s="168">
        <v>29465</v>
      </c>
      <c r="B268" s="167">
        <v>12.6005361930295</v>
      </c>
    </row>
    <row r="269" spans="1:2">
      <c r="A269" s="168">
        <v>29495</v>
      </c>
      <c r="B269" s="167">
        <v>12.7659574468085</v>
      </c>
    </row>
    <row r="270" spans="1:2">
      <c r="A270" s="168">
        <v>29526</v>
      </c>
      <c r="B270" s="167">
        <v>12.6482213438735</v>
      </c>
    </row>
    <row r="271" spans="1:2">
      <c r="A271" s="168">
        <v>29556</v>
      </c>
      <c r="B271" s="167">
        <v>12.51629726206</v>
      </c>
    </row>
    <row r="272" spans="1:2">
      <c r="A272" s="168">
        <v>29587</v>
      </c>
      <c r="B272" s="167">
        <v>11.8251928020566</v>
      </c>
    </row>
    <row r="273" spans="1:2">
      <c r="A273" s="168">
        <v>29618</v>
      </c>
      <c r="B273" s="167">
        <v>11.4068441064639</v>
      </c>
    </row>
    <row r="274" spans="1:2">
      <c r="A274" s="168">
        <v>29646</v>
      </c>
      <c r="B274" s="167">
        <v>10.4868913857678</v>
      </c>
    </row>
    <row r="275" spans="1:2">
      <c r="A275" s="168">
        <v>29677</v>
      </c>
      <c r="B275" s="167">
        <v>10</v>
      </c>
    </row>
    <row r="276" spans="1:2">
      <c r="A276" s="168">
        <v>29707</v>
      </c>
      <c r="B276" s="167">
        <v>9.7799511002445101</v>
      </c>
    </row>
    <row r="277" spans="1:2">
      <c r="A277" s="168">
        <v>29738</v>
      </c>
      <c r="B277" s="167">
        <v>9.5525997581620405</v>
      </c>
    </row>
    <row r="278" spans="1:2">
      <c r="A278" s="168">
        <v>29768</v>
      </c>
      <c r="B278" s="167">
        <v>10.761789600967401</v>
      </c>
    </row>
    <row r="279" spans="1:2">
      <c r="A279" s="168">
        <v>29799</v>
      </c>
      <c r="B279" s="167">
        <v>10.8043217286915</v>
      </c>
    </row>
    <row r="280" spans="1:2">
      <c r="A280" s="168">
        <v>29830</v>
      </c>
      <c r="B280" s="167">
        <v>10.952380952381001</v>
      </c>
    </row>
    <row r="281" spans="1:2">
      <c r="A281" s="168">
        <v>29860</v>
      </c>
      <c r="B281" s="167">
        <v>10.1415094339623</v>
      </c>
    </row>
    <row r="282" spans="1:2">
      <c r="A282" s="168">
        <v>29891</v>
      </c>
      <c r="B282" s="167">
        <v>9.5906432748538109</v>
      </c>
    </row>
    <row r="283" spans="1:2">
      <c r="A283" s="168">
        <v>29921</v>
      </c>
      <c r="B283" s="167">
        <v>8.9223638470451903</v>
      </c>
    </row>
    <row r="284" spans="1:2">
      <c r="A284" s="168">
        <v>29952</v>
      </c>
      <c r="B284" s="167">
        <v>8.3908045977011394</v>
      </c>
    </row>
    <row r="285" spans="1:2">
      <c r="A285" s="168">
        <v>29983</v>
      </c>
      <c r="B285" s="167">
        <v>7.6222980659840696</v>
      </c>
    </row>
    <row r="286" spans="1:2">
      <c r="A286" s="168">
        <v>30011</v>
      </c>
      <c r="B286" s="167">
        <v>6.7796610169491496</v>
      </c>
    </row>
    <row r="287" spans="1:2">
      <c r="A287" s="168">
        <v>30042</v>
      </c>
      <c r="B287" s="167">
        <v>6.5095398428731697</v>
      </c>
    </row>
    <row r="288" spans="1:2">
      <c r="A288" s="168">
        <v>30072</v>
      </c>
      <c r="B288" s="167">
        <v>6.6815144766146899</v>
      </c>
    </row>
    <row r="289" spans="1:2">
      <c r="A289" s="168">
        <v>30103</v>
      </c>
      <c r="B289" s="167">
        <v>7.06401766004414</v>
      </c>
    </row>
    <row r="290" spans="1:2">
      <c r="A290" s="168">
        <v>30133</v>
      </c>
      <c r="B290" s="167">
        <v>6.4410480349344903</v>
      </c>
    </row>
    <row r="291" spans="1:2">
      <c r="A291" s="168">
        <v>30164</v>
      </c>
      <c r="B291" s="167">
        <v>5.8504875406283796</v>
      </c>
    </row>
    <row r="292" spans="1:2">
      <c r="A292" s="168">
        <v>30195</v>
      </c>
      <c r="B292" s="167">
        <v>5.0429184549356201</v>
      </c>
    </row>
    <row r="293" spans="1:2">
      <c r="A293" s="168">
        <v>30225</v>
      </c>
      <c r="B293" s="167">
        <v>5.1391862955032002</v>
      </c>
    </row>
    <row r="294" spans="1:2">
      <c r="A294" s="168">
        <v>30256</v>
      </c>
      <c r="B294" s="167">
        <v>4.5891141942369202</v>
      </c>
    </row>
    <row r="295" spans="1:2">
      <c r="A295" s="168">
        <v>30286</v>
      </c>
      <c r="B295" s="167">
        <v>3.8297872340425601</v>
      </c>
    </row>
    <row r="296" spans="1:2">
      <c r="A296" s="168">
        <v>30317</v>
      </c>
      <c r="B296" s="167">
        <v>3.7115588547189899</v>
      </c>
    </row>
    <row r="297" spans="1:2">
      <c r="A297" s="168">
        <v>30348</v>
      </c>
      <c r="B297" s="167">
        <v>3.4883720930232598</v>
      </c>
    </row>
    <row r="298" spans="1:2">
      <c r="A298" s="168">
        <v>30376</v>
      </c>
      <c r="B298" s="167">
        <v>3.5978835978835999</v>
      </c>
    </row>
    <row r="299" spans="1:2">
      <c r="A299" s="168">
        <v>30407</v>
      </c>
      <c r="B299" s="167">
        <v>3.8988408851422598</v>
      </c>
    </row>
    <row r="300" spans="1:2">
      <c r="A300" s="168">
        <v>30437</v>
      </c>
      <c r="B300" s="167">
        <v>3.5490605427975002</v>
      </c>
    </row>
    <row r="301" spans="1:2">
      <c r="A301" s="168">
        <v>30468</v>
      </c>
      <c r="B301" s="167">
        <v>2.5773195876288701</v>
      </c>
    </row>
    <row r="302" spans="1:2">
      <c r="A302" s="168">
        <v>30498</v>
      </c>
      <c r="B302" s="167">
        <v>2.4615384615384599</v>
      </c>
    </row>
    <row r="303" spans="1:2">
      <c r="A303" s="168">
        <v>30529</v>
      </c>
      <c r="B303" s="167">
        <v>2.5588536335721601</v>
      </c>
    </row>
    <row r="304" spans="1:2">
      <c r="A304" s="168">
        <v>30560</v>
      </c>
      <c r="B304" s="167">
        <v>2.8600612870275701</v>
      </c>
    </row>
    <row r="305" spans="1:2">
      <c r="A305" s="168">
        <v>30590</v>
      </c>
      <c r="B305" s="167">
        <v>2.8513238289205698</v>
      </c>
    </row>
    <row r="306" spans="1:2">
      <c r="A306" s="168">
        <v>30621</v>
      </c>
      <c r="B306" s="167">
        <v>3.2653061224489801</v>
      </c>
    </row>
    <row r="307" spans="1:2">
      <c r="A307" s="168">
        <v>30651</v>
      </c>
      <c r="B307" s="167">
        <v>3.7909836065573699</v>
      </c>
    </row>
    <row r="308" spans="1:2">
      <c r="A308" s="168">
        <v>30682</v>
      </c>
      <c r="B308" s="167">
        <v>4.1922290388547996</v>
      </c>
    </row>
    <row r="309" spans="1:2">
      <c r="A309" s="168">
        <v>30713</v>
      </c>
      <c r="B309" s="167">
        <v>4.5965270684371804</v>
      </c>
    </row>
    <row r="310" spans="1:2">
      <c r="A310" s="168">
        <v>30742</v>
      </c>
      <c r="B310" s="167">
        <v>4.8008171603677301</v>
      </c>
    </row>
    <row r="311" spans="1:2">
      <c r="A311" s="168">
        <v>30773</v>
      </c>
      <c r="B311" s="167">
        <v>4.5638945233265602</v>
      </c>
    </row>
    <row r="312" spans="1:2">
      <c r="A312" s="168">
        <v>30803</v>
      </c>
      <c r="B312" s="167">
        <v>4.2338709677419404</v>
      </c>
    </row>
    <row r="313" spans="1:2">
      <c r="A313" s="168">
        <v>30834</v>
      </c>
      <c r="B313" s="167">
        <v>4.2211055276381799</v>
      </c>
    </row>
    <row r="314" spans="1:2">
      <c r="A314" s="168">
        <v>30864</v>
      </c>
      <c r="B314" s="167">
        <v>4.2042042042042</v>
      </c>
    </row>
    <row r="315" spans="1:2">
      <c r="A315" s="168">
        <v>30895</v>
      </c>
      <c r="B315" s="167">
        <v>4.2914171656686602</v>
      </c>
    </row>
    <row r="316" spans="1:2">
      <c r="A316" s="168">
        <v>30926</v>
      </c>
      <c r="B316" s="167">
        <v>4.2701092353525496</v>
      </c>
    </row>
    <row r="317" spans="1:2">
      <c r="A317" s="168">
        <v>30956</v>
      </c>
      <c r="B317" s="167">
        <v>4.2574257425742497</v>
      </c>
    </row>
    <row r="318" spans="1:2">
      <c r="A318" s="168">
        <v>30987</v>
      </c>
      <c r="B318" s="167">
        <v>4.0513833992094801</v>
      </c>
    </row>
    <row r="319" spans="1:2">
      <c r="A319" s="168">
        <v>31017</v>
      </c>
      <c r="B319" s="167">
        <v>3.9486673247778898</v>
      </c>
    </row>
    <row r="320" spans="1:2">
      <c r="A320" s="168">
        <v>31048</v>
      </c>
      <c r="B320" s="167">
        <v>3.5328753680078502</v>
      </c>
    </row>
    <row r="321" spans="1:2">
      <c r="A321" s="168">
        <v>31079</v>
      </c>
      <c r="B321" s="167">
        <v>3.515625</v>
      </c>
    </row>
    <row r="322" spans="1:2">
      <c r="A322" s="168">
        <v>31107</v>
      </c>
      <c r="B322" s="167">
        <v>3.7037037037037099</v>
      </c>
    </row>
    <row r="323" spans="1:2">
      <c r="A323" s="168">
        <v>31138</v>
      </c>
      <c r="B323" s="167">
        <v>3.68574199806014</v>
      </c>
    </row>
    <row r="324" spans="1:2">
      <c r="A324" s="168">
        <v>31168</v>
      </c>
      <c r="B324" s="167">
        <v>3.7717601547388702</v>
      </c>
    </row>
    <row r="325" spans="1:2">
      <c r="A325" s="168">
        <v>31199</v>
      </c>
      <c r="B325" s="167">
        <v>3.7608486017357898</v>
      </c>
    </row>
    <row r="326" spans="1:2">
      <c r="A326" s="168">
        <v>31229</v>
      </c>
      <c r="B326" s="167">
        <v>3.5542747358309499</v>
      </c>
    </row>
    <row r="327" spans="1:2">
      <c r="A327" s="168">
        <v>31260</v>
      </c>
      <c r="B327" s="167">
        <v>3.3492822966507299</v>
      </c>
    </row>
    <row r="328" spans="1:2">
      <c r="A328" s="168">
        <v>31291</v>
      </c>
      <c r="B328" s="167">
        <v>3.1428571428571401</v>
      </c>
    </row>
    <row r="329" spans="1:2">
      <c r="A329" s="168">
        <v>31321</v>
      </c>
      <c r="B329" s="167">
        <v>3.2288698955365698</v>
      </c>
    </row>
    <row r="330" spans="1:2">
      <c r="A330" s="168">
        <v>31352</v>
      </c>
      <c r="B330" s="167">
        <v>3.5137701804368602</v>
      </c>
    </row>
    <row r="331" spans="1:2">
      <c r="A331" s="168">
        <v>31382</v>
      </c>
      <c r="B331" s="167">
        <v>3.7986704653371399</v>
      </c>
    </row>
    <row r="332" spans="1:2">
      <c r="A332" s="168">
        <v>31413</v>
      </c>
      <c r="B332" s="167">
        <v>3.88625592417063</v>
      </c>
    </row>
    <row r="333" spans="1:2">
      <c r="A333" s="168">
        <v>31444</v>
      </c>
      <c r="B333" s="167">
        <v>3.1132075471698002</v>
      </c>
    </row>
    <row r="334" spans="1:2">
      <c r="A334" s="168">
        <v>31472</v>
      </c>
      <c r="B334" s="167">
        <v>2.2556390977443601</v>
      </c>
    </row>
    <row r="335" spans="1:2">
      <c r="A335" s="168">
        <v>31503</v>
      </c>
      <c r="B335" s="167">
        <v>1.5902712815715701</v>
      </c>
    </row>
    <row r="336" spans="1:2">
      <c r="A336" s="168">
        <v>31533</v>
      </c>
      <c r="B336" s="167">
        <v>1.49114631873253</v>
      </c>
    </row>
    <row r="337" spans="1:2">
      <c r="A337" s="168">
        <v>31564</v>
      </c>
      <c r="B337" s="167">
        <v>1.76579925650557</v>
      </c>
    </row>
    <row r="338" spans="1:2">
      <c r="A338" s="168">
        <v>31594</v>
      </c>
      <c r="B338" s="167">
        <v>1.5769944341372799</v>
      </c>
    </row>
    <row r="339" spans="1:2">
      <c r="A339" s="168">
        <v>31625</v>
      </c>
      <c r="B339" s="167">
        <v>1.57407407407406</v>
      </c>
    </row>
    <row r="340" spans="1:2">
      <c r="A340" s="168">
        <v>31656</v>
      </c>
      <c r="B340" s="167">
        <v>1.7543859649122899</v>
      </c>
    </row>
    <row r="341" spans="1:2">
      <c r="A341" s="168">
        <v>31686</v>
      </c>
      <c r="B341" s="167">
        <v>1.47194112235511</v>
      </c>
    </row>
    <row r="342" spans="1:2">
      <c r="A342" s="168">
        <v>31717</v>
      </c>
      <c r="B342" s="167">
        <v>1.28440366972477</v>
      </c>
    </row>
    <row r="343" spans="1:2">
      <c r="A343" s="168">
        <v>31747</v>
      </c>
      <c r="B343" s="167">
        <v>1.0978956999085101</v>
      </c>
    </row>
    <row r="344" spans="1:2">
      <c r="A344" s="168">
        <v>31778</v>
      </c>
      <c r="B344" s="167">
        <v>1.4598540145985399</v>
      </c>
    </row>
    <row r="345" spans="1:2">
      <c r="A345" s="168">
        <v>31809</v>
      </c>
      <c r="B345" s="167">
        <v>2.1043000914913201</v>
      </c>
    </row>
    <row r="346" spans="1:2">
      <c r="A346" s="168">
        <v>31837</v>
      </c>
      <c r="B346" s="167">
        <v>3.0330882352941102</v>
      </c>
    </row>
    <row r="347" spans="1:2">
      <c r="A347" s="168">
        <v>31868</v>
      </c>
      <c r="B347" s="167">
        <v>3.7753222836095701</v>
      </c>
    </row>
    <row r="348" spans="1:2">
      <c r="A348" s="168">
        <v>31898</v>
      </c>
      <c r="B348" s="167">
        <v>3.8567493112947702</v>
      </c>
    </row>
    <row r="349" spans="1:2">
      <c r="A349" s="168">
        <v>31929</v>
      </c>
      <c r="B349" s="167">
        <v>3.6529680365296802</v>
      </c>
    </row>
    <row r="350" spans="1:2">
      <c r="A350" s="168">
        <v>31959</v>
      </c>
      <c r="B350" s="167">
        <v>3.9269406392694002</v>
      </c>
    </row>
    <row r="351" spans="1:2">
      <c r="A351" s="168">
        <v>31990</v>
      </c>
      <c r="B351" s="167">
        <v>4.2844120328167703</v>
      </c>
    </row>
    <row r="352" spans="1:2">
      <c r="A352" s="168">
        <v>32021</v>
      </c>
      <c r="B352" s="167">
        <v>4.3557168784028901</v>
      </c>
    </row>
    <row r="353" spans="1:2">
      <c r="A353" s="168">
        <v>32051</v>
      </c>
      <c r="B353" s="167">
        <v>4.5330915684496897</v>
      </c>
    </row>
    <row r="354" spans="1:2">
      <c r="A354" s="168">
        <v>32082</v>
      </c>
      <c r="B354" s="167">
        <v>4.5289855072463601</v>
      </c>
    </row>
    <row r="355" spans="1:2">
      <c r="A355" s="168">
        <v>32112</v>
      </c>
      <c r="B355" s="167">
        <v>4.4343891402714899</v>
      </c>
    </row>
    <row r="356" spans="1:2">
      <c r="A356" s="168">
        <v>32143</v>
      </c>
      <c r="B356" s="167">
        <v>4.0467625899280497</v>
      </c>
    </row>
    <row r="357" spans="1:2">
      <c r="A357" s="168">
        <v>32174</v>
      </c>
      <c r="B357" s="167">
        <v>3.9426523297490901</v>
      </c>
    </row>
    <row r="358" spans="1:2">
      <c r="A358" s="168">
        <v>32203</v>
      </c>
      <c r="B358" s="167">
        <v>3.9250669045495101</v>
      </c>
    </row>
    <row r="359" spans="1:2">
      <c r="A359" s="168">
        <v>32234</v>
      </c>
      <c r="B359" s="167">
        <v>3.9041703637977001</v>
      </c>
    </row>
    <row r="360" spans="1:2">
      <c r="A360" s="168">
        <v>32264</v>
      </c>
      <c r="B360" s="167">
        <v>3.89036251105217</v>
      </c>
    </row>
    <row r="361" spans="1:2">
      <c r="A361" s="168">
        <v>32295</v>
      </c>
      <c r="B361" s="167">
        <v>3.9647577092511002</v>
      </c>
    </row>
    <row r="362" spans="1:2">
      <c r="A362" s="168">
        <v>32325</v>
      </c>
      <c r="B362" s="167">
        <v>4.1300527240773404</v>
      </c>
    </row>
    <row r="363" spans="1:2">
      <c r="A363" s="168">
        <v>32356</v>
      </c>
      <c r="B363" s="167">
        <v>4.0209790209790199</v>
      </c>
    </row>
    <row r="364" spans="1:2">
      <c r="A364" s="168">
        <v>32387</v>
      </c>
      <c r="B364" s="167">
        <v>4.1739130434782599</v>
      </c>
    </row>
    <row r="365" spans="1:2">
      <c r="A365" s="168">
        <v>32417</v>
      </c>
      <c r="B365" s="167">
        <v>4.24978317432784</v>
      </c>
    </row>
    <row r="366" spans="1:2">
      <c r="A366" s="168">
        <v>32448</v>
      </c>
      <c r="B366" s="167">
        <v>4.2461005199306898</v>
      </c>
    </row>
    <row r="367" spans="1:2">
      <c r="A367" s="168">
        <v>32478</v>
      </c>
      <c r="B367" s="167">
        <v>4.4194107452339804</v>
      </c>
    </row>
    <row r="368" spans="1:2">
      <c r="A368" s="168">
        <v>32509</v>
      </c>
      <c r="B368" s="167">
        <v>4.6672428694900603</v>
      </c>
    </row>
    <row r="369" spans="1:2">
      <c r="A369" s="168">
        <v>32540</v>
      </c>
      <c r="B369" s="167">
        <v>4.8275862068965596</v>
      </c>
    </row>
    <row r="370" spans="1:2">
      <c r="A370" s="168">
        <v>32568</v>
      </c>
      <c r="B370" s="167">
        <v>4.97854077253219</v>
      </c>
    </row>
    <row r="371" spans="1:2">
      <c r="A371" s="168">
        <v>32599</v>
      </c>
      <c r="B371" s="167">
        <v>5.1238257899231501</v>
      </c>
    </row>
    <row r="372" spans="1:2">
      <c r="A372" s="168">
        <v>32629</v>
      </c>
      <c r="B372" s="167">
        <v>5.3617021276595702</v>
      </c>
    </row>
    <row r="373" spans="1:2">
      <c r="A373" s="168">
        <v>32660</v>
      </c>
      <c r="B373" s="167">
        <v>5.1694915254237399</v>
      </c>
    </row>
    <row r="374" spans="1:2">
      <c r="A374" s="168">
        <v>32690</v>
      </c>
      <c r="B374" s="167">
        <v>4.9789029535864904</v>
      </c>
    </row>
    <row r="375" spans="1:2">
      <c r="A375" s="168">
        <v>32721</v>
      </c>
      <c r="B375" s="167">
        <v>4.7058823529411802</v>
      </c>
    </row>
    <row r="376" spans="1:2">
      <c r="A376" s="168">
        <v>32752</v>
      </c>
      <c r="B376" s="167">
        <v>4.3405676126878197</v>
      </c>
    </row>
    <row r="377" spans="1:2">
      <c r="A377" s="168">
        <v>32782</v>
      </c>
      <c r="B377" s="167">
        <v>4.4925124792013396</v>
      </c>
    </row>
    <row r="378" spans="1:2">
      <c r="A378" s="168">
        <v>32813</v>
      </c>
      <c r="B378" s="167">
        <v>4.6550290939318204</v>
      </c>
    </row>
    <row r="379" spans="1:2">
      <c r="A379" s="168">
        <v>32843</v>
      </c>
      <c r="B379" s="167">
        <v>4.6473029045642997</v>
      </c>
    </row>
    <row r="380" spans="1:2">
      <c r="A380" s="168">
        <v>32874</v>
      </c>
      <c r="B380" s="167">
        <v>5.2023121387283204</v>
      </c>
    </row>
    <row r="381" spans="1:2">
      <c r="A381" s="168">
        <v>32905</v>
      </c>
      <c r="B381" s="167">
        <v>5.2631578947368496</v>
      </c>
    </row>
    <row r="382" spans="1:2">
      <c r="A382" s="168">
        <v>32933</v>
      </c>
      <c r="B382" s="167">
        <v>5.2330335241209998</v>
      </c>
    </row>
    <row r="383" spans="1:2">
      <c r="A383" s="168">
        <v>32964</v>
      </c>
      <c r="B383" s="167">
        <v>4.7116165718927698</v>
      </c>
    </row>
    <row r="384" spans="1:2">
      <c r="A384" s="168">
        <v>32994</v>
      </c>
      <c r="B384" s="167">
        <v>4.3618739903069299</v>
      </c>
    </row>
    <row r="385" spans="1:2">
      <c r="A385" s="168">
        <v>33025</v>
      </c>
      <c r="B385" s="167">
        <v>4.6736502820306196</v>
      </c>
    </row>
    <row r="386" spans="1:2">
      <c r="A386" s="168">
        <v>33055</v>
      </c>
      <c r="B386" s="167">
        <v>4.8231511254019299</v>
      </c>
    </row>
    <row r="387" spans="1:2">
      <c r="A387" s="168">
        <v>33086</v>
      </c>
      <c r="B387" s="167">
        <v>5.6179775280898898</v>
      </c>
    </row>
    <row r="388" spans="1:2">
      <c r="A388" s="168">
        <v>33117</v>
      </c>
      <c r="B388" s="167">
        <v>6.16</v>
      </c>
    </row>
    <row r="389" spans="1:2">
      <c r="A389" s="168">
        <v>33147</v>
      </c>
      <c r="B389" s="167">
        <v>6.2898089171974503</v>
      </c>
    </row>
    <row r="390" spans="1:2">
      <c r="A390" s="168">
        <v>33178</v>
      </c>
      <c r="B390" s="167">
        <v>6.27482128673552</v>
      </c>
    </row>
    <row r="391" spans="1:2">
      <c r="A391" s="168">
        <v>33208</v>
      </c>
      <c r="B391" s="167">
        <v>6.10626486915148</v>
      </c>
    </row>
    <row r="392" spans="1:2">
      <c r="A392" s="168">
        <v>33239</v>
      </c>
      <c r="B392" s="167">
        <v>5.65149136577707</v>
      </c>
    </row>
    <row r="393" spans="1:2">
      <c r="A393" s="168">
        <v>33270</v>
      </c>
      <c r="B393" s="167">
        <v>5.3125</v>
      </c>
    </row>
    <row r="394" spans="1:2">
      <c r="A394" s="168">
        <v>33298</v>
      </c>
      <c r="B394" s="167">
        <v>4.8951048951049101</v>
      </c>
    </row>
    <row r="395" spans="1:2">
      <c r="A395" s="168">
        <v>33329</v>
      </c>
      <c r="B395" s="167">
        <v>4.8875096974398504</v>
      </c>
    </row>
    <row r="396" spans="1:2">
      <c r="A396" s="168">
        <v>33359</v>
      </c>
      <c r="B396" s="167">
        <v>4.95356037151703</v>
      </c>
    </row>
    <row r="397" spans="1:2">
      <c r="A397" s="168">
        <v>33390</v>
      </c>
      <c r="B397" s="167">
        <v>4.6959199384141597</v>
      </c>
    </row>
    <row r="398" spans="1:2">
      <c r="A398" s="168">
        <v>33420</v>
      </c>
      <c r="B398" s="167">
        <v>4.44785276073618</v>
      </c>
    </row>
    <row r="399" spans="1:2">
      <c r="A399" s="168">
        <v>33451</v>
      </c>
      <c r="B399" s="167">
        <v>3.7993920972644202</v>
      </c>
    </row>
    <row r="400" spans="1:2">
      <c r="A400" s="168">
        <v>33482</v>
      </c>
      <c r="B400" s="167">
        <v>3.3911077618688701</v>
      </c>
    </row>
    <row r="401" spans="1:2">
      <c r="A401" s="168">
        <v>33512</v>
      </c>
      <c r="B401" s="167">
        <v>2.92134831460675</v>
      </c>
    </row>
    <row r="402" spans="1:2">
      <c r="A402" s="168">
        <v>33543</v>
      </c>
      <c r="B402" s="167">
        <v>2.9895366218236199</v>
      </c>
    </row>
    <row r="403" spans="1:2">
      <c r="A403" s="168">
        <v>33573</v>
      </c>
      <c r="B403" s="167">
        <v>3.0642750373692</v>
      </c>
    </row>
    <row r="404" spans="1:2">
      <c r="A404" s="168">
        <v>33604</v>
      </c>
      <c r="B404" s="167">
        <v>2.6002971768202201</v>
      </c>
    </row>
    <row r="405" spans="1:2">
      <c r="A405" s="168">
        <v>33635</v>
      </c>
      <c r="B405" s="167">
        <v>2.8189910979228299</v>
      </c>
    </row>
    <row r="406" spans="1:2">
      <c r="A406" s="168">
        <v>33664</v>
      </c>
      <c r="B406" s="167">
        <v>3.1851851851852002</v>
      </c>
    </row>
    <row r="407" spans="1:2">
      <c r="A407" s="168">
        <v>33695</v>
      </c>
      <c r="B407" s="167">
        <v>3.1804733727810799</v>
      </c>
    </row>
    <row r="408" spans="1:2">
      <c r="A408" s="168">
        <v>33725</v>
      </c>
      <c r="B408" s="167">
        <v>3.0235988200590098</v>
      </c>
    </row>
    <row r="409" spans="1:2">
      <c r="A409" s="168">
        <v>33756</v>
      </c>
      <c r="B409" s="167">
        <v>3.0882352941176299</v>
      </c>
    </row>
    <row r="410" spans="1:2">
      <c r="A410" s="168">
        <v>33786</v>
      </c>
      <c r="B410" s="167">
        <v>3.1571218795888498</v>
      </c>
    </row>
    <row r="411" spans="1:2">
      <c r="A411" s="168">
        <v>33817</v>
      </c>
      <c r="B411" s="167">
        <v>3.1478770131771698</v>
      </c>
    </row>
    <row r="412" spans="1:2">
      <c r="A412" s="168">
        <v>33848</v>
      </c>
      <c r="B412" s="167">
        <v>2.9883381924198398</v>
      </c>
    </row>
    <row r="413" spans="1:2">
      <c r="A413" s="168">
        <v>33878</v>
      </c>
      <c r="B413" s="167">
        <v>3.2023289665211099</v>
      </c>
    </row>
    <row r="414" spans="1:2">
      <c r="A414" s="168">
        <v>33909</v>
      </c>
      <c r="B414" s="167">
        <v>3.0478955007256801</v>
      </c>
    </row>
    <row r="415" spans="1:2">
      <c r="A415" s="168">
        <v>33939</v>
      </c>
      <c r="B415" s="167">
        <v>2.9006526468455398</v>
      </c>
    </row>
    <row r="416" spans="1:2">
      <c r="A416" s="168">
        <v>33970</v>
      </c>
      <c r="B416" s="167">
        <v>3.25850832729905</v>
      </c>
    </row>
    <row r="417" spans="1:2">
      <c r="A417" s="168">
        <v>34001</v>
      </c>
      <c r="B417" s="167">
        <v>3.24675324675326</v>
      </c>
    </row>
    <row r="418" spans="1:2">
      <c r="A418" s="168">
        <v>34029</v>
      </c>
      <c r="B418" s="167">
        <v>3.08686288585784</v>
      </c>
    </row>
    <row r="419" spans="1:2">
      <c r="A419" s="168">
        <v>34060</v>
      </c>
      <c r="B419" s="167">
        <v>3.2258064516128999</v>
      </c>
    </row>
    <row r="420" spans="1:2">
      <c r="A420" s="168">
        <v>34090</v>
      </c>
      <c r="B420" s="167">
        <v>3.2211882605583302</v>
      </c>
    </row>
    <row r="421" spans="1:2">
      <c r="A421" s="168">
        <v>34121</v>
      </c>
      <c r="B421" s="167">
        <v>2.9957203994294099</v>
      </c>
    </row>
    <row r="422" spans="1:2">
      <c r="A422" s="168">
        <v>34151</v>
      </c>
      <c r="B422" s="167">
        <v>2.7758007117437802</v>
      </c>
    </row>
    <row r="423" spans="1:2">
      <c r="A423" s="168">
        <v>34182</v>
      </c>
      <c r="B423" s="167">
        <v>2.7679205110007201</v>
      </c>
    </row>
    <row r="424" spans="1:2">
      <c r="A424" s="168">
        <v>34213</v>
      </c>
      <c r="B424" s="167">
        <v>2.6893135173389999</v>
      </c>
    </row>
    <row r="425" spans="1:2">
      <c r="A425" s="168">
        <v>34243</v>
      </c>
      <c r="B425" s="167">
        <v>2.7503526093088602</v>
      </c>
    </row>
    <row r="426" spans="1:2">
      <c r="A426" s="168">
        <v>34274</v>
      </c>
      <c r="B426" s="167">
        <v>2.6760563380281899</v>
      </c>
    </row>
    <row r="427" spans="1:2">
      <c r="A427" s="168">
        <v>34304</v>
      </c>
      <c r="B427" s="167">
        <v>2.7484143763213602</v>
      </c>
    </row>
    <row r="428" spans="1:2">
      <c r="A428" s="168">
        <v>34335</v>
      </c>
      <c r="B428" s="167">
        <v>2.52454417952314</v>
      </c>
    </row>
    <row r="429" spans="1:2">
      <c r="A429" s="168">
        <v>34366</v>
      </c>
      <c r="B429" s="167">
        <v>2.5157232704402399</v>
      </c>
    </row>
    <row r="430" spans="1:2">
      <c r="A430" s="168">
        <v>34394</v>
      </c>
      <c r="B430" s="167">
        <v>2.50696378830084</v>
      </c>
    </row>
    <row r="431" spans="1:2">
      <c r="A431" s="168">
        <v>34425</v>
      </c>
      <c r="B431" s="167">
        <v>2.3611111111111098</v>
      </c>
    </row>
    <row r="432" spans="1:2">
      <c r="A432" s="168">
        <v>34455</v>
      </c>
      <c r="B432" s="167">
        <v>2.2884882108183202</v>
      </c>
    </row>
    <row r="433" spans="1:2">
      <c r="A433" s="168">
        <v>34486</v>
      </c>
      <c r="B433" s="167">
        <v>2.4930747922437502</v>
      </c>
    </row>
    <row r="434" spans="1:2">
      <c r="A434" s="168">
        <v>34516</v>
      </c>
      <c r="B434" s="167">
        <v>2.7700831024930599</v>
      </c>
    </row>
    <row r="435" spans="1:2">
      <c r="A435" s="168">
        <v>34547</v>
      </c>
      <c r="B435" s="167">
        <v>2.9005524861878298</v>
      </c>
    </row>
    <row r="436" spans="1:2">
      <c r="A436" s="168">
        <v>34578</v>
      </c>
      <c r="B436" s="167">
        <v>2.96347346657477</v>
      </c>
    </row>
    <row r="437" spans="1:2">
      <c r="A437" s="168">
        <v>34608</v>
      </c>
      <c r="B437" s="167">
        <v>2.6080988332189601</v>
      </c>
    </row>
    <row r="438" spans="1:2">
      <c r="A438" s="168">
        <v>34639</v>
      </c>
      <c r="B438" s="167">
        <v>2.6748971193415398</v>
      </c>
    </row>
    <row r="439" spans="1:2">
      <c r="A439" s="168">
        <v>34669</v>
      </c>
      <c r="B439" s="167">
        <v>2.6748971193415398</v>
      </c>
    </row>
    <row r="440" spans="1:2">
      <c r="A440" s="168">
        <v>34700</v>
      </c>
      <c r="B440" s="167">
        <v>2.80437756497949</v>
      </c>
    </row>
    <row r="441" spans="1:2">
      <c r="A441" s="168">
        <v>34731</v>
      </c>
      <c r="B441" s="167">
        <v>2.8629856850715898</v>
      </c>
    </row>
    <row r="442" spans="1:2">
      <c r="A442" s="168">
        <v>34759</v>
      </c>
      <c r="B442" s="167">
        <v>2.85326086956522</v>
      </c>
    </row>
    <row r="443" spans="1:2">
      <c r="A443" s="168">
        <v>34790</v>
      </c>
      <c r="B443" s="167">
        <v>3.0529172320217199</v>
      </c>
    </row>
    <row r="444" spans="1:2">
      <c r="A444" s="168">
        <v>34820</v>
      </c>
      <c r="B444" s="167">
        <v>3.1864406779660999</v>
      </c>
    </row>
    <row r="445" spans="1:2">
      <c r="A445" s="168">
        <v>34851</v>
      </c>
      <c r="B445" s="167">
        <v>3.0405405405405501</v>
      </c>
    </row>
    <row r="446" spans="1:2">
      <c r="A446" s="168">
        <v>34881</v>
      </c>
      <c r="B446" s="167">
        <v>2.76280323450136</v>
      </c>
    </row>
    <row r="447" spans="1:2">
      <c r="A447" s="168">
        <v>34912</v>
      </c>
      <c r="B447" s="167">
        <v>2.61744966442954</v>
      </c>
    </row>
    <row r="448" spans="1:2">
      <c r="A448" s="168">
        <v>34943</v>
      </c>
      <c r="B448" s="167">
        <v>2.54350736278447</v>
      </c>
    </row>
    <row r="449" spans="1:2">
      <c r="A449" s="168">
        <v>34973</v>
      </c>
      <c r="B449" s="167">
        <v>2.8093645484949699</v>
      </c>
    </row>
    <row r="450" spans="1:2">
      <c r="A450" s="168">
        <v>35004</v>
      </c>
      <c r="B450" s="167">
        <v>2.60521042084169</v>
      </c>
    </row>
    <row r="451" spans="1:2">
      <c r="A451" s="168">
        <v>35034</v>
      </c>
      <c r="B451" s="167">
        <v>2.5384101536406298</v>
      </c>
    </row>
    <row r="452" spans="1:2">
      <c r="A452" s="168">
        <v>35065</v>
      </c>
      <c r="B452" s="167">
        <v>2.7278775781769702</v>
      </c>
    </row>
    <row r="453" spans="1:2">
      <c r="A453" s="168">
        <v>35096</v>
      </c>
      <c r="B453" s="167">
        <v>2.6507620941020602</v>
      </c>
    </row>
    <row r="454" spans="1:2">
      <c r="A454" s="168">
        <v>35125</v>
      </c>
      <c r="B454" s="167">
        <v>2.8401585204755602</v>
      </c>
    </row>
    <row r="455" spans="1:2">
      <c r="A455" s="168">
        <v>35156</v>
      </c>
      <c r="B455" s="167">
        <v>2.8966425279789401</v>
      </c>
    </row>
    <row r="456" spans="1:2">
      <c r="A456" s="168">
        <v>35186</v>
      </c>
      <c r="B456" s="167">
        <v>2.8909329829172199</v>
      </c>
    </row>
    <row r="457" spans="1:2">
      <c r="A457" s="168">
        <v>35217</v>
      </c>
      <c r="B457" s="167">
        <v>2.7540983606557301</v>
      </c>
    </row>
    <row r="458" spans="1:2">
      <c r="A458" s="168">
        <v>35247</v>
      </c>
      <c r="B458" s="167">
        <v>2.9508196721311402</v>
      </c>
    </row>
    <row r="459" spans="1:2">
      <c r="A459" s="168">
        <v>35278</v>
      </c>
      <c r="B459" s="167">
        <v>2.8776978417266199</v>
      </c>
    </row>
    <row r="460" spans="1:2">
      <c r="A460" s="168">
        <v>35309</v>
      </c>
      <c r="B460" s="167">
        <v>3.00261096605744</v>
      </c>
    </row>
    <row r="461" spans="1:2">
      <c r="A461" s="168">
        <v>35339</v>
      </c>
      <c r="B461" s="167">
        <v>2.9928432010410102</v>
      </c>
    </row>
    <row r="462" spans="1:2">
      <c r="A462" s="168">
        <v>35370</v>
      </c>
      <c r="B462" s="167">
        <v>3.2552083333333401</v>
      </c>
    </row>
    <row r="463" spans="1:2">
      <c r="A463" s="168">
        <v>35400</v>
      </c>
      <c r="B463" s="167">
        <v>3.3224755700325699</v>
      </c>
    </row>
    <row r="464" spans="1:2">
      <c r="A464" s="168">
        <v>35431</v>
      </c>
      <c r="B464" s="167">
        <v>3.0440414507772</v>
      </c>
    </row>
    <row r="465" spans="1:2">
      <c r="A465" s="168">
        <v>35462</v>
      </c>
      <c r="B465" s="167">
        <v>3.0342156229825599</v>
      </c>
    </row>
    <row r="466" spans="1:2">
      <c r="A466" s="168">
        <v>35490</v>
      </c>
      <c r="B466" s="167">
        <v>2.7617212588311002</v>
      </c>
    </row>
    <row r="467" spans="1:2">
      <c r="A467" s="168">
        <v>35521</v>
      </c>
      <c r="B467" s="167">
        <v>2.4952015355086199</v>
      </c>
    </row>
    <row r="468" spans="1:2">
      <c r="A468" s="168">
        <v>35551</v>
      </c>
      <c r="B468" s="167">
        <v>2.2349936143039502</v>
      </c>
    </row>
    <row r="469" spans="1:2">
      <c r="A469" s="168">
        <v>35582</v>
      </c>
      <c r="B469" s="167">
        <v>2.2973835354180099</v>
      </c>
    </row>
    <row r="470" spans="1:2">
      <c r="A470" s="168">
        <v>35612</v>
      </c>
      <c r="B470" s="167">
        <v>2.2292993630573199</v>
      </c>
    </row>
    <row r="471" spans="1:2">
      <c r="A471" s="168">
        <v>35643</v>
      </c>
      <c r="B471" s="167">
        <v>2.2250476795931302</v>
      </c>
    </row>
    <row r="472" spans="1:2">
      <c r="A472" s="168">
        <v>35674</v>
      </c>
      <c r="B472" s="167">
        <v>2.1546261089987202</v>
      </c>
    </row>
    <row r="473" spans="1:2">
      <c r="A473" s="168">
        <v>35704</v>
      </c>
      <c r="B473" s="167">
        <v>2.0846493998736402</v>
      </c>
    </row>
    <row r="474" spans="1:2">
      <c r="A474" s="168">
        <v>35735</v>
      </c>
      <c r="B474" s="167">
        <v>1.8284993694829701</v>
      </c>
    </row>
    <row r="475" spans="1:2">
      <c r="A475" s="168">
        <v>35765</v>
      </c>
      <c r="B475" s="167">
        <v>1.70239596469106</v>
      </c>
    </row>
    <row r="476" spans="1:2">
      <c r="A476" s="168">
        <v>35796</v>
      </c>
      <c r="B476" s="167">
        <v>1.5713387806411001</v>
      </c>
    </row>
    <row r="477" spans="1:2">
      <c r="A477" s="168">
        <v>35827</v>
      </c>
      <c r="B477" s="167">
        <v>1.4411027568922199</v>
      </c>
    </row>
    <row r="478" spans="1:2">
      <c r="A478" s="168">
        <v>35855</v>
      </c>
      <c r="B478" s="167">
        <v>1.37499999999999</v>
      </c>
    </row>
    <row r="479" spans="1:2">
      <c r="A479" s="168">
        <v>35886</v>
      </c>
      <c r="B479" s="167">
        <v>1.4357053682896499</v>
      </c>
    </row>
    <row r="480" spans="1:2">
      <c r="A480" s="168">
        <v>35916</v>
      </c>
      <c r="B480" s="167">
        <v>1.68644597126797</v>
      </c>
    </row>
    <row r="481" spans="1:2">
      <c r="A481" s="168">
        <v>35947</v>
      </c>
      <c r="B481" s="167">
        <v>1.68434185901434</v>
      </c>
    </row>
    <row r="482" spans="1:2">
      <c r="A482" s="168">
        <v>35977</v>
      </c>
      <c r="B482" s="167">
        <v>1.6822429906542</v>
      </c>
    </row>
    <row r="483" spans="1:2">
      <c r="A483" s="168">
        <v>36008</v>
      </c>
      <c r="B483" s="167">
        <v>1.61691542288557</v>
      </c>
    </row>
    <row r="484" spans="1:2">
      <c r="A484" s="168">
        <v>36039</v>
      </c>
      <c r="B484" s="167">
        <v>1.48883374689826</v>
      </c>
    </row>
    <row r="485" spans="1:2">
      <c r="A485" s="168">
        <v>36069</v>
      </c>
      <c r="B485" s="167">
        <v>1.4851485148515</v>
      </c>
    </row>
    <row r="486" spans="1:2">
      <c r="A486" s="168">
        <v>36100</v>
      </c>
      <c r="B486" s="167">
        <v>1.54798761609908</v>
      </c>
    </row>
    <row r="487" spans="1:2">
      <c r="A487" s="168">
        <v>36130</v>
      </c>
      <c r="B487" s="167">
        <v>1.6119032858028399</v>
      </c>
    </row>
    <row r="488" spans="1:2">
      <c r="A488" s="168">
        <v>36161</v>
      </c>
      <c r="B488" s="167">
        <v>1.67079207920794</v>
      </c>
    </row>
    <row r="489" spans="1:2">
      <c r="A489" s="168">
        <v>36192</v>
      </c>
      <c r="B489" s="167">
        <v>1.6059295861642999</v>
      </c>
    </row>
    <row r="490" spans="1:2">
      <c r="A490" s="168">
        <v>36220</v>
      </c>
      <c r="B490" s="167">
        <v>1.7262638717632699</v>
      </c>
    </row>
    <row r="491" spans="1:2">
      <c r="A491" s="168">
        <v>36251</v>
      </c>
      <c r="B491" s="167">
        <v>2.2769230769230702</v>
      </c>
    </row>
    <row r="492" spans="1:2">
      <c r="A492" s="168">
        <v>36281</v>
      </c>
      <c r="B492" s="167">
        <v>2.0884520884520801</v>
      </c>
    </row>
    <row r="493" spans="1:2">
      <c r="A493" s="168">
        <v>36312</v>
      </c>
      <c r="B493" s="167">
        <v>1.96319018404907</v>
      </c>
    </row>
    <row r="494" spans="1:2">
      <c r="A494" s="168">
        <v>36342</v>
      </c>
      <c r="B494" s="167">
        <v>2.1446078431372499</v>
      </c>
    </row>
    <row r="495" spans="1:2">
      <c r="A495" s="168">
        <v>36373</v>
      </c>
      <c r="B495" s="167">
        <v>2.2643818849449202</v>
      </c>
    </row>
    <row r="496" spans="1:2">
      <c r="A496" s="168">
        <v>36404</v>
      </c>
      <c r="B496" s="167">
        <v>2.6283618581907202</v>
      </c>
    </row>
    <row r="497" spans="1:2">
      <c r="A497" s="168">
        <v>36434</v>
      </c>
      <c r="B497" s="167">
        <v>2.5609756097560901</v>
      </c>
    </row>
    <row r="498" spans="1:2">
      <c r="A498" s="168">
        <v>36465</v>
      </c>
      <c r="B498" s="167">
        <v>2.6219512195121899</v>
      </c>
    </row>
    <row r="499" spans="1:2">
      <c r="A499" s="168">
        <v>36495</v>
      </c>
      <c r="B499" s="167">
        <v>2.6845637583892601</v>
      </c>
    </row>
    <row r="500" spans="1:2">
      <c r="A500" s="168">
        <v>36526</v>
      </c>
      <c r="B500" s="167">
        <v>2.7388922702373701</v>
      </c>
    </row>
    <row r="501" spans="1:2">
      <c r="A501" s="168">
        <v>36557</v>
      </c>
      <c r="B501" s="167">
        <v>3.2218844984802502</v>
      </c>
    </row>
    <row r="502" spans="1:2">
      <c r="A502" s="168">
        <v>36586</v>
      </c>
      <c r="B502" s="167">
        <v>3.7575757575757498</v>
      </c>
    </row>
    <row r="503" spans="1:2">
      <c r="A503" s="168">
        <v>36617</v>
      </c>
      <c r="B503" s="167">
        <v>3.06859205776174</v>
      </c>
    </row>
    <row r="504" spans="1:2">
      <c r="A504" s="168">
        <v>36647</v>
      </c>
      <c r="B504" s="167">
        <v>3.18892900120338</v>
      </c>
    </row>
    <row r="505" spans="1:2">
      <c r="A505" s="168">
        <v>36678</v>
      </c>
      <c r="B505" s="167">
        <v>3.7304452466907501</v>
      </c>
    </row>
    <row r="506" spans="1:2">
      <c r="A506" s="168">
        <v>36708</v>
      </c>
      <c r="B506" s="167">
        <v>3.6592681463707502</v>
      </c>
    </row>
    <row r="507" spans="1:2">
      <c r="A507" s="168">
        <v>36739</v>
      </c>
      <c r="B507" s="167">
        <v>3.41113105924597</v>
      </c>
    </row>
    <row r="508" spans="1:2">
      <c r="A508" s="168">
        <v>36770</v>
      </c>
      <c r="B508" s="167">
        <v>3.4544371649791401</v>
      </c>
    </row>
    <row r="509" spans="1:2">
      <c r="A509" s="168">
        <v>36800</v>
      </c>
      <c r="B509" s="167">
        <v>3.4482758620689702</v>
      </c>
    </row>
    <row r="510" spans="1:2">
      <c r="A510" s="168">
        <v>36831</v>
      </c>
      <c r="B510" s="167">
        <v>3.44622697563873</v>
      </c>
    </row>
    <row r="511" spans="1:2">
      <c r="A511" s="168">
        <v>36861</v>
      </c>
      <c r="B511" s="167">
        <v>3.3868092691622098</v>
      </c>
    </row>
    <row r="512" spans="1:2">
      <c r="A512" s="168">
        <v>36892</v>
      </c>
      <c r="B512" s="167">
        <v>3.73222748815164</v>
      </c>
    </row>
    <row r="513" spans="1:2">
      <c r="A513" s="168">
        <v>36923</v>
      </c>
      <c r="B513" s="167">
        <v>3.5335689045936398</v>
      </c>
    </row>
    <row r="514" spans="1:2">
      <c r="A514" s="168">
        <v>36951</v>
      </c>
      <c r="B514" s="167">
        <v>2.9205607476635498</v>
      </c>
    </row>
    <row r="515" spans="1:2">
      <c r="A515" s="168">
        <v>36982</v>
      </c>
      <c r="B515" s="167">
        <v>3.2691185055458298</v>
      </c>
    </row>
    <row r="516" spans="1:2">
      <c r="A516" s="168">
        <v>37012</v>
      </c>
      <c r="B516" s="167">
        <v>3.6151603498542202</v>
      </c>
    </row>
    <row r="517" spans="1:2">
      <c r="A517" s="168">
        <v>37043</v>
      </c>
      <c r="B517" s="167">
        <v>3.24825986078885</v>
      </c>
    </row>
    <row r="518" spans="1:2">
      <c r="A518" s="168">
        <v>37073</v>
      </c>
      <c r="B518" s="167">
        <v>2.7199074074073999</v>
      </c>
    </row>
    <row r="519" spans="1:2">
      <c r="A519" s="168">
        <v>37104</v>
      </c>
      <c r="B519" s="167">
        <v>2.7199074074073999</v>
      </c>
    </row>
    <row r="520" spans="1:2">
      <c r="A520" s="168">
        <v>37135</v>
      </c>
      <c r="B520" s="167">
        <v>2.6482440990213201</v>
      </c>
    </row>
    <row r="521" spans="1:2">
      <c r="A521" s="168">
        <v>37165</v>
      </c>
      <c r="B521" s="167">
        <v>2.1264367816091898</v>
      </c>
    </row>
    <row r="522" spans="1:2">
      <c r="A522" s="168">
        <v>37196</v>
      </c>
      <c r="B522" s="167">
        <v>1.8954623779437201</v>
      </c>
    </row>
    <row r="523" spans="1:2">
      <c r="A523" s="168">
        <v>37226</v>
      </c>
      <c r="B523" s="167">
        <v>1.55172413793103</v>
      </c>
    </row>
    <row r="524" spans="1:2">
      <c r="A524" s="168">
        <v>37257</v>
      </c>
      <c r="B524" s="167">
        <v>1.14220445459737</v>
      </c>
    </row>
    <row r="525" spans="1:2">
      <c r="A525" s="168">
        <v>37288</v>
      </c>
      <c r="B525" s="167">
        <v>1.1376564277588199</v>
      </c>
    </row>
    <row r="526" spans="1:2">
      <c r="A526" s="168">
        <v>37316</v>
      </c>
      <c r="B526" s="167">
        <v>1.4755959137344099</v>
      </c>
    </row>
    <row r="527" spans="1:2">
      <c r="A527" s="168">
        <v>37347</v>
      </c>
      <c r="B527" s="167">
        <v>1.63934426229508</v>
      </c>
    </row>
    <row r="528" spans="1:2">
      <c r="A528" s="168">
        <v>37377</v>
      </c>
      <c r="B528" s="167">
        <v>1.1817670230726001</v>
      </c>
    </row>
    <row r="529" spans="1:2">
      <c r="A529" s="168">
        <v>37408</v>
      </c>
      <c r="B529" s="167">
        <v>1.0674157303370899</v>
      </c>
    </row>
    <row r="530" spans="1:2">
      <c r="A530" s="168">
        <v>37438</v>
      </c>
      <c r="B530" s="167">
        <v>1.46478873239436</v>
      </c>
    </row>
    <row r="531" spans="1:2">
      <c r="A531" s="168">
        <v>37469</v>
      </c>
      <c r="B531" s="167">
        <v>1.8028169014084401</v>
      </c>
    </row>
    <row r="532" spans="1:2">
      <c r="A532" s="168">
        <v>37500</v>
      </c>
      <c r="B532" s="167">
        <v>1.51430173864273</v>
      </c>
    </row>
    <row r="533" spans="1:2">
      <c r="A533" s="168">
        <v>37530</v>
      </c>
      <c r="B533" s="167">
        <v>2.02588632526732</v>
      </c>
    </row>
    <row r="534" spans="1:2">
      <c r="A534" s="168">
        <v>37561</v>
      </c>
      <c r="B534" s="167">
        <v>2.1984216459977501</v>
      </c>
    </row>
    <row r="535" spans="1:2">
      <c r="A535" s="168">
        <v>37591</v>
      </c>
      <c r="B535" s="167">
        <v>2.37691001697794</v>
      </c>
    </row>
    <row r="536" spans="1:2">
      <c r="A536" s="168">
        <v>37622</v>
      </c>
      <c r="B536" s="167">
        <v>2.5974025974026</v>
      </c>
    </row>
    <row r="537" spans="1:2">
      <c r="A537" s="168">
        <v>37653</v>
      </c>
      <c r="B537" s="167">
        <v>2.98087739032619</v>
      </c>
    </row>
    <row r="538" spans="1:2">
      <c r="A538" s="168">
        <v>37681</v>
      </c>
      <c r="B538" s="167">
        <v>3.0201342281878998</v>
      </c>
    </row>
    <row r="539" spans="1:2">
      <c r="A539" s="168">
        <v>37712</v>
      </c>
      <c r="B539" s="167">
        <v>2.2246941045606201</v>
      </c>
    </row>
    <row r="540" spans="1:2">
      <c r="A540" s="168">
        <v>37742</v>
      </c>
      <c r="B540" s="167">
        <v>2.0578420467185699</v>
      </c>
    </row>
    <row r="541" spans="1:2">
      <c r="A541" s="168">
        <v>37773</v>
      </c>
      <c r="B541" s="167">
        <v>2.1122846025569699</v>
      </c>
    </row>
    <row r="542" spans="1:2">
      <c r="A542" s="168">
        <v>37803</v>
      </c>
      <c r="B542" s="167">
        <v>2.1099389228206702</v>
      </c>
    </row>
    <row r="543" spans="1:2">
      <c r="A543" s="168">
        <v>37834</v>
      </c>
      <c r="B543" s="167">
        <v>2.1582733812949702</v>
      </c>
    </row>
    <row r="544" spans="1:2">
      <c r="A544" s="168">
        <v>37865</v>
      </c>
      <c r="B544" s="167">
        <v>2.3204419889502699</v>
      </c>
    </row>
    <row r="545" spans="1:2">
      <c r="A545" s="168">
        <v>37895</v>
      </c>
      <c r="B545" s="167">
        <v>2.0408163265306101</v>
      </c>
    </row>
    <row r="546" spans="1:2">
      <c r="A546" s="168">
        <v>37926</v>
      </c>
      <c r="B546" s="167">
        <v>1.7650303364589</v>
      </c>
    </row>
    <row r="547" spans="1:2">
      <c r="A547" s="168">
        <v>37956</v>
      </c>
      <c r="B547" s="167">
        <v>1.87949143173024</v>
      </c>
    </row>
    <row r="548" spans="1:2">
      <c r="A548" s="168">
        <v>37987</v>
      </c>
      <c r="B548" s="167">
        <v>1.9262520638414899</v>
      </c>
    </row>
    <row r="549" spans="1:2">
      <c r="A549" s="168">
        <v>38018</v>
      </c>
      <c r="B549" s="167">
        <v>1.6930638995084599</v>
      </c>
    </row>
    <row r="550" spans="1:2">
      <c r="A550" s="168">
        <v>38047</v>
      </c>
      <c r="B550" s="167">
        <v>1.7372421281216199</v>
      </c>
    </row>
    <row r="551" spans="1:2">
      <c r="A551" s="168">
        <v>38078</v>
      </c>
      <c r="B551" s="167">
        <v>2.2850924918389599</v>
      </c>
    </row>
    <row r="552" spans="1:2">
      <c r="A552" s="168">
        <v>38108</v>
      </c>
      <c r="B552" s="167">
        <v>3.0517711171662198</v>
      </c>
    </row>
    <row r="553" spans="1:2">
      <c r="A553" s="168">
        <v>38139</v>
      </c>
      <c r="B553" s="167">
        <v>3.2661948829613499</v>
      </c>
    </row>
    <row r="554" spans="1:2">
      <c r="A554" s="168">
        <v>38169</v>
      </c>
      <c r="B554" s="167">
        <v>2.9907558455682399</v>
      </c>
    </row>
    <row r="555" spans="1:2">
      <c r="A555" s="168">
        <v>38200</v>
      </c>
      <c r="B555" s="167">
        <v>2.6543878656554698</v>
      </c>
    </row>
    <row r="556" spans="1:2">
      <c r="A556" s="168">
        <v>38231</v>
      </c>
      <c r="B556" s="167">
        <v>2.5377969762419101</v>
      </c>
    </row>
    <row r="557" spans="1:2">
      <c r="A557" s="168">
        <v>38261</v>
      </c>
      <c r="B557" s="167">
        <v>3.1891891891891899</v>
      </c>
    </row>
    <row r="558" spans="1:2">
      <c r="A558" s="168">
        <v>38292</v>
      </c>
      <c r="B558" s="167">
        <v>3.5230352303523098</v>
      </c>
    </row>
    <row r="559" spans="1:2">
      <c r="A559" s="168">
        <v>38322</v>
      </c>
      <c r="B559" s="167">
        <v>3.2555615843733099</v>
      </c>
    </row>
    <row r="560" spans="1:2">
      <c r="A560" s="168">
        <v>38353</v>
      </c>
      <c r="B560" s="167">
        <v>2.9697624190064902</v>
      </c>
    </row>
    <row r="561" spans="1:2">
      <c r="A561" s="168">
        <v>38384</v>
      </c>
      <c r="B561" s="167">
        <v>3.0075187969925001</v>
      </c>
    </row>
    <row r="562" spans="1:2">
      <c r="A562" s="168">
        <v>38412</v>
      </c>
      <c r="B562" s="167">
        <v>3.1483457844183498</v>
      </c>
    </row>
    <row r="563" spans="1:2">
      <c r="A563" s="168">
        <v>38443</v>
      </c>
      <c r="B563" s="167">
        <v>3.5106382978723301</v>
      </c>
    </row>
    <row r="564" spans="1:2">
      <c r="A564" s="168">
        <v>38473</v>
      </c>
      <c r="B564" s="167">
        <v>2.8027498677948302</v>
      </c>
    </row>
    <row r="565" spans="1:2">
      <c r="A565" s="168">
        <v>38504</v>
      </c>
      <c r="B565" s="167">
        <v>2.5303110173958898</v>
      </c>
    </row>
    <row r="566" spans="1:2">
      <c r="A566" s="168">
        <v>38534</v>
      </c>
      <c r="B566" s="167">
        <v>3.1678986272439298</v>
      </c>
    </row>
    <row r="567" spans="1:2">
      <c r="A567" s="168">
        <v>38565</v>
      </c>
      <c r="B567" s="167">
        <v>3.6411609498680799</v>
      </c>
    </row>
    <row r="568" spans="1:2">
      <c r="A568" s="168">
        <v>38596</v>
      </c>
      <c r="B568" s="167">
        <v>4.6866771985255502</v>
      </c>
    </row>
    <row r="569" spans="1:2">
      <c r="A569" s="168">
        <v>38626</v>
      </c>
      <c r="B569" s="167">
        <v>4.3478260869565197</v>
      </c>
    </row>
    <row r="570" spans="1:2">
      <c r="A570" s="168">
        <v>38657</v>
      </c>
      <c r="B570" s="167">
        <v>3.4554973821989399</v>
      </c>
    </row>
    <row r="571" spans="1:2">
      <c r="A571" s="168">
        <v>38687</v>
      </c>
      <c r="B571" s="167">
        <v>3.4156594850236401</v>
      </c>
    </row>
    <row r="572" spans="1:2">
      <c r="A572" s="168">
        <v>38718</v>
      </c>
      <c r="B572" s="167">
        <v>3.9853172522286302</v>
      </c>
    </row>
    <row r="573" spans="1:2">
      <c r="A573" s="168">
        <v>38749</v>
      </c>
      <c r="B573" s="167">
        <v>3.5974973931178198</v>
      </c>
    </row>
    <row r="574" spans="1:2">
      <c r="A574" s="168">
        <v>38777</v>
      </c>
      <c r="B574" s="167">
        <v>3.3626487325401002</v>
      </c>
    </row>
    <row r="575" spans="1:2">
      <c r="A575" s="168">
        <v>38808</v>
      </c>
      <c r="B575" s="167">
        <v>3.5457348406988798</v>
      </c>
    </row>
    <row r="576" spans="1:2">
      <c r="A576" s="168">
        <v>38838</v>
      </c>
      <c r="B576" s="167">
        <v>4.1666666666666501</v>
      </c>
    </row>
    <row r="577" spans="1:2">
      <c r="A577" s="168">
        <v>38869</v>
      </c>
      <c r="B577" s="167">
        <v>4.3187660668380401</v>
      </c>
    </row>
    <row r="578" spans="1:2">
      <c r="A578" s="168">
        <v>38899</v>
      </c>
      <c r="B578" s="167">
        <v>4.1453428863869002</v>
      </c>
    </row>
    <row r="579" spans="1:2">
      <c r="A579" s="168">
        <v>38930</v>
      </c>
      <c r="B579" s="167">
        <v>3.8187372708757601</v>
      </c>
    </row>
    <row r="580" spans="1:2">
      <c r="A580" s="168">
        <v>38961</v>
      </c>
      <c r="B580" s="167">
        <v>2.06237424547282</v>
      </c>
    </row>
    <row r="581" spans="1:2">
      <c r="A581" s="168">
        <v>38991</v>
      </c>
      <c r="B581" s="167">
        <v>1.3052208835341499</v>
      </c>
    </row>
    <row r="582" spans="1:2">
      <c r="A582" s="168">
        <v>39022</v>
      </c>
      <c r="B582" s="167">
        <v>1.9736842105263199</v>
      </c>
    </row>
    <row r="583" spans="1:2">
      <c r="A583" s="168">
        <v>39052</v>
      </c>
      <c r="B583" s="167">
        <v>2.5406504065040698</v>
      </c>
    </row>
    <row r="584" spans="1:2">
      <c r="A584" s="168">
        <v>39083</v>
      </c>
      <c r="B584" s="167">
        <v>2.0756429652042399</v>
      </c>
    </row>
    <row r="585" spans="1:2">
      <c r="A585" s="168">
        <v>39114</v>
      </c>
      <c r="B585" s="167">
        <v>2.4151987921489799</v>
      </c>
    </row>
    <row r="586" spans="1:2">
      <c r="A586" s="168">
        <v>39142</v>
      </c>
      <c r="B586" s="167">
        <v>2.7787787787787801</v>
      </c>
    </row>
    <row r="587" spans="1:2">
      <c r="A587" s="168">
        <v>39173</v>
      </c>
      <c r="B587" s="167">
        <v>2.57369727047146</v>
      </c>
    </row>
    <row r="588" spans="1:2">
      <c r="A588" s="168">
        <v>39203</v>
      </c>
      <c r="B588" s="167">
        <v>2.69086419753088</v>
      </c>
    </row>
    <row r="589" spans="1:2">
      <c r="A589" s="168">
        <v>39234</v>
      </c>
      <c r="B589" s="167">
        <v>2.6870379497289401</v>
      </c>
    </row>
    <row r="590" spans="1:2">
      <c r="A590" s="168">
        <v>39264</v>
      </c>
      <c r="B590" s="167">
        <v>2.3582309582309602</v>
      </c>
    </row>
    <row r="591" spans="1:2">
      <c r="A591" s="168">
        <v>39295</v>
      </c>
      <c r="B591" s="167">
        <v>1.9700833742030299</v>
      </c>
    </row>
    <row r="592" spans="1:2">
      <c r="A592" s="168">
        <v>39326</v>
      </c>
      <c r="B592" s="167">
        <v>2.7550517496303701</v>
      </c>
    </row>
    <row r="593" spans="1:2">
      <c r="A593" s="168">
        <v>39356</v>
      </c>
      <c r="B593" s="167">
        <v>3.5361744301288298</v>
      </c>
    </row>
    <row r="594" spans="1:2">
      <c r="A594" s="168">
        <v>39387</v>
      </c>
      <c r="B594" s="167">
        <v>4.30620347394541</v>
      </c>
    </row>
    <row r="595" spans="1:2">
      <c r="A595" s="168">
        <v>39417</v>
      </c>
      <c r="B595" s="167">
        <v>4.0812685827552002</v>
      </c>
    </row>
    <row r="596" spans="1:2">
      <c r="A596" s="168">
        <v>39448</v>
      </c>
      <c r="B596" s="167">
        <v>4.28029404790135</v>
      </c>
    </row>
    <row r="597" spans="1:2">
      <c r="A597" s="168">
        <v>39479</v>
      </c>
      <c r="B597" s="167">
        <v>4.02655541304871</v>
      </c>
    </row>
    <row r="598" spans="1:2">
      <c r="A598" s="168">
        <v>39508</v>
      </c>
      <c r="B598" s="167">
        <v>3.9814562312516801</v>
      </c>
    </row>
    <row r="599" spans="1:2">
      <c r="A599" s="168">
        <v>39539</v>
      </c>
      <c r="B599" s="167">
        <v>3.9368897748275198</v>
      </c>
    </row>
    <row r="600" spans="1:2">
      <c r="A600" s="168">
        <v>39569</v>
      </c>
      <c r="B600" s="167">
        <v>4.17554304180352</v>
      </c>
    </row>
    <row r="601" spans="1:2">
      <c r="A601" s="168">
        <v>39600</v>
      </c>
      <c r="B601" s="167">
        <v>5.0217900476117201</v>
      </c>
    </row>
    <row r="602" spans="1:2">
      <c r="A602" s="168">
        <v>39630</v>
      </c>
      <c r="B602" s="167">
        <v>5.6001229002539601</v>
      </c>
    </row>
    <row r="603" spans="1:2">
      <c r="A603" s="168">
        <v>39661</v>
      </c>
      <c r="B603" s="167">
        <v>5.3718551152623499</v>
      </c>
    </row>
    <row r="604" spans="1:2">
      <c r="A604" s="168">
        <v>39692</v>
      </c>
      <c r="B604" s="167">
        <v>4.9369274305722</v>
      </c>
    </row>
    <row r="605" spans="1:2">
      <c r="A605" s="168">
        <v>39722</v>
      </c>
      <c r="B605" s="167">
        <v>3.6551862771374899</v>
      </c>
    </row>
    <row r="606" spans="1:2">
      <c r="A606" s="168">
        <v>39753</v>
      </c>
      <c r="B606" s="167">
        <v>1.0695746918073701</v>
      </c>
    </row>
    <row r="607" spans="1:2">
      <c r="A607" s="168">
        <v>39783</v>
      </c>
      <c r="B607" s="167">
        <v>9.1412900645589296E-2</v>
      </c>
    </row>
    <row r="608" spans="1:2">
      <c r="A608" s="168">
        <v>39814</v>
      </c>
      <c r="B608" s="167">
        <v>2.9846503695266601E-2</v>
      </c>
    </row>
    <row r="609" spans="1:2">
      <c r="A609" s="168">
        <v>39845</v>
      </c>
      <c r="B609" s="167">
        <v>0.236191088037882</v>
      </c>
    </row>
    <row r="610" spans="1:2">
      <c r="A610" s="168">
        <v>39873</v>
      </c>
      <c r="B610" s="167">
        <v>-0.38355625491738399</v>
      </c>
    </row>
    <row r="611" spans="1:2">
      <c r="A611" s="168">
        <v>39904</v>
      </c>
      <c r="B611" s="167">
        <v>-0.73688571521672397</v>
      </c>
    </row>
    <row r="612" spans="1:2">
      <c r="A612" s="168">
        <v>39934</v>
      </c>
      <c r="B612" s="167">
        <v>-1.28143579895861</v>
      </c>
    </row>
    <row r="613" spans="1:2">
      <c r="A613" s="168">
        <v>39965</v>
      </c>
      <c r="B613" s="167">
        <v>-1.42677604368987</v>
      </c>
    </row>
    <row r="614" spans="1:2">
      <c r="A614" s="168">
        <v>39995</v>
      </c>
      <c r="B614" s="167">
        <v>-2.0971613536760501</v>
      </c>
    </row>
    <row r="615" spans="1:2">
      <c r="A615" s="168">
        <v>40026</v>
      </c>
      <c r="B615" s="167">
        <v>-1.48434861196061</v>
      </c>
    </row>
    <row r="616" spans="1:2">
      <c r="A616" s="168">
        <v>40057</v>
      </c>
      <c r="B616" s="167">
        <v>-1.2862059666427501</v>
      </c>
    </row>
    <row r="617" spans="1:2">
      <c r="A617" s="168">
        <v>40087</v>
      </c>
      <c r="B617" s="167">
        <v>-0.182848277486101</v>
      </c>
    </row>
    <row r="618" spans="1:2">
      <c r="A618" s="168">
        <v>40118</v>
      </c>
      <c r="B618" s="167">
        <v>1.83829586913028</v>
      </c>
    </row>
    <row r="619" spans="1:2">
      <c r="A619" s="168">
        <v>40148</v>
      </c>
      <c r="B619" s="167">
        <v>2.7213311262058499</v>
      </c>
    </row>
    <row r="620" spans="1:2">
      <c r="A620" s="168">
        <v>40179</v>
      </c>
      <c r="B620" s="167">
        <v>2.6257086429576302</v>
      </c>
    </row>
    <row r="621" spans="1:2">
      <c r="A621" s="168">
        <v>40210</v>
      </c>
      <c r="B621" s="167">
        <v>2.1433317781453698</v>
      </c>
    </row>
    <row r="622" spans="1:2">
      <c r="A622" s="168">
        <v>40238</v>
      </c>
      <c r="B622" s="167">
        <v>2.3139594469439499</v>
      </c>
    </row>
    <row r="623" spans="1:2">
      <c r="A623" s="168">
        <v>40269</v>
      </c>
      <c r="B623" s="167">
        <v>2.2364471956480898</v>
      </c>
    </row>
    <row r="624" spans="1:2">
      <c r="A624" s="168">
        <v>40299</v>
      </c>
      <c r="B624" s="167">
        <v>2.02098608409396</v>
      </c>
    </row>
    <row r="625" spans="1:2">
      <c r="A625" s="168">
        <v>40330</v>
      </c>
      <c r="B625" s="167">
        <v>1.05334897284567</v>
      </c>
    </row>
    <row r="626" spans="1:2">
      <c r="A626" s="168">
        <v>40360</v>
      </c>
      <c r="B626" s="167">
        <v>1.23519277830146</v>
      </c>
    </row>
    <row r="627" spans="1:2">
      <c r="A627" s="168">
        <v>40391</v>
      </c>
      <c r="B627" s="167">
        <v>1.1481045618392001</v>
      </c>
    </row>
    <row r="628" spans="1:2">
      <c r="A628" s="168">
        <v>40422</v>
      </c>
      <c r="B628" s="167">
        <v>1.1436826581592801</v>
      </c>
    </row>
    <row r="629" spans="1:2">
      <c r="A629" s="168">
        <v>40452</v>
      </c>
      <c r="B629" s="167">
        <v>1.17218760552695</v>
      </c>
    </row>
    <row r="630" spans="1:2">
      <c r="A630" s="168">
        <v>40483</v>
      </c>
      <c r="B630" s="167">
        <v>1.1431609115702801</v>
      </c>
    </row>
    <row r="631" spans="1:2">
      <c r="A631" s="168">
        <v>40513</v>
      </c>
      <c r="B631" s="167">
        <v>1.4957235273143099</v>
      </c>
    </row>
    <row r="632" spans="1:2">
      <c r="A632" s="168">
        <v>40544</v>
      </c>
      <c r="B632" s="167">
        <v>1.6318468574487499</v>
      </c>
    </row>
    <row r="633" spans="1:2">
      <c r="A633" s="168">
        <v>40575</v>
      </c>
      <c r="B633" s="167">
        <v>2.1075846286581701</v>
      </c>
    </row>
    <row r="634" spans="1:2">
      <c r="A634" s="168">
        <v>40603</v>
      </c>
      <c r="B634" s="167">
        <v>2.68160326424087</v>
      </c>
    </row>
    <row r="635" spans="1:2">
      <c r="A635" s="168">
        <v>40634</v>
      </c>
      <c r="B635" s="167">
        <v>3.1636308592764601</v>
      </c>
    </row>
    <row r="636" spans="1:2">
      <c r="A636" s="168">
        <v>40664</v>
      </c>
      <c r="B636" s="167">
        <v>3.56864578463458</v>
      </c>
    </row>
    <row r="637" spans="1:2">
      <c r="A637" s="168">
        <v>40695</v>
      </c>
      <c r="B637" s="167">
        <v>3.55882825224234</v>
      </c>
    </row>
    <row r="638" spans="1:2">
      <c r="A638" s="168">
        <v>40725</v>
      </c>
      <c r="B638" s="167">
        <v>3.6287159822210802</v>
      </c>
    </row>
    <row r="639" spans="1:2">
      <c r="A639" s="168">
        <v>40756</v>
      </c>
      <c r="B639" s="167">
        <v>3.77120817911978</v>
      </c>
    </row>
    <row r="640" spans="1:2">
      <c r="A640" s="168">
        <v>40787</v>
      </c>
      <c r="B640" s="167">
        <v>3.8683568410403</v>
      </c>
    </row>
    <row r="641" spans="1:2">
      <c r="A641" s="168">
        <v>40817</v>
      </c>
      <c r="B641" s="167">
        <v>3.5251999213573999</v>
      </c>
    </row>
    <row r="642" spans="1:2">
      <c r="A642" s="168">
        <v>40848</v>
      </c>
      <c r="B642" s="167">
        <v>3.39437759080085</v>
      </c>
    </row>
    <row r="643" spans="1:2">
      <c r="A643" s="168">
        <v>40878</v>
      </c>
      <c r="B643" s="167">
        <v>2.9624188448710802</v>
      </c>
    </row>
    <row r="644" spans="1:2">
      <c r="A644" s="168">
        <v>40909</v>
      </c>
      <c r="B644" s="167">
        <v>2.9252167121508501</v>
      </c>
    </row>
    <row r="645" spans="1:2">
      <c r="A645" s="168">
        <v>40940</v>
      </c>
      <c r="B645" s="167">
        <v>2.8710987804382202</v>
      </c>
    </row>
    <row r="646" spans="1:2">
      <c r="A646" s="168">
        <v>40969</v>
      </c>
      <c r="B646" s="167">
        <v>2.65139819302177</v>
      </c>
    </row>
    <row r="647" spans="1:2">
      <c r="A647" s="168">
        <v>41000</v>
      </c>
      <c r="B647" s="167">
        <v>2.3027398112989399</v>
      </c>
    </row>
    <row r="648" spans="1:2">
      <c r="A648" s="168">
        <v>41030</v>
      </c>
      <c r="B648" s="167">
        <v>1.7042537749376001</v>
      </c>
    </row>
    <row r="649" spans="1:2">
      <c r="A649" s="168">
        <v>41061</v>
      </c>
      <c r="B649" s="167">
        <v>1.6639937622385099</v>
      </c>
    </row>
    <row r="650" spans="1:2">
      <c r="A650" s="168">
        <v>41091</v>
      </c>
      <c r="B650" s="167">
        <v>1.40845070422536</v>
      </c>
    </row>
    <row r="651" spans="1:2">
      <c r="A651" s="168">
        <v>41122</v>
      </c>
      <c r="B651" s="167">
        <v>1.69237899755015</v>
      </c>
    </row>
    <row r="652" spans="1:2">
      <c r="A652" s="168">
        <v>41153</v>
      </c>
      <c r="B652" s="167">
        <v>1.99128208066498</v>
      </c>
    </row>
    <row r="653" spans="1:2">
      <c r="A653" s="168">
        <v>41183</v>
      </c>
      <c r="B653" s="167">
        <v>2.1623435988711299</v>
      </c>
    </row>
    <row r="654" spans="1:2">
      <c r="A654" s="168">
        <v>41214</v>
      </c>
      <c r="B654" s="167">
        <v>1.76413384608586</v>
      </c>
    </row>
    <row r="655" spans="1:2">
      <c r="A655" s="168">
        <v>41244</v>
      </c>
      <c r="B655" s="167">
        <v>1.7410223687475599</v>
      </c>
    </row>
    <row r="656" spans="1:2">
      <c r="A656" s="168">
        <v>41275</v>
      </c>
      <c r="B656" s="167">
        <v>1.59486466812257</v>
      </c>
    </row>
    <row r="657" spans="1:2">
      <c r="A657" s="168">
        <v>41306</v>
      </c>
      <c r="B657" s="167">
        <v>1.97792350974904</v>
      </c>
    </row>
    <row r="658" spans="1:2">
      <c r="A658" s="168">
        <v>41334</v>
      </c>
      <c r="B658" s="167">
        <v>1.4738962125967701</v>
      </c>
    </row>
    <row r="659" spans="1:2">
      <c r="A659" s="168">
        <v>41365</v>
      </c>
      <c r="B659" s="167">
        <v>1.0630853814894501</v>
      </c>
    </row>
    <row r="660" spans="1:2">
      <c r="A660" s="168">
        <v>41395</v>
      </c>
      <c r="B660" s="167">
        <v>1.3619650588516801</v>
      </c>
    </row>
    <row r="661" spans="1:2">
      <c r="A661" s="168">
        <v>41426</v>
      </c>
      <c r="B661" s="167">
        <v>1.7544165453768801</v>
      </c>
    </row>
    <row r="662" spans="1:2">
      <c r="A662" s="168">
        <v>41456</v>
      </c>
      <c r="B662" s="167">
        <v>1.9606816118443999</v>
      </c>
    </row>
    <row r="663" spans="1:2">
      <c r="A663" s="168">
        <v>41487</v>
      </c>
      <c r="B663" s="167">
        <v>1.51836755954321</v>
      </c>
    </row>
    <row r="664" spans="1:2">
      <c r="A664" s="168">
        <v>41518</v>
      </c>
      <c r="B664" s="167">
        <v>1.1849252615521499</v>
      </c>
    </row>
    <row r="665" spans="1:2">
      <c r="A665" s="168">
        <v>41548</v>
      </c>
      <c r="B665" s="167">
        <v>0.96361270464340798</v>
      </c>
    </row>
    <row r="666" spans="1:2">
      <c r="A666" s="168">
        <v>41579</v>
      </c>
      <c r="B666" s="167">
        <v>1.23707220453391</v>
      </c>
    </row>
    <row r="667" spans="1:2">
      <c r="A667" s="168">
        <v>41609</v>
      </c>
      <c r="B667" s="167">
        <v>1.50173561961839</v>
      </c>
    </row>
    <row r="668" spans="1:2">
      <c r="A668" s="168">
        <v>41640</v>
      </c>
      <c r="B668" s="167">
        <v>1.57894736842106</v>
      </c>
    </row>
    <row r="669" spans="1:2">
      <c r="A669" s="168">
        <v>41671</v>
      </c>
      <c r="B669" s="167">
        <v>1.1263492501055199</v>
      </c>
    </row>
    <row r="670" spans="1:2">
      <c r="A670" s="168">
        <v>41699</v>
      </c>
      <c r="B670" s="167">
        <v>1.5122028757630901</v>
      </c>
    </row>
    <row r="671" spans="1:2">
      <c r="A671" s="168">
        <v>41730</v>
      </c>
      <c r="B671" s="167">
        <v>1.95285789851675</v>
      </c>
    </row>
    <row r="672" spans="1:2">
      <c r="A672" s="168">
        <v>41760</v>
      </c>
      <c r="B672" s="167">
        <v>2.1271115499366799</v>
      </c>
    </row>
    <row r="673" spans="1:2">
      <c r="A673" s="168">
        <v>41791</v>
      </c>
      <c r="B673" s="167">
        <v>2.0723413731670699</v>
      </c>
    </row>
    <row r="674" spans="1:2">
      <c r="A674" s="168">
        <v>41821</v>
      </c>
      <c r="B674" s="167">
        <v>1.9923286357643</v>
      </c>
    </row>
    <row r="675" spans="1:2">
      <c r="A675" s="168">
        <v>41852</v>
      </c>
      <c r="B675" s="167">
        <v>1.6996113341628201</v>
      </c>
    </row>
    <row r="676" spans="1:2">
      <c r="A676" s="168">
        <v>41883</v>
      </c>
      <c r="B676" s="167">
        <v>1.6579186757150499</v>
      </c>
    </row>
    <row r="677" spans="1:2">
      <c r="A677" s="168">
        <v>41913</v>
      </c>
      <c r="B677" s="167">
        <v>1.6643402156320499</v>
      </c>
    </row>
    <row r="678" spans="1:2">
      <c r="A678" s="168">
        <v>41944</v>
      </c>
      <c r="B678" s="167">
        <v>1.3223551823708799</v>
      </c>
    </row>
    <row r="679" spans="1:2">
      <c r="A679" s="168">
        <v>41974</v>
      </c>
      <c r="B679" s="167">
        <v>0.75649326965573904</v>
      </c>
    </row>
    <row r="680" spans="1:2">
      <c r="A680" s="168">
        <v>42005</v>
      </c>
      <c r="B680" s="167">
        <v>-8.9348313069645705E-2</v>
      </c>
    </row>
    <row r="681" spans="1:2">
      <c r="A681" s="168">
        <v>42036</v>
      </c>
      <c r="B681" s="167">
        <v>-2.51298018153031E-2</v>
      </c>
    </row>
    <row r="682" spans="1:2">
      <c r="A682" s="168">
        <v>42064</v>
      </c>
      <c r="B682" s="167">
        <v>-7.3637390866418101E-2</v>
      </c>
    </row>
    <row r="683" spans="1:2">
      <c r="A683" s="168">
        <v>42095</v>
      </c>
      <c r="B683" s="167">
        <v>-0.19951744617668499</v>
      </c>
    </row>
    <row r="684" spans="1:2">
      <c r="A684" s="168">
        <v>42125</v>
      </c>
      <c r="B684" s="167">
        <v>-3.9932744850777899E-2</v>
      </c>
    </row>
    <row r="685" spans="1:2">
      <c r="A685" s="168">
        <v>42156</v>
      </c>
      <c r="B685" s="167">
        <v>0.123771203685436</v>
      </c>
    </row>
    <row r="686" spans="1:2">
      <c r="A686" s="168">
        <v>42186</v>
      </c>
      <c r="B686" s="167">
        <v>0.16956977964324299</v>
      </c>
    </row>
    <row r="687" spans="1:2">
      <c r="A687" s="168">
        <v>42217</v>
      </c>
      <c r="B687" s="167">
        <v>0.195079293005743</v>
      </c>
    </row>
    <row r="688" spans="1:2">
      <c r="A688" s="168">
        <v>42248</v>
      </c>
      <c r="B688" s="167">
        <v>-3.6129747805970898E-2</v>
      </c>
    </row>
    <row r="689" spans="1:2">
      <c r="A689" s="168">
        <v>42278</v>
      </c>
      <c r="B689" s="167">
        <v>0.17057443573555001</v>
      </c>
    </row>
    <row r="690" spans="1:2">
      <c r="A690" s="168">
        <v>42309</v>
      </c>
      <c r="B690" s="167">
        <v>0.50179757866790198</v>
      </c>
    </row>
    <row r="691" spans="1:2">
      <c r="A691" s="168">
        <v>42339</v>
      </c>
      <c r="B691" s="167">
        <v>0.72951978604159395</v>
      </c>
    </row>
    <row r="692" spans="1:2">
      <c r="A692" s="168">
        <v>42370</v>
      </c>
      <c r="B692" s="167">
        <v>1.37308681383098</v>
      </c>
    </row>
    <row r="693" spans="1:2">
      <c r="A693" s="168">
        <v>42401</v>
      </c>
      <c r="B693" s="167">
        <v>1.0177997801654599</v>
      </c>
    </row>
    <row r="694" spans="1:2">
      <c r="A694" s="168">
        <v>42430</v>
      </c>
      <c r="B694" s="167">
        <v>0.85253622114272798</v>
      </c>
    </row>
    <row r="695" spans="1:2">
      <c r="A695" s="168">
        <v>42461</v>
      </c>
      <c r="B695" s="167">
        <v>1.1251104188944101</v>
      </c>
    </row>
    <row r="696" spans="1:2">
      <c r="A696" s="168">
        <v>42491</v>
      </c>
      <c r="B696" s="167">
        <v>1.01932255419357</v>
      </c>
    </row>
    <row r="697" spans="1:2">
      <c r="A697" s="168">
        <v>42522</v>
      </c>
      <c r="B697" s="167">
        <v>0.99732649452308697</v>
      </c>
    </row>
    <row r="698" spans="1:2">
      <c r="A698" s="168">
        <v>42552</v>
      </c>
      <c r="B698" s="167">
        <v>0.82713887049869905</v>
      </c>
    </row>
    <row r="699" spans="1:2">
      <c r="A699" s="168">
        <v>42583</v>
      </c>
      <c r="B699" s="167">
        <v>1.06287450276103</v>
      </c>
    </row>
    <row r="700" spans="1:2">
      <c r="A700" s="168">
        <v>42614</v>
      </c>
      <c r="B700" s="167">
        <v>1.46378364748158</v>
      </c>
    </row>
    <row r="701" spans="1:2">
      <c r="A701" s="168">
        <v>42644</v>
      </c>
      <c r="B701" s="167">
        <v>1.63598752091762</v>
      </c>
    </row>
    <row r="702" spans="1:2">
      <c r="A702" s="168">
        <v>42675</v>
      </c>
      <c r="B702" s="167">
        <v>1.6925371625037799</v>
      </c>
    </row>
    <row r="703" spans="1:2">
      <c r="A703" s="168">
        <v>42705</v>
      </c>
      <c r="B703" s="167">
        <v>2.0746221329669101</v>
      </c>
    </row>
    <row r="704" spans="1:2">
      <c r="A704" s="168">
        <v>42736</v>
      </c>
      <c r="B704" s="167">
        <v>2.5000422090529901</v>
      </c>
    </row>
    <row r="705" spans="1:2">
      <c r="A705" s="168">
        <v>42767</v>
      </c>
      <c r="B705" s="167">
        <v>2.73795817148932</v>
      </c>
    </row>
    <row r="706" spans="1:2">
      <c r="A706" s="168">
        <v>42795</v>
      </c>
      <c r="B706" s="167">
        <v>2.3806124334402599</v>
      </c>
    </row>
    <row r="707" spans="1:2">
      <c r="A707" s="168">
        <v>42826</v>
      </c>
      <c r="B707" s="167">
        <v>2.1996898784173</v>
      </c>
    </row>
    <row r="708" spans="1:2">
      <c r="A708" s="168">
        <v>42856</v>
      </c>
      <c r="B708" s="167">
        <v>1.8748777208413501</v>
      </c>
    </row>
    <row r="709" spans="1:2">
      <c r="A709" s="168">
        <v>42887</v>
      </c>
      <c r="B709" s="167">
        <v>1.6334879552564701</v>
      </c>
    </row>
    <row r="710" spans="1:2">
      <c r="A710" s="168">
        <v>42917</v>
      </c>
      <c r="B710" s="167">
        <v>1.7279784563725</v>
      </c>
    </row>
    <row r="711" spans="1:2">
      <c r="A711" s="168">
        <v>42948</v>
      </c>
      <c r="B711" s="167">
        <v>1.9389742120581801</v>
      </c>
    </row>
    <row r="712" spans="1:2">
      <c r="A712" s="168">
        <v>42979</v>
      </c>
      <c r="B712" s="167">
        <v>2.23296386500322</v>
      </c>
    </row>
    <row r="713" spans="1:2">
      <c r="A713" s="168">
        <v>43009</v>
      </c>
      <c r="B713" s="167">
        <v>2.0411287019761799</v>
      </c>
    </row>
    <row r="714" spans="1:2">
      <c r="A714" s="168">
        <v>43040</v>
      </c>
      <c r="B714" s="167">
        <v>2.2025829386831801</v>
      </c>
    </row>
    <row r="715" spans="1:2">
      <c r="A715" s="168">
        <v>43070</v>
      </c>
      <c r="B715" s="167">
        <v>2.1090824745684098</v>
      </c>
    </row>
    <row r="716" spans="1:2">
      <c r="A716" s="168">
        <v>43101</v>
      </c>
      <c r="B716" s="167">
        <v>2.0705076202751802</v>
      </c>
    </row>
    <row r="717" spans="1:2">
      <c r="A717" s="168">
        <v>43132</v>
      </c>
      <c r="B717" s="167">
        <v>2.2117954212386501</v>
      </c>
    </row>
    <row r="718" spans="1:2">
      <c r="A718" s="168">
        <v>43160</v>
      </c>
      <c r="B718" s="167">
        <v>2.3597114039729199</v>
      </c>
    </row>
    <row r="719" spans="1:2">
      <c r="A719" s="168">
        <v>43191</v>
      </c>
      <c r="B719" s="167">
        <v>2.46274394333479</v>
      </c>
    </row>
    <row r="720" spans="1:2">
      <c r="A720" s="168">
        <v>43221</v>
      </c>
      <c r="B720" s="167">
        <v>2.8010117148075699</v>
      </c>
    </row>
    <row r="721" spans="1:2">
      <c r="A721" s="168">
        <v>43252</v>
      </c>
      <c r="B721" s="167">
        <v>2.8715478353166799</v>
      </c>
    </row>
    <row r="722" spans="1:2">
      <c r="A722" s="168">
        <v>43282</v>
      </c>
      <c r="B722" s="167">
        <v>2.9495150866471098</v>
      </c>
    </row>
    <row r="723" spans="1:2">
      <c r="A723" s="168">
        <v>43313</v>
      </c>
      <c r="B723" s="167">
        <v>2.6991801041874499</v>
      </c>
    </row>
    <row r="724" spans="1:2">
      <c r="A724" s="168">
        <v>43344</v>
      </c>
      <c r="B724" s="167">
        <v>2.27697219419899</v>
      </c>
    </row>
    <row r="725" spans="1:2">
      <c r="A725" s="168">
        <v>43374</v>
      </c>
      <c r="B725" s="167">
        <v>2.52246992860703</v>
      </c>
    </row>
    <row r="726" spans="1:2">
      <c r="A726" s="168">
        <v>43405</v>
      </c>
      <c r="B726" s="167">
        <v>2.1766010321524001</v>
      </c>
    </row>
    <row r="727" spans="1:2">
      <c r="A727" s="168">
        <v>43435</v>
      </c>
      <c r="B727" s="167">
        <v>1.9101588486313601</v>
      </c>
    </row>
    <row r="728" spans="1:2">
      <c r="A728" s="168">
        <v>43466</v>
      </c>
      <c r="B728" s="167">
        <v>1.5512351381991001</v>
      </c>
    </row>
    <row r="729" spans="1:2">
      <c r="A729" s="168">
        <v>43497</v>
      </c>
      <c r="B729" s="167">
        <v>1.5201352659333101</v>
      </c>
    </row>
    <row r="730" spans="1:2">
      <c r="A730" s="168">
        <v>43525</v>
      </c>
      <c r="B730" s="167">
        <v>1.86252274056917</v>
      </c>
    </row>
    <row r="731" spans="1:2">
      <c r="A731" s="168">
        <v>43556</v>
      </c>
      <c r="B731" s="167">
        <v>1.9964397755302601</v>
      </c>
    </row>
    <row r="732" spans="1:2">
      <c r="A732" s="168">
        <v>43586</v>
      </c>
      <c r="B732" s="167">
        <v>1.7902284687663901</v>
      </c>
    </row>
    <row r="733" spans="1:2">
      <c r="A733" s="168">
        <v>43617</v>
      </c>
      <c r="B733" s="167">
        <v>1.6484846560762401</v>
      </c>
    </row>
    <row r="734" spans="1:2">
      <c r="A734" s="168">
        <v>43647</v>
      </c>
      <c r="B734" s="167">
        <v>1.8114648063935099</v>
      </c>
    </row>
    <row r="735" spans="1:2">
      <c r="A735" s="168">
        <v>43678</v>
      </c>
      <c r="B735" s="167">
        <v>1.7497798894291601</v>
      </c>
    </row>
    <row r="736" spans="1:2">
      <c r="A736" s="168">
        <v>43709</v>
      </c>
      <c r="B736" s="167">
        <v>1.7113045131695199</v>
      </c>
    </row>
    <row r="737" spans="1:2">
      <c r="A737" s="168">
        <v>43739</v>
      </c>
      <c r="B737" s="167">
        <v>1.7640429444214001</v>
      </c>
    </row>
    <row r="738" spans="1:2">
      <c r="A738" s="168">
        <v>43770</v>
      </c>
      <c r="B738" s="167">
        <v>2.05127798189161</v>
      </c>
    </row>
    <row r="739" spans="1:2">
      <c r="A739" s="168">
        <v>43800</v>
      </c>
      <c r="B739" s="167">
        <v>2.2851297401217199</v>
      </c>
    </row>
    <row r="740" spans="1:2">
      <c r="A740" s="168">
        <v>43831</v>
      </c>
      <c r="B740" s="167">
        <v>2.4865719552504499</v>
      </c>
    </row>
    <row r="741" spans="1:2">
      <c r="A741" s="168">
        <v>43862</v>
      </c>
      <c r="B741" s="167">
        <v>2.3348735639459401</v>
      </c>
    </row>
    <row r="742" spans="1:2">
      <c r="A742" s="168">
        <v>43891</v>
      </c>
      <c r="B742" s="167">
        <v>1.53932699191982</v>
      </c>
    </row>
    <row r="743" spans="1:2">
      <c r="A743" s="168">
        <v>43922</v>
      </c>
      <c r="B743" s="167">
        <v>0.32909668633681499</v>
      </c>
    </row>
    <row r="744" spans="1:2">
      <c r="A744" s="168">
        <v>43952</v>
      </c>
      <c r="B744" s="167">
        <v>0.117926370210715</v>
      </c>
    </row>
    <row r="745" spans="1:2">
      <c r="A745" s="168">
        <v>43983</v>
      </c>
      <c r="B745" s="167">
        <v>0.645733047555484</v>
      </c>
    </row>
    <row r="746" spans="1:2">
      <c r="A746" s="168">
        <v>44013</v>
      </c>
      <c r="B746" s="167">
        <v>0.98608182530372102</v>
      </c>
    </row>
    <row r="747" spans="1:2">
      <c r="A747" s="168">
        <v>44044</v>
      </c>
      <c r="B747" s="167">
        <v>1.3096453823306999</v>
      </c>
    </row>
    <row r="748" spans="1:2">
      <c r="A748" s="168">
        <v>44075</v>
      </c>
      <c r="B748" s="167">
        <v>1.3713248610564699</v>
      </c>
    </row>
    <row r="749" spans="1:2">
      <c r="A749" s="168">
        <v>44105</v>
      </c>
      <c r="B749" s="167">
        <v>1.18206616772747</v>
      </c>
    </row>
    <row r="750" spans="1:2">
      <c r="A750" s="168">
        <v>44136</v>
      </c>
      <c r="B750" s="167">
        <v>1.17453578426798</v>
      </c>
    </row>
    <row r="751" spans="1:2">
      <c r="A751" s="168">
        <v>44166</v>
      </c>
      <c r="B751" s="167">
        <v>1.3620054947193201</v>
      </c>
    </row>
    <row r="752" spans="1:2">
      <c r="A752" s="168">
        <v>44197</v>
      </c>
      <c r="B752" s="167">
        <v>1.39976974156009</v>
      </c>
    </row>
    <row r="753" spans="1:2">
      <c r="A753" s="168">
        <v>44228</v>
      </c>
      <c r="B753" s="167">
        <v>1.67621521737451</v>
      </c>
    </row>
    <row r="754" spans="1:2">
      <c r="A754" s="168">
        <v>44256</v>
      </c>
      <c r="B754" s="167">
        <v>2.6197625089591901</v>
      </c>
    </row>
    <row r="755" spans="1:2">
      <c r="A755" s="168">
        <v>44287</v>
      </c>
      <c r="B755" s="167">
        <v>4.1596948387021202</v>
      </c>
    </row>
    <row r="756" spans="1:2">
      <c r="A756" s="168">
        <v>44317</v>
      </c>
      <c r="B756" s="167">
        <v>4.9927065375944704</v>
      </c>
    </row>
    <row r="757" spans="1:2">
      <c r="A757" s="168">
        <v>44348</v>
      </c>
      <c r="B757" s="167">
        <v>5.3914514133213398</v>
      </c>
    </row>
    <row r="758" spans="1:2">
      <c r="A758" s="168">
        <v>44378</v>
      </c>
      <c r="B758" s="167">
        <v>5.3654752393853897</v>
      </c>
    </row>
    <row r="759" spans="1:2">
      <c r="A759" s="168">
        <v>44409</v>
      </c>
      <c r="B759" s="167">
        <v>5.25127155487501</v>
      </c>
    </row>
    <row r="760" spans="1:2">
      <c r="A760" s="168">
        <v>44440</v>
      </c>
      <c r="B760" s="167">
        <v>5.3903488550791598</v>
      </c>
    </row>
    <row r="761" spans="1:2">
      <c r="A761" s="168">
        <v>44470</v>
      </c>
      <c r="B761" s="167">
        <v>6.2218689033289003</v>
      </c>
    </row>
    <row r="762" spans="1:2">
      <c r="A762" s="168">
        <v>44501</v>
      </c>
      <c r="B762" s="167">
        <v>6.8090028398064799</v>
      </c>
    </row>
    <row r="763" spans="1:2">
      <c r="A763" s="168">
        <v>44531</v>
      </c>
      <c r="B763" s="167">
        <v>7.0364028655451296</v>
      </c>
    </row>
    <row r="764" spans="1:2">
      <c r="A764" s="168">
        <v>44562</v>
      </c>
      <c r="B764" s="167">
        <v>7.4798724682891304</v>
      </c>
    </row>
    <row r="765" spans="1:2">
      <c r="A765" s="168">
        <v>44593</v>
      </c>
      <c r="B765" s="167">
        <v>7.8710638977392797</v>
      </c>
    </row>
    <row r="766" spans="1:2">
      <c r="A766" s="168">
        <v>44621</v>
      </c>
      <c r="B766" s="167">
        <v>8.5424555548424408</v>
      </c>
    </row>
    <row r="767" spans="1:2">
      <c r="A767" s="168">
        <v>44652</v>
      </c>
      <c r="B767" s="167">
        <v>8.2586293408823597</v>
      </c>
    </row>
    <row r="768" spans="1:2">
      <c r="A768" s="168">
        <v>44682</v>
      </c>
      <c r="B768" s="167">
        <v>8.5815115436765108</v>
      </c>
    </row>
    <row r="769" spans="1:2">
      <c r="A769" s="168">
        <v>44713</v>
      </c>
      <c r="B769" s="167">
        <v>9.0597579647841595</v>
      </c>
    </row>
    <row r="770" spans="1:2">
      <c r="A770" s="168">
        <v>44743</v>
      </c>
      <c r="B770" s="167">
        <v>8.5248147456255303</v>
      </c>
    </row>
    <row r="771" spans="1:2">
      <c r="A771" s="168">
        <v>44774</v>
      </c>
      <c r="B771" s="167">
        <v>8.2626925031162308</v>
      </c>
    </row>
    <row r="772" spans="1:2">
      <c r="A772" s="168">
        <v>44805</v>
      </c>
      <c r="B772" s="167">
        <v>8.2016696438336201</v>
      </c>
    </row>
    <row r="773" spans="1:2">
      <c r="A773" s="168">
        <v>44835</v>
      </c>
      <c r="B773" s="167">
        <v>7.7454273308049002</v>
      </c>
    </row>
    <row r="774" spans="1:2">
      <c r="A774" s="168">
        <v>44866</v>
      </c>
      <c r="B774" s="167">
        <v>7.1103227941917302</v>
      </c>
    </row>
    <row r="775" spans="1:2">
      <c r="A775" s="168">
        <v>44896</v>
      </c>
      <c r="B775" s="167">
        <v>6.4544013314108204</v>
      </c>
    </row>
    <row r="776" spans="1:2">
      <c r="A776" s="168">
        <v>44927</v>
      </c>
      <c r="B776" s="167">
        <v>6.4101469688562496</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3FE24-7FAF-4FE7-912A-40F5186A0352}">
  <sheetPr codeName="Sheet21"/>
  <dimension ref="A1:L318"/>
  <sheetViews>
    <sheetView topLeftCell="A290" workbookViewId="0">
      <selection activeCell="A318" sqref="A318"/>
    </sheetView>
  </sheetViews>
  <sheetFormatPr defaultColWidth="8.71875" defaultRowHeight="14.4"/>
  <cols>
    <col min="1" max="1" width="10.38671875" style="167" customWidth="1"/>
    <col min="2" max="16384" width="8.71875" style="167"/>
  </cols>
  <sheetData>
    <row r="1" spans="1:12">
      <c r="A1" s="167" t="s">
        <v>1444</v>
      </c>
      <c r="B1" s="167" t="s">
        <v>1519</v>
      </c>
      <c r="C1" s="167" t="s">
        <v>1520</v>
      </c>
      <c r="D1" s="167" t="s">
        <v>1521</v>
      </c>
      <c r="E1" s="167" t="s">
        <v>1589</v>
      </c>
      <c r="F1" s="167" t="s">
        <v>1590</v>
      </c>
      <c r="G1" s="167" t="s">
        <v>1446</v>
      </c>
      <c r="H1" s="167" t="s">
        <v>1523</v>
      </c>
      <c r="I1" s="167" t="s">
        <v>1450</v>
      </c>
      <c r="J1" s="167" t="s">
        <v>1448</v>
      </c>
      <c r="K1" s="167" t="s">
        <v>1591</v>
      </c>
    </row>
    <row r="2" spans="1:12">
      <c r="A2" s="167" t="s">
        <v>1454</v>
      </c>
      <c r="B2" s="167" t="s">
        <v>1455</v>
      </c>
      <c r="C2" s="167" t="s">
        <v>1526</v>
      </c>
    </row>
    <row r="3" spans="1:12">
      <c r="A3" s="167" t="s">
        <v>1457</v>
      </c>
      <c r="B3" s="167" t="s">
        <v>1527</v>
      </c>
      <c r="C3" s="167" t="s">
        <v>1528</v>
      </c>
      <c r="D3" s="167" t="s">
        <v>1529</v>
      </c>
      <c r="E3" s="167" t="s">
        <v>1530</v>
      </c>
      <c r="F3" s="167" t="s">
        <v>1531</v>
      </c>
    </row>
    <row r="4" spans="1:12">
      <c r="A4" s="167" t="s">
        <v>1463</v>
      </c>
      <c r="B4" s="167" t="s">
        <v>1532</v>
      </c>
      <c r="C4" s="167" t="s">
        <v>1461</v>
      </c>
      <c r="D4" s="167" t="s">
        <v>1533</v>
      </c>
    </row>
    <row r="5" spans="1:12">
      <c r="A5" s="167" t="s">
        <v>1469</v>
      </c>
      <c r="B5" s="167" t="s">
        <v>1470</v>
      </c>
      <c r="C5" s="167" t="s">
        <v>1472</v>
      </c>
      <c r="D5" s="167" t="s">
        <v>1473</v>
      </c>
    </row>
    <row r="6" spans="1:12">
      <c r="A6" s="167" t="s">
        <v>1474</v>
      </c>
      <c r="B6" s="167" t="s">
        <v>1534</v>
      </c>
    </row>
    <row r="7" spans="1:12">
      <c r="A7" s="167" t="s">
        <v>1475</v>
      </c>
      <c r="B7" s="167" t="s">
        <v>1535</v>
      </c>
      <c r="C7" s="167" t="s">
        <v>1536</v>
      </c>
      <c r="D7" s="167" t="s">
        <v>1537</v>
      </c>
      <c r="E7" s="167" t="s">
        <v>1538</v>
      </c>
      <c r="F7" s="167" t="s">
        <v>1539</v>
      </c>
      <c r="G7" s="167" t="s">
        <v>856</v>
      </c>
      <c r="H7" s="167" t="s">
        <v>1540</v>
      </c>
    </row>
    <row r="8" spans="1:12">
      <c r="A8" s="167" t="s">
        <v>787</v>
      </c>
      <c r="B8" s="167" t="s">
        <v>1481</v>
      </c>
      <c r="C8" s="168">
        <v>17533</v>
      </c>
      <c r="D8" s="167" t="s">
        <v>1482</v>
      </c>
      <c r="E8" s="168">
        <v>44835</v>
      </c>
    </row>
    <row r="9" spans="1:12">
      <c r="A9" s="167" t="s">
        <v>1483</v>
      </c>
      <c r="B9" s="167" t="s">
        <v>1484</v>
      </c>
      <c r="C9" s="168">
        <v>44959</v>
      </c>
      <c r="D9" s="169">
        <v>0.31666666666666665</v>
      </c>
      <c r="E9" s="167" t="s">
        <v>1541</v>
      </c>
      <c r="F9" s="167" t="s">
        <v>1592</v>
      </c>
    </row>
    <row r="10" spans="1:12">
      <c r="A10" s="167" t="s">
        <v>1487</v>
      </c>
      <c r="B10" s="167" t="s">
        <v>1522</v>
      </c>
      <c r="C10" s="167" t="s">
        <v>1446</v>
      </c>
      <c r="D10" s="167" t="s">
        <v>1523</v>
      </c>
      <c r="E10" s="167" t="s">
        <v>1542</v>
      </c>
      <c r="F10" s="167" t="s">
        <v>1451</v>
      </c>
      <c r="G10" s="167" t="s">
        <v>1543</v>
      </c>
      <c r="H10" s="167" t="s">
        <v>1544</v>
      </c>
      <c r="I10" s="167" t="s">
        <v>1545</v>
      </c>
      <c r="J10" s="167" t="s">
        <v>1546</v>
      </c>
      <c r="K10" s="167" t="s">
        <v>1547</v>
      </c>
      <c r="L10" s="167" t="s">
        <v>1451</v>
      </c>
    </row>
    <row r="11" spans="1:12">
      <c r="B11" s="167" t="s">
        <v>1545</v>
      </c>
      <c r="C11" s="167" t="s">
        <v>1548</v>
      </c>
    </row>
    <row r="13" spans="1:12">
      <c r="B13" s="167" t="s">
        <v>1549</v>
      </c>
      <c r="C13" s="167" t="s">
        <v>1550</v>
      </c>
      <c r="D13" s="167" t="s">
        <v>1551</v>
      </c>
      <c r="E13" s="167" t="s">
        <v>1552</v>
      </c>
      <c r="F13" s="167" t="s">
        <v>1553</v>
      </c>
      <c r="G13" s="167" t="s">
        <v>1482</v>
      </c>
    </row>
    <row r="14" spans="1:12">
      <c r="B14" s="167" t="s">
        <v>1554</v>
      </c>
    </row>
    <row r="16" spans="1:12">
      <c r="B16" s="167" t="s">
        <v>1555</v>
      </c>
      <c r="C16" s="167" t="s">
        <v>1556</v>
      </c>
      <c r="D16" s="167" t="s">
        <v>1526</v>
      </c>
    </row>
    <row r="18" spans="1:2">
      <c r="A18" s="167" t="s">
        <v>1516</v>
      </c>
      <c r="B18" s="167" t="s">
        <v>1517</v>
      </c>
    </row>
    <row r="19" spans="1:2">
      <c r="A19" s="168">
        <v>17533</v>
      </c>
      <c r="B19" s="167">
        <v>7.4</v>
      </c>
    </row>
    <row r="20" spans="1:2">
      <c r="A20" s="168">
        <v>17624</v>
      </c>
      <c r="B20" s="167">
        <v>7.7</v>
      </c>
    </row>
    <row r="21" spans="1:2">
      <c r="A21" s="168">
        <v>17715</v>
      </c>
      <c r="B21" s="167">
        <v>5</v>
      </c>
    </row>
    <row r="22" spans="1:2">
      <c r="A22" s="168">
        <v>17807</v>
      </c>
      <c r="B22" s="167">
        <v>6.9</v>
      </c>
    </row>
    <row r="23" spans="1:2">
      <c r="A23" s="168">
        <v>17899</v>
      </c>
      <c r="B23" s="167">
        <v>4.3</v>
      </c>
    </row>
    <row r="24" spans="1:2">
      <c r="A24" s="168">
        <v>17989</v>
      </c>
      <c r="B24" s="167">
        <v>1.6</v>
      </c>
    </row>
    <row r="25" spans="1:2">
      <c r="A25" s="168">
        <v>18080</v>
      </c>
      <c r="B25" s="167">
        <v>-0.6</v>
      </c>
    </row>
    <row r="26" spans="1:2">
      <c r="A26" s="168">
        <v>18172</v>
      </c>
      <c r="B26" s="167">
        <v>-2.2000000000000002</v>
      </c>
    </row>
    <row r="27" spans="1:2">
      <c r="A27" s="168">
        <v>18264</v>
      </c>
      <c r="B27" s="167">
        <v>-1.2</v>
      </c>
    </row>
    <row r="28" spans="1:2">
      <c r="A28" s="168">
        <v>18354</v>
      </c>
      <c r="B28" s="167">
        <v>0.1</v>
      </c>
    </row>
    <row r="29" spans="1:2">
      <c r="A29" s="168">
        <v>18445</v>
      </c>
      <c r="B29" s="167">
        <v>1.5</v>
      </c>
    </row>
    <row r="30" spans="1:2">
      <c r="A30" s="168">
        <v>18537</v>
      </c>
      <c r="B30" s="167">
        <v>3.9</v>
      </c>
    </row>
    <row r="31" spans="1:2">
      <c r="A31" s="168">
        <v>18629</v>
      </c>
      <c r="B31" s="167">
        <v>6.4</v>
      </c>
    </row>
    <row r="32" spans="1:2">
      <c r="A32" s="168">
        <v>18719</v>
      </c>
      <c r="B32" s="167">
        <v>7.5</v>
      </c>
    </row>
    <row r="33" spans="1:2">
      <c r="A33" s="168">
        <v>18810</v>
      </c>
      <c r="B33" s="167">
        <v>7</v>
      </c>
    </row>
    <row r="34" spans="1:2">
      <c r="A34" s="168">
        <v>18902</v>
      </c>
      <c r="B34" s="167">
        <v>5.5</v>
      </c>
    </row>
    <row r="35" spans="1:2">
      <c r="A35" s="168">
        <v>18994</v>
      </c>
      <c r="B35" s="167">
        <v>2.7</v>
      </c>
    </row>
    <row r="36" spans="1:2">
      <c r="A36" s="168">
        <v>19085</v>
      </c>
      <c r="B36" s="167">
        <v>1.5</v>
      </c>
    </row>
    <row r="37" spans="1:2">
      <c r="A37" s="168">
        <v>19176</v>
      </c>
      <c r="B37" s="167">
        <v>2</v>
      </c>
    </row>
    <row r="38" spans="1:2">
      <c r="A38" s="168">
        <v>19268</v>
      </c>
      <c r="B38" s="167">
        <v>2</v>
      </c>
    </row>
    <row r="39" spans="1:2">
      <c r="A39" s="168">
        <v>19360</v>
      </c>
      <c r="B39" s="167">
        <v>2</v>
      </c>
    </row>
    <row r="40" spans="1:2">
      <c r="A40" s="168">
        <v>19450</v>
      </c>
      <c r="B40" s="167">
        <v>2.6</v>
      </c>
    </row>
    <row r="41" spans="1:2">
      <c r="A41" s="168">
        <v>19541</v>
      </c>
      <c r="B41" s="167">
        <v>1.8</v>
      </c>
    </row>
    <row r="42" spans="1:2">
      <c r="A42" s="168">
        <v>19633</v>
      </c>
      <c r="B42" s="167">
        <v>1.3</v>
      </c>
    </row>
    <row r="43" spans="1:2">
      <c r="A43" s="168">
        <v>19725</v>
      </c>
      <c r="B43" s="167">
        <v>1.5</v>
      </c>
    </row>
    <row r="44" spans="1:2">
      <c r="A44" s="168">
        <v>19815</v>
      </c>
      <c r="B44" s="167">
        <v>1</v>
      </c>
    </row>
    <row r="45" spans="1:2">
      <c r="A45" s="168">
        <v>19906</v>
      </c>
      <c r="B45" s="167">
        <v>0.4</v>
      </c>
    </row>
    <row r="46" spans="1:2">
      <c r="A46" s="168">
        <v>19998</v>
      </c>
      <c r="B46" s="167">
        <v>0.8</v>
      </c>
    </row>
    <row r="47" spans="1:2">
      <c r="A47" s="168">
        <v>20090</v>
      </c>
      <c r="B47" s="167">
        <v>0.9</v>
      </c>
    </row>
    <row r="48" spans="1:2">
      <c r="A48" s="168">
        <v>20180</v>
      </c>
      <c r="B48" s="167">
        <v>1.1000000000000001</v>
      </c>
    </row>
    <row r="49" spans="1:2">
      <c r="A49" s="168">
        <v>20271</v>
      </c>
      <c r="B49" s="167">
        <v>2.2000000000000002</v>
      </c>
    </row>
    <row r="50" spans="1:2">
      <c r="A50" s="168">
        <v>20363</v>
      </c>
      <c r="B50" s="167">
        <v>2.8</v>
      </c>
    </row>
    <row r="51" spans="1:2">
      <c r="A51" s="168">
        <v>20455</v>
      </c>
      <c r="B51" s="167">
        <v>3.3</v>
      </c>
    </row>
    <row r="52" spans="1:2">
      <c r="A52" s="168">
        <v>20546</v>
      </c>
      <c r="B52" s="167">
        <v>3.6</v>
      </c>
    </row>
    <row r="53" spans="1:2">
      <c r="A53" s="168">
        <v>20637</v>
      </c>
      <c r="B53" s="167">
        <v>3.8</v>
      </c>
    </row>
    <row r="54" spans="1:2">
      <c r="A54" s="168">
        <v>20729</v>
      </c>
      <c r="B54" s="167">
        <v>3.5</v>
      </c>
    </row>
    <row r="55" spans="1:2">
      <c r="A55" s="168">
        <v>20821</v>
      </c>
      <c r="B55" s="167">
        <v>3.7</v>
      </c>
    </row>
    <row r="56" spans="1:2">
      <c r="A56" s="168">
        <v>20911</v>
      </c>
      <c r="B56" s="167">
        <v>3.7</v>
      </c>
    </row>
    <row r="57" spans="1:2">
      <c r="A57" s="168">
        <v>21002</v>
      </c>
      <c r="B57" s="167">
        <v>2.9</v>
      </c>
    </row>
    <row r="58" spans="1:2">
      <c r="A58" s="168">
        <v>21094</v>
      </c>
      <c r="B58" s="167">
        <v>2.5</v>
      </c>
    </row>
    <row r="59" spans="1:2">
      <c r="A59" s="168">
        <v>21186</v>
      </c>
      <c r="B59" s="167">
        <v>1.7</v>
      </c>
    </row>
    <row r="60" spans="1:2">
      <c r="A60" s="168">
        <v>21276</v>
      </c>
      <c r="B60" s="167">
        <v>1.3</v>
      </c>
    </row>
    <row r="61" spans="1:2">
      <c r="A61" s="168">
        <v>21367</v>
      </c>
      <c r="B61" s="167">
        <v>1.3</v>
      </c>
    </row>
    <row r="62" spans="1:2">
      <c r="A62" s="168">
        <v>21459</v>
      </c>
      <c r="B62" s="167">
        <v>1.5</v>
      </c>
    </row>
    <row r="63" spans="1:2">
      <c r="A63" s="168">
        <v>21551</v>
      </c>
      <c r="B63" s="167">
        <v>1.6</v>
      </c>
    </row>
    <row r="64" spans="1:2">
      <c r="A64" s="168">
        <v>21641</v>
      </c>
      <c r="B64" s="167">
        <v>1.7</v>
      </c>
    </row>
    <row r="65" spans="1:2">
      <c r="A65" s="168">
        <v>21732</v>
      </c>
      <c r="B65" s="167">
        <v>1.6</v>
      </c>
    </row>
    <row r="66" spans="1:2">
      <c r="A66" s="168">
        <v>21824</v>
      </c>
      <c r="B66" s="167">
        <v>1.6</v>
      </c>
    </row>
    <row r="67" spans="1:2">
      <c r="A67" s="168">
        <v>21916</v>
      </c>
      <c r="B67" s="167">
        <v>1.2</v>
      </c>
    </row>
    <row r="68" spans="1:2">
      <c r="A68" s="168">
        <v>22007</v>
      </c>
      <c r="B68" s="167">
        <v>1.2</v>
      </c>
    </row>
    <row r="69" spans="1:2">
      <c r="A69" s="168">
        <v>22098</v>
      </c>
      <c r="B69" s="167">
        <v>1.2</v>
      </c>
    </row>
    <row r="70" spans="1:2">
      <c r="A70" s="168">
        <v>22190</v>
      </c>
      <c r="B70" s="167">
        <v>1</v>
      </c>
    </row>
    <row r="71" spans="1:2">
      <c r="A71" s="168">
        <v>22282</v>
      </c>
      <c r="B71" s="167">
        <v>1</v>
      </c>
    </row>
    <row r="72" spans="1:2">
      <c r="A72" s="168">
        <v>22372</v>
      </c>
      <c r="B72" s="167">
        <v>1</v>
      </c>
    </row>
    <row r="73" spans="1:2">
      <c r="A73" s="168">
        <v>22463</v>
      </c>
      <c r="B73" s="167">
        <v>0.7</v>
      </c>
    </row>
    <row r="74" spans="1:2">
      <c r="A74" s="168">
        <v>22555</v>
      </c>
      <c r="B74" s="167">
        <v>0.4</v>
      </c>
    </row>
    <row r="75" spans="1:2">
      <c r="A75" s="168">
        <v>22647</v>
      </c>
      <c r="B75" s="167">
        <v>0.8</v>
      </c>
    </row>
    <row r="76" spans="1:2">
      <c r="A76" s="168">
        <v>22737</v>
      </c>
      <c r="B76" s="167">
        <v>0.9</v>
      </c>
    </row>
    <row r="77" spans="1:2">
      <c r="A77" s="168">
        <v>22828</v>
      </c>
      <c r="B77" s="167">
        <v>1</v>
      </c>
    </row>
    <row r="78" spans="1:2">
      <c r="A78" s="168">
        <v>22920</v>
      </c>
      <c r="B78" s="167">
        <v>0.9</v>
      </c>
    </row>
    <row r="79" spans="1:2">
      <c r="A79" s="168">
        <v>23012</v>
      </c>
      <c r="B79" s="167">
        <v>1</v>
      </c>
    </row>
    <row r="80" spans="1:2">
      <c r="A80" s="168">
        <v>23102</v>
      </c>
      <c r="B80" s="167">
        <v>0.6</v>
      </c>
    </row>
    <row r="81" spans="1:2">
      <c r="A81" s="168">
        <v>23193</v>
      </c>
      <c r="B81" s="167">
        <v>0.5</v>
      </c>
    </row>
    <row r="82" spans="1:2">
      <c r="A82" s="168">
        <v>23285</v>
      </c>
      <c r="B82" s="167">
        <v>1.2</v>
      </c>
    </row>
    <row r="83" spans="1:2">
      <c r="A83" s="168">
        <v>23377</v>
      </c>
      <c r="B83" s="167">
        <v>0.9</v>
      </c>
    </row>
    <row r="84" spans="1:2">
      <c r="A84" s="168">
        <v>23468</v>
      </c>
      <c r="B84" s="167">
        <v>1.1000000000000001</v>
      </c>
    </row>
    <row r="85" spans="1:2">
      <c r="A85" s="168">
        <v>23559</v>
      </c>
      <c r="B85" s="167">
        <v>1.7</v>
      </c>
    </row>
    <row r="86" spans="1:2">
      <c r="A86" s="168">
        <v>23651</v>
      </c>
      <c r="B86" s="167">
        <v>1.4</v>
      </c>
    </row>
    <row r="87" spans="1:2">
      <c r="A87" s="168">
        <v>23743</v>
      </c>
      <c r="B87" s="167">
        <v>1.4</v>
      </c>
    </row>
    <row r="88" spans="1:2">
      <c r="A88" s="168">
        <v>23833</v>
      </c>
      <c r="B88" s="167">
        <v>1.3</v>
      </c>
    </row>
    <row r="89" spans="1:2">
      <c r="A89" s="168">
        <v>23924</v>
      </c>
      <c r="B89" s="167">
        <v>1.2</v>
      </c>
    </row>
    <row r="90" spans="1:2">
      <c r="A90" s="168">
        <v>24016</v>
      </c>
      <c r="B90" s="167">
        <v>1.3</v>
      </c>
    </row>
    <row r="91" spans="1:2">
      <c r="A91" s="168">
        <v>24108</v>
      </c>
      <c r="B91" s="167">
        <v>1.2</v>
      </c>
    </row>
    <row r="92" spans="1:2">
      <c r="A92" s="168">
        <v>24198</v>
      </c>
      <c r="B92" s="167">
        <v>2.1</v>
      </c>
    </row>
    <row r="93" spans="1:2">
      <c r="A93" s="168">
        <v>24289</v>
      </c>
      <c r="B93" s="167">
        <v>2.5</v>
      </c>
    </row>
    <row r="94" spans="1:2">
      <c r="A94" s="168">
        <v>24381</v>
      </c>
      <c r="B94" s="167">
        <v>3.3</v>
      </c>
    </row>
    <row r="95" spans="1:2">
      <c r="A95" s="168">
        <v>24473</v>
      </c>
      <c r="B95" s="167">
        <v>3.5</v>
      </c>
    </row>
    <row r="96" spans="1:2">
      <c r="A96" s="168">
        <v>24563</v>
      </c>
      <c r="B96" s="167">
        <v>3</v>
      </c>
    </row>
    <row r="97" spans="1:2">
      <c r="A97" s="168">
        <v>24654</v>
      </c>
      <c r="B97" s="167">
        <v>3.1</v>
      </c>
    </row>
    <row r="98" spans="1:2">
      <c r="A98" s="168">
        <v>24746</v>
      </c>
      <c r="B98" s="167">
        <v>2.9</v>
      </c>
    </row>
    <row r="99" spans="1:2">
      <c r="A99" s="168">
        <v>24838</v>
      </c>
      <c r="B99" s="167">
        <v>3.5</v>
      </c>
    </row>
    <row r="100" spans="1:2">
      <c r="A100" s="168">
        <v>24929</v>
      </c>
      <c r="B100" s="167">
        <v>4</v>
      </c>
    </row>
    <row r="101" spans="1:2">
      <c r="A101" s="168">
        <v>25020</v>
      </c>
      <c r="B101" s="167">
        <v>3.8</v>
      </c>
    </row>
    <row r="102" spans="1:2">
      <c r="A102" s="168">
        <v>25112</v>
      </c>
      <c r="B102" s="167">
        <v>4.2</v>
      </c>
    </row>
    <row r="103" spans="1:2">
      <c r="A103" s="168">
        <v>25204</v>
      </c>
      <c r="B103" s="167">
        <v>4.4000000000000004</v>
      </c>
    </row>
    <row r="104" spans="1:2">
      <c r="A104" s="168">
        <v>25294</v>
      </c>
      <c r="B104" s="167">
        <v>4.4000000000000004</v>
      </c>
    </row>
    <row r="105" spans="1:2">
      <c r="A105" s="168">
        <v>25385</v>
      </c>
      <c r="B105" s="167">
        <v>4.8</v>
      </c>
    </row>
    <row r="106" spans="1:2">
      <c r="A106" s="168">
        <v>25477</v>
      </c>
      <c r="B106" s="167">
        <v>4.4000000000000004</v>
      </c>
    </row>
    <row r="107" spans="1:2">
      <c r="A107" s="168">
        <v>25569</v>
      </c>
      <c r="B107" s="167">
        <v>4.3</v>
      </c>
    </row>
    <row r="108" spans="1:2">
      <c r="A108" s="168">
        <v>25659</v>
      </c>
      <c r="B108" s="167">
        <v>4.5999999999999996</v>
      </c>
    </row>
    <row r="109" spans="1:2">
      <c r="A109" s="168">
        <v>25750</v>
      </c>
      <c r="B109" s="167">
        <v>4.0999999999999996</v>
      </c>
    </row>
    <row r="110" spans="1:2">
      <c r="A110" s="168">
        <v>25842</v>
      </c>
      <c r="B110" s="167">
        <v>4.5999999999999996</v>
      </c>
    </row>
    <row r="111" spans="1:2">
      <c r="A111" s="168">
        <v>25934</v>
      </c>
      <c r="B111" s="167">
        <v>4.5999999999999996</v>
      </c>
    </row>
    <row r="112" spans="1:2">
      <c r="A112" s="168">
        <v>26024</v>
      </c>
      <c r="B112" s="167">
        <v>4.3</v>
      </c>
    </row>
    <row r="113" spans="1:2">
      <c r="A113" s="168">
        <v>26115</v>
      </c>
      <c r="B113" s="167">
        <v>4.7</v>
      </c>
    </row>
    <row r="114" spans="1:2">
      <c r="A114" s="168">
        <v>26207</v>
      </c>
      <c r="B114" s="167">
        <v>3.6</v>
      </c>
    </row>
    <row r="115" spans="1:2">
      <c r="A115" s="168">
        <v>26299</v>
      </c>
      <c r="B115" s="167">
        <v>3.8</v>
      </c>
    </row>
    <row r="116" spans="1:2">
      <c r="A116" s="168">
        <v>26390</v>
      </c>
      <c r="B116" s="167">
        <v>2.9</v>
      </c>
    </row>
    <row r="117" spans="1:2">
      <c r="A117" s="168">
        <v>26481</v>
      </c>
      <c r="B117" s="167">
        <v>2.6</v>
      </c>
    </row>
    <row r="118" spans="1:2">
      <c r="A118" s="168">
        <v>26573</v>
      </c>
      <c r="B118" s="167">
        <v>2.9</v>
      </c>
    </row>
    <row r="119" spans="1:2">
      <c r="A119" s="168">
        <v>26665</v>
      </c>
      <c r="B119" s="167">
        <v>2.2000000000000002</v>
      </c>
    </row>
    <row r="120" spans="1:2">
      <c r="A120" s="168">
        <v>26755</v>
      </c>
      <c r="B120" s="167">
        <v>2.9</v>
      </c>
    </row>
    <row r="121" spans="1:2">
      <c r="A121" s="168">
        <v>26846</v>
      </c>
      <c r="B121" s="167">
        <v>3.6</v>
      </c>
    </row>
    <row r="122" spans="1:2">
      <c r="A122" s="168">
        <v>26938</v>
      </c>
      <c r="B122" s="167">
        <v>5.4</v>
      </c>
    </row>
    <row r="123" spans="1:2">
      <c r="A123" s="168">
        <v>27030</v>
      </c>
      <c r="B123" s="167">
        <v>7.2</v>
      </c>
    </row>
    <row r="124" spans="1:2">
      <c r="A124" s="168">
        <v>27120</v>
      </c>
      <c r="B124" s="167">
        <v>9.9</v>
      </c>
    </row>
    <row r="125" spans="1:2">
      <c r="A125" s="168">
        <v>27211</v>
      </c>
      <c r="B125" s="167">
        <v>11.9</v>
      </c>
    </row>
    <row r="126" spans="1:2">
      <c r="A126" s="168">
        <v>27303</v>
      </c>
      <c r="B126" s="167">
        <v>12.6</v>
      </c>
    </row>
    <row r="127" spans="1:2">
      <c r="A127" s="168">
        <v>27395</v>
      </c>
      <c r="B127" s="167">
        <v>13.7</v>
      </c>
    </row>
    <row r="128" spans="1:2">
      <c r="A128" s="168">
        <v>27485</v>
      </c>
      <c r="B128" s="167">
        <v>11.3</v>
      </c>
    </row>
    <row r="129" spans="1:2">
      <c r="A129" s="168">
        <v>27576</v>
      </c>
      <c r="B129" s="167">
        <v>9.6</v>
      </c>
    </row>
    <row r="130" spans="1:2">
      <c r="A130" s="168">
        <v>27668</v>
      </c>
      <c r="B130" s="167">
        <v>8</v>
      </c>
    </row>
    <row r="131" spans="1:2">
      <c r="A131" s="168">
        <v>27760</v>
      </c>
      <c r="B131" s="167">
        <v>5.7</v>
      </c>
    </row>
    <row r="132" spans="1:2">
      <c r="A132" s="168">
        <v>27851</v>
      </c>
      <c r="B132" s="167">
        <v>5.3</v>
      </c>
    </row>
    <row r="133" spans="1:2">
      <c r="A133" s="168">
        <v>27942</v>
      </c>
      <c r="B133" s="167">
        <v>5.2</v>
      </c>
    </row>
    <row r="134" spans="1:2">
      <c r="A134" s="168">
        <v>28034</v>
      </c>
      <c r="B134" s="167">
        <v>5.6</v>
      </c>
    </row>
    <row r="135" spans="1:2">
      <c r="A135" s="168">
        <v>28126</v>
      </c>
      <c r="B135" s="167">
        <v>5.9</v>
      </c>
    </row>
    <row r="136" spans="1:2">
      <c r="A136" s="168">
        <v>28216</v>
      </c>
      <c r="B136" s="167">
        <v>6.4</v>
      </c>
    </row>
    <row r="137" spans="1:2">
      <c r="A137" s="168">
        <v>28307</v>
      </c>
      <c r="B137" s="167">
        <v>6.3</v>
      </c>
    </row>
    <row r="138" spans="1:2">
      <c r="A138" s="168">
        <v>28399</v>
      </c>
      <c r="B138" s="167">
        <v>6.2</v>
      </c>
    </row>
    <row r="139" spans="1:2">
      <c r="A139" s="168">
        <v>28491</v>
      </c>
      <c r="B139" s="167">
        <v>6</v>
      </c>
    </row>
    <row r="140" spans="1:2">
      <c r="A140" s="168">
        <v>28581</v>
      </c>
      <c r="B140" s="167">
        <v>6.2</v>
      </c>
    </row>
    <row r="141" spans="1:2">
      <c r="A141" s="168">
        <v>28672</v>
      </c>
      <c r="B141" s="167">
        <v>6.8</v>
      </c>
    </row>
    <row r="142" spans="1:2">
      <c r="A142" s="168">
        <v>28764</v>
      </c>
      <c r="B142" s="167">
        <v>7.1</v>
      </c>
    </row>
    <row r="143" spans="1:2">
      <c r="A143" s="168">
        <v>28856</v>
      </c>
      <c r="B143" s="167">
        <v>7.5</v>
      </c>
    </row>
    <row r="144" spans="1:2">
      <c r="A144" s="168">
        <v>28946</v>
      </c>
      <c r="B144" s="167">
        <v>8.6</v>
      </c>
    </row>
    <row r="145" spans="1:2">
      <c r="A145" s="168">
        <v>29037</v>
      </c>
      <c r="B145" s="167">
        <v>8.8000000000000007</v>
      </c>
    </row>
    <row r="146" spans="1:2">
      <c r="A146" s="168">
        <v>29129</v>
      </c>
      <c r="B146" s="167">
        <v>8.6999999999999993</v>
      </c>
    </row>
    <row r="147" spans="1:2">
      <c r="A147" s="168">
        <v>29221</v>
      </c>
      <c r="B147" s="167">
        <v>9.6999999999999993</v>
      </c>
    </row>
    <row r="148" spans="1:2">
      <c r="A148" s="168">
        <v>29312</v>
      </c>
      <c r="B148" s="167">
        <v>9.8000000000000007</v>
      </c>
    </row>
    <row r="149" spans="1:2">
      <c r="A149" s="168">
        <v>29403</v>
      </c>
      <c r="B149" s="167">
        <v>9.1999999999999993</v>
      </c>
    </row>
    <row r="150" spans="1:2">
      <c r="A150" s="168">
        <v>29495</v>
      </c>
      <c r="B150" s="167">
        <v>9.5</v>
      </c>
    </row>
    <row r="151" spans="1:2">
      <c r="A151" s="168">
        <v>29587</v>
      </c>
      <c r="B151" s="167">
        <v>10.1</v>
      </c>
    </row>
    <row r="152" spans="1:2">
      <c r="A152" s="168">
        <v>29677</v>
      </c>
      <c r="B152" s="167">
        <v>9.1999999999999993</v>
      </c>
    </row>
    <row r="153" spans="1:2">
      <c r="A153" s="168">
        <v>29768</v>
      </c>
      <c r="B153" s="167">
        <v>9.6999999999999993</v>
      </c>
    </row>
    <row r="154" spans="1:2">
      <c r="A154" s="168">
        <v>29860</v>
      </c>
      <c r="B154" s="167">
        <v>9.4</v>
      </c>
    </row>
    <row r="155" spans="1:2">
      <c r="A155" s="168">
        <v>29952</v>
      </c>
      <c r="B155" s="167">
        <v>7.4</v>
      </c>
    </row>
    <row r="156" spans="1:2">
      <c r="A156" s="168">
        <v>30042</v>
      </c>
      <c r="B156" s="167">
        <v>6.6</v>
      </c>
    </row>
    <row r="157" spans="1:2">
      <c r="A157" s="168">
        <v>30133</v>
      </c>
      <c r="B157" s="167">
        <v>5.7</v>
      </c>
    </row>
    <row r="158" spans="1:2">
      <c r="A158" s="168">
        <v>30225</v>
      </c>
      <c r="B158" s="167">
        <v>5</v>
      </c>
    </row>
    <row r="159" spans="1:2">
      <c r="A159" s="168">
        <v>30317</v>
      </c>
      <c r="B159" s="167">
        <v>4.0999999999999996</v>
      </c>
    </row>
    <row r="160" spans="1:2">
      <c r="A160" s="168">
        <v>30407</v>
      </c>
      <c r="B160" s="167">
        <v>3.3</v>
      </c>
    </row>
    <row r="161" spans="1:2">
      <c r="A161" s="168">
        <v>30498</v>
      </c>
      <c r="B161" s="167">
        <v>3.5</v>
      </c>
    </row>
    <row r="162" spans="1:2">
      <c r="A162" s="168">
        <v>30590</v>
      </c>
      <c r="B162" s="167">
        <v>2.9</v>
      </c>
    </row>
    <row r="163" spans="1:2">
      <c r="A163" s="168">
        <v>30682</v>
      </c>
      <c r="B163" s="167">
        <v>2.8</v>
      </c>
    </row>
    <row r="164" spans="1:2">
      <c r="A164" s="168">
        <v>30773</v>
      </c>
      <c r="B164" s="167">
        <v>3.2</v>
      </c>
    </row>
    <row r="165" spans="1:2">
      <c r="A165" s="168">
        <v>30864</v>
      </c>
      <c r="B165" s="167">
        <v>2.6</v>
      </c>
    </row>
    <row r="166" spans="1:2">
      <c r="A166" s="168">
        <v>30956</v>
      </c>
      <c r="B166" s="167">
        <v>2.5</v>
      </c>
    </row>
    <row r="167" spans="1:2">
      <c r="A167" s="168">
        <v>31048</v>
      </c>
      <c r="B167" s="167">
        <v>3.4</v>
      </c>
    </row>
    <row r="168" spans="1:2">
      <c r="A168" s="168">
        <v>31138</v>
      </c>
      <c r="B168" s="167">
        <v>3.1</v>
      </c>
    </row>
    <row r="169" spans="1:2">
      <c r="A169" s="168">
        <v>31229</v>
      </c>
      <c r="B169" s="167">
        <v>3</v>
      </c>
    </row>
    <row r="170" spans="1:2">
      <c r="A170" s="168">
        <v>31321</v>
      </c>
      <c r="B170" s="167">
        <v>2.7</v>
      </c>
    </row>
    <row r="171" spans="1:2">
      <c r="A171" s="168">
        <v>31413</v>
      </c>
      <c r="B171" s="167">
        <v>2.1</v>
      </c>
    </row>
    <row r="172" spans="1:2">
      <c r="A172" s="168">
        <v>31503</v>
      </c>
      <c r="B172" s="167">
        <v>1.5</v>
      </c>
    </row>
    <row r="173" spans="1:2">
      <c r="A173" s="168">
        <v>31594</v>
      </c>
      <c r="B173" s="167">
        <v>0.9</v>
      </c>
    </row>
    <row r="174" spans="1:2">
      <c r="A174" s="168">
        <v>31686</v>
      </c>
      <c r="B174" s="167">
        <v>1.1000000000000001</v>
      </c>
    </row>
    <row r="175" spans="1:2">
      <c r="A175" s="168">
        <v>31778</v>
      </c>
      <c r="B175" s="167">
        <v>1.2</v>
      </c>
    </row>
    <row r="176" spans="1:2">
      <c r="A176" s="168">
        <v>31868</v>
      </c>
      <c r="B176" s="167">
        <v>1.7</v>
      </c>
    </row>
    <row r="177" spans="1:2">
      <c r="A177" s="168">
        <v>31959</v>
      </c>
      <c r="B177" s="167">
        <v>2.2999999999999998</v>
      </c>
    </row>
    <row r="178" spans="1:2">
      <c r="A178" s="168">
        <v>32051</v>
      </c>
      <c r="B178" s="167">
        <v>2.2999999999999998</v>
      </c>
    </row>
    <row r="179" spans="1:2">
      <c r="A179" s="168">
        <v>32143</v>
      </c>
      <c r="B179" s="167">
        <v>2.4</v>
      </c>
    </row>
    <row r="180" spans="1:2">
      <c r="A180" s="168">
        <v>32234</v>
      </c>
      <c r="B180" s="167">
        <v>2.7</v>
      </c>
    </row>
    <row r="181" spans="1:2">
      <c r="A181" s="168">
        <v>32325</v>
      </c>
      <c r="B181" s="167">
        <v>3.1</v>
      </c>
    </row>
    <row r="182" spans="1:2">
      <c r="A182" s="168">
        <v>32417</v>
      </c>
      <c r="B182" s="167">
        <v>4</v>
      </c>
    </row>
    <row r="183" spans="1:2">
      <c r="A183" s="168">
        <v>32509</v>
      </c>
      <c r="B183" s="167">
        <v>3.8</v>
      </c>
    </row>
    <row r="184" spans="1:2">
      <c r="A184" s="168">
        <v>32599</v>
      </c>
      <c r="B184" s="167">
        <v>4.0999999999999996</v>
      </c>
    </row>
    <row r="185" spans="1:2">
      <c r="A185" s="168">
        <v>32690</v>
      </c>
      <c r="B185" s="167">
        <v>3.7</v>
      </c>
    </row>
    <row r="186" spans="1:2">
      <c r="A186" s="168">
        <v>32782</v>
      </c>
      <c r="B186" s="167">
        <v>3</v>
      </c>
    </row>
    <row r="187" spans="1:2">
      <c r="A187" s="168">
        <v>32874</v>
      </c>
      <c r="B187" s="167">
        <v>3.5</v>
      </c>
    </row>
    <row r="188" spans="1:2">
      <c r="A188" s="168">
        <v>32964</v>
      </c>
      <c r="B188" s="167">
        <v>3.2</v>
      </c>
    </row>
    <row r="189" spans="1:2">
      <c r="A189" s="168">
        <v>33055</v>
      </c>
      <c r="B189" s="167">
        <v>3.3</v>
      </c>
    </row>
    <row r="190" spans="1:2">
      <c r="A190" s="168">
        <v>33147</v>
      </c>
      <c r="B190" s="167">
        <v>3.8</v>
      </c>
    </row>
    <row r="191" spans="1:2">
      <c r="A191" s="168">
        <v>33239</v>
      </c>
      <c r="B191" s="167">
        <v>3.7</v>
      </c>
    </row>
    <row r="192" spans="1:2">
      <c r="A192" s="168">
        <v>33329</v>
      </c>
      <c r="B192" s="167">
        <v>3.2</v>
      </c>
    </row>
    <row r="193" spans="1:2">
      <c r="A193" s="168">
        <v>33420</v>
      </c>
      <c r="B193" s="167">
        <v>3</v>
      </c>
    </row>
    <row r="194" spans="1:2">
      <c r="A194" s="168">
        <v>33512</v>
      </c>
      <c r="B194" s="167">
        <v>2.5</v>
      </c>
    </row>
    <row r="195" spans="1:2">
      <c r="A195" s="168">
        <v>33604</v>
      </c>
      <c r="B195" s="167">
        <v>1.7</v>
      </c>
    </row>
    <row r="196" spans="1:2">
      <c r="A196" s="168">
        <v>33695</v>
      </c>
      <c r="B196" s="167">
        <v>1.6</v>
      </c>
    </row>
    <row r="197" spans="1:2">
      <c r="A197" s="168">
        <v>33786</v>
      </c>
      <c r="B197" s="167">
        <v>1.4</v>
      </c>
    </row>
    <row r="198" spans="1:2">
      <c r="A198" s="168">
        <v>33878</v>
      </c>
      <c r="B198" s="167">
        <v>1.9</v>
      </c>
    </row>
    <row r="199" spans="1:2">
      <c r="A199" s="168">
        <v>33970</v>
      </c>
      <c r="B199" s="167">
        <v>2.4</v>
      </c>
    </row>
    <row r="200" spans="1:2">
      <c r="A200" s="168">
        <v>34060</v>
      </c>
      <c r="B200" s="167">
        <v>2.5</v>
      </c>
    </row>
    <row r="201" spans="1:2">
      <c r="A201" s="168">
        <v>34151</v>
      </c>
      <c r="B201" s="167">
        <v>2.2999999999999998</v>
      </c>
    </row>
    <row r="202" spans="1:2">
      <c r="A202" s="168">
        <v>34243</v>
      </c>
      <c r="B202" s="167">
        <v>2.1</v>
      </c>
    </row>
    <row r="203" spans="1:2">
      <c r="A203" s="168">
        <v>34335</v>
      </c>
      <c r="B203" s="167">
        <v>1.8</v>
      </c>
    </row>
    <row r="204" spans="1:2">
      <c r="A204" s="168">
        <v>34425</v>
      </c>
      <c r="B204" s="167">
        <v>1.7</v>
      </c>
    </row>
    <row r="205" spans="1:2">
      <c r="A205" s="168">
        <v>34516</v>
      </c>
      <c r="B205" s="167">
        <v>2</v>
      </c>
    </row>
    <row r="206" spans="1:2">
      <c r="A206" s="168">
        <v>34608</v>
      </c>
      <c r="B206" s="167">
        <v>2</v>
      </c>
    </row>
    <row r="207" spans="1:2">
      <c r="A207" s="168">
        <v>34700</v>
      </c>
      <c r="B207" s="167">
        <v>2</v>
      </c>
    </row>
    <row r="208" spans="1:2">
      <c r="A208" s="168">
        <v>34790</v>
      </c>
      <c r="B208" s="167">
        <v>2</v>
      </c>
    </row>
    <row r="209" spans="1:2">
      <c r="A209" s="168">
        <v>34881</v>
      </c>
      <c r="B209" s="167">
        <v>1.7</v>
      </c>
    </row>
    <row r="210" spans="1:2">
      <c r="A210" s="168">
        <v>34973</v>
      </c>
      <c r="B210" s="167">
        <v>1.4</v>
      </c>
    </row>
    <row r="211" spans="1:2">
      <c r="A211" s="168">
        <v>35065</v>
      </c>
      <c r="B211" s="167">
        <v>1.3</v>
      </c>
    </row>
    <row r="212" spans="1:2">
      <c r="A212" s="168">
        <v>35156</v>
      </c>
      <c r="B212" s="167">
        <v>1.3</v>
      </c>
    </row>
    <row r="213" spans="1:2">
      <c r="A213" s="168">
        <v>35247</v>
      </c>
      <c r="B213" s="167">
        <v>1.3</v>
      </c>
    </row>
    <row r="214" spans="1:2">
      <c r="A214" s="168">
        <v>35339</v>
      </c>
      <c r="B214" s="167">
        <v>1.6</v>
      </c>
    </row>
    <row r="215" spans="1:2">
      <c r="A215" s="168">
        <v>35431</v>
      </c>
      <c r="B215" s="167">
        <v>1.9</v>
      </c>
    </row>
    <row r="216" spans="1:2">
      <c r="A216" s="168">
        <v>35521</v>
      </c>
      <c r="B216" s="167">
        <v>1.8</v>
      </c>
    </row>
    <row r="217" spans="1:2">
      <c r="A217" s="168">
        <v>35612</v>
      </c>
      <c r="B217" s="167">
        <v>1.8</v>
      </c>
    </row>
    <row r="218" spans="1:2">
      <c r="A218" s="168">
        <v>35704</v>
      </c>
      <c r="B218" s="167">
        <v>1.5</v>
      </c>
    </row>
    <row r="219" spans="1:2">
      <c r="A219" s="168">
        <v>35796</v>
      </c>
      <c r="B219" s="167">
        <v>0.7</v>
      </c>
    </row>
    <row r="220" spans="1:2">
      <c r="A220" s="168">
        <v>35886</v>
      </c>
      <c r="B220" s="167">
        <v>0.4</v>
      </c>
    </row>
    <row r="221" spans="1:2">
      <c r="A221" s="168">
        <v>35977</v>
      </c>
      <c r="B221" s="167">
        <v>0.4</v>
      </c>
    </row>
    <row r="222" spans="1:2">
      <c r="A222" s="168">
        <v>36069</v>
      </c>
      <c r="B222" s="167">
        <v>0</v>
      </c>
    </row>
    <row r="223" spans="1:2">
      <c r="A223" s="168">
        <v>36161</v>
      </c>
      <c r="B223" s="167">
        <v>0.4</v>
      </c>
    </row>
    <row r="224" spans="1:2">
      <c r="A224" s="168">
        <v>36251</v>
      </c>
      <c r="B224" s="167">
        <v>0.6</v>
      </c>
    </row>
    <row r="225" spans="1:2">
      <c r="A225" s="168">
        <v>36342</v>
      </c>
      <c r="B225" s="167">
        <v>0.6</v>
      </c>
    </row>
    <row r="226" spans="1:2">
      <c r="A226" s="168">
        <v>36434</v>
      </c>
      <c r="B226" s="167">
        <v>1.2</v>
      </c>
    </row>
    <row r="227" spans="1:2">
      <c r="A227" s="168">
        <v>36526</v>
      </c>
      <c r="B227" s="167">
        <v>1.7</v>
      </c>
    </row>
    <row r="228" spans="1:2">
      <c r="A228" s="168">
        <v>36617</v>
      </c>
      <c r="B228" s="167">
        <v>1.9</v>
      </c>
    </row>
    <row r="229" spans="1:2">
      <c r="A229" s="168">
        <v>36708</v>
      </c>
      <c r="B229" s="167">
        <v>2.2000000000000002</v>
      </c>
    </row>
    <row r="230" spans="1:2">
      <c r="A230" s="168">
        <v>36800</v>
      </c>
      <c r="B230" s="167">
        <v>2</v>
      </c>
    </row>
    <row r="231" spans="1:2">
      <c r="A231" s="168">
        <v>36892</v>
      </c>
      <c r="B231" s="167">
        <v>2</v>
      </c>
    </row>
    <row r="232" spans="1:2">
      <c r="A232" s="168">
        <v>36982</v>
      </c>
      <c r="B232" s="167">
        <v>1.9</v>
      </c>
    </row>
    <row r="233" spans="1:2">
      <c r="A233" s="168">
        <v>37073</v>
      </c>
      <c r="B233" s="167">
        <v>1.4</v>
      </c>
    </row>
    <row r="234" spans="1:2">
      <c r="A234" s="168">
        <v>37165</v>
      </c>
      <c r="B234" s="167">
        <v>1.2</v>
      </c>
    </row>
    <row r="235" spans="1:2">
      <c r="A235" s="168">
        <v>37257</v>
      </c>
      <c r="B235" s="167">
        <v>0.7</v>
      </c>
    </row>
    <row r="236" spans="1:2">
      <c r="A236" s="168">
        <v>37347</v>
      </c>
      <c r="B236" s="167">
        <v>0.7</v>
      </c>
    </row>
    <row r="237" spans="1:2">
      <c r="A237" s="168">
        <v>37438</v>
      </c>
      <c r="B237" s="167">
        <v>0.9</v>
      </c>
    </row>
    <row r="238" spans="1:2">
      <c r="A238" s="168">
        <v>37530</v>
      </c>
      <c r="B238" s="167">
        <v>1.1000000000000001</v>
      </c>
    </row>
    <row r="239" spans="1:2">
      <c r="A239" s="168">
        <v>37622</v>
      </c>
      <c r="B239" s="167">
        <v>1.5</v>
      </c>
    </row>
    <row r="240" spans="1:2">
      <c r="A240" s="168">
        <v>37712</v>
      </c>
      <c r="B240" s="167">
        <v>1.3</v>
      </c>
    </row>
    <row r="241" spans="1:2">
      <c r="A241" s="168">
        <v>37803</v>
      </c>
      <c r="B241" s="167">
        <v>1.3</v>
      </c>
    </row>
    <row r="242" spans="1:2">
      <c r="A242" s="168">
        <v>37895</v>
      </c>
      <c r="B242" s="167">
        <v>1.3</v>
      </c>
    </row>
    <row r="243" spans="1:2">
      <c r="A243" s="168">
        <v>37987</v>
      </c>
      <c r="B243" s="167">
        <v>1.8</v>
      </c>
    </row>
    <row r="244" spans="1:2">
      <c r="A244" s="168">
        <v>38078</v>
      </c>
      <c r="B244" s="167">
        <v>2.1</v>
      </c>
    </row>
    <row r="245" spans="1:2">
      <c r="A245" s="168">
        <v>38169</v>
      </c>
      <c r="B245" s="167">
        <v>2.4</v>
      </c>
    </row>
    <row r="246" spans="1:2">
      <c r="A246" s="168">
        <v>38261</v>
      </c>
      <c r="B246" s="167">
        <v>3</v>
      </c>
    </row>
    <row r="247" spans="1:2">
      <c r="A247" s="168">
        <v>38353</v>
      </c>
      <c r="B247" s="167">
        <v>3</v>
      </c>
    </row>
    <row r="248" spans="1:2">
      <c r="A248" s="168">
        <v>38443</v>
      </c>
      <c r="B248" s="167">
        <v>3.3</v>
      </c>
    </row>
    <row r="249" spans="1:2">
      <c r="A249" s="168">
        <v>38534</v>
      </c>
      <c r="B249" s="167">
        <v>3.6</v>
      </c>
    </row>
    <row r="250" spans="1:2">
      <c r="A250" s="168">
        <v>38626</v>
      </c>
      <c r="B250" s="167">
        <v>3.6</v>
      </c>
    </row>
    <row r="251" spans="1:2">
      <c r="A251" s="168">
        <v>38718</v>
      </c>
      <c r="B251" s="167">
        <v>3.3</v>
      </c>
    </row>
    <row r="252" spans="1:2">
      <c r="A252" s="168">
        <v>38808</v>
      </c>
      <c r="B252" s="167">
        <v>3.4</v>
      </c>
    </row>
    <row r="253" spans="1:2">
      <c r="A253" s="168">
        <v>38899</v>
      </c>
      <c r="B253" s="167">
        <v>2.9</v>
      </c>
    </row>
    <row r="254" spans="1:2">
      <c r="A254" s="168">
        <v>38991</v>
      </c>
      <c r="B254" s="167">
        <v>2.1</v>
      </c>
    </row>
    <row r="255" spans="1:2">
      <c r="A255" s="168">
        <v>39083</v>
      </c>
      <c r="B255" s="167">
        <v>2.2000000000000002</v>
      </c>
    </row>
    <row r="256" spans="1:2">
      <c r="A256" s="168">
        <v>39173</v>
      </c>
      <c r="B256" s="167">
        <v>2</v>
      </c>
    </row>
    <row r="257" spans="1:2">
      <c r="A257" s="168">
        <v>39264</v>
      </c>
      <c r="B257" s="167">
        <v>1.9</v>
      </c>
    </row>
    <row r="258" spans="1:2">
      <c r="A258" s="168">
        <v>39356</v>
      </c>
      <c r="B258" s="167">
        <v>2</v>
      </c>
    </row>
    <row r="259" spans="1:2">
      <c r="A259" s="168">
        <v>39448</v>
      </c>
      <c r="B259" s="167">
        <v>1.4</v>
      </c>
    </row>
    <row r="260" spans="1:2">
      <c r="A260" s="168">
        <v>39539</v>
      </c>
      <c r="B260" s="167">
        <v>1.2</v>
      </c>
    </row>
    <row r="261" spans="1:2">
      <c r="A261" s="168">
        <v>39630</v>
      </c>
      <c r="B261" s="167">
        <v>1.7</v>
      </c>
    </row>
    <row r="262" spans="1:2">
      <c r="A262" s="168">
        <v>39722</v>
      </c>
      <c r="B262" s="167">
        <v>1.5</v>
      </c>
    </row>
    <row r="263" spans="1:2">
      <c r="A263" s="168">
        <v>39814</v>
      </c>
      <c r="B263" s="167">
        <v>1.5</v>
      </c>
    </row>
    <row r="264" spans="1:2">
      <c r="A264" s="168">
        <v>39904</v>
      </c>
      <c r="B264" s="167">
        <v>0.4</v>
      </c>
    </row>
    <row r="265" spans="1:2">
      <c r="A265" s="168">
        <v>39995</v>
      </c>
      <c r="B265" s="167">
        <v>-0.4</v>
      </c>
    </row>
    <row r="266" spans="1:2">
      <c r="A266" s="168">
        <v>40087</v>
      </c>
      <c r="B266" s="167">
        <v>-0.2</v>
      </c>
    </row>
    <row r="267" spans="1:2">
      <c r="A267" s="168">
        <v>40179</v>
      </c>
      <c r="B267" s="167">
        <v>0.1</v>
      </c>
    </row>
    <row r="268" spans="1:2">
      <c r="A268" s="168">
        <v>40269</v>
      </c>
      <c r="B268" s="167">
        <v>1.2</v>
      </c>
    </row>
    <row r="269" spans="1:2">
      <c r="A269" s="168">
        <v>40360</v>
      </c>
      <c r="B269" s="167">
        <v>1.3</v>
      </c>
    </row>
    <row r="270" spans="1:2">
      <c r="A270" s="168">
        <v>40452</v>
      </c>
      <c r="B270" s="167">
        <v>1.7</v>
      </c>
    </row>
    <row r="271" spans="1:2">
      <c r="A271" s="168">
        <v>40544</v>
      </c>
      <c r="B271" s="167">
        <v>1.7</v>
      </c>
    </row>
    <row r="272" spans="1:2">
      <c r="A272" s="168">
        <v>40634</v>
      </c>
      <c r="B272" s="167">
        <v>1.8</v>
      </c>
    </row>
    <row r="273" spans="1:2">
      <c r="A273" s="168">
        <v>40725</v>
      </c>
      <c r="B273" s="167">
        <v>2.2000000000000002</v>
      </c>
    </row>
    <row r="274" spans="1:2">
      <c r="A274" s="168">
        <v>40817</v>
      </c>
      <c r="B274" s="167">
        <v>2</v>
      </c>
    </row>
    <row r="275" spans="1:2">
      <c r="A275" s="168">
        <v>40909</v>
      </c>
      <c r="B275" s="167">
        <v>1.9</v>
      </c>
    </row>
    <row r="276" spans="1:2">
      <c r="A276" s="168">
        <v>41000</v>
      </c>
      <c r="B276" s="167">
        <v>1.8</v>
      </c>
    </row>
    <row r="277" spans="1:2">
      <c r="A277" s="168">
        <v>41091</v>
      </c>
      <c r="B277" s="167">
        <v>1.7</v>
      </c>
    </row>
    <row r="278" spans="1:2">
      <c r="A278" s="168">
        <v>41183</v>
      </c>
      <c r="B278" s="167">
        <v>1.8</v>
      </c>
    </row>
    <row r="279" spans="1:2">
      <c r="A279" s="168">
        <v>41275</v>
      </c>
      <c r="B279" s="167">
        <v>1.5</v>
      </c>
    </row>
    <row r="280" spans="1:2">
      <c r="A280" s="168">
        <v>41365</v>
      </c>
      <c r="B280" s="167">
        <v>1.3</v>
      </c>
    </row>
    <row r="281" spans="1:2">
      <c r="A281" s="168">
        <v>41456</v>
      </c>
      <c r="B281" s="167">
        <v>1.3</v>
      </c>
    </row>
    <row r="282" spans="1:2">
      <c r="A282" s="168">
        <v>41548</v>
      </c>
      <c r="B282" s="167">
        <v>1.6</v>
      </c>
    </row>
    <row r="283" spans="1:2">
      <c r="A283" s="168">
        <v>41640</v>
      </c>
      <c r="B283" s="167">
        <v>1.8</v>
      </c>
    </row>
    <row r="284" spans="1:2">
      <c r="A284" s="168">
        <v>41730</v>
      </c>
      <c r="B284" s="167">
        <v>2.1</v>
      </c>
    </row>
    <row r="285" spans="1:2">
      <c r="A285" s="168">
        <v>41821</v>
      </c>
      <c r="B285" s="167">
        <v>2.1</v>
      </c>
    </row>
    <row r="286" spans="1:2">
      <c r="A286" s="168">
        <v>41913</v>
      </c>
      <c r="B286" s="167">
        <v>1.4</v>
      </c>
    </row>
    <row r="287" spans="1:2">
      <c r="A287" s="168">
        <v>42005</v>
      </c>
      <c r="B287" s="167">
        <v>0.9</v>
      </c>
    </row>
    <row r="288" spans="1:2">
      <c r="A288" s="168">
        <v>42095</v>
      </c>
      <c r="B288" s="167">
        <v>0.9</v>
      </c>
    </row>
    <row r="289" spans="1:2">
      <c r="A289" s="168">
        <v>42186</v>
      </c>
      <c r="B289" s="167">
        <v>0.7</v>
      </c>
    </row>
    <row r="290" spans="1:2">
      <c r="A290" s="168">
        <v>42278</v>
      </c>
      <c r="B290" s="167">
        <v>0.6</v>
      </c>
    </row>
    <row r="291" spans="1:2">
      <c r="A291" s="168">
        <v>42370</v>
      </c>
      <c r="B291" s="167">
        <v>0.5</v>
      </c>
    </row>
    <row r="292" spans="1:2">
      <c r="A292" s="168">
        <v>42461</v>
      </c>
      <c r="B292" s="167">
        <v>0.8</v>
      </c>
    </row>
    <row r="293" spans="1:2">
      <c r="A293" s="168">
        <v>42552</v>
      </c>
      <c r="B293" s="167">
        <v>0.9</v>
      </c>
    </row>
    <row r="294" spans="1:2">
      <c r="A294" s="168">
        <v>42644</v>
      </c>
      <c r="B294" s="167">
        <v>1.5</v>
      </c>
    </row>
    <row r="295" spans="1:2">
      <c r="A295" s="168">
        <v>42736</v>
      </c>
      <c r="B295" s="167">
        <v>2</v>
      </c>
    </row>
    <row r="296" spans="1:2">
      <c r="A296" s="168">
        <v>42826</v>
      </c>
      <c r="B296" s="167">
        <v>1.4</v>
      </c>
    </row>
    <row r="297" spans="1:2">
      <c r="A297" s="168">
        <v>42917</v>
      </c>
      <c r="B297" s="167">
        <v>1.6</v>
      </c>
    </row>
    <row r="298" spans="1:2">
      <c r="A298" s="168">
        <v>43009</v>
      </c>
      <c r="B298" s="167">
        <v>1.8</v>
      </c>
    </row>
    <row r="299" spans="1:2">
      <c r="A299" s="168">
        <v>43101</v>
      </c>
      <c r="B299" s="167">
        <v>1.9</v>
      </c>
    </row>
    <row r="300" spans="1:2">
      <c r="A300" s="168">
        <v>43191</v>
      </c>
      <c r="B300" s="167">
        <v>2.6</v>
      </c>
    </row>
    <row r="301" spans="1:2">
      <c r="A301" s="168">
        <v>43282</v>
      </c>
      <c r="B301" s="167">
        <v>2.2999999999999998</v>
      </c>
    </row>
    <row r="302" spans="1:2">
      <c r="A302" s="168">
        <v>43374</v>
      </c>
      <c r="B302" s="167">
        <v>2.1</v>
      </c>
    </row>
    <row r="303" spans="1:2">
      <c r="A303" s="168">
        <v>43466</v>
      </c>
      <c r="B303" s="167">
        <v>1.8</v>
      </c>
    </row>
    <row r="304" spans="1:2">
      <c r="A304" s="168">
        <v>43556</v>
      </c>
      <c r="B304" s="167">
        <v>1.6</v>
      </c>
    </row>
    <row r="305" spans="1:2">
      <c r="A305" s="168">
        <v>43647</v>
      </c>
      <c r="B305" s="167">
        <v>1.5</v>
      </c>
    </row>
    <row r="306" spans="1:2">
      <c r="A306" s="168">
        <v>43739</v>
      </c>
      <c r="B306" s="167">
        <v>1.3</v>
      </c>
    </row>
    <row r="307" spans="1:2">
      <c r="A307" s="168">
        <v>43831</v>
      </c>
      <c r="B307" s="167">
        <v>1.1000000000000001</v>
      </c>
    </row>
    <row r="308" spans="1:2">
      <c r="A308" s="168">
        <v>43922</v>
      </c>
      <c r="B308" s="167">
        <v>-0.6</v>
      </c>
    </row>
    <row r="309" spans="1:2">
      <c r="A309" s="168">
        <v>44013</v>
      </c>
      <c r="B309" s="167">
        <v>0.3</v>
      </c>
    </row>
    <row r="310" spans="1:2">
      <c r="A310" s="168">
        <v>44105</v>
      </c>
      <c r="B310" s="167">
        <v>0.6</v>
      </c>
    </row>
    <row r="311" spans="1:2">
      <c r="A311" s="168">
        <v>44197</v>
      </c>
      <c r="B311" s="167">
        <v>2</v>
      </c>
    </row>
    <row r="312" spans="1:2">
      <c r="A312" s="168">
        <v>44287</v>
      </c>
      <c r="B312" s="167">
        <v>4.5999999999999996</v>
      </c>
    </row>
    <row r="313" spans="1:2">
      <c r="A313" s="168">
        <v>44378</v>
      </c>
      <c r="B313" s="167">
        <v>5.0999999999999996</v>
      </c>
    </row>
    <row r="314" spans="1:2">
      <c r="A314" s="168">
        <v>44470</v>
      </c>
      <c r="B314" s="167">
        <v>6.5</v>
      </c>
    </row>
    <row r="315" spans="1:2">
      <c r="A315" s="168">
        <v>44562</v>
      </c>
      <c r="B315" s="167">
        <v>6.9</v>
      </c>
    </row>
    <row r="316" spans="1:2">
      <c r="A316" s="168">
        <v>44652</v>
      </c>
      <c r="B316" s="167">
        <v>7.8</v>
      </c>
    </row>
    <row r="317" spans="1:2">
      <c r="A317" s="168">
        <v>44743</v>
      </c>
      <c r="B317" s="167">
        <v>7.1</v>
      </c>
    </row>
    <row r="318" spans="1:2">
      <c r="A318" s="168">
        <v>44835</v>
      </c>
      <c r="B318" s="167">
        <v>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8</vt:i4>
      </vt:variant>
      <vt:variant>
        <vt:lpstr>Named Ranges</vt:lpstr>
      </vt:variant>
      <vt:variant>
        <vt:i4>20</vt:i4>
      </vt:variant>
    </vt:vector>
  </HeadingPairs>
  <TitlesOfParts>
    <vt:vector size="51" baseType="lpstr">
      <vt:lpstr>Table of Contents</vt:lpstr>
      <vt:lpstr>Monthly Historic Chart</vt:lpstr>
      <vt:lpstr>Prices for Graph</vt:lpstr>
      <vt:lpstr>Download Data</vt:lpstr>
      <vt:lpstr>Monthly Prices</vt:lpstr>
      <vt:lpstr>Annual Real</vt:lpstr>
      <vt:lpstr>Forecast Prices</vt:lpstr>
      <vt:lpstr>History and Forecast Chart</vt:lpstr>
      <vt:lpstr>Monthly Historic Data</vt:lpstr>
      <vt:lpstr>History and Forecast</vt:lpstr>
      <vt:lpstr>Annual Nominal</vt:lpstr>
      <vt:lpstr>Distributions</vt:lpstr>
      <vt:lpstr>regression</vt:lpstr>
      <vt:lpstr>Offset</vt:lpstr>
      <vt:lpstr>Misc</vt:lpstr>
      <vt:lpstr>Description</vt:lpstr>
      <vt:lpstr>Video Points</vt:lpstr>
      <vt:lpstr>Inflation Retrieve</vt:lpstr>
      <vt:lpstr>US CPI Rate</vt:lpstr>
      <vt:lpstr>US Implicit Deflator</vt:lpstr>
      <vt:lpstr>BREAK</vt:lpstr>
      <vt:lpstr>US CPI Rate1</vt:lpstr>
      <vt:lpstr>US Implicit Deflator1</vt:lpstr>
      <vt:lpstr>Offset Chart</vt:lpstr>
      <vt:lpstr>Single Series</vt:lpstr>
      <vt:lpstr>Scatter</vt:lpstr>
      <vt:lpstr>Distribution Chart</vt:lpstr>
      <vt:lpstr>Hist and Fcst Chart</vt:lpstr>
      <vt:lpstr>Distribution Chart 1</vt:lpstr>
      <vt:lpstr>12 Month Moving Volatility</vt:lpstr>
      <vt:lpstr>12 Mo Vol</vt:lpstr>
      <vt:lpstr>Applied_Max</vt:lpstr>
      <vt:lpstr>Apply_Input</vt:lpstr>
      <vt:lpstr>code</vt:lpstr>
      <vt:lpstr>cpi_url</vt:lpstr>
      <vt:lpstr>def_url</vt:lpstr>
      <vt:lpstr>econ_url</vt:lpstr>
      <vt:lpstr>end_time</vt:lpstr>
      <vt:lpstr>fa_name</vt:lpstr>
      <vt:lpstr>List_Box_Output</vt:lpstr>
      <vt:lpstr>list_output</vt:lpstr>
      <vt:lpstr>Max</vt:lpstr>
      <vt:lpstr>NA</vt:lpstr>
      <vt:lpstr>series_name</vt:lpstr>
      <vt:lpstr>start_time</vt:lpstr>
      <vt:lpstr>tot_num</vt:lpstr>
      <vt:lpstr>total_to_read</vt:lpstr>
      <vt:lpstr>truefalse</vt:lpstr>
      <vt:lpstr>url</vt:lpstr>
      <vt:lpstr>url_annual</vt:lpstr>
      <vt:lpstr>url_forecast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Volodymyr Zelensky</dc:creator>
  <cp:lastModifiedBy>Edward Bodmer</cp:lastModifiedBy>
  <cp:lastPrinted>2018-09-24T21:54:27Z</cp:lastPrinted>
  <dcterms:created xsi:type="dcterms:W3CDTF">2005-08-04T16:43:23Z</dcterms:created>
  <dcterms:modified xsi:type="dcterms:W3CDTF">2023-10-21T08:27:57Z</dcterms:modified>
</cp:coreProperties>
</file>